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autoCompressPictures="0" defaultThemeVersion="124226"/>
  <mc:AlternateContent xmlns:mc="http://schemas.openxmlformats.org/markup-compatibility/2006">
    <mc:Choice Requires="x15">
      <x15ac:absPath xmlns:x15ac="http://schemas.microsoft.com/office/spreadsheetml/2010/11/ac" url="https://huiskeskokkeler-my.sharepoint.com/personal/h_duijn_huiskes-kokkeler_nl/Documents/Bureaublad/2024 EK-Pool/2026/Bestanden voor tussenstand + ADMIN/Tussenstand bestand website/"/>
    </mc:Choice>
  </mc:AlternateContent>
  <xr:revisionPtr revIDLastSave="0" documentId="8_{993AC884-72A0-451B-B1B8-388905F71A97}" xr6:coauthVersionLast="47" xr6:coauthVersionMax="47" xr10:uidLastSave="{00000000-0000-0000-0000-000000000000}"/>
  <workbookProtection workbookAlgorithmName="SHA-512" workbookHashValue="zpffPXYpk3imBZhbf1MBIBYTzXZPvuKYel9x0KBrwwpVrDy55wiqQoIgjEHLb8F0TwRqafgNh1NfJNAJaD4xIg==" workbookSaltValue="622bgtZnL06GSAiR7DG4ZQ==" workbookSpinCount="100000" lockStructure="1"/>
  <bookViews>
    <workbookView xWindow="28680" yWindow="-120" windowWidth="29040" windowHeight="15720" tabRatio="749" firstSheet="1" activeTab="3" xr2:uid="{00000000-000D-0000-FFFF-FFFF00000000}"/>
  </bookViews>
  <sheets>
    <sheet name="Home" sheetId="30" r:id="rId1"/>
    <sheet name="WORLDCUP" sheetId="3" r:id="rId2"/>
    <sheet name="ADMIN" sheetId="46" r:id="rId3"/>
    <sheet name="CLAS" sheetId="47" r:id="rId4"/>
    <sheet name="DailyPrediction" sheetId="48" r:id="rId5"/>
    <sheet name="DailyClas" sheetId="50" r:id="rId6"/>
    <sheet name="Idiomas" sheetId="36" state="veryHidden" r:id="rId7"/>
    <sheet name="Stats" sheetId="51" r:id="rId8"/>
    <sheet name="Fixture" sheetId="45" r:id="rId9"/>
    <sheet name="Credits" sheetId="34" r:id="rId10"/>
    <sheet name="Equipos" sheetId="6" state="veryHidden" r:id="rId11"/>
    <sheet name="Horarios" sheetId="32" state="veryHidden" r:id="rId12"/>
    <sheet name="Combinaciones3" sheetId="40" state="veryHidden" r:id="rId13"/>
    <sheet name="Graf" sheetId="52" state="veryHidden" r:id="rId14"/>
  </sheets>
  <definedNames>
    <definedName name="_xlnm._FilterDatabase" localSheetId="12" hidden="1">Combinaciones3!$N$1:$W$496</definedName>
    <definedName name="_xlnm._FilterDatabase" localSheetId="11" hidden="1">Horarios!$Q$2:$Q$50</definedName>
    <definedName name="_xlnm._FilterDatabase" localSheetId="1" hidden="1">WORLDCUP!$BB$43:$CEU$166</definedName>
    <definedName name="FG_GolesLocal">WORLDCUP!$AC$4:$AC$97</definedName>
    <definedName name="FG_GolesVisitante">WORLDCUP!$AD$4:$AD$97</definedName>
    <definedName name="FGLocal">WORLDCUP!$AA$4:$AA$97</definedName>
    <definedName name="FGVisitante">WORLDCUP!$AF$4:$AF$97</definedName>
    <definedName name="Ganador">WORLDCUP!$D$4:$D$97</definedName>
    <definedName name="Grafico">Graf!$A$1:$C$11</definedName>
    <definedName name="Grafico_range">_xlfn.ANCHORARRAY(Stats!$H$8)</definedName>
    <definedName name="Grafico_vacio">Graf!$F$1</definedName>
    <definedName name="Grafico1X2">IF(Stats!$D$34,Grafico,Grafico_vacio)</definedName>
    <definedName name="Lista_fechas_rondas">Equipos!$Q$40:INDEX(Equipos!$Q$40:$Q$63,SUMPRODUCT((NOT(ISERROR(Equipos!$Q$40:$Q$63)))*(Equipos!$Q$40:$Q$63&lt;&gt;"")))</definedName>
    <definedName name="Part1Empate1L">WORLDCUP!$E$4:$E$97</definedName>
    <definedName name="Part1Empate1V">WORLDCUP!$F$4:$F$97</definedName>
    <definedName name="Part1Empate2L">WORLDCUP!$H$4:$H$97</definedName>
    <definedName name="Part1Empate2V">WORLDCUP!$I$4:$I$97</definedName>
    <definedName name="Part1Empate3L">WORLDCUP!$K$4:$K$97</definedName>
    <definedName name="Part1Empate3V">WORLDCUP!$L$4:$L$97</definedName>
    <definedName name="Part2Empate4L">WORLDCUP!$N$4:$N$97</definedName>
    <definedName name="Part2Empate4V">WORLDCUP!$O$4:$O$97</definedName>
    <definedName name="Part2Empate5L">WORLDCUP!$Q$4:$Q$97</definedName>
    <definedName name="Part2Empate5V">WORLDCUP!$R$4:$R$97</definedName>
    <definedName name="Part2Empate6L">WORLDCUP!$T$4:$T$97</definedName>
    <definedName name="Part2Empate6V">WORLDCUP!$U$4:$U$97</definedName>
    <definedName name="Rango_Admin_Clas">INDEX(ADMIN!$S$1:$MO$5,1,1):INDEX(ADMIN!$S$1:$MO$5,5,ADMIN!$D$5*3)</definedName>
    <definedName name="Rango_Admin_Clas_Primera">INDEX(ADMIN!$S$1:$MO$1,1,1):INDEX(ADMIN!$S$1:$MO$1,1,ADMIN!$D$5*3)</definedName>
    <definedName name="Rango_Admin_Clas_Total">INDEX(ADMIN!$S$1:$MO$300,1,1):INDEX(ADMIN!$S$1:$MO$300,300,ADMIN!$D$5*3)</definedName>
    <definedName name="Rango_Admin_DailyClas">INDEX(ADMIN!$S$263:$MO$267,1,1):INDEX(ADMIN!$S$263:$MO$267,5,ADMIN!$D$5*3)</definedName>
    <definedName name="Rango_Admin_DailyClas_Primera">INDEX(ADMIN!$S$263:$MO$263,1,1):INDEX(ADMIN!$S$263:$MO$263,1,ADMIN!$D$5*3)</definedName>
    <definedName name="Rango_Admin_DailyPred">INDEX(ADMIN!$K$5:$MO$300,1,1):INDEX(ADMIN!$K$5:$MO$300,296,ADMIN!$D$5*3+8)</definedName>
    <definedName name="Rango_Admin_DailyPred_Primera">INDEX(ADMIN!$K$5:$MO$300,1,1):INDEX(ADMIN!$K$5:$MO$300,1,ADMIN!$D$5*3+8)</definedName>
    <definedName name="Ver_flag_local">IFERROR(IF(TYPE(Equipos!$M$2)=128,IF(ISNUMBER(SEARCH("Mac",INFO("sistema"))),INDEX(Equipos!$L$2:$L$49,MATCH(WORLDCUP!XFD1,Equipos!$K$2:$K$49,0)),INDEX(Equipos!$M$2:$M$49,MATCH(WORLDCUP!XFD1,Equipos!$K$2:$K$49,0))),""),"")</definedName>
    <definedName name="Ver_flag_visit">IFERROR(IF(TYPE(Equipos!$M$2)=128,IF(ISNUMBER(SEARCH("Mac",INFO("sistema"))),INDEX(Equipos!$L$2:$L$49,MATCH(WORLDCUP!B1,Equipos!$K$2:$K$49,0)),INDEX(Equipos!$M$2:$M$49,MATCH(WORLDCUP!B1,Equipos!$K$2:$K$49,0))),""),"")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G89" i="3" l="1"/>
  <c r="O87" i="34" l="1"/>
  <c r="N87" i="34"/>
  <c r="E41" i="30"/>
  <c r="AW26" i="45"/>
  <c r="AV26" i="45"/>
  <c r="AW25" i="45"/>
  <c r="AV25" i="45"/>
  <c r="AS32" i="45"/>
  <c r="AR32" i="45"/>
  <c r="AS31" i="45"/>
  <c r="AR31" i="45"/>
  <c r="AO38" i="45"/>
  <c r="AN38" i="45"/>
  <c r="AO37" i="45"/>
  <c r="AN37" i="45"/>
  <c r="AO14" i="45"/>
  <c r="AN14" i="45"/>
  <c r="AO13" i="45"/>
  <c r="AN13" i="45"/>
  <c r="AK44" i="45"/>
  <c r="AJ44" i="45"/>
  <c r="AK43" i="45"/>
  <c r="AJ43" i="45"/>
  <c r="AK32" i="45"/>
  <c r="AJ32" i="45"/>
  <c r="AK31" i="45"/>
  <c r="AJ31" i="45"/>
  <c r="AK20" i="45"/>
  <c r="AJ20" i="45"/>
  <c r="AK19" i="45"/>
  <c r="AJ19" i="45"/>
  <c r="AK8" i="45"/>
  <c r="AJ8" i="45"/>
  <c r="AK7" i="45"/>
  <c r="AJ7" i="45"/>
  <c r="AG47" i="45"/>
  <c r="AF47" i="45"/>
  <c r="AG46" i="45"/>
  <c r="AF46" i="45"/>
  <c r="AG41" i="45"/>
  <c r="AF41" i="45"/>
  <c r="AG40" i="45"/>
  <c r="AF40" i="45"/>
  <c r="AG35" i="45"/>
  <c r="AF35" i="45"/>
  <c r="AG34" i="45"/>
  <c r="AF34" i="45"/>
  <c r="AG29" i="45"/>
  <c r="AF29" i="45"/>
  <c r="AG28" i="45"/>
  <c r="AF28" i="45"/>
  <c r="AG23" i="45"/>
  <c r="AF23" i="45"/>
  <c r="AG22" i="45"/>
  <c r="AF22" i="45"/>
  <c r="AG17" i="45"/>
  <c r="AF17" i="45"/>
  <c r="AG16" i="45"/>
  <c r="AF16" i="45"/>
  <c r="AG11" i="45"/>
  <c r="AF11" i="45"/>
  <c r="AG10" i="45"/>
  <c r="AF10" i="45"/>
  <c r="AG5" i="45"/>
  <c r="AF5" i="45"/>
  <c r="AG4" i="45"/>
  <c r="AF4" i="45"/>
  <c r="AC49" i="45"/>
  <c r="AB49" i="45"/>
  <c r="AC48" i="45"/>
  <c r="AB48" i="45"/>
  <c r="AC46" i="45"/>
  <c r="AB46" i="45"/>
  <c r="AC45" i="45"/>
  <c r="AB45" i="45"/>
  <c r="AC43" i="45"/>
  <c r="AB43" i="45"/>
  <c r="AC42" i="45"/>
  <c r="AB42" i="45"/>
  <c r="AC40" i="45"/>
  <c r="AB40" i="45"/>
  <c r="AC39" i="45"/>
  <c r="AB39" i="45"/>
  <c r="AC37" i="45"/>
  <c r="AB37" i="45"/>
  <c r="AC36" i="45"/>
  <c r="AB36" i="45"/>
  <c r="AC34" i="45"/>
  <c r="AB34" i="45"/>
  <c r="AC33" i="45"/>
  <c r="AB33" i="45"/>
  <c r="AC31" i="45"/>
  <c r="AB31" i="45"/>
  <c r="AC30" i="45"/>
  <c r="AB30" i="45"/>
  <c r="AC28" i="45"/>
  <c r="AB28" i="45"/>
  <c r="AC27" i="45"/>
  <c r="AB27" i="45"/>
  <c r="AC25" i="45"/>
  <c r="AB25" i="45"/>
  <c r="AC24" i="45"/>
  <c r="AB24" i="45"/>
  <c r="AC22" i="45"/>
  <c r="AB22" i="45"/>
  <c r="AC21" i="45"/>
  <c r="AB21" i="45"/>
  <c r="AC19" i="45"/>
  <c r="AB19" i="45"/>
  <c r="AC18" i="45"/>
  <c r="AB18" i="45"/>
  <c r="AC16" i="45"/>
  <c r="AB16" i="45"/>
  <c r="AC15" i="45"/>
  <c r="AB15" i="45"/>
  <c r="AC13" i="45"/>
  <c r="AB13" i="45"/>
  <c r="AC12" i="45"/>
  <c r="AB12" i="45"/>
  <c r="AC10" i="45"/>
  <c r="AB10" i="45"/>
  <c r="AC9" i="45"/>
  <c r="AB9" i="45"/>
  <c r="AC7" i="45"/>
  <c r="AB7" i="45"/>
  <c r="AC6" i="45"/>
  <c r="AB6" i="45"/>
  <c r="AC4" i="45"/>
  <c r="AB4" i="45"/>
  <c r="AC3" i="45"/>
  <c r="AB3" i="45"/>
  <c r="D62" i="46" l="1"/>
  <c r="D61" i="46"/>
  <c r="D60" i="46"/>
  <c r="D59" i="46"/>
  <c r="D58" i="46"/>
  <c r="D57" i="46"/>
  <c r="D56" i="46"/>
  <c r="D64" i="46" s="1"/>
  <c r="CA164" i="3"/>
  <c r="BO59" i="3"/>
  <c r="BO60" i="3"/>
  <c r="BO61" i="3"/>
  <c r="BO62" i="3"/>
  <c r="BO63" i="3"/>
  <c r="BO64" i="3"/>
  <c r="BO65" i="3"/>
  <c r="BO66" i="3"/>
  <c r="BO67" i="3"/>
  <c r="BO68" i="3"/>
  <c r="BO69" i="3"/>
  <c r="BO58" i="3"/>
  <c r="BB57" i="3"/>
  <c r="AL115" i="3"/>
  <c r="P237" i="36"/>
  <c r="K237" i="36" s="1"/>
  <c r="H237" i="36" s="1"/>
  <c r="AC28" i="32"/>
  <c r="AD28" i="32" s="1"/>
  <c r="Y91" i="34"/>
  <c r="X91" i="34"/>
  <c r="W91" i="34"/>
  <c r="V91" i="34"/>
  <c r="U91" i="34"/>
  <c r="J241" i="36"/>
  <c r="G241" i="36" s="1"/>
  <c r="J249" i="36"/>
  <c r="G249" i="36" s="1"/>
  <c r="J224" i="36"/>
  <c r="G224" i="36" s="1"/>
  <c r="J259" i="36"/>
  <c r="G259" i="36" s="1"/>
  <c r="J221" i="36"/>
  <c r="G221" i="36" s="1"/>
  <c r="J256" i="36"/>
  <c r="G256" i="36" s="1"/>
  <c r="J222" i="36"/>
  <c r="G222" i="36" s="1"/>
  <c r="J250" i="36"/>
  <c r="G250" i="36" s="1"/>
  <c r="J219" i="36"/>
  <c r="G219" i="36" s="1"/>
  <c r="J240" i="36"/>
  <c r="G240" i="36" s="1"/>
  <c r="J235" i="36"/>
  <c r="G235" i="36" s="1"/>
  <c r="J230" i="36"/>
  <c r="G230" i="36" s="1"/>
  <c r="J232" i="36"/>
  <c r="G232" i="36" s="1"/>
  <c r="J246" i="36"/>
  <c r="G246" i="36" s="1"/>
  <c r="J216" i="36"/>
  <c r="G216" i="36" s="1"/>
  <c r="J258" i="36"/>
  <c r="G258" i="36" s="1"/>
  <c r="J212" i="36"/>
  <c r="G212" i="36" s="1"/>
  <c r="J227" i="36"/>
  <c r="G227" i="36" s="1"/>
  <c r="J225" i="36"/>
  <c r="G225" i="36" s="1"/>
  <c r="J228" i="36"/>
  <c r="G228" i="36" s="1"/>
  <c r="J244" i="36"/>
  <c r="G244" i="36" s="1"/>
  <c r="J238" i="36"/>
  <c r="G238" i="36" s="1"/>
  <c r="J257" i="36"/>
  <c r="G257" i="36" s="1"/>
  <c r="J251" i="36"/>
  <c r="G251" i="36" s="1"/>
  <c r="J218" i="36"/>
  <c r="G218" i="36" s="1"/>
  <c r="J229" i="36"/>
  <c r="G229" i="36" s="1"/>
  <c r="J243" i="36"/>
  <c r="G243" i="36" s="1"/>
  <c r="J231" i="36"/>
  <c r="G231" i="36" s="1"/>
  <c r="J220" i="36"/>
  <c r="G220" i="36" s="1"/>
  <c r="J213" i="36"/>
  <c r="G213" i="36" s="1"/>
  <c r="J252" i="36"/>
  <c r="G252" i="36" s="1"/>
  <c r="J233" i="36"/>
  <c r="G233" i="36" s="1"/>
  <c r="J248" i="36"/>
  <c r="G248" i="36" s="1"/>
  <c r="J255" i="36"/>
  <c r="G255" i="36" s="1"/>
  <c r="J242" i="36"/>
  <c r="G242" i="36" s="1"/>
  <c r="J215" i="36"/>
  <c r="G215" i="36" s="1"/>
  <c r="J214" i="36"/>
  <c r="G214" i="36" s="1"/>
  <c r="J217" i="36"/>
  <c r="G217" i="36" s="1"/>
  <c r="J239" i="36"/>
  <c r="G239" i="36" s="1"/>
  <c r="J247" i="36"/>
  <c r="G247" i="36" s="1"/>
  <c r="J254" i="36"/>
  <c r="G254" i="36" s="1"/>
  <c r="J253" i="36"/>
  <c r="G253" i="36" s="1"/>
  <c r="J223" i="36"/>
  <c r="G223" i="36" s="1"/>
  <c r="J236" i="36"/>
  <c r="G236" i="36" s="1"/>
  <c r="J226" i="36"/>
  <c r="G226" i="36" s="1"/>
  <c r="J234" i="36"/>
  <c r="G234" i="36" s="1"/>
  <c r="J245" i="36"/>
  <c r="G245" i="36" s="1"/>
  <c r="K212" i="36"/>
  <c r="H212" i="36" s="1"/>
  <c r="B2" i="36"/>
  <c r="K213" i="36"/>
  <c r="H213" i="36" s="1"/>
  <c r="K214" i="36"/>
  <c r="H214" i="36" s="1"/>
  <c r="K215" i="36"/>
  <c r="H215" i="36" s="1"/>
  <c r="K216" i="36"/>
  <c r="H216" i="36" s="1"/>
  <c r="K217" i="36"/>
  <c r="H217" i="36" s="1"/>
  <c r="K218" i="36"/>
  <c r="H218" i="36" s="1"/>
  <c r="K219" i="36"/>
  <c r="H219" i="36" s="1"/>
  <c r="K220" i="36"/>
  <c r="H220" i="36" s="1"/>
  <c r="K221" i="36"/>
  <c r="H221" i="36" s="1"/>
  <c r="K222" i="36"/>
  <c r="H222" i="36" s="1"/>
  <c r="K223" i="36"/>
  <c r="H223" i="36" s="1"/>
  <c r="K224" i="36"/>
  <c r="H224" i="36" s="1"/>
  <c r="K225" i="36"/>
  <c r="H225" i="36" s="1"/>
  <c r="K226" i="36"/>
  <c r="H226" i="36" s="1"/>
  <c r="K227" i="36"/>
  <c r="H227" i="36" s="1"/>
  <c r="K228" i="36"/>
  <c r="H228" i="36" s="1"/>
  <c r="K229" i="36"/>
  <c r="H229" i="36" s="1"/>
  <c r="K230" i="36"/>
  <c r="H230" i="36" s="1"/>
  <c r="K231" i="36"/>
  <c r="H231" i="36" s="1"/>
  <c r="K232" i="36"/>
  <c r="H232" i="36" s="1"/>
  <c r="K233" i="36"/>
  <c r="H233" i="36" s="1"/>
  <c r="K234" i="36"/>
  <c r="H234" i="36" s="1"/>
  <c r="K235" i="36"/>
  <c r="H235" i="36" s="1"/>
  <c r="K236" i="36"/>
  <c r="H236" i="36" s="1"/>
  <c r="K238" i="36"/>
  <c r="H238" i="36" s="1"/>
  <c r="K239" i="36"/>
  <c r="H239" i="36" s="1"/>
  <c r="K240" i="36"/>
  <c r="H240" i="36" s="1"/>
  <c r="K241" i="36"/>
  <c r="H241" i="36" s="1"/>
  <c r="K242" i="36"/>
  <c r="H242" i="36" s="1"/>
  <c r="K243" i="36"/>
  <c r="H243" i="36" s="1"/>
  <c r="K244" i="36"/>
  <c r="H244" i="36" s="1"/>
  <c r="K245" i="36"/>
  <c r="H245" i="36" s="1"/>
  <c r="K246" i="36"/>
  <c r="H246" i="36" s="1"/>
  <c r="K247" i="36"/>
  <c r="H247" i="36" s="1"/>
  <c r="K248" i="36"/>
  <c r="H248" i="36" s="1"/>
  <c r="K249" i="36"/>
  <c r="H249" i="36" s="1"/>
  <c r="K250" i="36"/>
  <c r="H250" i="36" s="1"/>
  <c r="K251" i="36"/>
  <c r="H251" i="36" s="1"/>
  <c r="K252" i="36"/>
  <c r="H252" i="36" s="1"/>
  <c r="K253" i="36"/>
  <c r="H253" i="36" s="1"/>
  <c r="K254" i="36"/>
  <c r="H254" i="36" s="1"/>
  <c r="K255" i="36"/>
  <c r="H255" i="36" s="1"/>
  <c r="K256" i="36"/>
  <c r="H256" i="36" s="1"/>
  <c r="K257" i="36"/>
  <c r="H257" i="36" s="1"/>
  <c r="K258" i="36"/>
  <c r="H258" i="36" s="1"/>
  <c r="K259" i="36"/>
  <c r="H259" i="36" s="1"/>
  <c r="E5" i="48"/>
  <c r="E6" i="48" s="1"/>
  <c r="D4" i="3"/>
  <c r="D166" i="46"/>
  <c r="B166" i="46"/>
  <c r="A166" i="46"/>
  <c r="E166" i="46" s="1"/>
  <c r="L166" i="46"/>
  <c r="N166" i="46"/>
  <c r="O166" i="46"/>
  <c r="L202" i="46"/>
  <c r="L203" i="46"/>
  <c r="L204" i="46"/>
  <c r="M204" i="46" s="1"/>
  <c r="L205" i="46"/>
  <c r="L206" i="46"/>
  <c r="L207" i="46"/>
  <c r="I1" i="50"/>
  <c r="M262" i="46" s="1"/>
  <c r="N6" i="46"/>
  <c r="O6" i="46"/>
  <c r="P6" i="46"/>
  <c r="D204" i="46"/>
  <c r="A165" i="46"/>
  <c r="B165" i="46"/>
  <c r="A167" i="46"/>
  <c r="B167" i="46"/>
  <c r="A168" i="46"/>
  <c r="B168" i="46"/>
  <c r="A169" i="46"/>
  <c r="B169" i="46"/>
  <c r="E169" i="46" s="1"/>
  <c r="A170" i="46"/>
  <c r="B170" i="46"/>
  <c r="A171" i="46"/>
  <c r="B171" i="46"/>
  <c r="A172" i="46"/>
  <c r="B172" i="46"/>
  <c r="A173" i="46"/>
  <c r="B173" i="46"/>
  <c r="E173" i="46" s="1"/>
  <c r="A174" i="46"/>
  <c r="B174" i="46"/>
  <c r="A175" i="46"/>
  <c r="B175" i="46"/>
  <c r="A176" i="46"/>
  <c r="B176" i="46"/>
  <c r="A177" i="46"/>
  <c r="B177" i="46"/>
  <c r="A178" i="46"/>
  <c r="B178" i="46"/>
  <c r="A179" i="46"/>
  <c r="B179" i="46"/>
  <c r="A164" i="46"/>
  <c r="B164" i="46"/>
  <c r="N165" i="46"/>
  <c r="O165" i="46"/>
  <c r="N167" i="46"/>
  <c r="O167" i="46"/>
  <c r="N168" i="46"/>
  <c r="O168" i="46"/>
  <c r="N169" i="46"/>
  <c r="O169" i="46"/>
  <c r="N170" i="46"/>
  <c r="O170" i="46"/>
  <c r="N171" i="46"/>
  <c r="O171" i="46"/>
  <c r="N172" i="46"/>
  <c r="O172" i="46"/>
  <c r="N173" i="46"/>
  <c r="O173" i="46"/>
  <c r="N174" i="46"/>
  <c r="O174" i="46"/>
  <c r="N175" i="46"/>
  <c r="O175" i="46"/>
  <c r="N176" i="46"/>
  <c r="O176" i="46"/>
  <c r="N177" i="46"/>
  <c r="O177" i="46"/>
  <c r="N178" i="46"/>
  <c r="O178" i="46"/>
  <c r="N179" i="46"/>
  <c r="O179" i="46"/>
  <c r="N164" i="46"/>
  <c r="O164" i="46"/>
  <c r="N8" i="46"/>
  <c r="O8" i="46"/>
  <c r="P8" i="46"/>
  <c r="N7" i="46"/>
  <c r="M7" i="46" s="1"/>
  <c r="O7" i="46"/>
  <c r="Q7" i="46" s="1"/>
  <c r="P7" i="46"/>
  <c r="Q32" i="6"/>
  <c r="Q26" i="6"/>
  <c r="L247" i="46"/>
  <c r="M247" i="46" s="1"/>
  <c r="L244" i="46"/>
  <c r="L233" i="46"/>
  <c r="L232" i="46"/>
  <c r="M232" i="46" s="1"/>
  <c r="L223" i="46"/>
  <c r="L222" i="46"/>
  <c r="L221" i="46"/>
  <c r="L220" i="46"/>
  <c r="M220" i="46" s="1"/>
  <c r="L201" i="46"/>
  <c r="L200" i="46"/>
  <c r="L179" i="46"/>
  <c r="L178" i="46"/>
  <c r="L177" i="46"/>
  <c r="L176" i="46"/>
  <c r="L175" i="46"/>
  <c r="L174" i="46"/>
  <c r="L173" i="46"/>
  <c r="L172" i="46"/>
  <c r="L171" i="46"/>
  <c r="M171" i="46" s="1"/>
  <c r="L170" i="46"/>
  <c r="L169" i="46"/>
  <c r="L168" i="46"/>
  <c r="L167" i="46"/>
  <c r="L165" i="46"/>
  <c r="L164" i="46"/>
  <c r="O247" i="46"/>
  <c r="B247" i="46"/>
  <c r="A247" i="46"/>
  <c r="E247" i="46" s="1"/>
  <c r="N247" i="46"/>
  <c r="B244" i="46"/>
  <c r="A244" i="46"/>
  <c r="E244" i="46" s="1"/>
  <c r="O244" i="46"/>
  <c r="N244" i="46"/>
  <c r="A233" i="46"/>
  <c r="B233" i="46"/>
  <c r="B232" i="46"/>
  <c r="A232" i="46"/>
  <c r="E232" i="46" s="1"/>
  <c r="O233" i="46"/>
  <c r="N233" i="46"/>
  <c r="O232" i="46"/>
  <c r="N232" i="46"/>
  <c r="A220" i="46"/>
  <c r="E220" i="46" s="1"/>
  <c r="B220" i="46"/>
  <c r="B223" i="46"/>
  <c r="Q223" i="46" s="1"/>
  <c r="A223" i="46"/>
  <c r="B222" i="46"/>
  <c r="A222" i="46"/>
  <c r="B221" i="46"/>
  <c r="A221" i="46"/>
  <c r="O223" i="46"/>
  <c r="N223" i="46"/>
  <c r="O222" i="46"/>
  <c r="N222" i="46"/>
  <c r="O221" i="46"/>
  <c r="N221" i="46"/>
  <c r="O220" i="46"/>
  <c r="N220" i="46"/>
  <c r="B207" i="46"/>
  <c r="A207" i="46"/>
  <c r="Q207" i="46" s="1"/>
  <c r="B206" i="46"/>
  <c r="A206" i="46"/>
  <c r="B205" i="46"/>
  <c r="A205" i="46"/>
  <c r="B204" i="46"/>
  <c r="A204" i="46"/>
  <c r="E204" i="46" s="1"/>
  <c r="B203" i="46"/>
  <c r="A203" i="46"/>
  <c r="Q203" i="46" s="1"/>
  <c r="B202" i="46"/>
  <c r="Q202" i="46" s="1"/>
  <c r="A202" i="46"/>
  <c r="E202" i="46" s="1"/>
  <c r="B201" i="46"/>
  <c r="A201" i="46"/>
  <c r="E201" i="46" s="1"/>
  <c r="B200" i="46"/>
  <c r="A200" i="46"/>
  <c r="O207" i="46"/>
  <c r="M207" i="46" s="1"/>
  <c r="N207" i="46"/>
  <c r="O206" i="46"/>
  <c r="P206" i="46" s="1"/>
  <c r="N206" i="46"/>
  <c r="O205" i="46"/>
  <c r="N205" i="46"/>
  <c r="O204" i="46"/>
  <c r="N204" i="46"/>
  <c r="O203" i="46"/>
  <c r="N203" i="46"/>
  <c r="P203" i="46" s="1"/>
  <c r="O202" i="46"/>
  <c r="N202" i="46"/>
  <c r="O201" i="46"/>
  <c r="N201" i="46"/>
  <c r="O200" i="46"/>
  <c r="N200" i="46"/>
  <c r="N29" i="46"/>
  <c r="M29" i="46" s="1"/>
  <c r="P29" i="46"/>
  <c r="O9" i="46"/>
  <c r="O10" i="46"/>
  <c r="O11" i="46"/>
  <c r="O12" i="46"/>
  <c r="O13" i="46"/>
  <c r="O14" i="46"/>
  <c r="O15" i="46"/>
  <c r="O16" i="46"/>
  <c r="O17" i="46"/>
  <c r="O18" i="46"/>
  <c r="O19" i="46"/>
  <c r="O20" i="46"/>
  <c r="O21" i="46"/>
  <c r="O22" i="46"/>
  <c r="O23" i="46"/>
  <c r="O24" i="46"/>
  <c r="O25" i="46"/>
  <c r="O26" i="46"/>
  <c r="O27" i="46"/>
  <c r="O28" i="46"/>
  <c r="N28" i="46"/>
  <c r="P28" i="46"/>
  <c r="O29" i="46"/>
  <c r="O30" i="46"/>
  <c r="P9" i="46"/>
  <c r="P10" i="46"/>
  <c r="P11" i="46"/>
  <c r="P12" i="46"/>
  <c r="P13" i="46"/>
  <c r="P14" i="46"/>
  <c r="P15" i="46"/>
  <c r="P16" i="46"/>
  <c r="P17" i="46"/>
  <c r="Q17" i="46" s="1"/>
  <c r="P18" i="46"/>
  <c r="P19" i="46"/>
  <c r="P20" i="46"/>
  <c r="P21" i="46"/>
  <c r="P22" i="46"/>
  <c r="P23" i="46"/>
  <c r="P24" i="46"/>
  <c r="P25" i="46"/>
  <c r="P26" i="46"/>
  <c r="P27" i="46"/>
  <c r="P30" i="46"/>
  <c r="N9" i="46"/>
  <c r="N10" i="46"/>
  <c r="N11" i="46"/>
  <c r="N12" i="46"/>
  <c r="N13" i="46"/>
  <c r="M13" i="46" s="1"/>
  <c r="N14" i="46"/>
  <c r="N15" i="46"/>
  <c r="N16" i="46"/>
  <c r="N17" i="46"/>
  <c r="N18" i="46"/>
  <c r="N19" i="46"/>
  <c r="N20" i="46"/>
  <c r="N21" i="46"/>
  <c r="M21" i="46" s="1"/>
  <c r="N22" i="46"/>
  <c r="N23" i="46"/>
  <c r="N24" i="46"/>
  <c r="N25" i="46"/>
  <c r="N26" i="46"/>
  <c r="N27" i="46"/>
  <c r="N30" i="46"/>
  <c r="N52" i="46"/>
  <c r="P52" i="46"/>
  <c r="N77" i="46"/>
  <c r="N76" i="46"/>
  <c r="P76" i="46"/>
  <c r="N75" i="46"/>
  <c r="M75" i="46" s="1"/>
  <c r="N74" i="46"/>
  <c r="N73" i="46"/>
  <c r="N72" i="46"/>
  <c r="N71" i="46"/>
  <c r="N70" i="46"/>
  <c r="N69" i="46"/>
  <c r="N68" i="46"/>
  <c r="N67" i="46"/>
  <c r="N66" i="46"/>
  <c r="M66" i="46" s="1"/>
  <c r="N65" i="46"/>
  <c r="N64" i="46"/>
  <c r="N63" i="46"/>
  <c r="M63" i="46" s="1"/>
  <c r="N62" i="46"/>
  <c r="N61" i="46"/>
  <c r="N60" i="46"/>
  <c r="N59" i="46"/>
  <c r="N58" i="46"/>
  <c r="M58" i="46" s="1"/>
  <c r="N57" i="46"/>
  <c r="N56" i="46"/>
  <c r="N55" i="46"/>
  <c r="N54" i="46"/>
  <c r="O54" i="46"/>
  <c r="P54" i="46"/>
  <c r="N53" i="46"/>
  <c r="N51" i="46"/>
  <c r="N50" i="46"/>
  <c r="M50" i="46" s="1"/>
  <c r="N49" i="46"/>
  <c r="M49" i="46" s="1"/>
  <c r="N48" i="46"/>
  <c r="M48" i="46" s="1"/>
  <c r="N47" i="46"/>
  <c r="N46" i="46"/>
  <c r="N45" i="46"/>
  <c r="N44" i="46"/>
  <c r="N43" i="46"/>
  <c r="N42" i="46"/>
  <c r="N41" i="46"/>
  <c r="M41" i="46" s="1"/>
  <c r="N40" i="46"/>
  <c r="N39" i="46"/>
  <c r="N38" i="46"/>
  <c r="N37" i="46"/>
  <c r="N36" i="46"/>
  <c r="N35" i="46"/>
  <c r="N34" i="46"/>
  <c r="N33" i="46"/>
  <c r="M33" i="46" s="1"/>
  <c r="N32" i="46"/>
  <c r="N31" i="46"/>
  <c r="D165" i="46"/>
  <c r="D167" i="46"/>
  <c r="D168" i="46"/>
  <c r="D169" i="46"/>
  <c r="D170" i="46"/>
  <c r="D171" i="46"/>
  <c r="D172" i="46"/>
  <c r="D173" i="46"/>
  <c r="D174" i="46"/>
  <c r="D175" i="46"/>
  <c r="D176" i="46"/>
  <c r="D177" i="46"/>
  <c r="D178" i="46"/>
  <c r="D179" i="46"/>
  <c r="D200" i="46"/>
  <c r="D201" i="46"/>
  <c r="D202" i="46"/>
  <c r="D203" i="46"/>
  <c r="D205" i="46"/>
  <c r="D206" i="46"/>
  <c r="D207" i="46"/>
  <c r="D220" i="46"/>
  <c r="D221" i="46"/>
  <c r="D222" i="46"/>
  <c r="D223" i="46"/>
  <c r="D232" i="46"/>
  <c r="D233" i="46"/>
  <c r="D244" i="46"/>
  <c r="D247" i="46"/>
  <c r="P77" i="46"/>
  <c r="O77" i="46"/>
  <c r="O76" i="46"/>
  <c r="P75" i="46"/>
  <c r="O75" i="46"/>
  <c r="P74" i="46"/>
  <c r="O74" i="46"/>
  <c r="Q74" i="46" s="1"/>
  <c r="P73" i="46"/>
  <c r="O73" i="46"/>
  <c r="P72" i="46"/>
  <c r="O72" i="46"/>
  <c r="P71" i="46"/>
  <c r="O71" i="46"/>
  <c r="P70" i="46"/>
  <c r="O70" i="46"/>
  <c r="P69" i="46"/>
  <c r="O69" i="46"/>
  <c r="P68" i="46"/>
  <c r="O68" i="46"/>
  <c r="P67" i="46"/>
  <c r="O67" i="46"/>
  <c r="P66" i="46"/>
  <c r="O66" i="46"/>
  <c r="Q66" i="46" s="1"/>
  <c r="P65" i="46"/>
  <c r="O65" i="46"/>
  <c r="P64" i="46"/>
  <c r="O64" i="46"/>
  <c r="P63" i="46"/>
  <c r="O63" i="46"/>
  <c r="Q63" i="46" s="1"/>
  <c r="P62" i="46"/>
  <c r="O62" i="46"/>
  <c r="P61" i="46"/>
  <c r="O61" i="46"/>
  <c r="P60" i="46"/>
  <c r="O60" i="46"/>
  <c r="P59" i="46"/>
  <c r="O59" i="46"/>
  <c r="P58" i="46"/>
  <c r="O58" i="46"/>
  <c r="Q58" i="46" s="1"/>
  <c r="P57" i="46"/>
  <c r="O57" i="46"/>
  <c r="P56" i="46"/>
  <c r="O56" i="46"/>
  <c r="P55" i="46"/>
  <c r="O55" i="46"/>
  <c r="P53" i="46"/>
  <c r="O53" i="46"/>
  <c r="Q53" i="46" s="1"/>
  <c r="O52" i="46"/>
  <c r="Q52" i="46" s="1"/>
  <c r="P51" i="46"/>
  <c r="O51" i="46"/>
  <c r="P50" i="46"/>
  <c r="O50" i="46"/>
  <c r="P49" i="46"/>
  <c r="O49" i="46"/>
  <c r="P48" i="46"/>
  <c r="O48" i="46"/>
  <c r="P47" i="46"/>
  <c r="Q47" i="46" s="1"/>
  <c r="O47" i="46"/>
  <c r="P46" i="46"/>
  <c r="O46" i="46"/>
  <c r="P45" i="46"/>
  <c r="O45" i="46"/>
  <c r="P44" i="46"/>
  <c r="O44" i="46"/>
  <c r="Q44" i="46" s="1"/>
  <c r="P43" i="46"/>
  <c r="O43" i="46"/>
  <c r="P42" i="46"/>
  <c r="O42" i="46"/>
  <c r="P41" i="46"/>
  <c r="O41" i="46"/>
  <c r="P40" i="46"/>
  <c r="O40" i="46"/>
  <c r="Q40" i="46" s="1"/>
  <c r="P39" i="46"/>
  <c r="O39" i="46"/>
  <c r="P38" i="46"/>
  <c r="O38" i="46"/>
  <c r="P37" i="46"/>
  <c r="O37" i="46"/>
  <c r="P36" i="46"/>
  <c r="O36" i="46"/>
  <c r="Q36" i="46" s="1"/>
  <c r="P35" i="46"/>
  <c r="O35" i="46"/>
  <c r="P34" i="46"/>
  <c r="O34" i="46"/>
  <c r="P33" i="46"/>
  <c r="O33" i="46"/>
  <c r="P32" i="46"/>
  <c r="O32" i="46"/>
  <c r="P31" i="46"/>
  <c r="O31" i="46"/>
  <c r="F233" i="46"/>
  <c r="F232" i="46"/>
  <c r="D50" i="3"/>
  <c r="F4" i="48" a="1"/>
  <c r="F4" i="48" s="1"/>
  <c r="Z147" i="3"/>
  <c r="Z143" i="3"/>
  <c r="Z139" i="3"/>
  <c r="Z138" i="3"/>
  <c r="Z134" i="3"/>
  <c r="Z133" i="3"/>
  <c r="Z132" i="3"/>
  <c r="Z131" i="3"/>
  <c r="Z127" i="3"/>
  <c r="Z126" i="3"/>
  <c r="Z125" i="3"/>
  <c r="Z124" i="3"/>
  <c r="Z123" i="3"/>
  <c r="Z122" i="3"/>
  <c r="Z121" i="3"/>
  <c r="Z120" i="3"/>
  <c r="Z116" i="3"/>
  <c r="Z115" i="3"/>
  <c r="Z114" i="3"/>
  <c r="Z113" i="3"/>
  <c r="Z112" i="3"/>
  <c r="Z111" i="3"/>
  <c r="Z110" i="3"/>
  <c r="Z109" i="3"/>
  <c r="Z108" i="3"/>
  <c r="Z107" i="3"/>
  <c r="Z106" i="3"/>
  <c r="Z105" i="3"/>
  <c r="Z104" i="3"/>
  <c r="Z103" i="3"/>
  <c r="Z102" i="3"/>
  <c r="Z101" i="3"/>
  <c r="DT136" i="3"/>
  <c r="V5" i="51"/>
  <c r="E5" i="51"/>
  <c r="F251" i="46"/>
  <c r="F252" i="46"/>
  <c r="F253" i="46"/>
  <c r="F254" i="46"/>
  <c r="F255" i="46"/>
  <c r="F256" i="46"/>
  <c r="F257" i="46"/>
  <c r="F258" i="46"/>
  <c r="F250" i="46"/>
  <c r="F247" i="46"/>
  <c r="F244" i="46"/>
  <c r="F241" i="46"/>
  <c r="F240" i="46"/>
  <c r="F237" i="46"/>
  <c r="F236" i="46"/>
  <c r="F227" i="46"/>
  <c r="F228" i="46"/>
  <c r="F229" i="46"/>
  <c r="F226" i="46"/>
  <c r="F221" i="46"/>
  <c r="F222" i="46"/>
  <c r="F223" i="46"/>
  <c r="F220" i="46"/>
  <c r="F211" i="46"/>
  <c r="F212" i="46"/>
  <c r="F213" i="46"/>
  <c r="F214" i="46"/>
  <c r="F215" i="46"/>
  <c r="F216" i="46"/>
  <c r="F217" i="46"/>
  <c r="F210" i="46"/>
  <c r="F201" i="46"/>
  <c r="F202" i="46"/>
  <c r="F203" i="46"/>
  <c r="F204" i="46"/>
  <c r="F205" i="46"/>
  <c r="F206" i="46"/>
  <c r="F207" i="46"/>
  <c r="F200" i="46"/>
  <c r="F183" i="46"/>
  <c r="F184" i="46"/>
  <c r="F185" i="46"/>
  <c r="F186" i="46"/>
  <c r="F187" i="46"/>
  <c r="F188" i="46"/>
  <c r="F189" i="46"/>
  <c r="F190" i="46"/>
  <c r="F191" i="46"/>
  <c r="F192" i="46"/>
  <c r="F193" i="46"/>
  <c r="F194" i="46"/>
  <c r="F195" i="46"/>
  <c r="F196" i="46"/>
  <c r="F197" i="46"/>
  <c r="F182" i="46"/>
  <c r="F165" i="46"/>
  <c r="F166" i="46"/>
  <c r="F167" i="46"/>
  <c r="F168" i="46"/>
  <c r="F169" i="46"/>
  <c r="F170" i="46"/>
  <c r="F171" i="46"/>
  <c r="F172" i="46"/>
  <c r="F173" i="46"/>
  <c r="F174" i="46"/>
  <c r="F175" i="46"/>
  <c r="F176" i="46"/>
  <c r="F177" i="46"/>
  <c r="F178" i="46"/>
  <c r="F179" i="46"/>
  <c r="F164"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7" i="46"/>
  <c r="F126" i="46"/>
  <c r="F125" i="46"/>
  <c r="F124" i="46"/>
  <c r="F123" i="46"/>
  <c r="F122" i="46"/>
  <c r="F121" i="46"/>
  <c r="F120" i="46"/>
  <c r="F119" i="46"/>
  <c r="F118" i="46"/>
  <c r="F117" i="46"/>
  <c r="F116" i="46"/>
  <c r="F115" i="46"/>
  <c r="F114" i="46"/>
  <c r="F113" i="46"/>
  <c r="F112" i="46"/>
  <c r="F111" i="46"/>
  <c r="F110" i="46"/>
  <c r="F109" i="46"/>
  <c r="F108" i="46"/>
  <c r="F107" i="46"/>
  <c r="F10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6" i="46"/>
  <c r="LD5" i="46"/>
  <c r="LD267" i="46" s="1"/>
  <c r="LA5" i="46"/>
  <c r="LA267" i="46" s="1"/>
  <c r="KX5" i="46"/>
  <c r="KX267" i="46" s="1"/>
  <c r="KU5" i="46"/>
  <c r="KU267" i="46" s="1"/>
  <c r="KR5" i="46"/>
  <c r="KR267" i="46" s="1"/>
  <c r="KO5" i="46"/>
  <c r="KO267" i="46" s="1"/>
  <c r="KL5" i="46"/>
  <c r="KL267" i="46" s="1"/>
  <c r="KI5" i="46"/>
  <c r="KI267" i="46" s="1"/>
  <c r="KF5" i="46"/>
  <c r="KF267" i="46" s="1"/>
  <c r="KC5" i="46"/>
  <c r="KC267" i="46" s="1"/>
  <c r="JZ5" i="46"/>
  <c r="JZ267" i="46" s="1"/>
  <c r="JW5" i="46"/>
  <c r="JW267" i="46" s="1"/>
  <c r="JT5" i="46"/>
  <c r="JT267" i="46" s="1"/>
  <c r="JQ5" i="46"/>
  <c r="JQ267" i="46" s="1"/>
  <c r="JN5" i="46"/>
  <c r="JN267" i="46" s="1"/>
  <c r="JK5" i="46"/>
  <c r="JK267" i="46" s="1"/>
  <c r="JH5" i="46"/>
  <c r="JH267" i="46" s="1"/>
  <c r="JE5" i="46"/>
  <c r="JE267" i="46" s="1"/>
  <c r="JB5" i="46"/>
  <c r="JB267" i="46" s="1"/>
  <c r="IY5" i="46"/>
  <c r="IY267" i="46" s="1"/>
  <c r="IV5" i="46"/>
  <c r="IV267" i="46" s="1"/>
  <c r="IS5" i="46"/>
  <c r="IS267" i="46" s="1"/>
  <c r="IP5" i="46"/>
  <c r="IP267" i="46" s="1"/>
  <c r="IM5" i="46"/>
  <c r="IM267" i="46" s="1"/>
  <c r="IJ5" i="46"/>
  <c r="IJ267" i="46" s="1"/>
  <c r="IG5" i="46"/>
  <c r="IG267" i="46" s="1"/>
  <c r="ID5" i="46"/>
  <c r="ID267" i="46" s="1"/>
  <c r="IA5" i="46"/>
  <c r="IA267" i="46" s="1"/>
  <c r="HX5" i="46"/>
  <c r="HX267" i="46" s="1"/>
  <c r="HU5" i="46"/>
  <c r="HU267" i="46" s="1"/>
  <c r="HR5" i="46"/>
  <c r="HR267" i="46" s="1"/>
  <c r="HO5" i="46"/>
  <c r="HO267" i="46" s="1"/>
  <c r="HL5" i="46"/>
  <c r="HL267" i="46" s="1"/>
  <c r="HI5" i="46"/>
  <c r="HI267" i="46" s="1"/>
  <c r="HF5" i="46"/>
  <c r="HF267" i="46" s="1"/>
  <c r="HC5" i="46"/>
  <c r="HC267" i="46" s="1"/>
  <c r="GZ5" i="46"/>
  <c r="GZ267" i="46" s="1"/>
  <c r="GW5" i="46"/>
  <c r="GW267" i="46" s="1"/>
  <c r="GT5" i="46"/>
  <c r="GT267" i="46" s="1"/>
  <c r="GQ5" i="46"/>
  <c r="GQ267" i="46" s="1"/>
  <c r="GN5" i="46"/>
  <c r="GN267" i="46" s="1"/>
  <c r="GK267" i="46"/>
  <c r="GH267" i="46"/>
  <c r="GE267" i="46"/>
  <c r="GB267" i="46"/>
  <c r="FY267" i="46"/>
  <c r="FV267" i="46"/>
  <c r="FS267" i="46"/>
  <c r="FP267" i="46"/>
  <c r="FM267" i="46"/>
  <c r="FJ267" i="46"/>
  <c r="FG267" i="46"/>
  <c r="FD267" i="46"/>
  <c r="FA267" i="46"/>
  <c r="EX267" i="46"/>
  <c r="EU267" i="46"/>
  <c r="ER267" i="46"/>
  <c r="EO267" i="46"/>
  <c r="EL267" i="46"/>
  <c r="EI267" i="46"/>
  <c r="EF267" i="46"/>
  <c r="EC267" i="46"/>
  <c r="DZ267" i="46"/>
  <c r="DW267" i="46"/>
  <c r="DT267" i="46"/>
  <c r="DQ267" i="46"/>
  <c r="DN267" i="46"/>
  <c r="DK267" i="46"/>
  <c r="DH267" i="46"/>
  <c r="DE267" i="46"/>
  <c r="DB267" i="46"/>
  <c r="CY267" i="46"/>
  <c r="CV267" i="46"/>
  <c r="CS267" i="46"/>
  <c r="CP267" i="46"/>
  <c r="CM267" i="46"/>
  <c r="CJ267" i="46"/>
  <c r="CG267" i="46"/>
  <c r="CD267" i="46"/>
  <c r="CA267" i="46"/>
  <c r="BX267" i="46"/>
  <c r="BU267" i="46"/>
  <c r="BR267" i="46"/>
  <c r="BO267" i="46"/>
  <c r="BL267" i="46"/>
  <c r="BI267" i="46"/>
  <c r="BF267" i="46"/>
  <c r="BC267" i="46"/>
  <c r="AZ267" i="46"/>
  <c r="AW267" i="46"/>
  <c r="AT267" i="46"/>
  <c r="AQ267" i="46"/>
  <c r="AN267" i="46"/>
  <c r="AK267" i="46"/>
  <c r="AH267" i="46"/>
  <c r="AE267" i="46"/>
  <c r="AB267" i="46"/>
  <c r="Y267" i="46"/>
  <c r="Q34" i="6"/>
  <c r="Q35" i="6"/>
  <c r="Q36" i="6"/>
  <c r="Q37" i="6"/>
  <c r="Q33" i="6"/>
  <c r="Q28" i="6"/>
  <c r="Q29" i="6"/>
  <c r="Q30" i="6"/>
  <c r="Q31" i="6"/>
  <c r="Q27" i="6"/>
  <c r="DT10" i="3"/>
  <c r="DT18" i="3"/>
  <c r="DT26" i="3"/>
  <c r="DT34" i="3"/>
  <c r="DT42" i="3"/>
  <c r="DT50" i="3"/>
  <c r="DT58" i="3"/>
  <c r="DT66" i="3"/>
  <c r="DT74" i="3"/>
  <c r="DT82" i="3"/>
  <c r="DT90" i="3"/>
  <c r="DT98" i="3"/>
  <c r="DT99" i="3"/>
  <c r="DT117" i="3"/>
  <c r="DT118" i="3"/>
  <c r="DT128" i="3"/>
  <c r="DT129" i="3"/>
  <c r="DT135" i="3"/>
  <c r="DT140" i="3"/>
  <c r="DT141" i="3"/>
  <c r="DT144" i="3"/>
  <c r="DT145" i="3"/>
  <c r="D9" i="3"/>
  <c r="D17" i="3"/>
  <c r="D25" i="3"/>
  <c r="D33" i="3"/>
  <c r="D41" i="3"/>
  <c r="D49" i="3"/>
  <c r="D57" i="3"/>
  <c r="D65" i="3"/>
  <c r="D73" i="3"/>
  <c r="D81" i="3"/>
  <c r="D89" i="3"/>
  <c r="D97" i="3"/>
  <c r="D146" i="36"/>
  <c r="K239" i="46" s="1"/>
  <c r="M259" i="46"/>
  <c r="M78" i="46"/>
  <c r="A6" i="47"/>
  <c r="A7" i="47"/>
  <c r="A8" i="47"/>
  <c r="A9" i="47"/>
  <c r="A10" i="47"/>
  <c r="A11" i="47"/>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5" i="47"/>
  <c r="M248" i="46"/>
  <c r="M245" i="46"/>
  <c r="M234" i="46"/>
  <c r="M224" i="46"/>
  <c r="M208" i="46"/>
  <c r="D338" i="36"/>
  <c r="C42" i="46" s="1"/>
  <c r="D337" i="36"/>
  <c r="C41" i="46" s="1"/>
  <c r="D336" i="36"/>
  <c r="C40" i="46" s="1"/>
  <c r="D335" i="36"/>
  <c r="T7" i="51" s="1"/>
  <c r="D331" i="36"/>
  <c r="C35" i="46"/>
  <c r="D328" i="36"/>
  <c r="C32" i="46" s="1"/>
  <c r="D327" i="36"/>
  <c r="C31" i="46" s="1"/>
  <c r="D325" i="36"/>
  <c r="C29" i="46" s="1"/>
  <c r="D322" i="36"/>
  <c r="C26" i="46" s="1"/>
  <c r="D321" i="36"/>
  <c r="C25" i="46" s="1"/>
  <c r="D320" i="36"/>
  <c r="C24" i="46" s="1"/>
  <c r="D316" i="36"/>
  <c r="C20" i="46" s="1"/>
  <c r="D313" i="36"/>
  <c r="C17" i="46" s="1"/>
  <c r="D312" i="36"/>
  <c r="C16" i="46" s="1"/>
  <c r="D311" i="36"/>
  <c r="C15" i="46" s="1"/>
  <c r="D309" i="36"/>
  <c r="C13" i="46" s="1"/>
  <c r="D308" i="36"/>
  <c r="C12" i="46" s="1"/>
  <c r="D299" i="36"/>
  <c r="C5" i="46" s="1"/>
  <c r="D10" i="36"/>
  <c r="D9" i="36"/>
  <c r="M180" i="46"/>
  <c r="M128" i="46"/>
  <c r="D453" i="36"/>
  <c r="C4" i="47" s="1"/>
  <c r="D452" i="36"/>
  <c r="B4" i="47" s="1"/>
  <c r="D164" i="46"/>
  <c r="D451" i="36"/>
  <c r="D434" i="36"/>
  <c r="D436" i="36"/>
  <c r="D439" i="36"/>
  <c r="D440" i="36"/>
  <c r="D433" i="36"/>
  <c r="D339" i="36"/>
  <c r="C43" i="46" s="1"/>
  <c r="D340" i="36"/>
  <c r="C44" i="46" s="1"/>
  <c r="D341" i="36"/>
  <c r="C45" i="46" s="1"/>
  <c r="D300" i="36"/>
  <c r="D301" i="36"/>
  <c r="D303" i="36"/>
  <c r="D7" i="46" s="1"/>
  <c r="D344" i="36"/>
  <c r="M7" i="51" s="1"/>
  <c r="D345" i="36"/>
  <c r="D346" i="36"/>
  <c r="D349" i="36"/>
  <c r="D350" i="36"/>
  <c r="D351" i="36"/>
  <c r="D352" i="36"/>
  <c r="D353" i="36"/>
  <c r="D354" i="36"/>
  <c r="D357" i="36"/>
  <c r="D358" i="36"/>
  <c r="D359" i="36"/>
  <c r="D360" i="36"/>
  <c r="D361" i="36"/>
  <c r="D362" i="36"/>
  <c r="D375" i="36"/>
  <c r="D376" i="36"/>
  <c r="D377" i="36"/>
  <c r="D378" i="36"/>
  <c r="D379" i="36"/>
  <c r="D380" i="36"/>
  <c r="D383" i="36"/>
  <c r="D384" i="36"/>
  <c r="D385" i="36"/>
  <c r="D386" i="36"/>
  <c r="D387" i="36"/>
  <c r="D388" i="36"/>
  <c r="D391" i="36"/>
  <c r="D392" i="36"/>
  <c r="D393" i="36"/>
  <c r="D394" i="36"/>
  <c r="D395" i="36"/>
  <c r="D396" i="36"/>
  <c r="D399" i="36"/>
  <c r="D400" i="36"/>
  <c r="D401" i="36"/>
  <c r="D402" i="36"/>
  <c r="D403" i="36"/>
  <c r="D404" i="36"/>
  <c r="D407" i="36"/>
  <c r="D408" i="36"/>
  <c r="D409" i="36"/>
  <c r="D410" i="36"/>
  <c r="D411" i="36"/>
  <c r="D412" i="36"/>
  <c r="D415" i="36"/>
  <c r="D416" i="36"/>
  <c r="D417" i="36"/>
  <c r="D418" i="36"/>
  <c r="D419" i="36"/>
  <c r="D420" i="36"/>
  <c r="D423" i="36"/>
  <c r="D424" i="36"/>
  <c r="D425" i="36"/>
  <c r="D426" i="36"/>
  <c r="D427" i="36"/>
  <c r="D428" i="36"/>
  <c r="D429" i="36"/>
  <c r="D430" i="36"/>
  <c r="D431" i="36"/>
  <c r="D6" i="36"/>
  <c r="D8" i="36"/>
  <c r="W1" i="3" s="1"/>
  <c r="D85" i="36"/>
  <c r="C19" i="34" s="1"/>
  <c r="D28" i="3"/>
  <c r="D31" i="3"/>
  <c r="D32" i="3"/>
  <c r="D30" i="3"/>
  <c r="D29" i="3"/>
  <c r="D37" i="3"/>
  <c r="D39" i="3"/>
  <c r="D38" i="3"/>
  <c r="D40" i="3"/>
  <c r="D36" i="3"/>
  <c r="D44" i="3"/>
  <c r="D46" i="3"/>
  <c r="D48" i="3"/>
  <c r="D47" i="3"/>
  <c r="D45" i="3"/>
  <c r="D52" i="3"/>
  <c r="D54" i="3"/>
  <c r="D55" i="3"/>
  <c r="D56" i="3"/>
  <c r="D53" i="3"/>
  <c r="D60" i="3"/>
  <c r="D63" i="3"/>
  <c r="D62" i="3"/>
  <c r="D64" i="3"/>
  <c r="D61" i="3"/>
  <c r="D69" i="3"/>
  <c r="D71" i="3"/>
  <c r="D70" i="3"/>
  <c r="D72" i="3"/>
  <c r="D68" i="3"/>
  <c r="D76" i="3"/>
  <c r="D79" i="3"/>
  <c r="D80" i="3"/>
  <c r="D78" i="3"/>
  <c r="D77" i="3"/>
  <c r="D85" i="3"/>
  <c r="D87" i="3"/>
  <c r="D86" i="3"/>
  <c r="D88" i="3"/>
  <c r="D84" i="3"/>
  <c r="D92" i="3"/>
  <c r="D94" i="3"/>
  <c r="D96" i="3"/>
  <c r="D95" i="3"/>
  <c r="D93" i="3"/>
  <c r="D7" i="36"/>
  <c r="C5" i="30" s="1"/>
  <c r="D285" i="36"/>
  <c r="D6" i="3"/>
  <c r="D7" i="3"/>
  <c r="D8" i="3"/>
  <c r="D15" i="3"/>
  <c r="D14" i="3"/>
  <c r="D16" i="3"/>
  <c r="D23" i="3"/>
  <c r="D22" i="3"/>
  <c r="D24" i="3"/>
  <c r="D71" i="36"/>
  <c r="AI6" i="3"/>
  <c r="AI7" i="3"/>
  <c r="AI8" i="3"/>
  <c r="AI9" i="3"/>
  <c r="D5" i="3"/>
  <c r="D12" i="3"/>
  <c r="D13" i="3"/>
  <c r="D21" i="3"/>
  <c r="D20" i="3"/>
  <c r="D47" i="36"/>
  <c r="D131" i="36"/>
  <c r="D12" i="36"/>
  <c r="D28" i="36"/>
  <c r="W136" i="3" s="1"/>
  <c r="D27" i="36"/>
  <c r="D26" i="36"/>
  <c r="W118" i="3" s="1"/>
  <c r="D25" i="36"/>
  <c r="W99" i="3" s="1"/>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49" i="32"/>
  <c r="AD48" i="32"/>
  <c r="AD47" i="32"/>
  <c r="AD46" i="32"/>
  <c r="AD45" i="32"/>
  <c r="AD44" i="32"/>
  <c r="AD43" i="32"/>
  <c r="AD42" i="32"/>
  <c r="AD41" i="32"/>
  <c r="AD40" i="32"/>
  <c r="AD39" i="32"/>
  <c r="AD38" i="32"/>
  <c r="AD37" i="32"/>
  <c r="AD36" i="32"/>
  <c r="AD35" i="32"/>
  <c r="AD34" i="32"/>
  <c r="AD33" i="32"/>
  <c r="AD32" i="32"/>
  <c r="AD31" i="32"/>
  <c r="AD30" i="32"/>
  <c r="AD29"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D6" i="45"/>
  <c r="D5" i="45"/>
  <c r="D8" i="45"/>
  <c r="D7" i="45"/>
  <c r="E6" i="45"/>
  <c r="E5" i="45"/>
  <c r="E4" i="45"/>
  <c r="D4" i="45"/>
  <c r="D3" i="45"/>
  <c r="E8" i="45"/>
  <c r="E7" i="45"/>
  <c r="Q48" i="45"/>
  <c r="P48" i="45"/>
  <c r="Q47" i="45"/>
  <c r="P47" i="45"/>
  <c r="Q46" i="45"/>
  <c r="P46" i="45"/>
  <c r="Q45" i="45"/>
  <c r="P45" i="45"/>
  <c r="Q44" i="45"/>
  <c r="P44" i="45"/>
  <c r="Q43" i="45"/>
  <c r="P43" i="45"/>
  <c r="E48" i="45"/>
  <c r="D48" i="45"/>
  <c r="E47" i="45"/>
  <c r="D47" i="45"/>
  <c r="E46" i="45"/>
  <c r="D46" i="45"/>
  <c r="E45" i="45"/>
  <c r="D45" i="45"/>
  <c r="E44" i="45"/>
  <c r="D44" i="45"/>
  <c r="E43" i="45"/>
  <c r="D43" i="45"/>
  <c r="Q40" i="45"/>
  <c r="P40" i="45"/>
  <c r="Q39" i="45"/>
  <c r="P39" i="45"/>
  <c r="Q38" i="45"/>
  <c r="P38" i="45"/>
  <c r="Q37" i="45"/>
  <c r="P37" i="45"/>
  <c r="Q36" i="45"/>
  <c r="P36" i="45"/>
  <c r="Q35" i="45"/>
  <c r="P35" i="45"/>
  <c r="Q32" i="45"/>
  <c r="P32" i="45"/>
  <c r="Q31" i="45"/>
  <c r="P31" i="45"/>
  <c r="Q30" i="45"/>
  <c r="P30" i="45"/>
  <c r="Q29" i="45"/>
  <c r="P29" i="45"/>
  <c r="Q28" i="45"/>
  <c r="P28" i="45"/>
  <c r="Q27" i="45"/>
  <c r="P27" i="45"/>
  <c r="Q24" i="45"/>
  <c r="P24" i="45"/>
  <c r="Q23" i="45"/>
  <c r="P23" i="45"/>
  <c r="Q22" i="45"/>
  <c r="P22" i="45"/>
  <c r="Q21" i="45"/>
  <c r="P21" i="45"/>
  <c r="Q20" i="45"/>
  <c r="P20" i="45"/>
  <c r="Q19" i="45"/>
  <c r="P19" i="45"/>
  <c r="Q16" i="45"/>
  <c r="P16" i="45"/>
  <c r="Q15" i="45"/>
  <c r="P15" i="45"/>
  <c r="Q14" i="45"/>
  <c r="P14" i="45"/>
  <c r="Q13" i="45"/>
  <c r="P13" i="45"/>
  <c r="Q12" i="45"/>
  <c r="P12" i="45"/>
  <c r="Q11" i="45"/>
  <c r="P11" i="45"/>
  <c r="Q8" i="45"/>
  <c r="P8" i="45"/>
  <c r="Q7" i="45"/>
  <c r="P7" i="45"/>
  <c r="Q6" i="45"/>
  <c r="P6" i="45"/>
  <c r="Q5" i="45"/>
  <c r="P5" i="45"/>
  <c r="Q4" i="45"/>
  <c r="P4" i="45"/>
  <c r="Q3" i="45"/>
  <c r="P3" i="45"/>
  <c r="E40" i="45"/>
  <c r="D40" i="45"/>
  <c r="E39" i="45"/>
  <c r="D39" i="45"/>
  <c r="E38" i="45"/>
  <c r="D38" i="45"/>
  <c r="E37" i="45"/>
  <c r="D37" i="45"/>
  <c r="E36" i="45"/>
  <c r="D36" i="45"/>
  <c r="E35" i="45"/>
  <c r="D35" i="45"/>
  <c r="E32" i="45"/>
  <c r="D32" i="45"/>
  <c r="E31" i="45"/>
  <c r="D31" i="45"/>
  <c r="E30" i="45"/>
  <c r="D30" i="45"/>
  <c r="E29" i="45"/>
  <c r="D29" i="45"/>
  <c r="E28" i="45"/>
  <c r="D28" i="45"/>
  <c r="E27" i="45"/>
  <c r="D27" i="45"/>
  <c r="E24" i="45"/>
  <c r="D24" i="45"/>
  <c r="E23" i="45"/>
  <c r="D23" i="45"/>
  <c r="E22" i="45"/>
  <c r="D22" i="45"/>
  <c r="E21" i="45"/>
  <c r="D21" i="45"/>
  <c r="E20" i="45"/>
  <c r="D20" i="45"/>
  <c r="E19" i="45"/>
  <c r="D19" i="45"/>
  <c r="E16" i="45"/>
  <c r="D16" i="45"/>
  <c r="E15" i="45"/>
  <c r="D15" i="45"/>
  <c r="E14" i="45"/>
  <c r="D14" i="45"/>
  <c r="E13" i="45"/>
  <c r="D13" i="45"/>
  <c r="E12" i="45"/>
  <c r="D12" i="45"/>
  <c r="E11" i="45"/>
  <c r="D11" i="45"/>
  <c r="I11" i="45"/>
  <c r="I19" i="45"/>
  <c r="I27" i="45"/>
  <c r="I35" i="45"/>
  <c r="I43" i="45"/>
  <c r="U3" i="45"/>
  <c r="U11" i="45"/>
  <c r="U19" i="45"/>
  <c r="U27" i="45"/>
  <c r="U35" i="45"/>
  <c r="U43" i="45"/>
  <c r="E3" i="45"/>
  <c r="AG4" i="3"/>
  <c r="AG5" i="3"/>
  <c r="AG6" i="3"/>
  <c r="AG7" i="3"/>
  <c r="AG8" i="3"/>
  <c r="AG9" i="3"/>
  <c r="AG12" i="3"/>
  <c r="AG13" i="3"/>
  <c r="AG14" i="3"/>
  <c r="AG15" i="3"/>
  <c r="AG16" i="3"/>
  <c r="AG17" i="3"/>
  <c r="AG20" i="3"/>
  <c r="AG21" i="3"/>
  <c r="AG22" i="3"/>
  <c r="AG23" i="3"/>
  <c r="AG24" i="3"/>
  <c r="AG25" i="3"/>
  <c r="AG28" i="3"/>
  <c r="AG29" i="3"/>
  <c r="AG30" i="3"/>
  <c r="AG31" i="3"/>
  <c r="AG32" i="3"/>
  <c r="AG33" i="3"/>
  <c r="AG36" i="3"/>
  <c r="AG37" i="3"/>
  <c r="AG38" i="3"/>
  <c r="AG39" i="3"/>
  <c r="AG40" i="3"/>
  <c r="AG41" i="3"/>
  <c r="AG44" i="3"/>
  <c r="AG45" i="3"/>
  <c r="AG46" i="3"/>
  <c r="AG47" i="3"/>
  <c r="AG48" i="3"/>
  <c r="AG49" i="3"/>
  <c r="AG52" i="3"/>
  <c r="AG53" i="3"/>
  <c r="AG54" i="3"/>
  <c r="AG55" i="3"/>
  <c r="AG56" i="3"/>
  <c r="AG57" i="3"/>
  <c r="AG60" i="3"/>
  <c r="AG61" i="3"/>
  <c r="AG62" i="3"/>
  <c r="AG63" i="3"/>
  <c r="AG64" i="3"/>
  <c r="AG65" i="3"/>
  <c r="AG68" i="3"/>
  <c r="AG69" i="3"/>
  <c r="AG70" i="3"/>
  <c r="AG71" i="3"/>
  <c r="AG72" i="3"/>
  <c r="AG73" i="3"/>
  <c r="AG76" i="3"/>
  <c r="AG77" i="3"/>
  <c r="AG78" i="3"/>
  <c r="AG79" i="3"/>
  <c r="AG80" i="3"/>
  <c r="AG81" i="3"/>
  <c r="AG84" i="3"/>
  <c r="AG85" i="3"/>
  <c r="AG86" i="3"/>
  <c r="AG87" i="3"/>
  <c r="AG88" i="3"/>
  <c r="AG92" i="3"/>
  <c r="AG93" i="3"/>
  <c r="AG94" i="3"/>
  <c r="AG95" i="3"/>
  <c r="AG96" i="3"/>
  <c r="AG97" i="3"/>
  <c r="AI14" i="3"/>
  <c r="AI15" i="3"/>
  <c r="AI16" i="3"/>
  <c r="AI17" i="3"/>
  <c r="AI22" i="3"/>
  <c r="AI23" i="3"/>
  <c r="AI24" i="3"/>
  <c r="AI25" i="3"/>
  <c r="AI30" i="3"/>
  <c r="AI31" i="3"/>
  <c r="AI32" i="3"/>
  <c r="AI33" i="3"/>
  <c r="AI38" i="3"/>
  <c r="AI39" i="3"/>
  <c r="AI40" i="3"/>
  <c r="AI41" i="3"/>
  <c r="AI46" i="3"/>
  <c r="AI47" i="3"/>
  <c r="AI48" i="3"/>
  <c r="AI49" i="3"/>
  <c r="AI54" i="3"/>
  <c r="AI55" i="3"/>
  <c r="AI56" i="3"/>
  <c r="AI57" i="3"/>
  <c r="AI62" i="3"/>
  <c r="AI63" i="3"/>
  <c r="AI64" i="3"/>
  <c r="AI65" i="3"/>
  <c r="AI70" i="3"/>
  <c r="AI71" i="3"/>
  <c r="AI72" i="3"/>
  <c r="AI73" i="3"/>
  <c r="AI78" i="3"/>
  <c r="AI79" i="3"/>
  <c r="AI80" i="3"/>
  <c r="AI81" i="3"/>
  <c r="AI86" i="3"/>
  <c r="AI87" i="3"/>
  <c r="AI88" i="3"/>
  <c r="AI89" i="3"/>
  <c r="AI94" i="3"/>
  <c r="AI95" i="3"/>
  <c r="AI96" i="3"/>
  <c r="AI97" i="3"/>
  <c r="BB58" i="3"/>
  <c r="BB59" i="3"/>
  <c r="BB60" i="3"/>
  <c r="BB61" i="3"/>
  <c r="BB62" i="3"/>
  <c r="BB63" i="3"/>
  <c r="BB64" i="3"/>
  <c r="BB65" i="3"/>
  <c r="BB66" i="3"/>
  <c r="BB67" i="3"/>
  <c r="BB68" i="3"/>
  <c r="BB69" i="3"/>
  <c r="BM57" i="3"/>
  <c r="BN57" i="3"/>
  <c r="C4" i="3"/>
  <c r="C12" i="3"/>
  <c r="C20" i="3"/>
  <c r="C28" i="3"/>
  <c r="C36" i="3"/>
  <c r="C44" i="3"/>
  <c r="C52" i="3"/>
  <c r="C60" i="3"/>
  <c r="C68" i="3"/>
  <c r="C76" i="3"/>
  <c r="C84" i="3"/>
  <c r="C92" i="3"/>
  <c r="B3" i="36"/>
  <c r="D66" i="36"/>
  <c r="D70" i="36"/>
  <c r="D67" i="36"/>
  <c r="D11" i="36"/>
  <c r="D134" i="36"/>
  <c r="D24" i="36"/>
  <c r="AJ100" i="3" s="1"/>
  <c r="D114" i="36"/>
  <c r="D124" i="36"/>
  <c r="D4" i="36"/>
  <c r="K8" i="30" s="1"/>
  <c r="D84" i="36"/>
  <c r="B2" i="34" s="1"/>
  <c r="W129" i="3"/>
  <c r="D115" i="36"/>
  <c r="D126" i="36"/>
  <c r="D118" i="36"/>
  <c r="D128" i="36"/>
  <c r="D119" i="36"/>
  <c r="D129" i="36"/>
  <c r="D81" i="36"/>
  <c r="B3" i="34" s="1"/>
  <c r="D113" i="36"/>
  <c r="D51" i="36"/>
  <c r="AL149" i="3" s="1"/>
  <c r="D120" i="36"/>
  <c r="D130" i="36"/>
  <c r="D82" i="36"/>
  <c r="B15" i="34" s="1"/>
  <c r="D122" i="36"/>
  <c r="D123" i="36"/>
  <c r="D52" i="36"/>
  <c r="AM149" i="3" s="1"/>
  <c r="D121" i="36"/>
  <c r="D133" i="36"/>
  <c r="D15" i="36"/>
  <c r="C7" i="30" s="1"/>
  <c r="D132" i="36"/>
  <c r="D5" i="36"/>
  <c r="D64" i="36"/>
  <c r="Z6" i="3" s="1"/>
  <c r="D50" i="36"/>
  <c r="AM148" i="3" s="1"/>
  <c r="D29" i="36"/>
  <c r="W141" i="3" s="1"/>
  <c r="D116" i="36"/>
  <c r="D125" i="36"/>
  <c r="D83" i="36"/>
  <c r="B16" i="34" s="1"/>
  <c r="D30" i="36"/>
  <c r="W145" i="3" s="1"/>
  <c r="D117" i="36"/>
  <c r="D53" i="36"/>
  <c r="AJ5" i="3" s="1"/>
  <c r="D65" i="36"/>
  <c r="Z8" i="3" s="1"/>
  <c r="D31" i="36"/>
  <c r="AA149" i="3" s="1"/>
  <c r="D22" i="36"/>
  <c r="BC5" i="3" s="1"/>
  <c r="BC57" i="3" s="1"/>
  <c r="D18" i="36"/>
  <c r="Z3" i="3" s="1"/>
  <c r="D23" i="36"/>
  <c r="AV3" i="3" s="1"/>
  <c r="D49" i="36"/>
  <c r="AL148" i="3" s="1"/>
  <c r="D127" i="36"/>
  <c r="D16" i="36"/>
  <c r="X3" i="3" s="1"/>
  <c r="D63" i="36"/>
  <c r="Z4" i="3" s="1"/>
  <c r="D17" i="36"/>
  <c r="Y3" i="3" s="1"/>
  <c r="D69" i="36"/>
  <c r="AZ61" i="3" s="1"/>
  <c r="D279" i="36"/>
  <c r="D278" i="36"/>
  <c r="D277" i="36"/>
  <c r="D284" i="36"/>
  <c r="D283" i="36"/>
  <c r="D282" i="36"/>
  <c r="D280" i="36"/>
  <c r="D281" i="36"/>
  <c r="D68" i="36"/>
  <c r="D48" i="36"/>
  <c r="C9" i="30" s="1"/>
  <c r="D469" i="36"/>
  <c r="S4" i="47" s="1"/>
  <c r="D422" i="36"/>
  <c r="D414" i="36"/>
  <c r="D406" i="36"/>
  <c r="D398" i="36"/>
  <c r="D390" i="36"/>
  <c r="D382" i="36"/>
  <c r="D374" i="36"/>
  <c r="D356" i="36"/>
  <c r="D348" i="36"/>
  <c r="D343" i="36"/>
  <c r="C47" i="46" s="1"/>
  <c r="D438" i="36"/>
  <c r="D435" i="36"/>
  <c r="D454" i="36"/>
  <c r="D4" i="47" s="1"/>
  <c r="D304" i="36"/>
  <c r="C8" i="46" s="1"/>
  <c r="D317" i="36"/>
  <c r="C21" i="46" s="1"/>
  <c r="D329" i="36"/>
  <c r="C33" i="46" s="1"/>
  <c r="D421" i="36"/>
  <c r="D413" i="36"/>
  <c r="D405" i="36"/>
  <c r="D397" i="36"/>
  <c r="D389" i="36"/>
  <c r="D381" i="36"/>
  <c r="D363" i="36"/>
  <c r="D355" i="36"/>
  <c r="D347" i="36"/>
  <c r="D342" i="36"/>
  <c r="C46" i="46" s="1"/>
  <c r="D437" i="36"/>
  <c r="D307" i="36"/>
  <c r="C11" i="46" s="1"/>
  <c r="D319" i="36"/>
  <c r="C23" i="46" s="1"/>
  <c r="D330" i="36"/>
  <c r="C34" i="46" s="1"/>
  <c r="D305" i="36"/>
  <c r="C9" i="46" s="1"/>
  <c r="D314" i="36"/>
  <c r="C18" i="46" s="1"/>
  <c r="D323" i="36"/>
  <c r="C27" i="46" s="1"/>
  <c r="D332" i="36"/>
  <c r="C36" i="46" s="1"/>
  <c r="D306" i="36"/>
  <c r="C10" i="46" s="1"/>
  <c r="D315" i="36"/>
  <c r="C19" i="46" s="1"/>
  <c r="D324" i="36"/>
  <c r="C28" i="46" s="1"/>
  <c r="D333" i="36"/>
  <c r="C37" i="46" s="1"/>
  <c r="D182" i="36"/>
  <c r="D38" i="36"/>
  <c r="W158" i="3" s="1"/>
  <c r="D468" i="36"/>
  <c r="K248" i="46" s="1"/>
  <c r="D184" i="36"/>
  <c r="K114" i="46" s="1"/>
  <c r="D181" i="36"/>
  <c r="K111" i="46" s="1"/>
  <c r="D138" i="36"/>
  <c r="K163" i="46" s="1"/>
  <c r="D197" i="36"/>
  <c r="K127" i="46" s="1"/>
  <c r="D464" i="36"/>
  <c r="N4" i="47" s="1"/>
  <c r="D72" i="36"/>
  <c r="D73" i="36"/>
  <c r="D74" i="36"/>
  <c r="AY3" i="3" s="1"/>
  <c r="D148" i="36"/>
  <c r="K246" i="46" s="1"/>
  <c r="D136" i="36"/>
  <c r="D171" i="36"/>
  <c r="K101" i="46" s="1"/>
  <c r="D502" i="36"/>
  <c r="H6" i="51" s="1"/>
  <c r="D494" i="36"/>
  <c r="D3" i="51" s="1"/>
  <c r="D486" i="36"/>
  <c r="D493" i="36"/>
  <c r="D485" i="36"/>
  <c r="D496" i="36"/>
  <c r="D5" i="51" s="1"/>
  <c r="D503" i="36"/>
  <c r="D501" i="36"/>
  <c r="H5" i="51" s="1"/>
  <c r="D492" i="36"/>
  <c r="D497" i="36"/>
  <c r="E7" i="51" s="1"/>
  <c r="D488" i="36"/>
  <c r="D12" i="51" s="1"/>
  <c r="D487" i="36"/>
  <c r="D11" i="51"/>
  <c r="D500" i="36"/>
  <c r="I7" i="51" s="1"/>
  <c r="D484" i="36"/>
  <c r="D480" i="36"/>
  <c r="F3" i="50" s="1"/>
  <c r="D495" i="36"/>
  <c r="D4" i="51" s="1"/>
  <c r="D499" i="36"/>
  <c r="H7" i="51" s="1"/>
  <c r="D491" i="36"/>
  <c r="D481" i="36"/>
  <c r="G3" i="50" s="1"/>
  <c r="D478" i="36"/>
  <c r="D498" i="36"/>
  <c r="D490" i="36"/>
  <c r="D489" i="36"/>
  <c r="D13" i="51" s="1"/>
  <c r="D513" i="36"/>
  <c r="D479" i="36"/>
  <c r="E3" i="50" s="1"/>
  <c r="D504" i="36"/>
  <c r="D173" i="36"/>
  <c r="K103" i="46" s="1"/>
  <c r="D272" i="36"/>
  <c r="D460" i="36"/>
  <c r="K208" i="46" s="1"/>
  <c r="D157" i="36"/>
  <c r="D310" i="36"/>
  <c r="C14" i="46" s="1"/>
  <c r="D318" i="36"/>
  <c r="C22" i="46" s="1"/>
  <c r="D326" i="36"/>
  <c r="C30" i="46" s="1"/>
  <c r="D334" i="36"/>
  <c r="C38" i="46" s="1"/>
  <c r="D271" i="36"/>
  <c r="D140" i="36"/>
  <c r="D150" i="36"/>
  <c r="K80" i="46" s="1"/>
  <c r="D475" i="36"/>
  <c r="F3" i="48" s="1"/>
  <c r="D474" i="36"/>
  <c r="G1" i="48" s="1"/>
  <c r="D39" i="36"/>
  <c r="W159" i="3" s="1"/>
  <c r="D145" i="36"/>
  <c r="D174" i="36"/>
  <c r="K104" i="46" s="1"/>
  <c r="D276" i="36"/>
  <c r="D37" i="36"/>
  <c r="W156" i="3" s="1"/>
  <c r="D144" i="36"/>
  <c r="K231" i="46" s="1"/>
  <c r="D192" i="36"/>
  <c r="K122" i="46" s="1"/>
  <c r="D166" i="36"/>
  <c r="K96" i="46" s="1"/>
  <c r="D275" i="36"/>
  <c r="D33" i="36"/>
  <c r="W151" i="3" s="1"/>
  <c r="D142" i="36"/>
  <c r="K219" i="46" s="1"/>
  <c r="D190" i="36"/>
  <c r="K120" i="46" s="1"/>
  <c r="D165" i="36"/>
  <c r="K95" i="46" s="1"/>
  <c r="D273" i="36"/>
  <c r="D149" i="36"/>
  <c r="K249" i="46" s="1"/>
  <c r="C62" i="46" s="1"/>
  <c r="D141" i="36"/>
  <c r="K209" i="46" s="1"/>
  <c r="D189" i="36"/>
  <c r="K119" i="46" s="1"/>
  <c r="D158" i="36"/>
  <c r="K88" i="46" s="1"/>
  <c r="D176" i="36"/>
  <c r="K106" i="46" s="1"/>
  <c r="D168" i="36"/>
  <c r="D160" i="36"/>
  <c r="K90" i="46" s="1"/>
  <c r="D152" i="36"/>
  <c r="K82" i="46" s="1"/>
  <c r="D274" i="36"/>
  <c r="D40" i="36"/>
  <c r="W160" i="3" s="1"/>
  <c r="D32" i="36"/>
  <c r="W150" i="3" s="1"/>
  <c r="D465" i="36"/>
  <c r="O4" i="47" s="1"/>
  <c r="D461" i="36"/>
  <c r="K218" i="46" s="1"/>
  <c r="D457" i="36"/>
  <c r="K162" i="46" s="1"/>
  <c r="D191" i="36"/>
  <c r="K121" i="46" s="1"/>
  <c r="D183" i="36"/>
  <c r="K113" i="46" s="1"/>
  <c r="D175" i="36"/>
  <c r="D167" i="36"/>
  <c r="K97" i="46" s="1"/>
  <c r="D159" i="36"/>
  <c r="K89" i="46" s="1"/>
  <c r="D151" i="36"/>
  <c r="K81" i="46" s="1"/>
  <c r="D196" i="36"/>
  <c r="K126" i="46" s="1"/>
  <c r="D188" i="36"/>
  <c r="K118" i="46" s="1"/>
  <c r="D180" i="36"/>
  <c r="K110" i="46" s="1"/>
  <c r="D172" i="36"/>
  <c r="D164" i="36"/>
  <c r="K94" i="46" s="1"/>
  <c r="D156" i="36"/>
  <c r="D455" i="36"/>
  <c r="K78" i="46" s="1"/>
  <c r="D270" i="36"/>
  <c r="D36" i="36"/>
  <c r="W155" i="3" s="1"/>
  <c r="D467" i="36"/>
  <c r="K245" i="46" s="1"/>
  <c r="D463" i="36"/>
  <c r="K230" i="46" s="1"/>
  <c r="D459" i="36"/>
  <c r="K198" i="46" s="1"/>
  <c r="D195" i="36"/>
  <c r="K125" i="46" s="1"/>
  <c r="D187" i="36"/>
  <c r="K117" i="46" s="1"/>
  <c r="D179" i="36"/>
  <c r="D163" i="36"/>
  <c r="K93" i="46" s="1"/>
  <c r="D155" i="36"/>
  <c r="K85" i="46" s="1"/>
  <c r="D372" i="36"/>
  <c r="D470" i="36"/>
  <c r="D269" i="36"/>
  <c r="D35" i="36"/>
  <c r="W154" i="3" s="1"/>
  <c r="D147" i="36"/>
  <c r="K243" i="46" s="1"/>
  <c r="D143" i="36"/>
  <c r="K225" i="46" s="1"/>
  <c r="D139" i="36"/>
  <c r="K181" i="46" s="1"/>
  <c r="D194" i="36"/>
  <c r="D186" i="36"/>
  <c r="K116" i="46" s="1"/>
  <c r="D178" i="36"/>
  <c r="K108" i="46" s="1"/>
  <c r="D170" i="36"/>
  <c r="K100" i="46" s="1"/>
  <c r="D162" i="36"/>
  <c r="K92" i="46" s="1"/>
  <c r="D154" i="36"/>
  <c r="K84" i="46" s="1"/>
  <c r="D456" i="36"/>
  <c r="F4" i="47" s="1"/>
  <c r="D34" i="36"/>
  <c r="W152" i="3" s="1"/>
  <c r="D466" i="36"/>
  <c r="P4" i="47" s="1"/>
  <c r="D462" i="36"/>
  <c r="D458" i="36"/>
  <c r="K180" i="46" s="1"/>
  <c r="D193" i="36"/>
  <c r="K123" i="46" s="1"/>
  <c r="D185" i="36"/>
  <c r="K115" i="46" s="1"/>
  <c r="D177" i="36"/>
  <c r="K107" i="46" s="1"/>
  <c r="D169" i="36"/>
  <c r="K99" i="46" s="1"/>
  <c r="D161" i="36"/>
  <c r="K91" i="46" s="1"/>
  <c r="D153" i="36"/>
  <c r="K83" i="46" s="1"/>
  <c r="D202" i="36"/>
  <c r="D200" i="36"/>
  <c r="K215" i="46" s="1"/>
  <c r="D199" i="36"/>
  <c r="K184" i="46" s="1"/>
  <c r="D203" i="36"/>
  <c r="K240" i="46" s="1"/>
  <c r="D201" i="36"/>
  <c r="K226" i="46" s="1"/>
  <c r="D198" i="36"/>
  <c r="K135" i="46" s="1"/>
  <c r="D109" i="36"/>
  <c r="L42" i="34" s="1"/>
  <c r="D108" i="36"/>
  <c r="L41" i="34" s="1"/>
  <c r="D106" i="36"/>
  <c r="L38" i="34" s="1"/>
  <c r="D105" i="36"/>
  <c r="L35" i="34" s="1"/>
  <c r="K79" i="46"/>
  <c r="D93" i="36"/>
  <c r="D104" i="36"/>
  <c r="L32" i="34" s="1"/>
  <c r="D96" i="36"/>
  <c r="L18" i="34" s="1"/>
  <c r="D89" i="36"/>
  <c r="L9" i="34" s="1"/>
  <c r="D95" i="36"/>
  <c r="L15" i="34" s="1"/>
  <c r="D94" i="36"/>
  <c r="L14" i="34" s="1"/>
  <c r="K112" i="46"/>
  <c r="D112" i="36"/>
  <c r="D110" i="36"/>
  <c r="L45" i="34" s="1"/>
  <c r="D86" i="36"/>
  <c r="L4" i="34" s="1"/>
  <c r="D101" i="36"/>
  <c r="L27" i="34" s="1"/>
  <c r="D100" i="36"/>
  <c r="L25" i="34" s="1"/>
  <c r="D103" i="36"/>
  <c r="D99" i="36"/>
  <c r="L23" i="34" s="1"/>
  <c r="D102" i="36"/>
  <c r="D98" i="36"/>
  <c r="L21" i="34" s="1"/>
  <c r="D92" i="36"/>
  <c r="L12" i="34" s="1"/>
  <c r="D97" i="36"/>
  <c r="L20" i="34" s="1"/>
  <c r="D91" i="36"/>
  <c r="L11" i="34" s="1"/>
  <c r="D88" i="36"/>
  <c r="D90" i="36"/>
  <c r="D87" i="36"/>
  <c r="L5" i="34" s="1"/>
  <c r="K199" i="46"/>
  <c r="B1" i="47"/>
  <c r="D509" i="36"/>
  <c r="D445" i="36"/>
  <c r="D446" i="36"/>
  <c r="K87" i="46"/>
  <c r="D444" i="36"/>
  <c r="D302" i="36"/>
  <c r="K12" i="30" s="1"/>
  <c r="Q60" i="46"/>
  <c r="E222" i="46"/>
  <c r="H1" i="50"/>
  <c r="K235" i="46"/>
  <c r="D366" i="36"/>
  <c r="D443" i="36"/>
  <c r="D43" i="36"/>
  <c r="C39" i="46"/>
  <c r="AZ5" i="3"/>
  <c r="M37" i="46"/>
  <c r="E179" i="46"/>
  <c r="E206" i="46"/>
  <c r="K229" i="46"/>
  <c r="I4" i="47"/>
  <c r="D266" i="36"/>
  <c r="L2" i="32" s="1"/>
  <c r="D365" i="36"/>
  <c r="D364" i="36"/>
  <c r="K236" i="46"/>
  <c r="K196" i="46"/>
  <c r="G4" i="47"/>
  <c r="H4" i="47"/>
  <c r="D77" i="36"/>
  <c r="D75" i="36"/>
  <c r="D76" i="36"/>
  <c r="D78" i="36"/>
  <c r="D510" i="36"/>
  <c r="D56" i="36"/>
  <c r="AN5" i="3" s="1"/>
  <c r="AN45" i="3" s="1"/>
  <c r="D261" i="36"/>
  <c r="C58" i="46" s="1"/>
  <c r="D44" i="36"/>
  <c r="AH158" i="3" s="1"/>
  <c r="D368" i="36"/>
  <c r="D508" i="36"/>
  <c r="D57" i="36"/>
  <c r="AO5" i="3" s="1"/>
  <c r="AO29" i="3" s="1"/>
  <c r="D262" i="36"/>
  <c r="C59" i="46" s="1"/>
  <c r="D45" i="36"/>
  <c r="D19" i="36"/>
  <c r="AA3" i="3" s="1"/>
  <c r="D58" i="36"/>
  <c r="AP5" i="3" s="1"/>
  <c r="AP85" i="3" s="1"/>
  <c r="D263" i="36"/>
  <c r="C60" i="46" s="1"/>
  <c r="D46" i="36"/>
  <c r="AH160" i="3" s="1"/>
  <c r="D369" i="36"/>
  <c r="D511" i="36"/>
  <c r="D59" i="36"/>
  <c r="AQ5" i="3" s="1"/>
  <c r="D264" i="36"/>
  <c r="H256" i="46" s="1"/>
  <c r="D370" i="36"/>
  <c r="D512" i="36"/>
  <c r="D60" i="36"/>
  <c r="AR5" i="3" s="1"/>
  <c r="AR61" i="3" s="1"/>
  <c r="D135" i="36"/>
  <c r="D442" i="36"/>
  <c r="D50" i="46" s="1"/>
  <c r="D373" i="36"/>
  <c r="D55" i="36"/>
  <c r="AM5" i="3" s="1"/>
  <c r="AM53" i="3" s="1"/>
  <c r="D61" i="36"/>
  <c r="AS5" i="3" s="1"/>
  <c r="D41" i="36"/>
  <c r="D371" i="36"/>
  <c r="D54" i="36"/>
  <c r="BD5" i="3" s="1"/>
  <c r="BD57" i="3" s="1"/>
  <c r="D62" i="36"/>
  <c r="AT5" i="3" s="1"/>
  <c r="D137" i="36"/>
  <c r="H152" i="46" s="1"/>
  <c r="D260" i="36"/>
  <c r="H172" i="46" s="1"/>
  <c r="D42" i="36"/>
  <c r="M254" i="46" s="1"/>
  <c r="T254" i="46" s="1"/>
  <c r="D441" i="36"/>
  <c r="C49" i="46" s="1"/>
  <c r="M74" i="46"/>
  <c r="M72" i="46"/>
  <c r="M43" i="46"/>
  <c r="M16" i="46"/>
  <c r="M65" i="46"/>
  <c r="Q244" i="46"/>
  <c r="Q179" i="46"/>
  <c r="Q27" i="46"/>
  <c r="E221" i="46"/>
  <c r="Q45" i="46"/>
  <c r="Q76" i="46"/>
  <c r="Q21" i="46"/>
  <c r="Q13" i="46"/>
  <c r="E233" i="46"/>
  <c r="M8" i="46"/>
  <c r="M61" i="46"/>
  <c r="M45" i="46"/>
  <c r="M69" i="46"/>
  <c r="Q201" i="46"/>
  <c r="M221" i="46"/>
  <c r="Q26" i="46"/>
  <c r="M77" i="46"/>
  <c r="M57" i="46"/>
  <c r="E223" i="46"/>
  <c r="M26" i="46"/>
  <c r="M36" i="46"/>
  <c r="M62" i="46"/>
  <c r="M11" i="46"/>
  <c r="M44" i="46"/>
  <c r="M53" i="46"/>
  <c r="M14" i="46"/>
  <c r="Q56" i="46"/>
  <c r="J4" i="47"/>
  <c r="R4" i="47"/>
  <c r="K259" i="46"/>
  <c r="Q4" i="47"/>
  <c r="S7" i="51"/>
  <c r="D505" i="36"/>
  <c r="D107" i="36"/>
  <c r="B3" i="30"/>
  <c r="AX18" i="45"/>
  <c r="S267" i="46"/>
  <c r="K128" i="46"/>
  <c r="K234" i="46"/>
  <c r="AZ37" i="3"/>
  <c r="AZ21" i="3"/>
  <c r="AZ13" i="3"/>
  <c r="AZ29" i="3"/>
  <c r="R7" i="51"/>
  <c r="AZ53" i="3"/>
  <c r="AZ77" i="3"/>
  <c r="AZ45" i="3"/>
  <c r="AZ69" i="3"/>
  <c r="AJ3" i="3"/>
  <c r="AJ60" i="3" s="1"/>
  <c r="AZ93" i="3"/>
  <c r="AZ85" i="3"/>
  <c r="H241" i="46"/>
  <c r="H179" i="46"/>
  <c r="K224" i="46"/>
  <c r="L4" i="47"/>
  <c r="K139" i="46"/>
  <c r="K153" i="46"/>
  <c r="K136" i="46"/>
  <c r="K138" i="46"/>
  <c r="K144" i="46"/>
  <c r="K142" i="46"/>
  <c r="K152" i="46"/>
  <c r="K154" i="46"/>
  <c r="K148" i="46"/>
  <c r="K150" i="46"/>
  <c r="H202" i="46"/>
  <c r="H212" i="46"/>
  <c r="H204" i="46"/>
  <c r="H205" i="46"/>
  <c r="H215" i="46"/>
  <c r="Q22" i="6"/>
  <c r="H210" i="46"/>
  <c r="H211" i="46"/>
  <c r="D21" i="36"/>
  <c r="AF3" i="3" s="1"/>
  <c r="AF51" i="3" s="1"/>
  <c r="D507" i="36"/>
  <c r="H187" i="46"/>
  <c r="D20" i="36"/>
  <c r="AD3" i="3" s="1"/>
  <c r="D506" i="36"/>
  <c r="L13" i="34"/>
  <c r="C7" i="46"/>
  <c r="H237" i="46"/>
  <c r="K5" i="46"/>
  <c r="C56" i="46" s="1"/>
  <c r="M258" i="46"/>
  <c r="H232" i="46"/>
  <c r="M256" i="46"/>
  <c r="H216" i="46"/>
  <c r="AJ92" i="3"/>
  <c r="M84" i="34"/>
  <c r="E207" i="46" l="1"/>
  <c r="P202" i="46"/>
  <c r="M201" i="46"/>
  <c r="Q75" i="46"/>
  <c r="Q62" i="46"/>
  <c r="Q59" i="46"/>
  <c r="M56" i="46"/>
  <c r="M52" i="46"/>
  <c r="M47" i="46"/>
  <c r="Q30" i="46"/>
  <c r="M20" i="46"/>
  <c r="M17" i="46"/>
  <c r="Q9" i="46"/>
  <c r="AJ52" i="3"/>
  <c r="AM21" i="3"/>
  <c r="AH159" i="3"/>
  <c r="H258" i="46"/>
  <c r="H226" i="46"/>
  <c r="AH154" i="3"/>
  <c r="H251" i="46"/>
  <c r="K227" i="46"/>
  <c r="AH156" i="3"/>
  <c r="K182" i="46"/>
  <c r="J5" i="46"/>
  <c r="H227" i="46"/>
  <c r="Q25" i="6"/>
  <c r="C61" i="46"/>
  <c r="H252" i="46"/>
  <c r="H247" i="46"/>
  <c r="H255" i="46"/>
  <c r="AJ76" i="3"/>
  <c r="AJ12" i="3"/>
  <c r="H257" i="46"/>
  <c r="L6" i="34"/>
  <c r="H220" i="46"/>
  <c r="H236" i="46"/>
  <c r="H229" i="46"/>
  <c r="H228" i="46"/>
  <c r="AH155" i="3"/>
  <c r="AG155" i="3" s="1"/>
  <c r="AC3" i="3"/>
  <c r="AC130" i="3" s="1"/>
  <c r="AL5" i="3"/>
  <c r="H233" i="46"/>
  <c r="H221" i="46"/>
  <c r="T44" i="46"/>
  <c r="AG160" i="3"/>
  <c r="K137" i="46"/>
  <c r="T1" i="6"/>
  <c r="K134" i="46"/>
  <c r="K213" i="46"/>
  <c r="AJ84" i="3"/>
  <c r="H222" i="46"/>
  <c r="H207" i="46"/>
  <c r="K158" i="46"/>
  <c r="AJ36" i="3"/>
  <c r="Q23" i="6"/>
  <c r="H223" i="46"/>
  <c r="H200" i="46"/>
  <c r="K160" i="46"/>
  <c r="K132" i="46"/>
  <c r="K151" i="46"/>
  <c r="Q65" i="46"/>
  <c r="Q232" i="46"/>
  <c r="Q33" i="46"/>
  <c r="EY33" i="46" s="1"/>
  <c r="Q37" i="46"/>
  <c r="JR37" i="46" s="1"/>
  <c r="Q41" i="46"/>
  <c r="FE41" i="46" s="1"/>
  <c r="Q49" i="46"/>
  <c r="P204" i="46"/>
  <c r="P247" i="46"/>
  <c r="Q39" i="46"/>
  <c r="Q77" i="46"/>
  <c r="P222" i="46"/>
  <c r="T77" i="46"/>
  <c r="M177" i="46"/>
  <c r="M169" i="46"/>
  <c r="AG154" i="3"/>
  <c r="M253" i="46"/>
  <c r="BY253" i="46" s="1"/>
  <c r="AG156" i="3"/>
  <c r="M255" i="46"/>
  <c r="H165" i="46"/>
  <c r="H195" i="46"/>
  <c r="H148" i="46"/>
  <c r="H150" i="46"/>
  <c r="H191" i="46"/>
  <c r="C64" i="46"/>
  <c r="H168" i="46"/>
  <c r="H173" i="46"/>
  <c r="H240" i="46"/>
  <c r="AL53" i="3"/>
  <c r="AY53" i="3" s="1"/>
  <c r="AJ4" i="3"/>
  <c r="H169" i="46"/>
  <c r="K156" i="46"/>
  <c r="K140" i="46"/>
  <c r="K143" i="46"/>
  <c r="H185" i="46"/>
  <c r="H175" i="46"/>
  <c r="H143" i="46"/>
  <c r="H171" i="46"/>
  <c r="H184" i="46"/>
  <c r="K131" i="46"/>
  <c r="H194" i="46"/>
  <c r="H192" i="46"/>
  <c r="AL37" i="3"/>
  <c r="AY37" i="3" s="1"/>
  <c r="AL13" i="3"/>
  <c r="AY13" i="3" s="1"/>
  <c r="AF130" i="3"/>
  <c r="AJ68" i="3"/>
  <c r="H177" i="46"/>
  <c r="K130" i="46"/>
  <c r="K146" i="46"/>
  <c r="K141" i="46"/>
  <c r="H197" i="46"/>
  <c r="H189" i="46"/>
  <c r="H167" i="46"/>
  <c r="H183" i="46"/>
  <c r="Q24" i="6"/>
  <c r="K237" i="46"/>
  <c r="K4" i="47"/>
  <c r="H176" i="46"/>
  <c r="H196" i="46"/>
  <c r="H186" i="46"/>
  <c r="Q21" i="6"/>
  <c r="H166" i="46"/>
  <c r="H193" i="46"/>
  <c r="H139" i="46"/>
  <c r="H174" i="46"/>
  <c r="H178" i="46"/>
  <c r="H130" i="46"/>
  <c r="H170" i="46"/>
  <c r="AL69" i="3"/>
  <c r="AY69" i="3" s="1"/>
  <c r="H164" i="46"/>
  <c r="H188" i="46"/>
  <c r="H190" i="46"/>
  <c r="H182" i="46"/>
  <c r="M257" i="46"/>
  <c r="AG159" i="3"/>
  <c r="Y75" i="3"/>
  <c r="Y59" i="3"/>
  <c r="Y67" i="3"/>
  <c r="Y146" i="3"/>
  <c r="Y100" i="3"/>
  <c r="Y11" i="3"/>
  <c r="Y27" i="3" s="1"/>
  <c r="Y43" i="3" s="1"/>
  <c r="Y130" i="3"/>
  <c r="Y91" i="3"/>
  <c r="Y19" i="3"/>
  <c r="Y35" i="3" s="1"/>
  <c r="Y137" i="3"/>
  <c r="Y119" i="3"/>
  <c r="Y51" i="3"/>
  <c r="Y142" i="3"/>
  <c r="Y83" i="3"/>
  <c r="AO256" i="46"/>
  <c r="BM256" i="46"/>
  <c r="CK256" i="46"/>
  <c r="DI256" i="46"/>
  <c r="EG256" i="46"/>
  <c r="FE256" i="46"/>
  <c r="GC256" i="46"/>
  <c r="HA256" i="46"/>
  <c r="HY256" i="46"/>
  <c r="IW256" i="46"/>
  <c r="JU256" i="46"/>
  <c r="KS256" i="46"/>
  <c r="AR256" i="46"/>
  <c r="BP256" i="46"/>
  <c r="CN256" i="46"/>
  <c r="DL256" i="46"/>
  <c r="EJ256" i="46"/>
  <c r="FH256" i="46"/>
  <c r="GF256" i="46"/>
  <c r="HD256" i="46"/>
  <c r="IB256" i="46"/>
  <c r="IZ256" i="46"/>
  <c r="JX256" i="46"/>
  <c r="KV256" i="46"/>
  <c r="W256" i="46"/>
  <c r="AU256" i="46"/>
  <c r="BS256" i="46"/>
  <c r="CQ256" i="46"/>
  <c r="DO256" i="46"/>
  <c r="EM256" i="46"/>
  <c r="FK256" i="46"/>
  <c r="GI256" i="46"/>
  <c r="HG256" i="46"/>
  <c r="IE256" i="46"/>
  <c r="JC256" i="46"/>
  <c r="KA256" i="46"/>
  <c r="KY256" i="46"/>
  <c r="Z256" i="46"/>
  <c r="AX256" i="46"/>
  <c r="BV256" i="46"/>
  <c r="CT256" i="46"/>
  <c r="DR256" i="46"/>
  <c r="EP256" i="46"/>
  <c r="FN256" i="46"/>
  <c r="GL256" i="46"/>
  <c r="HJ256" i="46"/>
  <c r="IH256" i="46"/>
  <c r="JF256" i="46"/>
  <c r="KD256" i="46"/>
  <c r="LB256" i="46"/>
  <c r="AC256" i="46"/>
  <c r="BA256" i="46"/>
  <c r="BY256" i="46"/>
  <c r="CW256" i="46"/>
  <c r="DU256" i="46"/>
  <c r="ES256" i="46"/>
  <c r="FQ256" i="46"/>
  <c r="GO256" i="46"/>
  <c r="HM256" i="46"/>
  <c r="IK256" i="46"/>
  <c r="JI256" i="46"/>
  <c r="KG256" i="46"/>
  <c r="LE256" i="46"/>
  <c r="AF256" i="46"/>
  <c r="BD256" i="46"/>
  <c r="CB256" i="46"/>
  <c r="CZ256" i="46"/>
  <c r="DX256" i="46"/>
  <c r="EV256" i="46"/>
  <c r="FT256" i="46"/>
  <c r="GR256" i="46"/>
  <c r="HP256" i="46"/>
  <c r="IN256" i="46"/>
  <c r="JL256" i="46"/>
  <c r="KJ256" i="46"/>
  <c r="CE256" i="46"/>
  <c r="FW256" i="46"/>
  <c r="JO256" i="46"/>
  <c r="CH256" i="46"/>
  <c r="FZ256" i="46"/>
  <c r="JR256" i="46"/>
  <c r="DC256" i="46"/>
  <c r="GU256" i="46"/>
  <c r="KM256" i="46"/>
  <c r="DF256" i="46"/>
  <c r="GX256" i="46"/>
  <c r="KP256" i="46"/>
  <c r="AI256" i="46"/>
  <c r="EA256" i="46"/>
  <c r="HS256" i="46"/>
  <c r="AL256" i="46"/>
  <c r="ED256" i="46"/>
  <c r="HV256" i="46"/>
  <c r="BG256" i="46"/>
  <c r="EY256" i="46"/>
  <c r="IQ256" i="46"/>
  <c r="BJ256" i="46"/>
  <c r="FB256" i="46"/>
  <c r="IT256" i="46"/>
  <c r="AF142" i="3"/>
  <c r="AF137" i="3"/>
  <c r="AG158" i="3"/>
  <c r="H217" i="46"/>
  <c r="H203" i="46"/>
  <c r="H142" i="46"/>
  <c r="H135" i="46"/>
  <c r="H157" i="46"/>
  <c r="H149" i="46"/>
  <c r="K190" i="46"/>
  <c r="K185" i="46"/>
  <c r="C50" i="46"/>
  <c r="H159" i="46"/>
  <c r="GT244" i="46"/>
  <c r="HR244" i="46"/>
  <c r="IP244" i="46"/>
  <c r="JN244" i="46"/>
  <c r="KL244" i="46"/>
  <c r="GW244" i="46"/>
  <c r="HU244" i="46"/>
  <c r="IS244" i="46"/>
  <c r="JQ244" i="46"/>
  <c r="KO244" i="46"/>
  <c r="GZ244" i="46"/>
  <c r="HX244" i="46"/>
  <c r="IV244" i="46"/>
  <c r="JT244" i="46"/>
  <c r="KR244" i="46"/>
  <c r="HC244" i="46"/>
  <c r="IA244" i="46"/>
  <c r="IY244" i="46"/>
  <c r="JW244" i="46"/>
  <c r="KU244" i="46"/>
  <c r="HF244" i="46"/>
  <c r="ID244" i="46"/>
  <c r="JB244" i="46"/>
  <c r="JZ244" i="46"/>
  <c r="KX244" i="46"/>
  <c r="HI244" i="46"/>
  <c r="JK244" i="46"/>
  <c r="HL244" i="46"/>
  <c r="KC244" i="46"/>
  <c r="HO244" i="46"/>
  <c r="KF244" i="46"/>
  <c r="IG244" i="46"/>
  <c r="KI244" i="46"/>
  <c r="IJ244" i="46"/>
  <c r="LA244" i="46"/>
  <c r="IM244" i="46"/>
  <c r="LD244" i="46"/>
  <c r="GN244" i="46"/>
  <c r="GQ244" i="46"/>
  <c r="JE244" i="46"/>
  <c r="JH244" i="46"/>
  <c r="GN6" i="46"/>
  <c r="HL6" i="46"/>
  <c r="IJ6" i="46"/>
  <c r="JH6" i="46"/>
  <c r="KF6" i="46"/>
  <c r="LD6" i="46"/>
  <c r="GQ6" i="46"/>
  <c r="HO6" i="46"/>
  <c r="IM6" i="46"/>
  <c r="JK6" i="46"/>
  <c r="KI6" i="46"/>
  <c r="GT6" i="46"/>
  <c r="HR6" i="46"/>
  <c r="IP6" i="46"/>
  <c r="JN6" i="46"/>
  <c r="KL6" i="46"/>
  <c r="GW6" i="46"/>
  <c r="HU6" i="46"/>
  <c r="IS6" i="46"/>
  <c r="JQ6" i="46"/>
  <c r="KO6" i="46"/>
  <c r="GZ6" i="46"/>
  <c r="HX6" i="46"/>
  <c r="IV6" i="46"/>
  <c r="JT6" i="46"/>
  <c r="KR6" i="46"/>
  <c r="IY6" i="46"/>
  <c r="LA6" i="46"/>
  <c r="JB6" i="46"/>
  <c r="HC6" i="46"/>
  <c r="JE6" i="46"/>
  <c r="HF6" i="46"/>
  <c r="JW6" i="46"/>
  <c r="HI6" i="46"/>
  <c r="JZ6" i="46"/>
  <c r="IA6" i="46"/>
  <c r="KC6" i="46"/>
  <c r="ID6" i="46"/>
  <c r="KU6" i="46"/>
  <c r="IG6" i="46"/>
  <c r="KX6" i="46"/>
  <c r="AO258" i="46"/>
  <c r="BM258" i="46"/>
  <c r="CK258" i="46"/>
  <c r="DI258" i="46"/>
  <c r="EG258" i="46"/>
  <c r="FE258" i="46"/>
  <c r="GC258" i="46"/>
  <c r="HA258" i="46"/>
  <c r="HY258" i="46"/>
  <c r="IW258" i="46"/>
  <c r="JU258" i="46"/>
  <c r="KS258" i="46"/>
  <c r="AR258" i="46"/>
  <c r="BP258" i="46"/>
  <c r="CN258" i="46"/>
  <c r="DL258" i="46"/>
  <c r="EJ258" i="46"/>
  <c r="FH258" i="46"/>
  <c r="GF258" i="46"/>
  <c r="HD258" i="46"/>
  <c r="IB258" i="46"/>
  <c r="IZ258" i="46"/>
  <c r="JX258" i="46"/>
  <c r="KV258" i="46"/>
  <c r="W258" i="46"/>
  <c r="AU258" i="46"/>
  <c r="BS258" i="46"/>
  <c r="CQ258" i="46"/>
  <c r="DO258" i="46"/>
  <c r="EM258" i="46"/>
  <c r="FK258" i="46"/>
  <c r="GI258" i="46"/>
  <c r="HG258" i="46"/>
  <c r="IE258" i="46"/>
  <c r="JC258" i="46"/>
  <c r="KA258" i="46"/>
  <c r="KY258" i="46"/>
  <c r="FN258" i="46"/>
  <c r="JF258" i="46"/>
  <c r="LB258" i="46"/>
  <c r="Z258" i="46"/>
  <c r="AX258" i="46"/>
  <c r="BV258" i="46"/>
  <c r="CT258" i="46"/>
  <c r="DR258" i="46"/>
  <c r="EP258" i="46"/>
  <c r="GL258" i="46"/>
  <c r="HJ258" i="46"/>
  <c r="IH258" i="46"/>
  <c r="KD258" i="46"/>
  <c r="AC258" i="46"/>
  <c r="BA258" i="46"/>
  <c r="BY258" i="46"/>
  <c r="CW258" i="46"/>
  <c r="DU258" i="46"/>
  <c r="ES258" i="46"/>
  <c r="FQ258" i="46"/>
  <c r="GO258" i="46"/>
  <c r="HM258" i="46"/>
  <c r="IK258" i="46"/>
  <c r="JI258" i="46"/>
  <c r="KG258" i="46"/>
  <c r="LE258" i="46"/>
  <c r="AF258" i="46"/>
  <c r="BD258" i="46"/>
  <c r="CB258" i="46"/>
  <c r="CZ258" i="46"/>
  <c r="DX258" i="46"/>
  <c r="EV258" i="46"/>
  <c r="FT258" i="46"/>
  <c r="GR258" i="46"/>
  <c r="HP258" i="46"/>
  <c r="IN258" i="46"/>
  <c r="JL258" i="46"/>
  <c r="KJ258" i="46"/>
  <c r="CE258" i="46"/>
  <c r="FW258" i="46"/>
  <c r="JO258" i="46"/>
  <c r="CH258" i="46"/>
  <c r="FZ258" i="46"/>
  <c r="JR258" i="46"/>
  <c r="GU258" i="46"/>
  <c r="DC258" i="46"/>
  <c r="KM258" i="46"/>
  <c r="DF258" i="46"/>
  <c r="GX258" i="46"/>
  <c r="KP258" i="46"/>
  <c r="AI258" i="46"/>
  <c r="EA258" i="46"/>
  <c r="HS258" i="46"/>
  <c r="AL258" i="46"/>
  <c r="ED258" i="46"/>
  <c r="HV258" i="46"/>
  <c r="BG258" i="46"/>
  <c r="EY258" i="46"/>
  <c r="IQ258" i="46"/>
  <c r="BJ258" i="46"/>
  <c r="FB258" i="46"/>
  <c r="IT258" i="46"/>
  <c r="Z255" i="46"/>
  <c r="AX255" i="46"/>
  <c r="BV255" i="46"/>
  <c r="CT255" i="46"/>
  <c r="DR255" i="46"/>
  <c r="EP255" i="46"/>
  <c r="FN255" i="46"/>
  <c r="GL255" i="46"/>
  <c r="HJ255" i="46"/>
  <c r="IH255" i="46"/>
  <c r="JF255" i="46"/>
  <c r="KD255" i="46"/>
  <c r="LB255" i="46"/>
  <c r="AC255" i="46"/>
  <c r="BA255" i="46"/>
  <c r="BY255" i="46"/>
  <c r="CW255" i="46"/>
  <c r="DU255" i="46"/>
  <c r="ES255" i="46"/>
  <c r="FQ255" i="46"/>
  <c r="GO255" i="46"/>
  <c r="HM255" i="46"/>
  <c r="IK255" i="46"/>
  <c r="JI255" i="46"/>
  <c r="KG255" i="46"/>
  <c r="LE255" i="46"/>
  <c r="AF255" i="46"/>
  <c r="BD255" i="46"/>
  <c r="CB255" i="46"/>
  <c r="CZ255" i="46"/>
  <c r="DX255" i="46"/>
  <c r="EV255" i="46"/>
  <c r="FT255" i="46"/>
  <c r="GR255" i="46"/>
  <c r="HP255" i="46"/>
  <c r="IN255" i="46"/>
  <c r="JL255" i="46"/>
  <c r="KJ255" i="46"/>
  <c r="AI255" i="46"/>
  <c r="BG255" i="46"/>
  <c r="CE255" i="46"/>
  <c r="DC255" i="46"/>
  <c r="EA255" i="46"/>
  <c r="EY255" i="46"/>
  <c r="FW255" i="46"/>
  <c r="GU255" i="46"/>
  <c r="HS255" i="46"/>
  <c r="IQ255" i="46"/>
  <c r="JO255" i="46"/>
  <c r="KM255" i="46"/>
  <c r="AL255" i="46"/>
  <c r="BJ255" i="46"/>
  <c r="CH255" i="46"/>
  <c r="DF255" i="46"/>
  <c r="ED255" i="46"/>
  <c r="FB255" i="46"/>
  <c r="FZ255" i="46"/>
  <c r="GX255" i="46"/>
  <c r="HV255" i="46"/>
  <c r="IT255" i="46"/>
  <c r="JR255" i="46"/>
  <c r="KP255" i="46"/>
  <c r="AO255" i="46"/>
  <c r="BM255" i="46"/>
  <c r="CK255" i="46"/>
  <c r="DI255" i="46"/>
  <c r="EG255" i="46"/>
  <c r="FE255" i="46"/>
  <c r="GC255" i="46"/>
  <c r="HA255" i="46"/>
  <c r="HY255" i="46"/>
  <c r="IW255" i="46"/>
  <c r="JU255" i="46"/>
  <c r="KS255" i="46"/>
  <c r="AR255" i="46"/>
  <c r="EJ255" i="46"/>
  <c r="IB255" i="46"/>
  <c r="AU255" i="46"/>
  <c r="EM255" i="46"/>
  <c r="IE255" i="46"/>
  <c r="BP255" i="46"/>
  <c r="FH255" i="46"/>
  <c r="IZ255" i="46"/>
  <c r="BS255" i="46"/>
  <c r="FK255" i="46"/>
  <c r="JC255" i="46"/>
  <c r="CN255" i="46"/>
  <c r="GF255" i="46"/>
  <c r="JX255" i="46"/>
  <c r="CQ255" i="46"/>
  <c r="GI255" i="46"/>
  <c r="KA255" i="46"/>
  <c r="DL255" i="46"/>
  <c r="HD255" i="46"/>
  <c r="KV255" i="46"/>
  <c r="W255" i="46"/>
  <c r="DO255" i="46"/>
  <c r="HG255" i="46"/>
  <c r="KY255" i="46"/>
  <c r="AF75" i="3"/>
  <c r="K129" i="46"/>
  <c r="H131" i="46"/>
  <c r="H250" i="46"/>
  <c r="H158" i="46"/>
  <c r="H151" i="46"/>
  <c r="H137" i="46"/>
  <c r="H206" i="46"/>
  <c r="GZ232" i="46"/>
  <c r="HX232" i="46"/>
  <c r="IV232" i="46"/>
  <c r="JT232" i="46"/>
  <c r="KR232" i="46"/>
  <c r="HC232" i="46"/>
  <c r="IA232" i="46"/>
  <c r="IY232" i="46"/>
  <c r="JW232" i="46"/>
  <c r="KU232" i="46"/>
  <c r="HF232" i="46"/>
  <c r="ID232" i="46"/>
  <c r="JB232" i="46"/>
  <c r="JZ232" i="46"/>
  <c r="KX232" i="46"/>
  <c r="HI232" i="46"/>
  <c r="IG232" i="46"/>
  <c r="JE232" i="46"/>
  <c r="KC232" i="46"/>
  <c r="LA232" i="46"/>
  <c r="GN232" i="46"/>
  <c r="HL232" i="46"/>
  <c r="IJ232" i="46"/>
  <c r="JH232" i="46"/>
  <c r="KF232" i="46"/>
  <c r="LD232" i="46"/>
  <c r="GQ232" i="46"/>
  <c r="HO232" i="46"/>
  <c r="IM232" i="46"/>
  <c r="JK232" i="46"/>
  <c r="KI232" i="46"/>
  <c r="GT232" i="46"/>
  <c r="HR232" i="46"/>
  <c r="IP232" i="46"/>
  <c r="JN232" i="46"/>
  <c r="KL232" i="46"/>
  <c r="IS232" i="46"/>
  <c r="JQ232" i="46"/>
  <c r="KO232" i="46"/>
  <c r="GW232" i="46"/>
  <c r="HU232" i="46"/>
  <c r="HF30" i="46"/>
  <c r="ID30" i="46"/>
  <c r="JB30" i="46"/>
  <c r="JZ30" i="46"/>
  <c r="KX30" i="46"/>
  <c r="HI30" i="46"/>
  <c r="IG30" i="46"/>
  <c r="JE30" i="46"/>
  <c r="KC30" i="46"/>
  <c r="LA30" i="46"/>
  <c r="GN30" i="46"/>
  <c r="HL30" i="46"/>
  <c r="IJ30" i="46"/>
  <c r="JH30" i="46"/>
  <c r="KF30" i="46"/>
  <c r="LD30" i="46"/>
  <c r="GQ30" i="46"/>
  <c r="HO30" i="46"/>
  <c r="IM30" i="46"/>
  <c r="JK30" i="46"/>
  <c r="KI30" i="46"/>
  <c r="GT30" i="46"/>
  <c r="HR30" i="46"/>
  <c r="IP30" i="46"/>
  <c r="JN30" i="46"/>
  <c r="KL30" i="46"/>
  <c r="HX30" i="46"/>
  <c r="KO30" i="46"/>
  <c r="IA30" i="46"/>
  <c r="KR30" i="46"/>
  <c r="IS30" i="46"/>
  <c r="KU30" i="46"/>
  <c r="IV30" i="46"/>
  <c r="GW30" i="46"/>
  <c r="IY30" i="46"/>
  <c r="JW30" i="46"/>
  <c r="GZ30" i="46"/>
  <c r="HC30" i="46"/>
  <c r="HU30" i="46"/>
  <c r="JQ30" i="46"/>
  <c r="JT30" i="46"/>
  <c r="D13" i="36"/>
  <c r="K14" i="30" s="1"/>
  <c r="D432" i="36"/>
  <c r="AO254" i="46"/>
  <c r="BM254" i="46"/>
  <c r="CK254" i="46"/>
  <c r="DI254" i="46"/>
  <c r="EG254" i="46"/>
  <c r="FE254" i="46"/>
  <c r="GC254" i="46"/>
  <c r="HA254" i="46"/>
  <c r="HY254" i="46"/>
  <c r="IW254" i="46"/>
  <c r="JU254" i="46"/>
  <c r="KS254" i="46"/>
  <c r="AR254" i="46"/>
  <c r="BP254" i="46"/>
  <c r="CN254" i="46"/>
  <c r="DL254" i="46"/>
  <c r="EJ254" i="46"/>
  <c r="FH254" i="46"/>
  <c r="GF254" i="46"/>
  <c r="HD254" i="46"/>
  <c r="IB254" i="46"/>
  <c r="IZ254" i="46"/>
  <c r="JX254" i="46"/>
  <c r="KV254" i="46"/>
  <c r="W254" i="46"/>
  <c r="AU254" i="46"/>
  <c r="BS254" i="46"/>
  <c r="CQ254" i="46"/>
  <c r="DO254" i="46"/>
  <c r="EM254" i="46"/>
  <c r="FK254" i="46"/>
  <c r="GI254" i="46"/>
  <c r="HG254" i="46"/>
  <c r="IE254" i="46"/>
  <c r="JC254" i="46"/>
  <c r="KA254" i="46"/>
  <c r="KY254" i="46"/>
  <c r="Z254" i="46"/>
  <c r="AX254" i="46"/>
  <c r="BV254" i="46"/>
  <c r="CT254" i="46"/>
  <c r="DR254" i="46"/>
  <c r="EP254" i="46"/>
  <c r="FN254" i="46"/>
  <c r="GL254" i="46"/>
  <c r="HJ254" i="46"/>
  <c r="IH254" i="46"/>
  <c r="JF254" i="46"/>
  <c r="KD254" i="46"/>
  <c r="LB254" i="46"/>
  <c r="BG254" i="46"/>
  <c r="DC254" i="46"/>
  <c r="EY254" i="46"/>
  <c r="GU254" i="46"/>
  <c r="IQ254" i="46"/>
  <c r="KM254" i="46"/>
  <c r="BJ254" i="46"/>
  <c r="DF254" i="46"/>
  <c r="FB254" i="46"/>
  <c r="GX254" i="46"/>
  <c r="IT254" i="46"/>
  <c r="KP254" i="46"/>
  <c r="AC254" i="46"/>
  <c r="BY254" i="46"/>
  <c r="DU254" i="46"/>
  <c r="FQ254" i="46"/>
  <c r="HM254" i="46"/>
  <c r="JI254" i="46"/>
  <c r="LE254" i="46"/>
  <c r="AF254" i="46"/>
  <c r="CB254" i="46"/>
  <c r="DX254" i="46"/>
  <c r="FT254" i="46"/>
  <c r="HP254" i="46"/>
  <c r="JL254" i="46"/>
  <c r="AI254" i="46"/>
  <c r="CE254" i="46"/>
  <c r="EA254" i="46"/>
  <c r="FW254" i="46"/>
  <c r="HS254" i="46"/>
  <c r="JO254" i="46"/>
  <c r="AL254" i="46"/>
  <c r="CH254" i="46"/>
  <c r="ED254" i="46"/>
  <c r="FZ254" i="46"/>
  <c r="HV254" i="46"/>
  <c r="JR254" i="46"/>
  <c r="BA254" i="46"/>
  <c r="CW254" i="46"/>
  <c r="ES254" i="46"/>
  <c r="GO254" i="46"/>
  <c r="IK254" i="46"/>
  <c r="KG254" i="46"/>
  <c r="BD254" i="46"/>
  <c r="CZ254" i="46"/>
  <c r="EV254" i="46"/>
  <c r="GR254" i="46"/>
  <c r="IN254" i="46"/>
  <c r="KJ254" i="46"/>
  <c r="H147" i="46"/>
  <c r="H132" i="46"/>
  <c r="H161" i="46"/>
  <c r="K197" i="46"/>
  <c r="GN54" i="46"/>
  <c r="HL54" i="46"/>
  <c r="IJ54" i="46"/>
  <c r="JH54" i="46"/>
  <c r="KF54" i="46"/>
  <c r="GQ54" i="46"/>
  <c r="HO54" i="46"/>
  <c r="IM54" i="46"/>
  <c r="JK54" i="46"/>
  <c r="KI54" i="46"/>
  <c r="HU54" i="46"/>
  <c r="IY54" i="46"/>
  <c r="KC54" i="46"/>
  <c r="GT54" i="46"/>
  <c r="HX54" i="46"/>
  <c r="JB54" i="46"/>
  <c r="KL54" i="46"/>
  <c r="GW54" i="46"/>
  <c r="IA54" i="46"/>
  <c r="JE54" i="46"/>
  <c r="KO54" i="46"/>
  <c r="GZ54" i="46"/>
  <c r="ID54" i="46"/>
  <c r="JN54" i="46"/>
  <c r="HI54" i="46"/>
  <c r="JW54" i="46"/>
  <c r="HR54" i="46"/>
  <c r="JZ54" i="46"/>
  <c r="IG54" i="46"/>
  <c r="KR54" i="46"/>
  <c r="IP54" i="46"/>
  <c r="KU54" i="46"/>
  <c r="IS54" i="46"/>
  <c r="KX54" i="46"/>
  <c r="IV54" i="46"/>
  <c r="LA54" i="46"/>
  <c r="HC54" i="46"/>
  <c r="JQ54" i="46"/>
  <c r="LD54" i="46"/>
  <c r="HF54" i="46"/>
  <c r="JT54" i="46"/>
  <c r="D367" i="36"/>
  <c r="AF91" i="3"/>
  <c r="AF67" i="3"/>
  <c r="AL85" i="3"/>
  <c r="AY85" i="3" s="1"/>
  <c r="AJ28" i="3"/>
  <c r="H244" i="46"/>
  <c r="H201" i="46"/>
  <c r="H214" i="46"/>
  <c r="H155" i="46"/>
  <c r="H140" i="46"/>
  <c r="H138" i="46"/>
  <c r="AL253" i="46"/>
  <c r="BJ253" i="46"/>
  <c r="EP253" i="46"/>
  <c r="GQ253" i="46"/>
  <c r="HF253" i="46"/>
  <c r="IG253" i="46"/>
  <c r="IH253" i="46" s="1"/>
  <c r="JH253" i="46"/>
  <c r="KI253" i="46"/>
  <c r="KX253" i="46"/>
  <c r="AC253" i="46"/>
  <c r="ED253" i="46"/>
  <c r="GT253" i="46"/>
  <c r="HU253" i="46"/>
  <c r="HV253" i="46" s="1"/>
  <c r="IV253" i="46"/>
  <c r="JW253" i="46"/>
  <c r="KL253" i="46"/>
  <c r="BM253" i="46"/>
  <c r="ES253" i="46"/>
  <c r="HI253" i="46"/>
  <c r="IJ253" i="46"/>
  <c r="IK253" i="46" s="1"/>
  <c r="JK253" i="46"/>
  <c r="JZ253" i="46"/>
  <c r="LA253" i="46"/>
  <c r="AF253" i="46"/>
  <c r="DF253" i="46"/>
  <c r="GW253" i="46"/>
  <c r="GX253" i="46" s="1"/>
  <c r="HX253" i="46"/>
  <c r="IY253" i="46"/>
  <c r="JN253" i="46"/>
  <c r="KO253" i="46"/>
  <c r="KP253" i="46" s="1"/>
  <c r="DU253" i="46"/>
  <c r="HL253" i="46"/>
  <c r="HM253" i="46" s="1"/>
  <c r="IM253" i="46"/>
  <c r="JB253" i="46"/>
  <c r="KC253" i="46"/>
  <c r="LD253" i="46"/>
  <c r="LE253" i="46" s="1"/>
  <c r="EJ253" i="46"/>
  <c r="GZ253" i="46"/>
  <c r="IA253" i="46"/>
  <c r="IB253" i="46" s="1"/>
  <c r="IP253" i="46"/>
  <c r="JQ253" i="46"/>
  <c r="KR253" i="46"/>
  <c r="EM253" i="46"/>
  <c r="GN253" i="46"/>
  <c r="IS253" i="46"/>
  <c r="IT253" i="46" s="1"/>
  <c r="KU253" i="46"/>
  <c r="JE253" i="46"/>
  <c r="JF253" i="46" s="1"/>
  <c r="HC253" i="46"/>
  <c r="FN253" i="46"/>
  <c r="HO253" i="46"/>
  <c r="HR253" i="46"/>
  <c r="JT253" i="46"/>
  <c r="JU253" i="46" s="1"/>
  <c r="ID253" i="46"/>
  <c r="KF253" i="46"/>
  <c r="KG253" i="46" s="1"/>
  <c r="K193" i="46"/>
  <c r="K183" i="46"/>
  <c r="GZ220" i="46"/>
  <c r="HX220" i="46"/>
  <c r="IV220" i="46"/>
  <c r="JT220" i="46"/>
  <c r="KR220" i="46"/>
  <c r="HC220" i="46"/>
  <c r="IA220" i="46"/>
  <c r="IY220" i="46"/>
  <c r="JW220" i="46"/>
  <c r="KU220" i="46"/>
  <c r="GT220" i="46"/>
  <c r="ID220" i="46"/>
  <c r="JH220" i="46"/>
  <c r="KL220" i="46"/>
  <c r="GW220" i="46"/>
  <c r="IG220" i="46"/>
  <c r="JK220" i="46"/>
  <c r="KO220" i="46"/>
  <c r="HF220" i="46"/>
  <c r="IJ220" i="46"/>
  <c r="JN220" i="46"/>
  <c r="KX220" i="46"/>
  <c r="HI220" i="46"/>
  <c r="IM220" i="46"/>
  <c r="JQ220" i="46"/>
  <c r="LA220" i="46"/>
  <c r="HL220" i="46"/>
  <c r="IP220" i="46"/>
  <c r="JZ220" i="46"/>
  <c r="LD220" i="46"/>
  <c r="HO220" i="46"/>
  <c r="IS220" i="46"/>
  <c r="KC220" i="46"/>
  <c r="GN220" i="46"/>
  <c r="HR220" i="46"/>
  <c r="JB220" i="46"/>
  <c r="KF220" i="46"/>
  <c r="GQ220" i="46"/>
  <c r="HU220" i="46"/>
  <c r="JE220" i="46"/>
  <c r="KI220" i="46"/>
  <c r="H213" i="46"/>
  <c r="H156" i="46"/>
  <c r="H134" i="46"/>
  <c r="H253" i="46"/>
  <c r="H254" i="46"/>
  <c r="H141" i="46"/>
  <c r="H133" i="46"/>
  <c r="HI200" i="46"/>
  <c r="IG200" i="46"/>
  <c r="JE200" i="46"/>
  <c r="KC200" i="46"/>
  <c r="LA200" i="46"/>
  <c r="GN200" i="46"/>
  <c r="HL200" i="46"/>
  <c r="IJ200" i="46"/>
  <c r="JH200" i="46"/>
  <c r="KF200" i="46"/>
  <c r="LD200" i="46"/>
  <c r="GQ200" i="46"/>
  <c r="HO200" i="46"/>
  <c r="IM200" i="46"/>
  <c r="JK200" i="46"/>
  <c r="KI200" i="46"/>
  <c r="GT200" i="46"/>
  <c r="HR200" i="46"/>
  <c r="IP200" i="46"/>
  <c r="JN200" i="46"/>
  <c r="KL200" i="46"/>
  <c r="GW200" i="46"/>
  <c r="HU200" i="46"/>
  <c r="IS200" i="46"/>
  <c r="JQ200" i="46"/>
  <c r="KO200" i="46"/>
  <c r="GZ200" i="46"/>
  <c r="HX200" i="46"/>
  <c r="IV200" i="46"/>
  <c r="JT200" i="46"/>
  <c r="KR200" i="46"/>
  <c r="IA200" i="46"/>
  <c r="ID200" i="46"/>
  <c r="IY200" i="46"/>
  <c r="JB200" i="46"/>
  <c r="JW200" i="46"/>
  <c r="JZ200" i="46"/>
  <c r="HC200" i="46"/>
  <c r="KU200" i="46"/>
  <c r="HF200" i="46"/>
  <c r="KX200" i="46"/>
  <c r="K186" i="46"/>
  <c r="Q55" i="46"/>
  <c r="Q247" i="46"/>
  <c r="P232" i="46"/>
  <c r="M203" i="46"/>
  <c r="E203" i="46"/>
  <c r="M202" i="46"/>
  <c r="W77" i="46"/>
  <c r="W53" i="46"/>
  <c r="W45" i="46"/>
  <c r="W36" i="46"/>
  <c r="W52" i="46"/>
  <c r="W44" i="46"/>
  <c r="W26" i="46"/>
  <c r="W75" i="46"/>
  <c r="W33" i="46"/>
  <c r="W17" i="46"/>
  <c r="W7" i="46"/>
  <c r="W74" i="46"/>
  <c r="W66" i="46"/>
  <c r="W58" i="46"/>
  <c r="W65" i="46"/>
  <c r="W49" i="46"/>
  <c r="W56" i="46"/>
  <c r="W63" i="46"/>
  <c r="W47" i="46"/>
  <c r="W21" i="46"/>
  <c r="W13" i="46"/>
  <c r="W62" i="46"/>
  <c r="W37" i="46"/>
  <c r="E165" i="46"/>
  <c r="AC7" i="46"/>
  <c r="BA7" i="46"/>
  <c r="BY7" i="46"/>
  <c r="CW7" i="46"/>
  <c r="DU7" i="46"/>
  <c r="ES7" i="46"/>
  <c r="FQ7" i="46"/>
  <c r="GO7" i="46"/>
  <c r="HM7" i="46"/>
  <c r="IK7" i="46"/>
  <c r="JI7" i="46"/>
  <c r="KG7" i="46"/>
  <c r="LE7" i="46"/>
  <c r="AI7" i="46"/>
  <c r="BG7" i="46"/>
  <c r="CE7" i="46"/>
  <c r="DC7" i="46"/>
  <c r="EA7" i="46"/>
  <c r="EY7" i="46"/>
  <c r="FW7" i="46"/>
  <c r="GU7" i="46"/>
  <c r="HS7" i="46"/>
  <c r="IQ7" i="46"/>
  <c r="JO7" i="46"/>
  <c r="KM7" i="46"/>
  <c r="AO7" i="46"/>
  <c r="BM7" i="46"/>
  <c r="CK7" i="46"/>
  <c r="DI7" i="46"/>
  <c r="EG7" i="46"/>
  <c r="FE7" i="46"/>
  <c r="GC7" i="46"/>
  <c r="HA7" i="46"/>
  <c r="HY7" i="46"/>
  <c r="IW7" i="46"/>
  <c r="JU7" i="46"/>
  <c r="KS7" i="46"/>
  <c r="AF7" i="46"/>
  <c r="BS7" i="46"/>
  <c r="DF7" i="46"/>
  <c r="EP7" i="46"/>
  <c r="GF7" i="46"/>
  <c r="HP7" i="46"/>
  <c r="JC7" i="46"/>
  <c r="KP7" i="46"/>
  <c r="AR7" i="46"/>
  <c r="CB7" i="46"/>
  <c r="DO7" i="46"/>
  <c r="FB7" i="46"/>
  <c r="GL7" i="46"/>
  <c r="IB7" i="46"/>
  <c r="JL7" i="46"/>
  <c r="KY7" i="46"/>
  <c r="AX7" i="46"/>
  <c r="CN7" i="46"/>
  <c r="DX7" i="46"/>
  <c r="FK7" i="46"/>
  <c r="GX7" i="46"/>
  <c r="IH7" i="46"/>
  <c r="JX7" i="46"/>
  <c r="AL7" i="46"/>
  <c r="CT7" i="46"/>
  <c r="FH7" i="46"/>
  <c r="HJ7" i="46"/>
  <c r="KA7" i="46"/>
  <c r="AU7" i="46"/>
  <c r="CZ7" i="46"/>
  <c r="FN7" i="46"/>
  <c r="HV7" i="46"/>
  <c r="KD7" i="46"/>
  <c r="BD7" i="46"/>
  <c r="DL7" i="46"/>
  <c r="FT7" i="46"/>
  <c r="IE7" i="46"/>
  <c r="KJ7" i="46"/>
  <c r="BJ7" i="46"/>
  <c r="DR7" i="46"/>
  <c r="FZ7" i="46"/>
  <c r="IN7" i="46"/>
  <c r="KV7" i="46"/>
  <c r="BP7" i="46"/>
  <c r="ED7" i="46"/>
  <c r="GI7" i="46"/>
  <c r="IT7" i="46"/>
  <c r="LB7" i="46"/>
  <c r="BV7" i="46"/>
  <c r="HG7" i="46"/>
  <c r="CH7" i="46"/>
  <c r="IZ7" i="46"/>
  <c r="CQ7" i="46"/>
  <c r="JF7" i="46"/>
  <c r="EJ7" i="46"/>
  <c r="JR7" i="46"/>
  <c r="EM7" i="46"/>
  <c r="EV7" i="46"/>
  <c r="GR7" i="46"/>
  <c r="HD7" i="46"/>
  <c r="AR13" i="46"/>
  <c r="BP13" i="46"/>
  <c r="CN13" i="46"/>
  <c r="DL13" i="46"/>
  <c r="EJ13" i="46"/>
  <c r="FH13" i="46"/>
  <c r="GF13" i="46"/>
  <c r="HD13" i="46"/>
  <c r="IB13" i="46"/>
  <c r="IZ13" i="46"/>
  <c r="JX13" i="46"/>
  <c r="KV13" i="46"/>
  <c r="AU13" i="46"/>
  <c r="BS13" i="46"/>
  <c r="CQ13" i="46"/>
  <c r="DO13" i="46"/>
  <c r="EM13" i="46"/>
  <c r="FK13" i="46"/>
  <c r="GI13" i="46"/>
  <c r="HG13" i="46"/>
  <c r="IE13" i="46"/>
  <c r="JC13" i="46"/>
  <c r="KA13" i="46"/>
  <c r="KY13" i="46"/>
  <c r="Z13" i="46"/>
  <c r="AX13" i="46"/>
  <c r="BV13" i="46"/>
  <c r="CT13" i="46"/>
  <c r="DR13" i="46"/>
  <c r="EP13" i="46"/>
  <c r="FN13" i="46"/>
  <c r="GL13" i="46"/>
  <c r="HJ13" i="46"/>
  <c r="IH13" i="46"/>
  <c r="JF13" i="46"/>
  <c r="KD13" i="46"/>
  <c r="LB13" i="46"/>
  <c r="AC13" i="46"/>
  <c r="BA13" i="46"/>
  <c r="BY13" i="46"/>
  <c r="CW13" i="46"/>
  <c r="DU13" i="46"/>
  <c r="ES13" i="46"/>
  <c r="FQ13" i="46"/>
  <c r="GO13" i="46"/>
  <c r="HM13" i="46"/>
  <c r="IK13" i="46"/>
  <c r="JI13" i="46"/>
  <c r="KG13" i="46"/>
  <c r="LE13" i="46"/>
  <c r="AF13" i="46"/>
  <c r="BD13" i="46"/>
  <c r="CB13" i="46"/>
  <c r="CZ13" i="46"/>
  <c r="DX13" i="46"/>
  <c r="EV13" i="46"/>
  <c r="FT13" i="46"/>
  <c r="GR13" i="46"/>
  <c r="HP13" i="46"/>
  <c r="IN13" i="46"/>
  <c r="JL13" i="46"/>
  <c r="KJ13" i="46"/>
  <c r="BG13" i="46"/>
  <c r="DI13" i="46"/>
  <c r="FZ13" i="46"/>
  <c r="IQ13" i="46"/>
  <c r="KS13" i="46"/>
  <c r="BJ13" i="46"/>
  <c r="EA13" i="46"/>
  <c r="GC13" i="46"/>
  <c r="IT13" i="46"/>
  <c r="BM13" i="46"/>
  <c r="ED13" i="46"/>
  <c r="GU13" i="46"/>
  <c r="IW13" i="46"/>
  <c r="CE13" i="46"/>
  <c r="EG13" i="46"/>
  <c r="GX13" i="46"/>
  <c r="JO13" i="46"/>
  <c r="CH13" i="46"/>
  <c r="EY13" i="46"/>
  <c r="HA13" i="46"/>
  <c r="JR13" i="46"/>
  <c r="CK13" i="46"/>
  <c r="HY13" i="46"/>
  <c r="DC13" i="46"/>
  <c r="JU13" i="46"/>
  <c r="DF13" i="46"/>
  <c r="KM13" i="46"/>
  <c r="FB13" i="46"/>
  <c r="KP13" i="46"/>
  <c r="FE13" i="46"/>
  <c r="HV13" i="46"/>
  <c r="AI17" i="46"/>
  <c r="BG17" i="46"/>
  <c r="CE17" i="46"/>
  <c r="DC17" i="46"/>
  <c r="EA17" i="46"/>
  <c r="EY17" i="46"/>
  <c r="FW17" i="46"/>
  <c r="GU17" i="46"/>
  <c r="HS17" i="46"/>
  <c r="IQ17" i="46"/>
  <c r="JO17" i="46"/>
  <c r="KM17" i="46"/>
  <c r="AL17" i="46"/>
  <c r="BJ17" i="46"/>
  <c r="CH17" i="46"/>
  <c r="DF17" i="46"/>
  <c r="ED17" i="46"/>
  <c r="FB17" i="46"/>
  <c r="FZ17" i="46"/>
  <c r="GX17" i="46"/>
  <c r="HV17" i="46"/>
  <c r="IT17" i="46"/>
  <c r="JR17" i="46"/>
  <c r="KP17" i="46"/>
  <c r="AO17" i="46"/>
  <c r="BM17" i="46"/>
  <c r="CK17" i="46"/>
  <c r="DI17" i="46"/>
  <c r="EG17" i="46"/>
  <c r="FE17" i="46"/>
  <c r="GC17" i="46"/>
  <c r="HA17" i="46"/>
  <c r="HY17" i="46"/>
  <c r="IW17" i="46"/>
  <c r="JU17" i="46"/>
  <c r="KS17" i="46"/>
  <c r="AI13" i="46"/>
  <c r="AR17" i="46"/>
  <c r="BP17" i="46"/>
  <c r="CN17" i="46"/>
  <c r="DL17" i="46"/>
  <c r="EJ17" i="46"/>
  <c r="FH17" i="46"/>
  <c r="GF17" i="46"/>
  <c r="HD17" i="46"/>
  <c r="IB17" i="46"/>
  <c r="IZ17" i="46"/>
  <c r="JX17" i="46"/>
  <c r="KV17" i="46"/>
  <c r="AL13" i="46"/>
  <c r="AU17" i="46"/>
  <c r="BS17" i="46"/>
  <c r="CQ17" i="46"/>
  <c r="DO17" i="46"/>
  <c r="EM17" i="46"/>
  <c r="FK17" i="46"/>
  <c r="GI17" i="46"/>
  <c r="HG17" i="46"/>
  <c r="IE17" i="46"/>
  <c r="JC17" i="46"/>
  <c r="KA17" i="46"/>
  <c r="KY17" i="46"/>
  <c r="BY17" i="46"/>
  <c r="EP17" i="46"/>
  <c r="GR17" i="46"/>
  <c r="JI17" i="46"/>
  <c r="AC21" i="46"/>
  <c r="BA21" i="46"/>
  <c r="BY21" i="46"/>
  <c r="CW21" i="46"/>
  <c r="DU21" i="46"/>
  <c r="ES21" i="46"/>
  <c r="FQ21" i="46"/>
  <c r="GO21" i="46"/>
  <c r="HM21" i="46"/>
  <c r="IK21" i="46"/>
  <c r="JI21" i="46"/>
  <c r="KG21" i="46"/>
  <c r="LE21" i="46"/>
  <c r="Z17" i="46"/>
  <c r="CB17" i="46"/>
  <c r="ES17" i="46"/>
  <c r="HJ17" i="46"/>
  <c r="JL17" i="46"/>
  <c r="AF21" i="46"/>
  <c r="BD21" i="46"/>
  <c r="CB21" i="46"/>
  <c r="CZ21" i="46"/>
  <c r="DX21" i="46"/>
  <c r="EV21" i="46"/>
  <c r="FT21" i="46"/>
  <c r="GR21" i="46"/>
  <c r="HP21" i="46"/>
  <c r="IN21" i="46"/>
  <c r="JL21" i="46"/>
  <c r="KJ21" i="46"/>
  <c r="AO13" i="46"/>
  <c r="AC17" i="46"/>
  <c r="CT17" i="46"/>
  <c r="EV17" i="46"/>
  <c r="HM17" i="46"/>
  <c r="KD17" i="46"/>
  <c r="AI21" i="46"/>
  <c r="BG21" i="46"/>
  <c r="CE21" i="46"/>
  <c r="DC21" i="46"/>
  <c r="EA21" i="46"/>
  <c r="EY21" i="46"/>
  <c r="FW21" i="46"/>
  <c r="GU21" i="46"/>
  <c r="HS21" i="46"/>
  <c r="IQ21" i="46"/>
  <c r="JO21" i="46"/>
  <c r="KM21" i="46"/>
  <c r="FW13" i="46"/>
  <c r="AF17" i="46"/>
  <c r="CW17" i="46"/>
  <c r="FN17" i="46"/>
  <c r="HP17" i="46"/>
  <c r="KG17" i="46"/>
  <c r="AL21" i="46"/>
  <c r="BJ21" i="46"/>
  <c r="CH21" i="46"/>
  <c r="DF21" i="46"/>
  <c r="ED21" i="46"/>
  <c r="FB21" i="46"/>
  <c r="FZ21" i="46"/>
  <c r="GX21" i="46"/>
  <c r="HV21" i="46"/>
  <c r="IT21" i="46"/>
  <c r="JR21" i="46"/>
  <c r="KP21" i="46"/>
  <c r="HS13" i="46"/>
  <c r="AX17" i="46"/>
  <c r="CZ17" i="46"/>
  <c r="FQ17" i="46"/>
  <c r="IH17" i="46"/>
  <c r="KJ17" i="46"/>
  <c r="AO21" i="46"/>
  <c r="BM21" i="46"/>
  <c r="CK21" i="46"/>
  <c r="DI21" i="46"/>
  <c r="EG21" i="46"/>
  <c r="FE21" i="46"/>
  <c r="GC21" i="46"/>
  <c r="HA21" i="46"/>
  <c r="HY21" i="46"/>
  <c r="IW21" i="46"/>
  <c r="JU21" i="46"/>
  <c r="KS21" i="46"/>
  <c r="DU17" i="46"/>
  <c r="LB17" i="46"/>
  <c r="BS21" i="46"/>
  <c r="EJ21" i="46"/>
  <c r="GL21" i="46"/>
  <c r="JC21" i="46"/>
  <c r="DX17" i="46"/>
  <c r="LE17" i="46"/>
  <c r="BV21" i="46"/>
  <c r="EM21" i="46"/>
  <c r="HD21" i="46"/>
  <c r="JF21" i="46"/>
  <c r="FT17" i="46"/>
  <c r="CN21" i="46"/>
  <c r="EP21" i="46"/>
  <c r="HG21" i="46"/>
  <c r="JX21" i="46"/>
  <c r="BA17" i="46"/>
  <c r="GO17" i="46"/>
  <c r="AR21" i="46"/>
  <c r="CT21" i="46"/>
  <c r="FK21" i="46"/>
  <c r="IB21" i="46"/>
  <c r="KD21" i="46"/>
  <c r="BD17" i="46"/>
  <c r="IK17" i="46"/>
  <c r="AU21" i="46"/>
  <c r="DL21" i="46"/>
  <c r="FN21" i="46"/>
  <c r="IE21" i="46"/>
  <c r="KV21" i="46"/>
  <c r="DR17" i="46"/>
  <c r="CQ21" i="46"/>
  <c r="IZ21" i="46"/>
  <c r="AO26" i="46"/>
  <c r="BM26" i="46"/>
  <c r="CK26" i="46"/>
  <c r="DI26" i="46"/>
  <c r="EG26" i="46"/>
  <c r="FE26" i="46"/>
  <c r="GC26" i="46"/>
  <c r="HA26" i="46"/>
  <c r="HY26" i="46"/>
  <c r="IW26" i="46"/>
  <c r="JU26" i="46"/>
  <c r="KS26" i="46"/>
  <c r="GL17" i="46"/>
  <c r="DO21" i="46"/>
  <c r="KA21" i="46"/>
  <c r="AR26" i="46"/>
  <c r="BP26" i="46"/>
  <c r="CN26" i="46"/>
  <c r="DL26" i="46"/>
  <c r="EJ26" i="46"/>
  <c r="FH26" i="46"/>
  <c r="GF26" i="46"/>
  <c r="HD26" i="46"/>
  <c r="IB26" i="46"/>
  <c r="IZ26" i="46"/>
  <c r="JX26" i="46"/>
  <c r="KV26" i="46"/>
  <c r="IN17" i="46"/>
  <c r="DR21" i="46"/>
  <c r="KY21" i="46"/>
  <c r="AU26" i="46"/>
  <c r="BS26" i="46"/>
  <c r="CQ26" i="46"/>
  <c r="DO26" i="46"/>
  <c r="EM26" i="46"/>
  <c r="FK26" i="46"/>
  <c r="GI26" i="46"/>
  <c r="HG26" i="46"/>
  <c r="IE26" i="46"/>
  <c r="JC26" i="46"/>
  <c r="KA26" i="46"/>
  <c r="KY26" i="46"/>
  <c r="JF17" i="46"/>
  <c r="FH21" i="46"/>
  <c r="LB21" i="46"/>
  <c r="Z26" i="46"/>
  <c r="AX26" i="46"/>
  <c r="BV26" i="46"/>
  <c r="CT26" i="46"/>
  <c r="DR26" i="46"/>
  <c r="EP26" i="46"/>
  <c r="FN26" i="46"/>
  <c r="GL26" i="46"/>
  <c r="HJ26" i="46"/>
  <c r="IH26" i="46"/>
  <c r="JF26" i="46"/>
  <c r="KD26" i="46"/>
  <c r="LB26" i="46"/>
  <c r="GF21" i="46"/>
  <c r="AC26" i="46"/>
  <c r="BA26" i="46"/>
  <c r="BY26" i="46"/>
  <c r="CW26" i="46"/>
  <c r="DU26" i="46"/>
  <c r="ES26" i="46"/>
  <c r="FQ26" i="46"/>
  <c r="GO26" i="46"/>
  <c r="HM26" i="46"/>
  <c r="IK26" i="46"/>
  <c r="JI26" i="46"/>
  <c r="KG26" i="46"/>
  <c r="LE26" i="46"/>
  <c r="AX21" i="46"/>
  <c r="AL26" i="46"/>
  <c r="DC26" i="46"/>
  <c r="FT26" i="46"/>
  <c r="HV26" i="46"/>
  <c r="KM26" i="46"/>
  <c r="BP21" i="46"/>
  <c r="BD26" i="46"/>
  <c r="DF26" i="46"/>
  <c r="FW26" i="46"/>
  <c r="IN26" i="46"/>
  <c r="KP26" i="46"/>
  <c r="GI21" i="46"/>
  <c r="BG26" i="46"/>
  <c r="DX26" i="46"/>
  <c r="FZ26" i="46"/>
  <c r="IQ26" i="46"/>
  <c r="IH21" i="46"/>
  <c r="CB26" i="46"/>
  <c r="ED26" i="46"/>
  <c r="GU26" i="46"/>
  <c r="JL26" i="46"/>
  <c r="CE26" i="46"/>
  <c r="EV26" i="46"/>
  <c r="GX26" i="46"/>
  <c r="JO26" i="46"/>
  <c r="Z21" i="46"/>
  <c r="AF26" i="46"/>
  <c r="GR26" i="46"/>
  <c r="CE33" i="46"/>
  <c r="DC33" i="46"/>
  <c r="EA33" i="46"/>
  <c r="GU33" i="46"/>
  <c r="HS33" i="46"/>
  <c r="IQ33" i="46"/>
  <c r="JO33" i="46"/>
  <c r="KM33" i="46"/>
  <c r="HJ21" i="46"/>
  <c r="AI26" i="46"/>
  <c r="HP26" i="46"/>
  <c r="BJ33" i="46"/>
  <c r="DF33" i="46"/>
  <c r="FB33" i="46"/>
  <c r="GX33" i="46"/>
  <c r="HV33" i="46"/>
  <c r="IT33" i="46"/>
  <c r="JR33" i="46"/>
  <c r="KP33" i="46"/>
  <c r="BJ26" i="46"/>
  <c r="HS26" i="46"/>
  <c r="EG33" i="46"/>
  <c r="FE33" i="46"/>
  <c r="HA33" i="46"/>
  <c r="HY33" i="46"/>
  <c r="IW33" i="46"/>
  <c r="JU33" i="46"/>
  <c r="KS33" i="46"/>
  <c r="BV17" i="46"/>
  <c r="CH26" i="46"/>
  <c r="IT26" i="46"/>
  <c r="AR33" i="46"/>
  <c r="GF33" i="46"/>
  <c r="HD33" i="46"/>
  <c r="IB33" i="46"/>
  <c r="IZ33" i="46"/>
  <c r="JX33" i="46"/>
  <c r="KV33" i="46"/>
  <c r="CZ26" i="46"/>
  <c r="JR26" i="46"/>
  <c r="AU33" i="46"/>
  <c r="CQ33" i="46"/>
  <c r="HG33" i="46"/>
  <c r="IE33" i="46"/>
  <c r="JC33" i="46"/>
  <c r="KA33" i="46"/>
  <c r="KY33" i="46"/>
  <c r="FB26" i="46"/>
  <c r="CT33" i="46"/>
  <c r="HM33" i="46"/>
  <c r="KD33" i="46"/>
  <c r="AI36" i="46"/>
  <c r="BG36" i="46"/>
  <c r="CE36" i="46"/>
  <c r="DC36" i="46"/>
  <c r="EA36" i="46"/>
  <c r="EY36" i="46"/>
  <c r="FW36" i="46"/>
  <c r="GU36" i="46"/>
  <c r="HS36" i="46"/>
  <c r="IQ36" i="46"/>
  <c r="JO36" i="46"/>
  <c r="KM36" i="46"/>
  <c r="KJ26" i="46"/>
  <c r="CW33" i="46"/>
  <c r="HP33" i="46"/>
  <c r="KG33" i="46"/>
  <c r="AL36" i="46"/>
  <c r="BJ36" i="46"/>
  <c r="CH36" i="46"/>
  <c r="DF36" i="46"/>
  <c r="ED36" i="46"/>
  <c r="FB36" i="46"/>
  <c r="FZ36" i="46"/>
  <c r="GX36" i="46"/>
  <c r="HV36" i="46"/>
  <c r="IT36" i="46"/>
  <c r="JR36" i="46"/>
  <c r="KP36" i="46"/>
  <c r="AX33" i="46"/>
  <c r="CZ33" i="46"/>
  <c r="FQ33" i="46"/>
  <c r="IH33" i="46"/>
  <c r="KJ33" i="46"/>
  <c r="AO36" i="46"/>
  <c r="BM36" i="46"/>
  <c r="CK36" i="46"/>
  <c r="DI36" i="46"/>
  <c r="EG36" i="46"/>
  <c r="FE36" i="46"/>
  <c r="GC36" i="46"/>
  <c r="HA36" i="46"/>
  <c r="HY36" i="46"/>
  <c r="IW36" i="46"/>
  <c r="JU36" i="46"/>
  <c r="KS36" i="46"/>
  <c r="DR33" i="46"/>
  <c r="IK33" i="46"/>
  <c r="LB33" i="46"/>
  <c r="AR36" i="46"/>
  <c r="BP36" i="46"/>
  <c r="CN36" i="46"/>
  <c r="DL36" i="46"/>
  <c r="EJ36" i="46"/>
  <c r="FH36" i="46"/>
  <c r="GF36" i="46"/>
  <c r="HD36" i="46"/>
  <c r="IB36" i="46"/>
  <c r="IZ36" i="46"/>
  <c r="JX36" i="46"/>
  <c r="KV36" i="46"/>
  <c r="AI37" i="46"/>
  <c r="BG37" i="46"/>
  <c r="CE37" i="46"/>
  <c r="DC37" i="46"/>
  <c r="EA37" i="46"/>
  <c r="EY37" i="46"/>
  <c r="FW37" i="46"/>
  <c r="BD33" i="46"/>
  <c r="GL33" i="46"/>
  <c r="IN33" i="46"/>
  <c r="LE33" i="46"/>
  <c r="AU36" i="46"/>
  <c r="BS36" i="46"/>
  <c r="CQ36" i="46"/>
  <c r="DO36" i="46"/>
  <c r="EM36" i="46"/>
  <c r="FK36" i="46"/>
  <c r="GI36" i="46"/>
  <c r="HG36" i="46"/>
  <c r="IE36" i="46"/>
  <c r="JC36" i="46"/>
  <c r="KA36" i="46"/>
  <c r="KY36" i="46"/>
  <c r="AL37" i="46"/>
  <c r="BJ37" i="46"/>
  <c r="CH37" i="46"/>
  <c r="DF37" i="46"/>
  <c r="ED37" i="46"/>
  <c r="FB37" i="46"/>
  <c r="FZ37" i="46"/>
  <c r="BA36" i="46"/>
  <c r="DR36" i="46"/>
  <c r="FT36" i="46"/>
  <c r="IK36" i="46"/>
  <c r="LB36" i="46"/>
  <c r="AC37" i="46"/>
  <c r="BM37" i="46"/>
  <c r="CQ37" i="46"/>
  <c r="DU37" i="46"/>
  <c r="FE37" i="46"/>
  <c r="GI37" i="46"/>
  <c r="AO41" i="46"/>
  <c r="BM41" i="46"/>
  <c r="EG41" i="46"/>
  <c r="GC41" i="46"/>
  <c r="HA41" i="46"/>
  <c r="HY41" i="46"/>
  <c r="IW41" i="46"/>
  <c r="JU41" i="46"/>
  <c r="KS41" i="46"/>
  <c r="GO33" i="46"/>
  <c r="BD36" i="46"/>
  <c r="DU36" i="46"/>
  <c r="GL36" i="46"/>
  <c r="IN36" i="46"/>
  <c r="LE36" i="46"/>
  <c r="AF37" i="46"/>
  <c r="BP37" i="46"/>
  <c r="CT37" i="46"/>
  <c r="DX37" i="46"/>
  <c r="FH37" i="46"/>
  <c r="GL37" i="46"/>
  <c r="AR41" i="46"/>
  <c r="DL41" i="46"/>
  <c r="EJ41" i="46"/>
  <c r="HD41" i="46"/>
  <c r="IB41" i="46"/>
  <c r="IZ41" i="46"/>
  <c r="JX41" i="46"/>
  <c r="KV41" i="46"/>
  <c r="Z44" i="46"/>
  <c r="AX44" i="46"/>
  <c r="BV44" i="46"/>
  <c r="CT44" i="46"/>
  <c r="DR44" i="46"/>
  <c r="EP44" i="46"/>
  <c r="FN44" i="46"/>
  <c r="GL44" i="46"/>
  <c r="HJ44" i="46"/>
  <c r="IH44" i="46"/>
  <c r="JF44" i="46"/>
  <c r="KD44" i="46"/>
  <c r="LB44" i="46"/>
  <c r="AO45" i="46"/>
  <c r="BM45" i="46"/>
  <c r="CK45" i="46"/>
  <c r="DI45" i="46"/>
  <c r="EG45" i="46"/>
  <c r="FE45" i="46"/>
  <c r="GC45" i="46"/>
  <c r="HA45" i="46"/>
  <c r="HY45" i="46"/>
  <c r="IW45" i="46"/>
  <c r="JU45" i="46"/>
  <c r="KS45" i="46"/>
  <c r="GR33" i="46"/>
  <c r="BV36" i="46"/>
  <c r="DX36" i="46"/>
  <c r="GO36" i="46"/>
  <c r="JF36" i="46"/>
  <c r="AO37" i="46"/>
  <c r="BS37" i="46"/>
  <c r="CW37" i="46"/>
  <c r="EG37" i="46"/>
  <c r="FK37" i="46"/>
  <c r="KG37" i="46"/>
  <c r="BV33" i="46"/>
  <c r="HJ33" i="46"/>
  <c r="BY36" i="46"/>
  <c r="EP36" i="46"/>
  <c r="GR36" i="46"/>
  <c r="JI36" i="46"/>
  <c r="AR37" i="46"/>
  <c r="BV37" i="46"/>
  <c r="CZ37" i="46"/>
  <c r="EJ37" i="46"/>
  <c r="FN37" i="46"/>
  <c r="JF33" i="46"/>
  <c r="CB36" i="46"/>
  <c r="HJ36" i="46"/>
  <c r="AU37" i="46"/>
  <c r="DI37" i="46"/>
  <c r="FQ37" i="46"/>
  <c r="AX41" i="46"/>
  <c r="EP41" i="46"/>
  <c r="GX41" i="46"/>
  <c r="IH41" i="46"/>
  <c r="JL41" i="46"/>
  <c r="KP41" i="46"/>
  <c r="AC44" i="46"/>
  <c r="BD44" i="46"/>
  <c r="CE44" i="46"/>
  <c r="DF44" i="46"/>
  <c r="EG44" i="46"/>
  <c r="FH44" i="46"/>
  <c r="GI44" i="46"/>
  <c r="HM44" i="46"/>
  <c r="IN44" i="46"/>
  <c r="JO44" i="46"/>
  <c r="KP44" i="46"/>
  <c r="AL45" i="46"/>
  <c r="BP45" i="46"/>
  <c r="CQ45" i="46"/>
  <c r="DR45" i="46"/>
  <c r="ES45" i="46"/>
  <c r="FT45" i="46"/>
  <c r="GU45" i="46"/>
  <c r="HV45" i="46"/>
  <c r="IZ45" i="46"/>
  <c r="KA45" i="46"/>
  <c r="LB45" i="46"/>
  <c r="AI47" i="46"/>
  <c r="BG47" i="46"/>
  <c r="CE47" i="46"/>
  <c r="DC47" i="46"/>
  <c r="EA47" i="46"/>
  <c r="EY47" i="46"/>
  <c r="FW47" i="46"/>
  <c r="GU47" i="46"/>
  <c r="HS47" i="46"/>
  <c r="IQ47" i="46"/>
  <c r="JO47" i="46"/>
  <c r="KM47" i="46"/>
  <c r="AO49" i="46"/>
  <c r="BM49" i="46"/>
  <c r="CK49" i="46"/>
  <c r="DI49" i="46"/>
  <c r="EG49" i="46"/>
  <c r="FE49" i="46"/>
  <c r="GC49" i="46"/>
  <c r="HA49" i="46"/>
  <c r="HY49" i="46"/>
  <c r="IW49" i="46"/>
  <c r="JU49" i="46"/>
  <c r="KS49" i="46"/>
  <c r="JI33" i="46"/>
  <c r="CT36" i="46"/>
  <c r="HM36" i="46"/>
  <c r="AX37" i="46"/>
  <c r="DL37" i="46"/>
  <c r="FT37" i="46"/>
  <c r="HG41" i="46"/>
  <c r="IK41" i="46"/>
  <c r="JO41" i="46"/>
  <c r="KY41" i="46"/>
  <c r="AF44" i="46"/>
  <c r="BG44" i="46"/>
  <c r="CH44" i="46"/>
  <c r="DI44" i="46"/>
  <c r="EJ44" i="46"/>
  <c r="FK44" i="46"/>
  <c r="GO44" i="46"/>
  <c r="HP44" i="46"/>
  <c r="IQ44" i="46"/>
  <c r="JR44" i="46"/>
  <c r="KS44" i="46"/>
  <c r="AR45" i="46"/>
  <c r="BS45" i="46"/>
  <c r="CT45" i="46"/>
  <c r="DU45" i="46"/>
  <c r="EV45" i="46"/>
  <c r="FW45" i="46"/>
  <c r="GX45" i="46"/>
  <c r="IB45" i="46"/>
  <c r="JC45" i="46"/>
  <c r="KD45" i="46"/>
  <c r="LE45" i="46"/>
  <c r="AL47" i="46"/>
  <c r="BJ47" i="46"/>
  <c r="CH47" i="46"/>
  <c r="DF47" i="46"/>
  <c r="ED47" i="46"/>
  <c r="FB47" i="46"/>
  <c r="FZ47" i="46"/>
  <c r="GX47" i="46"/>
  <c r="HV47" i="46"/>
  <c r="IT47" i="46"/>
  <c r="JR47" i="46"/>
  <c r="KP47" i="46"/>
  <c r="AR49" i="46"/>
  <c r="BP49" i="46"/>
  <c r="CN49" i="46"/>
  <c r="DL49" i="46"/>
  <c r="EJ49" i="46"/>
  <c r="FH49" i="46"/>
  <c r="GF49" i="46"/>
  <c r="HD49" i="46"/>
  <c r="IB49" i="46"/>
  <c r="IZ49" i="46"/>
  <c r="JX49" i="46"/>
  <c r="KV49" i="46"/>
  <c r="JL33" i="46"/>
  <c r="CW36" i="46"/>
  <c r="HP36" i="46"/>
  <c r="BA37" i="46"/>
  <c r="DO37" i="46"/>
  <c r="GC37" i="46"/>
  <c r="BD41" i="46"/>
  <c r="DR41" i="46"/>
  <c r="HJ41" i="46"/>
  <c r="IN41" i="46"/>
  <c r="JR41" i="46"/>
  <c r="LB41" i="46"/>
  <c r="AI44" i="46"/>
  <c r="BJ44" i="46"/>
  <c r="CK44" i="46"/>
  <c r="DL44" i="46"/>
  <c r="EM44" i="46"/>
  <c r="FQ44" i="46"/>
  <c r="GR44" i="46"/>
  <c r="HS44" i="46"/>
  <c r="IT44" i="46"/>
  <c r="JU44" i="46"/>
  <c r="KV44" i="46"/>
  <c r="AU45" i="46"/>
  <c r="BV45" i="46"/>
  <c r="CW45" i="46"/>
  <c r="DX45" i="46"/>
  <c r="EY45" i="46"/>
  <c r="FZ45" i="46"/>
  <c r="HD45" i="46"/>
  <c r="IE45" i="46"/>
  <c r="JF45" i="46"/>
  <c r="KG45" i="46"/>
  <c r="AO47" i="46"/>
  <c r="BM47" i="46"/>
  <c r="CK47" i="46"/>
  <c r="DI47" i="46"/>
  <c r="EG47" i="46"/>
  <c r="FE47" i="46"/>
  <c r="GC47" i="46"/>
  <c r="HA47" i="46"/>
  <c r="HY47" i="46"/>
  <c r="IW47" i="46"/>
  <c r="JU47" i="46"/>
  <c r="KS47" i="46"/>
  <c r="AU49" i="46"/>
  <c r="BS49" i="46"/>
  <c r="CQ49" i="46"/>
  <c r="DO49" i="46"/>
  <c r="EM49" i="46"/>
  <c r="FK49" i="46"/>
  <c r="GI49" i="46"/>
  <c r="HG49" i="46"/>
  <c r="IE49" i="46"/>
  <c r="JC49" i="46"/>
  <c r="KA49" i="46"/>
  <c r="KY49" i="46"/>
  <c r="CZ36" i="46"/>
  <c r="IH36" i="46"/>
  <c r="BD37" i="46"/>
  <c r="DR37" i="46"/>
  <c r="GF37" i="46"/>
  <c r="GI41" i="46"/>
  <c r="HM41" i="46"/>
  <c r="IQ41" i="46"/>
  <c r="KA41" i="46"/>
  <c r="LE41" i="46"/>
  <c r="AL44" i="46"/>
  <c r="BM44" i="46"/>
  <c r="CN44" i="46"/>
  <c r="DO44" i="46"/>
  <c r="ES44" i="46"/>
  <c r="FT44" i="46"/>
  <c r="GU44" i="46"/>
  <c r="HV44" i="46"/>
  <c r="IW44" i="46"/>
  <c r="JX44" i="46"/>
  <c r="KY44" i="46"/>
  <c r="AX45" i="46"/>
  <c r="BY45" i="46"/>
  <c r="CZ45" i="46"/>
  <c r="EA45" i="46"/>
  <c r="FB45" i="46"/>
  <c r="GF45" i="46"/>
  <c r="HG45" i="46"/>
  <c r="IH45" i="46"/>
  <c r="JI45" i="46"/>
  <c r="KJ45" i="46"/>
  <c r="AR47" i="46"/>
  <c r="BP47" i="46"/>
  <c r="CN47" i="46"/>
  <c r="DL47" i="46"/>
  <c r="EJ47" i="46"/>
  <c r="FH47" i="46"/>
  <c r="GF47" i="46"/>
  <c r="HD47" i="46"/>
  <c r="IB47" i="46"/>
  <c r="IZ47" i="46"/>
  <c r="JX47" i="46"/>
  <c r="KV47" i="46"/>
  <c r="Z49" i="46"/>
  <c r="AX49" i="46"/>
  <c r="BV49" i="46"/>
  <c r="CT49" i="46"/>
  <c r="DR49" i="46"/>
  <c r="EP49" i="46"/>
  <c r="FN49" i="46"/>
  <c r="GL49" i="46"/>
  <c r="HJ49" i="46"/>
  <c r="IH49" i="46"/>
  <c r="JF49" i="46"/>
  <c r="KD49" i="46"/>
  <c r="LB49" i="46"/>
  <c r="EA26" i="46"/>
  <c r="Z36" i="46"/>
  <c r="ES36" i="46"/>
  <c r="JL36" i="46"/>
  <c r="BY37" i="46"/>
  <c r="EM37" i="46"/>
  <c r="HP41" i="46"/>
  <c r="IT41" i="46"/>
  <c r="KD41" i="46"/>
  <c r="AO44" i="46"/>
  <c r="BP44" i="46"/>
  <c r="CQ44" i="46"/>
  <c r="DU44" i="46"/>
  <c r="EV44" i="46"/>
  <c r="FW44" i="46"/>
  <c r="GX44" i="46"/>
  <c r="HY44" i="46"/>
  <c r="IZ44" i="46"/>
  <c r="KA44" i="46"/>
  <c r="LE44" i="46"/>
  <c r="Z45" i="46"/>
  <c r="BA45" i="46"/>
  <c r="CB45" i="46"/>
  <c r="DC45" i="46"/>
  <c r="ED45" i="46"/>
  <c r="FH45" i="46"/>
  <c r="GI45" i="46"/>
  <c r="HJ45" i="46"/>
  <c r="IK45" i="46"/>
  <c r="JL45" i="46"/>
  <c r="KM45" i="46"/>
  <c r="AU47" i="46"/>
  <c r="BS47" i="46"/>
  <c r="CQ47" i="46"/>
  <c r="DO47" i="46"/>
  <c r="EM47" i="46"/>
  <c r="FK47" i="46"/>
  <c r="GI47" i="46"/>
  <c r="HG47" i="46"/>
  <c r="IE47" i="46"/>
  <c r="JC47" i="46"/>
  <c r="KA47" i="46"/>
  <c r="KY47" i="46"/>
  <c r="AC49" i="46"/>
  <c r="BA49" i="46"/>
  <c r="BY49" i="46"/>
  <c r="CW49" i="46"/>
  <c r="DU49" i="46"/>
  <c r="ES49" i="46"/>
  <c r="FQ49" i="46"/>
  <c r="GO49" i="46"/>
  <c r="HM49" i="46"/>
  <c r="IK49" i="46"/>
  <c r="JI49" i="46"/>
  <c r="KG49" i="46"/>
  <c r="LE49" i="46"/>
  <c r="EY26" i="46"/>
  <c r="DX33" i="46"/>
  <c r="KG36" i="46"/>
  <c r="ES37" i="46"/>
  <c r="HV41" i="46"/>
  <c r="BS44" i="46"/>
  <c r="ED44" i="46"/>
  <c r="HD44" i="46"/>
  <c r="KG44" i="46"/>
  <c r="AF45" i="46"/>
  <c r="DF45" i="46"/>
  <c r="FQ45" i="46"/>
  <c r="IQ45" i="46"/>
  <c r="BD47" i="46"/>
  <c r="DU47" i="46"/>
  <c r="GL47" i="46"/>
  <c r="IN47" i="46"/>
  <c r="LE47" i="46"/>
  <c r="CB49" i="46"/>
  <c r="ED49" i="46"/>
  <c r="GU49" i="46"/>
  <c r="JL49" i="46"/>
  <c r="AL52" i="46"/>
  <c r="BJ52" i="46"/>
  <c r="CH52" i="46"/>
  <c r="DF52" i="46"/>
  <c r="ED52" i="46"/>
  <c r="FB52" i="46"/>
  <c r="FZ52" i="46"/>
  <c r="GX52" i="46"/>
  <c r="HV52" i="46"/>
  <c r="IT52" i="46"/>
  <c r="JR52" i="46"/>
  <c r="KP52" i="46"/>
  <c r="AC53" i="46"/>
  <c r="BA53" i="46"/>
  <c r="BY53" i="46"/>
  <c r="CW53" i="46"/>
  <c r="DU53" i="46"/>
  <c r="ES53" i="46"/>
  <c r="FQ53" i="46"/>
  <c r="GO53" i="46"/>
  <c r="HM53" i="46"/>
  <c r="IK53" i="46"/>
  <c r="JI53" i="46"/>
  <c r="KG53" i="46"/>
  <c r="LE53" i="46"/>
  <c r="AC56" i="46"/>
  <c r="BA56" i="46"/>
  <c r="BY56" i="46"/>
  <c r="CW56" i="46"/>
  <c r="DU56" i="46"/>
  <c r="ES56" i="46"/>
  <c r="FQ56" i="46"/>
  <c r="GO56" i="46"/>
  <c r="HM56" i="46"/>
  <c r="IK56" i="46"/>
  <c r="JI56" i="46"/>
  <c r="KG56" i="46"/>
  <c r="LE56" i="46"/>
  <c r="AI58" i="46"/>
  <c r="BG58" i="46"/>
  <c r="CE58" i="46"/>
  <c r="DC58" i="46"/>
  <c r="EA58" i="46"/>
  <c r="EY58" i="46"/>
  <c r="FW58" i="46"/>
  <c r="GU58" i="46"/>
  <c r="HS58" i="46"/>
  <c r="IQ58" i="46"/>
  <c r="JO58" i="46"/>
  <c r="KM58" i="46"/>
  <c r="AC36" i="46"/>
  <c r="KJ36" i="46"/>
  <c r="EV37" i="46"/>
  <c r="IE41" i="46"/>
  <c r="BY44" i="46"/>
  <c r="EY44" i="46"/>
  <c r="HG44" i="46"/>
  <c r="KJ44" i="46"/>
  <c r="AI45" i="46"/>
  <c r="DL45" i="46"/>
  <c r="GL45" i="46"/>
  <c r="IT45" i="46"/>
  <c r="BV47" i="46"/>
  <c r="DX47" i="46"/>
  <c r="GO47" i="46"/>
  <c r="JF47" i="46"/>
  <c r="CE49" i="46"/>
  <c r="EV49" i="46"/>
  <c r="GX49" i="46"/>
  <c r="JO49" i="46"/>
  <c r="AO52" i="46"/>
  <c r="BM52" i="46"/>
  <c r="CK52" i="46"/>
  <c r="DI52" i="46"/>
  <c r="EG52" i="46"/>
  <c r="FE52" i="46"/>
  <c r="GC52" i="46"/>
  <c r="HA52" i="46"/>
  <c r="HY52" i="46"/>
  <c r="IW52" i="46"/>
  <c r="JU52" i="46"/>
  <c r="KS52" i="46"/>
  <c r="AF53" i="46"/>
  <c r="BD53" i="46"/>
  <c r="CB53" i="46"/>
  <c r="CZ53" i="46"/>
  <c r="DX53" i="46"/>
  <c r="EV53" i="46"/>
  <c r="FT53" i="46"/>
  <c r="GR53" i="46"/>
  <c r="HP53" i="46"/>
  <c r="IN53" i="46"/>
  <c r="JL53" i="46"/>
  <c r="KJ53" i="46"/>
  <c r="AF56" i="46"/>
  <c r="BD56" i="46"/>
  <c r="CB56" i="46"/>
  <c r="CZ56" i="46"/>
  <c r="DX56" i="46"/>
  <c r="EV56" i="46"/>
  <c r="FT56" i="46"/>
  <c r="GR56" i="46"/>
  <c r="HP56" i="46"/>
  <c r="IN56" i="46"/>
  <c r="JL56" i="46"/>
  <c r="KJ56" i="46"/>
  <c r="AL58" i="46"/>
  <c r="BJ58" i="46"/>
  <c r="CH58" i="46"/>
  <c r="DF58" i="46"/>
  <c r="ED58" i="46"/>
  <c r="FB58" i="46"/>
  <c r="FZ58" i="46"/>
  <c r="GX58" i="46"/>
  <c r="HV58" i="46"/>
  <c r="IT58" i="46"/>
  <c r="JR58" i="46"/>
  <c r="KP58" i="46"/>
  <c r="AF36" i="46"/>
  <c r="JC41" i="46"/>
  <c r="CB44" i="46"/>
  <c r="FB44" i="46"/>
  <c r="IB44" i="46"/>
  <c r="KM44" i="46"/>
  <c r="BD45" i="46"/>
  <c r="DO45" i="46"/>
  <c r="GO45" i="46"/>
  <c r="JO45" i="46"/>
  <c r="BY47" i="46"/>
  <c r="EP47" i="46"/>
  <c r="GR47" i="46"/>
  <c r="JI47" i="46"/>
  <c r="AF49" i="46"/>
  <c r="CH49" i="46"/>
  <c r="EY49" i="46"/>
  <c r="HP49" i="46"/>
  <c r="JR49" i="46"/>
  <c r="AR52" i="46"/>
  <c r="BP52" i="46"/>
  <c r="CN52" i="46"/>
  <c r="DL52" i="46"/>
  <c r="EJ52" i="46"/>
  <c r="FH52" i="46"/>
  <c r="GF52" i="46"/>
  <c r="HD52" i="46"/>
  <c r="IB52" i="46"/>
  <c r="IZ52" i="46"/>
  <c r="JX52" i="46"/>
  <c r="KV52" i="46"/>
  <c r="AI53" i="46"/>
  <c r="BG53" i="46"/>
  <c r="CE53" i="46"/>
  <c r="DC53" i="46"/>
  <c r="EA53" i="46"/>
  <c r="EY53" i="46"/>
  <c r="FW53" i="46"/>
  <c r="GU53" i="46"/>
  <c r="HS53" i="46"/>
  <c r="IQ53" i="46"/>
  <c r="JO53" i="46"/>
  <c r="KM53" i="46"/>
  <c r="AI56" i="46"/>
  <c r="BG56" i="46"/>
  <c r="CE56" i="46"/>
  <c r="DC56" i="46"/>
  <c r="EA56" i="46"/>
  <c r="EY56" i="46"/>
  <c r="FW56" i="46"/>
  <c r="GU56" i="46"/>
  <c r="HS56" i="46"/>
  <c r="IQ56" i="46"/>
  <c r="JO56" i="46"/>
  <c r="KM56" i="46"/>
  <c r="AO58" i="46"/>
  <c r="BM58" i="46"/>
  <c r="CK58" i="46"/>
  <c r="DI58" i="46"/>
  <c r="EG58" i="46"/>
  <c r="FE58" i="46"/>
  <c r="GC58" i="46"/>
  <c r="HA58" i="46"/>
  <c r="HY58" i="46"/>
  <c r="IW58" i="46"/>
  <c r="JU58" i="46"/>
  <c r="KS58" i="46"/>
  <c r="AX36" i="46"/>
  <c r="Z37" i="46"/>
  <c r="CW41" i="46"/>
  <c r="JF41" i="46"/>
  <c r="CW44" i="46"/>
  <c r="FE44" i="46"/>
  <c r="IE44" i="46"/>
  <c r="BG45" i="46"/>
  <c r="EJ45" i="46"/>
  <c r="GR45" i="46"/>
  <c r="JR45" i="46"/>
  <c r="Z47" i="46"/>
  <c r="CB47" i="46"/>
  <c r="ES47" i="46"/>
  <c r="HJ47" i="46"/>
  <c r="JL47" i="46"/>
  <c r="AI49" i="46"/>
  <c r="CZ49" i="46"/>
  <c r="FB49" i="46"/>
  <c r="HS49" i="46"/>
  <c r="KJ49" i="46"/>
  <c r="AU52" i="46"/>
  <c r="BS52" i="46"/>
  <c r="CQ52" i="46"/>
  <c r="DO52" i="46"/>
  <c r="EM52" i="46"/>
  <c r="FK52" i="46"/>
  <c r="GI52" i="46"/>
  <c r="HG52" i="46"/>
  <c r="IE52" i="46"/>
  <c r="JC52" i="46"/>
  <c r="KA52" i="46"/>
  <c r="KY52" i="46"/>
  <c r="AL53" i="46"/>
  <c r="BJ53" i="46"/>
  <c r="CH53" i="46"/>
  <c r="DF53" i="46"/>
  <c r="ED53" i="46"/>
  <c r="FB53" i="46"/>
  <c r="FZ53" i="46"/>
  <c r="GX53" i="46"/>
  <c r="HV53" i="46"/>
  <c r="IT53" i="46"/>
  <c r="JR53" i="46"/>
  <c r="KP53" i="46"/>
  <c r="AL56" i="46"/>
  <c r="BJ56" i="46"/>
  <c r="CH56" i="46"/>
  <c r="DF56" i="46"/>
  <c r="ED56" i="46"/>
  <c r="FB56" i="46"/>
  <c r="FZ56" i="46"/>
  <c r="GX56" i="46"/>
  <c r="HV56" i="46"/>
  <c r="IT56" i="46"/>
  <c r="JR56" i="46"/>
  <c r="KP56" i="46"/>
  <c r="EV36" i="46"/>
  <c r="CB37" i="46"/>
  <c r="CZ41" i="46"/>
  <c r="GO41" i="46"/>
  <c r="JI41" i="46"/>
  <c r="CZ44" i="46"/>
  <c r="FZ44" i="46"/>
  <c r="IK44" i="46"/>
  <c r="BJ45" i="46"/>
  <c r="EM45" i="46"/>
  <c r="HM45" i="46"/>
  <c r="JX45" i="46"/>
  <c r="AC47" i="46"/>
  <c r="CT47" i="46"/>
  <c r="EV47" i="46"/>
  <c r="HM47" i="46"/>
  <c r="KD47" i="46"/>
  <c r="AL49" i="46"/>
  <c r="DC49" i="46"/>
  <c r="FT49" i="46"/>
  <c r="HV49" i="46"/>
  <c r="KM49" i="46"/>
  <c r="Z52" i="46"/>
  <c r="AX52" i="46"/>
  <c r="BV52" i="46"/>
  <c r="CT52" i="46"/>
  <c r="DR52" i="46"/>
  <c r="EP52" i="46"/>
  <c r="FN52" i="46"/>
  <c r="GL52" i="46"/>
  <c r="HJ52" i="46"/>
  <c r="IH52" i="46"/>
  <c r="JF52" i="46"/>
  <c r="KD52" i="46"/>
  <c r="LB52" i="46"/>
  <c r="AO53" i="46"/>
  <c r="BM53" i="46"/>
  <c r="CK53" i="46"/>
  <c r="DI53" i="46"/>
  <c r="EG53" i="46"/>
  <c r="FE53" i="46"/>
  <c r="GC53" i="46"/>
  <c r="HA53" i="46"/>
  <c r="HY53" i="46"/>
  <c r="IW53" i="46"/>
  <c r="JU53" i="46"/>
  <c r="KS53" i="46"/>
  <c r="AO56" i="46"/>
  <c r="BM56" i="46"/>
  <c r="CK56" i="46"/>
  <c r="DI56" i="46"/>
  <c r="EG56" i="46"/>
  <c r="FE56" i="46"/>
  <c r="GC56" i="46"/>
  <c r="HA56" i="46"/>
  <c r="HY56" i="46"/>
  <c r="IW56" i="46"/>
  <c r="JU56" i="46"/>
  <c r="KS56" i="46"/>
  <c r="KD36" i="46"/>
  <c r="GR41" i="46"/>
  <c r="AU44" i="46"/>
  <c r="JC44" i="46"/>
  <c r="CN45" i="46"/>
  <c r="KV45" i="46"/>
  <c r="AX47" i="46"/>
  <c r="HP47" i="46"/>
  <c r="DX49" i="46"/>
  <c r="KP49" i="46"/>
  <c r="BD52" i="46"/>
  <c r="DU52" i="46"/>
  <c r="FW52" i="46"/>
  <c r="IN52" i="46"/>
  <c r="LE52" i="46"/>
  <c r="Z53" i="46"/>
  <c r="CQ53" i="46"/>
  <c r="FH53" i="46"/>
  <c r="HJ53" i="46"/>
  <c r="KA53" i="46"/>
  <c r="CN56" i="46"/>
  <c r="EP56" i="46"/>
  <c r="HG56" i="46"/>
  <c r="JX56" i="46"/>
  <c r="Z58" i="46"/>
  <c r="BP58" i="46"/>
  <c r="CW58" i="46"/>
  <c r="EM58" i="46"/>
  <c r="FT58" i="46"/>
  <c r="HJ58" i="46"/>
  <c r="IZ58" i="46"/>
  <c r="KG58" i="46"/>
  <c r="AU62" i="46"/>
  <c r="BS62" i="46"/>
  <c r="CQ62" i="46"/>
  <c r="DO62" i="46"/>
  <c r="EM62" i="46"/>
  <c r="FK62" i="46"/>
  <c r="GI62" i="46"/>
  <c r="HG62" i="46"/>
  <c r="IE62" i="46"/>
  <c r="JC62" i="46"/>
  <c r="KA62" i="46"/>
  <c r="KY62" i="46"/>
  <c r="AL63" i="46"/>
  <c r="BJ63" i="46"/>
  <c r="CH63" i="46"/>
  <c r="DF63" i="46"/>
  <c r="ED63" i="46"/>
  <c r="FB63" i="46"/>
  <c r="FZ63" i="46"/>
  <c r="GX63" i="46"/>
  <c r="HV63" i="46"/>
  <c r="IT63" i="46"/>
  <c r="JR63" i="46"/>
  <c r="KP63" i="46"/>
  <c r="CN37" i="46"/>
  <c r="GU41" i="46"/>
  <c r="BA44" i="46"/>
  <c r="JI44" i="46"/>
  <c r="EP45" i="46"/>
  <c r="KY45" i="46"/>
  <c r="BA47" i="46"/>
  <c r="IH47" i="46"/>
  <c r="EA49" i="46"/>
  <c r="BG52" i="46"/>
  <c r="DX52" i="46"/>
  <c r="GO52" i="46"/>
  <c r="IQ52" i="46"/>
  <c r="AR53" i="46"/>
  <c r="CT53" i="46"/>
  <c r="FK53" i="46"/>
  <c r="IB53" i="46"/>
  <c r="KD53" i="46"/>
  <c r="Z56" i="46"/>
  <c r="CQ56" i="46"/>
  <c r="FH56" i="46"/>
  <c r="HJ56" i="46"/>
  <c r="KA56" i="46"/>
  <c r="AC58" i="46"/>
  <c r="BS58" i="46"/>
  <c r="CZ58" i="46"/>
  <c r="EP58" i="46"/>
  <c r="GF58" i="46"/>
  <c r="HM58" i="46"/>
  <c r="JC58" i="46"/>
  <c r="KJ58" i="46"/>
  <c r="Z62" i="46"/>
  <c r="AX62" i="46"/>
  <c r="BV62" i="46"/>
  <c r="CT62" i="46"/>
  <c r="DR62" i="46"/>
  <c r="EP62" i="46"/>
  <c r="FN62" i="46"/>
  <c r="GL62" i="46"/>
  <c r="HJ62" i="46"/>
  <c r="IH62" i="46"/>
  <c r="JF62" i="46"/>
  <c r="KD62" i="46"/>
  <c r="LB62" i="46"/>
  <c r="AO63" i="46"/>
  <c r="BM63" i="46"/>
  <c r="CK63" i="46"/>
  <c r="DI63" i="46"/>
  <c r="EG63" i="46"/>
  <c r="FE63" i="46"/>
  <c r="GC63" i="46"/>
  <c r="HA63" i="46"/>
  <c r="HY63" i="46"/>
  <c r="IW63" i="46"/>
  <c r="JU63" i="46"/>
  <c r="KS63" i="46"/>
  <c r="EP37" i="46"/>
  <c r="HS41" i="46"/>
  <c r="DC44" i="46"/>
  <c r="JL44" i="46"/>
  <c r="FK45" i="46"/>
  <c r="CW47" i="46"/>
  <c r="IK47" i="46"/>
  <c r="FW49" i="46"/>
  <c r="BY52" i="46"/>
  <c r="EA52" i="46"/>
  <c r="GR52" i="46"/>
  <c r="JI52" i="46"/>
  <c r="AU53" i="46"/>
  <c r="DL53" i="46"/>
  <c r="FN53" i="46"/>
  <c r="IE53" i="46"/>
  <c r="KV53" i="46"/>
  <c r="AR56" i="46"/>
  <c r="CT56" i="46"/>
  <c r="FK56" i="46"/>
  <c r="IB56" i="46"/>
  <c r="KD56" i="46"/>
  <c r="AF58" i="46"/>
  <c r="BV58" i="46"/>
  <c r="DL58" i="46"/>
  <c r="ES58" i="46"/>
  <c r="GI58" i="46"/>
  <c r="HP58" i="46"/>
  <c r="JF58" i="46"/>
  <c r="KV58" i="46"/>
  <c r="AC62" i="46"/>
  <c r="BA62" i="46"/>
  <c r="BY62" i="46"/>
  <c r="CW62" i="46"/>
  <c r="DU62" i="46"/>
  <c r="ES62" i="46"/>
  <c r="FQ62" i="46"/>
  <c r="GO62" i="46"/>
  <c r="HM62" i="46"/>
  <c r="IK62" i="46"/>
  <c r="JI62" i="46"/>
  <c r="KG62" i="46"/>
  <c r="LE62" i="46"/>
  <c r="AR63" i="46"/>
  <c r="BP63" i="46"/>
  <c r="CN63" i="46"/>
  <c r="DL63" i="46"/>
  <c r="EJ63" i="46"/>
  <c r="FH63" i="46"/>
  <c r="GF63" i="46"/>
  <c r="HD63" i="46"/>
  <c r="IB63" i="46"/>
  <c r="IZ63" i="46"/>
  <c r="JX63" i="46"/>
  <c r="KV63" i="46"/>
  <c r="Z65" i="46"/>
  <c r="AX65" i="46"/>
  <c r="BV65" i="46"/>
  <c r="CT65" i="46"/>
  <c r="DR65" i="46"/>
  <c r="EP65" i="46"/>
  <c r="FN65" i="46"/>
  <c r="GL65" i="46"/>
  <c r="HJ65" i="46"/>
  <c r="IH65" i="46"/>
  <c r="JF65" i="46"/>
  <c r="KG41" i="46"/>
  <c r="DX44" i="46"/>
  <c r="FN45" i="46"/>
  <c r="CZ47" i="46"/>
  <c r="KG47" i="46"/>
  <c r="FZ49" i="46"/>
  <c r="CB52" i="46"/>
  <c r="ES52" i="46"/>
  <c r="GU52" i="46"/>
  <c r="JL52" i="46"/>
  <c r="AX53" i="46"/>
  <c r="DO53" i="46"/>
  <c r="GF53" i="46"/>
  <c r="IH53" i="46"/>
  <c r="KY53" i="46"/>
  <c r="AU56" i="46"/>
  <c r="DL56" i="46"/>
  <c r="FN56" i="46"/>
  <c r="IE56" i="46"/>
  <c r="KV56" i="46"/>
  <c r="AR58" i="46"/>
  <c r="BY58" i="46"/>
  <c r="DO58" i="46"/>
  <c r="EV58" i="46"/>
  <c r="GL58" i="46"/>
  <c r="IB58" i="46"/>
  <c r="JI58" i="46"/>
  <c r="KY58" i="46"/>
  <c r="AF62" i="46"/>
  <c r="BD62" i="46"/>
  <c r="CB62" i="46"/>
  <c r="CZ62" i="46"/>
  <c r="DX62" i="46"/>
  <c r="EV62" i="46"/>
  <c r="FT62" i="46"/>
  <c r="GR62" i="46"/>
  <c r="HP62" i="46"/>
  <c r="IN62" i="46"/>
  <c r="JL62" i="46"/>
  <c r="KJ62" i="46"/>
  <c r="AU63" i="46"/>
  <c r="BS63" i="46"/>
  <c r="CQ63" i="46"/>
  <c r="DO63" i="46"/>
  <c r="EM63" i="46"/>
  <c r="FK63" i="46"/>
  <c r="GI63" i="46"/>
  <c r="HG63" i="46"/>
  <c r="IE63" i="46"/>
  <c r="JC63" i="46"/>
  <c r="KA63" i="46"/>
  <c r="KY63" i="46"/>
  <c r="AU41" i="46"/>
  <c r="KJ41" i="46"/>
  <c r="EA44" i="46"/>
  <c r="HP45" i="46"/>
  <c r="DR47" i="46"/>
  <c r="KJ47" i="46"/>
  <c r="BD49" i="46"/>
  <c r="GR49" i="46"/>
  <c r="AC52" i="46"/>
  <c r="CE52" i="46"/>
  <c r="EV52" i="46"/>
  <c r="HM52" i="46"/>
  <c r="JO52" i="46"/>
  <c r="BP53" i="46"/>
  <c r="DR53" i="46"/>
  <c r="GI53" i="46"/>
  <c r="IZ53" i="46"/>
  <c r="LB53" i="46"/>
  <c r="AX56" i="46"/>
  <c r="DO56" i="46"/>
  <c r="GF56" i="46"/>
  <c r="IH56" i="46"/>
  <c r="KY56" i="46"/>
  <c r="AU58" i="46"/>
  <c r="CB58" i="46"/>
  <c r="DR58" i="46"/>
  <c r="FH58" i="46"/>
  <c r="GO58" i="46"/>
  <c r="IE58" i="46"/>
  <c r="JL58" i="46"/>
  <c r="LB58" i="46"/>
  <c r="AI62" i="46"/>
  <c r="BG62" i="46"/>
  <c r="CE62" i="46"/>
  <c r="DC62" i="46"/>
  <c r="EA62" i="46"/>
  <c r="EY62" i="46"/>
  <c r="FW62" i="46"/>
  <c r="GU62" i="46"/>
  <c r="HS62" i="46"/>
  <c r="IQ62" i="46"/>
  <c r="JO62" i="46"/>
  <c r="KM62" i="46"/>
  <c r="Z63" i="46"/>
  <c r="AX63" i="46"/>
  <c r="BV63" i="46"/>
  <c r="CT63" i="46"/>
  <c r="DR63" i="46"/>
  <c r="EP63" i="46"/>
  <c r="FN63" i="46"/>
  <c r="GL63" i="46"/>
  <c r="HJ63" i="46"/>
  <c r="IH63" i="46"/>
  <c r="JF63" i="46"/>
  <c r="KD63" i="46"/>
  <c r="LB63" i="46"/>
  <c r="FN36" i="46"/>
  <c r="GC44" i="46"/>
  <c r="HS45" i="46"/>
  <c r="FN47" i="46"/>
  <c r="IT49" i="46"/>
  <c r="CW52" i="46"/>
  <c r="IK52" i="46"/>
  <c r="EJ53" i="46"/>
  <c r="JX53" i="46"/>
  <c r="EJ56" i="46"/>
  <c r="LB56" i="46"/>
  <c r="BA58" i="46"/>
  <c r="FK58" i="46"/>
  <c r="IN58" i="46"/>
  <c r="BP62" i="46"/>
  <c r="EG62" i="46"/>
  <c r="GX62" i="46"/>
  <c r="IZ62" i="46"/>
  <c r="BA63" i="46"/>
  <c r="DC63" i="46"/>
  <c r="FT63" i="46"/>
  <c r="IK63" i="46"/>
  <c r="KM63" i="46"/>
  <c r="AO65" i="46"/>
  <c r="BP65" i="46"/>
  <c r="CQ65" i="46"/>
  <c r="DU65" i="46"/>
  <c r="EV65" i="46"/>
  <c r="FW65" i="46"/>
  <c r="GX65" i="46"/>
  <c r="HY65" i="46"/>
  <c r="IZ65" i="46"/>
  <c r="KA65" i="46"/>
  <c r="KY65" i="46"/>
  <c r="AL66" i="46"/>
  <c r="BJ66" i="46"/>
  <c r="CH66" i="46"/>
  <c r="DF66" i="46"/>
  <c r="ED66" i="46"/>
  <c r="FB66" i="46"/>
  <c r="FZ66" i="46"/>
  <c r="GX66" i="46"/>
  <c r="HV66" i="46"/>
  <c r="IT66" i="46"/>
  <c r="JR66" i="46"/>
  <c r="KP66" i="46"/>
  <c r="FQ36" i="46"/>
  <c r="GF44" i="46"/>
  <c r="IN45" i="46"/>
  <c r="FQ47" i="46"/>
  <c r="CZ52" i="46"/>
  <c r="KG52" i="46"/>
  <c r="EM53" i="46"/>
  <c r="EM56" i="46"/>
  <c r="BD58" i="46"/>
  <c r="FN58" i="46"/>
  <c r="JX58" i="46"/>
  <c r="CH62" i="46"/>
  <c r="EJ62" i="46"/>
  <c r="HA62" i="46"/>
  <c r="JR62" i="46"/>
  <c r="BD63" i="46"/>
  <c r="DU63" i="46"/>
  <c r="FW63" i="46"/>
  <c r="IN63" i="46"/>
  <c r="LE63" i="46"/>
  <c r="AR65" i="46"/>
  <c r="BS65" i="46"/>
  <c r="CW65" i="46"/>
  <c r="DX65" i="46"/>
  <c r="EY65" i="46"/>
  <c r="FZ65" i="46"/>
  <c r="HA65" i="46"/>
  <c r="IB65" i="46"/>
  <c r="JC65" i="46"/>
  <c r="KD65" i="46"/>
  <c r="LB65" i="46"/>
  <c r="AO66" i="46"/>
  <c r="BM66" i="46"/>
  <c r="CK66" i="46"/>
  <c r="DI66" i="46"/>
  <c r="EG66" i="46"/>
  <c r="FE66" i="46"/>
  <c r="GC66" i="46"/>
  <c r="HA66" i="46"/>
  <c r="HY66" i="46"/>
  <c r="IW66" i="46"/>
  <c r="JU66" i="46"/>
  <c r="KS66" i="46"/>
  <c r="HA44" i="46"/>
  <c r="KP45" i="46"/>
  <c r="FT47" i="46"/>
  <c r="DC52" i="46"/>
  <c r="KJ52" i="46"/>
  <c r="EP53" i="46"/>
  <c r="GI56" i="46"/>
  <c r="CN58" i="46"/>
  <c r="FQ58" i="46"/>
  <c r="KA58" i="46"/>
  <c r="CK62" i="46"/>
  <c r="FB62" i="46"/>
  <c r="HD62" i="46"/>
  <c r="JU62" i="46"/>
  <c r="BG63" i="46"/>
  <c r="DX63" i="46"/>
  <c r="GO63" i="46"/>
  <c r="IQ63" i="46"/>
  <c r="AU65" i="46"/>
  <c r="BY65" i="46"/>
  <c r="CZ65" i="46"/>
  <c r="EA65" i="46"/>
  <c r="FB65" i="46"/>
  <c r="GC65" i="46"/>
  <c r="HD65" i="46"/>
  <c r="IE65" i="46"/>
  <c r="JI65" i="46"/>
  <c r="KG65" i="46"/>
  <c r="LE65" i="46"/>
  <c r="AR66" i="46"/>
  <c r="BP66" i="46"/>
  <c r="CN66" i="46"/>
  <c r="DL66" i="46"/>
  <c r="EJ66" i="46"/>
  <c r="FH66" i="46"/>
  <c r="GF66" i="46"/>
  <c r="HD66" i="46"/>
  <c r="IB66" i="46"/>
  <c r="IZ66" i="46"/>
  <c r="JX66" i="46"/>
  <c r="KV66" i="46"/>
  <c r="LB47" i="46"/>
  <c r="BG49" i="46"/>
  <c r="EY52" i="46"/>
  <c r="KM52" i="46"/>
  <c r="GL53" i="46"/>
  <c r="GL56" i="46"/>
  <c r="CQ58" i="46"/>
  <c r="GR58" i="46"/>
  <c r="KD58" i="46"/>
  <c r="AL62" i="46"/>
  <c r="CN62" i="46"/>
  <c r="FE62" i="46"/>
  <c r="HV62" i="46"/>
  <c r="JX62" i="46"/>
  <c r="BY63" i="46"/>
  <c r="EA63" i="46"/>
  <c r="GR63" i="46"/>
  <c r="JI63" i="46"/>
  <c r="BA65" i="46"/>
  <c r="CB65" i="46"/>
  <c r="DC65" i="46"/>
  <c r="ED65" i="46"/>
  <c r="FE65" i="46"/>
  <c r="GF65" i="46"/>
  <c r="HG65" i="46"/>
  <c r="IK65" i="46"/>
  <c r="JL65" i="46"/>
  <c r="KJ65" i="46"/>
  <c r="AU66" i="46"/>
  <c r="BS66" i="46"/>
  <c r="CQ66" i="46"/>
  <c r="DO66" i="46"/>
  <c r="EM66" i="46"/>
  <c r="FK66" i="46"/>
  <c r="GI66" i="46"/>
  <c r="HG66" i="46"/>
  <c r="IE66" i="46"/>
  <c r="JC66" i="46"/>
  <c r="KA66" i="46"/>
  <c r="KY66" i="46"/>
  <c r="EA41" i="46"/>
  <c r="BJ49" i="46"/>
  <c r="FQ52" i="46"/>
  <c r="HD53" i="46"/>
  <c r="BP56" i="46"/>
  <c r="HD56" i="46"/>
  <c r="CT58" i="46"/>
  <c r="HD58" i="46"/>
  <c r="LE58" i="46"/>
  <c r="AO62" i="46"/>
  <c r="DF62" i="46"/>
  <c r="FH62" i="46"/>
  <c r="HY62" i="46"/>
  <c r="KP62" i="46"/>
  <c r="CB63" i="46"/>
  <c r="ES63" i="46"/>
  <c r="GU63" i="46"/>
  <c r="JL63" i="46"/>
  <c r="AC65" i="46"/>
  <c r="BD65" i="46"/>
  <c r="CE65" i="46"/>
  <c r="DF65" i="46"/>
  <c r="EG65" i="46"/>
  <c r="FH65" i="46"/>
  <c r="GI65" i="46"/>
  <c r="HM65" i="46"/>
  <c r="IN65" i="46"/>
  <c r="JO65" i="46"/>
  <c r="KM65" i="46"/>
  <c r="Z66" i="46"/>
  <c r="AX66" i="46"/>
  <c r="BV66" i="46"/>
  <c r="CT66" i="46"/>
  <c r="DR66" i="46"/>
  <c r="EP66" i="46"/>
  <c r="FN66" i="46"/>
  <c r="GL66" i="46"/>
  <c r="HJ66" i="46"/>
  <c r="IH66" i="46"/>
  <c r="JF66" i="46"/>
  <c r="KD66" i="46"/>
  <c r="LB66" i="46"/>
  <c r="ED41" i="46"/>
  <c r="AC45" i="46"/>
  <c r="IN49" i="46"/>
  <c r="HS52" i="46"/>
  <c r="CN53" i="46"/>
  <c r="DR56" i="46"/>
  <c r="DX58" i="46"/>
  <c r="AR62" i="46"/>
  <c r="GF62" i="46"/>
  <c r="CE63" i="46"/>
  <c r="HS63" i="46"/>
  <c r="AF65" i="46"/>
  <c r="CN65" i="46"/>
  <c r="FQ65" i="46"/>
  <c r="IQ65" i="46"/>
  <c r="KV65" i="46"/>
  <c r="AF66" i="46"/>
  <c r="CW66" i="46"/>
  <c r="EY66" i="46"/>
  <c r="HP66" i="46"/>
  <c r="KG66" i="46"/>
  <c r="AU74" i="46"/>
  <c r="BS74" i="46"/>
  <c r="CQ74" i="46"/>
  <c r="DO74" i="46"/>
  <c r="EM74" i="46"/>
  <c r="FK74" i="46"/>
  <c r="GI74" i="46"/>
  <c r="HG74" i="46"/>
  <c r="IE74" i="46"/>
  <c r="JC74" i="46"/>
  <c r="KA74" i="46"/>
  <c r="KY74" i="46"/>
  <c r="AL75" i="46"/>
  <c r="BJ75" i="46"/>
  <c r="CH75" i="46"/>
  <c r="DF75" i="46"/>
  <c r="ED75" i="46"/>
  <c r="FB75" i="46"/>
  <c r="FZ75" i="46"/>
  <c r="GX75" i="46"/>
  <c r="HV75" i="46"/>
  <c r="IT75" i="46"/>
  <c r="JR75" i="46"/>
  <c r="KP75" i="46"/>
  <c r="CH45" i="46"/>
  <c r="JC53" i="46"/>
  <c r="JC56" i="46"/>
  <c r="HG58" i="46"/>
  <c r="BM62" i="46"/>
  <c r="IT62" i="46"/>
  <c r="CZ63" i="46"/>
  <c r="KG63" i="46"/>
  <c r="AL65" i="46"/>
  <c r="DL65" i="46"/>
  <c r="GO65" i="46"/>
  <c r="IW65" i="46"/>
  <c r="BA66" i="46"/>
  <c r="DC66" i="46"/>
  <c r="FT66" i="46"/>
  <c r="IK66" i="46"/>
  <c r="KM66" i="46"/>
  <c r="AC74" i="46"/>
  <c r="BA74" i="46"/>
  <c r="BY74" i="46"/>
  <c r="CW74" i="46"/>
  <c r="DU74" i="46"/>
  <c r="ES74" i="46"/>
  <c r="FQ74" i="46"/>
  <c r="GO74" i="46"/>
  <c r="HM74" i="46"/>
  <c r="IK74" i="46"/>
  <c r="JI74" i="46"/>
  <c r="KG74" i="46"/>
  <c r="LE74" i="46"/>
  <c r="AR75" i="46"/>
  <c r="BP75" i="46"/>
  <c r="CN75" i="46"/>
  <c r="DL75" i="46"/>
  <c r="EJ75" i="46"/>
  <c r="FH75" i="46"/>
  <c r="GF75" i="46"/>
  <c r="HD75" i="46"/>
  <c r="IB75" i="46"/>
  <c r="IZ75" i="46"/>
  <c r="JX75" i="46"/>
  <c r="KV75" i="46"/>
  <c r="AF52" i="46"/>
  <c r="JF53" i="46"/>
  <c r="JF56" i="46"/>
  <c r="IH58" i="46"/>
  <c r="DI62" i="46"/>
  <c r="IW62" i="46"/>
  <c r="EV63" i="46"/>
  <c r="KJ63" i="46"/>
  <c r="BG65" i="46"/>
  <c r="DO65" i="46"/>
  <c r="GR65" i="46"/>
  <c r="JR65" i="46"/>
  <c r="BD66" i="46"/>
  <c r="DU66" i="46"/>
  <c r="FW66" i="46"/>
  <c r="IN66" i="46"/>
  <c r="LE66" i="46"/>
  <c r="AF74" i="46"/>
  <c r="BD74" i="46"/>
  <c r="CB74" i="46"/>
  <c r="CZ74" i="46"/>
  <c r="DX74" i="46"/>
  <c r="EV74" i="46"/>
  <c r="FT74" i="46"/>
  <c r="GR74" i="46"/>
  <c r="HP74" i="46"/>
  <c r="IN74" i="46"/>
  <c r="JL74" i="46"/>
  <c r="KJ74" i="46"/>
  <c r="AU75" i="46"/>
  <c r="BS75" i="46"/>
  <c r="CQ75" i="46"/>
  <c r="DO75" i="46"/>
  <c r="EM75" i="46"/>
  <c r="FK75" i="46"/>
  <c r="GI75" i="46"/>
  <c r="HG75" i="46"/>
  <c r="IE75" i="46"/>
  <c r="JC75" i="46"/>
  <c r="KA75" i="46"/>
  <c r="KY75" i="46"/>
  <c r="AF47" i="46"/>
  <c r="AI52" i="46"/>
  <c r="IK58" i="46"/>
  <c r="DL62" i="46"/>
  <c r="KS62" i="46"/>
  <c r="EY63" i="46"/>
  <c r="BJ65" i="46"/>
  <c r="EJ65" i="46"/>
  <c r="GU65" i="46"/>
  <c r="JU65" i="46"/>
  <c r="BG66" i="46"/>
  <c r="DX66" i="46"/>
  <c r="GO66" i="46"/>
  <c r="IQ66" i="46"/>
  <c r="AI74" i="46"/>
  <c r="BG74" i="46"/>
  <c r="CE74" i="46"/>
  <c r="DC74" i="46"/>
  <c r="EA74" i="46"/>
  <c r="EY74" i="46"/>
  <c r="FW74" i="46"/>
  <c r="GU74" i="46"/>
  <c r="HS74" i="46"/>
  <c r="IQ74" i="46"/>
  <c r="JO74" i="46"/>
  <c r="KM74" i="46"/>
  <c r="Z75" i="46"/>
  <c r="AX75" i="46"/>
  <c r="BV75" i="46"/>
  <c r="CT75" i="46"/>
  <c r="DR75" i="46"/>
  <c r="EP75" i="46"/>
  <c r="FN75" i="46"/>
  <c r="GL75" i="46"/>
  <c r="HJ75" i="46"/>
  <c r="IH75" i="46"/>
  <c r="JF75" i="46"/>
  <c r="KD75" i="46"/>
  <c r="LB75" i="46"/>
  <c r="BA52" i="46"/>
  <c r="ED62" i="46"/>
  <c r="KV62" i="46"/>
  <c r="AC63" i="46"/>
  <c r="FQ63" i="46"/>
  <c r="BM65" i="46"/>
  <c r="EM65" i="46"/>
  <c r="HP65" i="46"/>
  <c r="JX65" i="46"/>
  <c r="BY66" i="46"/>
  <c r="EA66" i="46"/>
  <c r="GR66" i="46"/>
  <c r="JI66" i="46"/>
  <c r="DF49" i="46"/>
  <c r="HP52" i="46"/>
  <c r="BS53" i="46"/>
  <c r="IZ56" i="46"/>
  <c r="HP63" i="46"/>
  <c r="CH65" i="46"/>
  <c r="IT65" i="46"/>
  <c r="ES66" i="46"/>
  <c r="KJ66" i="46"/>
  <c r="Z74" i="46"/>
  <c r="BV74" i="46"/>
  <c r="DR74" i="46"/>
  <c r="FN74" i="46"/>
  <c r="HJ74" i="46"/>
  <c r="JF74" i="46"/>
  <c r="LB74" i="46"/>
  <c r="BM75" i="46"/>
  <c r="DI75" i="46"/>
  <c r="FE75" i="46"/>
  <c r="HA75" i="46"/>
  <c r="IW75" i="46"/>
  <c r="KS75" i="46"/>
  <c r="AO77" i="46"/>
  <c r="BM77" i="46"/>
  <c r="CK77" i="46"/>
  <c r="DI77" i="46"/>
  <c r="EG77" i="46"/>
  <c r="FE77" i="46"/>
  <c r="GC77" i="46"/>
  <c r="HA77" i="46"/>
  <c r="HY77" i="46"/>
  <c r="IW77" i="46"/>
  <c r="JU77" i="46"/>
  <c r="KS77" i="46"/>
  <c r="KM41" i="46"/>
  <c r="IQ49" i="46"/>
  <c r="BV53" i="46"/>
  <c r="JO63" i="46"/>
  <c r="CK65" i="46"/>
  <c r="KP65" i="46"/>
  <c r="EV66" i="46"/>
  <c r="AL74" i="46"/>
  <c r="CH74" i="46"/>
  <c r="ED74" i="46"/>
  <c r="FZ74" i="46"/>
  <c r="HV74" i="46"/>
  <c r="JR74" i="46"/>
  <c r="AC75" i="46"/>
  <c r="BY75" i="46"/>
  <c r="DU75" i="46"/>
  <c r="FQ75" i="46"/>
  <c r="HM75" i="46"/>
  <c r="JI75" i="46"/>
  <c r="LE75" i="46"/>
  <c r="AR77" i="46"/>
  <c r="BP77" i="46"/>
  <c r="CN77" i="46"/>
  <c r="DL77" i="46"/>
  <c r="EJ77" i="46"/>
  <c r="FH77" i="46"/>
  <c r="GF77" i="46"/>
  <c r="HD77" i="46"/>
  <c r="IB77" i="46"/>
  <c r="IZ77" i="46"/>
  <c r="JX77" i="46"/>
  <c r="KV77" i="46"/>
  <c r="CE45" i="46"/>
  <c r="HG53" i="46"/>
  <c r="DI65" i="46"/>
  <c r="KS65" i="46"/>
  <c r="FQ66" i="46"/>
  <c r="AO74" i="46"/>
  <c r="CK74" i="46"/>
  <c r="EG74" i="46"/>
  <c r="GC74" i="46"/>
  <c r="HY74" i="46"/>
  <c r="JU74" i="46"/>
  <c r="AF75" i="46"/>
  <c r="CB75" i="46"/>
  <c r="DX75" i="46"/>
  <c r="FT75" i="46"/>
  <c r="HP75" i="46"/>
  <c r="JL75" i="46"/>
  <c r="AU77" i="46"/>
  <c r="BS77" i="46"/>
  <c r="CQ77" i="46"/>
  <c r="DO77" i="46"/>
  <c r="EM77" i="46"/>
  <c r="FK77" i="46"/>
  <c r="GI77" i="46"/>
  <c r="HG77" i="46"/>
  <c r="IE77" i="46"/>
  <c r="JC77" i="46"/>
  <c r="KA77" i="46"/>
  <c r="KY77" i="46"/>
  <c r="AX58" i="46"/>
  <c r="BJ62" i="46"/>
  <c r="ES65" i="46"/>
  <c r="AC66" i="46"/>
  <c r="GU66" i="46"/>
  <c r="AR74" i="46"/>
  <c r="CN74" i="46"/>
  <c r="EJ74" i="46"/>
  <c r="GF74" i="46"/>
  <c r="IB74" i="46"/>
  <c r="JX74" i="46"/>
  <c r="AI75" i="46"/>
  <c r="CE75" i="46"/>
  <c r="EA75" i="46"/>
  <c r="FW75" i="46"/>
  <c r="HS75" i="46"/>
  <c r="JO75" i="46"/>
  <c r="Z77" i="46"/>
  <c r="AX77" i="46"/>
  <c r="BV77" i="46"/>
  <c r="CT77" i="46"/>
  <c r="DR77" i="46"/>
  <c r="EP77" i="46"/>
  <c r="FN77" i="46"/>
  <c r="GL77" i="46"/>
  <c r="HJ77" i="46"/>
  <c r="IH77" i="46"/>
  <c r="JF77" i="46"/>
  <c r="KD77" i="46"/>
  <c r="LB77" i="46"/>
  <c r="DU58" i="46"/>
  <c r="FZ62" i="46"/>
  <c r="AF63" i="46"/>
  <c r="FK65" i="46"/>
  <c r="AI66" i="46"/>
  <c r="HM66" i="46"/>
  <c r="AX74" i="46"/>
  <c r="CT74" i="46"/>
  <c r="EP74" i="46"/>
  <c r="GL74" i="46"/>
  <c r="IH74" i="46"/>
  <c r="KD74" i="46"/>
  <c r="AO75" i="46"/>
  <c r="CK75" i="46"/>
  <c r="EG75" i="46"/>
  <c r="GC75" i="46"/>
  <c r="HY75" i="46"/>
  <c r="JU75" i="46"/>
  <c r="AC77" i="46"/>
  <c r="BA77" i="46"/>
  <c r="BY77" i="46"/>
  <c r="CW77" i="46"/>
  <c r="DU77" i="46"/>
  <c r="ES77" i="46"/>
  <c r="FQ77" i="46"/>
  <c r="GO77" i="46"/>
  <c r="HM77" i="46"/>
  <c r="IK77" i="46"/>
  <c r="JI77" i="46"/>
  <c r="KG77" i="46"/>
  <c r="LE77" i="46"/>
  <c r="EJ58" i="46"/>
  <c r="GC62" i="46"/>
  <c r="AI63" i="46"/>
  <c r="FT65" i="46"/>
  <c r="CB66" i="46"/>
  <c r="HS66" i="46"/>
  <c r="BJ74" i="46"/>
  <c r="DF74" i="46"/>
  <c r="FB74" i="46"/>
  <c r="GX74" i="46"/>
  <c r="IT74" i="46"/>
  <c r="KP74" i="46"/>
  <c r="BA75" i="46"/>
  <c r="CW75" i="46"/>
  <c r="ES75" i="46"/>
  <c r="GO75" i="46"/>
  <c r="IK75" i="46"/>
  <c r="KG75" i="46"/>
  <c r="AF77" i="46"/>
  <c r="BD77" i="46"/>
  <c r="CB77" i="46"/>
  <c r="CZ77" i="46"/>
  <c r="DX77" i="46"/>
  <c r="EV77" i="46"/>
  <c r="FT77" i="46"/>
  <c r="GR77" i="46"/>
  <c r="HP77" i="46"/>
  <c r="IN77" i="46"/>
  <c r="JL77" i="46"/>
  <c r="KJ77" i="46"/>
  <c r="Z7" i="46"/>
  <c r="BS56" i="46"/>
  <c r="IB62" i="46"/>
  <c r="CW63" i="46"/>
  <c r="HS65" i="46"/>
  <c r="CE66" i="46"/>
  <c r="JL66" i="46"/>
  <c r="HV65" i="46"/>
  <c r="CZ66" i="46"/>
  <c r="DL74" i="46"/>
  <c r="KV74" i="46"/>
  <c r="EY75" i="46"/>
  <c r="BJ77" i="46"/>
  <c r="FB77" i="46"/>
  <c r="IT77" i="46"/>
  <c r="FH74" i="46"/>
  <c r="FZ77" i="46"/>
  <c r="JO66" i="46"/>
  <c r="FE74" i="46"/>
  <c r="GR75" i="46"/>
  <c r="CE77" i="46"/>
  <c r="FW77" i="46"/>
  <c r="JO77" i="46"/>
  <c r="BV56" i="46"/>
  <c r="GU75" i="46"/>
  <c r="CH77" i="46"/>
  <c r="JR77" i="46"/>
  <c r="HA74" i="46"/>
  <c r="BD75" i="46"/>
  <c r="IN75" i="46"/>
  <c r="DC77" i="46"/>
  <c r="GU77" i="46"/>
  <c r="KM77" i="46"/>
  <c r="FT52" i="46"/>
  <c r="HD74" i="46"/>
  <c r="BG75" i="46"/>
  <c r="IQ75" i="46"/>
  <c r="DF77" i="46"/>
  <c r="GX77" i="46"/>
  <c r="KP77" i="46"/>
  <c r="HM63" i="46"/>
  <c r="BM74" i="46"/>
  <c r="IW74" i="46"/>
  <c r="CZ75" i="46"/>
  <c r="KJ75" i="46"/>
  <c r="AI77" i="46"/>
  <c r="EA77" i="46"/>
  <c r="HS77" i="46"/>
  <c r="BP74" i="46"/>
  <c r="IZ74" i="46"/>
  <c r="DC75" i="46"/>
  <c r="KM75" i="46"/>
  <c r="AL77" i="46"/>
  <c r="ED77" i="46"/>
  <c r="HV77" i="46"/>
  <c r="AR44" i="46"/>
  <c r="AI65" i="46"/>
  <c r="DI74" i="46"/>
  <c r="KS74" i="46"/>
  <c r="EV75" i="46"/>
  <c r="BG77" i="46"/>
  <c r="EY77" i="46"/>
  <c r="IQ77" i="46"/>
  <c r="Q46" i="46"/>
  <c r="P221" i="46"/>
  <c r="Q222" i="46"/>
  <c r="Q68" i="46"/>
  <c r="T256" i="46"/>
  <c r="Q16" i="46"/>
  <c r="T65" i="46"/>
  <c r="Q29" i="46"/>
  <c r="Q220" i="46"/>
  <c r="Q14" i="46"/>
  <c r="Q233" i="46"/>
  <c r="Q8" i="46"/>
  <c r="P178" i="46"/>
  <c r="P174" i="46"/>
  <c r="Q173" i="46"/>
  <c r="Q169" i="46"/>
  <c r="T47" i="46"/>
  <c r="Q50" i="46"/>
  <c r="T75" i="46"/>
  <c r="Q70" i="46"/>
  <c r="Q71" i="46"/>
  <c r="Q23" i="46"/>
  <c r="M46" i="46"/>
  <c r="EA46" i="46" s="1"/>
  <c r="M71" i="46"/>
  <c r="KD71" i="46" s="1"/>
  <c r="M70" i="46"/>
  <c r="M23" i="46"/>
  <c r="Q22" i="46"/>
  <c r="M22" i="46"/>
  <c r="Q200" i="46"/>
  <c r="T53" i="46"/>
  <c r="T26" i="46"/>
  <c r="Q72" i="46"/>
  <c r="DL72" i="46" s="1"/>
  <c r="Q43" i="46"/>
  <c r="T17" i="46"/>
  <c r="Q64" i="46"/>
  <c r="T36" i="46"/>
  <c r="T13" i="46"/>
  <c r="Q34" i="46"/>
  <c r="T33" i="46"/>
  <c r="T7" i="46"/>
  <c r="F5" i="48" a="1"/>
  <c r="F5" i="48" s="1"/>
  <c r="V267" i="46"/>
  <c r="T253" i="46"/>
  <c r="T258" i="46"/>
  <c r="T58" i="46"/>
  <c r="M39" i="46"/>
  <c r="M28" i="46"/>
  <c r="Q28" i="46"/>
  <c r="Q12" i="46"/>
  <c r="E205" i="46"/>
  <c r="Q205" i="46"/>
  <c r="M233" i="46"/>
  <c r="P233" i="46"/>
  <c r="M244" i="46"/>
  <c r="P244" i="46"/>
  <c r="E164" i="46"/>
  <c r="Q164" i="46"/>
  <c r="E176" i="46"/>
  <c r="Q172" i="46"/>
  <c r="E168" i="46"/>
  <c r="M35" i="46"/>
  <c r="Q35" i="46"/>
  <c r="M51" i="46"/>
  <c r="AL51" i="46" s="1"/>
  <c r="Q51" i="46"/>
  <c r="T63" i="46"/>
  <c r="Q11" i="46"/>
  <c r="M64" i="46"/>
  <c r="CQ64" i="46" s="1"/>
  <c r="M25" i="46"/>
  <c r="M10" i="46"/>
  <c r="Q18" i="46"/>
  <c r="Q57" i="46"/>
  <c r="Q61" i="46"/>
  <c r="KA61" i="46" s="1"/>
  <c r="Q69" i="46"/>
  <c r="GO69" i="46" s="1"/>
  <c r="Q73" i="46"/>
  <c r="M73" i="46"/>
  <c r="M12" i="46"/>
  <c r="M24" i="46"/>
  <c r="Q171" i="46"/>
  <c r="M32" i="46"/>
  <c r="M40" i="46"/>
  <c r="T40" i="46" s="1"/>
  <c r="Q48" i="46"/>
  <c r="HD48" i="46" s="1"/>
  <c r="M27" i="46"/>
  <c r="M19" i="46"/>
  <c r="D65" i="46"/>
  <c r="M59" i="46"/>
  <c r="M15" i="46"/>
  <c r="P170" i="46"/>
  <c r="M60" i="46"/>
  <c r="DC60" i="46" s="1"/>
  <c r="M68" i="46"/>
  <c r="T68" i="46" s="1"/>
  <c r="M200" i="46"/>
  <c r="M76" i="46"/>
  <c r="IW76" i="46" s="1"/>
  <c r="P200" i="46"/>
  <c r="Q221" i="46"/>
  <c r="M223" i="46"/>
  <c r="T255" i="46"/>
  <c r="AD130" i="3"/>
  <c r="AD19" i="3"/>
  <c r="AM85" i="3"/>
  <c r="BE5" i="3"/>
  <c r="BE57" i="3" s="1"/>
  <c r="AM101" i="3"/>
  <c r="AM29" i="3"/>
  <c r="AM69" i="3"/>
  <c r="AM77" i="3"/>
  <c r="AM13" i="3"/>
  <c r="AM37" i="3"/>
  <c r="AM93" i="3"/>
  <c r="AM45" i="3"/>
  <c r="AM61" i="3"/>
  <c r="AJ44" i="3"/>
  <c r="K102" i="46"/>
  <c r="K133" i="46"/>
  <c r="K147" i="46"/>
  <c r="M4" i="47"/>
  <c r="K161" i="46"/>
  <c r="H153" i="46"/>
  <c r="H144" i="46"/>
  <c r="H145" i="46"/>
  <c r="K155" i="46"/>
  <c r="AJ20" i="3"/>
  <c r="H160" i="46"/>
  <c r="K189" i="46"/>
  <c r="K149" i="46"/>
  <c r="K242" i="46"/>
  <c r="K157" i="46"/>
  <c r="H154" i="46"/>
  <c r="Q20" i="6"/>
  <c r="H136" i="46"/>
  <c r="K188" i="46"/>
  <c r="K159" i="46"/>
  <c r="K124" i="46"/>
  <c r="K145" i="46"/>
  <c r="K105" i="46"/>
  <c r="H146" i="46"/>
  <c r="K86" i="46"/>
  <c r="K109" i="46"/>
  <c r="AA130" i="3"/>
  <c r="AA51" i="3"/>
  <c r="DT51" i="3" s="1"/>
  <c r="AA11" i="3"/>
  <c r="AA27" i="3" s="1"/>
  <c r="AA43" i="3" s="1"/>
  <c r="AA142" i="3"/>
  <c r="DT142" i="3" s="1"/>
  <c r="AA91" i="3"/>
  <c r="DT91" i="3" s="1"/>
  <c r="AA100" i="3"/>
  <c r="AA19" i="3"/>
  <c r="AA35" i="3" s="1"/>
  <c r="AA83" i="3"/>
  <c r="AA146" i="3"/>
  <c r="AA137" i="3"/>
  <c r="DT137" i="3" s="1"/>
  <c r="AA67" i="3"/>
  <c r="DT67" i="3" s="1"/>
  <c r="AA59" i="3"/>
  <c r="AA119" i="3"/>
  <c r="AA75" i="3"/>
  <c r="K214" i="46"/>
  <c r="K210" i="46"/>
  <c r="K216" i="46"/>
  <c r="DT75" i="3"/>
  <c r="K212" i="46"/>
  <c r="K211" i="46"/>
  <c r="K217" i="46"/>
  <c r="P175" i="46"/>
  <c r="P167" i="46"/>
  <c r="M179" i="46"/>
  <c r="M178" i="46"/>
  <c r="T257" i="46"/>
  <c r="AC75" i="3"/>
  <c r="AC100" i="3"/>
  <c r="AC67" i="3"/>
  <c r="AC91" i="3"/>
  <c r="AC59" i="3"/>
  <c r="AC43" i="3"/>
  <c r="AC83" i="3"/>
  <c r="AC51" i="3"/>
  <c r="AC27" i="3"/>
  <c r="AC119" i="3"/>
  <c r="AC35" i="3"/>
  <c r="AC11" i="3"/>
  <c r="AC19" i="3"/>
  <c r="AC142" i="3"/>
  <c r="AD27" i="3"/>
  <c r="AD142" i="3"/>
  <c r="AD91" i="3"/>
  <c r="AD51" i="3"/>
  <c r="AD67" i="3"/>
  <c r="X146" i="3"/>
  <c r="X83" i="3"/>
  <c r="X142" i="3"/>
  <c r="X91" i="3"/>
  <c r="X130" i="3"/>
  <c r="X11" i="3"/>
  <c r="X27" i="3" s="1"/>
  <c r="X43" i="3" s="1"/>
  <c r="X19" i="3"/>
  <c r="X35" i="3" s="1"/>
  <c r="X100" i="3"/>
  <c r="X137" i="3"/>
  <c r="X67" i="3"/>
  <c r="X51" i="3"/>
  <c r="X119" i="3"/>
  <c r="X75" i="3"/>
  <c r="X59" i="3"/>
  <c r="K253" i="46"/>
  <c r="AO77" i="3"/>
  <c r="AO101" i="3"/>
  <c r="AO45" i="3"/>
  <c r="AO61" i="3"/>
  <c r="AO69" i="3"/>
  <c r="AO13" i="3"/>
  <c r="AO53" i="3"/>
  <c r="AO85" i="3"/>
  <c r="AO37" i="3"/>
  <c r="AO93" i="3"/>
  <c r="BG5" i="3"/>
  <c r="BG57" i="3" s="1"/>
  <c r="AO21" i="3"/>
  <c r="K252" i="46"/>
  <c r="K258" i="46"/>
  <c r="AR29" i="3"/>
  <c r="AR69" i="3"/>
  <c r="AR77" i="3"/>
  <c r="AR21" i="3"/>
  <c r="AR53" i="3"/>
  <c r="AR93" i="3"/>
  <c r="AR37" i="3"/>
  <c r="AR101" i="3"/>
  <c r="BJ5" i="3"/>
  <c r="BJ57" i="3" s="1"/>
  <c r="AR13" i="3"/>
  <c r="AR45" i="3"/>
  <c r="K3" i="45"/>
  <c r="K11" i="45" s="1"/>
  <c r="K19" i="45" s="1"/>
  <c r="K27" i="45" s="1"/>
  <c r="K35" i="45" s="1"/>
  <c r="K43" i="45" s="1"/>
  <c r="W3" i="45" s="1"/>
  <c r="W11" i="45" s="1"/>
  <c r="W19" i="45" s="1"/>
  <c r="W27" i="45" s="1"/>
  <c r="W35" i="45" s="1"/>
  <c r="W43" i="45" s="1"/>
  <c r="AR85" i="3"/>
  <c r="Z19" i="3"/>
  <c r="Z35" i="3" s="1"/>
  <c r="Z67" i="3"/>
  <c r="Z91" i="3"/>
  <c r="Z59" i="3"/>
  <c r="Z51" i="3"/>
  <c r="Z11" i="3"/>
  <c r="Z27" i="3" s="1"/>
  <c r="Z43" i="3" s="1"/>
  <c r="Z75" i="3"/>
  <c r="Z83" i="3"/>
  <c r="AS45" i="3"/>
  <c r="AS61" i="3"/>
  <c r="AS53" i="3"/>
  <c r="AS29" i="3"/>
  <c r="AS85" i="3"/>
  <c r="AS93" i="3"/>
  <c r="AS101" i="3"/>
  <c r="AS37" i="3"/>
  <c r="AS21" i="3"/>
  <c r="AS13" i="3"/>
  <c r="BK5" i="3"/>
  <c r="BK57" i="3" s="1"/>
  <c r="AS69" i="3"/>
  <c r="AS77" i="3"/>
  <c r="Z92" i="3"/>
  <c r="Z37" i="3"/>
  <c r="Z13" i="3"/>
  <c r="Z68" i="3"/>
  <c r="Z45" i="3"/>
  <c r="Z20" i="3"/>
  <c r="Z53" i="3"/>
  <c r="Z84" i="3"/>
  <c r="Z5" i="3"/>
  <c r="Z77" i="3"/>
  <c r="Z76" i="3"/>
  <c r="Z52" i="3"/>
  <c r="Z93" i="3"/>
  <c r="Z29" i="3"/>
  <c r="Z61" i="3"/>
  <c r="Z12" i="3"/>
  <c r="Z85" i="3"/>
  <c r="Z21" i="3"/>
  <c r="Z44" i="3"/>
  <c r="Z28" i="3"/>
  <c r="Z60" i="3"/>
  <c r="Z36" i="3"/>
  <c r="Z69" i="3"/>
  <c r="K194" i="46"/>
  <c r="K191" i="46"/>
  <c r="K238" i="46"/>
  <c r="D15" i="51"/>
  <c r="K195" i="46"/>
  <c r="E4" i="47"/>
  <c r="K241" i="46"/>
  <c r="K192" i="46"/>
  <c r="K187" i="46"/>
  <c r="T52" i="46"/>
  <c r="T74" i="46"/>
  <c r="M18" i="46"/>
  <c r="T18" i="46" s="1"/>
  <c r="T57" i="46"/>
  <c r="T49" i="46"/>
  <c r="M42" i="46"/>
  <c r="Q38" i="46"/>
  <c r="M34" i="46"/>
  <c r="Q32" i="46"/>
  <c r="T32" i="46" s="1"/>
  <c r="Q31" i="46"/>
  <c r="Q25" i="46"/>
  <c r="Q24" i="46"/>
  <c r="T21" i="46"/>
  <c r="Q20" i="46"/>
  <c r="Q19" i="46"/>
  <c r="Q15" i="46"/>
  <c r="Q10" i="46"/>
  <c r="M9" i="46"/>
  <c r="T9" i="46" s="1"/>
  <c r="Q67" i="46"/>
  <c r="T62" i="46"/>
  <c r="T59" i="46"/>
  <c r="T56" i="46"/>
  <c r="E167" i="46"/>
  <c r="T48" i="46"/>
  <c r="T45" i="46"/>
  <c r="M38" i="46"/>
  <c r="T37" i="46"/>
  <c r="Q6" i="46"/>
  <c r="D234" i="36"/>
  <c r="B48" i="6" s="1"/>
  <c r="D236" i="36"/>
  <c r="AB27" i="32" s="1"/>
  <c r="D213" i="36"/>
  <c r="B32" i="6" s="1"/>
  <c r="A63" i="3" s="1"/>
  <c r="D238" i="36"/>
  <c r="K28" i="6" s="1"/>
  <c r="D246" i="36"/>
  <c r="B15" i="6" s="1"/>
  <c r="A30" i="3" s="1"/>
  <c r="D228" i="36"/>
  <c r="B21" i="6" s="1"/>
  <c r="A40" i="3" s="1"/>
  <c r="D217" i="36"/>
  <c r="B40" i="6" s="1"/>
  <c r="BH5" i="3"/>
  <c r="BH57" i="3" s="1"/>
  <c r="AP77" i="3"/>
  <c r="AP53" i="3"/>
  <c r="AP101" i="3"/>
  <c r="AP69" i="3"/>
  <c r="AP29" i="3"/>
  <c r="AP61" i="3"/>
  <c r="AP37" i="3"/>
  <c r="AP13" i="3"/>
  <c r="AP93" i="3"/>
  <c r="AP21" i="3"/>
  <c r="AP45" i="3"/>
  <c r="DT130" i="3"/>
  <c r="K251" i="46"/>
  <c r="AT85" i="3"/>
  <c r="J3" i="45"/>
  <c r="J11" i="45" s="1"/>
  <c r="J19" i="45" s="1"/>
  <c r="J27" i="45" s="1"/>
  <c r="J35" i="45" s="1"/>
  <c r="J43" i="45" s="1"/>
  <c r="V3" i="45" s="1"/>
  <c r="V11" i="45" s="1"/>
  <c r="V19" i="45" s="1"/>
  <c r="V27" i="45" s="1"/>
  <c r="V35" i="45" s="1"/>
  <c r="V43" i="45" s="1"/>
  <c r="AT77" i="3"/>
  <c r="AT37" i="3"/>
  <c r="AT101" i="3"/>
  <c r="AT45" i="3"/>
  <c r="AT29" i="3"/>
  <c r="BL5" i="3"/>
  <c r="BL57" i="3" s="1"/>
  <c r="AT93" i="3"/>
  <c r="AT13" i="3"/>
  <c r="AT21" i="3"/>
  <c r="AT69" i="3"/>
  <c r="AT61" i="3"/>
  <c r="AT53" i="3"/>
  <c r="AQ29" i="3"/>
  <c r="AQ61" i="3"/>
  <c r="AQ101" i="3"/>
  <c r="AQ21" i="3"/>
  <c r="AQ93" i="3"/>
  <c r="AQ85" i="3"/>
  <c r="AQ13" i="3"/>
  <c r="AQ53" i="3"/>
  <c r="AQ45" i="3"/>
  <c r="AQ69" i="3"/>
  <c r="AQ77" i="3"/>
  <c r="BI5" i="3"/>
  <c r="BI57" i="3" s="1"/>
  <c r="AQ37" i="3"/>
  <c r="AN21" i="3"/>
  <c r="AN37" i="3"/>
  <c r="AN77" i="3"/>
  <c r="AN29" i="3"/>
  <c r="BF5" i="3"/>
  <c r="BF57" i="3" s="1"/>
  <c r="AN13" i="3"/>
  <c r="AN61" i="3"/>
  <c r="AN53" i="3"/>
  <c r="AN85" i="3"/>
  <c r="AN69" i="3"/>
  <c r="AN101" i="3"/>
  <c r="AN93" i="3"/>
  <c r="K254" i="46"/>
  <c r="K257" i="46"/>
  <c r="Z41" i="3"/>
  <c r="Z48" i="3"/>
  <c r="Z56" i="3"/>
  <c r="Z24" i="3"/>
  <c r="Z96" i="3"/>
  <c r="Z33" i="3"/>
  <c r="Z17" i="3"/>
  <c r="Z16" i="3"/>
  <c r="Z97" i="3"/>
  <c r="Z89" i="3"/>
  <c r="Z65" i="3"/>
  <c r="Z25" i="3"/>
  <c r="Z49" i="3"/>
  <c r="Z64" i="3"/>
  <c r="Z57" i="3"/>
  <c r="Z9" i="3"/>
  <c r="Z88" i="3"/>
  <c r="Z81" i="3"/>
  <c r="Z80" i="3"/>
  <c r="Z40" i="3"/>
  <c r="Z73" i="3"/>
  <c r="Z32" i="3"/>
  <c r="Z72" i="3"/>
  <c r="K250" i="46"/>
  <c r="K255" i="46"/>
  <c r="K256" i="46"/>
  <c r="AJ61" i="3"/>
  <c r="AJ69" i="3"/>
  <c r="AJ37" i="3"/>
  <c r="AJ77" i="3"/>
  <c r="AJ21" i="3"/>
  <c r="AJ85" i="3"/>
  <c r="AJ29" i="3"/>
  <c r="AJ45" i="3"/>
  <c r="AJ93" i="3"/>
  <c r="AJ53" i="3"/>
  <c r="AJ13" i="3"/>
  <c r="AJ101" i="3"/>
  <c r="AD119" i="3"/>
  <c r="AD11" i="3"/>
  <c r="AD35" i="3"/>
  <c r="AD75" i="3"/>
  <c r="AD43" i="3"/>
  <c r="AD100" i="3"/>
  <c r="AD83" i="3"/>
  <c r="AD59" i="3"/>
  <c r="AF19" i="3"/>
  <c r="AF59" i="3"/>
  <c r="AF83" i="3"/>
  <c r="DT83" i="3" s="1"/>
  <c r="AF100" i="3"/>
  <c r="DT100" i="3" s="1"/>
  <c r="AF146" i="3"/>
  <c r="AF11" i="3"/>
  <c r="AF119" i="3"/>
  <c r="DT119" i="3" s="1"/>
  <c r="Z7" i="3"/>
  <c r="Z70" i="3"/>
  <c r="Z71" i="3"/>
  <c r="Z46" i="3"/>
  <c r="Z22" i="3"/>
  <c r="Z86" i="3"/>
  <c r="Z54" i="3"/>
  <c r="Z63" i="3"/>
  <c r="Z30" i="3"/>
  <c r="Z14" i="3"/>
  <c r="Z38" i="3"/>
  <c r="Z79" i="3"/>
  <c r="Z47" i="3"/>
  <c r="Z62" i="3"/>
  <c r="Z15" i="3"/>
  <c r="Z95" i="3"/>
  <c r="Z39" i="3"/>
  <c r="Z94" i="3"/>
  <c r="Z78" i="3"/>
  <c r="Z23" i="3"/>
  <c r="Z55" i="3"/>
  <c r="Z31" i="3"/>
  <c r="Z87" i="3"/>
  <c r="D247" i="36"/>
  <c r="K37" i="6" s="1"/>
  <c r="D233" i="36"/>
  <c r="B34" i="6" s="1"/>
  <c r="A69" i="3" s="1"/>
  <c r="D251" i="36"/>
  <c r="B25" i="6" s="1"/>
  <c r="D258" i="36"/>
  <c r="AB49" i="32" s="1"/>
  <c r="D250" i="36"/>
  <c r="AB41" i="32" s="1"/>
  <c r="C57" i="46"/>
  <c r="K228" i="46"/>
  <c r="K98" i="46"/>
  <c r="D245" i="36"/>
  <c r="K35" i="6" s="1"/>
  <c r="D239" i="36"/>
  <c r="K29" i="6" s="1"/>
  <c r="D252" i="36"/>
  <c r="K42" i="6" s="1"/>
  <c r="D257" i="36"/>
  <c r="B24" i="6" s="1"/>
  <c r="D216" i="36"/>
  <c r="AB7" i="32" s="1"/>
  <c r="D222" i="36"/>
  <c r="B8" i="6" s="1"/>
  <c r="D256" i="36"/>
  <c r="K46" i="6" s="1"/>
  <c r="D226" i="36"/>
  <c r="B47" i="6" s="1"/>
  <c r="BD51" i="3" s="1"/>
  <c r="D214" i="36"/>
  <c r="B39" i="6" s="1"/>
  <c r="D220" i="36"/>
  <c r="B31" i="6" s="1"/>
  <c r="D244" i="36"/>
  <c r="K34" i="6" s="1"/>
  <c r="D232" i="36"/>
  <c r="K22" i="6" s="1"/>
  <c r="D221" i="36"/>
  <c r="B6" i="6" s="1"/>
  <c r="BD10" i="3" s="1"/>
  <c r="D215" i="36"/>
  <c r="AB6" i="32" s="1"/>
  <c r="D231" i="36"/>
  <c r="AB22" i="32" s="1"/>
  <c r="D230" i="36"/>
  <c r="K20" i="6" s="1"/>
  <c r="D259" i="36"/>
  <c r="B5" i="6" s="1"/>
  <c r="BD9" i="3" s="1"/>
  <c r="D17" i="51"/>
  <c r="D223" i="36"/>
  <c r="B45" i="6" s="1"/>
  <c r="D242" i="36"/>
  <c r="AB33" i="32" s="1"/>
  <c r="D243" i="36"/>
  <c r="B29" i="6" s="1"/>
  <c r="D225" i="36"/>
  <c r="AB16" i="32" s="1"/>
  <c r="D235" i="36"/>
  <c r="AB26" i="32" s="1"/>
  <c r="D224" i="36"/>
  <c r="K14" i="6" s="1"/>
  <c r="D515" i="36"/>
  <c r="B1" i="52" s="1"/>
  <c r="D253" i="36"/>
  <c r="B44" i="6" s="1"/>
  <c r="D255" i="36"/>
  <c r="K45" i="6" s="1"/>
  <c r="D229" i="36"/>
  <c r="K19" i="6" s="1"/>
  <c r="D227" i="36"/>
  <c r="AB18" i="32" s="1"/>
  <c r="D240" i="36"/>
  <c r="B11" i="6" s="1"/>
  <c r="A22" i="3" s="1"/>
  <c r="D249" i="36"/>
  <c r="AB40" i="32" s="1"/>
  <c r="H36" i="34"/>
  <c r="D254" i="36"/>
  <c r="K44" i="6" s="1"/>
  <c r="D248" i="36"/>
  <c r="K38" i="6" s="1"/>
  <c r="D218" i="36"/>
  <c r="B26" i="6" s="1"/>
  <c r="D212" i="36"/>
  <c r="AB3" i="32" s="1"/>
  <c r="D219" i="36"/>
  <c r="K9" i="6" s="1"/>
  <c r="D241" i="36"/>
  <c r="K31" i="6" s="1"/>
  <c r="P223" i="46"/>
  <c r="M222" i="46"/>
  <c r="P220" i="46"/>
  <c r="P207" i="46"/>
  <c r="Q206" i="46"/>
  <c r="P205" i="46"/>
  <c r="Q204" i="46"/>
  <c r="P201" i="46"/>
  <c r="E200" i="46"/>
  <c r="M206" i="46"/>
  <c r="M205" i="46"/>
  <c r="P179" i="46"/>
  <c r="Q177" i="46"/>
  <c r="E171" i="46"/>
  <c r="Q178" i="46"/>
  <c r="E177" i="46"/>
  <c r="Q175" i="46"/>
  <c r="Q166" i="46"/>
  <c r="M55" i="46"/>
  <c r="AL55" i="46" s="1"/>
  <c r="M30" i="46"/>
  <c r="Q54" i="46"/>
  <c r="M167" i="46"/>
  <c r="M175" i="46"/>
  <c r="E175" i="46"/>
  <c r="M165" i="46"/>
  <c r="Q170" i="46"/>
  <c r="Q165" i="46"/>
  <c r="M164" i="46"/>
  <c r="M67" i="46"/>
  <c r="L27" i="6"/>
  <c r="M27" i="6"/>
  <c r="O237" i="36"/>
  <c r="J237" i="36" s="1"/>
  <c r="G237" i="36" s="1"/>
  <c r="D237" i="36" s="1"/>
  <c r="K27" i="6" s="1"/>
  <c r="Q42" i="46"/>
  <c r="T66" i="46"/>
  <c r="M6" i="46"/>
  <c r="D8" i="51"/>
  <c r="D14" i="51"/>
  <c r="D16" i="51"/>
  <c r="D10" i="51"/>
  <c r="D9" i="51"/>
  <c r="E178" i="46"/>
  <c r="E170" i="46"/>
  <c r="M166" i="46"/>
  <c r="M170" i="46"/>
  <c r="P177" i="46"/>
  <c r="M173" i="46"/>
  <c r="M176" i="46"/>
  <c r="M168" i="46"/>
  <c r="Q176" i="46"/>
  <c r="E172" i="46"/>
  <c r="Q168" i="46"/>
  <c r="M174" i="46"/>
  <c r="Q167" i="46"/>
  <c r="P165" i="46"/>
  <c r="Q174" i="46"/>
  <c r="P166" i="46"/>
  <c r="M172" i="46"/>
  <c r="P169" i="46"/>
  <c r="P176" i="46"/>
  <c r="P173" i="46"/>
  <c r="E174" i="46"/>
  <c r="P172" i="46"/>
  <c r="P168" i="46"/>
  <c r="P171" i="46"/>
  <c r="P164" i="46"/>
  <c r="M54" i="46"/>
  <c r="M31" i="46"/>
  <c r="T31" i="46" s="1"/>
  <c r="E7" i="48"/>
  <c r="F6" i="48" a="1"/>
  <c r="F6" i="48" s="1"/>
  <c r="CW253" i="46" l="1"/>
  <c r="KS253" i="46"/>
  <c r="JO253" i="46"/>
  <c r="HJ253" i="46"/>
  <c r="DC253" i="46"/>
  <c r="AR253" i="46"/>
  <c r="GC253" i="46"/>
  <c r="DL253" i="46"/>
  <c r="AO253" i="46"/>
  <c r="JR253" i="46"/>
  <c r="CH253" i="46"/>
  <c r="FK253" i="46"/>
  <c r="IZ253" i="46"/>
  <c r="BP253" i="46"/>
  <c r="GI253" i="46"/>
  <c r="JX253" i="46"/>
  <c r="CN253" i="46"/>
  <c r="GR253" i="46"/>
  <c r="BA253" i="46"/>
  <c r="HS253" i="46"/>
  <c r="DI253" i="46"/>
  <c r="GL253" i="46"/>
  <c r="CE253" i="46"/>
  <c r="KM253" i="46"/>
  <c r="HG253" i="46"/>
  <c r="EA253" i="46"/>
  <c r="HP253" i="46"/>
  <c r="KV253" i="46"/>
  <c r="IQ253" i="46"/>
  <c r="BD253" i="46"/>
  <c r="EV253" i="46"/>
  <c r="HY253" i="46"/>
  <c r="AX253" i="46"/>
  <c r="FT253" i="46"/>
  <c r="IW253" i="46"/>
  <c r="AU253" i="46"/>
  <c r="FQ253" i="46"/>
  <c r="Z253" i="46"/>
  <c r="IE253" i="46"/>
  <c r="BG253" i="46"/>
  <c r="CK253" i="46"/>
  <c r="HA253" i="46"/>
  <c r="KD253" i="46"/>
  <c r="CT253" i="46"/>
  <c r="FW253" i="46"/>
  <c r="LB253" i="46"/>
  <c r="DR253" i="46"/>
  <c r="GU253" i="46"/>
  <c r="KY253" i="46"/>
  <c r="DO253" i="46"/>
  <c r="DX253" i="46"/>
  <c r="HD253" i="46"/>
  <c r="W253" i="46"/>
  <c r="FZ253" i="46"/>
  <c r="JC253" i="46"/>
  <c r="BS253" i="46"/>
  <c r="FH253" i="46"/>
  <c r="KA253" i="46"/>
  <c r="CQ253" i="46"/>
  <c r="GF253" i="46"/>
  <c r="KJ253" i="46"/>
  <c r="CZ253" i="46"/>
  <c r="BV253" i="46"/>
  <c r="FB253" i="46"/>
  <c r="GO253" i="46"/>
  <c r="EY253" i="46"/>
  <c r="IN253" i="46"/>
  <c r="AI253" i="46"/>
  <c r="EG253" i="46"/>
  <c r="JL253" i="46"/>
  <c r="CB253" i="46"/>
  <c r="FE253" i="46"/>
  <c r="JI253" i="46"/>
  <c r="DI67" i="46"/>
  <c r="FK41" i="46"/>
  <c r="Z41" i="46"/>
  <c r="T41" i="46"/>
  <c r="AL41" i="46"/>
  <c r="BV41" i="46"/>
  <c r="EM41" i="46"/>
  <c r="GL41" i="46"/>
  <c r="DU41" i="46"/>
  <c r="FW41" i="46"/>
  <c r="CB41" i="46"/>
  <c r="CN41" i="46"/>
  <c r="CK41" i="46"/>
  <c r="W41" i="46"/>
  <c r="DC41" i="46"/>
  <c r="BS41" i="46"/>
  <c r="FB41" i="46"/>
  <c r="CQ41" i="46"/>
  <c r="ES41" i="46"/>
  <c r="BP41" i="46"/>
  <c r="DF41" i="46"/>
  <c r="AI41" i="46"/>
  <c r="DX41" i="46"/>
  <c r="BG41" i="46"/>
  <c r="FZ41" i="46"/>
  <c r="DO41" i="46"/>
  <c r="FN41" i="46"/>
  <c r="CT41" i="46"/>
  <c r="AC41" i="46"/>
  <c r="EV41" i="46"/>
  <c r="CE41" i="46"/>
  <c r="BY41" i="46"/>
  <c r="BJ41" i="46"/>
  <c r="BA41" i="46"/>
  <c r="GF41" i="46"/>
  <c r="EY41" i="46"/>
  <c r="DI41" i="46"/>
  <c r="FQ41" i="46"/>
  <c r="AF41" i="46"/>
  <c r="CH41" i="46"/>
  <c r="FT41" i="46"/>
  <c r="FH41" i="46"/>
  <c r="CK37" i="46"/>
  <c r="KA37" i="46"/>
  <c r="IT37" i="46"/>
  <c r="HJ37" i="46"/>
  <c r="KS37" i="46"/>
  <c r="KJ37" i="46"/>
  <c r="JC37" i="46"/>
  <c r="HM37" i="46"/>
  <c r="GX37" i="46"/>
  <c r="KM37" i="46"/>
  <c r="IW37" i="46"/>
  <c r="HV37" i="46"/>
  <c r="KV37" i="46"/>
  <c r="IE37" i="46"/>
  <c r="JF37" i="46"/>
  <c r="HY37" i="46"/>
  <c r="JO37" i="46"/>
  <c r="JX37" i="46"/>
  <c r="JL37" i="46"/>
  <c r="HD37" i="46"/>
  <c r="KY37" i="46"/>
  <c r="IH37" i="46"/>
  <c r="IB37" i="46"/>
  <c r="GO37" i="46"/>
  <c r="KD37" i="46"/>
  <c r="IQ37" i="46"/>
  <c r="HG37" i="46"/>
  <c r="IK37" i="46"/>
  <c r="GR37" i="46"/>
  <c r="IZ37" i="46"/>
  <c r="HS37" i="46"/>
  <c r="JU37" i="46"/>
  <c r="JI37" i="46"/>
  <c r="LB37" i="46"/>
  <c r="HP37" i="46"/>
  <c r="KP37" i="46"/>
  <c r="GU37" i="46"/>
  <c r="HA37" i="46"/>
  <c r="IN37" i="46"/>
  <c r="LE37" i="46"/>
  <c r="BA33" i="46"/>
  <c r="FN33" i="46"/>
  <c r="BS33" i="46"/>
  <c r="GC33" i="46"/>
  <c r="ED33" i="46"/>
  <c r="CB33" i="46"/>
  <c r="DU33" i="46"/>
  <c r="AF33" i="46"/>
  <c r="EV33" i="46"/>
  <c r="FH33" i="46"/>
  <c r="CH33" i="46"/>
  <c r="BG33" i="46"/>
  <c r="BY33" i="46"/>
  <c r="GI33" i="46"/>
  <c r="EJ33" i="46"/>
  <c r="DI33" i="46"/>
  <c r="AI33" i="46"/>
  <c r="AC33" i="46"/>
  <c r="FK33" i="46"/>
  <c r="DL33" i="46"/>
  <c r="CK33" i="46"/>
  <c r="AL33" i="46"/>
  <c r="EP33" i="46"/>
  <c r="EM33" i="46"/>
  <c r="CN33" i="46"/>
  <c r="BM33" i="46"/>
  <c r="FW33" i="46"/>
  <c r="Z33" i="46"/>
  <c r="ES33" i="46"/>
  <c r="FT33" i="46"/>
  <c r="DO33" i="46"/>
  <c r="BP33" i="46"/>
  <c r="AO33" i="46"/>
  <c r="FZ33" i="46"/>
  <c r="AY5" i="3"/>
  <c r="AL101" i="3"/>
  <c r="AL61" i="3"/>
  <c r="AY61" i="3" s="1"/>
  <c r="AL77" i="3"/>
  <c r="AY77" i="3" s="1"/>
  <c r="AL29" i="3"/>
  <c r="AY29" i="3" s="1"/>
  <c r="AL45" i="3"/>
  <c r="AY45" i="3" s="1"/>
  <c r="H3" i="45"/>
  <c r="H11" i="45" s="1"/>
  <c r="H19" i="45" s="1"/>
  <c r="H27" i="45" s="1"/>
  <c r="H35" i="45" s="1"/>
  <c r="H43" i="45" s="1"/>
  <c r="T3" i="45" s="1"/>
  <c r="T11" i="45" s="1"/>
  <c r="T19" i="45" s="1"/>
  <c r="T27" i="45" s="1"/>
  <c r="T35" i="45" s="1"/>
  <c r="T43" i="45" s="1"/>
  <c r="AL21" i="3"/>
  <c r="AY21" i="3" s="1"/>
  <c r="AL93" i="3"/>
  <c r="AY93" i="3" s="1"/>
  <c r="KA76" i="46"/>
  <c r="BV69" i="46"/>
  <c r="HY76" i="46"/>
  <c r="BY69" i="46"/>
  <c r="HJ67" i="46"/>
  <c r="HM67" i="46"/>
  <c r="GI76" i="46"/>
  <c r="IB76" i="46"/>
  <c r="AC69" i="46"/>
  <c r="AR72" i="46"/>
  <c r="IH76" i="46"/>
  <c r="BA69" i="46"/>
  <c r="Z61" i="46"/>
  <c r="AR69" i="46"/>
  <c r="FK76" i="46"/>
  <c r="BP76" i="46"/>
  <c r="IE76" i="46"/>
  <c r="DR67" i="46"/>
  <c r="EV69" i="46"/>
  <c r="AX76" i="46"/>
  <c r="LE69" i="46"/>
  <c r="EM76" i="46"/>
  <c r="FZ76" i="46"/>
  <c r="HA69" i="46"/>
  <c r="EM67" i="46"/>
  <c r="FB76" i="46"/>
  <c r="FZ72" i="46"/>
  <c r="DO69" i="46"/>
  <c r="KV76" i="46"/>
  <c r="BP72" i="46"/>
  <c r="HM69" i="46"/>
  <c r="DC76" i="46"/>
  <c r="CB69" i="46"/>
  <c r="DI70" i="46"/>
  <c r="DL76" i="46"/>
  <c r="GL67" i="46"/>
  <c r="W27" i="46"/>
  <c r="CB27" i="46"/>
  <c r="JL27" i="46"/>
  <c r="CZ27" i="46"/>
  <c r="KJ27" i="46"/>
  <c r="EV27" i="46"/>
  <c r="EY27" i="46"/>
  <c r="GR27" i="46"/>
  <c r="GU27" i="46"/>
  <c r="CH27" i="46"/>
  <c r="JR27" i="46"/>
  <c r="AO27" i="46"/>
  <c r="HY27" i="46"/>
  <c r="HP27" i="46"/>
  <c r="IN27" i="46"/>
  <c r="BG27" i="46"/>
  <c r="IQ27" i="46"/>
  <c r="AF27" i="46"/>
  <c r="CE27" i="46"/>
  <c r="JO27" i="46"/>
  <c r="BD27" i="46"/>
  <c r="DC27" i="46"/>
  <c r="KM27" i="46"/>
  <c r="FZ27" i="46"/>
  <c r="AL27" i="46"/>
  <c r="KP27" i="46"/>
  <c r="CK27" i="46"/>
  <c r="KS27" i="46"/>
  <c r="FH27" i="46"/>
  <c r="CQ27" i="46"/>
  <c r="AX27" i="46"/>
  <c r="DR27" i="46"/>
  <c r="LE27" i="46"/>
  <c r="BJ27" i="46"/>
  <c r="DI27" i="46"/>
  <c r="GF27" i="46"/>
  <c r="ES27" i="46"/>
  <c r="DO27" i="46"/>
  <c r="GI27" i="46"/>
  <c r="DX27" i="46"/>
  <c r="AI27" i="46"/>
  <c r="DF27" i="46"/>
  <c r="EG27" i="46"/>
  <c r="HD27" i="46"/>
  <c r="BY27" i="46"/>
  <c r="HJ27" i="46"/>
  <c r="FQ27" i="46"/>
  <c r="IK27" i="46"/>
  <c r="FN27" i="46"/>
  <c r="FT27" i="46"/>
  <c r="EA27" i="46"/>
  <c r="ED27" i="46"/>
  <c r="FE27" i="46"/>
  <c r="AR27" i="46"/>
  <c r="IB27" i="46"/>
  <c r="EP27" i="46"/>
  <c r="KA27" i="46"/>
  <c r="AC27" i="46"/>
  <c r="IH27" i="46"/>
  <c r="LB27" i="46"/>
  <c r="BV27" i="46"/>
  <c r="FW27" i="46"/>
  <c r="FB27" i="46"/>
  <c r="GC27" i="46"/>
  <c r="BP27" i="46"/>
  <c r="IZ27" i="46"/>
  <c r="HG27" i="46"/>
  <c r="CT27" i="46"/>
  <c r="KY27" i="46"/>
  <c r="JC27" i="46"/>
  <c r="GO27" i="46"/>
  <c r="HS27" i="46"/>
  <c r="GX27" i="46"/>
  <c r="HA27" i="46"/>
  <c r="CN27" i="46"/>
  <c r="JX27" i="46"/>
  <c r="JI27" i="46"/>
  <c r="FK27" i="46"/>
  <c r="CW27" i="46"/>
  <c r="HV27" i="46"/>
  <c r="IW27" i="46"/>
  <c r="DL27" i="46"/>
  <c r="KV27" i="46"/>
  <c r="HM27" i="46"/>
  <c r="BS27" i="46"/>
  <c r="JF27" i="46"/>
  <c r="DU27" i="46"/>
  <c r="BA27" i="46"/>
  <c r="AU27" i="46"/>
  <c r="BM27" i="46"/>
  <c r="JU27" i="46"/>
  <c r="EJ27" i="46"/>
  <c r="KD27" i="46"/>
  <c r="IE27" i="46"/>
  <c r="KG27" i="46"/>
  <c r="EM27" i="46"/>
  <c r="GL27" i="46"/>
  <c r="Z27" i="46"/>
  <c r="IT27" i="46"/>
  <c r="W8" i="46"/>
  <c r="DL8" i="46"/>
  <c r="KV8" i="46"/>
  <c r="FN8" i="46"/>
  <c r="AF8" i="46"/>
  <c r="HP8" i="46"/>
  <c r="HS8" i="46"/>
  <c r="FB8" i="46"/>
  <c r="CK8" i="46"/>
  <c r="IW8" i="46"/>
  <c r="JI8" i="46"/>
  <c r="CQ8" i="46"/>
  <c r="KG8" i="46"/>
  <c r="KM8" i="46"/>
  <c r="CN8" i="46"/>
  <c r="Z8" i="46"/>
  <c r="IH8" i="46"/>
  <c r="FT8" i="46"/>
  <c r="JC8" i="46"/>
  <c r="KY8" i="46"/>
  <c r="EM8" i="46"/>
  <c r="EY8" i="46"/>
  <c r="HV8" i="46"/>
  <c r="IE8" i="46"/>
  <c r="LE8" i="46"/>
  <c r="EJ8" i="46"/>
  <c r="AX8" i="46"/>
  <c r="JF8" i="46"/>
  <c r="GR8" i="46"/>
  <c r="KP8" i="46"/>
  <c r="BA8" i="46"/>
  <c r="HA8" i="46"/>
  <c r="HG8" i="46"/>
  <c r="BG8" i="46"/>
  <c r="FH8" i="46"/>
  <c r="BV8" i="46"/>
  <c r="KD8" i="46"/>
  <c r="IN8" i="46"/>
  <c r="AO8" i="46"/>
  <c r="EA8" i="46"/>
  <c r="JR8" i="46"/>
  <c r="GI8" i="46"/>
  <c r="GF8" i="46"/>
  <c r="CT8" i="46"/>
  <c r="LB8" i="46"/>
  <c r="BD8" i="46"/>
  <c r="JL8" i="46"/>
  <c r="AI8" i="46"/>
  <c r="CE8" i="46"/>
  <c r="FK8" i="46"/>
  <c r="AL8" i="46"/>
  <c r="ED8" i="46"/>
  <c r="FZ8" i="46"/>
  <c r="HD8" i="46"/>
  <c r="DR8" i="46"/>
  <c r="CB8" i="46"/>
  <c r="KJ8" i="46"/>
  <c r="BS8" i="46"/>
  <c r="DO8" i="46"/>
  <c r="GX8" i="46"/>
  <c r="BY8" i="46"/>
  <c r="CW8" i="46"/>
  <c r="AR8" i="46"/>
  <c r="IZ8" i="46"/>
  <c r="GL8" i="46"/>
  <c r="DX8" i="46"/>
  <c r="ES8" i="46"/>
  <c r="HY8" i="46"/>
  <c r="JU8" i="46"/>
  <c r="GU8" i="46"/>
  <c r="HM8" i="46"/>
  <c r="DC8" i="46"/>
  <c r="DI8" i="46"/>
  <c r="KS8" i="46"/>
  <c r="JX8" i="46"/>
  <c r="KA8" i="46"/>
  <c r="FQ8" i="46"/>
  <c r="AC8" i="46"/>
  <c r="DU8" i="46"/>
  <c r="FW8" i="46"/>
  <c r="EP8" i="46"/>
  <c r="CH8" i="46"/>
  <c r="HJ8" i="46"/>
  <c r="BM8" i="46"/>
  <c r="IT8" i="46"/>
  <c r="IQ8" i="46"/>
  <c r="CZ8" i="46"/>
  <c r="BJ8" i="46"/>
  <c r="GC8" i="46"/>
  <c r="BP8" i="46"/>
  <c r="EV8" i="46"/>
  <c r="IK8" i="46"/>
  <c r="IB8" i="46"/>
  <c r="GO8" i="46"/>
  <c r="AU8" i="46"/>
  <c r="JO8" i="46"/>
  <c r="DF8" i="46"/>
  <c r="FE8" i="46"/>
  <c r="EG8" i="46"/>
  <c r="Z73" i="46"/>
  <c r="JI73" i="46"/>
  <c r="KS68" i="46"/>
  <c r="BM68" i="46"/>
  <c r="W11" i="46"/>
  <c r="ES11" i="46"/>
  <c r="JL11" i="46"/>
  <c r="HP11" i="46"/>
  <c r="LE11" i="46"/>
  <c r="EP11" i="46"/>
  <c r="AX11" i="46"/>
  <c r="Z11" i="46"/>
  <c r="CK11" i="46"/>
  <c r="FZ11" i="46"/>
  <c r="DU11" i="46"/>
  <c r="JO11" i="46"/>
  <c r="HY11" i="46"/>
  <c r="GX11" i="46"/>
  <c r="HD11" i="46"/>
  <c r="JX11" i="46"/>
  <c r="BP11" i="46"/>
  <c r="EY11" i="46"/>
  <c r="BD11" i="46"/>
  <c r="IN11" i="46"/>
  <c r="KY11" i="46"/>
  <c r="IE11" i="46"/>
  <c r="IW11" i="46"/>
  <c r="GL11" i="46"/>
  <c r="CB11" i="46"/>
  <c r="AI11" i="46"/>
  <c r="FW11" i="46"/>
  <c r="KM11" i="46"/>
  <c r="FT11" i="46"/>
  <c r="BP70" i="46"/>
  <c r="JF68" i="46"/>
  <c r="FQ73" i="46"/>
  <c r="DO73" i="46"/>
  <c r="EY73" i="46"/>
  <c r="JO68" i="46"/>
  <c r="IN68" i="46"/>
  <c r="BY73" i="46"/>
  <c r="W40" i="46"/>
  <c r="CT40" i="46"/>
  <c r="KD40" i="46"/>
  <c r="Z40" i="46"/>
  <c r="IH40" i="46"/>
  <c r="GO40" i="46"/>
  <c r="CZ40" i="46"/>
  <c r="KJ40" i="46"/>
  <c r="BG40" i="46"/>
  <c r="IQ40" i="46"/>
  <c r="AL40" i="46"/>
  <c r="GC40" i="46"/>
  <c r="GF40" i="46"/>
  <c r="AX40" i="46"/>
  <c r="JF40" i="46"/>
  <c r="AC40" i="46"/>
  <c r="HM40" i="46"/>
  <c r="DX40" i="46"/>
  <c r="CE40" i="46"/>
  <c r="JO40" i="46"/>
  <c r="CH40" i="46"/>
  <c r="HY40" i="46"/>
  <c r="IB40" i="46"/>
  <c r="BV40" i="46"/>
  <c r="LB40" i="46"/>
  <c r="BA40" i="46"/>
  <c r="IK40" i="46"/>
  <c r="EV40" i="46"/>
  <c r="DC40" i="46"/>
  <c r="KM40" i="46"/>
  <c r="ED40" i="46"/>
  <c r="JU40" i="46"/>
  <c r="JX40" i="46"/>
  <c r="KA40" i="46"/>
  <c r="BJ40" i="46"/>
  <c r="DR40" i="46"/>
  <c r="BY40" i="46"/>
  <c r="JI40" i="46"/>
  <c r="FT40" i="46"/>
  <c r="EA40" i="46"/>
  <c r="FZ40" i="46"/>
  <c r="DF40" i="46"/>
  <c r="EP40" i="46"/>
  <c r="CW40" i="46"/>
  <c r="KG40" i="46"/>
  <c r="GR40" i="46"/>
  <c r="EY40" i="46"/>
  <c r="HV40" i="46"/>
  <c r="FB40" i="46"/>
  <c r="GL40" i="46"/>
  <c r="JL40" i="46"/>
  <c r="HS40" i="46"/>
  <c r="CQ40" i="46"/>
  <c r="HJ40" i="46"/>
  <c r="DU40" i="46"/>
  <c r="AO40" i="46"/>
  <c r="AR40" i="46"/>
  <c r="EM40" i="46"/>
  <c r="GX40" i="46"/>
  <c r="ES40" i="46"/>
  <c r="JR40" i="46"/>
  <c r="CK40" i="46"/>
  <c r="CN40" i="46"/>
  <c r="GI40" i="46"/>
  <c r="IT40" i="46"/>
  <c r="FQ40" i="46"/>
  <c r="AF40" i="46"/>
  <c r="EG40" i="46"/>
  <c r="EJ40" i="46"/>
  <c r="IE40" i="46"/>
  <c r="KP40" i="46"/>
  <c r="DL40" i="46"/>
  <c r="LE40" i="46"/>
  <c r="BD40" i="46"/>
  <c r="IW40" i="46"/>
  <c r="CB40" i="46"/>
  <c r="AI40" i="46"/>
  <c r="HP40" i="46"/>
  <c r="FW40" i="46"/>
  <c r="FN40" i="46"/>
  <c r="IN40" i="46"/>
  <c r="GU40" i="46"/>
  <c r="AU40" i="46"/>
  <c r="DO40" i="46"/>
  <c r="KV40" i="46"/>
  <c r="BP40" i="46"/>
  <c r="IZ40" i="46"/>
  <c r="FE40" i="46"/>
  <c r="FH40" i="46"/>
  <c r="KY40" i="46"/>
  <c r="JC40" i="46"/>
  <c r="KS40" i="46"/>
  <c r="BS40" i="46"/>
  <c r="HG40" i="46"/>
  <c r="BM40" i="46"/>
  <c r="FK40" i="46"/>
  <c r="HD40" i="46"/>
  <c r="HA40" i="46"/>
  <c r="DI40" i="46"/>
  <c r="W72" i="46"/>
  <c r="DI72" i="46"/>
  <c r="KS72" i="46"/>
  <c r="HG72" i="46"/>
  <c r="CT72" i="46"/>
  <c r="KD72" i="46"/>
  <c r="HY72" i="46"/>
  <c r="GI72" i="46"/>
  <c r="GC72" i="46"/>
  <c r="DO72" i="46"/>
  <c r="Z72" i="46"/>
  <c r="IH72" i="46"/>
  <c r="ES72" i="46"/>
  <c r="BD72" i="46"/>
  <c r="IN72" i="46"/>
  <c r="JR72" i="46"/>
  <c r="HS72" i="46"/>
  <c r="HV72" i="46"/>
  <c r="DF72" i="46"/>
  <c r="IQ72" i="46"/>
  <c r="ED72" i="46"/>
  <c r="IT72" i="46"/>
  <c r="BJ72" i="46"/>
  <c r="KV72" i="46"/>
  <c r="HA72" i="46"/>
  <c r="EM72" i="46"/>
  <c r="AX72" i="46"/>
  <c r="JF72" i="46"/>
  <c r="FQ72" i="46"/>
  <c r="CB72" i="46"/>
  <c r="JL72" i="46"/>
  <c r="JX72" i="46"/>
  <c r="KM72" i="46"/>
  <c r="FW72" i="46"/>
  <c r="IW72" i="46"/>
  <c r="FK72" i="46"/>
  <c r="BV72" i="46"/>
  <c r="LB72" i="46"/>
  <c r="GO72" i="46"/>
  <c r="CZ72" i="46"/>
  <c r="KJ72" i="46"/>
  <c r="AO72" i="46"/>
  <c r="JU72" i="46"/>
  <c r="IE72" i="46"/>
  <c r="DR72" i="46"/>
  <c r="AC72" i="46"/>
  <c r="HM72" i="46"/>
  <c r="DX72" i="46"/>
  <c r="BM72" i="46"/>
  <c r="JC72" i="46"/>
  <c r="EP72" i="46"/>
  <c r="BA72" i="46"/>
  <c r="IK72" i="46"/>
  <c r="EV72" i="46"/>
  <c r="CE72" i="46"/>
  <c r="CK72" i="46"/>
  <c r="AU72" i="46"/>
  <c r="KA72" i="46"/>
  <c r="FN72" i="46"/>
  <c r="BY72" i="46"/>
  <c r="JI72" i="46"/>
  <c r="FT72" i="46"/>
  <c r="EJ72" i="46"/>
  <c r="CH72" i="46"/>
  <c r="AI72" i="46"/>
  <c r="AL72" i="46"/>
  <c r="EG72" i="46"/>
  <c r="BS72" i="46"/>
  <c r="KY72" i="46"/>
  <c r="GL72" i="46"/>
  <c r="CW72" i="46"/>
  <c r="KG72" i="46"/>
  <c r="GR72" i="46"/>
  <c r="GX72" i="46"/>
  <c r="EY72" i="46"/>
  <c r="CN72" i="46"/>
  <c r="DC72" i="46"/>
  <c r="W14" i="46"/>
  <c r="BS14" i="46"/>
  <c r="JC14" i="46"/>
  <c r="IE14" i="46"/>
  <c r="CT14" i="46"/>
  <c r="KD14" i="46"/>
  <c r="GO14" i="46"/>
  <c r="CQ14" i="46"/>
  <c r="KY14" i="46"/>
  <c r="EP14" i="46"/>
  <c r="BA14" i="46"/>
  <c r="IK14" i="46"/>
  <c r="EV14" i="46"/>
  <c r="EM14" i="46"/>
  <c r="GL14" i="46"/>
  <c r="CW14" i="46"/>
  <c r="KG14" i="46"/>
  <c r="GR14" i="46"/>
  <c r="CE14" i="46"/>
  <c r="JO14" i="46"/>
  <c r="AR14" i="46"/>
  <c r="BJ14" i="46"/>
  <c r="KA14" i="46"/>
  <c r="HJ14" i="46"/>
  <c r="LE14" i="46"/>
  <c r="CB14" i="46"/>
  <c r="FW14" i="46"/>
  <c r="DI14" i="46"/>
  <c r="IT14" i="46"/>
  <c r="GF14" i="46"/>
  <c r="IZ14" i="46"/>
  <c r="IH14" i="46"/>
  <c r="AC14" i="46"/>
  <c r="CZ14" i="46"/>
  <c r="GU14" i="46"/>
  <c r="FZ14" i="46"/>
  <c r="KV14" i="46"/>
  <c r="IW14" i="46"/>
  <c r="JF14" i="46"/>
  <c r="BY14" i="46"/>
  <c r="DX14" i="46"/>
  <c r="HS14" i="46"/>
  <c r="IB14" i="46"/>
  <c r="AU14" i="46"/>
  <c r="Z14" i="46"/>
  <c r="LB14" i="46"/>
  <c r="DU14" i="46"/>
  <c r="FT14" i="46"/>
  <c r="AI14" i="46"/>
  <c r="IQ14" i="46"/>
  <c r="DO14" i="46"/>
  <c r="AX14" i="46"/>
  <c r="ES14" i="46"/>
  <c r="HP14" i="46"/>
  <c r="BG14" i="46"/>
  <c r="KM14" i="46"/>
  <c r="CH14" i="46"/>
  <c r="JX14" i="46"/>
  <c r="FK14" i="46"/>
  <c r="BV14" i="46"/>
  <c r="FQ14" i="46"/>
  <c r="IN14" i="46"/>
  <c r="DC14" i="46"/>
  <c r="BP14" i="46"/>
  <c r="EJ14" i="46"/>
  <c r="GI14" i="46"/>
  <c r="FN14" i="46"/>
  <c r="HM14" i="46"/>
  <c r="AF14" i="46"/>
  <c r="GC14" i="46"/>
  <c r="AL14" i="46"/>
  <c r="HY14" i="46"/>
  <c r="HG14" i="46"/>
  <c r="JI14" i="46"/>
  <c r="BD14" i="46"/>
  <c r="EA14" i="46"/>
  <c r="KS14" i="46"/>
  <c r="EG14" i="46"/>
  <c r="HD14" i="46"/>
  <c r="JL14" i="46"/>
  <c r="EY14" i="46"/>
  <c r="GX14" i="46"/>
  <c r="KJ14" i="46"/>
  <c r="HA14" i="46"/>
  <c r="DF14" i="46"/>
  <c r="FH14" i="46"/>
  <c r="JR14" i="46"/>
  <c r="FB14" i="46"/>
  <c r="KP14" i="46"/>
  <c r="BM14" i="46"/>
  <c r="FE14" i="46"/>
  <c r="AO14" i="46"/>
  <c r="DR14" i="46"/>
  <c r="DL14" i="46"/>
  <c r="JU14" i="46"/>
  <c r="CN14" i="46"/>
  <c r="CK14" i="46"/>
  <c r="HV14" i="46"/>
  <c r="ED14" i="46"/>
  <c r="EJ76" i="46"/>
  <c r="GU72" i="46"/>
  <c r="CZ60" i="46"/>
  <c r="HA76" i="46"/>
  <c r="BG72" i="46"/>
  <c r="AU70" i="46"/>
  <c r="ED76" i="46"/>
  <c r="BG73" i="46"/>
  <c r="HV71" i="46"/>
  <c r="BP67" i="46"/>
  <c r="FB72" i="46"/>
  <c r="EP61" i="46"/>
  <c r="GO76" i="46"/>
  <c r="GI67" i="46"/>
  <c r="AI73" i="46"/>
  <c r="DX64" i="46"/>
  <c r="LE72" i="46"/>
  <c r="HJ72" i="46"/>
  <c r="CQ72" i="46"/>
  <c r="FE72" i="46"/>
  <c r="CW71" i="46"/>
  <c r="DU61" i="46"/>
  <c r="ED51" i="46"/>
  <c r="W38" i="46"/>
  <c r="BP38" i="46"/>
  <c r="IZ38" i="46"/>
  <c r="HD38" i="46"/>
  <c r="FK38" i="46"/>
  <c r="AX38" i="46"/>
  <c r="IH38" i="46"/>
  <c r="GO38" i="46"/>
  <c r="DC38" i="46"/>
  <c r="DF38" i="46"/>
  <c r="IB38" i="46"/>
  <c r="GI38" i="46"/>
  <c r="BV38" i="46"/>
  <c r="JF38" i="46"/>
  <c r="AC38" i="46"/>
  <c r="HM38" i="46"/>
  <c r="BD38" i="46"/>
  <c r="EY38" i="46"/>
  <c r="FB38" i="46"/>
  <c r="AR38" i="46"/>
  <c r="JX38" i="46"/>
  <c r="HG38" i="46"/>
  <c r="CT38" i="46"/>
  <c r="KD38" i="46"/>
  <c r="BA38" i="46"/>
  <c r="IK38" i="46"/>
  <c r="CZ38" i="46"/>
  <c r="GU38" i="46"/>
  <c r="GX38" i="46"/>
  <c r="HA38" i="46"/>
  <c r="CN38" i="46"/>
  <c r="KV38" i="46"/>
  <c r="AU38" i="46"/>
  <c r="IE38" i="46"/>
  <c r="DR38" i="46"/>
  <c r="LB38" i="46"/>
  <c r="BY38" i="46"/>
  <c r="JI38" i="46"/>
  <c r="EV38" i="46"/>
  <c r="IQ38" i="46"/>
  <c r="IT38" i="46"/>
  <c r="IW38" i="46"/>
  <c r="AF38" i="46"/>
  <c r="DL38" i="46"/>
  <c r="BS38" i="46"/>
  <c r="JC38" i="46"/>
  <c r="EP38" i="46"/>
  <c r="CW38" i="46"/>
  <c r="KG38" i="46"/>
  <c r="GR38" i="46"/>
  <c r="KM38" i="46"/>
  <c r="KP38" i="46"/>
  <c r="KS38" i="46"/>
  <c r="CB38" i="46"/>
  <c r="HJ38" i="46"/>
  <c r="FQ38" i="46"/>
  <c r="JL38" i="46"/>
  <c r="FW38" i="46"/>
  <c r="AO38" i="46"/>
  <c r="CQ38" i="46"/>
  <c r="LE38" i="46"/>
  <c r="JU38" i="46"/>
  <c r="FZ38" i="46"/>
  <c r="EJ38" i="46"/>
  <c r="DO38" i="46"/>
  <c r="FH38" i="46"/>
  <c r="EM38" i="46"/>
  <c r="GF38" i="46"/>
  <c r="KA38" i="46"/>
  <c r="KY38" i="46"/>
  <c r="Z38" i="46"/>
  <c r="BM38" i="46"/>
  <c r="DX38" i="46"/>
  <c r="FN38" i="46"/>
  <c r="DU38" i="46"/>
  <c r="IN38" i="46"/>
  <c r="DI38" i="46"/>
  <c r="FT38" i="46"/>
  <c r="GL38" i="46"/>
  <c r="ES38" i="46"/>
  <c r="KJ38" i="46"/>
  <c r="BG38" i="46"/>
  <c r="BJ38" i="46"/>
  <c r="FE38" i="46"/>
  <c r="HP38" i="46"/>
  <c r="AL38" i="46"/>
  <c r="GC38" i="46"/>
  <c r="HS38" i="46"/>
  <c r="EG38" i="46"/>
  <c r="CK38" i="46"/>
  <c r="HV38" i="46"/>
  <c r="JR38" i="46"/>
  <c r="AI38" i="46"/>
  <c r="ED38" i="46"/>
  <c r="CE38" i="46"/>
  <c r="CH38" i="46"/>
  <c r="EA38" i="46"/>
  <c r="JO38" i="46"/>
  <c r="HY38" i="46"/>
  <c r="W22" i="46"/>
  <c r="DL22" i="46"/>
  <c r="KV22" i="46"/>
  <c r="EJ22" i="46"/>
  <c r="FH22" i="46"/>
  <c r="GF22" i="46"/>
  <c r="BP22" i="46"/>
  <c r="IZ22" i="46"/>
  <c r="CN22" i="46"/>
  <c r="BS22" i="46"/>
  <c r="JC22" i="46"/>
  <c r="FN22" i="46"/>
  <c r="GO22" i="46"/>
  <c r="GR22" i="46"/>
  <c r="HD22" i="46"/>
  <c r="CQ22" i="46"/>
  <c r="KA22" i="46"/>
  <c r="GL22" i="46"/>
  <c r="AC22" i="46"/>
  <c r="HM22" i="46"/>
  <c r="AF22" i="46"/>
  <c r="HP22" i="46"/>
  <c r="AO22" i="46"/>
  <c r="IB22" i="46"/>
  <c r="DO22" i="46"/>
  <c r="KY22" i="46"/>
  <c r="Z22" i="46"/>
  <c r="HJ22" i="46"/>
  <c r="BA22" i="46"/>
  <c r="IK22" i="46"/>
  <c r="BD22" i="46"/>
  <c r="IN22" i="46"/>
  <c r="DF22" i="46"/>
  <c r="JX22" i="46"/>
  <c r="EM22" i="46"/>
  <c r="AX22" i="46"/>
  <c r="IH22" i="46"/>
  <c r="BY22" i="46"/>
  <c r="JI22" i="46"/>
  <c r="CB22" i="46"/>
  <c r="JL22" i="46"/>
  <c r="FW22" i="46"/>
  <c r="FK22" i="46"/>
  <c r="BV22" i="46"/>
  <c r="JF22" i="46"/>
  <c r="CW22" i="46"/>
  <c r="KG22" i="46"/>
  <c r="CZ22" i="46"/>
  <c r="KJ22" i="46"/>
  <c r="HY22" i="46"/>
  <c r="DI22" i="46"/>
  <c r="BJ22" i="46"/>
  <c r="CE22" i="46"/>
  <c r="HS22" i="46"/>
  <c r="GI22" i="46"/>
  <c r="CT22" i="46"/>
  <c r="KD22" i="46"/>
  <c r="DU22" i="46"/>
  <c r="LE22" i="46"/>
  <c r="DX22" i="46"/>
  <c r="KP22" i="46"/>
  <c r="FZ22" i="46"/>
  <c r="EA22" i="46"/>
  <c r="EG22" i="46"/>
  <c r="GC22" i="46"/>
  <c r="IT22" i="46"/>
  <c r="CH22" i="46"/>
  <c r="CK22" i="46"/>
  <c r="AR22" i="46"/>
  <c r="AU22" i="46"/>
  <c r="HA22" i="46"/>
  <c r="HG22" i="46"/>
  <c r="DR22" i="46"/>
  <c r="ES22" i="46"/>
  <c r="EV22" i="46"/>
  <c r="IE22" i="46"/>
  <c r="EP22" i="46"/>
  <c r="FQ22" i="46"/>
  <c r="FT22" i="46"/>
  <c r="BG22" i="46"/>
  <c r="DC22" i="46"/>
  <c r="LB22" i="46"/>
  <c r="IQ22" i="46"/>
  <c r="GX22" i="46"/>
  <c r="HV22" i="46"/>
  <c r="KS22" i="46"/>
  <c r="JO22" i="46"/>
  <c r="JU22" i="46"/>
  <c r="EY22" i="46"/>
  <c r="AL22" i="46"/>
  <c r="GU22" i="46"/>
  <c r="JR22" i="46"/>
  <c r="AI22" i="46"/>
  <c r="FE22" i="46"/>
  <c r="KM22" i="46"/>
  <c r="ED22" i="46"/>
  <c r="IW22" i="46"/>
  <c r="FB22" i="46"/>
  <c r="BM22" i="46"/>
  <c r="CK68" i="46"/>
  <c r="DC68" i="46"/>
  <c r="JU68" i="46"/>
  <c r="KM68" i="46"/>
  <c r="IQ73" i="46"/>
  <c r="FZ68" i="46"/>
  <c r="FB68" i="46"/>
  <c r="T61" i="46"/>
  <c r="W32" i="46"/>
  <c r="FH32" i="46"/>
  <c r="BS32" i="46"/>
  <c r="JC32" i="46"/>
  <c r="GL32" i="46"/>
  <c r="FQ32" i="46"/>
  <c r="FT32" i="46"/>
  <c r="BG32" i="46"/>
  <c r="GF32" i="46"/>
  <c r="CQ32" i="46"/>
  <c r="KA32" i="46"/>
  <c r="Z32" i="46"/>
  <c r="HJ32" i="46"/>
  <c r="GO32" i="46"/>
  <c r="GR32" i="46"/>
  <c r="DI32" i="46"/>
  <c r="BM32" i="46"/>
  <c r="HD32" i="46"/>
  <c r="DO32" i="46"/>
  <c r="KY32" i="46"/>
  <c r="AX32" i="46"/>
  <c r="IH32" i="46"/>
  <c r="AC32" i="46"/>
  <c r="HM32" i="46"/>
  <c r="AF32" i="46"/>
  <c r="HP32" i="46"/>
  <c r="FZ32" i="46"/>
  <c r="AR32" i="46"/>
  <c r="IB32" i="46"/>
  <c r="EM32" i="46"/>
  <c r="BV32" i="46"/>
  <c r="JF32" i="46"/>
  <c r="BA32" i="46"/>
  <c r="IK32" i="46"/>
  <c r="BD32" i="46"/>
  <c r="IN32" i="46"/>
  <c r="IQ32" i="46"/>
  <c r="GU32" i="46"/>
  <c r="BP32" i="46"/>
  <c r="IZ32" i="46"/>
  <c r="FK32" i="46"/>
  <c r="CT32" i="46"/>
  <c r="KD32" i="46"/>
  <c r="BY32" i="46"/>
  <c r="JI32" i="46"/>
  <c r="CB32" i="46"/>
  <c r="JL32" i="46"/>
  <c r="KS32" i="46"/>
  <c r="BJ32" i="46"/>
  <c r="IW32" i="46"/>
  <c r="JR32" i="46"/>
  <c r="CN32" i="46"/>
  <c r="JX32" i="46"/>
  <c r="GI32" i="46"/>
  <c r="DR32" i="46"/>
  <c r="LB32" i="46"/>
  <c r="CW32" i="46"/>
  <c r="KG32" i="46"/>
  <c r="CZ32" i="46"/>
  <c r="KJ32" i="46"/>
  <c r="EA32" i="46"/>
  <c r="DL32" i="46"/>
  <c r="KV32" i="46"/>
  <c r="HG32" i="46"/>
  <c r="EP32" i="46"/>
  <c r="DU32" i="46"/>
  <c r="LE32" i="46"/>
  <c r="DX32" i="46"/>
  <c r="FB32" i="46"/>
  <c r="AO32" i="46"/>
  <c r="CK32" i="46"/>
  <c r="KP32" i="46"/>
  <c r="AU32" i="46"/>
  <c r="CE32" i="46"/>
  <c r="CH32" i="46"/>
  <c r="AL32" i="46"/>
  <c r="EJ32" i="46"/>
  <c r="IE32" i="46"/>
  <c r="FN32" i="46"/>
  <c r="ES32" i="46"/>
  <c r="EV32" i="46"/>
  <c r="EG32" i="46"/>
  <c r="EY32" i="46"/>
  <c r="FE32" i="46"/>
  <c r="GC32" i="46"/>
  <c r="GX32" i="46"/>
  <c r="HA32" i="46"/>
  <c r="AI32" i="46"/>
  <c r="IT32" i="46"/>
  <c r="JO32" i="46"/>
  <c r="ED32" i="46"/>
  <c r="DF32" i="46"/>
  <c r="DC32" i="46"/>
  <c r="HS32" i="46"/>
  <c r="KM32" i="46"/>
  <c r="FW32" i="46"/>
  <c r="HV32" i="46"/>
  <c r="HY32" i="46"/>
  <c r="JU32" i="46"/>
  <c r="W57" i="46"/>
  <c r="FH57" i="46"/>
  <c r="GF57" i="46"/>
  <c r="HD57" i="46"/>
  <c r="AR57" i="46"/>
  <c r="IB57" i="46"/>
  <c r="IZ57" i="46"/>
  <c r="FK57" i="46"/>
  <c r="GL57" i="46"/>
  <c r="FQ57" i="46"/>
  <c r="CB57" i="46"/>
  <c r="JL57" i="46"/>
  <c r="GC57" i="46"/>
  <c r="GX57" i="46"/>
  <c r="JX57" i="46"/>
  <c r="GI57" i="46"/>
  <c r="Z57" i="46"/>
  <c r="HJ57" i="46"/>
  <c r="GO57" i="46"/>
  <c r="CZ57" i="46"/>
  <c r="KJ57" i="46"/>
  <c r="IT57" i="46"/>
  <c r="JO57" i="46"/>
  <c r="AI57" i="46"/>
  <c r="KV57" i="46"/>
  <c r="HG57" i="46"/>
  <c r="AX57" i="46"/>
  <c r="IH57" i="46"/>
  <c r="AC57" i="46"/>
  <c r="HM57" i="46"/>
  <c r="DX57" i="46"/>
  <c r="CK57" i="46"/>
  <c r="AU57" i="46"/>
  <c r="IE57" i="46"/>
  <c r="BV57" i="46"/>
  <c r="JF57" i="46"/>
  <c r="BA57" i="46"/>
  <c r="IK57" i="46"/>
  <c r="EV57" i="46"/>
  <c r="BM57" i="46"/>
  <c r="FB57" i="46"/>
  <c r="BP57" i="46"/>
  <c r="BS57" i="46"/>
  <c r="JC57" i="46"/>
  <c r="CT57" i="46"/>
  <c r="KD57" i="46"/>
  <c r="BY57" i="46"/>
  <c r="JI57" i="46"/>
  <c r="FT57" i="46"/>
  <c r="ED57" i="46"/>
  <c r="CH57" i="46"/>
  <c r="HS57" i="46"/>
  <c r="FW57" i="46"/>
  <c r="CN57" i="46"/>
  <c r="CQ57" i="46"/>
  <c r="KA57" i="46"/>
  <c r="DR57" i="46"/>
  <c r="LB57" i="46"/>
  <c r="CW57" i="46"/>
  <c r="KG57" i="46"/>
  <c r="GR57" i="46"/>
  <c r="GU57" i="46"/>
  <c r="EY57" i="46"/>
  <c r="JU57" i="46"/>
  <c r="DL57" i="46"/>
  <c r="DO57" i="46"/>
  <c r="KY57" i="46"/>
  <c r="EP57" i="46"/>
  <c r="DU57" i="46"/>
  <c r="LE57" i="46"/>
  <c r="AF57" i="46"/>
  <c r="HP57" i="46"/>
  <c r="BJ57" i="46"/>
  <c r="IW57" i="46"/>
  <c r="CE57" i="46"/>
  <c r="HA57" i="46"/>
  <c r="AL57" i="46"/>
  <c r="EJ57" i="46"/>
  <c r="FZ57" i="46"/>
  <c r="EM57" i="46"/>
  <c r="FN57" i="46"/>
  <c r="BG57" i="46"/>
  <c r="HY57" i="46"/>
  <c r="ES57" i="46"/>
  <c r="BD57" i="46"/>
  <c r="EG57" i="46"/>
  <c r="IN57" i="46"/>
  <c r="AO57" i="46"/>
  <c r="JR57" i="46"/>
  <c r="HV57" i="46"/>
  <c r="EA57" i="46"/>
  <c r="IQ57" i="46"/>
  <c r="FE57" i="46"/>
  <c r="KM57" i="46"/>
  <c r="KP57" i="46"/>
  <c r="DF57" i="46"/>
  <c r="KS57" i="46"/>
  <c r="W51" i="46"/>
  <c r="BS51" i="46"/>
  <c r="JC51" i="46"/>
  <c r="BV51" i="46"/>
  <c r="JF51" i="46"/>
  <c r="CQ51" i="46"/>
  <c r="KA51" i="46"/>
  <c r="CT51" i="46"/>
  <c r="KD51" i="46"/>
  <c r="DO51" i="46"/>
  <c r="KY51" i="46"/>
  <c r="EM51" i="46"/>
  <c r="FK51" i="46"/>
  <c r="GI51" i="46"/>
  <c r="HG51" i="46"/>
  <c r="AX51" i="46"/>
  <c r="CW51" i="46"/>
  <c r="KG51" i="46"/>
  <c r="CB51" i="46"/>
  <c r="JL51" i="46"/>
  <c r="FW51" i="46"/>
  <c r="CH51" i="46"/>
  <c r="JU51" i="46"/>
  <c r="CN51" i="46"/>
  <c r="HY51" i="46"/>
  <c r="DR51" i="46"/>
  <c r="DU51" i="46"/>
  <c r="LE51" i="46"/>
  <c r="CZ51" i="46"/>
  <c r="KJ51" i="46"/>
  <c r="GU51" i="46"/>
  <c r="EJ51" i="46"/>
  <c r="FE51" i="46"/>
  <c r="KP51" i="46"/>
  <c r="AR51" i="46"/>
  <c r="AU51" i="46"/>
  <c r="EP51" i="46"/>
  <c r="ES51" i="46"/>
  <c r="DX51" i="46"/>
  <c r="AI51" i="46"/>
  <c r="HS51" i="46"/>
  <c r="HA51" i="46"/>
  <c r="HV51" i="46"/>
  <c r="DI51" i="46"/>
  <c r="BJ51" i="46"/>
  <c r="IE51" i="46"/>
  <c r="FN51" i="46"/>
  <c r="FQ51" i="46"/>
  <c r="EV51" i="46"/>
  <c r="BG51" i="46"/>
  <c r="IQ51" i="46"/>
  <c r="JR51" i="46"/>
  <c r="JX51" i="46"/>
  <c r="FZ51" i="46"/>
  <c r="GX51" i="46"/>
  <c r="GL51" i="46"/>
  <c r="GO51" i="46"/>
  <c r="FT51" i="46"/>
  <c r="CE51" i="46"/>
  <c r="JO51" i="46"/>
  <c r="IB51" i="46"/>
  <c r="GC51" i="46"/>
  <c r="HJ51" i="46"/>
  <c r="AC51" i="46"/>
  <c r="HM51" i="46"/>
  <c r="GR51" i="46"/>
  <c r="DC51" i="46"/>
  <c r="KM51" i="46"/>
  <c r="CK51" i="46"/>
  <c r="AO51" i="46"/>
  <c r="KS51" i="46"/>
  <c r="IH51" i="46"/>
  <c r="BA51" i="46"/>
  <c r="IK51" i="46"/>
  <c r="AF51" i="46"/>
  <c r="HP51" i="46"/>
  <c r="EA51" i="46"/>
  <c r="FB51" i="46"/>
  <c r="DF51" i="46"/>
  <c r="IT51" i="46"/>
  <c r="EG51" i="46"/>
  <c r="BY51" i="46"/>
  <c r="FH51" i="46"/>
  <c r="Z51" i="46"/>
  <c r="JI51" i="46"/>
  <c r="DL51" i="46"/>
  <c r="LB51" i="46"/>
  <c r="BD51" i="46"/>
  <c r="EY51" i="46"/>
  <c r="IZ51" i="46"/>
  <c r="IN51" i="46"/>
  <c r="BP51" i="46"/>
  <c r="IW51" i="46"/>
  <c r="HD51" i="46"/>
  <c r="KV51" i="46"/>
  <c r="BM51" i="46"/>
  <c r="GF51" i="46"/>
  <c r="W28" i="46"/>
  <c r="DO28" i="46"/>
  <c r="KY28" i="46"/>
  <c r="EM28" i="46"/>
  <c r="GI28" i="46"/>
  <c r="FN28" i="46"/>
  <c r="IE28" i="46"/>
  <c r="Z28" i="46"/>
  <c r="HJ28" i="46"/>
  <c r="CW28" i="46"/>
  <c r="KG28" i="46"/>
  <c r="JC28" i="46"/>
  <c r="AU28" i="46"/>
  <c r="KA28" i="46"/>
  <c r="BV28" i="46"/>
  <c r="JF28" i="46"/>
  <c r="BS28" i="46"/>
  <c r="CT28" i="46"/>
  <c r="KD28" i="46"/>
  <c r="CQ28" i="46"/>
  <c r="DR28" i="46"/>
  <c r="LB28" i="46"/>
  <c r="FK28" i="46"/>
  <c r="GL28" i="46"/>
  <c r="HM28" i="46"/>
  <c r="FT28" i="46"/>
  <c r="IT28" i="46"/>
  <c r="DC28" i="46"/>
  <c r="HV28" i="46"/>
  <c r="HY28" i="46"/>
  <c r="GU28" i="46"/>
  <c r="HG28" i="46"/>
  <c r="IH28" i="46"/>
  <c r="AC28" i="46"/>
  <c r="IK28" i="46"/>
  <c r="HA28" i="46"/>
  <c r="KJ28" i="46"/>
  <c r="EJ28" i="46"/>
  <c r="JL28" i="46"/>
  <c r="JO28" i="46"/>
  <c r="KP28" i="46"/>
  <c r="DF28" i="46"/>
  <c r="IZ28" i="46"/>
  <c r="AO28" i="46"/>
  <c r="BA28" i="46"/>
  <c r="JI28" i="46"/>
  <c r="AI28" i="46"/>
  <c r="IQ28" i="46"/>
  <c r="FZ28" i="46"/>
  <c r="KS28" i="46"/>
  <c r="KV28" i="46"/>
  <c r="GX28" i="46"/>
  <c r="DX28" i="46"/>
  <c r="BY28" i="46"/>
  <c r="LE28" i="46"/>
  <c r="BG28" i="46"/>
  <c r="JX28" i="46"/>
  <c r="BD28" i="46"/>
  <c r="HP28" i="46"/>
  <c r="AF28" i="46"/>
  <c r="CH28" i="46"/>
  <c r="HS28" i="46"/>
  <c r="EA28" i="46"/>
  <c r="DU28" i="46"/>
  <c r="CE28" i="46"/>
  <c r="CZ28" i="46"/>
  <c r="IW28" i="46"/>
  <c r="BP28" i="46"/>
  <c r="CB28" i="46"/>
  <c r="GC28" i="46"/>
  <c r="IB28" i="46"/>
  <c r="AL28" i="46"/>
  <c r="ES28" i="46"/>
  <c r="AR28" i="46"/>
  <c r="EG28" i="46"/>
  <c r="KM28" i="46"/>
  <c r="DI28" i="46"/>
  <c r="DL28" i="46"/>
  <c r="JU28" i="46"/>
  <c r="JR28" i="46"/>
  <c r="AX28" i="46"/>
  <c r="FQ28" i="46"/>
  <c r="CN28" i="46"/>
  <c r="FW28" i="46"/>
  <c r="EY28" i="46"/>
  <c r="FB28" i="46"/>
  <c r="HD28" i="46"/>
  <c r="ED28" i="46"/>
  <c r="FE28" i="46"/>
  <c r="EP28" i="46"/>
  <c r="GO28" i="46"/>
  <c r="GR28" i="46"/>
  <c r="GF28" i="46"/>
  <c r="FH28" i="46"/>
  <c r="BM28" i="46"/>
  <c r="BJ28" i="46"/>
  <c r="CK28" i="46"/>
  <c r="IN28" i="46"/>
  <c r="EV28" i="46"/>
  <c r="W70" i="46"/>
  <c r="EP70" i="46"/>
  <c r="CW70" i="46"/>
  <c r="KG70" i="46"/>
  <c r="EV70" i="46"/>
  <c r="FW70" i="46"/>
  <c r="AL70" i="46"/>
  <c r="HV70" i="46"/>
  <c r="KY70" i="46"/>
  <c r="JU70" i="46"/>
  <c r="HJ70" i="46"/>
  <c r="AC70" i="46"/>
  <c r="IK70" i="46"/>
  <c r="DX70" i="46"/>
  <c r="HS70" i="46"/>
  <c r="DF70" i="46"/>
  <c r="JC70" i="46"/>
  <c r="Z70" i="46"/>
  <c r="IH70" i="46"/>
  <c r="BA70" i="46"/>
  <c r="JI70" i="46"/>
  <c r="FT70" i="46"/>
  <c r="AI70" i="46"/>
  <c r="IQ70" i="46"/>
  <c r="AX70" i="46"/>
  <c r="JF70" i="46"/>
  <c r="BY70" i="46"/>
  <c r="LE70" i="46"/>
  <c r="GR70" i="46"/>
  <c r="BG70" i="46"/>
  <c r="JO70" i="46"/>
  <c r="FB70" i="46"/>
  <c r="BV70" i="46"/>
  <c r="KD70" i="46"/>
  <c r="DU70" i="46"/>
  <c r="HP70" i="46"/>
  <c r="CE70" i="46"/>
  <c r="KM70" i="46"/>
  <c r="CT70" i="46"/>
  <c r="LB70" i="46"/>
  <c r="ES70" i="46"/>
  <c r="AF70" i="46"/>
  <c r="IN70" i="46"/>
  <c r="DC70" i="46"/>
  <c r="DR70" i="46"/>
  <c r="FQ70" i="46"/>
  <c r="BD70" i="46"/>
  <c r="JL70" i="46"/>
  <c r="FN70" i="46"/>
  <c r="GO70" i="46"/>
  <c r="JR70" i="46"/>
  <c r="BM70" i="46"/>
  <c r="FH70" i="46"/>
  <c r="GL70" i="46"/>
  <c r="KP70" i="46"/>
  <c r="DO70" i="46"/>
  <c r="HY70" i="46"/>
  <c r="EA70" i="46"/>
  <c r="BJ70" i="46"/>
  <c r="GF70" i="46"/>
  <c r="KA70" i="46"/>
  <c r="EY70" i="46"/>
  <c r="CH70" i="46"/>
  <c r="IW70" i="46"/>
  <c r="BS70" i="46"/>
  <c r="CK70" i="46"/>
  <c r="CN70" i="46"/>
  <c r="DL70" i="46"/>
  <c r="HM70" i="46"/>
  <c r="CB70" i="46"/>
  <c r="GU70" i="46"/>
  <c r="ED70" i="46"/>
  <c r="EJ70" i="46"/>
  <c r="EM70" i="46"/>
  <c r="FE70" i="46"/>
  <c r="KS70" i="46"/>
  <c r="EG70" i="46"/>
  <c r="FK70" i="46"/>
  <c r="GC70" i="46"/>
  <c r="CZ70" i="46"/>
  <c r="FZ70" i="46"/>
  <c r="HA70" i="46"/>
  <c r="HD70" i="46"/>
  <c r="HG70" i="46"/>
  <c r="KV70" i="46"/>
  <c r="KJ70" i="46"/>
  <c r="GX70" i="46"/>
  <c r="JX70" i="46"/>
  <c r="AO70" i="46"/>
  <c r="GI70" i="46"/>
  <c r="JF73" i="46"/>
  <c r="CQ76" i="46"/>
  <c r="EV71" i="46"/>
  <c r="JX76" i="46"/>
  <c r="IZ72" i="46"/>
  <c r="FN73" i="46"/>
  <c r="AR76" i="46"/>
  <c r="LB73" i="46"/>
  <c r="KM71" i="46"/>
  <c r="AX64" i="46"/>
  <c r="GC76" i="46"/>
  <c r="DO67" i="46"/>
  <c r="CH76" i="46"/>
  <c r="CE71" i="46"/>
  <c r="DI68" i="46"/>
  <c r="JO72" i="46"/>
  <c r="HP72" i="46"/>
  <c r="IE67" i="46"/>
  <c r="DU72" i="46"/>
  <c r="FK73" i="46"/>
  <c r="W50" i="46"/>
  <c r="DX50" i="46"/>
  <c r="GU50" i="46"/>
  <c r="EV50" i="46"/>
  <c r="AI50" i="46"/>
  <c r="HS50" i="46"/>
  <c r="FT50" i="46"/>
  <c r="BG50" i="46"/>
  <c r="IQ50" i="46"/>
  <c r="BJ50" i="46"/>
  <c r="IT50" i="46"/>
  <c r="GR50" i="46"/>
  <c r="CE50" i="46"/>
  <c r="CH50" i="46"/>
  <c r="AF50" i="46"/>
  <c r="HP50" i="46"/>
  <c r="DC50" i="46"/>
  <c r="DF50" i="46"/>
  <c r="JL50" i="46"/>
  <c r="FB50" i="46"/>
  <c r="DI50" i="46"/>
  <c r="ES50" i="46"/>
  <c r="KJ50" i="46"/>
  <c r="FZ50" i="46"/>
  <c r="EP50" i="46"/>
  <c r="GI50" i="46"/>
  <c r="GX50" i="46"/>
  <c r="GF50" i="46"/>
  <c r="HV50" i="46"/>
  <c r="HM50" i="46"/>
  <c r="BD50" i="46"/>
  <c r="JC50" i="46"/>
  <c r="CB50" i="46"/>
  <c r="EA50" i="46"/>
  <c r="KD50" i="46"/>
  <c r="CZ50" i="46"/>
  <c r="EY50" i="46"/>
  <c r="AL50" i="46"/>
  <c r="AC50" i="46"/>
  <c r="LE50" i="46"/>
  <c r="IN50" i="46"/>
  <c r="FW50" i="46"/>
  <c r="ED50" i="46"/>
  <c r="JF50" i="46"/>
  <c r="GL50" i="46"/>
  <c r="FH50" i="46"/>
  <c r="JR50" i="46"/>
  <c r="GC50" i="46"/>
  <c r="KV50" i="46"/>
  <c r="EJ50" i="46"/>
  <c r="KG50" i="46"/>
  <c r="IB50" i="46"/>
  <c r="GO50" i="46"/>
  <c r="KS50" i="46"/>
  <c r="JX50" i="46"/>
  <c r="IK50" i="46"/>
  <c r="JI50" i="46"/>
  <c r="IE50" i="46"/>
  <c r="AX50" i="46"/>
  <c r="LB50" i="46"/>
  <c r="KM50" i="46"/>
  <c r="JO50" i="46"/>
  <c r="CN50" i="46"/>
  <c r="AO50" i="46"/>
  <c r="AR50" i="46"/>
  <c r="KP50" i="46"/>
  <c r="DU50" i="46"/>
  <c r="CT50" i="46"/>
  <c r="EG50" i="46"/>
  <c r="BV50" i="46"/>
  <c r="BY50" i="46"/>
  <c r="AU50" i="46"/>
  <c r="FK50" i="46"/>
  <c r="HD50" i="46"/>
  <c r="HJ50" i="46"/>
  <c r="DL50" i="46"/>
  <c r="DO50" i="46"/>
  <c r="CK50" i="46"/>
  <c r="HA50" i="46"/>
  <c r="KA50" i="46"/>
  <c r="CW50" i="46"/>
  <c r="KY50" i="46"/>
  <c r="HY50" i="46"/>
  <c r="DR50" i="46"/>
  <c r="IH50" i="46"/>
  <c r="CQ50" i="46"/>
  <c r="BM50" i="46"/>
  <c r="EM50" i="46"/>
  <c r="BS50" i="46"/>
  <c r="IZ50" i="46"/>
  <c r="BA50" i="46"/>
  <c r="JU50" i="46"/>
  <c r="FE50" i="46"/>
  <c r="HG50" i="46"/>
  <c r="Z50" i="46"/>
  <c r="FN50" i="46"/>
  <c r="BP50" i="46"/>
  <c r="FQ50" i="46"/>
  <c r="IW50" i="46"/>
  <c r="W18" i="46"/>
  <c r="BV18" i="46"/>
  <c r="JF18" i="46"/>
  <c r="DR18" i="46"/>
  <c r="DU18" i="46"/>
  <c r="LE18" i="46"/>
  <c r="BD18" i="46"/>
  <c r="IN18" i="46"/>
  <c r="EY18" i="46"/>
  <c r="GX18" i="46"/>
  <c r="KV18" i="46"/>
  <c r="KY18" i="46"/>
  <c r="EP18" i="46"/>
  <c r="ES18" i="46"/>
  <c r="CB18" i="46"/>
  <c r="JL18" i="46"/>
  <c r="FW18" i="46"/>
  <c r="AL18" i="46"/>
  <c r="HV18" i="46"/>
  <c r="FN18" i="46"/>
  <c r="FQ18" i="46"/>
  <c r="CZ18" i="46"/>
  <c r="KJ18" i="46"/>
  <c r="GU18" i="46"/>
  <c r="BJ18" i="46"/>
  <c r="IT18" i="46"/>
  <c r="GL18" i="46"/>
  <c r="GO18" i="46"/>
  <c r="DX18" i="46"/>
  <c r="AI18" i="46"/>
  <c r="HS18" i="46"/>
  <c r="CH18" i="46"/>
  <c r="JR18" i="46"/>
  <c r="HJ18" i="46"/>
  <c r="AC18" i="46"/>
  <c r="HM18" i="46"/>
  <c r="EV18" i="46"/>
  <c r="BG18" i="46"/>
  <c r="IQ18" i="46"/>
  <c r="DF18" i="46"/>
  <c r="KP18" i="46"/>
  <c r="AU18" i="46"/>
  <c r="Z18" i="46"/>
  <c r="IH18" i="46"/>
  <c r="BA18" i="46"/>
  <c r="IK18" i="46"/>
  <c r="FT18" i="46"/>
  <c r="CE18" i="46"/>
  <c r="JO18" i="46"/>
  <c r="ED18" i="46"/>
  <c r="DL18" i="46"/>
  <c r="AX18" i="46"/>
  <c r="KD18" i="46"/>
  <c r="BY18" i="46"/>
  <c r="JI18" i="46"/>
  <c r="GR18" i="46"/>
  <c r="DC18" i="46"/>
  <c r="KM18" i="46"/>
  <c r="FB18" i="46"/>
  <c r="GC18" i="46"/>
  <c r="BP18" i="46"/>
  <c r="BS18" i="46"/>
  <c r="CK18" i="46"/>
  <c r="EG18" i="46"/>
  <c r="EJ18" i="46"/>
  <c r="EM18" i="46"/>
  <c r="FH18" i="46"/>
  <c r="CT18" i="46"/>
  <c r="CW18" i="46"/>
  <c r="GI18" i="46"/>
  <c r="HA18" i="46"/>
  <c r="HD18" i="46"/>
  <c r="LB18" i="46"/>
  <c r="KG18" i="46"/>
  <c r="AF18" i="46"/>
  <c r="BM18" i="46"/>
  <c r="IZ18" i="46"/>
  <c r="JC18" i="46"/>
  <c r="JU18" i="46"/>
  <c r="FK18" i="46"/>
  <c r="CQ18" i="46"/>
  <c r="HP18" i="46"/>
  <c r="DO18" i="46"/>
  <c r="AO18" i="46"/>
  <c r="CN18" i="46"/>
  <c r="JX18" i="46"/>
  <c r="HG18" i="46"/>
  <c r="IE18" i="46"/>
  <c r="GF18" i="46"/>
  <c r="FZ18" i="46"/>
  <c r="IW18" i="46"/>
  <c r="AR18" i="46"/>
  <c r="DI18" i="46"/>
  <c r="IB18" i="46"/>
  <c r="FE18" i="46"/>
  <c r="KS18" i="46"/>
  <c r="HY18" i="46"/>
  <c r="KA18" i="46"/>
  <c r="EA18" i="46"/>
  <c r="CH15" i="46"/>
  <c r="JR15" i="46"/>
  <c r="W15" i="46"/>
  <c r="FB15" i="46"/>
  <c r="EG15" i="46"/>
  <c r="AR15" i="46"/>
  <c r="IB15" i="46"/>
  <c r="GX15" i="46"/>
  <c r="GC15" i="46"/>
  <c r="CN15" i="46"/>
  <c r="JX15" i="46"/>
  <c r="AL15" i="46"/>
  <c r="IT15" i="46"/>
  <c r="AO15" i="46"/>
  <c r="HY15" i="46"/>
  <c r="EJ15" i="46"/>
  <c r="HG15" i="46"/>
  <c r="FT15" i="46"/>
  <c r="HV15" i="46"/>
  <c r="CK15" i="46"/>
  <c r="GF15" i="46"/>
  <c r="Z15" i="46"/>
  <c r="JC15" i="46"/>
  <c r="AF15" i="46"/>
  <c r="BY15" i="46"/>
  <c r="KP15" i="46"/>
  <c r="DI15" i="46"/>
  <c r="HD15" i="46"/>
  <c r="BG15" i="46"/>
  <c r="KJ15" i="46"/>
  <c r="FE15" i="46"/>
  <c r="IZ15" i="46"/>
  <c r="BD15" i="46"/>
  <c r="HA15" i="46"/>
  <c r="KV15" i="46"/>
  <c r="BJ15" i="46"/>
  <c r="IW15" i="46"/>
  <c r="EA15" i="46"/>
  <c r="HJ15" i="46"/>
  <c r="CZ15" i="46"/>
  <c r="GI15" i="46"/>
  <c r="HS15" i="46"/>
  <c r="DF15" i="46"/>
  <c r="JU15" i="46"/>
  <c r="BP15" i="46"/>
  <c r="FQ15" i="46"/>
  <c r="IQ15" i="46"/>
  <c r="EP15" i="46"/>
  <c r="HP15" i="46"/>
  <c r="JI15" i="46"/>
  <c r="DC15" i="46"/>
  <c r="CQ15" i="46"/>
  <c r="IE15" i="46"/>
  <c r="ES15" i="46"/>
  <c r="AI15" i="46"/>
  <c r="GR15" i="46"/>
  <c r="JL15" i="46"/>
  <c r="JF15" i="46"/>
  <c r="DO15" i="46"/>
  <c r="LB15" i="46"/>
  <c r="IK15" i="46"/>
  <c r="KM15" i="46"/>
  <c r="EV15" i="46"/>
  <c r="DR15" i="46"/>
  <c r="ED15" i="46"/>
  <c r="BM15" i="46"/>
  <c r="DL15" i="46"/>
  <c r="CT15" i="46"/>
  <c r="AC15" i="46"/>
  <c r="GL15" i="46"/>
  <c r="GU15" i="46"/>
  <c r="FZ15" i="46"/>
  <c r="KS15" i="46"/>
  <c r="FH15" i="46"/>
  <c r="IN15" i="46"/>
  <c r="CW15" i="46"/>
  <c r="BS15" i="46"/>
  <c r="KY15" i="46"/>
  <c r="CE15" i="46"/>
  <c r="LE15" i="46"/>
  <c r="AU15" i="46"/>
  <c r="KD15" i="46"/>
  <c r="EM15" i="46"/>
  <c r="FW15" i="46"/>
  <c r="GO15" i="46"/>
  <c r="DX15" i="46"/>
  <c r="BV15" i="46"/>
  <c r="KA15" i="46"/>
  <c r="EY15" i="46"/>
  <c r="DU15" i="46"/>
  <c r="BA15" i="46"/>
  <c r="CB15" i="46"/>
  <c r="FK15" i="46"/>
  <c r="KG15" i="46"/>
  <c r="IH15" i="46"/>
  <c r="AX15" i="46"/>
  <c r="FN15" i="46"/>
  <c r="HM15" i="46"/>
  <c r="JO15" i="46"/>
  <c r="W39" i="46"/>
  <c r="CE39" i="46"/>
  <c r="JO39" i="46"/>
  <c r="EA39" i="46"/>
  <c r="FZ39" i="46"/>
  <c r="CK39" i="46"/>
  <c r="JU39" i="46"/>
  <c r="AR39" i="46"/>
  <c r="IB39" i="46"/>
  <c r="AU39" i="46"/>
  <c r="EP39" i="46"/>
  <c r="ES39" i="46"/>
  <c r="EY39" i="46"/>
  <c r="GX39" i="46"/>
  <c r="DI39" i="46"/>
  <c r="KS39" i="46"/>
  <c r="BP39" i="46"/>
  <c r="IZ39" i="46"/>
  <c r="CQ39" i="46"/>
  <c r="GL39" i="46"/>
  <c r="GO39" i="46"/>
  <c r="FW39" i="46"/>
  <c r="AL39" i="46"/>
  <c r="HV39" i="46"/>
  <c r="EG39" i="46"/>
  <c r="CN39" i="46"/>
  <c r="JX39" i="46"/>
  <c r="EM39" i="46"/>
  <c r="IH39" i="46"/>
  <c r="IK39" i="46"/>
  <c r="IN39" i="46"/>
  <c r="GU39" i="46"/>
  <c r="BJ39" i="46"/>
  <c r="IT39" i="46"/>
  <c r="FE39" i="46"/>
  <c r="DL39" i="46"/>
  <c r="KV39" i="46"/>
  <c r="GI39" i="46"/>
  <c r="KD39" i="46"/>
  <c r="KG39" i="46"/>
  <c r="KJ39" i="46"/>
  <c r="BS39" i="46"/>
  <c r="HS39" i="46"/>
  <c r="CH39" i="46"/>
  <c r="JR39" i="46"/>
  <c r="GC39" i="46"/>
  <c r="EJ39" i="46"/>
  <c r="IE39" i="46"/>
  <c r="DO39" i="46"/>
  <c r="KP39" i="46"/>
  <c r="AO39" i="46"/>
  <c r="EV39" i="46"/>
  <c r="HG39" i="46"/>
  <c r="BM39" i="46"/>
  <c r="GR39" i="46"/>
  <c r="JC39" i="46"/>
  <c r="HA39" i="46"/>
  <c r="FH39" i="46"/>
  <c r="KY39" i="46"/>
  <c r="AI39" i="46"/>
  <c r="HY39" i="46"/>
  <c r="GF39" i="46"/>
  <c r="BG39" i="46"/>
  <c r="IW39" i="46"/>
  <c r="HD39" i="46"/>
  <c r="KA39" i="46"/>
  <c r="AX39" i="46"/>
  <c r="BA39" i="46"/>
  <c r="DC39" i="46"/>
  <c r="DF39" i="46"/>
  <c r="CT39" i="46"/>
  <c r="CW39" i="46"/>
  <c r="BY39" i="46"/>
  <c r="IQ39" i="46"/>
  <c r="ED39" i="46"/>
  <c r="BD39" i="46"/>
  <c r="HJ39" i="46"/>
  <c r="KM39" i="46"/>
  <c r="FB39" i="46"/>
  <c r="CZ39" i="46"/>
  <c r="FK39" i="46"/>
  <c r="Z39" i="46"/>
  <c r="DX39" i="46"/>
  <c r="BV39" i="46"/>
  <c r="FN39" i="46"/>
  <c r="JI39" i="46"/>
  <c r="AF39" i="46"/>
  <c r="FT39" i="46"/>
  <c r="CB39" i="46"/>
  <c r="DR39" i="46"/>
  <c r="DU39" i="46"/>
  <c r="HM39" i="46"/>
  <c r="HP39" i="46"/>
  <c r="JF39" i="46"/>
  <c r="FQ39" i="46"/>
  <c r="JL39" i="46"/>
  <c r="LE39" i="46"/>
  <c r="LB39" i="46"/>
  <c r="AC39" i="46"/>
  <c r="T50" i="46"/>
  <c r="W71" i="46"/>
  <c r="GC71" i="46"/>
  <c r="EJ71" i="46"/>
  <c r="GI71" i="46"/>
  <c r="GL71" i="46"/>
  <c r="BA71" i="46"/>
  <c r="IK71" i="46"/>
  <c r="AI71" i="46"/>
  <c r="KP71" i="46"/>
  <c r="BG71" i="46"/>
  <c r="EG71" i="46"/>
  <c r="GF71" i="46"/>
  <c r="BS71" i="46"/>
  <c r="KA71" i="46"/>
  <c r="DR71" i="46"/>
  <c r="HM71" i="46"/>
  <c r="HS71" i="46"/>
  <c r="DF71" i="46"/>
  <c r="FE71" i="46"/>
  <c r="HD71" i="46"/>
  <c r="CQ71" i="46"/>
  <c r="KY71" i="46"/>
  <c r="EP71" i="46"/>
  <c r="HA71" i="46"/>
  <c r="IB71" i="46"/>
  <c r="DO71" i="46"/>
  <c r="FN71" i="46"/>
  <c r="BY71" i="46"/>
  <c r="KG71" i="46"/>
  <c r="HY71" i="46"/>
  <c r="AR71" i="46"/>
  <c r="IZ71" i="46"/>
  <c r="EM71" i="46"/>
  <c r="HJ71" i="46"/>
  <c r="AO71" i="46"/>
  <c r="IW71" i="46"/>
  <c r="BP71" i="46"/>
  <c r="JX71" i="46"/>
  <c r="FK71" i="46"/>
  <c r="Z71" i="46"/>
  <c r="IH71" i="46"/>
  <c r="BM71" i="46"/>
  <c r="JU71" i="46"/>
  <c r="CN71" i="46"/>
  <c r="KV71" i="46"/>
  <c r="HG71" i="46"/>
  <c r="CK71" i="46"/>
  <c r="KS71" i="46"/>
  <c r="DL71" i="46"/>
  <c r="LB71" i="46"/>
  <c r="DU71" i="46"/>
  <c r="GR71" i="46"/>
  <c r="FT71" i="46"/>
  <c r="AF71" i="46"/>
  <c r="AL71" i="46"/>
  <c r="CH71" i="46"/>
  <c r="JR71" i="46"/>
  <c r="JO71" i="46"/>
  <c r="ES71" i="46"/>
  <c r="IT71" i="46"/>
  <c r="GX71" i="46"/>
  <c r="HP71" i="46"/>
  <c r="FQ71" i="46"/>
  <c r="CZ71" i="46"/>
  <c r="CB71" i="46"/>
  <c r="AU71" i="46"/>
  <c r="AX71" i="46"/>
  <c r="GO71" i="46"/>
  <c r="FB71" i="46"/>
  <c r="ED71" i="46"/>
  <c r="DI71" i="46"/>
  <c r="IE71" i="46"/>
  <c r="BV71" i="46"/>
  <c r="JI71" i="46"/>
  <c r="KJ71" i="46"/>
  <c r="BD71" i="46"/>
  <c r="GU71" i="46"/>
  <c r="JC71" i="46"/>
  <c r="CT71" i="46"/>
  <c r="LE71" i="46"/>
  <c r="FW71" i="46"/>
  <c r="DX71" i="46"/>
  <c r="JL71" i="46"/>
  <c r="JF71" i="46"/>
  <c r="AC71" i="46"/>
  <c r="IN71" i="46"/>
  <c r="FZ71" i="46"/>
  <c r="BJ71" i="46"/>
  <c r="W29" i="46"/>
  <c r="DX29" i="46"/>
  <c r="AI29" i="46"/>
  <c r="HS29" i="46"/>
  <c r="FZ29" i="46"/>
  <c r="FE29" i="46"/>
  <c r="FH29" i="46"/>
  <c r="KD29" i="46"/>
  <c r="AU29" i="46"/>
  <c r="IH29" i="46"/>
  <c r="EV29" i="46"/>
  <c r="BG29" i="46"/>
  <c r="IQ29" i="46"/>
  <c r="GX29" i="46"/>
  <c r="GC29" i="46"/>
  <c r="GF29" i="46"/>
  <c r="CW29" i="46"/>
  <c r="KY29" i="46"/>
  <c r="FT29" i="46"/>
  <c r="CE29" i="46"/>
  <c r="JO29" i="46"/>
  <c r="AL29" i="46"/>
  <c r="HV29" i="46"/>
  <c r="HA29" i="46"/>
  <c r="HD29" i="46"/>
  <c r="FN29" i="46"/>
  <c r="GR29" i="46"/>
  <c r="DC29" i="46"/>
  <c r="KM29" i="46"/>
  <c r="BJ29" i="46"/>
  <c r="IT29" i="46"/>
  <c r="AO29" i="46"/>
  <c r="HY29" i="46"/>
  <c r="AR29" i="46"/>
  <c r="IB29" i="46"/>
  <c r="IE29" i="46"/>
  <c r="AF29" i="46"/>
  <c r="HP29" i="46"/>
  <c r="EA29" i="46"/>
  <c r="CH29" i="46"/>
  <c r="JR29" i="46"/>
  <c r="BM29" i="46"/>
  <c r="IW29" i="46"/>
  <c r="BP29" i="46"/>
  <c r="IZ29" i="46"/>
  <c r="AC29" i="46"/>
  <c r="KG29" i="46"/>
  <c r="GI29" i="46"/>
  <c r="BD29" i="46"/>
  <c r="IN29" i="46"/>
  <c r="EY29" i="46"/>
  <c r="DF29" i="46"/>
  <c r="KP29" i="46"/>
  <c r="CK29" i="46"/>
  <c r="JU29" i="46"/>
  <c r="CN29" i="46"/>
  <c r="JX29" i="46"/>
  <c r="CT29" i="46"/>
  <c r="CB29" i="46"/>
  <c r="JL29" i="46"/>
  <c r="FW29" i="46"/>
  <c r="ED29" i="46"/>
  <c r="DI29" i="46"/>
  <c r="KS29" i="46"/>
  <c r="DL29" i="46"/>
  <c r="KV29" i="46"/>
  <c r="FK29" i="46"/>
  <c r="KJ29" i="46"/>
  <c r="DO29" i="46"/>
  <c r="BA29" i="46"/>
  <c r="BS29" i="46"/>
  <c r="HJ29" i="46"/>
  <c r="JF29" i="46"/>
  <c r="HM29" i="46"/>
  <c r="FQ29" i="46"/>
  <c r="DR29" i="46"/>
  <c r="DU29" i="46"/>
  <c r="IK29" i="46"/>
  <c r="GL29" i="46"/>
  <c r="LB29" i="46"/>
  <c r="JC29" i="46"/>
  <c r="ES29" i="46"/>
  <c r="LE29" i="46"/>
  <c r="GO29" i="46"/>
  <c r="BY29" i="46"/>
  <c r="EJ29" i="46"/>
  <c r="Z29" i="46"/>
  <c r="JI29" i="46"/>
  <c r="KA29" i="46"/>
  <c r="CQ29" i="46"/>
  <c r="EM29" i="46"/>
  <c r="AX29" i="46"/>
  <c r="HG29" i="46"/>
  <c r="BV29" i="46"/>
  <c r="EG29" i="46"/>
  <c r="FB29" i="46"/>
  <c r="GU29" i="46"/>
  <c r="CZ29" i="46"/>
  <c r="EP29" i="46"/>
  <c r="BV73" i="46"/>
  <c r="IZ70" i="46"/>
  <c r="CN76" i="46"/>
  <c r="DC71" i="46"/>
  <c r="DR73" i="46"/>
  <c r="BJ64" i="46"/>
  <c r="AU76" i="46"/>
  <c r="FE76" i="46"/>
  <c r="BJ76" i="46"/>
  <c r="FH72" i="46"/>
  <c r="EY71" i="46"/>
  <c r="AF72" i="46"/>
  <c r="IQ71" i="46"/>
  <c r="IT70" i="46"/>
  <c r="DC57" i="46"/>
  <c r="AX68" i="46"/>
  <c r="FH71" i="46"/>
  <c r="W60" i="46"/>
  <c r="EG60" i="46"/>
  <c r="AR60" i="46"/>
  <c r="IB60" i="46"/>
  <c r="FK60" i="46"/>
  <c r="EP60" i="46"/>
  <c r="GO60" i="46"/>
  <c r="FE60" i="46"/>
  <c r="BP60" i="46"/>
  <c r="IZ60" i="46"/>
  <c r="GI60" i="46"/>
  <c r="FN60" i="46"/>
  <c r="AC60" i="46"/>
  <c r="HM60" i="46"/>
  <c r="GC60" i="46"/>
  <c r="CN60" i="46"/>
  <c r="JX60" i="46"/>
  <c r="HG60" i="46"/>
  <c r="GL60" i="46"/>
  <c r="BA60" i="46"/>
  <c r="IK60" i="46"/>
  <c r="BG60" i="46"/>
  <c r="HA60" i="46"/>
  <c r="DL60" i="46"/>
  <c r="KV60" i="46"/>
  <c r="AU60" i="46"/>
  <c r="IE60" i="46"/>
  <c r="Z60" i="46"/>
  <c r="HJ60" i="46"/>
  <c r="BY60" i="46"/>
  <c r="JI60" i="46"/>
  <c r="DX60" i="46"/>
  <c r="AO60" i="46"/>
  <c r="HY60" i="46"/>
  <c r="EJ60" i="46"/>
  <c r="BS60" i="46"/>
  <c r="JC60" i="46"/>
  <c r="AX60" i="46"/>
  <c r="IH60" i="46"/>
  <c r="CW60" i="46"/>
  <c r="KG60" i="46"/>
  <c r="FZ60" i="46"/>
  <c r="EV60" i="46"/>
  <c r="JR60" i="46"/>
  <c r="KM60" i="46"/>
  <c r="BM60" i="46"/>
  <c r="IW60" i="46"/>
  <c r="FH60" i="46"/>
  <c r="CQ60" i="46"/>
  <c r="KA60" i="46"/>
  <c r="BV60" i="46"/>
  <c r="JF60" i="46"/>
  <c r="DU60" i="46"/>
  <c r="LE60" i="46"/>
  <c r="IQ60" i="46"/>
  <c r="CK60" i="46"/>
  <c r="JU60" i="46"/>
  <c r="GF60" i="46"/>
  <c r="DO60" i="46"/>
  <c r="KY60" i="46"/>
  <c r="CT60" i="46"/>
  <c r="KD60" i="46"/>
  <c r="ES60" i="46"/>
  <c r="EM60" i="46"/>
  <c r="EA60" i="46"/>
  <c r="CE60" i="46"/>
  <c r="DR60" i="46"/>
  <c r="FQ60" i="46"/>
  <c r="GR60" i="46"/>
  <c r="GX60" i="46"/>
  <c r="LB60" i="46"/>
  <c r="IT60" i="46"/>
  <c r="JO60" i="46"/>
  <c r="AF60" i="46"/>
  <c r="DI60" i="46"/>
  <c r="CB60" i="46"/>
  <c r="CH60" i="46"/>
  <c r="KS60" i="46"/>
  <c r="ED60" i="46"/>
  <c r="EY60" i="46"/>
  <c r="GU60" i="46"/>
  <c r="HD60" i="46"/>
  <c r="JL60" i="46"/>
  <c r="BJ60" i="46"/>
  <c r="DF60" i="46"/>
  <c r="HP60" i="46"/>
  <c r="FT60" i="46"/>
  <c r="FB60" i="46"/>
  <c r="AI60" i="46"/>
  <c r="AL60" i="46"/>
  <c r="BD60" i="46"/>
  <c r="IN60" i="46"/>
  <c r="KJ60" i="46"/>
  <c r="KP60" i="46"/>
  <c r="FW60" i="46"/>
  <c r="HS60" i="46"/>
  <c r="HV60" i="46"/>
  <c r="W61" i="46"/>
  <c r="EV61" i="46"/>
  <c r="BG61" i="46"/>
  <c r="IQ61" i="46"/>
  <c r="FZ61" i="46"/>
  <c r="GC61" i="46"/>
  <c r="AR61" i="46"/>
  <c r="IB61" i="46"/>
  <c r="FK61" i="46"/>
  <c r="FT61" i="46"/>
  <c r="CE61" i="46"/>
  <c r="JO61" i="46"/>
  <c r="GX61" i="46"/>
  <c r="HA61" i="46"/>
  <c r="BP61" i="46"/>
  <c r="IZ61" i="46"/>
  <c r="HM61" i="46"/>
  <c r="GR61" i="46"/>
  <c r="DC61" i="46"/>
  <c r="KM61" i="46"/>
  <c r="AL61" i="46"/>
  <c r="HV61" i="46"/>
  <c r="AO61" i="46"/>
  <c r="HY61" i="46"/>
  <c r="CN61" i="46"/>
  <c r="JX61" i="46"/>
  <c r="KD61" i="46"/>
  <c r="AF61" i="46"/>
  <c r="HP61" i="46"/>
  <c r="EA61" i="46"/>
  <c r="BJ61" i="46"/>
  <c r="IT61" i="46"/>
  <c r="BM61" i="46"/>
  <c r="IW61" i="46"/>
  <c r="DL61" i="46"/>
  <c r="KV61" i="46"/>
  <c r="BD61" i="46"/>
  <c r="IN61" i="46"/>
  <c r="EY61" i="46"/>
  <c r="CH61" i="46"/>
  <c r="JR61" i="46"/>
  <c r="CK61" i="46"/>
  <c r="JU61" i="46"/>
  <c r="EJ61" i="46"/>
  <c r="IE61" i="46"/>
  <c r="KY61" i="46"/>
  <c r="BS61" i="46"/>
  <c r="BY61" i="46"/>
  <c r="CB61" i="46"/>
  <c r="JL61" i="46"/>
  <c r="FW61" i="46"/>
  <c r="DF61" i="46"/>
  <c r="KP61" i="46"/>
  <c r="DI61" i="46"/>
  <c r="KS61" i="46"/>
  <c r="FH61" i="46"/>
  <c r="CZ61" i="46"/>
  <c r="KJ61" i="46"/>
  <c r="GU61" i="46"/>
  <c r="ED61" i="46"/>
  <c r="EG61" i="46"/>
  <c r="GF61" i="46"/>
  <c r="AC61" i="46"/>
  <c r="IH61" i="46"/>
  <c r="LE61" i="46"/>
  <c r="AI61" i="46"/>
  <c r="CT61" i="46"/>
  <c r="AU61" i="46"/>
  <c r="BA61" i="46"/>
  <c r="HS61" i="46"/>
  <c r="CW61" i="46"/>
  <c r="DR61" i="46"/>
  <c r="FN61" i="46"/>
  <c r="GI61" i="46"/>
  <c r="FB61" i="46"/>
  <c r="KG61" i="46"/>
  <c r="IK61" i="46"/>
  <c r="FE61" i="46"/>
  <c r="HD61" i="46"/>
  <c r="AX61" i="46"/>
  <c r="LB61" i="46"/>
  <c r="DO61" i="46"/>
  <c r="GL61" i="46"/>
  <c r="HG61" i="46"/>
  <c r="JC61" i="46"/>
  <c r="FQ61" i="46"/>
  <c r="BV61" i="46"/>
  <c r="JF61" i="46"/>
  <c r="CQ61" i="46"/>
  <c r="DX61" i="46"/>
  <c r="HJ61" i="46"/>
  <c r="JI61" i="46"/>
  <c r="ES61" i="46"/>
  <c r="GO61" i="46"/>
  <c r="W23" i="46"/>
  <c r="CH23" i="46"/>
  <c r="DL23" i="46"/>
  <c r="KV23" i="46"/>
  <c r="BM23" i="46"/>
  <c r="JC23" i="46"/>
  <c r="DF23" i="46"/>
  <c r="EJ23" i="46"/>
  <c r="CN23" i="46"/>
  <c r="KA23" i="46"/>
  <c r="AI23" i="46"/>
  <c r="FH23" i="46"/>
  <c r="BG23" i="46"/>
  <c r="GF23" i="46"/>
  <c r="HD23" i="46"/>
  <c r="FK23" i="46"/>
  <c r="EP23" i="46"/>
  <c r="FT23" i="46"/>
  <c r="HV23" i="46"/>
  <c r="Z23" i="46"/>
  <c r="IB23" i="46"/>
  <c r="GI23" i="46"/>
  <c r="FN23" i="46"/>
  <c r="GR23" i="46"/>
  <c r="BY23" i="46"/>
  <c r="JR23" i="46"/>
  <c r="KY23" i="46"/>
  <c r="JF23" i="46"/>
  <c r="DX23" i="46"/>
  <c r="FW23" i="46"/>
  <c r="FZ23" i="46"/>
  <c r="AF23" i="46"/>
  <c r="KD23" i="46"/>
  <c r="EV23" i="46"/>
  <c r="HS23" i="46"/>
  <c r="AL23" i="46"/>
  <c r="BP23" i="46"/>
  <c r="LB23" i="46"/>
  <c r="HP23" i="46"/>
  <c r="JO23" i="46"/>
  <c r="KG23" i="46"/>
  <c r="EY23" i="46"/>
  <c r="BJ23" i="46"/>
  <c r="AC23" i="46"/>
  <c r="CQ23" i="46"/>
  <c r="IN23" i="46"/>
  <c r="BD23" i="46"/>
  <c r="DO23" i="46"/>
  <c r="DR23" i="46"/>
  <c r="JL23" i="46"/>
  <c r="CK23" i="46"/>
  <c r="EM23" i="46"/>
  <c r="GL23" i="46"/>
  <c r="AR23" i="46"/>
  <c r="KJ23" i="46"/>
  <c r="GC23" i="46"/>
  <c r="IZ23" i="46"/>
  <c r="HG23" i="46"/>
  <c r="HJ23" i="46"/>
  <c r="BV23" i="46"/>
  <c r="CB23" i="46"/>
  <c r="HY23" i="46"/>
  <c r="CZ23" i="46"/>
  <c r="HM23" i="46"/>
  <c r="GX23" i="46"/>
  <c r="JI23" i="46"/>
  <c r="GU23" i="46"/>
  <c r="DU23" i="46"/>
  <c r="LE23" i="46"/>
  <c r="IE23" i="46"/>
  <c r="CW23" i="46"/>
  <c r="CE23" i="46"/>
  <c r="AO23" i="46"/>
  <c r="IQ23" i="46"/>
  <c r="IW23" i="46"/>
  <c r="EG23" i="46"/>
  <c r="CT23" i="46"/>
  <c r="KM23" i="46"/>
  <c r="JU23" i="46"/>
  <c r="ES23" i="46"/>
  <c r="AX23" i="46"/>
  <c r="EA23" i="46"/>
  <c r="GO23" i="46"/>
  <c r="DI23" i="46"/>
  <c r="FQ23" i="46"/>
  <c r="IK23" i="46"/>
  <c r="IT23" i="46"/>
  <c r="FE23" i="46"/>
  <c r="KS23" i="46"/>
  <c r="HA23" i="46"/>
  <c r="ED23" i="46"/>
  <c r="IH23" i="46"/>
  <c r="DC23" i="46"/>
  <c r="JX23" i="46"/>
  <c r="BA23" i="46"/>
  <c r="BS23" i="46"/>
  <c r="AU23" i="46"/>
  <c r="KP23" i="46"/>
  <c r="FB23" i="46"/>
  <c r="W67" i="46"/>
  <c r="BY67" i="46"/>
  <c r="JI67" i="46"/>
  <c r="AF67" i="46"/>
  <c r="HP67" i="46"/>
  <c r="CE67" i="46"/>
  <c r="JO67" i="46"/>
  <c r="DF67" i="46"/>
  <c r="KP67" i="46"/>
  <c r="FE67" i="46"/>
  <c r="HG67" i="46"/>
  <c r="AC67" i="46"/>
  <c r="IK67" i="46"/>
  <c r="CB67" i="46"/>
  <c r="KJ67" i="46"/>
  <c r="FW67" i="46"/>
  <c r="AL67" i="46"/>
  <c r="IT67" i="46"/>
  <c r="EG67" i="46"/>
  <c r="EP67" i="46"/>
  <c r="BA67" i="46"/>
  <c r="KG67" i="46"/>
  <c r="CZ67" i="46"/>
  <c r="GU67" i="46"/>
  <c r="BJ67" i="46"/>
  <c r="JR67" i="46"/>
  <c r="CW67" i="46"/>
  <c r="LE67" i="46"/>
  <c r="DX67" i="46"/>
  <c r="HS67" i="46"/>
  <c r="CH67" i="46"/>
  <c r="HA67" i="46"/>
  <c r="DU67" i="46"/>
  <c r="EV67" i="46"/>
  <c r="AI67" i="46"/>
  <c r="IQ67" i="46"/>
  <c r="ED67" i="46"/>
  <c r="ES67" i="46"/>
  <c r="FT67" i="46"/>
  <c r="BG67" i="46"/>
  <c r="KM67" i="46"/>
  <c r="FB67" i="46"/>
  <c r="FQ67" i="46"/>
  <c r="GR67" i="46"/>
  <c r="DC67" i="46"/>
  <c r="GO67" i="46"/>
  <c r="IN67" i="46"/>
  <c r="EA67" i="46"/>
  <c r="GC67" i="46"/>
  <c r="JC67" i="46"/>
  <c r="KA67" i="46"/>
  <c r="KV67" i="46"/>
  <c r="IH67" i="46"/>
  <c r="BV67" i="46"/>
  <c r="JF67" i="46"/>
  <c r="KY67" i="46"/>
  <c r="LB67" i="46"/>
  <c r="BD67" i="46"/>
  <c r="EY67" i="46"/>
  <c r="HY67" i="46"/>
  <c r="CN67" i="46"/>
  <c r="AR67" i="46"/>
  <c r="IZ67" i="46"/>
  <c r="JL67" i="46"/>
  <c r="IW67" i="46"/>
  <c r="JX67" i="46"/>
  <c r="CT67" i="46"/>
  <c r="JU67" i="46"/>
  <c r="FK67" i="46"/>
  <c r="FZ67" i="46"/>
  <c r="AO67" i="46"/>
  <c r="KS67" i="46"/>
  <c r="Z67" i="46"/>
  <c r="IB67" i="46"/>
  <c r="AU67" i="46"/>
  <c r="GX67" i="46"/>
  <c r="BM67" i="46"/>
  <c r="BS67" i="46"/>
  <c r="CQ67" i="46"/>
  <c r="KD67" i="46"/>
  <c r="DL67" i="46"/>
  <c r="HV67" i="46"/>
  <c r="CK67" i="46"/>
  <c r="EJ67" i="46"/>
  <c r="FH67" i="46"/>
  <c r="FN67" i="46"/>
  <c r="GF67" i="46"/>
  <c r="AX67" i="46"/>
  <c r="DF59" i="46"/>
  <c r="CH59" i="46"/>
  <c r="EA24" i="46"/>
  <c r="CH24" i="46"/>
  <c r="JR24" i="46"/>
  <c r="EY24" i="46"/>
  <c r="DF24" i="46"/>
  <c r="KP24" i="46"/>
  <c r="FW24" i="46"/>
  <c r="GU24" i="46"/>
  <c r="AI24" i="46"/>
  <c r="HS24" i="46"/>
  <c r="FZ24" i="46"/>
  <c r="GC24" i="46"/>
  <c r="HG24" i="46"/>
  <c r="Z24" i="46"/>
  <c r="HM24" i="46"/>
  <c r="BG24" i="46"/>
  <c r="IQ24" i="46"/>
  <c r="GX24" i="46"/>
  <c r="HA24" i="46"/>
  <c r="AU24" i="46"/>
  <c r="IE24" i="46"/>
  <c r="BV24" i="46"/>
  <c r="JI24" i="46"/>
  <c r="BM24" i="46"/>
  <c r="KS24" i="46"/>
  <c r="FK24" i="46"/>
  <c r="CK24" i="46"/>
  <c r="GI24" i="46"/>
  <c r="AL24" i="46"/>
  <c r="DI24" i="46"/>
  <c r="JC24" i="46"/>
  <c r="BY24" i="46"/>
  <c r="AF24" i="46"/>
  <c r="GL24" i="46"/>
  <c r="BJ24" i="46"/>
  <c r="EG24" i="46"/>
  <c r="KA24" i="46"/>
  <c r="DR24" i="46"/>
  <c r="DU24" i="46"/>
  <c r="CE24" i="46"/>
  <c r="ED24" i="46"/>
  <c r="FE24" i="46"/>
  <c r="BS24" i="46"/>
  <c r="KY24" i="46"/>
  <c r="FN24" i="46"/>
  <c r="FQ24" i="46"/>
  <c r="DC24" i="46"/>
  <c r="FB24" i="46"/>
  <c r="HY24" i="46"/>
  <c r="CQ24" i="46"/>
  <c r="HJ24" i="46"/>
  <c r="LE24" i="46"/>
  <c r="FT24" i="46"/>
  <c r="JO24" i="46"/>
  <c r="HV24" i="46"/>
  <c r="IW24" i="46"/>
  <c r="DO24" i="46"/>
  <c r="JF24" i="46"/>
  <c r="HP24" i="46"/>
  <c r="KM24" i="46"/>
  <c r="CN24" i="46"/>
  <c r="KD24" i="46"/>
  <c r="KJ24" i="46"/>
  <c r="CZ24" i="46"/>
  <c r="AO24" i="46"/>
  <c r="EJ24" i="46"/>
  <c r="JU24" i="46"/>
  <c r="AC24" i="46"/>
  <c r="CB24" i="46"/>
  <c r="GF24" i="46"/>
  <c r="CW24" i="46"/>
  <c r="BD24" i="46"/>
  <c r="DL24" i="46"/>
  <c r="DX24" i="46"/>
  <c r="IB24" i="46"/>
  <c r="EV24" i="46"/>
  <c r="BP24" i="46"/>
  <c r="HD24" i="46"/>
  <c r="GO24" i="46"/>
  <c r="IT24" i="46"/>
  <c r="JL24" i="46"/>
  <c r="JX24" i="46"/>
  <c r="AX24" i="46"/>
  <c r="KG24" i="46"/>
  <c r="GR24" i="46"/>
  <c r="IK24" i="46"/>
  <c r="EM24" i="46"/>
  <c r="CT24" i="46"/>
  <c r="ES24" i="46"/>
  <c r="EP24" i="46"/>
  <c r="IZ24" i="46"/>
  <c r="BA24" i="46"/>
  <c r="IN24" i="46"/>
  <c r="KV24" i="46"/>
  <c r="AR24" i="46"/>
  <c r="IH24" i="46"/>
  <c r="FH24" i="46"/>
  <c r="LB24" i="46"/>
  <c r="W24" i="46"/>
  <c r="W10" i="46"/>
  <c r="T29" i="46"/>
  <c r="W46" i="46"/>
  <c r="DX46" i="46"/>
  <c r="IB46" i="46"/>
  <c r="DF46" i="46"/>
  <c r="KY46" i="46"/>
  <c r="EV46" i="46"/>
  <c r="AX46" i="46"/>
  <c r="IZ46" i="46"/>
  <c r="EG46" i="46"/>
  <c r="FT46" i="46"/>
  <c r="BY46" i="46"/>
  <c r="JX46" i="46"/>
  <c r="FH46" i="46"/>
  <c r="EJ46" i="46"/>
  <c r="DL46" i="46"/>
  <c r="LE46" i="46"/>
  <c r="DC46" i="46"/>
  <c r="KV46" i="46"/>
  <c r="GI46" i="46"/>
  <c r="FK46" i="46"/>
  <c r="EM46" i="46"/>
  <c r="AF46" i="46"/>
  <c r="ED46" i="46"/>
  <c r="HG46" i="46"/>
  <c r="GL46" i="46"/>
  <c r="FN46" i="46"/>
  <c r="FE46" i="46"/>
  <c r="BA46" i="46"/>
  <c r="KD46" i="46"/>
  <c r="JI46" i="46"/>
  <c r="EP46" i="46"/>
  <c r="BV46" i="46"/>
  <c r="GF46" i="46"/>
  <c r="CE46" i="46"/>
  <c r="AC46" i="46"/>
  <c r="LB46" i="46"/>
  <c r="KG46" i="46"/>
  <c r="FQ46" i="46"/>
  <c r="BS46" i="46"/>
  <c r="EY46" i="46"/>
  <c r="HD46" i="46"/>
  <c r="IE46" i="46"/>
  <c r="BG46" i="46"/>
  <c r="AI46" i="46"/>
  <c r="GR46" i="46"/>
  <c r="ES46" i="46"/>
  <c r="JC46" i="46"/>
  <c r="CH46" i="46"/>
  <c r="BJ46" i="46"/>
  <c r="HP46" i="46"/>
  <c r="HA46" i="46"/>
  <c r="KA46" i="46"/>
  <c r="DI46" i="46"/>
  <c r="CK46" i="46"/>
  <c r="AL46" i="46"/>
  <c r="IN46" i="46"/>
  <c r="JR46" i="46"/>
  <c r="BD46" i="46"/>
  <c r="HJ46" i="46"/>
  <c r="GO46" i="46"/>
  <c r="BM46" i="46"/>
  <c r="JL46" i="46"/>
  <c r="CB46" i="46"/>
  <c r="IH46" i="46"/>
  <c r="HM46" i="46"/>
  <c r="CN46" i="46"/>
  <c r="KJ46" i="46"/>
  <c r="CZ46" i="46"/>
  <c r="Z46" i="46"/>
  <c r="JF46" i="46"/>
  <c r="IK46" i="46"/>
  <c r="DO46" i="46"/>
  <c r="JU46" i="46"/>
  <c r="HV46" i="46"/>
  <c r="HY46" i="46"/>
  <c r="JO46" i="46"/>
  <c r="KM46" i="46"/>
  <c r="KP46" i="46"/>
  <c r="AO46" i="46"/>
  <c r="CW46" i="46"/>
  <c r="GU46" i="46"/>
  <c r="AU46" i="46"/>
  <c r="FZ46" i="46"/>
  <c r="AR46" i="46"/>
  <c r="IT46" i="46"/>
  <c r="IQ46" i="46"/>
  <c r="GX46" i="46"/>
  <c r="CQ46" i="46"/>
  <c r="CT46" i="46"/>
  <c r="KS46" i="46"/>
  <c r="GC46" i="46"/>
  <c r="BP46" i="46"/>
  <c r="HS46" i="46"/>
  <c r="FB46" i="46"/>
  <c r="IW46" i="46"/>
  <c r="FW46" i="46"/>
  <c r="DR46" i="46"/>
  <c r="DU46" i="46"/>
  <c r="IE70" i="46"/>
  <c r="JC76" i="46"/>
  <c r="DO76" i="46"/>
  <c r="EG76" i="46"/>
  <c r="KY73" i="46"/>
  <c r="AR70" i="46"/>
  <c r="EA71" i="46"/>
  <c r="DI57" i="46"/>
  <c r="ES68" i="46"/>
  <c r="DU73" i="46"/>
  <c r="IB70" i="46"/>
  <c r="W20" i="46"/>
  <c r="BJ20" i="46"/>
  <c r="IT20" i="46"/>
  <c r="BM20" i="46"/>
  <c r="IW20" i="46"/>
  <c r="CH20" i="46"/>
  <c r="JR20" i="46"/>
  <c r="CK20" i="46"/>
  <c r="JU20" i="46"/>
  <c r="DF20" i="46"/>
  <c r="KP20" i="46"/>
  <c r="ED20" i="46"/>
  <c r="FB20" i="46"/>
  <c r="FZ20" i="46"/>
  <c r="GX20" i="46"/>
  <c r="FE20" i="46"/>
  <c r="EJ20" i="46"/>
  <c r="FK20" i="46"/>
  <c r="EP20" i="46"/>
  <c r="KJ20" i="46"/>
  <c r="IK20" i="46"/>
  <c r="GC20" i="46"/>
  <c r="FH20" i="46"/>
  <c r="GI20" i="46"/>
  <c r="FN20" i="46"/>
  <c r="KM20" i="46"/>
  <c r="HA20" i="46"/>
  <c r="GF20" i="46"/>
  <c r="HG20" i="46"/>
  <c r="GL20" i="46"/>
  <c r="AF20" i="46"/>
  <c r="HY20" i="46"/>
  <c r="HD20" i="46"/>
  <c r="AU20" i="46"/>
  <c r="IE20" i="46"/>
  <c r="Z20" i="46"/>
  <c r="HJ20" i="46"/>
  <c r="CW20" i="46"/>
  <c r="AL20" i="46"/>
  <c r="KS20" i="46"/>
  <c r="AR20" i="46"/>
  <c r="IB20" i="46"/>
  <c r="BS20" i="46"/>
  <c r="JC20" i="46"/>
  <c r="AX20" i="46"/>
  <c r="IH20" i="46"/>
  <c r="EY20" i="46"/>
  <c r="AI20" i="46"/>
  <c r="BY20" i="46"/>
  <c r="HV20" i="46"/>
  <c r="AO20" i="46"/>
  <c r="BP20" i="46"/>
  <c r="IZ20" i="46"/>
  <c r="CQ20" i="46"/>
  <c r="KA20" i="46"/>
  <c r="BV20" i="46"/>
  <c r="JF20" i="46"/>
  <c r="HP20" i="46"/>
  <c r="CZ20" i="46"/>
  <c r="BA20" i="46"/>
  <c r="BG20" i="46"/>
  <c r="EA20" i="46"/>
  <c r="BD20" i="46"/>
  <c r="KV20" i="46"/>
  <c r="LB20" i="46"/>
  <c r="DC20" i="46"/>
  <c r="FT20" i="46"/>
  <c r="HM20" i="46"/>
  <c r="DX20" i="46"/>
  <c r="CB20" i="46"/>
  <c r="ES20" i="46"/>
  <c r="GO20" i="46"/>
  <c r="IN20" i="46"/>
  <c r="DI20" i="46"/>
  <c r="IQ20" i="46"/>
  <c r="CE20" i="46"/>
  <c r="EG20" i="46"/>
  <c r="CN20" i="46"/>
  <c r="DO20" i="46"/>
  <c r="CT20" i="46"/>
  <c r="KG20" i="46"/>
  <c r="JL20" i="46"/>
  <c r="DL20" i="46"/>
  <c r="EM20" i="46"/>
  <c r="DR20" i="46"/>
  <c r="FQ20" i="46"/>
  <c r="GR20" i="46"/>
  <c r="JX20" i="46"/>
  <c r="FW20" i="46"/>
  <c r="EV20" i="46"/>
  <c r="LE20" i="46"/>
  <c r="HS20" i="46"/>
  <c r="KD20" i="46"/>
  <c r="JI20" i="46"/>
  <c r="DU20" i="46"/>
  <c r="GU20" i="46"/>
  <c r="AC20" i="46"/>
  <c r="JO20" i="46"/>
  <c r="KY20" i="46"/>
  <c r="FQ12" i="46"/>
  <c r="AF12" i="46"/>
  <c r="HP12" i="46"/>
  <c r="CE12" i="46"/>
  <c r="JO12" i="46"/>
  <c r="AC12" i="46"/>
  <c r="IK12" i="46"/>
  <c r="GR12" i="46"/>
  <c r="FW12" i="46"/>
  <c r="DF12" i="46"/>
  <c r="KP12" i="46"/>
  <c r="GC12" i="46"/>
  <c r="JF12" i="46"/>
  <c r="BY12" i="46"/>
  <c r="KG12" i="46"/>
  <c r="BD12" i="46"/>
  <c r="JL12" i="46"/>
  <c r="HS12" i="46"/>
  <c r="FB12" i="46"/>
  <c r="AO12" i="46"/>
  <c r="HY12" i="46"/>
  <c r="DU12" i="46"/>
  <c r="CZ12" i="46"/>
  <c r="BG12" i="46"/>
  <c r="IT12" i="46"/>
  <c r="EG12" i="46"/>
  <c r="BV12" i="46"/>
  <c r="FH12" i="46"/>
  <c r="ES12" i="46"/>
  <c r="DX12" i="46"/>
  <c r="GO12" i="46"/>
  <c r="EV12" i="46"/>
  <c r="EA12" i="46"/>
  <c r="BJ12" i="46"/>
  <c r="HA12" i="46"/>
  <c r="HD12" i="46"/>
  <c r="KA12" i="46"/>
  <c r="AR12" i="46"/>
  <c r="HM12" i="46"/>
  <c r="FT12" i="46"/>
  <c r="EY12" i="46"/>
  <c r="CH12" i="46"/>
  <c r="JI12" i="46"/>
  <c r="IN12" i="46"/>
  <c r="GU12" i="46"/>
  <c r="ED12" i="46"/>
  <c r="JU12" i="46"/>
  <c r="EP12" i="46"/>
  <c r="FK12" i="46"/>
  <c r="W12" i="46"/>
  <c r="LE12" i="46"/>
  <c r="KJ12" i="46"/>
  <c r="IQ12" i="46"/>
  <c r="FZ12" i="46"/>
  <c r="CW12" i="46"/>
  <c r="AL12" i="46"/>
  <c r="KS12" i="46"/>
  <c r="CT12" i="46"/>
  <c r="GX12" i="46"/>
  <c r="IB12" i="46"/>
  <c r="AU12" i="46"/>
  <c r="HV12" i="46"/>
  <c r="Z12" i="46"/>
  <c r="KD12" i="46"/>
  <c r="DL12" i="46"/>
  <c r="JR12" i="46"/>
  <c r="BM12" i="46"/>
  <c r="CQ12" i="46"/>
  <c r="FN12" i="46"/>
  <c r="AI12" i="46"/>
  <c r="CK12" i="46"/>
  <c r="HJ12" i="46"/>
  <c r="IE12" i="46"/>
  <c r="BP12" i="46"/>
  <c r="BS12" i="46"/>
  <c r="DO12" i="46"/>
  <c r="KY12" i="46"/>
  <c r="DC12" i="46"/>
  <c r="DI12" i="46"/>
  <c r="CN12" i="46"/>
  <c r="KV12" i="46"/>
  <c r="IH12" i="46"/>
  <c r="IZ12" i="46"/>
  <c r="JC12" i="46"/>
  <c r="BA12" i="46"/>
  <c r="CB12" i="46"/>
  <c r="AX12" i="46"/>
  <c r="FE12" i="46"/>
  <c r="GL12" i="46"/>
  <c r="KM12" i="46"/>
  <c r="IW12" i="46"/>
  <c r="GF12" i="46"/>
  <c r="DR12" i="46"/>
  <c r="HG12" i="46"/>
  <c r="EJ12" i="46"/>
  <c r="GI12" i="46"/>
  <c r="LB12" i="46"/>
  <c r="EM12" i="46"/>
  <c r="JX12" i="46"/>
  <c r="W25" i="46"/>
  <c r="Z25" i="46"/>
  <c r="HJ25" i="46"/>
  <c r="DU25" i="46"/>
  <c r="LE25" i="46"/>
  <c r="AX25" i="46"/>
  <c r="IH25" i="46"/>
  <c r="ES25" i="46"/>
  <c r="CT25" i="46"/>
  <c r="CW25" i="46"/>
  <c r="FT25" i="46"/>
  <c r="DR25" i="46"/>
  <c r="EP25" i="46"/>
  <c r="GO25" i="46"/>
  <c r="AF25" i="46"/>
  <c r="HP25" i="46"/>
  <c r="FW25" i="46"/>
  <c r="ED25" i="46"/>
  <c r="FN25" i="46"/>
  <c r="HM25" i="46"/>
  <c r="GL25" i="46"/>
  <c r="IK25" i="46"/>
  <c r="JF25" i="46"/>
  <c r="AC25" i="46"/>
  <c r="JI25" i="46"/>
  <c r="CZ25" i="46"/>
  <c r="KJ25" i="46"/>
  <c r="KD25" i="46"/>
  <c r="BA25" i="46"/>
  <c r="KG25" i="46"/>
  <c r="DX25" i="46"/>
  <c r="BV25" i="46"/>
  <c r="DC25" i="46"/>
  <c r="HV25" i="46"/>
  <c r="BS25" i="46"/>
  <c r="AR25" i="46"/>
  <c r="LB25" i="46"/>
  <c r="EA25" i="46"/>
  <c r="AL25" i="46"/>
  <c r="IT25" i="46"/>
  <c r="EJ25" i="46"/>
  <c r="AO25" i="46"/>
  <c r="DI25" i="46"/>
  <c r="BD25" i="46"/>
  <c r="EY25" i="46"/>
  <c r="BJ25" i="46"/>
  <c r="JR25" i="46"/>
  <c r="BP25" i="46"/>
  <c r="HA25" i="46"/>
  <c r="CQ25" i="46"/>
  <c r="FK25" i="46"/>
  <c r="GC25" i="46"/>
  <c r="CB25" i="46"/>
  <c r="GU25" i="46"/>
  <c r="CH25" i="46"/>
  <c r="KP25" i="46"/>
  <c r="EG25" i="46"/>
  <c r="JC25" i="46"/>
  <c r="FH25" i="46"/>
  <c r="IB25" i="46"/>
  <c r="EV25" i="46"/>
  <c r="HS25" i="46"/>
  <c r="DF25" i="46"/>
  <c r="GI25" i="46"/>
  <c r="CK25" i="46"/>
  <c r="HY25" i="46"/>
  <c r="KS25" i="46"/>
  <c r="GF25" i="46"/>
  <c r="KV25" i="46"/>
  <c r="BY25" i="46"/>
  <c r="GR25" i="46"/>
  <c r="AI25" i="46"/>
  <c r="IQ25" i="46"/>
  <c r="FB25" i="46"/>
  <c r="IZ25" i="46"/>
  <c r="EM25" i="46"/>
  <c r="KA25" i="46"/>
  <c r="FE25" i="46"/>
  <c r="AU25" i="46"/>
  <c r="FQ25" i="46"/>
  <c r="IN25" i="46"/>
  <c r="BG25" i="46"/>
  <c r="JO25" i="46"/>
  <c r="FZ25" i="46"/>
  <c r="HD25" i="46"/>
  <c r="KY25" i="46"/>
  <c r="HG25" i="46"/>
  <c r="BM25" i="46"/>
  <c r="GX25" i="46"/>
  <c r="IE25" i="46"/>
  <c r="CN25" i="46"/>
  <c r="DL25" i="46"/>
  <c r="DO25" i="46"/>
  <c r="JL25" i="46"/>
  <c r="CE25" i="46"/>
  <c r="IW25" i="46"/>
  <c r="JX25" i="46"/>
  <c r="JU25" i="46"/>
  <c r="KM25" i="46"/>
  <c r="W16" i="46"/>
  <c r="CT16" i="46"/>
  <c r="KD16" i="46"/>
  <c r="BY16" i="46"/>
  <c r="JI16" i="46"/>
  <c r="Z16" i="46"/>
  <c r="IH16" i="46"/>
  <c r="BA16" i="46"/>
  <c r="KG16" i="46"/>
  <c r="DX16" i="46"/>
  <c r="FW16" i="46"/>
  <c r="AX16" i="46"/>
  <c r="JF16" i="46"/>
  <c r="CW16" i="46"/>
  <c r="LE16" i="46"/>
  <c r="EV16" i="46"/>
  <c r="BV16" i="46"/>
  <c r="LB16" i="46"/>
  <c r="EP16" i="46"/>
  <c r="FQ16" i="46"/>
  <c r="AF16" i="46"/>
  <c r="HP16" i="46"/>
  <c r="CE16" i="46"/>
  <c r="JO16" i="46"/>
  <c r="DF16" i="46"/>
  <c r="KP16" i="46"/>
  <c r="KS16" i="46"/>
  <c r="FN16" i="46"/>
  <c r="GO16" i="46"/>
  <c r="BD16" i="46"/>
  <c r="IN16" i="46"/>
  <c r="DC16" i="46"/>
  <c r="KM16" i="46"/>
  <c r="ED16" i="46"/>
  <c r="AC16" i="46"/>
  <c r="BG16" i="46"/>
  <c r="IT16" i="46"/>
  <c r="KY16" i="46"/>
  <c r="BP16" i="46"/>
  <c r="EJ16" i="46"/>
  <c r="DU16" i="46"/>
  <c r="EA16" i="46"/>
  <c r="AL16" i="46"/>
  <c r="JR16" i="46"/>
  <c r="AU16" i="46"/>
  <c r="EG16" i="46"/>
  <c r="HA16" i="46"/>
  <c r="ES16" i="46"/>
  <c r="CB16" i="46"/>
  <c r="EY16" i="46"/>
  <c r="BJ16" i="46"/>
  <c r="DL16" i="46"/>
  <c r="GI16" i="46"/>
  <c r="JC16" i="46"/>
  <c r="HM16" i="46"/>
  <c r="CZ16" i="46"/>
  <c r="GU16" i="46"/>
  <c r="CH16" i="46"/>
  <c r="GC16" i="46"/>
  <c r="IZ16" i="46"/>
  <c r="IK16" i="46"/>
  <c r="FT16" i="46"/>
  <c r="HS16" i="46"/>
  <c r="FB16" i="46"/>
  <c r="AR16" i="46"/>
  <c r="IE16" i="46"/>
  <c r="BM16" i="46"/>
  <c r="DR16" i="46"/>
  <c r="GR16" i="46"/>
  <c r="IQ16" i="46"/>
  <c r="FZ16" i="46"/>
  <c r="DI16" i="46"/>
  <c r="KV16" i="46"/>
  <c r="DO16" i="46"/>
  <c r="FE16" i="46"/>
  <c r="GL16" i="46"/>
  <c r="JL16" i="46"/>
  <c r="GX16" i="46"/>
  <c r="FK16" i="46"/>
  <c r="GF16" i="46"/>
  <c r="AO16" i="46"/>
  <c r="CK16" i="46"/>
  <c r="KJ16" i="46"/>
  <c r="HD16" i="46"/>
  <c r="HG16" i="46"/>
  <c r="HY16" i="46"/>
  <c r="AI16" i="46"/>
  <c r="IB16" i="46"/>
  <c r="IW16" i="46"/>
  <c r="HJ16" i="46"/>
  <c r="CN16" i="46"/>
  <c r="HV16" i="46"/>
  <c r="FH16" i="46"/>
  <c r="JX16" i="46"/>
  <c r="JU16" i="46"/>
  <c r="EM16" i="46"/>
  <c r="BS16" i="46"/>
  <c r="CQ16" i="46"/>
  <c r="KA16" i="46"/>
  <c r="AC73" i="46"/>
  <c r="FE68" i="46"/>
  <c r="BM76" i="46"/>
  <c r="JC73" i="46"/>
  <c r="JR76" i="46"/>
  <c r="KP72" i="46"/>
  <c r="KM76" i="46"/>
  <c r="GR76" i="46"/>
  <c r="HD72" i="46"/>
  <c r="EM61" i="46"/>
  <c r="T27" i="46"/>
  <c r="W76" i="46"/>
  <c r="BV76" i="46"/>
  <c r="JF76" i="46"/>
  <c r="AC76" i="46"/>
  <c r="HM76" i="46"/>
  <c r="AF76" i="46"/>
  <c r="HP76" i="46"/>
  <c r="AI76" i="46"/>
  <c r="HS76" i="46"/>
  <c r="GX76" i="46"/>
  <c r="CK76" i="46"/>
  <c r="JU76" i="46"/>
  <c r="HG76" i="46"/>
  <c r="IZ76" i="46"/>
  <c r="GF76" i="46"/>
  <c r="HD76" i="46"/>
  <c r="DI76" i="46"/>
  <c r="KS76" i="46"/>
  <c r="CT76" i="46"/>
  <c r="KD76" i="46"/>
  <c r="BA76" i="46"/>
  <c r="IK76" i="46"/>
  <c r="BD76" i="46"/>
  <c r="IN76" i="46"/>
  <c r="BG76" i="46"/>
  <c r="IQ76" i="46"/>
  <c r="AL76" i="46"/>
  <c r="HV76" i="46"/>
  <c r="KY76" i="46"/>
  <c r="DR76" i="46"/>
  <c r="LB76" i="46"/>
  <c r="BY76" i="46"/>
  <c r="JI76" i="46"/>
  <c r="CB76" i="46"/>
  <c r="JL76" i="46"/>
  <c r="CE76" i="46"/>
  <c r="JO76" i="46"/>
  <c r="EP76" i="46"/>
  <c r="CW76" i="46"/>
  <c r="KG76" i="46"/>
  <c r="CZ76" i="46"/>
  <c r="KJ76" i="46"/>
  <c r="FN76" i="46"/>
  <c r="DU76" i="46"/>
  <c r="LE76" i="46"/>
  <c r="DX76" i="46"/>
  <c r="EA76" i="46"/>
  <c r="DF76" i="46"/>
  <c r="KP76" i="46"/>
  <c r="GL76" i="46"/>
  <c r="ES76" i="46"/>
  <c r="EV76" i="46"/>
  <c r="EY76" i="46"/>
  <c r="Z76" i="46"/>
  <c r="HJ76" i="46"/>
  <c r="FQ76" i="46"/>
  <c r="FT76" i="46"/>
  <c r="FW76" i="46"/>
  <c r="W19" i="46"/>
  <c r="AU19" i="46"/>
  <c r="IE19" i="46"/>
  <c r="Z19" i="46"/>
  <c r="HJ19" i="46"/>
  <c r="BS19" i="46"/>
  <c r="JC19" i="46"/>
  <c r="AX19" i="46"/>
  <c r="IH19" i="46"/>
  <c r="CQ19" i="46"/>
  <c r="KA19" i="46"/>
  <c r="DO19" i="46"/>
  <c r="KY19" i="46"/>
  <c r="EM19" i="46"/>
  <c r="FK19" i="46"/>
  <c r="GI19" i="46"/>
  <c r="DR19" i="46"/>
  <c r="CW19" i="46"/>
  <c r="KG19" i="46"/>
  <c r="DX19" i="46"/>
  <c r="EA19" i="46"/>
  <c r="GC19" i="46"/>
  <c r="BM19" i="46"/>
  <c r="HG19" i="46"/>
  <c r="EP19" i="46"/>
  <c r="DU19" i="46"/>
  <c r="LE19" i="46"/>
  <c r="EV19" i="46"/>
  <c r="EY19" i="46"/>
  <c r="IT19" i="46"/>
  <c r="ED19" i="46"/>
  <c r="FN19" i="46"/>
  <c r="ES19" i="46"/>
  <c r="FT19" i="46"/>
  <c r="FW19" i="46"/>
  <c r="KV19" i="46"/>
  <c r="GF19" i="46"/>
  <c r="GL19" i="46"/>
  <c r="FQ19" i="46"/>
  <c r="GR19" i="46"/>
  <c r="GU19" i="46"/>
  <c r="IW19" i="46"/>
  <c r="JF19" i="46"/>
  <c r="GO19" i="46"/>
  <c r="AF19" i="46"/>
  <c r="HP19" i="46"/>
  <c r="AI19" i="46"/>
  <c r="HS19" i="46"/>
  <c r="GX19" i="46"/>
  <c r="HD19" i="46"/>
  <c r="JX19" i="46"/>
  <c r="AO19" i="46"/>
  <c r="KD19" i="46"/>
  <c r="AC19" i="46"/>
  <c r="HM19" i="46"/>
  <c r="BD19" i="46"/>
  <c r="IN19" i="46"/>
  <c r="BG19" i="46"/>
  <c r="IQ19" i="46"/>
  <c r="IZ19" i="46"/>
  <c r="JU19" i="46"/>
  <c r="HA19" i="46"/>
  <c r="LB19" i="46"/>
  <c r="JI19" i="46"/>
  <c r="KJ19" i="46"/>
  <c r="KM19" i="46"/>
  <c r="HY19" i="46"/>
  <c r="BJ19" i="46"/>
  <c r="DL19" i="46"/>
  <c r="BP19" i="46"/>
  <c r="CK19" i="46"/>
  <c r="CH19" i="46"/>
  <c r="EG19" i="46"/>
  <c r="FB19" i="46"/>
  <c r="AL19" i="46"/>
  <c r="BA19" i="46"/>
  <c r="CB19" i="46"/>
  <c r="CE19" i="46"/>
  <c r="CN19" i="46"/>
  <c r="BV19" i="46"/>
  <c r="BY19" i="46"/>
  <c r="CZ19" i="46"/>
  <c r="DC19" i="46"/>
  <c r="FE19" i="46"/>
  <c r="FZ19" i="46"/>
  <c r="CT19" i="46"/>
  <c r="IB19" i="46"/>
  <c r="JO19" i="46"/>
  <c r="HV19" i="46"/>
  <c r="EJ19" i="46"/>
  <c r="JL19" i="46"/>
  <c r="DF19" i="46"/>
  <c r="IK19" i="46"/>
  <c r="DI19" i="46"/>
  <c r="AR19" i="46"/>
  <c r="JR19" i="46"/>
  <c r="KS19" i="46"/>
  <c r="KP19" i="46"/>
  <c r="FH19" i="46"/>
  <c r="W73" i="46"/>
  <c r="DX73" i="46"/>
  <c r="AL73" i="46"/>
  <c r="HV73" i="46"/>
  <c r="EG73" i="46"/>
  <c r="EV73" i="46"/>
  <c r="DF73" i="46"/>
  <c r="GR73" i="46"/>
  <c r="ED73" i="46"/>
  <c r="GC73" i="46"/>
  <c r="GF73" i="46"/>
  <c r="CE73" i="46"/>
  <c r="AU73" i="46"/>
  <c r="KM73" i="46"/>
  <c r="HM73" i="46"/>
  <c r="HP73" i="46"/>
  <c r="FB73" i="46"/>
  <c r="HA73" i="46"/>
  <c r="HD73" i="46"/>
  <c r="EA73" i="46"/>
  <c r="CQ73" i="46"/>
  <c r="AX73" i="46"/>
  <c r="BA73" i="46"/>
  <c r="BS73" i="46"/>
  <c r="IN73" i="46"/>
  <c r="FZ73" i="46"/>
  <c r="HY73" i="46"/>
  <c r="AR73" i="46"/>
  <c r="IB73" i="46"/>
  <c r="FW73" i="46"/>
  <c r="EM73" i="46"/>
  <c r="CT73" i="46"/>
  <c r="CW73" i="46"/>
  <c r="AF73" i="46"/>
  <c r="JL73" i="46"/>
  <c r="GX73" i="46"/>
  <c r="AO73" i="46"/>
  <c r="IW73" i="46"/>
  <c r="BP73" i="46"/>
  <c r="IZ73" i="46"/>
  <c r="HS73" i="46"/>
  <c r="GI73" i="46"/>
  <c r="EP73" i="46"/>
  <c r="ES73" i="46"/>
  <c r="BD73" i="46"/>
  <c r="KJ73" i="46"/>
  <c r="IT73" i="46"/>
  <c r="BM73" i="46"/>
  <c r="JU73" i="46"/>
  <c r="CN73" i="46"/>
  <c r="JX73" i="46"/>
  <c r="JO73" i="46"/>
  <c r="IE73" i="46"/>
  <c r="GL73" i="46"/>
  <c r="GO73" i="46"/>
  <c r="DC73" i="46"/>
  <c r="CB73" i="46"/>
  <c r="JR73" i="46"/>
  <c r="CK73" i="46"/>
  <c r="KS73" i="46"/>
  <c r="DL73" i="46"/>
  <c r="KV73" i="46"/>
  <c r="KA73" i="46"/>
  <c r="IH73" i="46"/>
  <c r="IK73" i="46"/>
  <c r="CZ73" i="46"/>
  <c r="BJ73" i="46"/>
  <c r="KP73" i="46"/>
  <c r="DI73" i="46"/>
  <c r="EJ73" i="46"/>
  <c r="KD73" i="46"/>
  <c r="KG73" i="46"/>
  <c r="GU73" i="46"/>
  <c r="W64" i="46"/>
  <c r="AC64" i="46"/>
  <c r="HM64" i="46"/>
  <c r="BG64" i="46"/>
  <c r="IQ64" i="46"/>
  <c r="DI64" i="46"/>
  <c r="KS64" i="46"/>
  <c r="BA64" i="46"/>
  <c r="IK64" i="46"/>
  <c r="CE64" i="46"/>
  <c r="JO64" i="46"/>
  <c r="EG64" i="46"/>
  <c r="Z64" i="46"/>
  <c r="BY64" i="46"/>
  <c r="JI64" i="46"/>
  <c r="DC64" i="46"/>
  <c r="KM64" i="46"/>
  <c r="FE64" i="46"/>
  <c r="BP64" i="46"/>
  <c r="CW64" i="46"/>
  <c r="KG64" i="46"/>
  <c r="EA64" i="46"/>
  <c r="GC64" i="46"/>
  <c r="CZ64" i="46"/>
  <c r="DU64" i="46"/>
  <c r="LE64" i="46"/>
  <c r="EY64" i="46"/>
  <c r="HA64" i="46"/>
  <c r="EM64" i="46"/>
  <c r="AF64" i="46"/>
  <c r="DL64" i="46"/>
  <c r="FB64" i="46"/>
  <c r="JR64" i="46"/>
  <c r="CN64" i="46"/>
  <c r="ES64" i="46"/>
  <c r="FW64" i="46"/>
  <c r="AO64" i="46"/>
  <c r="HY64" i="46"/>
  <c r="FQ64" i="46"/>
  <c r="GU64" i="46"/>
  <c r="IW64" i="46"/>
  <c r="KP64" i="46"/>
  <c r="EV64" i="46"/>
  <c r="JL64" i="46"/>
  <c r="FH64" i="46"/>
  <c r="GO64" i="46"/>
  <c r="JU64" i="46"/>
  <c r="GI64" i="46"/>
  <c r="KY64" i="46"/>
  <c r="BS64" i="46"/>
  <c r="HV64" i="46"/>
  <c r="IE64" i="46"/>
  <c r="FZ64" i="46"/>
  <c r="DF64" i="46"/>
  <c r="JF64" i="46"/>
  <c r="AR64" i="46"/>
  <c r="LB64" i="46"/>
  <c r="HJ64" i="46"/>
  <c r="EP64" i="46"/>
  <c r="KV64" i="46"/>
  <c r="CB64" i="46"/>
  <c r="IZ64" i="46"/>
  <c r="GF64" i="46"/>
  <c r="DO64" i="46"/>
  <c r="AI64" i="46"/>
  <c r="BM64" i="46"/>
  <c r="KJ64" i="46"/>
  <c r="HP64" i="46"/>
  <c r="AL64" i="46"/>
  <c r="BD64" i="46"/>
  <c r="GX64" i="46"/>
  <c r="HG64" i="46"/>
  <c r="FK64" i="46"/>
  <c r="KD64" i="46"/>
  <c r="BV64" i="46"/>
  <c r="IT64" i="46"/>
  <c r="ED64" i="46"/>
  <c r="JC64" i="46"/>
  <c r="AU64" i="46"/>
  <c r="FN64" i="46"/>
  <c r="IH64" i="46"/>
  <c r="HS64" i="46"/>
  <c r="GL64" i="46"/>
  <c r="CH64" i="46"/>
  <c r="FT64" i="46"/>
  <c r="EJ64" i="46"/>
  <c r="JX64" i="46"/>
  <c r="IB64" i="46"/>
  <c r="DR64" i="46"/>
  <c r="KA64" i="46"/>
  <c r="CT64" i="46"/>
  <c r="CK64" i="46"/>
  <c r="GR64" i="46"/>
  <c r="HD64" i="46"/>
  <c r="EA72" i="46"/>
  <c r="HJ73" i="46"/>
  <c r="BS76" i="46"/>
  <c r="FH76" i="46"/>
  <c r="LE73" i="46"/>
  <c r="GF72" i="46"/>
  <c r="AO76" i="46"/>
  <c r="HG73" i="46"/>
  <c r="IT76" i="46"/>
  <c r="IB72" i="46"/>
  <c r="IN64" i="46"/>
  <c r="GU76" i="46"/>
  <c r="HD67" i="46"/>
  <c r="CQ70" i="46"/>
  <c r="FH73" i="46"/>
  <c r="FE73" i="46"/>
  <c r="CH73" i="46"/>
  <c r="FT73" i="46"/>
  <c r="DF68" i="46"/>
  <c r="IN69" i="46"/>
  <c r="GX68" i="46"/>
  <c r="AO68" i="46"/>
  <c r="CQ69" i="46"/>
  <c r="HP68" i="46"/>
  <c r="CW68" i="46"/>
  <c r="GC69" i="46"/>
  <c r="Z68" i="46"/>
  <c r="JO69" i="46"/>
  <c r="GL69" i="46"/>
  <c r="EG68" i="46"/>
  <c r="KG69" i="46"/>
  <c r="BS69" i="46"/>
  <c r="GR68" i="46"/>
  <c r="BY68" i="46"/>
  <c r="GI68" i="46"/>
  <c r="BG69" i="46"/>
  <c r="IQ68" i="46"/>
  <c r="HV68" i="46"/>
  <c r="DU69" i="46"/>
  <c r="CE68" i="46"/>
  <c r="KJ69" i="46"/>
  <c r="FN69" i="46"/>
  <c r="KY69" i="46"/>
  <c r="EV68" i="46"/>
  <c r="BG68" i="46"/>
  <c r="HS68" i="46"/>
  <c r="BD69" i="46"/>
  <c r="JR68" i="46"/>
  <c r="LB69" i="46"/>
  <c r="IH69" i="46"/>
  <c r="CW69" i="46"/>
  <c r="IT68" i="46"/>
  <c r="KA69" i="46"/>
  <c r="DX68" i="46"/>
  <c r="JX69" i="46"/>
  <c r="AL68" i="46"/>
  <c r="HA68" i="46"/>
  <c r="IK69" i="46"/>
  <c r="FQ69" i="46"/>
  <c r="AF69" i="46"/>
  <c r="GC68" i="46"/>
  <c r="JL69" i="46"/>
  <c r="IE69" i="46"/>
  <c r="CB68" i="46"/>
  <c r="IZ69" i="46"/>
  <c r="FH68" i="46"/>
  <c r="KD69" i="46"/>
  <c r="JI69" i="46"/>
  <c r="EY68" i="46"/>
  <c r="FT69" i="46"/>
  <c r="CZ69" i="46"/>
  <c r="IW68" i="46"/>
  <c r="EA68" i="46"/>
  <c r="HJ69" i="46"/>
  <c r="FK69" i="46"/>
  <c r="AF68" i="46"/>
  <c r="IB69" i="46"/>
  <c r="W9" i="46"/>
  <c r="FE9" i="46"/>
  <c r="CQ9" i="46"/>
  <c r="KA9" i="46"/>
  <c r="ES9" i="46"/>
  <c r="JL9" i="46"/>
  <c r="IB9" i="46"/>
  <c r="EA9" i="46"/>
  <c r="KD9" i="46"/>
  <c r="AI9" i="46"/>
  <c r="EP9" i="46"/>
  <c r="AO9" i="46"/>
  <c r="IW9" i="46"/>
  <c r="FK9" i="46"/>
  <c r="GO9" i="46"/>
  <c r="DL9" i="46"/>
  <c r="GR9" i="46"/>
  <c r="FT9" i="46"/>
  <c r="Z9" i="46"/>
  <c r="IN9" i="46"/>
  <c r="KM9" i="46"/>
  <c r="BM9" i="46"/>
  <c r="JU9" i="46"/>
  <c r="GI9" i="46"/>
  <c r="HM9" i="46"/>
  <c r="EY9" i="46"/>
  <c r="JO9" i="46"/>
  <c r="HP9" i="46"/>
  <c r="BV9" i="46"/>
  <c r="KJ9" i="46"/>
  <c r="AX9" i="46"/>
  <c r="IT9" i="46"/>
  <c r="CK9" i="46"/>
  <c r="KS9" i="46"/>
  <c r="HG9" i="46"/>
  <c r="AC9" i="46"/>
  <c r="IK9" i="46"/>
  <c r="GL9" i="46"/>
  <c r="LB9" i="46"/>
  <c r="DI9" i="46"/>
  <c r="IE9" i="46"/>
  <c r="BA9" i="46"/>
  <c r="JI9" i="46"/>
  <c r="HV9" i="46"/>
  <c r="HS9" i="46"/>
  <c r="CH9" i="46"/>
  <c r="EG9" i="46"/>
  <c r="AU9" i="46"/>
  <c r="JC9" i="46"/>
  <c r="HA9" i="46"/>
  <c r="DO9" i="46"/>
  <c r="DU9" i="46"/>
  <c r="AL9" i="46"/>
  <c r="DR9" i="46"/>
  <c r="BP9" i="46"/>
  <c r="IH9" i="46"/>
  <c r="EJ9" i="46"/>
  <c r="CT9" i="46"/>
  <c r="GX9" i="46"/>
  <c r="LE9" i="46"/>
  <c r="FB9" i="46"/>
  <c r="DX9" i="46"/>
  <c r="FZ9" i="46"/>
  <c r="JF9" i="46"/>
  <c r="CB9" i="46"/>
  <c r="JR9" i="46"/>
  <c r="FW9" i="46"/>
  <c r="CN9" i="46"/>
  <c r="EV9" i="46"/>
  <c r="FH9" i="46"/>
  <c r="GC9" i="46"/>
  <c r="KV9" i="46"/>
  <c r="JX9" i="46"/>
  <c r="GF9" i="46"/>
  <c r="CZ9" i="46"/>
  <c r="DC9" i="46"/>
  <c r="DF9" i="46"/>
  <c r="IQ9" i="46"/>
  <c r="HY9" i="46"/>
  <c r="GU9" i="46"/>
  <c r="KP9" i="46"/>
  <c r="HD9" i="46"/>
  <c r="HJ9" i="46"/>
  <c r="FN9" i="46"/>
  <c r="BS9" i="46"/>
  <c r="BY9" i="46"/>
  <c r="EM9" i="46"/>
  <c r="CW9" i="46"/>
  <c r="IZ9" i="46"/>
  <c r="KY9" i="46"/>
  <c r="AF9" i="46"/>
  <c r="ED9" i="46"/>
  <c r="BJ9" i="46"/>
  <c r="AR9" i="46"/>
  <c r="FQ9" i="46"/>
  <c r="CE9" i="46"/>
  <c r="KG9" i="46"/>
  <c r="BD9" i="46"/>
  <c r="BG9" i="46"/>
  <c r="W68" i="46"/>
  <c r="DL68" i="46"/>
  <c r="KV68" i="46"/>
  <c r="BS68" i="46"/>
  <c r="JC68" i="46"/>
  <c r="CT68" i="46"/>
  <c r="KD68" i="46"/>
  <c r="DU68" i="46"/>
  <c r="LE68" i="46"/>
  <c r="FT68" i="46"/>
  <c r="KP68" i="46"/>
  <c r="GU68" i="46"/>
  <c r="GF68" i="46"/>
  <c r="HG68" i="46"/>
  <c r="BV68" i="46"/>
  <c r="LB68" i="46"/>
  <c r="FQ68" i="46"/>
  <c r="BD68" i="46"/>
  <c r="JL68" i="46"/>
  <c r="FW68" i="46"/>
  <c r="BJ68" i="46"/>
  <c r="HD68" i="46"/>
  <c r="IE68" i="46"/>
  <c r="DR68" i="46"/>
  <c r="GO68" i="46"/>
  <c r="IB68" i="46"/>
  <c r="AU68" i="46"/>
  <c r="KA68" i="46"/>
  <c r="EP68" i="46"/>
  <c r="HM68" i="46"/>
  <c r="CZ68" i="46"/>
  <c r="AR68" i="46"/>
  <c r="IZ68" i="46"/>
  <c r="CQ68" i="46"/>
  <c r="KY68" i="46"/>
  <c r="FN68" i="46"/>
  <c r="AC68" i="46"/>
  <c r="IK68" i="46"/>
  <c r="BP68" i="46"/>
  <c r="JX68" i="46"/>
  <c r="DO68" i="46"/>
  <c r="GL68" i="46"/>
  <c r="BA68" i="46"/>
  <c r="JI68" i="46"/>
  <c r="CN68" i="46"/>
  <c r="EM68" i="46"/>
  <c r="HJ68" i="46"/>
  <c r="EJ68" i="46"/>
  <c r="FK68" i="46"/>
  <c r="W48" i="46"/>
  <c r="BV48" i="46"/>
  <c r="JF48" i="46"/>
  <c r="ES48" i="46"/>
  <c r="CT48" i="46"/>
  <c r="KD48" i="46"/>
  <c r="FQ48" i="46"/>
  <c r="DR48" i="46"/>
  <c r="LB48" i="46"/>
  <c r="GO48" i="46"/>
  <c r="GR48" i="46"/>
  <c r="FW48" i="46"/>
  <c r="EP48" i="46"/>
  <c r="AC48" i="46"/>
  <c r="HM48" i="46"/>
  <c r="AF48" i="46"/>
  <c r="HP48" i="46"/>
  <c r="GU48" i="46"/>
  <c r="FN48" i="46"/>
  <c r="BA48" i="46"/>
  <c r="IK48" i="46"/>
  <c r="BD48" i="46"/>
  <c r="IN48" i="46"/>
  <c r="AI48" i="46"/>
  <c r="HS48" i="46"/>
  <c r="JL48" i="46"/>
  <c r="IQ48" i="46"/>
  <c r="GX48" i="46"/>
  <c r="CQ48" i="46"/>
  <c r="FK48" i="46"/>
  <c r="KJ48" i="46"/>
  <c r="JO48" i="46"/>
  <c r="AL48" i="46"/>
  <c r="HV48" i="46"/>
  <c r="FH48" i="46"/>
  <c r="IB48" i="46"/>
  <c r="Z48" i="46"/>
  <c r="BY48" i="46"/>
  <c r="KM48" i="46"/>
  <c r="BJ48" i="46"/>
  <c r="IT48" i="46"/>
  <c r="HY48" i="46"/>
  <c r="AX48" i="46"/>
  <c r="CW48" i="46"/>
  <c r="CB48" i="46"/>
  <c r="BG48" i="46"/>
  <c r="CH48" i="46"/>
  <c r="JR48" i="46"/>
  <c r="KA48" i="46"/>
  <c r="GL48" i="46"/>
  <c r="DU48" i="46"/>
  <c r="CZ48" i="46"/>
  <c r="CE48" i="46"/>
  <c r="DF48" i="46"/>
  <c r="KP48" i="46"/>
  <c r="HJ48" i="46"/>
  <c r="JI48" i="46"/>
  <c r="DX48" i="46"/>
  <c r="DC48" i="46"/>
  <c r="ED48" i="46"/>
  <c r="IH48" i="46"/>
  <c r="KG48" i="46"/>
  <c r="EV48" i="46"/>
  <c r="EA48" i="46"/>
  <c r="FB48" i="46"/>
  <c r="LE48" i="46"/>
  <c r="FT48" i="46"/>
  <c r="EY48" i="46"/>
  <c r="FZ48" i="46"/>
  <c r="KV48" i="46"/>
  <c r="IW48" i="46"/>
  <c r="JC48" i="46"/>
  <c r="AR48" i="46"/>
  <c r="KY48" i="46"/>
  <c r="AO48" i="46"/>
  <c r="DI48" i="46"/>
  <c r="BP48" i="46"/>
  <c r="KS48" i="46"/>
  <c r="EG48" i="46"/>
  <c r="AU48" i="46"/>
  <c r="GI48" i="46"/>
  <c r="CN48" i="46"/>
  <c r="EM48" i="46"/>
  <c r="DL48" i="46"/>
  <c r="BM48" i="46"/>
  <c r="IZ48" i="46"/>
  <c r="JU48" i="46"/>
  <c r="GC48" i="46"/>
  <c r="DO48" i="46"/>
  <c r="EJ48" i="46"/>
  <c r="FE48" i="46"/>
  <c r="IE48" i="46"/>
  <c r="JX48" i="46"/>
  <c r="GF48" i="46"/>
  <c r="HA48" i="46"/>
  <c r="CK48" i="46"/>
  <c r="BS48" i="46"/>
  <c r="W69" i="46"/>
  <c r="EA69" i="46"/>
  <c r="CH69" i="46"/>
  <c r="JR69" i="46"/>
  <c r="EG69" i="46"/>
  <c r="FH69" i="46"/>
  <c r="HG69" i="46"/>
  <c r="Z69" i="46"/>
  <c r="HP69" i="46"/>
  <c r="CE69" i="46"/>
  <c r="KM69" i="46"/>
  <c r="ED69" i="46"/>
  <c r="HY69" i="46"/>
  <c r="CN69" i="46"/>
  <c r="KV69" i="46"/>
  <c r="GI69" i="46"/>
  <c r="DC69" i="46"/>
  <c r="FB69" i="46"/>
  <c r="AO69" i="46"/>
  <c r="IW69" i="46"/>
  <c r="DL69" i="46"/>
  <c r="EY69" i="46"/>
  <c r="FZ69" i="46"/>
  <c r="BM69" i="46"/>
  <c r="JU69" i="46"/>
  <c r="EJ69" i="46"/>
  <c r="AU69" i="46"/>
  <c r="JC69" i="46"/>
  <c r="FW69" i="46"/>
  <c r="GX69" i="46"/>
  <c r="CK69" i="46"/>
  <c r="KS69" i="46"/>
  <c r="GF69" i="46"/>
  <c r="GU69" i="46"/>
  <c r="HV69" i="46"/>
  <c r="DI69" i="46"/>
  <c r="HD69" i="46"/>
  <c r="HS69" i="46"/>
  <c r="AL69" i="46"/>
  <c r="IT69" i="46"/>
  <c r="FE69" i="46"/>
  <c r="AI69" i="46"/>
  <c r="IQ69" i="46"/>
  <c r="BJ69" i="46"/>
  <c r="KP69" i="46"/>
  <c r="W43" i="46"/>
  <c r="BG43" i="46"/>
  <c r="IQ43" i="46"/>
  <c r="BS43" i="46"/>
  <c r="KD43" i="46"/>
  <c r="FB43" i="46"/>
  <c r="ED43" i="46"/>
  <c r="CE43" i="46"/>
  <c r="JO43" i="46"/>
  <c r="CT43" i="46"/>
  <c r="LE43" i="46"/>
  <c r="GC43" i="46"/>
  <c r="FE43" i="46"/>
  <c r="DC43" i="46"/>
  <c r="KM43" i="46"/>
  <c r="DU43" i="46"/>
  <c r="HD43" i="46"/>
  <c r="GF43" i="46"/>
  <c r="FH43" i="46"/>
  <c r="CH43" i="46"/>
  <c r="EA43" i="46"/>
  <c r="EV43" i="46"/>
  <c r="IE43" i="46"/>
  <c r="HG43" i="46"/>
  <c r="GI43" i="46"/>
  <c r="DI43" i="46"/>
  <c r="EY43" i="46"/>
  <c r="FZ43" i="46"/>
  <c r="AU43" i="46"/>
  <c r="JF43" i="46"/>
  <c r="IH43" i="46"/>
  <c r="HJ43" i="46"/>
  <c r="EJ43" i="46"/>
  <c r="HA43" i="46"/>
  <c r="DX43" i="46"/>
  <c r="BY43" i="46"/>
  <c r="KP43" i="46"/>
  <c r="KS43" i="46"/>
  <c r="IB43" i="46"/>
  <c r="KG43" i="46"/>
  <c r="CZ43" i="46"/>
  <c r="Z43" i="46"/>
  <c r="AC43" i="46"/>
  <c r="JC43" i="46"/>
  <c r="JI43" i="46"/>
  <c r="BA43" i="46"/>
  <c r="BD43" i="46"/>
  <c r="AF43" i="46"/>
  <c r="KJ43" i="46"/>
  <c r="CB43" i="46"/>
  <c r="FK43" i="46"/>
  <c r="CQ43" i="46"/>
  <c r="DL43" i="46"/>
  <c r="AI43" i="46"/>
  <c r="DF43" i="46"/>
  <c r="GL43" i="46"/>
  <c r="FQ43" i="46"/>
  <c r="FW43" i="46"/>
  <c r="EG43" i="46"/>
  <c r="HM43" i="46"/>
  <c r="IT43" i="46"/>
  <c r="GU43" i="46"/>
  <c r="BV43" i="46"/>
  <c r="IK43" i="46"/>
  <c r="IN43" i="46"/>
  <c r="LB43" i="46"/>
  <c r="HS43" i="46"/>
  <c r="AR43" i="46"/>
  <c r="CW43" i="46"/>
  <c r="AX43" i="46"/>
  <c r="JL43" i="46"/>
  <c r="JR43" i="46"/>
  <c r="AO43" i="46"/>
  <c r="BJ43" i="46"/>
  <c r="HP43" i="46"/>
  <c r="HY43" i="46"/>
  <c r="DO43" i="46"/>
  <c r="DR43" i="46"/>
  <c r="HV43" i="46"/>
  <c r="GO43" i="46"/>
  <c r="GR43" i="46"/>
  <c r="FN43" i="46"/>
  <c r="CN43" i="46"/>
  <c r="IZ43" i="46"/>
  <c r="JU43" i="46"/>
  <c r="CK43" i="46"/>
  <c r="BM43" i="46"/>
  <c r="KA43" i="46"/>
  <c r="AL43" i="46"/>
  <c r="EM43" i="46"/>
  <c r="FT43" i="46"/>
  <c r="GX43" i="46"/>
  <c r="ES43" i="46"/>
  <c r="JX43" i="46"/>
  <c r="KY43" i="46"/>
  <c r="EP43" i="46"/>
  <c r="IW43" i="46"/>
  <c r="KV43" i="46"/>
  <c r="BP43" i="46"/>
  <c r="AI68" i="46"/>
  <c r="GR69" i="46"/>
  <c r="HG48" i="46"/>
  <c r="EP69" i="46"/>
  <c r="DX69" i="46"/>
  <c r="CT69" i="46"/>
  <c r="JF69" i="46"/>
  <c r="CH68" i="46"/>
  <c r="DR69" i="46"/>
  <c r="AX69" i="46"/>
  <c r="ED68" i="46"/>
  <c r="ES69" i="46"/>
  <c r="HY68" i="46"/>
  <c r="EM69" i="46"/>
  <c r="KJ68" i="46"/>
  <c r="BP69" i="46"/>
  <c r="KG68" i="46"/>
  <c r="IH68" i="46"/>
  <c r="DF69" i="46"/>
  <c r="DT59" i="3"/>
  <c r="DT146" i="3"/>
  <c r="HF164" i="46"/>
  <c r="ID164" i="46"/>
  <c r="JB164" i="46"/>
  <c r="JZ164" i="46"/>
  <c r="KX164" i="46"/>
  <c r="HI164" i="46"/>
  <c r="IG164" i="46"/>
  <c r="JE164" i="46"/>
  <c r="KC164" i="46"/>
  <c r="LA164" i="46"/>
  <c r="GN164" i="46"/>
  <c r="HL164" i="46"/>
  <c r="IJ164" i="46"/>
  <c r="JH164" i="46"/>
  <c r="KF164" i="46"/>
  <c r="LD164" i="46"/>
  <c r="GQ164" i="46"/>
  <c r="HO164" i="46"/>
  <c r="IM164" i="46"/>
  <c r="JK164" i="46"/>
  <c r="KI164" i="46"/>
  <c r="GT164" i="46"/>
  <c r="HR164" i="46"/>
  <c r="IP164" i="46"/>
  <c r="JN164" i="46"/>
  <c r="KL164" i="46"/>
  <c r="GZ164" i="46"/>
  <c r="HX164" i="46"/>
  <c r="IV164" i="46"/>
  <c r="JT164" i="46"/>
  <c r="KR164" i="46"/>
  <c r="HC164" i="46"/>
  <c r="IA164" i="46"/>
  <c r="IY164" i="46"/>
  <c r="JW164" i="46"/>
  <c r="KU164" i="46"/>
  <c r="KO164" i="46"/>
  <c r="GW164" i="46"/>
  <c r="HU164" i="46"/>
  <c r="IS164" i="46"/>
  <c r="JQ164" i="46"/>
  <c r="AF257" i="46"/>
  <c r="BD257" i="46"/>
  <c r="CB257" i="46"/>
  <c r="CZ257" i="46"/>
  <c r="DX257" i="46"/>
  <c r="EV257" i="46"/>
  <c r="AI257" i="46"/>
  <c r="BG257" i="46"/>
  <c r="CE257" i="46"/>
  <c r="DC257" i="46"/>
  <c r="EA257" i="46"/>
  <c r="EY257" i="46"/>
  <c r="AR257" i="46"/>
  <c r="BP257" i="46"/>
  <c r="CN257" i="46"/>
  <c r="DL257" i="46"/>
  <c r="EJ257" i="46"/>
  <c r="FH257" i="46"/>
  <c r="GF257" i="46"/>
  <c r="HD257" i="46"/>
  <c r="IB257" i="46"/>
  <c r="IZ257" i="46"/>
  <c r="JX257" i="46"/>
  <c r="KV257" i="46"/>
  <c r="W257" i="46"/>
  <c r="AU257" i="46"/>
  <c r="BS257" i="46"/>
  <c r="CQ257" i="46"/>
  <c r="DO257" i="46"/>
  <c r="EM257" i="46"/>
  <c r="FK257" i="46"/>
  <c r="GI257" i="46"/>
  <c r="HG257" i="46"/>
  <c r="IE257" i="46"/>
  <c r="JC257" i="46"/>
  <c r="KA257" i="46"/>
  <c r="KY257" i="46"/>
  <c r="Z257" i="46"/>
  <c r="BV257" i="46"/>
  <c r="DR257" i="46"/>
  <c r="FN257" i="46"/>
  <c r="GR257" i="46"/>
  <c r="HV257" i="46"/>
  <c r="JF257" i="46"/>
  <c r="KJ257" i="46"/>
  <c r="AC257" i="46"/>
  <c r="BY257" i="46"/>
  <c r="DU257" i="46"/>
  <c r="FQ257" i="46"/>
  <c r="GU257" i="46"/>
  <c r="HY257" i="46"/>
  <c r="JI257" i="46"/>
  <c r="KM257" i="46"/>
  <c r="AL257" i="46"/>
  <c r="CH257" i="46"/>
  <c r="ED257" i="46"/>
  <c r="FT257" i="46"/>
  <c r="GX257" i="46"/>
  <c r="IH257" i="46"/>
  <c r="JL257" i="46"/>
  <c r="KP257" i="46"/>
  <c r="AO257" i="46"/>
  <c r="CK257" i="46"/>
  <c r="EG257" i="46"/>
  <c r="FW257" i="46"/>
  <c r="HA257" i="46"/>
  <c r="IK257" i="46"/>
  <c r="JO257" i="46"/>
  <c r="KS257" i="46"/>
  <c r="AX257" i="46"/>
  <c r="CT257" i="46"/>
  <c r="EP257" i="46"/>
  <c r="FZ257" i="46"/>
  <c r="HJ257" i="46"/>
  <c r="IN257" i="46"/>
  <c r="JR257" i="46"/>
  <c r="LB257" i="46"/>
  <c r="BA257" i="46"/>
  <c r="CW257" i="46"/>
  <c r="ES257" i="46"/>
  <c r="GC257" i="46"/>
  <c r="HM257" i="46"/>
  <c r="IQ257" i="46"/>
  <c r="JU257" i="46"/>
  <c r="LE257" i="46"/>
  <c r="DF257" i="46"/>
  <c r="IT257" i="46"/>
  <c r="DI257" i="46"/>
  <c r="IW257" i="46"/>
  <c r="FB257" i="46"/>
  <c r="KD257" i="46"/>
  <c r="FE257" i="46"/>
  <c r="KG257" i="46"/>
  <c r="GL257" i="46"/>
  <c r="GO257" i="46"/>
  <c r="BJ257" i="46"/>
  <c r="HP257" i="46"/>
  <c r="BM257" i="46"/>
  <c r="HS257" i="46"/>
  <c r="CW55" i="46"/>
  <c r="DX55" i="46"/>
  <c r="IK55" i="46"/>
  <c r="LB55" i="46"/>
  <c r="DR55" i="46"/>
  <c r="KY55" i="46"/>
  <c r="DO55" i="46"/>
  <c r="EJ55" i="46"/>
  <c r="EG55" i="46"/>
  <c r="GX55" i="46"/>
  <c r="HP55" i="46"/>
  <c r="AI55" i="46"/>
  <c r="EY55" i="46"/>
  <c r="KJ55" i="46"/>
  <c r="BG55" i="46"/>
  <c r="LE55" i="46"/>
  <c r="FT55" i="46"/>
  <c r="KD55" i="46"/>
  <c r="CT55" i="46"/>
  <c r="KA55" i="46"/>
  <c r="CQ55" i="46"/>
  <c r="KV55" i="46"/>
  <c r="DL55" i="46"/>
  <c r="KS55" i="46"/>
  <c r="DI55" i="46"/>
  <c r="FZ55" i="46"/>
  <c r="W55" i="46"/>
  <c r="FQ55" i="46"/>
  <c r="EV55" i="46"/>
  <c r="KG55" i="46"/>
  <c r="IN55" i="46"/>
  <c r="DC55" i="46"/>
  <c r="JF55" i="46"/>
  <c r="BV55" i="46"/>
  <c r="JC55" i="46"/>
  <c r="BS55" i="46"/>
  <c r="JX55" i="46"/>
  <c r="CN55" i="46"/>
  <c r="JU55" i="46"/>
  <c r="CK55" i="46"/>
  <c r="FB55" i="46"/>
  <c r="HM55" i="46"/>
  <c r="AC55" i="46"/>
  <c r="CZ55" i="46"/>
  <c r="JI55" i="46"/>
  <c r="FW55" i="46"/>
  <c r="BA55" i="46"/>
  <c r="IH55" i="46"/>
  <c r="AX55" i="46"/>
  <c r="IE55" i="46"/>
  <c r="AU55" i="46"/>
  <c r="IZ55" i="46"/>
  <c r="BP55" i="46"/>
  <c r="IW55" i="46"/>
  <c r="BM55" i="46"/>
  <c r="ED55" i="46"/>
  <c r="JL55" i="46"/>
  <c r="GR55" i="46"/>
  <c r="DU55" i="46"/>
  <c r="HJ55" i="46"/>
  <c r="Z55" i="46"/>
  <c r="HG55" i="46"/>
  <c r="IB55" i="46"/>
  <c r="AR55" i="46"/>
  <c r="HY55" i="46"/>
  <c r="AO55" i="46"/>
  <c r="KP55" i="46"/>
  <c r="DF55" i="46"/>
  <c r="CE55" i="46"/>
  <c r="GU55" i="46"/>
  <c r="EA55" i="46"/>
  <c r="BD55" i="46"/>
  <c r="GL55" i="46"/>
  <c r="GI55" i="46"/>
  <c r="HD55" i="46"/>
  <c r="HA55" i="46"/>
  <c r="JR55" i="46"/>
  <c r="CH55" i="46"/>
  <c r="HS55" i="46"/>
  <c r="ES55" i="46"/>
  <c r="BY55" i="46"/>
  <c r="IQ55" i="46"/>
  <c r="FN55" i="46"/>
  <c r="FK55" i="46"/>
  <c r="GF55" i="46"/>
  <c r="GC55" i="46"/>
  <c r="IT55" i="46"/>
  <c r="BJ55" i="46"/>
  <c r="AF55" i="46"/>
  <c r="JO55" i="46"/>
  <c r="CB55" i="46"/>
  <c r="GO55" i="46"/>
  <c r="KM55" i="46"/>
  <c r="EP55" i="46"/>
  <c r="EM55" i="46"/>
  <c r="FH55" i="46"/>
  <c r="FE55" i="46"/>
  <c r="HV55" i="46"/>
  <c r="DR31" i="46"/>
  <c r="BS31" i="46"/>
  <c r="FN31" i="46"/>
  <c r="FK31" i="46"/>
  <c r="Z31" i="46"/>
  <c r="CN31" i="46"/>
  <c r="JF31" i="46"/>
  <c r="GC31" i="46"/>
  <c r="JR31" i="46"/>
  <c r="CH31" i="46"/>
  <c r="FW31" i="46"/>
  <c r="HP31" i="46"/>
  <c r="AF31" i="46"/>
  <c r="LE31" i="46"/>
  <c r="DU31" i="46"/>
  <c r="JC31" i="46"/>
  <c r="DL31" i="46"/>
  <c r="CT31" i="46"/>
  <c r="HD31" i="46"/>
  <c r="FE31" i="46"/>
  <c r="IT31" i="46"/>
  <c r="BJ31" i="46"/>
  <c r="EY31" i="46"/>
  <c r="GR31" i="46"/>
  <c r="KG31" i="46"/>
  <c r="CW31" i="46"/>
  <c r="BY54" i="46"/>
  <c r="JI54" i="46"/>
  <c r="CW54" i="46"/>
  <c r="KG54" i="46"/>
  <c r="DU54" i="46"/>
  <c r="LE54" i="46"/>
  <c r="ES54" i="46"/>
  <c r="FQ54" i="46"/>
  <c r="GO54" i="46"/>
  <c r="AC54" i="46"/>
  <c r="HM54" i="46"/>
  <c r="BA54" i="46"/>
  <c r="IK54" i="46"/>
  <c r="KD54" i="46"/>
  <c r="AF54" i="46"/>
  <c r="KV54" i="46"/>
  <c r="CQ54" i="46"/>
  <c r="JC54" i="46"/>
  <c r="AX54" i="46"/>
  <c r="JU54" i="46"/>
  <c r="BP54" i="46"/>
  <c r="HG54" i="46"/>
  <c r="CZ54" i="46"/>
  <c r="GF54" i="46"/>
  <c r="GC54" i="46"/>
  <c r="HP54" i="46"/>
  <c r="KA54" i="46"/>
  <c r="BV54" i="46"/>
  <c r="IH54" i="46"/>
  <c r="IZ54" i="46"/>
  <c r="AU54" i="46"/>
  <c r="GL54" i="46"/>
  <c r="KJ54" i="46"/>
  <c r="CE54" i="46"/>
  <c r="GU54" i="46"/>
  <c r="JF54" i="46"/>
  <c r="FT54" i="46"/>
  <c r="IE54" i="46"/>
  <c r="Z54" i="46"/>
  <c r="DX54" i="46"/>
  <c r="FZ54" i="46"/>
  <c r="GR54" i="46"/>
  <c r="EY54" i="46"/>
  <c r="HJ54" i="46"/>
  <c r="DC54" i="46"/>
  <c r="FE54" i="46"/>
  <c r="EJ54" i="46"/>
  <c r="FB54" i="46"/>
  <c r="DI54" i="46"/>
  <c r="DO54" i="46"/>
  <c r="EG54" i="46"/>
  <c r="KS54" i="46"/>
  <c r="CN54" i="46"/>
  <c r="KY54" i="46"/>
  <c r="CT54" i="46"/>
  <c r="DL54" i="46"/>
  <c r="FW54" i="46"/>
  <c r="EA54" i="46"/>
  <c r="JR54" i="46"/>
  <c r="BJ54" i="46"/>
  <c r="HV54" i="46"/>
  <c r="IN54" i="46"/>
  <c r="DF54" i="46"/>
  <c r="IW54" i="46"/>
  <c r="AO54" i="46"/>
  <c r="HA54" i="46"/>
  <c r="HS54" i="46"/>
  <c r="CK54" i="46"/>
  <c r="IB54" i="46"/>
  <c r="JO54" i="46"/>
  <c r="FK54" i="46"/>
  <c r="GX54" i="46"/>
  <c r="CH54" i="46"/>
  <c r="IT54" i="46"/>
  <c r="EP54" i="46"/>
  <c r="FH54" i="46"/>
  <c r="JX54" i="46"/>
  <c r="BM54" i="46"/>
  <c r="HY54" i="46"/>
  <c r="CB54" i="46"/>
  <c r="EM54" i="46"/>
  <c r="ED54" i="46"/>
  <c r="AR54" i="46"/>
  <c r="HD54" i="46"/>
  <c r="BG54" i="46"/>
  <c r="DR54" i="46"/>
  <c r="BS54" i="46"/>
  <c r="KP54" i="46"/>
  <c r="GI54" i="46"/>
  <c r="W54" i="46"/>
  <c r="JL54" i="46"/>
  <c r="AL54" i="46"/>
  <c r="BD54" i="46"/>
  <c r="EV54" i="46"/>
  <c r="KM54" i="46"/>
  <c r="FN54" i="46"/>
  <c r="IQ54" i="46"/>
  <c r="LB54" i="46"/>
  <c r="AI54" i="46"/>
  <c r="DO31" i="46"/>
  <c r="AU31" i="46"/>
  <c r="AR31" i="46"/>
  <c r="EM31" i="46"/>
  <c r="EG31" i="46"/>
  <c r="HV31" i="46"/>
  <c r="AL31" i="46"/>
  <c r="EA31" i="46"/>
  <c r="FT31" i="46"/>
  <c r="JI31" i="46"/>
  <c r="BY31" i="46"/>
  <c r="Z30" i="46"/>
  <c r="CE30" i="46"/>
  <c r="IQ30" i="46"/>
  <c r="JL30" i="46"/>
  <c r="KA30" i="46"/>
  <c r="HJ30" i="46"/>
  <c r="CH30" i="46"/>
  <c r="FZ30" i="46"/>
  <c r="JO30" i="46"/>
  <c r="AF30" i="46"/>
  <c r="DC30" i="46"/>
  <c r="DX30" i="46"/>
  <c r="GU30" i="46"/>
  <c r="LB30" i="46"/>
  <c r="HP30" i="46"/>
  <c r="JR30" i="46"/>
  <c r="EV30" i="46"/>
  <c r="KM30" i="46"/>
  <c r="AL30" i="46"/>
  <c r="BG30" i="46"/>
  <c r="CB30" i="46"/>
  <c r="CQ30" i="46"/>
  <c r="ED30" i="46"/>
  <c r="GI30" i="46"/>
  <c r="IN30" i="46"/>
  <c r="EY30" i="46"/>
  <c r="FT30" i="46"/>
  <c r="HV30" i="46"/>
  <c r="GL30" i="46"/>
  <c r="KP30" i="46"/>
  <c r="JU30" i="46"/>
  <c r="JC30" i="46"/>
  <c r="BY30" i="46"/>
  <c r="IZ30" i="46"/>
  <c r="W30" i="46"/>
  <c r="BS30" i="46"/>
  <c r="KD30" i="46"/>
  <c r="BP30" i="46"/>
  <c r="DR30" i="46"/>
  <c r="EG30" i="46"/>
  <c r="JX30" i="46"/>
  <c r="JF30" i="46"/>
  <c r="IK30" i="46"/>
  <c r="BD30" i="46"/>
  <c r="IH30" i="46"/>
  <c r="AX30" i="46"/>
  <c r="DO30" i="46"/>
  <c r="JI30" i="46"/>
  <c r="HS30" i="46"/>
  <c r="GX30" i="46"/>
  <c r="AI30" i="46"/>
  <c r="CT30" i="46"/>
  <c r="HD30" i="46"/>
  <c r="HA30" i="46"/>
  <c r="GF30" i="46"/>
  <c r="BJ30" i="46"/>
  <c r="AO30" i="46"/>
  <c r="DI30" i="46"/>
  <c r="KS30" i="46"/>
  <c r="HG30" i="46"/>
  <c r="ES30" i="46"/>
  <c r="KG30" i="46"/>
  <c r="GR30" i="46"/>
  <c r="KV30" i="46"/>
  <c r="AR30" i="46"/>
  <c r="FH30" i="46"/>
  <c r="FB30" i="46"/>
  <c r="DL30" i="46"/>
  <c r="FQ30" i="46"/>
  <c r="CK30" i="46"/>
  <c r="IW30" i="46"/>
  <c r="FE30" i="46"/>
  <c r="HY30" i="46"/>
  <c r="LE30" i="46"/>
  <c r="BV30" i="46"/>
  <c r="IE30" i="46"/>
  <c r="EM30" i="46"/>
  <c r="GO30" i="46"/>
  <c r="FN30" i="46"/>
  <c r="BA30" i="46"/>
  <c r="HM30" i="46"/>
  <c r="DU30" i="46"/>
  <c r="FW30" i="46"/>
  <c r="CZ30" i="46"/>
  <c r="BM30" i="46"/>
  <c r="EA30" i="46"/>
  <c r="DF30" i="46"/>
  <c r="KJ30" i="46"/>
  <c r="EP30" i="46"/>
  <c r="KY30" i="46"/>
  <c r="AU30" i="46"/>
  <c r="EJ30" i="46"/>
  <c r="CW30" i="46"/>
  <c r="CN30" i="46"/>
  <c r="GC30" i="46"/>
  <c r="IT30" i="46"/>
  <c r="AC30" i="46"/>
  <c r="FK30" i="46"/>
  <c r="IB30" i="46"/>
  <c r="GL31" i="46"/>
  <c r="GI31" i="46"/>
  <c r="BV31" i="46"/>
  <c r="KS31" i="46"/>
  <c r="DI31" i="46"/>
  <c r="GX31" i="46"/>
  <c r="KM31" i="46"/>
  <c r="DC31" i="46"/>
  <c r="EV31" i="46"/>
  <c r="IK31" i="46"/>
  <c r="BA31" i="46"/>
  <c r="AX31" i="46"/>
  <c r="IH31" i="46"/>
  <c r="KA31" i="46"/>
  <c r="JU31" i="46"/>
  <c r="CK31" i="46"/>
  <c r="FZ31" i="46"/>
  <c r="JO31" i="46"/>
  <c r="CE31" i="46"/>
  <c r="DX31" i="46"/>
  <c r="HM31" i="46"/>
  <c r="AC31" i="46"/>
  <c r="W31" i="46"/>
  <c r="BP31" i="46"/>
  <c r="LB31" i="46"/>
  <c r="HJ31" i="46"/>
  <c r="JX31" i="46"/>
  <c r="IW31" i="46"/>
  <c r="BM31" i="46"/>
  <c r="FB31" i="46"/>
  <c r="IQ31" i="46"/>
  <c r="BG31" i="46"/>
  <c r="KJ31" i="46"/>
  <c r="CZ31" i="46"/>
  <c r="GO31" i="46"/>
  <c r="GF31" i="46"/>
  <c r="EJ31" i="46"/>
  <c r="KV31" i="46"/>
  <c r="KD31" i="46"/>
  <c r="FH31" i="46"/>
  <c r="HG31" i="46"/>
  <c r="HY31" i="46"/>
  <c r="AO31" i="46"/>
  <c r="ED31" i="46"/>
  <c r="HS31" i="46"/>
  <c r="AI31" i="46"/>
  <c r="JL31" i="46"/>
  <c r="CB31" i="46"/>
  <c r="FQ31" i="46"/>
  <c r="KY31" i="46"/>
  <c r="IZ31" i="46"/>
  <c r="IE31" i="46"/>
  <c r="IB31" i="46"/>
  <c r="CQ31" i="46"/>
  <c r="EP31" i="46"/>
  <c r="HA31" i="46"/>
  <c r="KP31" i="46"/>
  <c r="DF31" i="46"/>
  <c r="GU31" i="46"/>
  <c r="IN31" i="46"/>
  <c r="BD31" i="46"/>
  <c r="ES31" i="46"/>
  <c r="AC6" i="46"/>
  <c r="AO6" i="46"/>
  <c r="BA6" i="46"/>
  <c r="BM6" i="46"/>
  <c r="BY6" i="46"/>
  <c r="CK6" i="46"/>
  <c r="CW6" i="46"/>
  <c r="DI6" i="46"/>
  <c r="DU6" i="46"/>
  <c r="EG6" i="46"/>
  <c r="ES6" i="46"/>
  <c r="FE6" i="46"/>
  <c r="FQ6" i="46"/>
  <c r="GC6" i="46"/>
  <c r="GO6" i="46"/>
  <c r="HA6" i="46"/>
  <c r="HM6" i="46"/>
  <c r="HY6" i="46"/>
  <c r="IK6" i="46"/>
  <c r="IW6" i="46"/>
  <c r="JI6" i="46"/>
  <c r="JU6" i="46"/>
  <c r="KG6" i="46"/>
  <c r="KS6" i="46"/>
  <c r="LE6" i="46"/>
  <c r="AF6" i="46"/>
  <c r="AR6" i="46"/>
  <c r="BD6" i="46"/>
  <c r="BP6" i="46"/>
  <c r="CB6" i="46"/>
  <c r="CN6" i="46"/>
  <c r="CZ6" i="46"/>
  <c r="DL6" i="46"/>
  <c r="DX6" i="46"/>
  <c r="EJ6" i="46"/>
  <c r="EV6" i="46"/>
  <c r="FH6" i="46"/>
  <c r="FT6" i="46"/>
  <c r="GF6" i="46"/>
  <c r="GR6" i="46"/>
  <c r="HD6" i="46"/>
  <c r="HP6" i="46"/>
  <c r="IB6" i="46"/>
  <c r="IN6" i="46"/>
  <c r="IZ6" i="46"/>
  <c r="JL6" i="46"/>
  <c r="JX6" i="46"/>
  <c r="KJ6" i="46"/>
  <c r="KV6" i="46"/>
  <c r="AI6" i="46"/>
  <c r="AU6" i="46"/>
  <c r="BG6" i="46"/>
  <c r="BS6" i="46"/>
  <c r="CE6" i="46"/>
  <c r="CQ6" i="46"/>
  <c r="DC6" i="46"/>
  <c r="DO6" i="46"/>
  <c r="EA6" i="46"/>
  <c r="EM6" i="46"/>
  <c r="EY6" i="46"/>
  <c r="FK6" i="46"/>
  <c r="FW6" i="46"/>
  <c r="GI6" i="46"/>
  <c r="GU6" i="46"/>
  <c r="HG6" i="46"/>
  <c r="HS6" i="46"/>
  <c r="IE6" i="46"/>
  <c r="IQ6" i="46"/>
  <c r="JC6" i="46"/>
  <c r="JO6" i="46"/>
  <c r="KA6" i="46"/>
  <c r="KM6" i="46"/>
  <c r="KY6" i="46"/>
  <c r="Z6" i="46"/>
  <c r="AL6" i="46"/>
  <c r="AX6" i="46"/>
  <c r="BJ6" i="46"/>
  <c r="BV6" i="46"/>
  <c r="CH6" i="46"/>
  <c r="CT6" i="46"/>
  <c r="DF6" i="46"/>
  <c r="DR6" i="46"/>
  <c r="ED6" i="46"/>
  <c r="EP6" i="46"/>
  <c r="FB6" i="46"/>
  <c r="FN6" i="46"/>
  <c r="FZ6" i="46"/>
  <c r="GL6" i="46"/>
  <c r="GX6" i="46"/>
  <c r="HJ6" i="46"/>
  <c r="HV6" i="46"/>
  <c r="IH6" i="46"/>
  <c r="IT6" i="46"/>
  <c r="JF6" i="46"/>
  <c r="JR6" i="46"/>
  <c r="KD6" i="46"/>
  <c r="KP6" i="46"/>
  <c r="LB6" i="46"/>
  <c r="W6" i="46"/>
  <c r="GR11" i="46"/>
  <c r="LB11" i="46"/>
  <c r="IZ11" i="46"/>
  <c r="AO11" i="46"/>
  <c r="FN11" i="46"/>
  <c r="EM11" i="46"/>
  <c r="JU11" i="46"/>
  <c r="FK11" i="46"/>
  <c r="HJ11" i="46"/>
  <c r="IH11" i="46"/>
  <c r="GC11" i="46"/>
  <c r="DX11" i="46"/>
  <c r="KG11" i="46"/>
  <c r="CW11" i="46"/>
  <c r="AL11" i="46"/>
  <c r="DL11" i="46"/>
  <c r="CQ11" i="46"/>
  <c r="CN11" i="46"/>
  <c r="BM11" i="46"/>
  <c r="GU11" i="46"/>
  <c r="EJ11" i="46"/>
  <c r="GI11" i="46"/>
  <c r="HG11" i="46"/>
  <c r="FB11" i="46"/>
  <c r="CT11" i="46"/>
  <c r="JI11" i="46"/>
  <c r="BY11" i="46"/>
  <c r="DR11" i="46"/>
  <c r="DI11" i="46"/>
  <c r="FH11" i="46"/>
  <c r="GF11" i="46"/>
  <c r="EA11" i="46"/>
  <c r="KD11" i="46"/>
  <c r="BS11" i="46"/>
  <c r="IK11" i="46"/>
  <c r="BA11" i="46"/>
  <c r="IT11" i="46"/>
  <c r="KV11" i="46"/>
  <c r="BJ11" i="46"/>
  <c r="KS11" i="46"/>
  <c r="CH11" i="46"/>
  <c r="EG11" i="46"/>
  <c r="FE11" i="46"/>
  <c r="CZ11" i="46"/>
  <c r="JC11" i="46"/>
  <c r="AR11" i="46"/>
  <c r="HM11" i="46"/>
  <c r="AC11" i="46"/>
  <c r="HV11" i="46"/>
  <c r="KA11" i="46"/>
  <c r="JR11" i="46"/>
  <c r="BG11" i="46"/>
  <c r="DF11" i="46"/>
  <c r="ED11" i="46"/>
  <c r="KJ11" i="46"/>
  <c r="BV11" i="46"/>
  <c r="IB11" i="46"/>
  <c r="GO11" i="46"/>
  <c r="W34" i="46"/>
  <c r="DO11" i="46"/>
  <c r="EV11" i="46"/>
  <c r="HS11" i="46"/>
  <c r="IQ11" i="46"/>
  <c r="AF11" i="46"/>
  <c r="KP11" i="46"/>
  <c r="CE11" i="46"/>
  <c r="DC11" i="46"/>
  <c r="JF11" i="46"/>
  <c r="AU11" i="46"/>
  <c r="HA11" i="46"/>
  <c r="FQ11" i="46"/>
  <c r="IZ59" i="46"/>
  <c r="HJ10" i="46"/>
  <c r="GU59" i="46"/>
  <c r="FW59" i="46"/>
  <c r="HA59" i="46"/>
  <c r="EM59" i="46"/>
  <c r="GF59" i="46"/>
  <c r="CN59" i="46"/>
  <c r="CK59" i="46"/>
  <c r="KP59" i="46"/>
  <c r="AO59" i="46"/>
  <c r="JR59" i="46"/>
  <c r="BS59" i="46"/>
  <c r="IT59" i="46"/>
  <c r="BJ59" i="46"/>
  <c r="EY59" i="46"/>
  <c r="BM59" i="46"/>
  <c r="KV59" i="46"/>
  <c r="KS59" i="46"/>
  <c r="HV59" i="46"/>
  <c r="AL59" i="46"/>
  <c r="EA59" i="46"/>
  <c r="IW59" i="46"/>
  <c r="JC59" i="46"/>
  <c r="IE59" i="46"/>
  <c r="IB59" i="46"/>
  <c r="KA59" i="46"/>
  <c r="GX59" i="46"/>
  <c r="KM59" i="46"/>
  <c r="DC59" i="46"/>
  <c r="CT59" i="46"/>
  <c r="KD59" i="46"/>
  <c r="CW59" i="46"/>
  <c r="KG59" i="46"/>
  <c r="EV59" i="46"/>
  <c r="DR59" i="46"/>
  <c r="LB59" i="46"/>
  <c r="DU59" i="46"/>
  <c r="LE59" i="46"/>
  <c r="FT59" i="46"/>
  <c r="EP59" i="46"/>
  <c r="ES59" i="46"/>
  <c r="FN59" i="46"/>
  <c r="FQ59" i="46"/>
  <c r="AF59" i="46"/>
  <c r="HP59" i="46"/>
  <c r="GL59" i="46"/>
  <c r="GO59" i="46"/>
  <c r="BD59" i="46"/>
  <c r="Z59" i="46"/>
  <c r="HJ59" i="46"/>
  <c r="AC59" i="46"/>
  <c r="HM59" i="46"/>
  <c r="CB59" i="46"/>
  <c r="JL59" i="46"/>
  <c r="AX59" i="46"/>
  <c r="IH59" i="46"/>
  <c r="BA59" i="46"/>
  <c r="IK59" i="46"/>
  <c r="CZ59" i="46"/>
  <c r="KJ59" i="46"/>
  <c r="W59" i="46"/>
  <c r="BV59" i="46"/>
  <c r="JF59" i="46"/>
  <c r="BY59" i="46"/>
  <c r="JI59" i="46"/>
  <c r="DX59" i="46"/>
  <c r="FH35" i="46"/>
  <c r="EM35" i="46"/>
  <c r="EP35" i="46"/>
  <c r="BA35" i="46"/>
  <c r="IK35" i="46"/>
  <c r="CB35" i="46"/>
  <c r="JL35" i="46"/>
  <c r="EY35" i="46"/>
  <c r="AI35" i="46"/>
  <c r="BJ35" i="46"/>
  <c r="W35" i="46"/>
  <c r="GF35" i="46"/>
  <c r="FK35" i="46"/>
  <c r="FN35" i="46"/>
  <c r="BY35" i="46"/>
  <c r="JI35" i="46"/>
  <c r="CZ35" i="46"/>
  <c r="KJ35" i="46"/>
  <c r="HA35" i="46"/>
  <c r="CK35" i="46"/>
  <c r="GC35" i="46"/>
  <c r="ED35" i="46"/>
  <c r="IT35" i="46"/>
  <c r="HD35" i="46"/>
  <c r="GI35" i="46"/>
  <c r="GL35" i="46"/>
  <c r="CW35" i="46"/>
  <c r="KG35" i="46"/>
  <c r="DX35" i="46"/>
  <c r="CE35" i="46"/>
  <c r="JR35" i="46"/>
  <c r="FB35" i="46"/>
  <c r="AL35" i="46"/>
  <c r="AR35" i="46"/>
  <c r="IB35" i="46"/>
  <c r="HG35" i="46"/>
  <c r="Z35" i="46"/>
  <c r="HJ35" i="46"/>
  <c r="DU35" i="46"/>
  <c r="LE35" i="46"/>
  <c r="EV35" i="46"/>
  <c r="EG35" i="46"/>
  <c r="HS35" i="46"/>
  <c r="DC35" i="46"/>
  <c r="BM35" i="46"/>
  <c r="DI35" i="46"/>
  <c r="EA35" i="46"/>
  <c r="BP35" i="46"/>
  <c r="IZ35" i="46"/>
  <c r="AU35" i="46"/>
  <c r="IE35" i="46"/>
  <c r="AX35" i="46"/>
  <c r="IH35" i="46"/>
  <c r="ES35" i="46"/>
  <c r="FT35" i="46"/>
  <c r="GX35" i="46"/>
  <c r="JU35" i="46"/>
  <c r="FE35" i="46"/>
  <c r="BG35" i="46"/>
  <c r="GU35" i="46"/>
  <c r="CN35" i="46"/>
  <c r="JX35" i="46"/>
  <c r="BS35" i="46"/>
  <c r="JC35" i="46"/>
  <c r="BV35" i="46"/>
  <c r="JF35" i="46"/>
  <c r="FQ35" i="46"/>
  <c r="GR35" i="46"/>
  <c r="JO35" i="46"/>
  <c r="HV35" i="46"/>
  <c r="AO35" i="46"/>
  <c r="FZ35" i="46"/>
  <c r="DF35" i="46"/>
  <c r="DL35" i="46"/>
  <c r="KV35" i="46"/>
  <c r="CQ35" i="46"/>
  <c r="KA35" i="46"/>
  <c r="CT35" i="46"/>
  <c r="KD35" i="46"/>
  <c r="GO35" i="46"/>
  <c r="AF35" i="46"/>
  <c r="HP35" i="46"/>
  <c r="KM35" i="46"/>
  <c r="FW35" i="46"/>
  <c r="KS35" i="46"/>
  <c r="HY35" i="46"/>
  <c r="EJ35" i="46"/>
  <c r="DO35" i="46"/>
  <c r="KY35" i="46"/>
  <c r="DR35" i="46"/>
  <c r="LB35" i="46"/>
  <c r="AC35" i="46"/>
  <c r="HM35" i="46"/>
  <c r="BD35" i="46"/>
  <c r="IN35" i="46"/>
  <c r="CH35" i="46"/>
  <c r="KP35" i="46"/>
  <c r="IQ35" i="46"/>
  <c r="IW35" i="46"/>
  <c r="BP59" i="46"/>
  <c r="GC59" i="46"/>
  <c r="FK59" i="46"/>
  <c r="HY59" i="46"/>
  <c r="JX59" i="46"/>
  <c r="FZ59" i="46"/>
  <c r="JO59" i="46"/>
  <c r="CE59" i="46"/>
  <c r="IN59" i="46"/>
  <c r="DO59" i="46"/>
  <c r="GI59" i="46"/>
  <c r="KY59" i="46"/>
  <c r="DL59" i="46"/>
  <c r="DI59" i="46"/>
  <c r="FH59" i="46"/>
  <c r="HG59" i="46"/>
  <c r="JU59" i="46"/>
  <c r="FB59" i="46"/>
  <c r="IQ59" i="46"/>
  <c r="BG59" i="46"/>
  <c r="GR59" i="46"/>
  <c r="EJ59" i="46"/>
  <c r="EG59" i="46"/>
  <c r="AU59" i="46"/>
  <c r="AR59" i="46"/>
  <c r="CQ59" i="46"/>
  <c r="FE59" i="46"/>
  <c r="HD59" i="46"/>
  <c r="ED59" i="46"/>
  <c r="HS59" i="46"/>
  <c r="AI59" i="46"/>
  <c r="EP34" i="46"/>
  <c r="AU34" i="46"/>
  <c r="JO34" i="46"/>
  <c r="HM34" i="46"/>
  <c r="CN34" i="46"/>
  <c r="JX34" i="46"/>
  <c r="IE34" i="46"/>
  <c r="AL34" i="46"/>
  <c r="AC34" i="46"/>
  <c r="KJ34" i="46"/>
  <c r="HS34" i="46"/>
  <c r="CZ34" i="46"/>
  <c r="KS34" i="46"/>
  <c r="EG34" i="46"/>
  <c r="JC34" i="46"/>
  <c r="HP10" i="46"/>
  <c r="JF10" i="46"/>
  <c r="GR10" i="46"/>
  <c r="AI10" i="46"/>
  <c r="EM10" i="46"/>
  <c r="FH10" i="46"/>
  <c r="ED10" i="46"/>
  <c r="FZ10" i="46"/>
  <c r="FW10" i="46"/>
  <c r="DR10" i="46"/>
  <c r="KY10" i="46"/>
  <c r="EV10" i="46"/>
  <c r="KG10" i="46"/>
  <c r="CH10" i="46"/>
  <c r="EJ10" i="46"/>
  <c r="KS10" i="46"/>
  <c r="DC10" i="46"/>
  <c r="FB10" i="46"/>
  <c r="EY10" i="46"/>
  <c r="EG10" i="46"/>
  <c r="BS10" i="46"/>
  <c r="HM10" i="46"/>
  <c r="JC10" i="46"/>
  <c r="CT10" i="46"/>
  <c r="IK10" i="46"/>
  <c r="AF10" i="46"/>
  <c r="KV10" i="46"/>
  <c r="DF10" i="46"/>
  <c r="JU10" i="46"/>
  <c r="CB10" i="46"/>
  <c r="EA10" i="46"/>
  <c r="DX10" i="46"/>
  <c r="DI10" i="46"/>
  <c r="LB10" i="46"/>
  <c r="HG10" i="46"/>
  <c r="AR10" i="46"/>
  <c r="GO10" i="46"/>
  <c r="KD10" i="46"/>
  <c r="JX10" i="46"/>
  <c r="CE10" i="46"/>
  <c r="IW10" i="46"/>
  <c r="BA10" i="46"/>
  <c r="KP10" i="46"/>
  <c r="CZ10" i="46"/>
  <c r="KM10" i="46"/>
  <c r="CW10" i="46"/>
  <c r="CK10" i="46"/>
  <c r="FQ10" i="46"/>
  <c r="JL10" i="46"/>
  <c r="FK10" i="46"/>
  <c r="ES10" i="46"/>
  <c r="IH10" i="46"/>
  <c r="IZ10" i="46"/>
  <c r="BD10" i="46"/>
  <c r="HY10" i="46"/>
  <c r="Z10" i="46"/>
  <c r="JR10" i="46"/>
  <c r="BY10" i="46"/>
  <c r="JO10" i="46"/>
  <c r="BV10" i="46"/>
  <c r="BM10" i="46"/>
  <c r="BP10" i="46"/>
  <c r="DO10" i="46"/>
  <c r="LE10" i="46"/>
  <c r="FN10" i="46"/>
  <c r="DL10" i="46"/>
  <c r="CQ10" i="46"/>
  <c r="GL10" i="46"/>
  <c r="KA10" i="46"/>
  <c r="IB10" i="46"/>
  <c r="AC10" i="46"/>
  <c r="HA10" i="46"/>
  <c r="IT10" i="46"/>
  <c r="AX10" i="46"/>
  <c r="IQ10" i="46"/>
  <c r="AU10" i="46"/>
  <c r="AO10" i="46"/>
  <c r="FT10" i="46"/>
  <c r="JI10" i="46"/>
  <c r="BG10" i="46"/>
  <c r="KJ10" i="46"/>
  <c r="AL10" i="46"/>
  <c r="EP10" i="46"/>
  <c r="IE10" i="46"/>
  <c r="HD10" i="46"/>
  <c r="GC10" i="46"/>
  <c r="HV10" i="46"/>
  <c r="HS10" i="46"/>
  <c r="BJ10" i="46"/>
  <c r="DU10" i="46"/>
  <c r="IN10" i="46"/>
  <c r="CN10" i="46"/>
  <c r="GI10" i="46"/>
  <c r="GF10" i="46"/>
  <c r="FE10" i="46"/>
  <c r="GX10" i="46"/>
  <c r="GU10" i="46"/>
  <c r="T34" i="46"/>
  <c r="IB34" i="46"/>
  <c r="FB34" i="46"/>
  <c r="GI34" i="46"/>
  <c r="FE34" i="46"/>
  <c r="GC34" i="46"/>
  <c r="CK34" i="46"/>
  <c r="IQ34" i="46"/>
  <c r="GX34" i="46"/>
  <c r="JL34" i="46"/>
  <c r="CB34" i="46"/>
  <c r="GO34" i="46"/>
  <c r="LB34" i="46"/>
  <c r="DR34" i="46"/>
  <c r="KV34" i="46"/>
  <c r="BM34" i="46"/>
  <c r="AR34" i="46"/>
  <c r="EM34" i="46"/>
  <c r="HA34" i="46"/>
  <c r="FH34" i="46"/>
  <c r="IN34" i="46"/>
  <c r="BD34" i="46"/>
  <c r="FQ34" i="46"/>
  <c r="KD34" i="46"/>
  <c r="CT34" i="46"/>
  <c r="GU34" i="46"/>
  <c r="CQ34" i="46"/>
  <c r="KM34" i="46"/>
  <c r="FK34" i="46"/>
  <c r="DO34" i="46"/>
  <c r="HP34" i="46"/>
  <c r="AF34" i="46"/>
  <c r="ES34" i="46"/>
  <c r="JF34" i="46"/>
  <c r="BV34" i="46"/>
  <c r="HY34" i="46"/>
  <c r="DL34" i="46"/>
  <c r="KY34" i="46"/>
  <c r="DC34" i="46"/>
  <c r="AO34" i="46"/>
  <c r="IW34" i="46"/>
  <c r="KA34" i="46"/>
  <c r="EA34" i="46"/>
  <c r="BP34" i="46"/>
  <c r="ED34" i="46"/>
  <c r="CE34" i="46"/>
  <c r="GR34" i="46"/>
  <c r="LE34" i="46"/>
  <c r="DU34" i="46"/>
  <c r="IH34" i="46"/>
  <c r="AX34" i="46"/>
  <c r="HV34" i="46"/>
  <c r="DI34" i="46"/>
  <c r="HG34" i="46"/>
  <c r="IT34" i="46"/>
  <c r="BS34" i="46"/>
  <c r="DF34" i="46"/>
  <c r="BG34" i="46"/>
  <c r="FT34" i="46"/>
  <c r="KG34" i="46"/>
  <c r="CW34" i="46"/>
  <c r="HJ34" i="46"/>
  <c r="Z34" i="46"/>
  <c r="EY34" i="46"/>
  <c r="JR34" i="46"/>
  <c r="KP34" i="46"/>
  <c r="FZ34" i="46"/>
  <c r="HD34" i="46"/>
  <c r="CH34" i="46"/>
  <c r="AI34" i="46"/>
  <c r="EV34" i="46"/>
  <c r="JI34" i="46"/>
  <c r="BY34" i="46"/>
  <c r="GL34" i="46"/>
  <c r="GF34" i="46"/>
  <c r="IZ34" i="46"/>
  <c r="EJ34" i="46"/>
  <c r="FW34" i="46"/>
  <c r="JU34" i="46"/>
  <c r="BJ34" i="46"/>
  <c r="DX34" i="46"/>
  <c r="IK34" i="46"/>
  <c r="BA34" i="46"/>
  <c r="FN34" i="46"/>
  <c r="AO42" i="46"/>
  <c r="BM42" i="46"/>
  <c r="CK42" i="46"/>
  <c r="DI42" i="46"/>
  <c r="EG42" i="46"/>
  <c r="FE42" i="46"/>
  <c r="GC42" i="46"/>
  <c r="HA42" i="46"/>
  <c r="HY42" i="46"/>
  <c r="IW42" i="46"/>
  <c r="JU42" i="46"/>
  <c r="KS42" i="46"/>
  <c r="FB42" i="46"/>
  <c r="HV42" i="46"/>
  <c r="AR42" i="46"/>
  <c r="BP42" i="46"/>
  <c r="CN42" i="46"/>
  <c r="DL42" i="46"/>
  <c r="EJ42" i="46"/>
  <c r="FH42" i="46"/>
  <c r="GF42" i="46"/>
  <c r="HD42" i="46"/>
  <c r="IB42" i="46"/>
  <c r="IZ42" i="46"/>
  <c r="JX42" i="46"/>
  <c r="KV42" i="46"/>
  <c r="BJ42" i="46"/>
  <c r="GX42" i="46"/>
  <c r="AU42" i="46"/>
  <c r="BS42" i="46"/>
  <c r="CQ42" i="46"/>
  <c r="DO42" i="46"/>
  <c r="EM42" i="46"/>
  <c r="FK42" i="46"/>
  <c r="GI42" i="46"/>
  <c r="HG42" i="46"/>
  <c r="IE42" i="46"/>
  <c r="JC42" i="46"/>
  <c r="KA42" i="46"/>
  <c r="KY42" i="46"/>
  <c r="AL42" i="46"/>
  <c r="Z42" i="46"/>
  <c r="AX42" i="46"/>
  <c r="BV42" i="46"/>
  <c r="CT42" i="46"/>
  <c r="DR42" i="46"/>
  <c r="EP42" i="46"/>
  <c r="FN42" i="46"/>
  <c r="GL42" i="46"/>
  <c r="HJ42" i="46"/>
  <c r="IH42" i="46"/>
  <c r="JF42" i="46"/>
  <c r="KD42" i="46"/>
  <c r="LB42" i="46"/>
  <c r="CH42" i="46"/>
  <c r="FZ42" i="46"/>
  <c r="KP42" i="46"/>
  <c r="AC42" i="46"/>
  <c r="BA42" i="46"/>
  <c r="BY42" i="46"/>
  <c r="CW42" i="46"/>
  <c r="DU42" i="46"/>
  <c r="ES42" i="46"/>
  <c r="FQ42" i="46"/>
  <c r="GO42" i="46"/>
  <c r="HM42" i="46"/>
  <c r="IK42" i="46"/>
  <c r="JI42" i="46"/>
  <c r="KG42" i="46"/>
  <c r="LE42" i="46"/>
  <c r="DF42" i="46"/>
  <c r="IT42" i="46"/>
  <c r="AF42" i="46"/>
  <c r="BD42" i="46"/>
  <c r="CB42" i="46"/>
  <c r="CZ42" i="46"/>
  <c r="DX42" i="46"/>
  <c r="EV42" i="46"/>
  <c r="FT42" i="46"/>
  <c r="GR42" i="46"/>
  <c r="HP42" i="46"/>
  <c r="IN42" i="46"/>
  <c r="JL42" i="46"/>
  <c r="KJ42" i="46"/>
  <c r="ED42" i="46"/>
  <c r="JR42" i="46"/>
  <c r="AI42" i="46"/>
  <c r="BG42" i="46"/>
  <c r="CE42" i="46"/>
  <c r="DC42" i="46"/>
  <c r="EA42" i="46"/>
  <c r="EY42" i="46"/>
  <c r="FW42" i="46"/>
  <c r="GU42" i="46"/>
  <c r="HS42" i="46"/>
  <c r="IQ42" i="46"/>
  <c r="JO42" i="46"/>
  <c r="KM42" i="46"/>
  <c r="T70" i="46"/>
  <c r="T19" i="46"/>
  <c r="T60" i="46"/>
  <c r="T16" i="46"/>
  <c r="T35" i="46"/>
  <c r="T73" i="46"/>
  <c r="T8" i="46"/>
  <c r="T14" i="46"/>
  <c r="T22" i="46"/>
  <c r="T46" i="46"/>
  <c r="T71" i="46"/>
  <c r="T23" i="46"/>
  <c r="T76" i="46"/>
  <c r="T51" i="46"/>
  <c r="T25" i="46"/>
  <c r="T72" i="46"/>
  <c r="T20" i="46"/>
  <c r="T69" i="46"/>
  <c r="T43" i="46"/>
  <c r="T64" i="46"/>
  <c r="T15" i="46"/>
  <c r="T12" i="46"/>
  <c r="T10" i="46"/>
  <c r="T55" i="46"/>
  <c r="T11" i="46"/>
  <c r="T28" i="46"/>
  <c r="T39" i="46"/>
  <c r="T42" i="46"/>
  <c r="K11" i="6"/>
  <c r="K6" i="6"/>
  <c r="T24" i="46"/>
  <c r="AB42" i="32"/>
  <c r="AB25" i="32"/>
  <c r="AB11" i="32"/>
  <c r="B41" i="6"/>
  <c r="A80" i="3" s="1"/>
  <c r="AB29" i="32"/>
  <c r="B23" i="6"/>
  <c r="BD27" i="3" s="1"/>
  <c r="K36" i="6"/>
  <c r="K49" i="6"/>
  <c r="T67" i="46"/>
  <c r="AB12" i="32"/>
  <c r="AB20" i="32"/>
  <c r="K3" i="6"/>
  <c r="K8" i="6"/>
  <c r="B27" i="6"/>
  <c r="BD31" i="3" s="1"/>
  <c r="B37" i="6"/>
  <c r="BD41" i="3" s="1"/>
  <c r="K32" i="6"/>
  <c r="A13" i="3"/>
  <c r="AY14" i="3" s="1"/>
  <c r="K17" i="6"/>
  <c r="T38" i="46"/>
  <c r="K10" i="6"/>
  <c r="AB30" i="32"/>
  <c r="A8" i="3"/>
  <c r="AF5" i="3" s="1"/>
  <c r="F4" i="45" s="1"/>
  <c r="K41" i="6"/>
  <c r="K24" i="6"/>
  <c r="AB50" i="32"/>
  <c r="AB45" i="32"/>
  <c r="B33" i="6"/>
  <c r="A64" i="3" s="1"/>
  <c r="T30" i="46"/>
  <c r="B20" i="6"/>
  <c r="BD24" i="3" s="1"/>
  <c r="BD19" i="3"/>
  <c r="AB34" i="32"/>
  <c r="B19" i="6"/>
  <c r="A38" i="3" s="1"/>
  <c r="B9" i="6"/>
  <c r="BD13" i="3" s="1"/>
  <c r="AB4" i="32"/>
  <c r="B36" i="6"/>
  <c r="A71" i="3" s="1"/>
  <c r="B46" i="6"/>
  <c r="A93" i="3" s="1"/>
  <c r="AY94" i="3" s="1"/>
  <c r="K48" i="6"/>
  <c r="K26" i="6"/>
  <c r="B14" i="6"/>
  <c r="BD18" i="3" s="1"/>
  <c r="AB44" i="32"/>
  <c r="AB35" i="32"/>
  <c r="B43" i="6"/>
  <c r="BD47" i="3" s="1"/>
  <c r="B49" i="6"/>
  <c r="A96" i="3" s="1"/>
  <c r="AB8" i="32"/>
  <c r="B42" i="6"/>
  <c r="BD46" i="3" s="1"/>
  <c r="AB36" i="32"/>
  <c r="K7" i="6"/>
  <c r="K18" i="6"/>
  <c r="AB19" i="32"/>
  <c r="K23" i="6"/>
  <c r="B38" i="6"/>
  <c r="A77" i="3" s="1"/>
  <c r="A94" i="3"/>
  <c r="AA97" i="3" s="1"/>
  <c r="B30" i="6"/>
  <c r="BD34" i="3" s="1"/>
  <c r="K5" i="6"/>
  <c r="K16" i="6"/>
  <c r="B18" i="6"/>
  <c r="A37" i="3" s="1"/>
  <c r="AB38" i="32"/>
  <c r="AB37" i="32"/>
  <c r="B2" i="6"/>
  <c r="A5" i="3" s="1"/>
  <c r="K21" i="6"/>
  <c r="K33" i="6"/>
  <c r="K15" i="6"/>
  <c r="AB10" i="32"/>
  <c r="AB31" i="32"/>
  <c r="B10" i="6"/>
  <c r="BD14" i="3" s="1"/>
  <c r="K12" i="6"/>
  <c r="B7" i="6"/>
  <c r="A14" i="3" s="1"/>
  <c r="K30" i="6"/>
  <c r="AB17" i="32"/>
  <c r="K2" i="6"/>
  <c r="K25" i="6"/>
  <c r="AB13" i="32"/>
  <c r="AB47" i="32"/>
  <c r="AB32" i="32"/>
  <c r="B4" i="6"/>
  <c r="A7" i="3" s="1"/>
  <c r="K39" i="6"/>
  <c r="K4" i="6"/>
  <c r="B3" i="6"/>
  <c r="A6" i="3" s="1"/>
  <c r="AF4" i="3" s="1"/>
  <c r="F3" i="45" s="1"/>
  <c r="B12" i="6"/>
  <c r="A23" i="3" s="1"/>
  <c r="B17" i="6"/>
  <c r="BD21" i="3" s="1"/>
  <c r="AB24" i="32"/>
  <c r="B35" i="6"/>
  <c r="BD39" i="3" s="1"/>
  <c r="B16" i="6"/>
  <c r="A31" i="3" s="1"/>
  <c r="K13" i="6"/>
  <c r="K47" i="6"/>
  <c r="AB39" i="32"/>
  <c r="AB9" i="32"/>
  <c r="AB21" i="32"/>
  <c r="B13" i="6"/>
  <c r="AB48" i="32"/>
  <c r="K40" i="6"/>
  <c r="AB14" i="32"/>
  <c r="AB23" i="32"/>
  <c r="AB46" i="32"/>
  <c r="AB15" i="32"/>
  <c r="AB43" i="32"/>
  <c r="B22" i="6"/>
  <c r="BD26" i="3" s="1"/>
  <c r="K43" i="6"/>
  <c r="AB5" i="32"/>
  <c r="AF27" i="3"/>
  <c r="DT11" i="3"/>
  <c r="DT19" i="3"/>
  <c r="AF35" i="3"/>
  <c r="DT35" i="3" s="1"/>
  <c r="T6" i="46"/>
  <c r="T54" i="46"/>
  <c r="B28" i="6"/>
  <c r="A55" i="3" s="1"/>
  <c r="AB28" i="32"/>
  <c r="BD15" i="3"/>
  <c r="BD36" i="3"/>
  <c r="BD38" i="3"/>
  <c r="BD25" i="3"/>
  <c r="BD35" i="3"/>
  <c r="A62" i="3"/>
  <c r="BD12" i="3"/>
  <c r="A15" i="3"/>
  <c r="A87" i="3"/>
  <c r="BD48" i="3"/>
  <c r="BD49" i="3"/>
  <c r="A88" i="3"/>
  <c r="BD28" i="3"/>
  <c r="A47" i="3"/>
  <c r="BD43" i="3"/>
  <c r="A78" i="3"/>
  <c r="A79" i="3"/>
  <c r="BD44" i="3"/>
  <c r="BD52" i="3"/>
  <c r="A95" i="3"/>
  <c r="BD29" i="3"/>
  <c r="A48" i="3"/>
  <c r="AA39" i="3"/>
  <c r="AF37" i="3"/>
  <c r="AA41" i="3"/>
  <c r="AY41" i="3"/>
  <c r="F7" i="48" a="1"/>
  <c r="F7" i="48" s="1"/>
  <c r="E8" i="48"/>
  <c r="BD33" i="3"/>
  <c r="A56" i="3"/>
  <c r="AF72" i="3"/>
  <c r="AY70" i="3"/>
  <c r="AA68" i="3"/>
  <c r="AA70" i="3"/>
  <c r="AF20" i="3"/>
  <c r="AF22" i="3"/>
  <c r="AA25" i="3"/>
  <c r="AY23" i="3"/>
  <c r="A53" i="3"/>
  <c r="BD30" i="3"/>
  <c r="AF31" i="3"/>
  <c r="AF28" i="3"/>
  <c r="AA33" i="3"/>
  <c r="AY31" i="3"/>
  <c r="AY64" i="3"/>
  <c r="AF62" i="3"/>
  <c r="AA61" i="3"/>
  <c r="AF64" i="3"/>
  <c r="GR78" i="46" l="1"/>
  <c r="JC78" i="46"/>
  <c r="GO78" i="46"/>
  <c r="FN78" i="46"/>
  <c r="EP78" i="46"/>
  <c r="GC78" i="46"/>
  <c r="JX78" i="46"/>
  <c r="JO78" i="46"/>
  <c r="KG78" i="46"/>
  <c r="KY78" i="46"/>
  <c r="HP78" i="46"/>
  <c r="CN78" i="46"/>
  <c r="DI78" i="46"/>
  <c r="FW78" i="46"/>
  <c r="GU78" i="46"/>
  <c r="HM78" i="46"/>
  <c r="ED78" i="46"/>
  <c r="KP78" i="46"/>
  <c r="FQ78" i="46"/>
  <c r="EA78" i="46"/>
  <c r="KJ78" i="46"/>
  <c r="IH78" i="46"/>
  <c r="AU78" i="46"/>
  <c r="KS78" i="46"/>
  <c r="JF78" i="46"/>
  <c r="GX78" i="46"/>
  <c r="DO78" i="46"/>
  <c r="IE78" i="46"/>
  <c r="BJ78" i="46"/>
  <c r="JU78" i="46"/>
  <c r="AX78" i="46"/>
  <c r="DX78" i="46"/>
  <c r="ES78" i="46"/>
  <c r="HD78" i="46"/>
  <c r="EM78" i="46"/>
  <c r="FB78" i="46"/>
  <c r="JL78" i="46"/>
  <c r="JI78" i="46"/>
  <c r="IQ78" i="46"/>
  <c r="BG78" i="46"/>
  <c r="EJ78" i="46"/>
  <c r="IK78" i="46"/>
  <c r="EG78" i="46"/>
  <c r="CK78" i="46"/>
  <c r="BP78" i="46"/>
  <c r="CH78" i="46"/>
  <c r="CZ78" i="46"/>
  <c r="GF78" i="46"/>
  <c r="BA78" i="46"/>
  <c r="CQ78" i="46"/>
  <c r="KV78" i="46"/>
  <c r="Z78" i="46"/>
  <c r="GL78" i="46"/>
  <c r="AL78" i="46"/>
  <c r="GI78" i="46"/>
  <c r="HY78" i="46"/>
  <c r="AO78" i="46"/>
  <c r="FK78" i="46"/>
  <c r="HA78" i="46"/>
  <c r="CE78" i="46"/>
  <c r="FH78" i="46"/>
  <c r="IW78" i="46"/>
  <c r="CW78" i="46"/>
  <c r="HS78" i="46"/>
  <c r="AI78" i="46"/>
  <c r="AF78" i="46"/>
  <c r="KD78" i="46"/>
  <c r="CT78" i="46"/>
  <c r="KA78" i="46"/>
  <c r="DL78" i="46"/>
  <c r="HG78" i="46"/>
  <c r="KM78" i="46"/>
  <c r="BY78" i="46"/>
  <c r="JR78" i="46"/>
  <c r="IT78" i="46"/>
  <c r="AC78" i="46"/>
  <c r="BV78" i="46"/>
  <c r="BS78" i="46"/>
  <c r="FT78" i="46"/>
  <c r="DF78" i="46"/>
  <c r="IZ78" i="46"/>
  <c r="EY78" i="46"/>
  <c r="EV78" i="46"/>
  <c r="FZ78" i="46"/>
  <c r="HJ78" i="46"/>
  <c r="IB78" i="46"/>
  <c r="AR78" i="46"/>
  <c r="BM78" i="46"/>
  <c r="DC78" i="46"/>
  <c r="LE78" i="46"/>
  <c r="DU78" i="46"/>
  <c r="HV78" i="46"/>
  <c r="BD45" i="3"/>
  <c r="BC45" i="3" s="1"/>
  <c r="CB78" i="46"/>
  <c r="IN78" i="46"/>
  <c r="BD78" i="46"/>
  <c r="LB78" i="46"/>
  <c r="DR78" i="46"/>
  <c r="FE78" i="46"/>
  <c r="A16" i="3"/>
  <c r="AA16" i="3" s="1"/>
  <c r="BD22" i="3"/>
  <c r="BC22" i="3" s="1"/>
  <c r="A46" i="3"/>
  <c r="AF47" i="3" s="1"/>
  <c r="F46" i="45" s="1"/>
  <c r="A54" i="3"/>
  <c r="AF55" i="3" s="1"/>
  <c r="AA15" i="3"/>
  <c r="AB15" i="3" s="1" a="1"/>
  <c r="AB15" i="3" s="1"/>
  <c r="AA12" i="3"/>
  <c r="AB12" i="3" s="1" a="1"/>
  <c r="AB12" i="3" s="1"/>
  <c r="AY95" i="3"/>
  <c r="AF16" i="3"/>
  <c r="F15" i="45" s="1"/>
  <c r="AF96" i="3"/>
  <c r="R47" i="45" s="1"/>
  <c r="BD42" i="3"/>
  <c r="BC42" i="3" s="1"/>
  <c r="BD40" i="3"/>
  <c r="BC40" i="3" s="1"/>
  <c r="BD23" i="3"/>
  <c r="BC23" i="3" s="1"/>
  <c r="A72" i="3"/>
  <c r="AY73" i="3" s="1"/>
  <c r="BD20" i="3"/>
  <c r="BC20" i="3" s="1"/>
  <c r="BD50" i="3"/>
  <c r="BC50" i="3" s="1"/>
  <c r="BD8" i="3"/>
  <c r="BC8" i="3" s="1"/>
  <c r="BD11" i="3"/>
  <c r="BC11" i="3" s="1"/>
  <c r="BD53" i="3"/>
  <c r="BC53" i="3" s="1"/>
  <c r="AA92" i="3"/>
  <c r="O43" i="45" s="1"/>
  <c r="AF92" i="3"/>
  <c r="R43" i="45" s="1"/>
  <c r="AA94" i="3"/>
  <c r="O45" i="45" s="1"/>
  <c r="A39" i="3"/>
  <c r="AY40" i="3" s="1"/>
  <c r="AA8" i="3"/>
  <c r="C7" i="45" s="1"/>
  <c r="AF95" i="3"/>
  <c r="R46" i="45" s="1"/>
  <c r="AY9" i="3"/>
  <c r="AA6" i="3"/>
  <c r="C5" i="45" s="1"/>
  <c r="BC9" i="3"/>
  <c r="BD6" i="3"/>
  <c r="BC6" i="3" s="1"/>
  <c r="A61" i="3"/>
  <c r="AF65" i="3" s="1"/>
  <c r="BC14" i="3"/>
  <c r="A86" i="3"/>
  <c r="AY87" i="3" s="1"/>
  <c r="A21" i="3"/>
  <c r="AF24" i="3" s="1"/>
  <c r="BD37" i="3"/>
  <c r="BC37" i="3" s="1"/>
  <c r="AE5" i="3" a="1"/>
  <c r="AE5" i="3" s="1"/>
  <c r="AY7" i="3"/>
  <c r="A29" i="3"/>
  <c r="AY30" i="3" s="1"/>
  <c r="BC13" i="3"/>
  <c r="BC12" i="3"/>
  <c r="BC10" i="3"/>
  <c r="AE4" i="3" a="1"/>
  <c r="AE4" i="3" s="1"/>
  <c r="A85" i="3"/>
  <c r="AF88" i="3" s="1"/>
  <c r="BC15" i="3"/>
  <c r="AF6" i="3"/>
  <c r="F5" i="45" s="1"/>
  <c r="BD7" i="3"/>
  <c r="BC7" i="3" s="1"/>
  <c r="BC19" i="3"/>
  <c r="A32" i="3"/>
  <c r="AA31" i="3" s="1"/>
  <c r="BD16" i="3"/>
  <c r="BC16" i="3" s="1"/>
  <c r="BC18" i="3"/>
  <c r="A24" i="3"/>
  <c r="AF21" i="3" s="1"/>
  <c r="BC27" i="3"/>
  <c r="BD17" i="3"/>
  <c r="BC17" i="3" s="1"/>
  <c r="BC24" i="3"/>
  <c r="AA9" i="3"/>
  <c r="C8" i="45" s="1"/>
  <c r="T77" i="32"/>
  <c r="BC25" i="3"/>
  <c r="A45" i="3"/>
  <c r="AA44" i="3" s="1"/>
  <c r="AB97" i="3" a="1"/>
  <c r="AB97" i="3" s="1"/>
  <c r="A70" i="3"/>
  <c r="AF68" i="3" s="1"/>
  <c r="BC38" i="3"/>
  <c r="BC28" i="3"/>
  <c r="AF43" i="3"/>
  <c r="DT43" i="3" s="1"/>
  <c r="DT27" i="3"/>
  <c r="BC44" i="3"/>
  <c r="BD32" i="3"/>
  <c r="BC32" i="3" s="1"/>
  <c r="BC49" i="3"/>
  <c r="BC46" i="3"/>
  <c r="BC36" i="3"/>
  <c r="BC51" i="3"/>
  <c r="BC48" i="3"/>
  <c r="BC47" i="3"/>
  <c r="BC43" i="3"/>
  <c r="BC52" i="3"/>
  <c r="BC35" i="3"/>
  <c r="BC41" i="3"/>
  <c r="BC39" i="3"/>
  <c r="T78" i="46"/>
  <c r="AI10" i="32"/>
  <c r="AI33" i="32"/>
  <c r="AI25" i="32"/>
  <c r="AI50" i="32"/>
  <c r="R60" i="32"/>
  <c r="S71" i="32"/>
  <c r="AI4" i="32"/>
  <c r="AI43" i="32"/>
  <c r="R53" i="32"/>
  <c r="T69" i="32"/>
  <c r="S70" i="32"/>
  <c r="T84" i="32"/>
  <c r="R84" i="32"/>
  <c r="AI15" i="32"/>
  <c r="AI18" i="32"/>
  <c r="S60" i="32"/>
  <c r="R57" i="32"/>
  <c r="AI39" i="32"/>
  <c r="S64" i="32"/>
  <c r="R69" i="32"/>
  <c r="R80" i="32"/>
  <c r="T54" i="32"/>
  <c r="S65" i="32"/>
  <c r="AI9" i="32"/>
  <c r="T73" i="32"/>
  <c r="S80" i="32"/>
  <c r="T83" i="32"/>
  <c r="AI11" i="32"/>
  <c r="AI45" i="32"/>
  <c r="R64" i="32"/>
  <c r="S75" i="32"/>
  <c r="T64" i="32"/>
  <c r="R85" i="32"/>
  <c r="T58" i="32"/>
  <c r="T75" i="32"/>
  <c r="AI21" i="32"/>
  <c r="R76" i="32"/>
  <c r="T63" i="32"/>
  <c r="R54" i="32"/>
  <c r="S55" i="32"/>
  <c r="R74" i="32"/>
  <c r="R52" i="32"/>
  <c r="AI5" i="32"/>
  <c r="T52" i="32"/>
  <c r="R79" i="32"/>
  <c r="AI27" i="32"/>
  <c r="T68" i="32"/>
  <c r="AI40" i="32"/>
  <c r="S76" i="32"/>
  <c r="S78" i="32"/>
  <c r="AI14" i="32"/>
  <c r="T74" i="32"/>
  <c r="AI23" i="32"/>
  <c r="T78" i="32"/>
  <c r="R73" i="32"/>
  <c r="AI46" i="32"/>
  <c r="T61" i="32"/>
  <c r="R83" i="32"/>
  <c r="S86" i="32"/>
  <c r="T67" i="32"/>
  <c r="T79" i="32"/>
  <c r="AI35" i="32"/>
  <c r="AI36" i="32"/>
  <c r="AI19" i="32"/>
  <c r="AI31" i="32"/>
  <c r="R62" i="32"/>
  <c r="T81" i="32"/>
  <c r="R65" i="32"/>
  <c r="AI48" i="32"/>
  <c r="T76" i="32"/>
  <c r="R86" i="32"/>
  <c r="S72" i="32"/>
  <c r="AI17" i="32"/>
  <c r="AI12" i="32"/>
  <c r="S54" i="32"/>
  <c r="R51" i="32"/>
  <c r="S59" i="32"/>
  <c r="AI13" i="32"/>
  <c r="AI32" i="32"/>
  <c r="R59" i="32"/>
  <c r="T80" i="32"/>
  <c r="AI29" i="32"/>
  <c r="S63" i="32"/>
  <c r="T56" i="32"/>
  <c r="R68" i="32"/>
  <c r="S69" i="32"/>
  <c r="R72" i="32"/>
  <c r="S66" i="32"/>
  <c r="AI49" i="32"/>
  <c r="AI16" i="32"/>
  <c r="AI8" i="32"/>
  <c r="AI41" i="32"/>
  <c r="T59" i="32"/>
  <c r="S85" i="32"/>
  <c r="AI26" i="32"/>
  <c r="S68" i="32"/>
  <c r="R66" i="32"/>
  <c r="T82" i="32"/>
  <c r="AI38" i="32"/>
  <c r="AI30" i="32"/>
  <c r="T72" i="32"/>
  <c r="R75" i="32"/>
  <c r="AI44" i="32"/>
  <c r="T71" i="32"/>
  <c r="S84" i="32"/>
  <c r="S52" i="32"/>
  <c r="T62" i="32"/>
  <c r="AI42" i="32"/>
  <c r="AI6" i="32"/>
  <c r="S79" i="32"/>
  <c r="S67" i="32"/>
  <c r="AI3" i="32"/>
  <c r="S51" i="32"/>
  <c r="R81" i="32"/>
  <c r="S57" i="32"/>
  <c r="T55" i="32"/>
  <c r="R71" i="32"/>
  <c r="AI7" i="32"/>
  <c r="T53" i="32"/>
  <c r="S58" i="32"/>
  <c r="AI34" i="32"/>
  <c r="AI37" i="32"/>
  <c r="R58" i="32"/>
  <c r="S53" i="32"/>
  <c r="R70" i="32"/>
  <c r="R78" i="32"/>
  <c r="T65" i="32"/>
  <c r="R77" i="32"/>
  <c r="S82" i="32"/>
  <c r="S56" i="32"/>
  <c r="AI20" i="32"/>
  <c r="R67" i="32"/>
  <c r="T85" i="32"/>
  <c r="S81" i="32"/>
  <c r="AI28" i="32"/>
  <c r="R56" i="32"/>
  <c r="S74" i="32"/>
  <c r="S61" i="32"/>
  <c r="R55" i="32"/>
  <c r="S83" i="32"/>
  <c r="R82" i="32"/>
  <c r="S77" i="32"/>
  <c r="T57" i="32"/>
  <c r="AI24" i="32"/>
  <c r="T51" i="32"/>
  <c r="S73" i="32"/>
  <c r="S62" i="32"/>
  <c r="T86" i="32"/>
  <c r="T66" i="32"/>
  <c r="AI22" i="32"/>
  <c r="T70" i="32"/>
  <c r="R63" i="32"/>
  <c r="AI47" i="32"/>
  <c r="T60" i="32"/>
  <c r="R61" i="32"/>
  <c r="AY15" i="3"/>
  <c r="AF14" i="3"/>
  <c r="AA17" i="3"/>
  <c r="AF12" i="3"/>
  <c r="AA93" i="3"/>
  <c r="AF97" i="3"/>
  <c r="K77" i="46" s="1"/>
  <c r="AF94" i="3"/>
  <c r="AY96" i="3"/>
  <c r="AY81" i="3"/>
  <c r="AA79" i="3"/>
  <c r="AA81" i="3"/>
  <c r="AF77" i="3"/>
  <c r="AF78" i="3"/>
  <c r="AY80" i="3"/>
  <c r="AA77" i="3"/>
  <c r="AF80" i="3"/>
  <c r="AF39" i="3"/>
  <c r="AY39" i="3"/>
  <c r="AF36" i="3"/>
  <c r="AA40" i="3"/>
  <c r="AF79" i="3"/>
  <c r="AA80" i="3"/>
  <c r="AF76" i="3"/>
  <c r="AY79" i="3"/>
  <c r="AF86" i="3"/>
  <c r="AA85" i="3"/>
  <c r="AF89" i="3"/>
  <c r="AY88" i="3"/>
  <c r="AY48" i="3"/>
  <c r="AF48" i="3"/>
  <c r="AA45" i="3"/>
  <c r="AF46" i="3"/>
  <c r="AA13" i="3"/>
  <c r="AF17" i="3"/>
  <c r="AF15" i="3"/>
  <c r="AY16" i="3"/>
  <c r="AY63" i="3"/>
  <c r="AF63" i="3"/>
  <c r="AA64" i="3"/>
  <c r="DT64" i="3" s="1"/>
  <c r="AF60" i="3"/>
  <c r="O48" i="45"/>
  <c r="AY72" i="3"/>
  <c r="AA69" i="3"/>
  <c r="AF73" i="3"/>
  <c r="AF70" i="3"/>
  <c r="AY8" i="3"/>
  <c r="AF7" i="3"/>
  <c r="AA5" i="3"/>
  <c r="AF9" i="3"/>
  <c r="AA76" i="3"/>
  <c r="AF81" i="3"/>
  <c r="AY78" i="3"/>
  <c r="AA78" i="3"/>
  <c r="AY24" i="3"/>
  <c r="AF23" i="3"/>
  <c r="AA21" i="3"/>
  <c r="AF25" i="3"/>
  <c r="K59" i="46" s="1"/>
  <c r="AA29" i="3"/>
  <c r="AY32" i="3"/>
  <c r="AF33" i="3"/>
  <c r="DT33" i="3" s="1"/>
  <c r="AF30" i="3"/>
  <c r="AY89" i="3"/>
  <c r="AF85" i="3"/>
  <c r="AA87" i="3"/>
  <c r="AA88" i="3"/>
  <c r="AY56" i="3"/>
  <c r="AF54" i="3"/>
  <c r="AA53" i="3"/>
  <c r="AF56" i="3"/>
  <c r="O21" i="45"/>
  <c r="AB70" i="3" a="1"/>
  <c r="AB70" i="3" s="1"/>
  <c r="AA63" i="3"/>
  <c r="AA65" i="3"/>
  <c r="AF61" i="3"/>
  <c r="K21" i="46" s="1"/>
  <c r="AY65" i="3"/>
  <c r="F30" i="45"/>
  <c r="AE31" i="3" a="1"/>
  <c r="AE31" i="3" s="1"/>
  <c r="AE22" i="3" a="1"/>
  <c r="AE22" i="3" s="1"/>
  <c r="F21" i="45"/>
  <c r="BC29" i="3"/>
  <c r="AE20" i="3" a="1"/>
  <c r="AE20" i="3" s="1"/>
  <c r="F19" i="45"/>
  <c r="AA57" i="3"/>
  <c r="AF53" i="3"/>
  <c r="AY57" i="3"/>
  <c r="AA55" i="3"/>
  <c r="C32" i="45"/>
  <c r="AB33" i="3" a="1"/>
  <c r="AB33" i="3" s="1"/>
  <c r="E9" i="48"/>
  <c r="F8" i="48" a="1"/>
  <c r="F8" i="48" s="1"/>
  <c r="R15" i="45"/>
  <c r="AE64" i="3" a="1"/>
  <c r="AE64" i="3" s="1"/>
  <c r="BC30" i="3"/>
  <c r="R23" i="45"/>
  <c r="AE72" i="3" a="1"/>
  <c r="AE72" i="3" s="1"/>
  <c r="BC33" i="3"/>
  <c r="C40" i="45"/>
  <c r="AB41" i="3" a="1"/>
  <c r="AB41" i="3" s="1"/>
  <c r="O12" i="45"/>
  <c r="AB61" i="3" a="1"/>
  <c r="AB61" i="3" s="1"/>
  <c r="BC26" i="3"/>
  <c r="AA52" i="3"/>
  <c r="AY54" i="3"/>
  <c r="AA54" i="3"/>
  <c r="AF57" i="3"/>
  <c r="AF93" i="3"/>
  <c r="AY97" i="3"/>
  <c r="AA95" i="3"/>
  <c r="AA96" i="3"/>
  <c r="BC31" i="3"/>
  <c r="AE37" i="3" a="1"/>
  <c r="AE37" i="3" s="1"/>
  <c r="F36" i="45"/>
  <c r="AE62" i="3" a="1"/>
  <c r="AE62" i="3" s="1"/>
  <c r="R13" i="45"/>
  <c r="BC34" i="3"/>
  <c r="C38" i="45"/>
  <c r="AB39" i="3" a="1"/>
  <c r="AB39" i="3" s="1"/>
  <c r="BC21" i="3"/>
  <c r="C24" i="45"/>
  <c r="AB25" i="3" a="1"/>
  <c r="AB25" i="3" s="1"/>
  <c r="AY49" i="3"/>
  <c r="AA49" i="3"/>
  <c r="AA47" i="3"/>
  <c r="AF45" i="3"/>
  <c r="F27" i="45"/>
  <c r="AE28" i="3" a="1"/>
  <c r="AE28" i="3" s="1"/>
  <c r="AA4" i="3"/>
  <c r="AF8" i="3"/>
  <c r="AY6" i="3"/>
  <c r="AA7" i="3"/>
  <c r="AY38" i="3"/>
  <c r="AA36" i="3"/>
  <c r="AA38" i="3"/>
  <c r="AF41" i="3"/>
  <c r="O19" i="45"/>
  <c r="AB68" i="3" a="1"/>
  <c r="AB68" i="3" s="1"/>
  <c r="AA14" i="3" l="1"/>
  <c r="AB14" i="3" s="1" a="1"/>
  <c r="AB14" i="3" s="1"/>
  <c r="AY17" i="3"/>
  <c r="AF13" i="3"/>
  <c r="F12" i="45" s="1"/>
  <c r="AA48" i="3"/>
  <c r="C47" i="45" s="1"/>
  <c r="AE47" i="3" a="1"/>
  <c r="AE47" i="3" s="1"/>
  <c r="AY47" i="3"/>
  <c r="AF44" i="3"/>
  <c r="AE44" i="3" s="1" a="1"/>
  <c r="AE44" i="3" s="1"/>
  <c r="AF69" i="3"/>
  <c r="K23" i="46" s="1"/>
  <c r="AF84" i="3"/>
  <c r="AE84" i="3" s="1" a="1"/>
  <c r="AE84" i="3" s="1"/>
  <c r="DT15" i="3"/>
  <c r="AA71" i="3"/>
  <c r="O22" i="45" s="1"/>
  <c r="AA72" i="3"/>
  <c r="DT72" i="3" s="1"/>
  <c r="C14" i="45"/>
  <c r="AB94" i="3" a="1"/>
  <c r="AB94" i="3" s="1"/>
  <c r="AA20" i="3"/>
  <c r="C19" i="45" s="1"/>
  <c r="AA56" i="3"/>
  <c r="K66" i="46" s="1"/>
  <c r="AF52" i="3"/>
  <c r="K18" i="46" s="1"/>
  <c r="DT12" i="3"/>
  <c r="AY55" i="3"/>
  <c r="AF38" i="3"/>
  <c r="K38" i="46" s="1"/>
  <c r="C11" i="45"/>
  <c r="K56" i="46"/>
  <c r="AE16" i="3" a="1"/>
  <c r="AE16" i="3" s="1"/>
  <c r="AY46" i="3"/>
  <c r="AE92" i="3" a="1"/>
  <c r="AE92" i="3" s="1"/>
  <c r="AA89" i="3"/>
  <c r="K75" i="46" s="1"/>
  <c r="AA22" i="3"/>
  <c r="C21" i="45" s="1"/>
  <c r="AA86" i="3"/>
  <c r="O37" i="45" s="1"/>
  <c r="AF49" i="3"/>
  <c r="DT49" i="3" s="1"/>
  <c r="AE96" i="3" a="1"/>
  <c r="AE96" i="3" s="1"/>
  <c r="AY86" i="3"/>
  <c r="AA84" i="3"/>
  <c r="O35" i="45" s="1"/>
  <c r="AA28" i="3"/>
  <c r="K12" i="46" s="1"/>
  <c r="AA24" i="3"/>
  <c r="AB24" i="3" s="1" a="1"/>
  <c r="AB24" i="3" s="1"/>
  <c r="K28" i="46"/>
  <c r="AB92" i="3" a="1"/>
  <c r="AB92" i="3" s="1"/>
  <c r="DT92" i="3"/>
  <c r="AA32" i="3"/>
  <c r="C31" i="45" s="1"/>
  <c r="AF29" i="3"/>
  <c r="AF40" i="3"/>
  <c r="K62" i="46" s="1"/>
  <c r="AA37" i="3"/>
  <c r="DT37" i="3" s="1"/>
  <c r="AY62" i="3"/>
  <c r="AA60" i="3"/>
  <c r="DT60" i="3" s="1"/>
  <c r="AE6" i="3" a="1"/>
  <c r="AE6" i="3" s="1"/>
  <c r="AY22" i="3"/>
  <c r="AA46" i="3"/>
  <c r="K40" i="46" s="1"/>
  <c r="AE95" i="3" a="1"/>
  <c r="AE95" i="3" s="1"/>
  <c r="K30" i="46"/>
  <c r="AB6" i="3" a="1"/>
  <c r="AB6" i="3" s="1"/>
  <c r="AA62" i="3"/>
  <c r="DT62" i="3" s="1"/>
  <c r="AB8" i="3" a="1"/>
  <c r="AB8" i="3" s="1"/>
  <c r="AA23" i="3"/>
  <c r="C22" i="45" s="1"/>
  <c r="AF87" i="3"/>
  <c r="DT6" i="3"/>
  <c r="AF32" i="3"/>
  <c r="AE32" i="3" s="1" a="1"/>
  <c r="AE32" i="3" s="1"/>
  <c r="AY71" i="3"/>
  <c r="AA30" i="3"/>
  <c r="AB30" i="3" s="1" a="1"/>
  <c r="AB30" i="3" s="1"/>
  <c r="AY33" i="3"/>
  <c r="AB9" i="3" a="1"/>
  <c r="AB9" i="3" s="1"/>
  <c r="AF71" i="3"/>
  <c r="R22" i="45" s="1"/>
  <c r="AY25" i="3"/>
  <c r="AA73" i="3"/>
  <c r="O24" i="45" s="1"/>
  <c r="Q4" i="32"/>
  <c r="R4" i="32" s="1"/>
  <c r="Q6" i="32"/>
  <c r="S6" i="32" s="1"/>
  <c r="Q11" i="32"/>
  <c r="X11" i="32" s="1"/>
  <c r="Q18" i="32"/>
  <c r="S18" i="32" s="1"/>
  <c r="Q40" i="32"/>
  <c r="R40" i="32" s="1"/>
  <c r="Q35" i="32"/>
  <c r="L40" i="51" s="1"/>
  <c r="Q7" i="32"/>
  <c r="L12" i="51" s="1"/>
  <c r="Q32" i="32"/>
  <c r="BG33" i="45" s="1"/>
  <c r="Q10" i="32"/>
  <c r="BG11" i="45" s="1"/>
  <c r="Q30" i="32"/>
  <c r="L35" i="51" s="1"/>
  <c r="Q23" i="32"/>
  <c r="BG24" i="45" s="1"/>
  <c r="Q13" i="32"/>
  <c r="BG14" i="45" s="1"/>
  <c r="Q9" i="32"/>
  <c r="X9" i="32" s="1"/>
  <c r="Q34" i="32"/>
  <c r="T34" i="32" s="1"/>
  <c r="Q33" i="32"/>
  <c r="R33" i="32" s="1"/>
  <c r="Q41" i="32"/>
  <c r="L46" i="51" s="1"/>
  <c r="Q5" i="32"/>
  <c r="X5" i="32" s="1"/>
  <c r="Q46" i="32"/>
  <c r="BG47" i="45" s="1"/>
  <c r="Q12" i="32"/>
  <c r="X12" i="32" s="1"/>
  <c r="Q19" i="32"/>
  <c r="BG20" i="45" s="1"/>
  <c r="Q17" i="32"/>
  <c r="BG18" i="45" s="1"/>
  <c r="Q36" i="32"/>
  <c r="S36" i="32" s="1"/>
  <c r="Q50" i="32"/>
  <c r="T50" i="32" s="1"/>
  <c r="Q25" i="32"/>
  <c r="BG26" i="45" s="1"/>
  <c r="Q26" i="32"/>
  <c r="R26" i="32" s="1"/>
  <c r="Q42" i="32"/>
  <c r="R42" i="32" s="1"/>
  <c r="Q45" i="32"/>
  <c r="L50" i="51" s="1"/>
  <c r="Q38" i="32"/>
  <c r="X38" i="32" s="1"/>
  <c r="Q24" i="32"/>
  <c r="L29" i="51" s="1"/>
  <c r="Q22" i="32"/>
  <c r="L27" i="51" s="1"/>
  <c r="Q14" i="32"/>
  <c r="R14" i="32" s="1"/>
  <c r="Q27" i="32"/>
  <c r="S27" i="32" s="1"/>
  <c r="Q16" i="32"/>
  <c r="X16" i="32" s="1"/>
  <c r="Q15" i="32"/>
  <c r="S15" i="32" s="1"/>
  <c r="Q3" i="32"/>
  <c r="T3" i="32" s="1"/>
  <c r="Q44" i="32"/>
  <c r="S44" i="32" s="1"/>
  <c r="Q20" i="32"/>
  <c r="L25" i="51" s="1"/>
  <c r="Q47" i="32"/>
  <c r="R47" i="32" s="1"/>
  <c r="Q39" i="32"/>
  <c r="L44" i="51" s="1"/>
  <c r="Q28" i="32"/>
  <c r="T28" i="32" s="1"/>
  <c r="Q8" i="32"/>
  <c r="R8" i="32" s="1"/>
  <c r="Q49" i="32"/>
  <c r="L54" i="51" s="1"/>
  <c r="Q37" i="32"/>
  <c r="T37" i="32" s="1"/>
  <c r="Q21" i="32"/>
  <c r="R21" i="32" s="1"/>
  <c r="Q31" i="32"/>
  <c r="T31" i="32" s="1"/>
  <c r="Q43" i="32"/>
  <c r="X43" i="32" s="1"/>
  <c r="Q29" i="32"/>
  <c r="S29" i="32" s="1"/>
  <c r="Q48" i="32"/>
  <c r="R48" i="32" s="1"/>
  <c r="DT97" i="3"/>
  <c r="DT68" i="3"/>
  <c r="K22" i="46"/>
  <c r="DT39" i="3"/>
  <c r="DT25" i="3"/>
  <c r="DT70" i="3"/>
  <c r="K46" i="46"/>
  <c r="K8" i="46"/>
  <c r="K68" i="46"/>
  <c r="K39" i="46"/>
  <c r="DT61" i="3"/>
  <c r="K61" i="46"/>
  <c r="K33" i="46"/>
  <c r="F11" i="45"/>
  <c r="AE12" i="3" a="1"/>
  <c r="AE12" i="3" s="1"/>
  <c r="DT41" i="3"/>
  <c r="C16" i="45"/>
  <c r="AB17" i="3" a="1"/>
  <c r="AB17" i="3" s="1"/>
  <c r="F13" i="45"/>
  <c r="AE14" i="3" a="1"/>
  <c r="AE14" i="3" s="1"/>
  <c r="C15" i="45"/>
  <c r="DT16" i="3"/>
  <c r="AB16" i="3" a="1"/>
  <c r="AB16" i="3" s="1"/>
  <c r="O39" i="45"/>
  <c r="K74" i="46"/>
  <c r="DT88" i="3"/>
  <c r="AB88" i="3" a="1"/>
  <c r="AB88" i="3" s="1"/>
  <c r="F24" i="45"/>
  <c r="AE25" i="3" a="1"/>
  <c r="AE25" i="3" s="1"/>
  <c r="F14" i="45"/>
  <c r="AE15" i="3" a="1"/>
  <c r="AE15" i="3" s="1"/>
  <c r="O31" i="45"/>
  <c r="AB80" i="3" a="1"/>
  <c r="AB80" i="3" s="1"/>
  <c r="K72" i="46"/>
  <c r="DT80" i="3"/>
  <c r="O32" i="45"/>
  <c r="K73" i="46"/>
  <c r="DT81" i="3"/>
  <c r="AB81" i="3" a="1"/>
  <c r="AB81" i="3" s="1"/>
  <c r="AB87" i="3" a="1"/>
  <c r="AB87" i="3" s="1"/>
  <c r="O38" i="45"/>
  <c r="C20" i="45"/>
  <c r="AB21" i="3" a="1"/>
  <c r="AB21" i="3" s="1"/>
  <c r="O40" i="45"/>
  <c r="AE9" i="3" a="1"/>
  <c r="AE9" i="3" s="1"/>
  <c r="F8" i="45"/>
  <c r="K55" i="46"/>
  <c r="DT9" i="3"/>
  <c r="R19" i="45"/>
  <c r="AE68" i="3" a="1"/>
  <c r="AE68" i="3" s="1"/>
  <c r="F16" i="45"/>
  <c r="DT17" i="3"/>
  <c r="K57" i="46"/>
  <c r="AE17" i="3" a="1"/>
  <c r="AE17" i="3" s="1"/>
  <c r="R30" i="45"/>
  <c r="AE79" i="3" a="1"/>
  <c r="AE79" i="3" s="1"/>
  <c r="F38" i="45"/>
  <c r="AE39" i="3" a="1"/>
  <c r="AE39" i="3" s="1"/>
  <c r="DT79" i="3"/>
  <c r="O30" i="45"/>
  <c r="K49" i="46"/>
  <c r="AB79" i="3" a="1"/>
  <c r="AB79" i="3" s="1"/>
  <c r="AE85" i="3" a="1"/>
  <c r="AE85" i="3" s="1"/>
  <c r="R36" i="45"/>
  <c r="F22" i="45"/>
  <c r="AE23" i="3" a="1"/>
  <c r="AE23" i="3" s="1"/>
  <c r="DT5" i="3"/>
  <c r="C4" i="45"/>
  <c r="AB5" i="3" a="1"/>
  <c r="AB5" i="3" s="1"/>
  <c r="K7" i="46"/>
  <c r="C12" i="45"/>
  <c r="AB13" i="3" a="1"/>
  <c r="AB13" i="3" s="1"/>
  <c r="F6" i="45"/>
  <c r="AE7" i="3" a="1"/>
  <c r="AE7" i="3" s="1"/>
  <c r="R21" i="45"/>
  <c r="AE70" i="3" a="1"/>
  <c r="AE70" i="3" s="1"/>
  <c r="R11" i="45"/>
  <c r="AE60" i="3" a="1"/>
  <c r="AE60" i="3" s="1"/>
  <c r="AE46" i="3" a="1"/>
  <c r="AE46" i="3" s="1"/>
  <c r="F45" i="45"/>
  <c r="R31" i="45"/>
  <c r="AE80" i="3" a="1"/>
  <c r="AE80" i="3" s="1"/>
  <c r="R39" i="45"/>
  <c r="AE88" i="3" a="1"/>
  <c r="AE88" i="3" s="1"/>
  <c r="F29" i="45"/>
  <c r="AE30" i="3" a="1"/>
  <c r="AE30" i="3" s="1"/>
  <c r="DT78" i="3"/>
  <c r="O29" i="45"/>
  <c r="K48" i="46"/>
  <c r="AB78" i="3" a="1"/>
  <c r="AB78" i="3" s="1"/>
  <c r="R24" i="45"/>
  <c r="AE73" i="3" a="1"/>
  <c r="AE73" i="3" s="1"/>
  <c r="AB64" i="3" a="1"/>
  <c r="AB64" i="3" s="1"/>
  <c r="O15" i="45"/>
  <c r="C44" i="45"/>
  <c r="AB45" i="3" a="1"/>
  <c r="AB45" i="3" s="1"/>
  <c r="R40" i="45"/>
  <c r="AE89" i="3" a="1"/>
  <c r="AE89" i="3" s="1"/>
  <c r="DT77" i="3"/>
  <c r="K25" i="46"/>
  <c r="O28" i="45"/>
  <c r="AB77" i="3" a="1"/>
  <c r="AB77" i="3" s="1"/>
  <c r="R45" i="45"/>
  <c r="K52" i="46"/>
  <c r="AE94" i="3" a="1"/>
  <c r="AE94" i="3" s="1"/>
  <c r="DT94" i="3"/>
  <c r="F32" i="45"/>
  <c r="AE33" i="3" a="1"/>
  <c r="AE33" i="3" s="1"/>
  <c r="O20" i="45"/>
  <c r="AB69" i="3" a="1"/>
  <c r="AB69" i="3" s="1"/>
  <c r="R14" i="45"/>
  <c r="AE63" i="3" a="1"/>
  <c r="AE63" i="3" s="1"/>
  <c r="F47" i="45"/>
  <c r="AE48" i="3" a="1"/>
  <c r="AE48" i="3" s="1"/>
  <c r="O36" i="45"/>
  <c r="DT85" i="3"/>
  <c r="AB85" i="3" a="1"/>
  <c r="AB85" i="3" s="1"/>
  <c r="K27" i="46"/>
  <c r="F23" i="45"/>
  <c r="AE24" i="3" a="1"/>
  <c r="AE24" i="3" s="1"/>
  <c r="R48" i="45"/>
  <c r="AE97" i="3" a="1"/>
  <c r="AE97" i="3" s="1"/>
  <c r="R32" i="45"/>
  <c r="AE81" i="3" a="1"/>
  <c r="AE81" i="3" s="1"/>
  <c r="R37" i="45"/>
  <c r="AE86" i="3" a="1"/>
  <c r="AE86" i="3" s="1"/>
  <c r="C39" i="45"/>
  <c r="AB40" i="3" a="1"/>
  <c r="AB40" i="3" s="1"/>
  <c r="R29" i="45"/>
  <c r="AE78" i="3" a="1"/>
  <c r="AE78" i="3" s="1"/>
  <c r="O44" i="45"/>
  <c r="AB93" i="3" a="1"/>
  <c r="AB93" i="3" s="1"/>
  <c r="C28" i="45"/>
  <c r="AB29" i="3" a="1"/>
  <c r="AB29" i="3" s="1"/>
  <c r="DT76" i="3"/>
  <c r="K24" i="46"/>
  <c r="O27" i="45"/>
  <c r="AB76" i="3" a="1"/>
  <c r="AB76" i="3" s="1"/>
  <c r="R27" i="45"/>
  <c r="AE76" i="3" a="1"/>
  <c r="AE76" i="3" s="1"/>
  <c r="F35" i="45"/>
  <c r="AE36" i="3" a="1"/>
  <c r="AE36" i="3" s="1"/>
  <c r="R28" i="45"/>
  <c r="AE77" i="3" a="1"/>
  <c r="AE77" i="3" s="1"/>
  <c r="AE93" i="3" a="1"/>
  <c r="AE93" i="3" s="1"/>
  <c r="DT93" i="3"/>
  <c r="K29" i="46"/>
  <c r="R44" i="45"/>
  <c r="O3" i="45"/>
  <c r="AB52" i="3" a="1"/>
  <c r="AB52" i="3" s="1"/>
  <c r="C43" i="45"/>
  <c r="AB44" i="3" a="1"/>
  <c r="AB44" i="3" s="1"/>
  <c r="K31" i="46"/>
  <c r="C6" i="45"/>
  <c r="DT7" i="3"/>
  <c r="AB7" i="3" a="1"/>
  <c r="AB7" i="3" s="1"/>
  <c r="K63" i="46"/>
  <c r="O6" i="45"/>
  <c r="DT55" i="3"/>
  <c r="K43" i="46"/>
  <c r="AB55" i="3" a="1"/>
  <c r="AB55" i="3" s="1"/>
  <c r="R7" i="45"/>
  <c r="AE56" i="3" a="1"/>
  <c r="AE56" i="3" s="1"/>
  <c r="K41" i="46"/>
  <c r="DT47" i="3"/>
  <c r="C46" i="45"/>
  <c r="AB47" i="3" a="1"/>
  <c r="AB47" i="3" s="1"/>
  <c r="K37" i="46"/>
  <c r="DT31" i="3"/>
  <c r="C30" i="45"/>
  <c r="AB31" i="3" a="1"/>
  <c r="AB31" i="3" s="1"/>
  <c r="AE55" i="3" a="1"/>
  <c r="AE55" i="3" s="1"/>
  <c r="R6" i="45"/>
  <c r="DT53" i="3"/>
  <c r="O4" i="45"/>
  <c r="K19" i="46"/>
  <c r="AB53" i="3" a="1"/>
  <c r="AB53" i="3" s="1"/>
  <c r="F40" i="45"/>
  <c r="AE41" i="3" a="1"/>
  <c r="AE41" i="3" s="1"/>
  <c r="AE8" i="3" a="1"/>
  <c r="AE8" i="3" s="1"/>
  <c r="F7" i="45"/>
  <c r="K54" i="46"/>
  <c r="DT8" i="3"/>
  <c r="DT22" i="3"/>
  <c r="O47" i="45"/>
  <c r="DT96" i="3"/>
  <c r="K76" i="46"/>
  <c r="AB96" i="3" a="1"/>
  <c r="AB96" i="3" s="1"/>
  <c r="R8" i="45"/>
  <c r="AE57" i="3" a="1"/>
  <c r="AE57" i="3" s="1"/>
  <c r="R4" i="45"/>
  <c r="AE53" i="3" a="1"/>
  <c r="AE53" i="3" s="1"/>
  <c r="AE61" i="3" a="1"/>
  <c r="AE61" i="3" s="1"/>
  <c r="R12" i="45"/>
  <c r="R5" i="45"/>
  <c r="AE54" i="3" a="1"/>
  <c r="AE54" i="3" s="1"/>
  <c r="C48" i="45"/>
  <c r="AB49" i="3" a="1"/>
  <c r="AB49" i="3" s="1"/>
  <c r="C37" i="45"/>
  <c r="AB38" i="3" a="1"/>
  <c r="AB38" i="3" s="1"/>
  <c r="DT4" i="3"/>
  <c r="K6" i="46"/>
  <c r="C3" i="45"/>
  <c r="AB4" i="3" a="1"/>
  <c r="AB4" i="3" s="1"/>
  <c r="F20" i="45"/>
  <c r="AE21" i="3" a="1"/>
  <c r="AE21" i="3" s="1"/>
  <c r="K11" i="46"/>
  <c r="DT21" i="3"/>
  <c r="DT95" i="3"/>
  <c r="K53" i="46"/>
  <c r="O46" i="45"/>
  <c r="AB95" i="3" a="1"/>
  <c r="AB95" i="3" s="1"/>
  <c r="K42" i="46"/>
  <c r="DT54" i="3"/>
  <c r="O5" i="45"/>
  <c r="AB54" i="3" a="1"/>
  <c r="AB54" i="3" s="1"/>
  <c r="O8" i="45"/>
  <c r="DT57" i="3"/>
  <c r="K67" i="46"/>
  <c r="AB57" i="3" a="1"/>
  <c r="AB57" i="3" s="1"/>
  <c r="DT65" i="3"/>
  <c r="O16" i="45"/>
  <c r="K69" i="46"/>
  <c r="AB65" i="3" a="1"/>
  <c r="AB65" i="3" s="1"/>
  <c r="AE45" i="3" a="1"/>
  <c r="AE45" i="3" s="1"/>
  <c r="F44" i="45"/>
  <c r="DT45" i="3"/>
  <c r="K17" i="46"/>
  <c r="K45" i="46"/>
  <c r="DT63" i="3"/>
  <c r="O14" i="45"/>
  <c r="AB63" i="3" a="1"/>
  <c r="AB63" i="3" s="1"/>
  <c r="K14" i="46"/>
  <c r="DT36" i="3"/>
  <c r="C35" i="45"/>
  <c r="AB36" i="3" a="1"/>
  <c r="AB36" i="3" s="1"/>
  <c r="E10" i="48"/>
  <c r="F9" i="48" a="1"/>
  <c r="F9" i="48" s="1"/>
  <c r="R16" i="45"/>
  <c r="AE65" i="3" a="1"/>
  <c r="AE65" i="3" s="1"/>
  <c r="AB62" i="3" l="1" a="1"/>
  <c r="AB62" i="3" s="1"/>
  <c r="K44" i="46"/>
  <c r="K58" i="46"/>
  <c r="O13" i="45"/>
  <c r="T12" i="32"/>
  <c r="DT13" i="3"/>
  <c r="AB22" i="3" a="1"/>
  <c r="AB22" i="3" s="1"/>
  <c r="AB60" i="3" a="1"/>
  <c r="AB60" i="3" s="1"/>
  <c r="DT89" i="3"/>
  <c r="K9" i="46"/>
  <c r="L28" i="51"/>
  <c r="R10" i="32"/>
  <c r="K34" i="46"/>
  <c r="DT30" i="3"/>
  <c r="BG38" i="45"/>
  <c r="S12" i="32"/>
  <c r="R37" i="32"/>
  <c r="L8" i="51"/>
  <c r="C29" i="45"/>
  <c r="T11" i="32"/>
  <c r="X37" i="32"/>
  <c r="BG4" i="45"/>
  <c r="K36" i="46"/>
  <c r="S11" i="32"/>
  <c r="S3" i="32"/>
  <c r="S37" i="32"/>
  <c r="L42" i="51"/>
  <c r="T23" i="32"/>
  <c r="L17" i="51"/>
  <c r="L16" i="51"/>
  <c r="AB37" i="3" a="1"/>
  <c r="AB37" i="3" s="1"/>
  <c r="X3" i="32"/>
  <c r="X23" i="32"/>
  <c r="BG12" i="45"/>
  <c r="R3" i="32"/>
  <c r="X45" i="32"/>
  <c r="S23" i="32"/>
  <c r="R12" i="32"/>
  <c r="R11" i="32"/>
  <c r="T45" i="32"/>
  <c r="R23" i="32"/>
  <c r="BG13" i="45"/>
  <c r="T6" i="32"/>
  <c r="R44" i="32"/>
  <c r="R18" i="32"/>
  <c r="L23" i="51"/>
  <c r="L26" i="51"/>
  <c r="X18" i="32"/>
  <c r="T18" i="32"/>
  <c r="T21" i="32"/>
  <c r="BG19" i="45"/>
  <c r="R19" i="32"/>
  <c r="X19" i="32"/>
  <c r="S19" i="32"/>
  <c r="X30" i="32"/>
  <c r="T49" i="32"/>
  <c r="BG7" i="45"/>
  <c r="BG31" i="45"/>
  <c r="X49" i="32"/>
  <c r="S49" i="32"/>
  <c r="R6" i="32"/>
  <c r="R15" i="32"/>
  <c r="R49" i="32"/>
  <c r="X6" i="32"/>
  <c r="L20" i="51"/>
  <c r="S30" i="32"/>
  <c r="L11" i="51"/>
  <c r="X15" i="32"/>
  <c r="R30" i="32"/>
  <c r="T15" i="32"/>
  <c r="X46" i="32"/>
  <c r="BG50" i="45"/>
  <c r="DT40" i="3"/>
  <c r="T30" i="32"/>
  <c r="K64" i="46"/>
  <c r="BG6" i="45"/>
  <c r="AB48" i="3" a="1"/>
  <c r="AB48" i="3" s="1"/>
  <c r="L24" i="51"/>
  <c r="L43" i="51"/>
  <c r="AE13" i="3" a="1"/>
  <c r="AE13" i="3" s="1"/>
  <c r="AE49" i="3" a="1"/>
  <c r="AE49" i="3" s="1"/>
  <c r="DT48" i="3"/>
  <c r="X4" i="32"/>
  <c r="R35" i="45"/>
  <c r="S4" i="32"/>
  <c r="DT52" i="3"/>
  <c r="AB28" i="3" a="1"/>
  <c r="AB28" i="3" s="1"/>
  <c r="K32" i="46"/>
  <c r="DT14" i="3"/>
  <c r="L9" i="51"/>
  <c r="S13" i="32"/>
  <c r="R3" i="45"/>
  <c r="AE52" i="3" a="1"/>
  <c r="AE52" i="3" s="1"/>
  <c r="C13" i="45"/>
  <c r="BG9" i="45"/>
  <c r="BG5" i="45"/>
  <c r="T4" i="32"/>
  <c r="T19" i="32"/>
  <c r="X10" i="32"/>
  <c r="T36" i="32"/>
  <c r="AB23" i="3" a="1"/>
  <c r="AB23" i="3" s="1"/>
  <c r="F48" i="45"/>
  <c r="T10" i="32"/>
  <c r="AB89" i="3" a="1"/>
  <c r="AB89" i="3" s="1"/>
  <c r="R36" i="32"/>
  <c r="L41" i="51"/>
  <c r="DT44" i="3"/>
  <c r="BJ37" i="3"/>
  <c r="X7" i="32"/>
  <c r="K65" i="46"/>
  <c r="BJ47" i="3"/>
  <c r="K16" i="46"/>
  <c r="DT29" i="3"/>
  <c r="BK31" i="3"/>
  <c r="BJ36" i="3"/>
  <c r="F43" i="45"/>
  <c r="R31" i="32"/>
  <c r="K13" i="46"/>
  <c r="K26" i="46"/>
  <c r="AE69" i="3" a="1"/>
  <c r="AE69" i="3" s="1"/>
  <c r="R20" i="45"/>
  <c r="DT69" i="3"/>
  <c r="L18" i="51"/>
  <c r="L49" i="51"/>
  <c r="R38" i="32"/>
  <c r="O11" i="45"/>
  <c r="AE38" i="3" a="1"/>
  <c r="AE38" i="3" s="1"/>
  <c r="K20" i="46"/>
  <c r="F37" i="45"/>
  <c r="S21" i="32"/>
  <c r="K50" i="46"/>
  <c r="BG22" i="45"/>
  <c r="T44" i="32"/>
  <c r="DT38" i="3"/>
  <c r="BG39" i="45"/>
  <c r="T13" i="32"/>
  <c r="K35" i="46"/>
  <c r="X21" i="32"/>
  <c r="BG45" i="45"/>
  <c r="T38" i="32"/>
  <c r="X13" i="32"/>
  <c r="AB86" i="3" a="1"/>
  <c r="AB86" i="3" s="1"/>
  <c r="X44" i="32"/>
  <c r="S38" i="32"/>
  <c r="R13" i="32"/>
  <c r="DT86" i="3"/>
  <c r="S43" i="32"/>
  <c r="K70" i="46"/>
  <c r="O23" i="45"/>
  <c r="AB72" i="3" a="1"/>
  <c r="AB72" i="3" s="1"/>
  <c r="F31" i="45"/>
  <c r="R24" i="32"/>
  <c r="M2" i="32" s="1"/>
  <c r="R43" i="32"/>
  <c r="S20" i="32"/>
  <c r="DT84" i="3"/>
  <c r="L48" i="51"/>
  <c r="BG45" i="3"/>
  <c r="AE29" i="3" a="1"/>
  <c r="AE29" i="3" s="1"/>
  <c r="T43" i="32"/>
  <c r="BH19" i="3"/>
  <c r="BK9" i="3"/>
  <c r="F28" i="45"/>
  <c r="AB56" i="3" a="1"/>
  <c r="AB56" i="3" s="1"/>
  <c r="BG25" i="3"/>
  <c r="O7" i="45"/>
  <c r="BG44" i="45"/>
  <c r="T22" i="32"/>
  <c r="X36" i="32"/>
  <c r="DT56" i="3"/>
  <c r="BG33" i="3"/>
  <c r="BJ34" i="3"/>
  <c r="BK29" i="3"/>
  <c r="BG50" i="3"/>
  <c r="BJ38" i="3"/>
  <c r="BJ8" i="3"/>
  <c r="BH18" i="3"/>
  <c r="BI38" i="3"/>
  <c r="AB32" i="3" a="1"/>
  <c r="AB32" i="3" s="1"/>
  <c r="BI17" i="3"/>
  <c r="BI29" i="3"/>
  <c r="BJ17" i="3"/>
  <c r="BH50" i="3"/>
  <c r="BG36" i="3"/>
  <c r="BH14" i="3"/>
  <c r="BJ41" i="3"/>
  <c r="BJ29" i="3"/>
  <c r="BG37" i="3"/>
  <c r="BH17" i="3"/>
  <c r="R39" i="32"/>
  <c r="BH36" i="3"/>
  <c r="BH25" i="3"/>
  <c r="BH51" i="3"/>
  <c r="BJ45" i="3"/>
  <c r="BH32" i="3"/>
  <c r="BK6" i="3"/>
  <c r="BK34" i="3"/>
  <c r="R7" i="32"/>
  <c r="BK37" i="3"/>
  <c r="BG40" i="45"/>
  <c r="BH27" i="3"/>
  <c r="BG49" i="3"/>
  <c r="BK33" i="3"/>
  <c r="BG27" i="3"/>
  <c r="BG39" i="3"/>
  <c r="BJ48" i="3"/>
  <c r="BH43" i="3"/>
  <c r="BJ30" i="3"/>
  <c r="BG22" i="3"/>
  <c r="BG30" i="45"/>
  <c r="BG53" i="3"/>
  <c r="R29" i="32"/>
  <c r="BG21" i="3"/>
  <c r="BK30" i="3"/>
  <c r="BJ19" i="3"/>
  <c r="BG19" i="3"/>
  <c r="BH10" i="3"/>
  <c r="AB46" i="3" a="1"/>
  <c r="AB46" i="3" s="1"/>
  <c r="AB84" i="3" a="1"/>
  <c r="AB84" i="3" s="1"/>
  <c r="AB20" i="3" a="1"/>
  <c r="AB20" i="3" s="1"/>
  <c r="DT20" i="3"/>
  <c r="K10" i="46"/>
  <c r="BG8" i="3"/>
  <c r="BH49" i="3"/>
  <c r="BJ43" i="3"/>
  <c r="BI37" i="3"/>
  <c r="BI35" i="3"/>
  <c r="BG41" i="3"/>
  <c r="BJ10" i="3"/>
  <c r="BH12" i="3"/>
  <c r="BJ18" i="3"/>
  <c r="BI44" i="3"/>
  <c r="BK7" i="3"/>
  <c r="BH38" i="3"/>
  <c r="BJ15" i="3"/>
  <c r="BJ7" i="3"/>
  <c r="BG9" i="3"/>
  <c r="BH16" i="3"/>
  <c r="BK51" i="3"/>
  <c r="BJ11" i="3"/>
  <c r="BG24" i="3"/>
  <c r="BJ49" i="3"/>
  <c r="BH45" i="3"/>
  <c r="BK52" i="3"/>
  <c r="BI34" i="3"/>
  <c r="BG38" i="3"/>
  <c r="BG15" i="3"/>
  <c r="BG48" i="3"/>
  <c r="BG51" i="3"/>
  <c r="BJ13" i="3"/>
  <c r="BH41" i="3"/>
  <c r="BI51" i="3"/>
  <c r="BK25" i="3"/>
  <c r="BJ28" i="3"/>
  <c r="BJ44" i="3"/>
  <c r="BJ16" i="3"/>
  <c r="BH24" i="3"/>
  <c r="BG18" i="3"/>
  <c r="BI14" i="3"/>
  <c r="BI9" i="3"/>
  <c r="K47" i="46"/>
  <c r="AB71" i="3" a="1"/>
  <c r="AB71" i="3" s="1"/>
  <c r="BK27" i="3"/>
  <c r="BI46" i="3"/>
  <c r="BK46" i="3"/>
  <c r="BK10" i="3"/>
  <c r="BK20" i="3"/>
  <c r="S42" i="32"/>
  <c r="DT46" i="3"/>
  <c r="C45" i="45"/>
  <c r="BG32" i="45"/>
  <c r="X20" i="32"/>
  <c r="S24" i="32"/>
  <c r="L36" i="51"/>
  <c r="R20" i="32"/>
  <c r="X31" i="32"/>
  <c r="T20" i="32"/>
  <c r="S31" i="32"/>
  <c r="BG21" i="45"/>
  <c r="AE40" i="3" a="1"/>
  <c r="AE40" i="3" s="1"/>
  <c r="F39" i="45"/>
  <c r="BI28" i="3"/>
  <c r="BI49" i="3"/>
  <c r="C27" i="45"/>
  <c r="BJ40" i="3"/>
  <c r="BG20" i="3"/>
  <c r="BJ14" i="3"/>
  <c r="BJ9" i="3"/>
  <c r="BG34" i="3"/>
  <c r="BG23" i="45"/>
  <c r="BI7" i="3"/>
  <c r="BK39" i="3"/>
  <c r="BI12" i="3"/>
  <c r="BK50" i="3"/>
  <c r="BK41" i="3"/>
  <c r="BK40" i="3"/>
  <c r="BI23" i="3"/>
  <c r="BK24" i="3"/>
  <c r="BI48" i="3"/>
  <c r="BK21" i="3"/>
  <c r="BJ53" i="3"/>
  <c r="BJ32" i="3"/>
  <c r="BJ6" i="3"/>
  <c r="BH30" i="3"/>
  <c r="BG29" i="3"/>
  <c r="BJ22" i="3"/>
  <c r="BH37" i="3"/>
  <c r="BJ27" i="3"/>
  <c r="BH15" i="3"/>
  <c r="BG10" i="3"/>
  <c r="BH47" i="3"/>
  <c r="BH39" i="3"/>
  <c r="BJ46" i="3"/>
  <c r="BG16" i="3"/>
  <c r="BH40" i="3"/>
  <c r="BH52" i="3"/>
  <c r="BG28" i="3"/>
  <c r="BG52" i="3"/>
  <c r="BJ24" i="3"/>
  <c r="BH21" i="3"/>
  <c r="BK28" i="3"/>
  <c r="BI13" i="3"/>
  <c r="BI20" i="3"/>
  <c r="BI15" i="3"/>
  <c r="BK48" i="3"/>
  <c r="BK11" i="3"/>
  <c r="BI24" i="3"/>
  <c r="BK45" i="3"/>
  <c r="BG30" i="3"/>
  <c r="BK26" i="3"/>
  <c r="BI32" i="3"/>
  <c r="L39" i="51"/>
  <c r="BJ31" i="3"/>
  <c r="BI26" i="3"/>
  <c r="BK53" i="3"/>
  <c r="BI6" i="3"/>
  <c r="BI30" i="3"/>
  <c r="BH22" i="3"/>
  <c r="BJ50" i="3"/>
  <c r="BJ25" i="3"/>
  <c r="BH7" i="3"/>
  <c r="BH28" i="3"/>
  <c r="BH46" i="3"/>
  <c r="BH9" i="3"/>
  <c r="BJ39" i="3"/>
  <c r="BH8" i="3"/>
  <c r="BG42" i="3"/>
  <c r="BG7" i="3"/>
  <c r="BH23" i="3"/>
  <c r="BG43" i="3"/>
  <c r="BJ23" i="3"/>
  <c r="BK22" i="3"/>
  <c r="BH53" i="3"/>
  <c r="BG32" i="3"/>
  <c r="BI8" i="3"/>
  <c r="BK23" i="3"/>
  <c r="BI47" i="3"/>
  <c r="BI40" i="3"/>
  <c r="BK38" i="3"/>
  <c r="BI39" i="3"/>
  <c r="BK35" i="3"/>
  <c r="BI43" i="3"/>
  <c r="BK14" i="3"/>
  <c r="BH31" i="3"/>
  <c r="BG31" i="3"/>
  <c r="BI53" i="3"/>
  <c r="BG6" i="3"/>
  <c r="BH33" i="3"/>
  <c r="T47" i="32"/>
  <c r="BH42" i="3"/>
  <c r="BH20" i="3"/>
  <c r="BJ35" i="3"/>
  <c r="BJ20" i="3"/>
  <c r="BH48" i="3"/>
  <c r="BG23" i="3"/>
  <c r="BH26" i="3"/>
  <c r="BH34" i="3"/>
  <c r="BI42" i="3"/>
  <c r="BI11" i="3"/>
  <c r="BK42" i="3"/>
  <c r="BK49" i="3"/>
  <c r="BI41" i="3"/>
  <c r="BK44" i="3"/>
  <c r="BI52" i="3"/>
  <c r="BI16" i="3"/>
  <c r="BK47" i="3"/>
  <c r="BK12" i="3"/>
  <c r="BH35" i="3"/>
  <c r="BG47" i="3"/>
  <c r="BG40" i="3"/>
  <c r="BJ42" i="3"/>
  <c r="BG46" i="3"/>
  <c r="BJ51" i="3"/>
  <c r="BJ12" i="3"/>
  <c r="BG11" i="3"/>
  <c r="BG44" i="3"/>
  <c r="BI50" i="3"/>
  <c r="BK16" i="3"/>
  <c r="BK36" i="3"/>
  <c r="BI27" i="3"/>
  <c r="BK19" i="3"/>
  <c r="BK8" i="3"/>
  <c r="BI25" i="3"/>
  <c r="BI45" i="3"/>
  <c r="BI18" i="3"/>
  <c r="BG12" i="3"/>
  <c r="BJ52" i="3"/>
  <c r="BG13" i="3"/>
  <c r="BH11" i="3"/>
  <c r="BH44" i="3"/>
  <c r="BG14" i="3"/>
  <c r="BH13" i="3"/>
  <c r="BG35" i="3"/>
  <c r="BK17" i="3"/>
  <c r="BK13" i="3"/>
  <c r="BK15" i="3"/>
  <c r="BK18" i="3"/>
  <c r="BI10" i="3"/>
  <c r="BI19" i="3"/>
  <c r="BK43" i="3"/>
  <c r="BI36" i="3"/>
  <c r="AE71" i="3" a="1"/>
  <c r="AE71" i="3" s="1"/>
  <c r="R38" i="45"/>
  <c r="BG17" i="3"/>
  <c r="BI33" i="3"/>
  <c r="BJ26" i="3"/>
  <c r="BL26" i="3" s="1"/>
  <c r="C23" i="45"/>
  <c r="DT24" i="3"/>
  <c r="BH29" i="3"/>
  <c r="BG26" i="3"/>
  <c r="BJ21" i="3"/>
  <c r="C36" i="45"/>
  <c r="R9" i="32"/>
  <c r="L47" i="51"/>
  <c r="DT28" i="3"/>
  <c r="K15" i="46"/>
  <c r="DT87" i="3"/>
  <c r="K51" i="46"/>
  <c r="DT71" i="3"/>
  <c r="AE87" i="3" a="1"/>
  <c r="AE87" i="3" s="1"/>
  <c r="DT23" i="3"/>
  <c r="AB73" i="3" a="1"/>
  <c r="AB73" i="3" s="1"/>
  <c r="DT73" i="3"/>
  <c r="K71" i="46"/>
  <c r="BH6" i="3"/>
  <c r="BI31" i="3"/>
  <c r="BK32" i="3"/>
  <c r="DT32" i="3"/>
  <c r="BJ33" i="3"/>
  <c r="X47" i="32"/>
  <c r="K60" i="46"/>
  <c r="BI21" i="3"/>
  <c r="BI22" i="3"/>
  <c r="T9" i="32"/>
  <c r="BG41" i="45"/>
  <c r="X17" i="32"/>
  <c r="R46" i="32"/>
  <c r="L22" i="51"/>
  <c r="S47" i="32"/>
  <c r="X35" i="32"/>
  <c r="L52" i="51"/>
  <c r="R41" i="32"/>
  <c r="X41" i="32"/>
  <c r="BG36" i="45"/>
  <c r="S41" i="32"/>
  <c r="S48" i="32"/>
  <c r="T48" i="32"/>
  <c r="X48" i="32"/>
  <c r="BG42" i="45"/>
  <c r="L34" i="51"/>
  <c r="L13" i="51"/>
  <c r="S7" i="32"/>
  <c r="L21" i="51"/>
  <c r="T41" i="32"/>
  <c r="T29" i="32"/>
  <c r="X8" i="32"/>
  <c r="S16" i="32"/>
  <c r="BG51" i="45"/>
  <c r="BG15" i="45"/>
  <c r="L19" i="51"/>
  <c r="L32" i="51"/>
  <c r="S10" i="32"/>
  <c r="X27" i="32"/>
  <c r="L15" i="51"/>
  <c r="L53" i="51"/>
  <c r="X39" i="32"/>
  <c r="R27" i="32"/>
  <c r="BG37" i="45"/>
  <c r="BG49" i="45"/>
  <c r="X29" i="32"/>
  <c r="T39" i="32"/>
  <c r="R16" i="32"/>
  <c r="BG28" i="45"/>
  <c r="X50" i="32"/>
  <c r="S22" i="32"/>
  <c r="S35" i="32"/>
  <c r="S34" i="32"/>
  <c r="T8" i="32"/>
  <c r="BG8" i="45"/>
  <c r="S8" i="32"/>
  <c r="T7" i="32"/>
  <c r="S39" i="32"/>
  <c r="T16" i="32"/>
  <c r="T27" i="32"/>
  <c r="R50" i="32"/>
  <c r="X22" i="32"/>
  <c r="R35" i="32"/>
  <c r="R34" i="32"/>
  <c r="BG17" i="45"/>
  <c r="S14" i="32"/>
  <c r="R22" i="32"/>
  <c r="T35" i="32"/>
  <c r="X34" i="32"/>
  <c r="T14" i="32"/>
  <c r="BG35" i="45"/>
  <c r="BG48" i="45"/>
  <c r="S50" i="32"/>
  <c r="X14" i="32"/>
  <c r="L55" i="51"/>
  <c r="R5" i="32"/>
  <c r="T32" i="32"/>
  <c r="X32" i="32"/>
  <c r="R32" i="32"/>
  <c r="S26" i="32"/>
  <c r="L38" i="51"/>
  <c r="BG27" i="45"/>
  <c r="X33" i="32"/>
  <c r="BG34" i="45"/>
  <c r="T33" i="32"/>
  <c r="L30" i="51"/>
  <c r="X25" i="32"/>
  <c r="T24" i="32"/>
  <c r="T17" i="32"/>
  <c r="S40" i="32"/>
  <c r="L14" i="51"/>
  <c r="S17" i="32"/>
  <c r="T40" i="32"/>
  <c r="X24" i="32"/>
  <c r="BG10" i="45"/>
  <c r="R17" i="32"/>
  <c r="BG25" i="45"/>
  <c r="S9" i="32"/>
  <c r="X40" i="32"/>
  <c r="L45" i="51"/>
  <c r="S5" i="32"/>
  <c r="T26" i="32"/>
  <c r="L10" i="51"/>
  <c r="L31" i="51"/>
  <c r="L37" i="51"/>
  <c r="S25" i="32"/>
  <c r="S32" i="32"/>
  <c r="S28" i="32"/>
  <c r="X26" i="32"/>
  <c r="L33" i="51"/>
  <c r="BG29" i="45"/>
  <c r="T5" i="32"/>
  <c r="X28" i="32"/>
  <c r="T25" i="32"/>
  <c r="R25" i="32"/>
  <c r="S45" i="32"/>
  <c r="T42" i="32"/>
  <c r="BG46" i="45"/>
  <c r="BG43" i="45"/>
  <c r="BG16" i="45"/>
  <c r="R45" i="32"/>
  <c r="X42" i="32"/>
  <c r="T46" i="32"/>
  <c r="S46" i="32"/>
  <c r="L51" i="51"/>
  <c r="S33" i="32"/>
  <c r="R28" i="32"/>
  <c r="F10" i="48" a="1"/>
  <c r="F10" i="48" s="1"/>
  <c r="E11" i="48"/>
  <c r="BL31" i="3" l="1"/>
  <c r="BL37" i="3"/>
  <c r="BL36" i="3"/>
  <c r="BE19" i="3"/>
  <c r="BL47" i="3"/>
  <c r="BL34" i="3"/>
  <c r="BE25" i="3"/>
  <c r="BE27" i="3"/>
  <c r="BL16" i="3"/>
  <c r="BL29" i="3"/>
  <c r="BE24" i="3"/>
  <c r="BL43" i="3"/>
  <c r="BF24" i="3"/>
  <c r="BO24" i="3" s="1"/>
  <c r="BL11" i="3"/>
  <c r="BE36" i="3"/>
  <c r="BF36" i="3"/>
  <c r="BO36" i="3" s="1"/>
  <c r="BL32" i="3"/>
  <c r="BL18" i="3"/>
  <c r="BL51" i="3"/>
  <c r="AH37" i="32"/>
  <c r="AF33" i="32"/>
  <c r="AG33" i="32" s="1"/>
  <c r="AH48" i="32"/>
  <c r="AH44" i="32"/>
  <c r="W50" i="32" s="1"/>
  <c r="AH53" i="32"/>
  <c r="BF19" i="3"/>
  <c r="BO19" i="3" s="1"/>
  <c r="BF25" i="3"/>
  <c r="BO25" i="3" s="1"/>
  <c r="BE8" i="3"/>
  <c r="BE18" i="3"/>
  <c r="BF38" i="3"/>
  <c r="BO38" i="3" s="1"/>
  <c r="BL9" i="3"/>
  <c r="N2" i="32"/>
  <c r="BE33" i="3"/>
  <c r="BL45" i="3"/>
  <c r="BE37" i="3"/>
  <c r="BF27" i="3"/>
  <c r="BO27" i="3" s="1"/>
  <c r="BL6" i="3"/>
  <c r="BL17" i="3"/>
  <c r="BF50" i="3"/>
  <c r="BO50" i="3" s="1"/>
  <c r="BL30" i="3"/>
  <c r="BE50" i="3"/>
  <c r="BE45" i="3"/>
  <c r="BE17" i="3"/>
  <c r="BL25" i="3"/>
  <c r="BL8" i="3"/>
  <c r="BL19" i="3"/>
  <c r="BF16" i="3"/>
  <c r="BO16" i="3" s="1"/>
  <c r="BL38" i="3"/>
  <c r="BE43" i="3"/>
  <c r="BL48" i="3"/>
  <c r="BL28" i="3"/>
  <c r="BE16" i="3"/>
  <c r="BE21" i="3"/>
  <c r="BL10" i="3"/>
  <c r="BE39" i="3"/>
  <c r="BE41" i="3"/>
  <c r="BF51" i="3"/>
  <c r="BO51" i="3" s="1"/>
  <c r="BE49" i="3"/>
  <c r="BL41" i="3"/>
  <c r="BE51" i="3"/>
  <c r="BE38" i="3"/>
  <c r="BL49" i="3"/>
  <c r="BE32" i="3"/>
  <c r="BE53" i="3"/>
  <c r="BL33" i="3"/>
  <c r="BL13" i="3"/>
  <c r="AH66" i="32"/>
  <c r="W80" i="32"/>
  <c r="AH16" i="32"/>
  <c r="BF18" i="3"/>
  <c r="BO18" i="3" s="1"/>
  <c r="W53" i="32"/>
  <c r="AF30" i="32"/>
  <c r="AG30" i="32" s="1"/>
  <c r="AH83" i="32"/>
  <c r="AF49" i="32"/>
  <c r="AG49" i="32" s="1"/>
  <c r="BF21" i="3"/>
  <c r="BO21" i="3" s="1"/>
  <c r="AH54" i="32"/>
  <c r="BF45" i="3"/>
  <c r="BO45" i="3" s="1"/>
  <c r="BL44" i="3"/>
  <c r="BE15" i="3"/>
  <c r="BF34" i="3"/>
  <c r="BO34" i="3" s="1"/>
  <c r="BE10" i="3"/>
  <c r="BE22" i="3"/>
  <c r="BF49" i="3"/>
  <c r="BO49" i="3" s="1"/>
  <c r="AF51" i="32"/>
  <c r="AG51" i="32" s="1"/>
  <c r="V51" i="32" s="1"/>
  <c r="BL46" i="3"/>
  <c r="BL7" i="3"/>
  <c r="BF14" i="3"/>
  <c r="BO14" i="3" s="1"/>
  <c r="BL27" i="3"/>
  <c r="BL15" i="3"/>
  <c r="BF9" i="3"/>
  <c r="BO9" i="3" s="1"/>
  <c r="BL52" i="3"/>
  <c r="BF41" i="3"/>
  <c r="BO41" i="3" s="1"/>
  <c r="BL22" i="3"/>
  <c r="BF53" i="3"/>
  <c r="BO53" i="3" s="1"/>
  <c r="BL20" i="3"/>
  <c r="BF37" i="3"/>
  <c r="BO37" i="3" s="1"/>
  <c r="BF22" i="3"/>
  <c r="BO22" i="3" s="1"/>
  <c r="BF48" i="3"/>
  <c r="BO48" i="3" s="1"/>
  <c r="BL24" i="3"/>
  <c r="BF46" i="3"/>
  <c r="BO46" i="3" s="1"/>
  <c r="W57" i="32"/>
  <c r="AH47" i="32"/>
  <c r="AH38" i="32"/>
  <c r="AH84" i="32"/>
  <c r="AH77" i="32"/>
  <c r="AF69" i="32"/>
  <c r="AG69" i="32" s="1"/>
  <c r="V69" i="32" s="1"/>
  <c r="AF46" i="32"/>
  <c r="AH23" i="32"/>
  <c r="AF20" i="32"/>
  <c r="AG20" i="32" s="1"/>
  <c r="AH13" i="32"/>
  <c r="W70" i="32"/>
  <c r="AH74" i="32"/>
  <c r="AH63" i="32"/>
  <c r="AH17" i="32"/>
  <c r="W69" i="32"/>
  <c r="W61" i="32"/>
  <c r="AH36" i="32"/>
  <c r="AH18" i="32"/>
  <c r="W14" i="32" s="1"/>
  <c r="AH6" i="32"/>
  <c r="AH49" i="32"/>
  <c r="AH67" i="32"/>
  <c r="AF23" i="32"/>
  <c r="AG23" i="32" s="1"/>
  <c r="AH30" i="32"/>
  <c r="AH4" i="32"/>
  <c r="AF65" i="32"/>
  <c r="U65" i="32" s="1"/>
  <c r="AF3" i="32"/>
  <c r="AG3" i="32" s="1"/>
  <c r="W71" i="32"/>
  <c r="W59" i="32"/>
  <c r="AH56" i="32"/>
  <c r="AH71" i="32"/>
  <c r="AH62" i="32"/>
  <c r="AF62" i="32"/>
  <c r="AG62" i="32" s="1"/>
  <c r="V62" i="32" s="1"/>
  <c r="AF17" i="32"/>
  <c r="AG17" i="32" s="1"/>
  <c r="AF18" i="32"/>
  <c r="AG18" i="32" s="1"/>
  <c r="AF42" i="32"/>
  <c r="AG42" i="32" s="1"/>
  <c r="AH69" i="32"/>
  <c r="AF85" i="32"/>
  <c r="AG85" i="32" s="1"/>
  <c r="V85" i="32" s="1"/>
  <c r="AF56" i="32"/>
  <c r="AG56" i="32" s="1"/>
  <c r="V56" i="32" s="1"/>
  <c r="AH31" i="32"/>
  <c r="BE48" i="3"/>
  <c r="BE6" i="3"/>
  <c r="W73" i="32"/>
  <c r="AH25" i="32"/>
  <c r="AF59" i="32"/>
  <c r="AG59" i="32" s="1"/>
  <c r="V59" i="32" s="1"/>
  <c r="AH85" i="32"/>
  <c r="AF83" i="32"/>
  <c r="AG83" i="32" s="1"/>
  <c r="V83" i="32" s="1"/>
  <c r="AH15" i="32"/>
  <c r="AH72" i="32"/>
  <c r="W82" i="32"/>
  <c r="W60" i="32"/>
  <c r="W76" i="32"/>
  <c r="AH59" i="32"/>
  <c r="AH60" i="32"/>
  <c r="AH29" i="32"/>
  <c r="AF76" i="32"/>
  <c r="U76" i="32" s="1"/>
  <c r="AF27" i="32"/>
  <c r="AG27" i="32" s="1"/>
  <c r="AH51" i="32"/>
  <c r="AF39" i="32"/>
  <c r="AG39" i="32" s="1"/>
  <c r="AH42" i="32"/>
  <c r="AF26" i="32"/>
  <c r="AF52" i="32"/>
  <c r="AG52" i="32" s="1"/>
  <c r="V52" i="32" s="1"/>
  <c r="W85" i="32"/>
  <c r="W79" i="32"/>
  <c r="W62" i="32"/>
  <c r="AF71" i="32"/>
  <c r="AG71" i="32" s="1"/>
  <c r="V71" i="32" s="1"/>
  <c r="AH50" i="32"/>
  <c r="AH41" i="32"/>
  <c r="AH32" i="32"/>
  <c r="AF37" i="32"/>
  <c r="AH11" i="32"/>
  <c r="AH34" i="32"/>
  <c r="W32" i="32" s="1"/>
  <c r="AF66" i="32"/>
  <c r="AG66" i="32" s="1"/>
  <c r="V66" i="32" s="1"/>
  <c r="AH10" i="32"/>
  <c r="AF5" i="32"/>
  <c r="U3" i="32" s="1"/>
  <c r="W86" i="32"/>
  <c r="W67" i="32"/>
  <c r="AF60" i="32"/>
  <c r="AG60" i="32" s="1"/>
  <c r="V60" i="32" s="1"/>
  <c r="AF47" i="32"/>
  <c r="AG47" i="32" s="1"/>
  <c r="AH78" i="32"/>
  <c r="W78" i="32"/>
  <c r="W74" i="32"/>
  <c r="AF68" i="32"/>
  <c r="U68" i="32" s="1"/>
  <c r="AH76" i="32"/>
  <c r="AF48" i="32"/>
  <c r="AG48" i="32" s="1"/>
  <c r="AF50" i="32"/>
  <c r="AH12" i="32"/>
  <c r="AF79" i="32"/>
  <c r="AG79" i="32" s="1"/>
  <c r="V79" i="32" s="1"/>
  <c r="AH7" i="32"/>
  <c r="AH46" i="32"/>
  <c r="AH33" i="32"/>
  <c r="AF11" i="32"/>
  <c r="AF24" i="32"/>
  <c r="AG24" i="32" s="1"/>
  <c r="BE46" i="3"/>
  <c r="BF39" i="3"/>
  <c r="BO39" i="3" s="1"/>
  <c r="BE30" i="3"/>
  <c r="W63" i="32"/>
  <c r="AH20" i="32"/>
  <c r="AF43" i="32"/>
  <c r="U49" i="32" s="1"/>
  <c r="AH64" i="32"/>
  <c r="BE29" i="3"/>
  <c r="BF47" i="3"/>
  <c r="BO47" i="3" s="1"/>
  <c r="W77" i="32"/>
  <c r="W81" i="32"/>
  <c r="AH40" i="32"/>
  <c r="AH75" i="32"/>
  <c r="AF58" i="32"/>
  <c r="AG58" i="32" s="1"/>
  <c r="V58" i="32" s="1"/>
  <c r="AF21" i="32"/>
  <c r="AF70" i="32"/>
  <c r="U70" i="32" s="1"/>
  <c r="AH19" i="32"/>
  <c r="AF64" i="32"/>
  <c r="AG64" i="32" s="1"/>
  <c r="V64" i="32" s="1"/>
  <c r="AH28" i="32"/>
  <c r="AH8" i="32"/>
  <c r="W65" i="32"/>
  <c r="W64" i="32"/>
  <c r="W51" i="32"/>
  <c r="AH27" i="32"/>
  <c r="AH45" i="32"/>
  <c r="AH70" i="32"/>
  <c r="AF36" i="32"/>
  <c r="AH68" i="32"/>
  <c r="AH22" i="32"/>
  <c r="AF15" i="32"/>
  <c r="AG15" i="32" s="1"/>
  <c r="AF53" i="32"/>
  <c r="U53" i="32" s="1"/>
  <c r="AF78" i="32"/>
  <c r="AG78" i="32" s="1"/>
  <c r="V78" i="32" s="1"/>
  <c r="AH80" i="32"/>
  <c r="AF9" i="32"/>
  <c r="AG9" i="32" s="1"/>
  <c r="AF72" i="32"/>
  <c r="AG72" i="32" s="1"/>
  <c r="V72" i="32" s="1"/>
  <c r="AH9" i="32"/>
  <c r="W7" i="32" s="1"/>
  <c r="AH26" i="32"/>
  <c r="AH3" i="32"/>
  <c r="AF77" i="32"/>
  <c r="AG77" i="32" s="1"/>
  <c r="V77" i="32" s="1"/>
  <c r="AF54" i="32"/>
  <c r="AG54" i="32" s="1"/>
  <c r="V54" i="32" s="1"/>
  <c r="AH81" i="32"/>
  <c r="BE9" i="3"/>
  <c r="W83" i="32"/>
  <c r="W75" i="32"/>
  <c r="W68" i="32"/>
  <c r="W56" i="32"/>
  <c r="AF40" i="32"/>
  <c r="AF14" i="32"/>
  <c r="AG14" i="32" s="1"/>
  <c r="AH14" i="32"/>
  <c r="AF38" i="32"/>
  <c r="AG38" i="32" s="1"/>
  <c r="AH65" i="32"/>
  <c r="AH24" i="32"/>
  <c r="AF16" i="32"/>
  <c r="AG16" i="32" s="1"/>
  <c r="AF28" i="32"/>
  <c r="AG28" i="32" s="1"/>
  <c r="AF84" i="32"/>
  <c r="AG84" i="32" s="1"/>
  <c r="V84" i="32" s="1"/>
  <c r="AF32" i="32"/>
  <c r="AG32" i="32" s="1"/>
  <c r="AH35" i="32"/>
  <c r="AH39" i="32"/>
  <c r="AF86" i="32"/>
  <c r="AG86" i="32" s="1"/>
  <c r="V86" i="32" s="1"/>
  <c r="AF55" i="32"/>
  <c r="AG55" i="32" s="1"/>
  <c r="V55" i="32" s="1"/>
  <c r="AF45" i="32"/>
  <c r="AG45" i="32" s="1"/>
  <c r="AF8" i="32"/>
  <c r="AG8" i="32" s="1"/>
  <c r="AF7" i="32"/>
  <c r="AG7" i="32" s="1"/>
  <c r="AF31" i="32"/>
  <c r="AH73" i="32"/>
  <c r="AH5" i="32"/>
  <c r="AF35" i="32"/>
  <c r="AG35" i="32" s="1"/>
  <c r="BF30" i="3"/>
  <c r="BO30" i="3" s="1"/>
  <c r="W72" i="32"/>
  <c r="W58" i="32"/>
  <c r="AF74" i="32"/>
  <c r="AG74" i="32" s="1"/>
  <c r="V74" i="32" s="1"/>
  <c r="AF12" i="32"/>
  <c r="AH86" i="32"/>
  <c r="AF29" i="32"/>
  <c r="AG29" i="32" s="1"/>
  <c r="AH43" i="32"/>
  <c r="W49" i="32" s="1"/>
  <c r="AH52" i="32"/>
  <c r="AF73" i="32"/>
  <c r="AG73" i="32" s="1"/>
  <c r="V73" i="32" s="1"/>
  <c r="AF19" i="32"/>
  <c r="AH79" i="32"/>
  <c r="AF25" i="32"/>
  <c r="AG25" i="32" s="1"/>
  <c r="AF82" i="32"/>
  <c r="AG82" i="32" s="1"/>
  <c r="V82" i="32" s="1"/>
  <c r="AF61" i="32"/>
  <c r="AG61" i="32" s="1"/>
  <c r="V61" i="32" s="1"/>
  <c r="W54" i="32"/>
  <c r="W52" i="32"/>
  <c r="W55" i="32"/>
  <c r="W66" i="32"/>
  <c r="W84" i="32"/>
  <c r="AH61" i="32"/>
  <c r="AF57" i="32"/>
  <c r="AG57" i="32" s="1"/>
  <c r="V57" i="32" s="1"/>
  <c r="AH82" i="32"/>
  <c r="AH58" i="32"/>
  <c r="AF6" i="32"/>
  <c r="AG6" i="32" s="1"/>
  <c r="AF75" i="32"/>
  <c r="AG75" i="32" s="1"/>
  <c r="V75" i="32" s="1"/>
  <c r="AF67" i="32"/>
  <c r="AG67" i="32" s="1"/>
  <c r="V67" i="32" s="1"/>
  <c r="AF81" i="32"/>
  <c r="AG81" i="32" s="1"/>
  <c r="V81" i="32" s="1"/>
  <c r="AH21" i="32"/>
  <c r="AF44" i="32"/>
  <c r="AG44" i="32" s="1"/>
  <c r="AF80" i="32"/>
  <c r="AG80" i="32" s="1"/>
  <c r="V80" i="32" s="1"/>
  <c r="AF41" i="32"/>
  <c r="AG41" i="32" s="1"/>
  <c r="AF4" i="32"/>
  <c r="AG4" i="32" s="1"/>
  <c r="AF22" i="32"/>
  <c r="AG22" i="32" s="1"/>
  <c r="AF13" i="32"/>
  <c r="AG13" i="32" s="1"/>
  <c r="AF10" i="32"/>
  <c r="AG10" i="32" s="1"/>
  <c r="AH57" i="32"/>
  <c r="AH55" i="32"/>
  <c r="AF34" i="32"/>
  <c r="AF63" i="32"/>
  <c r="AG63" i="32" s="1"/>
  <c r="V63" i="32" s="1"/>
  <c r="BL14" i="3"/>
  <c r="BF33" i="3"/>
  <c r="BO33" i="3" s="1"/>
  <c r="BE34" i="3"/>
  <c r="BE28" i="3"/>
  <c r="BL53" i="3"/>
  <c r="BL40" i="3"/>
  <c r="BF43" i="3"/>
  <c r="BO43" i="3" s="1"/>
  <c r="BF40" i="3"/>
  <c r="BO40" i="3" s="1"/>
  <c r="BF28" i="3"/>
  <c r="BO28" i="3" s="1"/>
  <c r="BF15" i="3"/>
  <c r="BO15" i="3" s="1"/>
  <c r="BF12" i="3"/>
  <c r="BO12" i="3" s="1"/>
  <c r="BE40" i="3"/>
  <c r="BF7" i="3"/>
  <c r="BO7" i="3" s="1"/>
  <c r="BF23" i="3"/>
  <c r="BO23" i="3" s="1"/>
  <c r="BE12" i="3"/>
  <c r="BF8" i="3"/>
  <c r="BO8" i="3" s="1"/>
  <c r="BF10" i="3"/>
  <c r="BO10" i="3" s="1"/>
  <c r="BE23" i="3"/>
  <c r="BE20" i="3"/>
  <c r="BL50" i="3"/>
  <c r="BE47" i="3"/>
  <c r="BE7" i="3"/>
  <c r="BE26" i="3"/>
  <c r="BE52" i="3"/>
  <c r="BF32" i="3"/>
  <c r="BO32" i="3" s="1"/>
  <c r="BL39" i="3"/>
  <c r="BL23" i="3"/>
  <c r="BF20" i="3"/>
  <c r="BO20" i="3" s="1"/>
  <c r="BL21" i="3"/>
  <c r="BF52" i="3"/>
  <c r="BO52" i="3" s="1"/>
  <c r="BF17" i="3"/>
  <c r="BO17" i="3" s="1"/>
  <c r="BF42" i="3"/>
  <c r="BO42" i="3" s="1"/>
  <c r="BE13" i="3"/>
  <c r="BL35" i="3"/>
  <c r="BE42" i="3"/>
  <c r="BE44" i="3"/>
  <c r="BL42" i="3"/>
  <c r="BE31" i="3"/>
  <c r="BF11" i="3"/>
  <c r="BO11" i="3" s="1"/>
  <c r="BL12" i="3"/>
  <c r="BF13" i="3"/>
  <c r="BO13" i="3" s="1"/>
  <c r="BF31" i="3"/>
  <c r="BO31" i="3" s="1"/>
  <c r="BE11" i="3"/>
  <c r="BF44" i="3"/>
  <c r="BO44" i="3" s="1"/>
  <c r="BF35" i="3"/>
  <c r="BO35" i="3" s="1"/>
  <c r="BE35" i="3"/>
  <c r="BF29" i="3"/>
  <c r="BO29" i="3" s="1"/>
  <c r="BE14" i="3"/>
  <c r="BF26" i="3"/>
  <c r="BO26" i="3" s="1"/>
  <c r="E2" i="47"/>
  <c r="BF6" i="3"/>
  <c r="BO6" i="3" s="1"/>
  <c r="G2" i="47"/>
  <c r="E3" i="47"/>
  <c r="F2" i="47"/>
  <c r="F3" i="47"/>
  <c r="C3" i="32"/>
  <c r="F11" i="48" a="1"/>
  <c r="F11" i="48" s="1"/>
  <c r="E12" i="48"/>
  <c r="W35" i="32" l="1"/>
  <c r="W26" i="32"/>
  <c r="W37" i="32"/>
  <c r="U33" i="32"/>
  <c r="W42" i="32"/>
  <c r="W45" i="32"/>
  <c r="U85" i="32"/>
  <c r="U59" i="32"/>
  <c r="W39" i="32"/>
  <c r="U35" i="32"/>
  <c r="U47" i="32"/>
  <c r="W17" i="32"/>
  <c r="U51" i="32"/>
  <c r="U39" i="32"/>
  <c r="U52" i="32"/>
  <c r="AG43" i="32"/>
  <c r="V49" i="32" s="1"/>
  <c r="W38" i="32"/>
  <c r="U12" i="32"/>
  <c r="W23" i="32"/>
  <c r="U42" i="32"/>
  <c r="AG11" i="32"/>
  <c r="V12" i="32" s="1"/>
  <c r="AG68" i="32"/>
  <c r="V68" i="32" s="1"/>
  <c r="U43" i="32"/>
  <c r="W18" i="32"/>
  <c r="U48" i="32"/>
  <c r="W34" i="32"/>
  <c r="U83" i="32"/>
  <c r="U26" i="32"/>
  <c r="U32" i="32"/>
  <c r="AG70" i="32"/>
  <c r="V70" i="32" s="1"/>
  <c r="W20" i="32"/>
  <c r="W6" i="32"/>
  <c r="W41" i="32"/>
  <c r="W40" i="32"/>
  <c r="W48" i="32"/>
  <c r="W16" i="32"/>
  <c r="U10" i="32"/>
  <c r="U40" i="32"/>
  <c r="W33" i="32"/>
  <c r="AG65" i="32"/>
  <c r="V65" i="32" s="1"/>
  <c r="U18" i="32"/>
  <c r="U28" i="32"/>
  <c r="W24" i="32"/>
  <c r="U73" i="32"/>
  <c r="U71" i="32"/>
  <c r="W11" i="32"/>
  <c r="W27" i="32"/>
  <c r="U75" i="32"/>
  <c r="W29" i="32"/>
  <c r="U23" i="32"/>
  <c r="U41" i="32"/>
  <c r="U17" i="32"/>
  <c r="W43" i="32"/>
  <c r="W25" i="32"/>
  <c r="U8" i="32"/>
  <c r="U16" i="32"/>
  <c r="W3" i="32"/>
  <c r="W10" i="32"/>
  <c r="U30" i="32"/>
  <c r="W19" i="32"/>
  <c r="W5" i="32"/>
  <c r="U34" i="32"/>
  <c r="W30" i="32"/>
  <c r="W28" i="32"/>
  <c r="U25" i="32"/>
  <c r="W13" i="32"/>
  <c r="W31" i="32"/>
  <c r="W12" i="32"/>
  <c r="U15" i="32"/>
  <c r="U20" i="32"/>
  <c r="U44" i="32"/>
  <c r="W47" i="32"/>
  <c r="U11" i="32"/>
  <c r="W46" i="32"/>
  <c r="W22" i="32"/>
  <c r="W4" i="32"/>
  <c r="W36" i="32"/>
  <c r="U37" i="32"/>
  <c r="W15" i="32"/>
  <c r="U14" i="32"/>
  <c r="W8" i="32"/>
  <c r="U6" i="32"/>
  <c r="U13" i="32"/>
  <c r="W44" i="32"/>
  <c r="W9" i="32"/>
  <c r="U22" i="32"/>
  <c r="AG12" i="32"/>
  <c r="V13" i="32" s="1"/>
  <c r="AG37" i="32"/>
  <c r="V35" i="32" s="1"/>
  <c r="U82" i="32"/>
  <c r="AG31" i="32"/>
  <c r="V33" i="32" s="1"/>
  <c r="AG50" i="32"/>
  <c r="V42" i="32" s="1"/>
  <c r="U54" i="32"/>
  <c r="U64" i="32"/>
  <c r="AG76" i="32"/>
  <c r="V76" i="32" s="1"/>
  <c r="AG46" i="32"/>
  <c r="V29" i="32" s="1"/>
  <c r="U19" i="32"/>
  <c r="U9" i="32"/>
  <c r="U77" i="32"/>
  <c r="U58" i="32"/>
  <c r="U5" i="32"/>
  <c r="U46" i="32"/>
  <c r="U84" i="32"/>
  <c r="AG53" i="32"/>
  <c r="V53" i="32" s="1"/>
  <c r="AG40" i="32"/>
  <c r="V41" i="32" s="1"/>
  <c r="DK40" i="3"/>
  <c r="U24" i="32"/>
  <c r="AG5" i="32"/>
  <c r="V3" i="32" s="1"/>
  <c r="U21" i="32"/>
  <c r="U81" i="32"/>
  <c r="AG19" i="32"/>
  <c r="V17" i="32" s="1"/>
  <c r="AG21" i="32"/>
  <c r="U67" i="32"/>
  <c r="U74" i="32"/>
  <c r="U45" i="32"/>
  <c r="H111" i="3"/>
  <c r="U60" i="32"/>
  <c r="AG26" i="32"/>
  <c r="V27" i="32" s="1"/>
  <c r="DK48" i="3"/>
  <c r="U29" i="32"/>
  <c r="H105" i="3"/>
  <c r="DK47" i="3"/>
  <c r="U78" i="32"/>
  <c r="DK49" i="3"/>
  <c r="U7" i="32"/>
  <c r="U72" i="32"/>
  <c r="H109" i="3"/>
  <c r="U63" i="32"/>
  <c r="DK38" i="3"/>
  <c r="U69" i="32"/>
  <c r="AG36" i="32"/>
  <c r="V38" i="32" s="1"/>
  <c r="U86" i="32"/>
  <c r="U31" i="32"/>
  <c r="U79" i="32"/>
  <c r="DK41" i="3"/>
  <c r="H110" i="3"/>
  <c r="DK39" i="3"/>
  <c r="U56" i="32"/>
  <c r="DK33" i="3"/>
  <c r="DK32" i="3"/>
  <c r="U55" i="32"/>
  <c r="U66" i="32"/>
  <c r="U38" i="32"/>
  <c r="U4" i="32"/>
  <c r="U62" i="32"/>
  <c r="U80" i="32"/>
  <c r="U27" i="32"/>
  <c r="V7" i="32"/>
  <c r="U50" i="32"/>
  <c r="U36" i="32"/>
  <c r="U57" i="32"/>
  <c r="U61" i="32"/>
  <c r="DK46" i="3"/>
  <c r="AG34" i="32"/>
  <c r="V32" i="32" s="1"/>
  <c r="W21" i="32"/>
  <c r="DK50" i="3"/>
  <c r="DK25" i="3"/>
  <c r="H112" i="3"/>
  <c r="DK35" i="3"/>
  <c r="DK23" i="3"/>
  <c r="DK53" i="3"/>
  <c r="DK22" i="3"/>
  <c r="DK24" i="3"/>
  <c r="DK51" i="3"/>
  <c r="DK52" i="3"/>
  <c r="DK17" i="3"/>
  <c r="H102" i="3"/>
  <c r="DK13" i="3"/>
  <c r="DK16" i="3"/>
  <c r="H106" i="3"/>
  <c r="DK11" i="3"/>
  <c r="H103" i="3"/>
  <c r="DK29" i="3"/>
  <c r="DK27" i="3"/>
  <c r="DK14" i="3"/>
  <c r="DK37" i="3"/>
  <c r="H108" i="3"/>
  <c r="DK34" i="3"/>
  <c r="DK36" i="3"/>
  <c r="DK7" i="3"/>
  <c r="H104" i="3"/>
  <c r="DK42" i="3"/>
  <c r="DK21" i="3"/>
  <c r="DK44" i="3"/>
  <c r="DK20" i="3"/>
  <c r="DK43" i="3"/>
  <c r="DK19" i="3"/>
  <c r="DK18" i="3"/>
  <c r="DK45" i="3"/>
  <c r="DK15" i="3"/>
  <c r="DK28" i="3"/>
  <c r="DK8" i="3"/>
  <c r="DK6" i="3"/>
  <c r="H101" i="3"/>
  <c r="DK9" i="3"/>
  <c r="DK31" i="3"/>
  <c r="H107" i="3"/>
  <c r="DK10" i="3"/>
  <c r="DK26" i="3"/>
  <c r="DK12" i="3"/>
  <c r="DK30" i="3"/>
  <c r="V26" i="32"/>
  <c r="V31" i="32"/>
  <c r="V19" i="32"/>
  <c r="V45" i="32"/>
  <c r="V18" i="32"/>
  <c r="V37" i="32"/>
  <c r="V47" i="32"/>
  <c r="V6" i="32"/>
  <c r="V4" i="32"/>
  <c r="V16" i="32"/>
  <c r="V9" i="32"/>
  <c r="V8" i="32"/>
  <c r="V21" i="32"/>
  <c r="V48" i="32"/>
  <c r="V14" i="32"/>
  <c r="V50" i="32"/>
  <c r="V46" i="32"/>
  <c r="V43" i="32"/>
  <c r="V40" i="32"/>
  <c r="V24" i="32"/>
  <c r="V28" i="32"/>
  <c r="BP22" i="3"/>
  <c r="BP16" i="3"/>
  <c r="BP51" i="3"/>
  <c r="BP31" i="3"/>
  <c r="BP46" i="3"/>
  <c r="BP40" i="3"/>
  <c r="BP49" i="3"/>
  <c r="BP32" i="3"/>
  <c r="BP20" i="3"/>
  <c r="BP39" i="3"/>
  <c r="BP21" i="3"/>
  <c r="BP33" i="3"/>
  <c r="BP48" i="3"/>
  <c r="BP26" i="3"/>
  <c r="BP37" i="3"/>
  <c r="BP29" i="3"/>
  <c r="BP35" i="3"/>
  <c r="BP41" i="3"/>
  <c r="BP34" i="3"/>
  <c r="BP8" i="3"/>
  <c r="BP43" i="3"/>
  <c r="BP15" i="3"/>
  <c r="BP10" i="3"/>
  <c r="BP7" i="3"/>
  <c r="BP11" i="3"/>
  <c r="BP17" i="3"/>
  <c r="BP19" i="3"/>
  <c r="BP12" i="3"/>
  <c r="BP30" i="3"/>
  <c r="BP52" i="3"/>
  <c r="BP38" i="3"/>
  <c r="E13" i="48"/>
  <c r="F12" i="48" a="1"/>
  <c r="F12" i="48" s="1"/>
  <c r="BP47" i="3"/>
  <c r="BP42" i="3"/>
  <c r="BP14" i="3"/>
  <c r="BP23" i="3"/>
  <c r="BP44" i="3"/>
  <c r="BP6" i="3"/>
  <c r="BP25" i="3"/>
  <c r="BP36" i="3"/>
  <c r="BP13" i="3"/>
  <c r="BP24" i="3"/>
  <c r="BP53" i="3"/>
  <c r="BP9" i="3"/>
  <c r="BP45" i="3"/>
  <c r="BP27" i="3"/>
  <c r="BP18" i="3"/>
  <c r="BP28" i="3"/>
  <c r="BP50" i="3"/>
  <c r="V11" i="32" l="1"/>
  <c r="V23" i="32"/>
  <c r="V10" i="32"/>
  <c r="V25" i="32"/>
  <c r="V15" i="32"/>
  <c r="V20" i="32"/>
  <c r="V44" i="32"/>
  <c r="V30" i="32"/>
  <c r="V34" i="32"/>
  <c r="V39" i="32"/>
  <c r="V36" i="32"/>
  <c r="V22" i="32"/>
  <c r="V5" i="32"/>
  <c r="H113" i="3"/>
  <c r="AY101" i="3" s="1"/>
  <c r="C133" i="32"/>
  <c r="X133" i="3" s="1"/>
  <c r="C111" i="32"/>
  <c r="Y111" i="3" s="1"/>
  <c r="C81" i="32"/>
  <c r="Y81" i="3" s="1"/>
  <c r="C68" i="32"/>
  <c r="X68" i="3" s="1"/>
  <c r="C97" i="32"/>
  <c r="Y97" i="3" s="1"/>
  <c r="C36" i="32"/>
  <c r="X36" i="3" s="1"/>
  <c r="C6" i="32"/>
  <c r="Y6" i="3" s="1"/>
  <c r="C7" i="32"/>
  <c r="Y7" i="3" s="1"/>
  <c r="C115" i="32"/>
  <c r="X115" i="3" s="1"/>
  <c r="C95" i="32"/>
  <c r="X95" i="3" s="1"/>
  <c r="C32" i="32"/>
  <c r="Y32" i="3" s="1"/>
  <c r="C31" i="32"/>
  <c r="Y31" i="3" s="1"/>
  <c r="C25" i="32"/>
  <c r="Y25" i="3" s="1"/>
  <c r="C37" i="32"/>
  <c r="Y37" i="3" s="1"/>
  <c r="C61" i="32"/>
  <c r="Y61" i="3" s="1"/>
  <c r="C38" i="32"/>
  <c r="Y38" i="3" s="1"/>
  <c r="C120" i="32"/>
  <c r="Y120" i="3" s="1"/>
  <c r="C20" i="32"/>
  <c r="X20" i="3" s="1"/>
  <c r="C55" i="32"/>
  <c r="X55" i="3" s="1"/>
  <c r="C121" i="32"/>
  <c r="Y121" i="3" s="1"/>
  <c r="C64" i="32"/>
  <c r="Y64" i="3" s="1"/>
  <c r="C9" i="32"/>
  <c r="Y9" i="3" s="1"/>
  <c r="C106" i="32"/>
  <c r="Y106" i="3" s="1"/>
  <c r="C46" i="32"/>
  <c r="Y46" i="3" s="1"/>
  <c r="C109" i="32"/>
  <c r="Y109" i="3" s="1"/>
  <c r="C40" i="32"/>
  <c r="X40" i="3" s="1"/>
  <c r="C22" i="32"/>
  <c r="Y22" i="3" s="1"/>
  <c r="C80" i="32"/>
  <c r="Y80" i="3" s="1"/>
  <c r="C71" i="32"/>
  <c r="X71" i="3" s="1"/>
  <c r="C14" i="32"/>
  <c r="Y14" i="3" s="1"/>
  <c r="C127" i="32"/>
  <c r="X127" i="3" s="1"/>
  <c r="C84" i="32"/>
  <c r="X84" i="3" s="1"/>
  <c r="C54" i="32"/>
  <c r="Y54" i="3" s="1"/>
  <c r="C72" i="32"/>
  <c r="X72" i="3" s="1"/>
  <c r="C57" i="32"/>
  <c r="Y57" i="3" s="1"/>
  <c r="C15" i="32"/>
  <c r="Y15" i="3" s="1"/>
  <c r="C45" i="32"/>
  <c r="Y45" i="3" s="1"/>
  <c r="C39" i="32"/>
  <c r="Y39" i="3" s="1"/>
  <c r="C122" i="32"/>
  <c r="Y122" i="3" s="1"/>
  <c r="C108" i="32"/>
  <c r="Y108" i="3" s="1"/>
  <c r="C113" i="32"/>
  <c r="X113" i="3" s="1"/>
  <c r="C79" i="32"/>
  <c r="Y79" i="3" s="1"/>
  <c r="C107" i="32"/>
  <c r="Y107" i="3" s="1"/>
  <c r="C78" i="32"/>
  <c r="X78" i="3" s="1"/>
  <c r="C85" i="32"/>
  <c r="X85" i="3" s="1"/>
  <c r="C30" i="32"/>
  <c r="Y30" i="3" s="1"/>
  <c r="C86" i="32"/>
  <c r="Y86" i="3" s="1"/>
  <c r="C87" i="32"/>
  <c r="X87" i="3" s="1"/>
  <c r="C13" i="32"/>
  <c r="Y13" i="3" s="1"/>
  <c r="C70" i="32"/>
  <c r="Y70" i="3" s="1"/>
  <c r="C23" i="32"/>
  <c r="X23" i="3" s="1"/>
  <c r="C94" i="32"/>
  <c r="X94" i="3" s="1"/>
  <c r="C8" i="32"/>
  <c r="Y8" i="3" s="1"/>
  <c r="C12" i="32"/>
  <c r="Y12" i="3" s="1"/>
  <c r="C123" i="32"/>
  <c r="Y123" i="3" s="1"/>
  <c r="C93" i="32"/>
  <c r="Y93" i="3" s="1"/>
  <c r="C29" i="32"/>
  <c r="X29" i="3" s="1"/>
  <c r="C76" i="32"/>
  <c r="X76" i="3" s="1"/>
  <c r="C69" i="32"/>
  <c r="Y69" i="3" s="1"/>
  <c r="C28" i="32"/>
  <c r="Y28" i="3" s="1"/>
  <c r="C4" i="32"/>
  <c r="Y4" i="3" s="1"/>
  <c r="C143" i="32"/>
  <c r="X143" i="3" s="1"/>
  <c r="C24" i="32"/>
  <c r="Y24" i="3" s="1"/>
  <c r="C47" i="32"/>
  <c r="X47" i="3" s="1"/>
  <c r="C139" i="32"/>
  <c r="Y139" i="3" s="1"/>
  <c r="C60" i="32"/>
  <c r="X60" i="3" s="1"/>
  <c r="C88" i="32"/>
  <c r="X88" i="3" s="1"/>
  <c r="C116" i="32"/>
  <c r="X116" i="3" s="1"/>
  <c r="C126" i="32"/>
  <c r="X126" i="3" s="1"/>
  <c r="C134" i="32"/>
  <c r="Y134" i="3" s="1"/>
  <c r="C44" i="32"/>
  <c r="Y44" i="3" s="1"/>
  <c r="C16" i="32"/>
  <c r="X16" i="3" s="1"/>
  <c r="C65" i="32"/>
  <c r="X65" i="3" s="1"/>
  <c r="C89" i="32"/>
  <c r="Y89" i="3" s="1"/>
  <c r="C110" i="32"/>
  <c r="X110" i="3" s="1"/>
  <c r="C53" i="32"/>
  <c r="X53" i="3" s="1"/>
  <c r="C62" i="32"/>
  <c r="X62" i="3" s="1"/>
  <c r="C63" i="32"/>
  <c r="X63" i="3" s="1"/>
  <c r="C92" i="32"/>
  <c r="Y92" i="3" s="1"/>
  <c r="C147" i="32"/>
  <c r="X147" i="3" s="1"/>
  <c r="C101" i="32"/>
  <c r="X101" i="3" s="1"/>
  <c r="C131" i="32"/>
  <c r="Y131" i="3" s="1"/>
  <c r="C17" i="32"/>
  <c r="Y17" i="3" s="1"/>
  <c r="C102" i="32"/>
  <c r="X102" i="3" s="1"/>
  <c r="C33" i="32"/>
  <c r="Y33" i="3" s="1"/>
  <c r="C138" i="32"/>
  <c r="Y138" i="3" s="1"/>
  <c r="C49" i="32"/>
  <c r="X49" i="3" s="1"/>
  <c r="C103" i="32"/>
  <c r="X103" i="3" s="1"/>
  <c r="C104" i="32"/>
  <c r="X104" i="3" s="1"/>
  <c r="C132" i="32"/>
  <c r="X132" i="3" s="1"/>
  <c r="C96" i="32"/>
  <c r="Y96" i="3" s="1"/>
  <c r="C112" i="32"/>
  <c r="X112" i="3" s="1"/>
  <c r="C105" i="32"/>
  <c r="X105" i="3" s="1"/>
  <c r="C114" i="32"/>
  <c r="Y114" i="3" s="1"/>
  <c r="C73" i="32"/>
  <c r="X73" i="3" s="1"/>
  <c r="C124" i="32"/>
  <c r="Y124" i="3" s="1"/>
  <c r="C125" i="32"/>
  <c r="X125" i="3" s="1"/>
  <c r="C5" i="32"/>
  <c r="Y5" i="3" s="1"/>
  <c r="C48" i="32"/>
  <c r="X48" i="3" s="1"/>
  <c r="C41" i="32"/>
  <c r="X41" i="3" s="1"/>
  <c r="C52" i="32"/>
  <c r="X52" i="3" s="1"/>
  <c r="C56" i="32"/>
  <c r="Y56" i="3" s="1"/>
  <c r="C21" i="32"/>
  <c r="X21" i="3" s="1"/>
  <c r="C77" i="32"/>
  <c r="X77" i="3" s="1"/>
  <c r="BQ31" i="3"/>
  <c r="BR31" i="3" s="1"/>
  <c r="BQ16" i="3"/>
  <c r="BR16" i="3" s="1"/>
  <c r="BQ30" i="3"/>
  <c r="BR30" i="3" s="1"/>
  <c r="BQ24" i="3"/>
  <c r="BR24" i="3" s="1"/>
  <c r="BQ37" i="3"/>
  <c r="BR37" i="3" s="1"/>
  <c r="BQ13" i="3"/>
  <c r="BR13" i="3" s="1"/>
  <c r="BQ36" i="3"/>
  <c r="BR36" i="3" s="1"/>
  <c r="BQ23" i="3"/>
  <c r="BR23" i="3" s="1"/>
  <c r="BQ22" i="3"/>
  <c r="BQ38" i="3"/>
  <c r="BR38" i="3" s="1"/>
  <c r="BQ17" i="3"/>
  <c r="BR17" i="3" s="1"/>
  <c r="X121" i="3"/>
  <c r="BQ7" i="3"/>
  <c r="BR7" i="3" s="1"/>
  <c r="BQ41" i="3"/>
  <c r="BR41" i="3" s="1"/>
  <c r="BQ21" i="3"/>
  <c r="BR21" i="3" s="1"/>
  <c r="BQ40" i="3"/>
  <c r="BR40" i="3" s="1"/>
  <c r="BQ28" i="3"/>
  <c r="BR28" i="3" s="1"/>
  <c r="BQ34" i="3"/>
  <c r="BR34" i="3" s="1"/>
  <c r="BQ18" i="3"/>
  <c r="BR18" i="3" s="1"/>
  <c r="BQ45" i="3"/>
  <c r="BR45" i="3" s="1"/>
  <c r="BQ14" i="3"/>
  <c r="BR14" i="3" s="1"/>
  <c r="BQ11" i="3"/>
  <c r="BR11" i="3" s="1"/>
  <c r="BQ35" i="3"/>
  <c r="BR35" i="3" s="1"/>
  <c r="BQ39" i="3"/>
  <c r="BR39" i="3" s="1"/>
  <c r="BQ46" i="3"/>
  <c r="BR46" i="3" s="1"/>
  <c r="BQ53" i="3"/>
  <c r="BR53" i="3" s="1"/>
  <c r="BQ20" i="3"/>
  <c r="BR20" i="3" s="1"/>
  <c r="BQ9" i="3"/>
  <c r="BR9" i="3" s="1"/>
  <c r="BQ42" i="3"/>
  <c r="BR42" i="3" s="1"/>
  <c r="BQ47" i="3"/>
  <c r="BR47" i="3" s="1"/>
  <c r="BQ52" i="3"/>
  <c r="BR52" i="3" s="1"/>
  <c r="BQ12" i="3"/>
  <c r="BR12" i="3" s="1"/>
  <c r="BQ15" i="3"/>
  <c r="BR15" i="3" s="1"/>
  <c r="BQ29" i="3"/>
  <c r="BR29" i="3" s="1"/>
  <c r="BQ25" i="3"/>
  <c r="BR25" i="3" s="1"/>
  <c r="BQ19" i="3"/>
  <c r="BR19" i="3" s="1"/>
  <c r="BQ10" i="3"/>
  <c r="BR10" i="3" s="1"/>
  <c r="BQ43" i="3"/>
  <c r="BR43" i="3" s="1"/>
  <c r="BQ26" i="3"/>
  <c r="BR26" i="3" s="1"/>
  <c r="BQ32" i="3"/>
  <c r="BR32" i="3" s="1"/>
  <c r="BQ50" i="3"/>
  <c r="BR50" i="3" s="1"/>
  <c r="E14" i="48"/>
  <c r="F13" i="48" a="1"/>
  <c r="F13" i="48" s="1"/>
  <c r="BQ8" i="3"/>
  <c r="BR8" i="3" s="1"/>
  <c r="BQ6" i="3"/>
  <c r="BR6" i="3" s="1"/>
  <c r="BQ44" i="3"/>
  <c r="BR44" i="3" s="1"/>
  <c r="BQ48" i="3"/>
  <c r="BR48" i="3" s="1"/>
  <c r="BQ27" i="3"/>
  <c r="BR27" i="3" s="1"/>
  <c r="BQ33" i="3"/>
  <c r="BR33" i="3" s="1"/>
  <c r="BQ49" i="3"/>
  <c r="BR49" i="3" s="1"/>
  <c r="BQ51" i="3"/>
  <c r="AK99" i="3" l="1"/>
  <c r="Y133" i="3"/>
  <c r="Y68" i="3"/>
  <c r="X97" i="3"/>
  <c r="X79" i="3"/>
  <c r="X70" i="3"/>
  <c r="Y71" i="3"/>
  <c r="Y40" i="3"/>
  <c r="X25" i="3"/>
  <c r="X107" i="3"/>
  <c r="X12" i="3"/>
  <c r="X14" i="3"/>
  <c r="Y143" i="3"/>
  <c r="X30" i="3"/>
  <c r="Y63" i="3"/>
  <c r="X37" i="3"/>
  <c r="X39" i="3"/>
  <c r="X134" i="3"/>
  <c r="X114" i="3"/>
  <c r="X56" i="3"/>
  <c r="X61" i="3"/>
  <c r="X138" i="3"/>
  <c r="X9" i="3"/>
  <c r="X8" i="3"/>
  <c r="Y85" i="3"/>
  <c r="X45" i="3"/>
  <c r="Y127" i="3"/>
  <c r="Y94" i="3"/>
  <c r="Y20" i="3"/>
  <c r="Y76" i="3"/>
  <c r="X111" i="3"/>
  <c r="Y95" i="3"/>
  <c r="Y72" i="3"/>
  <c r="X64" i="3"/>
  <c r="Y36" i="3"/>
  <c r="X69" i="3"/>
  <c r="X96" i="3"/>
  <c r="X38" i="3"/>
  <c r="X106" i="3"/>
  <c r="Y73" i="3"/>
  <c r="X86" i="3"/>
  <c r="X92" i="3"/>
  <c r="X6" i="3"/>
  <c r="X44" i="3"/>
  <c r="X122" i="3"/>
  <c r="X123" i="3"/>
  <c r="Y21" i="3"/>
  <c r="X24" i="3"/>
  <c r="X108" i="3"/>
  <c r="Y77" i="3"/>
  <c r="X93" i="3"/>
  <c r="Y87" i="3"/>
  <c r="X32" i="3"/>
  <c r="X15" i="3"/>
  <c r="Y110" i="3"/>
  <c r="Y55" i="3"/>
  <c r="Y78" i="3"/>
  <c r="X17" i="3"/>
  <c r="X57" i="3"/>
  <c r="X80" i="3"/>
  <c r="Y23" i="3"/>
  <c r="X22" i="3"/>
  <c r="X31" i="3"/>
  <c r="X81" i="3"/>
  <c r="E43" i="30"/>
  <c r="Y60" i="3"/>
  <c r="X131" i="3"/>
  <c r="Y29" i="3"/>
  <c r="X46" i="3"/>
  <c r="H40" i="46" s="1"/>
  <c r="Y104" i="3"/>
  <c r="Y147" i="3"/>
  <c r="Y115" i="3"/>
  <c r="Y113" i="3"/>
  <c r="X54" i="3"/>
  <c r="Y84" i="3"/>
  <c r="X13" i="3"/>
  <c r="X139" i="3"/>
  <c r="Y103" i="3"/>
  <c r="Y16" i="3"/>
  <c r="Y101" i="3"/>
  <c r="X124" i="3"/>
  <c r="Y65" i="3"/>
  <c r="X120" i="3"/>
  <c r="X109" i="3"/>
  <c r="Y47" i="3"/>
  <c r="Y125" i="3"/>
  <c r="X7" i="3"/>
  <c r="Y49" i="3"/>
  <c r="Y116" i="3"/>
  <c r="Y132" i="3"/>
  <c r="X28" i="3"/>
  <c r="Y52" i="3"/>
  <c r="X33" i="3"/>
  <c r="H61" i="46" s="1"/>
  <c r="E42" i="30"/>
  <c r="Y48" i="3"/>
  <c r="Y53" i="3"/>
  <c r="Y88" i="3"/>
  <c r="X5" i="3"/>
  <c r="Y126" i="3"/>
  <c r="Y112" i="3"/>
  <c r="X4" i="3"/>
  <c r="H6" i="46" s="1"/>
  <c r="Y105" i="3"/>
  <c r="Y102" i="3"/>
  <c r="Y41" i="3"/>
  <c r="Y62" i="3"/>
  <c r="X89" i="3"/>
  <c r="F14" i="48" a="1"/>
  <c r="F14" i="48" s="1"/>
  <c r="E15" i="48"/>
  <c r="BR22" i="3"/>
  <c r="BR51" i="3"/>
  <c r="G19" i="30" l="1"/>
  <c r="G20" i="30"/>
  <c r="H29" i="46"/>
  <c r="H16" i="46"/>
  <c r="H23" i="46"/>
  <c r="H74" i="46"/>
  <c r="H70" i="46"/>
  <c r="H14" i="46"/>
  <c r="H11" i="46"/>
  <c r="H25" i="46"/>
  <c r="H30" i="46"/>
  <c r="H64" i="46"/>
  <c r="H53" i="46"/>
  <c r="H55" i="46"/>
  <c r="H47" i="46"/>
  <c r="H15" i="46"/>
  <c r="H9" i="46"/>
  <c r="H7" i="46"/>
  <c r="H42" i="46"/>
  <c r="H57" i="46"/>
  <c r="H28" i="46"/>
  <c r="H24" i="46"/>
  <c r="H77" i="46"/>
  <c r="H21" i="46"/>
  <c r="H39" i="46"/>
  <c r="H62" i="46"/>
  <c r="H13" i="46"/>
  <c r="H12" i="46"/>
  <c r="H50" i="46"/>
  <c r="H20" i="46"/>
  <c r="H17" i="46"/>
  <c r="H8" i="46"/>
  <c r="H27" i="46"/>
  <c r="H54" i="46"/>
  <c r="H69" i="46"/>
  <c r="H72" i="46"/>
  <c r="H119" i="46" s="1"/>
  <c r="H67" i="46"/>
  <c r="H75" i="46"/>
  <c r="H73" i="46"/>
  <c r="H58" i="46"/>
  <c r="H91" i="46" s="1"/>
  <c r="H49" i="46"/>
  <c r="H22" i="46"/>
  <c r="H44" i="46"/>
  <c r="H32" i="46"/>
  <c r="H26" i="46"/>
  <c r="H68" i="46"/>
  <c r="H31" i="46"/>
  <c r="H37" i="46"/>
  <c r="H36" i="46"/>
  <c r="H48" i="46"/>
  <c r="H18" i="46"/>
  <c r="H52" i="46"/>
  <c r="H51" i="46"/>
  <c r="H59" i="46"/>
  <c r="H34" i="46"/>
  <c r="H33" i="46"/>
  <c r="H38" i="46"/>
  <c r="H43" i="46"/>
  <c r="H19" i="46"/>
  <c r="H66" i="46"/>
  <c r="H65" i="46"/>
  <c r="H41" i="46"/>
  <c r="H10" i="46"/>
  <c r="H60" i="46"/>
  <c r="H95" i="46" s="1"/>
  <c r="H76" i="46"/>
  <c r="H127" i="46" s="1"/>
  <c r="H35" i="46"/>
  <c r="H63" i="46"/>
  <c r="H46" i="46"/>
  <c r="H71" i="46"/>
  <c r="H56" i="46"/>
  <c r="H45" i="46"/>
  <c r="BS17" i="3"/>
  <c r="E45" i="51"/>
  <c r="BS29" i="3"/>
  <c r="BS45" i="3"/>
  <c r="BS30" i="3"/>
  <c r="BS51" i="3"/>
  <c r="BS16" i="3"/>
  <c r="BS8" i="3"/>
  <c r="BS28" i="3"/>
  <c r="BS36" i="3"/>
  <c r="BS23" i="3"/>
  <c r="BS42" i="3"/>
  <c r="BS26" i="3"/>
  <c r="BS40" i="3"/>
  <c r="BS32" i="3"/>
  <c r="BS14" i="3"/>
  <c r="BS34" i="3"/>
  <c r="BS48" i="3"/>
  <c r="BS21" i="3"/>
  <c r="BS44" i="3"/>
  <c r="BS50" i="3"/>
  <c r="BS35" i="3"/>
  <c r="BS22" i="3"/>
  <c r="BS39" i="3"/>
  <c r="BS24" i="3"/>
  <c r="BS12" i="3"/>
  <c r="BS18" i="3"/>
  <c r="BS6" i="3"/>
  <c r="BS27" i="3"/>
  <c r="BS20" i="3"/>
  <c r="BS52" i="3"/>
  <c r="BS37" i="3"/>
  <c r="BS11" i="3"/>
  <c r="BS38" i="3"/>
  <c r="BS47" i="3"/>
  <c r="E16" i="48"/>
  <c r="F15" i="48" a="1"/>
  <c r="F15" i="48" s="1"/>
  <c r="BS10" i="3"/>
  <c r="BS46" i="3"/>
  <c r="BS13" i="3"/>
  <c r="BS53" i="3"/>
  <c r="BS7" i="3"/>
  <c r="BS25" i="3"/>
  <c r="BS33" i="3"/>
  <c r="BS49" i="3"/>
  <c r="BS15" i="3"/>
  <c r="BS31" i="3"/>
  <c r="BS19" i="3"/>
  <c r="BS43" i="3"/>
  <c r="BS9" i="3"/>
  <c r="BS41" i="3"/>
  <c r="H116" i="46" l="1"/>
  <c r="H117" i="46"/>
  <c r="H118" i="46"/>
  <c r="H89" i="46"/>
  <c r="Q2" i="6" a="1"/>
  <c r="Q2" i="6" s="1"/>
  <c r="G6" i="46" s="1"/>
  <c r="H90" i="46"/>
  <c r="H88" i="46"/>
  <c r="H124" i="46"/>
  <c r="H93" i="46"/>
  <c r="H125" i="46"/>
  <c r="H94" i="46"/>
  <c r="H92" i="46"/>
  <c r="H126" i="46"/>
  <c r="H82" i="46"/>
  <c r="H81" i="46"/>
  <c r="H83" i="46"/>
  <c r="H80" i="46"/>
  <c r="H98" i="46"/>
  <c r="H99" i="46"/>
  <c r="H97" i="46"/>
  <c r="H96" i="46"/>
  <c r="H115" i="46"/>
  <c r="H113" i="46"/>
  <c r="H114" i="46"/>
  <c r="H112" i="46"/>
  <c r="H86" i="46"/>
  <c r="H87" i="46"/>
  <c r="H84" i="46"/>
  <c r="H85" i="46"/>
  <c r="H110" i="46"/>
  <c r="H109" i="46"/>
  <c r="H108" i="46"/>
  <c r="H111" i="46"/>
  <c r="H123" i="46"/>
  <c r="H122" i="46"/>
  <c r="H121" i="46"/>
  <c r="H120" i="46"/>
  <c r="H107" i="46"/>
  <c r="H104" i="46"/>
  <c r="H105" i="46"/>
  <c r="H106" i="46"/>
  <c r="H100" i="46"/>
  <c r="H101" i="46"/>
  <c r="H102" i="46"/>
  <c r="H103" i="46"/>
  <c r="BT45" i="3"/>
  <c r="BT35" i="3"/>
  <c r="BT7" i="3"/>
  <c r="BT50" i="3"/>
  <c r="BT31" i="3"/>
  <c r="BT11" i="3"/>
  <c r="BT18" i="3"/>
  <c r="BT49" i="3"/>
  <c r="BT53" i="3"/>
  <c r="BT37" i="3"/>
  <c r="BT12" i="3"/>
  <c r="BT21" i="3"/>
  <c r="BT13" i="3"/>
  <c r="BT52" i="3"/>
  <c r="BT24" i="3"/>
  <c r="BT48" i="3"/>
  <c r="BT40" i="3"/>
  <c r="BT42" i="3"/>
  <c r="BT6" i="3"/>
  <c r="BT46" i="3"/>
  <c r="BT34" i="3"/>
  <c r="BT32" i="3"/>
  <c r="BT51" i="3"/>
  <c r="BT23" i="3"/>
  <c r="BT36" i="3"/>
  <c r="BT43" i="3"/>
  <c r="BT19" i="3"/>
  <c r="BT47" i="3"/>
  <c r="BT20" i="3"/>
  <c r="BT10" i="3"/>
  <c r="BT27" i="3"/>
  <c r="BT39" i="3"/>
  <c r="BT8" i="3"/>
  <c r="BT14" i="3"/>
  <c r="BT26" i="3"/>
  <c r="BT22" i="3"/>
  <c r="BT41" i="3"/>
  <c r="BT16" i="3"/>
  <c r="BT30" i="3"/>
  <c r="BT17" i="3"/>
  <c r="BT28" i="3"/>
  <c r="BT25" i="3"/>
  <c r="BT29" i="3"/>
  <c r="BT33" i="3"/>
  <c r="BT9" i="3"/>
  <c r="E8" i="3" s="1"/>
  <c r="BT38" i="3"/>
  <c r="BT15" i="3"/>
  <c r="E17" i="48"/>
  <c r="F16" i="48" a="1"/>
  <c r="F16" i="48" s="1"/>
  <c r="BT44" i="3"/>
  <c r="Q3" i="6" l="1" a="1"/>
  <c r="Q3" i="6" s="1"/>
  <c r="E9" i="3"/>
  <c r="E79" i="3"/>
  <c r="E5" i="3"/>
  <c r="F7" i="3"/>
  <c r="F9" i="3"/>
  <c r="E4" i="3"/>
  <c r="E7" i="3"/>
  <c r="F8" i="3"/>
  <c r="F4" i="3"/>
  <c r="F6" i="3"/>
  <c r="F5" i="3"/>
  <c r="BU8" i="3" s="1"/>
  <c r="E6" i="3"/>
  <c r="F77" i="3"/>
  <c r="E81" i="3"/>
  <c r="E68" i="3"/>
  <c r="F72" i="3"/>
  <c r="E70" i="3"/>
  <c r="E95" i="3"/>
  <c r="F93" i="3"/>
  <c r="E96" i="3"/>
  <c r="E30" i="3"/>
  <c r="E28" i="3"/>
  <c r="F32" i="3"/>
  <c r="F48" i="3"/>
  <c r="F46" i="3"/>
  <c r="E45" i="3"/>
  <c r="F41" i="3"/>
  <c r="E36" i="3"/>
  <c r="E38" i="3"/>
  <c r="E48" i="3"/>
  <c r="F44" i="3"/>
  <c r="F47" i="3"/>
  <c r="F33" i="3"/>
  <c r="F30" i="3"/>
  <c r="E29" i="3"/>
  <c r="E84" i="3"/>
  <c r="F88" i="3"/>
  <c r="E86" i="3"/>
  <c r="F53" i="3"/>
  <c r="E57" i="3"/>
  <c r="E55" i="3"/>
  <c r="F37" i="3"/>
  <c r="E41" i="3"/>
  <c r="E39" i="3"/>
  <c r="E22" i="3"/>
  <c r="E24" i="3"/>
  <c r="F21" i="3"/>
  <c r="E21" i="3"/>
  <c r="F25" i="3"/>
  <c r="F23" i="3"/>
  <c r="F36" i="3"/>
  <c r="E40" i="3"/>
  <c r="F39" i="3"/>
  <c r="E87" i="3"/>
  <c r="E88" i="3"/>
  <c r="F85" i="3"/>
  <c r="F12" i="3"/>
  <c r="E17" i="3"/>
  <c r="F14" i="3"/>
  <c r="F80" i="3"/>
  <c r="BV43" i="3" s="1"/>
  <c r="F78" i="3"/>
  <c r="E77" i="3"/>
  <c r="F45" i="3"/>
  <c r="E47" i="3"/>
  <c r="E49" i="3"/>
  <c r="E20" i="3"/>
  <c r="E23" i="3"/>
  <c r="F24" i="3"/>
  <c r="E15" i="3"/>
  <c r="F16" i="3"/>
  <c r="E12" i="3"/>
  <c r="E89" i="3"/>
  <c r="F87" i="3"/>
  <c r="F84" i="3"/>
  <c r="F92" i="3"/>
  <c r="F95" i="3"/>
  <c r="E97" i="3"/>
  <c r="F56" i="3"/>
  <c r="F54" i="3"/>
  <c r="E53" i="3"/>
  <c r="E60" i="3"/>
  <c r="E62" i="3"/>
  <c r="F65" i="3"/>
  <c r="F38" i="3"/>
  <c r="E37" i="3"/>
  <c r="F40" i="3"/>
  <c r="E18" i="48"/>
  <c r="F17" i="48" a="1"/>
  <c r="F17" i="48" s="1"/>
  <c r="E52" i="3"/>
  <c r="F57" i="3"/>
  <c r="E54" i="3"/>
  <c r="F28" i="3"/>
  <c r="F31" i="3"/>
  <c r="E33" i="3"/>
  <c r="F64" i="3"/>
  <c r="BU35" i="3" s="1"/>
  <c r="F62" i="3"/>
  <c r="E61" i="3"/>
  <c r="F13" i="3"/>
  <c r="E16" i="3"/>
  <c r="E14" i="3"/>
  <c r="E31" i="3"/>
  <c r="E32" i="3"/>
  <c r="F29" i="3"/>
  <c r="E13" i="3"/>
  <c r="F15" i="3"/>
  <c r="F17" i="3"/>
  <c r="E56" i="3"/>
  <c r="F52" i="3"/>
  <c r="F55" i="3"/>
  <c r="F63" i="3"/>
  <c r="E64" i="3"/>
  <c r="F60" i="3"/>
  <c r="F20" i="3"/>
  <c r="E25" i="3"/>
  <c r="F22" i="3"/>
  <c r="E72" i="3"/>
  <c r="E71" i="3"/>
  <c r="F69" i="3"/>
  <c r="F70" i="3"/>
  <c r="F73" i="3"/>
  <c r="E69" i="3"/>
  <c r="F94" i="3"/>
  <c r="E93" i="3"/>
  <c r="F97" i="3"/>
  <c r="F61" i="3"/>
  <c r="E63" i="3"/>
  <c r="E65" i="3"/>
  <c r="E94" i="3"/>
  <c r="F96" i="3"/>
  <c r="E92" i="3"/>
  <c r="BW26" i="3"/>
  <c r="E44" i="3"/>
  <c r="F49" i="3"/>
  <c r="E46" i="3"/>
  <c r="F71" i="3"/>
  <c r="E73" i="3"/>
  <c r="F68" i="3"/>
  <c r="F79" i="3"/>
  <c r="E80" i="3"/>
  <c r="F76" i="3"/>
  <c r="BV42" i="3"/>
  <c r="E76" i="3"/>
  <c r="F81" i="3"/>
  <c r="E78" i="3"/>
  <c r="E85" i="3"/>
  <c r="F89" i="3"/>
  <c r="F86" i="3"/>
  <c r="BV50" i="3" l="1"/>
  <c r="BV31" i="3"/>
  <c r="BU39" i="3"/>
  <c r="BW44" i="3"/>
  <c r="G7" i="46"/>
  <c r="Q4" i="6" a="1"/>
  <c r="Q4" i="6" s="1"/>
  <c r="G8" i="46"/>
  <c r="BV8" i="3"/>
  <c r="BX8" i="3" s="1"/>
  <c r="BV44" i="3"/>
  <c r="BU41" i="3"/>
  <c r="BV11" i="3"/>
  <c r="BU36" i="3"/>
  <c r="BV13" i="3"/>
  <c r="BU20" i="3"/>
  <c r="BU18" i="3"/>
  <c r="BW39" i="3"/>
  <c r="BU53" i="3"/>
  <c r="BW20" i="3"/>
  <c r="BU30" i="3"/>
  <c r="BW24" i="3"/>
  <c r="BU29" i="3"/>
  <c r="BU44" i="3"/>
  <c r="BU11" i="3"/>
  <c r="BU23" i="3"/>
  <c r="BU15" i="3"/>
  <c r="BV46" i="3"/>
  <c r="BW22" i="3"/>
  <c r="BV53" i="3"/>
  <c r="BW45" i="3"/>
  <c r="BW8" i="3"/>
  <c r="BW37" i="3"/>
  <c r="BV21" i="3"/>
  <c r="BU24" i="3"/>
  <c r="BV47" i="3"/>
  <c r="BV29" i="3"/>
  <c r="BU7" i="3"/>
  <c r="BU48" i="3"/>
  <c r="BW23" i="3"/>
  <c r="BV17" i="3"/>
  <c r="BU32" i="3"/>
  <c r="BU22" i="3"/>
  <c r="BU45" i="3"/>
  <c r="BW7" i="3"/>
  <c r="BW40" i="3"/>
  <c r="BU47" i="3"/>
  <c r="BU43" i="3"/>
  <c r="BX43" i="3" s="1"/>
  <c r="BU37" i="3"/>
  <c r="BU40" i="3"/>
  <c r="BV19" i="3"/>
  <c r="BU13" i="3"/>
  <c r="BV32" i="3"/>
  <c r="BW29" i="3"/>
  <c r="BW46" i="3"/>
  <c r="BW14" i="3"/>
  <c r="BV33" i="3"/>
  <c r="BW35" i="3"/>
  <c r="BW13" i="3"/>
  <c r="BU42" i="3"/>
  <c r="BX42" i="3" s="1"/>
  <c r="BU50" i="3"/>
  <c r="BW42" i="3"/>
  <c r="BV51" i="3"/>
  <c r="BV15" i="3"/>
  <c r="BU21" i="3"/>
  <c r="BU19" i="3"/>
  <c r="BV52" i="3"/>
  <c r="BU6" i="3"/>
  <c r="BU27" i="3"/>
  <c r="BW18" i="3"/>
  <c r="BW52" i="3"/>
  <c r="BV28" i="3"/>
  <c r="BW49" i="3"/>
  <c r="BW50" i="3"/>
  <c r="BV48" i="3"/>
  <c r="BV14" i="3"/>
  <c r="BU9" i="3"/>
  <c r="BV49" i="3"/>
  <c r="BU17" i="3"/>
  <c r="BW6" i="3"/>
  <c r="BW27" i="3"/>
  <c r="BV18" i="3"/>
  <c r="BU31" i="3"/>
  <c r="BW12" i="3"/>
  <c r="BU33" i="3"/>
  <c r="BU34" i="3"/>
  <c r="BW10" i="3"/>
  <c r="BW11" i="3"/>
  <c r="BV16" i="3"/>
  <c r="BU25" i="3"/>
  <c r="BU28" i="3"/>
  <c r="BU38" i="3"/>
  <c r="BU26" i="3"/>
  <c r="BW41" i="3"/>
  <c r="BW31" i="3"/>
  <c r="BU12" i="3"/>
  <c r="BW36" i="3"/>
  <c r="BW34" i="3"/>
  <c r="BU10" i="3"/>
  <c r="BW16" i="3"/>
  <c r="BW25" i="3"/>
  <c r="BV20" i="3"/>
  <c r="BU52" i="3"/>
  <c r="BW38" i="3"/>
  <c r="BV6" i="3"/>
  <c r="BW43" i="3"/>
  <c r="BW51" i="3"/>
  <c r="BV12" i="3"/>
  <c r="BV30" i="3"/>
  <c r="BV10" i="3"/>
  <c r="BW28" i="3"/>
  <c r="BU51" i="3"/>
  <c r="BW9" i="3"/>
  <c r="BV7" i="3"/>
  <c r="BV9" i="3"/>
  <c r="BV45" i="3"/>
  <c r="BW32" i="3"/>
  <c r="BW53" i="3"/>
  <c r="BW33" i="3"/>
  <c r="BW30" i="3"/>
  <c r="BW19" i="3"/>
  <c r="BW47" i="3"/>
  <c r="BW17" i="3"/>
  <c r="BU49" i="3"/>
  <c r="BU14" i="3"/>
  <c r="BW15" i="3"/>
  <c r="BW48" i="3"/>
  <c r="BV37" i="3"/>
  <c r="BV35" i="3"/>
  <c r="BX35" i="3" s="1"/>
  <c r="BU16" i="3"/>
  <c r="BV25" i="3"/>
  <c r="BV26" i="3"/>
  <c r="BV24" i="3"/>
  <c r="BW21" i="3"/>
  <c r="BV34" i="3"/>
  <c r="BV27" i="3"/>
  <c r="BV36" i="3"/>
  <c r="BV23" i="3"/>
  <c r="BU46" i="3"/>
  <c r="BV22" i="3"/>
  <c r="BV38" i="3"/>
  <c r="BV40" i="3"/>
  <c r="BV41" i="3"/>
  <c r="BV39" i="3"/>
  <c r="F18" i="48" a="1"/>
  <c r="F18" i="48" s="1"/>
  <c r="E19" i="48"/>
  <c r="BX31" i="3" l="1"/>
  <c r="BX50" i="3"/>
  <c r="BX45" i="3"/>
  <c r="BX23" i="3"/>
  <c r="BX39" i="3"/>
  <c r="BX20" i="3"/>
  <c r="BX37" i="3"/>
  <c r="BX44" i="3"/>
  <c r="BX53" i="3"/>
  <c r="BX30" i="3"/>
  <c r="BX13" i="3"/>
  <c r="BX9" i="3"/>
  <c r="BX48" i="3"/>
  <c r="BX51" i="3"/>
  <c r="BX28" i="3"/>
  <c r="BX11" i="3"/>
  <c r="BX7" i="3"/>
  <c r="BX36" i="3"/>
  <c r="BX46" i="3"/>
  <c r="BX27" i="3"/>
  <c r="BX19" i="3"/>
  <c r="BX15" i="3"/>
  <c r="BX22" i="3"/>
  <c r="BX24" i="3"/>
  <c r="BX52" i="3"/>
  <c r="BX38" i="3"/>
  <c r="BX14" i="3"/>
  <c r="BX25" i="3"/>
  <c r="BX26" i="3"/>
  <c r="BX40" i="3"/>
  <c r="BX32" i="3"/>
  <c r="BX47" i="3"/>
  <c r="BX41" i="3"/>
  <c r="BX21" i="3"/>
  <c r="G9" i="46"/>
  <c r="G12" i="46"/>
  <c r="Q5" i="6" a="1"/>
  <c r="Q5" i="6" s="1"/>
  <c r="G11" i="46" s="1"/>
  <c r="BX33" i="3"/>
  <c r="BX17" i="3"/>
  <c r="BX34" i="3"/>
  <c r="BX49" i="3"/>
  <c r="BX16" i="3"/>
  <c r="BX6" i="3"/>
  <c r="BX18" i="3"/>
  <c r="BX12" i="3"/>
  <c r="BX29" i="3"/>
  <c r="BX10" i="3"/>
  <c r="E20" i="48"/>
  <c r="F19" i="48" a="1"/>
  <c r="F19" i="48" s="1"/>
  <c r="BY52" i="3" l="1"/>
  <c r="BY37" i="3"/>
  <c r="BY48" i="3"/>
  <c r="BY19" i="3"/>
  <c r="BY21" i="3"/>
  <c r="BY32" i="3"/>
  <c r="BY34" i="3"/>
  <c r="BY26" i="3"/>
  <c r="BY25" i="3"/>
  <c r="BY16" i="3"/>
  <c r="BY36" i="3"/>
  <c r="BY17" i="3"/>
  <c r="BY40" i="3"/>
  <c r="BY46" i="3"/>
  <c r="BY28" i="3"/>
  <c r="BY43" i="3"/>
  <c r="G10" i="46"/>
  <c r="G13" i="46"/>
  <c r="Q6" i="6" a="1"/>
  <c r="Q6" i="6" s="1"/>
  <c r="G20" i="46" s="1"/>
  <c r="G14" i="46"/>
  <c r="BY9" i="3"/>
  <c r="BY7" i="3"/>
  <c r="BY20" i="3"/>
  <c r="BY18" i="3"/>
  <c r="BY11" i="3"/>
  <c r="BY29" i="3"/>
  <c r="BY31" i="3"/>
  <c r="BY51" i="3"/>
  <c r="BY39" i="3"/>
  <c r="BY35" i="3"/>
  <c r="BY44" i="3"/>
  <c r="BY12" i="3"/>
  <c r="BY33" i="3"/>
  <c r="BY23" i="3"/>
  <c r="BY6" i="3"/>
  <c r="BY47" i="3"/>
  <c r="BY45" i="3"/>
  <c r="BY42" i="3"/>
  <c r="BY22" i="3"/>
  <c r="BY38" i="3"/>
  <c r="BY24" i="3"/>
  <c r="BY14" i="3"/>
  <c r="BY50" i="3"/>
  <c r="BY30" i="3"/>
  <c r="BY15" i="3"/>
  <c r="BY8" i="3"/>
  <c r="BY13" i="3"/>
  <c r="BY53" i="3"/>
  <c r="BY41" i="3"/>
  <c r="BY27" i="3"/>
  <c r="BY49" i="3"/>
  <c r="BY10" i="3"/>
  <c r="F20" i="48" a="1"/>
  <c r="F20" i="48" s="1"/>
  <c r="E21" i="48"/>
  <c r="BZ34" i="3" l="1"/>
  <c r="H60" i="3" s="1"/>
  <c r="Q7" i="6" a="1"/>
  <c r="Q7" i="6" s="1"/>
  <c r="Q8" i="6" s="1" a="1"/>
  <c r="Q8" i="6" s="1"/>
  <c r="BZ42" i="3"/>
  <c r="H76" i="3" s="1"/>
  <c r="BZ49" i="3"/>
  <c r="H87" i="3" s="1"/>
  <c r="BZ51" i="3"/>
  <c r="H97" i="3" s="1"/>
  <c r="G16" i="46"/>
  <c r="BZ30" i="3"/>
  <c r="I57" i="3" s="1"/>
  <c r="G18" i="46"/>
  <c r="BZ11" i="3"/>
  <c r="I12" i="3" s="1"/>
  <c r="BZ21" i="3"/>
  <c r="H31" i="3" s="1"/>
  <c r="BZ16" i="3"/>
  <c r="I25" i="3" s="1"/>
  <c r="BZ37" i="3"/>
  <c r="H65" i="3" s="1"/>
  <c r="BZ35" i="3"/>
  <c r="H64" i="3" s="1"/>
  <c r="BZ33" i="3"/>
  <c r="H55" i="3" s="1"/>
  <c r="BZ19" i="3"/>
  <c r="I31" i="3" s="1"/>
  <c r="BZ24" i="3"/>
  <c r="H37" i="3" s="1"/>
  <c r="G15" i="46"/>
  <c r="G17" i="46"/>
  <c r="BZ20" i="3"/>
  <c r="I30" i="3" s="1"/>
  <c r="BZ46" i="3"/>
  <c r="H84" i="3" s="1"/>
  <c r="BZ7" i="3"/>
  <c r="I6" i="3" s="1"/>
  <c r="BZ36" i="3"/>
  <c r="H61" i="3" s="1"/>
  <c r="BZ14" i="3"/>
  <c r="H23" i="3" s="1"/>
  <c r="BZ43" i="3"/>
  <c r="I79" i="3" s="1"/>
  <c r="BZ47" i="3"/>
  <c r="H89" i="3" s="1"/>
  <c r="BZ8" i="3"/>
  <c r="I7" i="3" s="1"/>
  <c r="BZ50" i="3"/>
  <c r="H92" i="3" s="1"/>
  <c r="BZ45" i="3"/>
  <c r="H81" i="3" s="1"/>
  <c r="BZ40" i="3"/>
  <c r="I73" i="3" s="1"/>
  <c r="BZ22" i="3"/>
  <c r="H36" i="3" s="1"/>
  <c r="BZ13" i="3"/>
  <c r="H16" i="3" s="1"/>
  <c r="BZ39" i="3"/>
  <c r="H73" i="3" s="1"/>
  <c r="BZ29" i="3"/>
  <c r="I45" i="3" s="1"/>
  <c r="BZ28" i="3"/>
  <c r="I48" i="3" s="1"/>
  <c r="BZ9" i="3"/>
  <c r="H8" i="3" s="1"/>
  <c r="BZ44" i="3"/>
  <c r="I80" i="3" s="1"/>
  <c r="BZ10" i="3"/>
  <c r="I16" i="3" s="1"/>
  <c r="BZ31" i="3"/>
  <c r="I55" i="3" s="1"/>
  <c r="BZ27" i="3"/>
  <c r="I44" i="3" s="1"/>
  <c r="BZ6" i="3"/>
  <c r="H4" i="3" s="1"/>
  <c r="BZ26" i="3"/>
  <c r="H44" i="3" s="1"/>
  <c r="BZ12" i="3"/>
  <c r="H13" i="3" s="1"/>
  <c r="BZ15" i="3"/>
  <c r="H25" i="3" s="1"/>
  <c r="BZ48" i="3"/>
  <c r="I89" i="3" s="1"/>
  <c r="BZ41" i="3"/>
  <c r="H72" i="3" s="1"/>
  <c r="BZ23" i="3"/>
  <c r="I36" i="3" s="1"/>
  <c r="BZ53" i="3"/>
  <c r="H95" i="3" s="1"/>
  <c r="BZ32" i="3"/>
  <c r="I54" i="3" s="1"/>
  <c r="BZ17" i="3"/>
  <c r="I21" i="3" s="1"/>
  <c r="BZ25" i="3"/>
  <c r="H39" i="3" s="1"/>
  <c r="BZ52" i="3"/>
  <c r="I94" i="3" s="1"/>
  <c r="BZ18" i="3"/>
  <c r="H30" i="3" s="1"/>
  <c r="BZ38" i="3"/>
  <c r="I72" i="3" s="1"/>
  <c r="E22" i="48"/>
  <c r="F21" i="48" a="1"/>
  <c r="F21" i="48" s="1"/>
  <c r="I23" i="3" l="1"/>
  <c r="I87" i="3"/>
  <c r="H62" i="3"/>
  <c r="I84" i="3"/>
  <c r="I65" i="3"/>
  <c r="H88" i="3"/>
  <c r="I85" i="3"/>
  <c r="CB48" i="3" s="1"/>
  <c r="H63" i="3"/>
  <c r="I61" i="3"/>
  <c r="H49" i="3"/>
  <c r="H47" i="3"/>
  <c r="CB27" i="3" s="1"/>
  <c r="I81" i="3"/>
  <c r="H78" i="3"/>
  <c r="H21" i="3"/>
  <c r="I33" i="3"/>
  <c r="I14" i="3"/>
  <c r="CB13" i="3" s="1"/>
  <c r="I88" i="3"/>
  <c r="H94" i="3"/>
  <c r="I60" i="3"/>
  <c r="H86" i="3"/>
  <c r="H32" i="3"/>
  <c r="I77" i="3"/>
  <c r="H45" i="3"/>
  <c r="I17" i="3"/>
  <c r="H24" i="3"/>
  <c r="I29" i="3"/>
  <c r="H22" i="3"/>
  <c r="H46" i="3"/>
  <c r="H77" i="3"/>
  <c r="CA45" i="3" s="1"/>
  <c r="H15" i="3"/>
  <c r="I4" i="3"/>
  <c r="CA6" i="3" s="1"/>
  <c r="I15" i="3"/>
  <c r="CA46" i="3" s="1"/>
  <c r="I95" i="3"/>
  <c r="I92" i="3"/>
  <c r="I62" i="3"/>
  <c r="CA34" i="3" s="1"/>
  <c r="I64" i="3"/>
  <c r="I63" i="3"/>
  <c r="I52" i="3"/>
  <c r="H57" i="3"/>
  <c r="I53" i="3"/>
  <c r="H38" i="3"/>
  <c r="I32" i="3"/>
  <c r="H56" i="3"/>
  <c r="I22" i="3"/>
  <c r="I41" i="3"/>
  <c r="I78" i="3"/>
  <c r="H40" i="3"/>
  <c r="I39" i="3"/>
  <c r="H33" i="3"/>
  <c r="H12" i="3"/>
  <c r="H70" i="3"/>
  <c r="H79" i="3"/>
  <c r="CB43" i="3" s="1"/>
  <c r="I24" i="3"/>
  <c r="H20" i="3"/>
  <c r="I56" i="3"/>
  <c r="H28" i="3"/>
  <c r="I93" i="3"/>
  <c r="H52" i="3"/>
  <c r="I28" i="3"/>
  <c r="CB18" i="3" s="1"/>
  <c r="H54" i="3"/>
  <c r="I40" i="3"/>
  <c r="CB23" i="3" s="1"/>
  <c r="I71" i="3"/>
  <c r="I76" i="3"/>
  <c r="H96" i="3"/>
  <c r="I68" i="3"/>
  <c r="H80" i="3"/>
  <c r="H5" i="3"/>
  <c r="I49" i="3"/>
  <c r="H85" i="3"/>
  <c r="CB49" i="3" s="1"/>
  <c r="I70" i="3"/>
  <c r="I8" i="3"/>
  <c r="I46" i="3"/>
  <c r="CB26" i="3" s="1"/>
  <c r="I37" i="3"/>
  <c r="I86" i="3"/>
  <c r="H69" i="3"/>
  <c r="H7" i="3"/>
  <c r="H41" i="3"/>
  <c r="I9" i="3"/>
  <c r="H71" i="3"/>
  <c r="I13" i="3"/>
  <c r="CB12" i="3" s="1"/>
  <c r="I38" i="3"/>
  <c r="I47" i="3"/>
  <c r="H14" i="3"/>
  <c r="H53" i="3"/>
  <c r="CB33" i="3" s="1"/>
  <c r="H48" i="3"/>
  <c r="H17" i="3"/>
  <c r="Q9" i="6" a="1"/>
  <c r="Q9" i="6" s="1"/>
  <c r="G19" i="46"/>
  <c r="I97" i="3"/>
  <c r="CB51" i="3" s="1"/>
  <c r="H68" i="3"/>
  <c r="I20" i="3"/>
  <c r="I96" i="3"/>
  <c r="H29" i="3"/>
  <c r="H93" i="3"/>
  <c r="H6" i="3"/>
  <c r="H9" i="3"/>
  <c r="I5" i="3"/>
  <c r="I69" i="3"/>
  <c r="CA16" i="3"/>
  <c r="CB16" i="3"/>
  <c r="CA53" i="3"/>
  <c r="CB53" i="3"/>
  <c r="CA47" i="3"/>
  <c r="CB46" i="3"/>
  <c r="CB47" i="3"/>
  <c r="E23" i="48"/>
  <c r="F22" i="48" a="1"/>
  <c r="F22" i="48" s="1"/>
  <c r="CA43" i="3" l="1"/>
  <c r="CC43" i="3" s="1"/>
  <c r="CB37" i="3"/>
  <c r="CA36" i="3"/>
  <c r="CA52" i="3"/>
  <c r="CB36" i="3"/>
  <c r="CA20" i="3"/>
  <c r="CA31" i="3"/>
  <c r="CA19" i="3"/>
  <c r="CB44" i="3"/>
  <c r="CB42" i="3"/>
  <c r="CB45" i="3"/>
  <c r="CA27" i="3"/>
  <c r="CC27" i="3" s="1"/>
  <c r="CA12" i="3"/>
  <c r="CC12" i="3" s="1"/>
  <c r="CA50" i="3"/>
  <c r="CB20" i="3"/>
  <c r="CB31" i="3"/>
  <c r="CA11" i="3"/>
  <c r="CA44" i="3"/>
  <c r="CB9" i="3"/>
  <c r="CA42" i="3"/>
  <c r="CC42" i="3" s="1"/>
  <c r="CA18" i="3"/>
  <c r="CC18" i="3" s="1"/>
  <c r="CA14" i="3"/>
  <c r="CB14" i="3"/>
  <c r="CA15" i="3"/>
  <c r="CB17" i="3"/>
  <c r="CB15" i="3"/>
  <c r="CA17" i="3"/>
  <c r="CB6" i="3"/>
  <c r="CC6" i="3" s="1"/>
  <c r="CB39" i="3"/>
  <c r="CC46" i="3"/>
  <c r="CB50" i="3"/>
  <c r="CA48" i="3"/>
  <c r="CC48" i="3" s="1"/>
  <c r="CA49" i="3"/>
  <c r="CC49" i="3" s="1"/>
  <c r="CB35" i="3"/>
  <c r="CA30" i="3"/>
  <c r="CB11" i="3"/>
  <c r="CA13" i="3"/>
  <c r="CC13" i="3" s="1"/>
  <c r="CB10" i="3"/>
  <c r="CA10" i="3"/>
  <c r="CA9" i="3"/>
  <c r="CB34" i="3"/>
  <c r="CC34" i="3" s="1"/>
  <c r="CA8" i="3"/>
  <c r="CA28" i="3"/>
  <c r="CA29" i="3"/>
  <c r="CA40" i="3"/>
  <c r="CB8" i="3"/>
  <c r="CA35" i="3"/>
  <c r="CB28" i="3"/>
  <c r="CA21" i="3"/>
  <c r="CB29" i="3"/>
  <c r="CA7" i="3"/>
  <c r="CB7" i="3"/>
  <c r="CB30" i="3"/>
  <c r="CB24" i="3"/>
  <c r="CB21" i="3"/>
  <c r="CA51" i="3"/>
  <c r="CC51" i="3" s="1"/>
  <c r="CB22" i="3"/>
  <c r="CB52" i="3"/>
  <c r="CC52" i="3" s="1"/>
  <c r="CB32" i="3"/>
  <c r="CA33" i="3"/>
  <c r="CC33" i="3" s="1"/>
  <c r="CA32" i="3"/>
  <c r="CA37" i="3"/>
  <c r="CB38" i="3"/>
  <c r="CA24" i="3"/>
  <c r="CA26" i="3"/>
  <c r="CC26" i="3" s="1"/>
  <c r="CA25" i="3"/>
  <c r="CB19" i="3"/>
  <c r="CB25" i="3"/>
  <c r="CA23" i="3"/>
  <c r="CC23" i="3" s="1"/>
  <c r="CA38" i="3"/>
  <c r="CA41" i="3"/>
  <c r="CA22" i="3"/>
  <c r="CA39" i="3"/>
  <c r="CB41" i="3"/>
  <c r="CB40" i="3"/>
  <c r="Q10" i="6" a="1"/>
  <c r="Q10" i="6" s="1"/>
  <c r="Q11" i="6" s="1" a="1"/>
  <c r="Q11" i="6" s="1"/>
  <c r="Q12" i="6" s="1" a="1"/>
  <c r="Q12" i="6" s="1"/>
  <c r="CC16" i="3"/>
  <c r="CC47" i="3"/>
  <c r="CC53" i="3"/>
  <c r="CC45" i="3"/>
  <c r="E24" i="48"/>
  <c r="F23" i="48" a="1"/>
  <c r="F23" i="48" s="1"/>
  <c r="CC37" i="3" l="1"/>
  <c r="CC36" i="3"/>
  <c r="CC19" i="3"/>
  <c r="CC31" i="3"/>
  <c r="CC20" i="3"/>
  <c r="CC44" i="3"/>
  <c r="CC50" i="3"/>
  <c r="CC11" i="3"/>
  <c r="CC9" i="3"/>
  <c r="CC14" i="3"/>
  <c r="CC15" i="3"/>
  <c r="CC17" i="3"/>
  <c r="CC39" i="3"/>
  <c r="CC30" i="3"/>
  <c r="CC35" i="3"/>
  <c r="CC10" i="3"/>
  <c r="CC21" i="3"/>
  <c r="CC8" i="3"/>
  <c r="CC40" i="3"/>
  <c r="CC24" i="3"/>
  <c r="CC7" i="3"/>
  <c r="CC29" i="3"/>
  <c r="CC28" i="3"/>
  <c r="CC22" i="3"/>
  <c r="CC32" i="3"/>
  <c r="CC41" i="3"/>
  <c r="CC38" i="3"/>
  <c r="CC25" i="3"/>
  <c r="Q13" i="6" a="1"/>
  <c r="Q13" i="6" s="1"/>
  <c r="Q14" i="6" s="1" a="1"/>
  <c r="Q14" i="6" s="1"/>
  <c r="Q15" i="6" s="1" a="1"/>
  <c r="Q15" i="6" s="1"/>
  <c r="Q16" i="6" s="1" a="1"/>
  <c r="Q16" i="6" s="1"/>
  <c r="Q17" i="6" s="1" a="1"/>
  <c r="Q17" i="6" s="1"/>
  <c r="Q18" i="6" s="1" a="1"/>
  <c r="Q18" i="6" s="1"/>
  <c r="Q19" i="6" s="1" a="1"/>
  <c r="Q19" i="6" s="1"/>
  <c r="F24" i="48" a="1"/>
  <c r="F24" i="48" s="1"/>
  <c r="E25" i="48"/>
  <c r="CD51" i="3" l="1"/>
  <c r="CD52" i="3"/>
  <c r="CD46" i="3"/>
  <c r="CD47" i="3"/>
  <c r="CD7" i="3"/>
  <c r="CD48" i="3"/>
  <c r="CD10" i="3"/>
  <c r="CD8" i="3"/>
  <c r="CD15" i="3"/>
  <c r="CD42" i="3"/>
  <c r="CD11" i="3"/>
  <c r="CD28" i="3"/>
  <c r="CD49" i="3"/>
  <c r="CD16" i="3"/>
  <c r="CD14" i="3"/>
  <c r="CD13" i="3"/>
  <c r="CD17" i="3"/>
  <c r="CD24" i="3"/>
  <c r="CD31" i="3"/>
  <c r="CD50" i="3"/>
  <c r="CD53" i="3"/>
  <c r="CD36" i="3"/>
  <c r="CD18" i="3"/>
  <c r="CD20" i="3"/>
  <c r="CD12" i="3"/>
  <c r="CD9" i="3"/>
  <c r="CD32" i="3"/>
  <c r="CD30" i="3"/>
  <c r="CD6" i="3"/>
  <c r="CD33" i="3"/>
  <c r="CD22" i="3"/>
  <c r="CD34" i="3"/>
  <c r="CD21" i="3"/>
  <c r="CD26" i="3"/>
  <c r="CD40" i="3"/>
  <c r="CD41" i="3"/>
  <c r="CD39" i="3"/>
  <c r="CD29" i="3"/>
  <c r="CD38" i="3"/>
  <c r="CD35" i="3"/>
  <c r="CD25" i="3"/>
  <c r="CD23" i="3"/>
  <c r="CD45" i="3"/>
  <c r="CD44" i="3"/>
  <c r="CD43" i="3"/>
  <c r="CD37" i="3"/>
  <c r="CD27" i="3"/>
  <c r="CD19" i="3"/>
  <c r="F5" i="51"/>
  <c r="K1" i="50"/>
  <c r="J1" i="48"/>
  <c r="Q47" i="6" a="1"/>
  <c r="Q47" i="6" s="1"/>
  <c r="Q50" i="6" a="1"/>
  <c r="Q50" i="6" s="1"/>
  <c r="Q40" i="6" a="1"/>
  <c r="Q40" i="6" s="1"/>
  <c r="G71" i="46"/>
  <c r="G47" i="46"/>
  <c r="G27" i="46"/>
  <c r="G28" i="46"/>
  <c r="G65" i="46"/>
  <c r="G35" i="46"/>
  <c r="G46" i="46"/>
  <c r="G52" i="46"/>
  <c r="G50" i="46"/>
  <c r="G44" i="46"/>
  <c r="G41" i="46"/>
  <c r="G21" i="46"/>
  <c r="G26" i="46"/>
  <c r="G49" i="46"/>
  <c r="G23" i="46"/>
  <c r="G22" i="46"/>
  <c r="G69" i="46"/>
  <c r="G29" i="46"/>
  <c r="G57" i="46"/>
  <c r="G43" i="46"/>
  <c r="G45" i="46"/>
  <c r="G62" i="46"/>
  <c r="G40" i="46"/>
  <c r="G59" i="46"/>
  <c r="G51" i="46"/>
  <c r="G32" i="46"/>
  <c r="G34" i="46"/>
  <c r="G97" i="46"/>
  <c r="G67" i="46"/>
  <c r="G53" i="46"/>
  <c r="G38" i="46"/>
  <c r="G24" i="46"/>
  <c r="G73" i="46"/>
  <c r="G37" i="46"/>
  <c r="G118" i="46"/>
  <c r="G48" i="46"/>
  <c r="G98" i="46"/>
  <c r="G158" i="46"/>
  <c r="G91" i="46"/>
  <c r="G70" i="46"/>
  <c r="G99" i="46"/>
  <c r="G25" i="46"/>
  <c r="G33" i="46"/>
  <c r="G61" i="46"/>
  <c r="G76" i="46"/>
  <c r="G60" i="46"/>
  <c r="G39" i="46"/>
  <c r="G75" i="46"/>
  <c r="G116" i="46"/>
  <c r="G30" i="46"/>
  <c r="G64" i="46"/>
  <c r="G77" i="46"/>
  <c r="G66" i="46"/>
  <c r="G42" i="46"/>
  <c r="G120" i="46"/>
  <c r="G31" i="46"/>
  <c r="G102" i="46"/>
  <c r="G36" i="46"/>
  <c r="G119" i="46"/>
  <c r="G63" i="46"/>
  <c r="G56" i="46"/>
  <c r="G55" i="46"/>
  <c r="G58" i="46"/>
  <c r="G121" i="46"/>
  <c r="G142" i="46"/>
  <c r="G109" i="46"/>
  <c r="G176" i="46"/>
  <c r="G232" i="46"/>
  <c r="G253" i="46"/>
  <c r="G247" i="46"/>
  <c r="G54" i="46"/>
  <c r="G113" i="46"/>
  <c r="G202" i="46"/>
  <c r="G96" i="46"/>
  <c r="G212" i="46"/>
  <c r="G68" i="46"/>
  <c r="G220" i="46"/>
  <c r="G124" i="46"/>
  <c r="G203" i="46"/>
  <c r="G213" i="46"/>
  <c r="G85" i="46"/>
  <c r="G161" i="46"/>
  <c r="G258" i="46"/>
  <c r="G92" i="46"/>
  <c r="G141" i="46"/>
  <c r="G93" i="46"/>
  <c r="G115" i="46"/>
  <c r="G252" i="46"/>
  <c r="G150" i="46"/>
  <c r="G221" i="46"/>
  <c r="G186" i="46"/>
  <c r="G200" i="46"/>
  <c r="G132" i="46"/>
  <c r="G184" i="46"/>
  <c r="G189" i="46"/>
  <c r="G255" i="46"/>
  <c r="G151" i="46"/>
  <c r="G131" i="46"/>
  <c r="G105" i="46"/>
  <c r="G148" i="46"/>
  <c r="G228" i="46"/>
  <c r="G155" i="46"/>
  <c r="G227" i="46"/>
  <c r="G222" i="46"/>
  <c r="G154" i="46"/>
  <c r="G257" i="46"/>
  <c r="G143" i="46"/>
  <c r="G108" i="46"/>
  <c r="G192" i="46"/>
  <c r="G80" i="46"/>
  <c r="G214" i="46"/>
  <c r="G185" i="46"/>
  <c r="G240" i="46"/>
  <c r="G175" i="46"/>
  <c r="G215" i="46"/>
  <c r="G144" i="46"/>
  <c r="G138" i="46"/>
  <c r="G201" i="46"/>
  <c r="G137" i="46"/>
  <c r="G122" i="46"/>
  <c r="G171" i="46"/>
  <c r="G237" i="46"/>
  <c r="G74" i="46"/>
  <c r="G130" i="46"/>
  <c r="G172" i="46"/>
  <c r="G226" i="46"/>
  <c r="G117" i="46"/>
  <c r="G94" i="46"/>
  <c r="G107" i="46"/>
  <c r="G139" i="46"/>
  <c r="G159" i="46"/>
  <c r="G160" i="46"/>
  <c r="G147" i="46"/>
  <c r="G135" i="46"/>
  <c r="G86" i="46"/>
  <c r="G88" i="46"/>
  <c r="G149" i="46"/>
  <c r="G104" i="46"/>
  <c r="G197" i="46"/>
  <c r="G100" i="46"/>
  <c r="G87" i="46"/>
  <c r="G126" i="46"/>
  <c r="G256" i="46"/>
  <c r="G173" i="46"/>
  <c r="G83" i="46"/>
  <c r="G166" i="46"/>
  <c r="G133" i="46"/>
  <c r="G136" i="46"/>
  <c r="G111" i="46"/>
  <c r="G72" i="46"/>
  <c r="G193" i="46"/>
  <c r="G123" i="46"/>
  <c r="G210" i="46"/>
  <c r="G178" i="46"/>
  <c r="G179" i="46"/>
  <c r="G167" i="46"/>
  <c r="G170" i="46"/>
  <c r="G156" i="46"/>
  <c r="G233" i="46"/>
  <c r="G164" i="46"/>
  <c r="G89" i="46"/>
  <c r="G127" i="46"/>
  <c r="G82" i="46"/>
  <c r="G204" i="46"/>
  <c r="G84" i="46"/>
  <c r="G183" i="46"/>
  <c r="G101" i="46"/>
  <c r="G140" i="46"/>
  <c r="G251" i="46"/>
  <c r="G165" i="46"/>
  <c r="G125" i="46"/>
  <c r="G254" i="46"/>
  <c r="G110" i="46"/>
  <c r="G190" i="46"/>
  <c r="G207" i="46"/>
  <c r="G103" i="46"/>
  <c r="G106" i="46"/>
  <c r="G134" i="46"/>
  <c r="G223" i="46"/>
  <c r="G145" i="46"/>
  <c r="G196" i="46"/>
  <c r="G195" i="46"/>
  <c r="G191" i="46"/>
  <c r="G188" i="46"/>
  <c r="G81" i="46"/>
  <c r="G217" i="46"/>
  <c r="G168" i="46"/>
  <c r="G146" i="46"/>
  <c r="G153" i="46"/>
  <c r="G169" i="46"/>
  <c r="G174" i="46"/>
  <c r="G182" i="46"/>
  <c r="G250" i="46"/>
  <c r="G216" i="46"/>
  <c r="G114" i="46"/>
  <c r="G152" i="46"/>
  <c r="G206" i="46"/>
  <c r="G241" i="46"/>
  <c r="G112" i="46"/>
  <c r="G236" i="46"/>
  <c r="G244" i="46"/>
  <c r="G205" i="46"/>
  <c r="G95" i="46"/>
  <c r="G211" i="46"/>
  <c r="G229" i="46"/>
  <c r="G157" i="46"/>
  <c r="G90" i="46"/>
  <c r="G187" i="46"/>
  <c r="G194" i="46"/>
  <c r="G177" i="46"/>
  <c r="Q63" i="6" a="1"/>
  <c r="Q63" i="6" s="1"/>
  <c r="Q58" i="6" a="1"/>
  <c r="Q58" i="6" s="1"/>
  <c r="Q45" i="6" a="1"/>
  <c r="Q45" i="6" s="1"/>
  <c r="Q60" i="6" a="1"/>
  <c r="Q60" i="6" s="1"/>
  <c r="Q64" i="6" a="1"/>
  <c r="Q64" i="6" s="1"/>
  <c r="Q48" i="6" a="1"/>
  <c r="Q48" i="6" s="1"/>
  <c r="Q42" i="6" a="1"/>
  <c r="Q42" i="6" s="1"/>
  <c r="Q52" i="6" a="1"/>
  <c r="Q52" i="6" s="1"/>
  <c r="Q62" i="6" a="1"/>
  <c r="Q62" i="6" s="1"/>
  <c r="Q41" i="6" a="1"/>
  <c r="Q41" i="6" s="1"/>
  <c r="Q61" i="6" a="1"/>
  <c r="Q61" i="6" s="1"/>
  <c r="E26" i="48"/>
  <c r="F25" i="48" a="1"/>
  <c r="F25" i="48" s="1"/>
  <c r="Q49" i="6" a="1"/>
  <c r="Q49" i="6" s="1"/>
  <c r="Q53" i="6" a="1"/>
  <c r="Q53" i="6" s="1"/>
  <c r="Q55" i="6" a="1"/>
  <c r="Q55" i="6" s="1"/>
  <c r="Q57" i="6" a="1"/>
  <c r="Q57" i="6" s="1"/>
  <c r="Q59" i="6" a="1"/>
  <c r="Q59" i="6" s="1"/>
  <c r="Q56" i="6" a="1"/>
  <c r="Q56" i="6" s="1"/>
  <c r="Q44" i="6" a="1"/>
  <c r="Q44" i="6" s="1"/>
  <c r="Q54" i="6" a="1"/>
  <c r="Q54" i="6" s="1"/>
  <c r="Q51" i="6" a="1"/>
  <c r="Q51" i="6" s="1"/>
  <c r="Q46" i="6" a="1"/>
  <c r="Q46" i="6" s="1"/>
  <c r="Q43" i="6" a="1"/>
  <c r="Q43" i="6" s="1"/>
  <c r="R40" i="6" l="1" a="1"/>
  <c r="R40" i="6" s="1"/>
  <c r="D21" i="48" a="1"/>
  <c r="D21" i="48" s="1"/>
  <c r="D25" i="48" a="1"/>
  <c r="D25" i="48" s="1"/>
  <c r="D29" i="48" a="1"/>
  <c r="D29" i="48" s="1"/>
  <c r="D33" i="48" a="1"/>
  <c r="D33" i="48" s="1"/>
  <c r="D22" i="48" a="1"/>
  <c r="D22" i="48" s="1"/>
  <c r="D26" i="48" a="1"/>
  <c r="D26" i="48" s="1"/>
  <c r="D30" i="48" a="1"/>
  <c r="D30" i="48" s="1"/>
  <c r="D34" i="48" a="1"/>
  <c r="D34" i="48" s="1"/>
  <c r="D23" i="48" a="1"/>
  <c r="D23" i="48" s="1"/>
  <c r="D27" i="48" a="1"/>
  <c r="D27" i="48" s="1"/>
  <c r="D31" i="48" a="1"/>
  <c r="D31" i="48" s="1"/>
  <c r="D35" i="48" a="1"/>
  <c r="D35" i="48" s="1"/>
  <c r="D20" i="48" a="1"/>
  <c r="D20" i="48" s="1"/>
  <c r="D24" i="48" a="1"/>
  <c r="D24" i="48" s="1"/>
  <c r="D28" i="48" a="1"/>
  <c r="D28" i="48" s="1"/>
  <c r="D32" i="48" a="1"/>
  <c r="D32" i="48" s="1"/>
  <c r="CE34" i="3"/>
  <c r="L65" i="3" s="1"/>
  <c r="CE42" i="3"/>
  <c r="L81" i="3" s="1"/>
  <c r="CE24" i="3"/>
  <c r="L38" i="3" s="1"/>
  <c r="CE14" i="3"/>
  <c r="K23" i="3" s="1"/>
  <c r="CE51" i="3"/>
  <c r="K97" i="3" s="1"/>
  <c r="CE45" i="3"/>
  <c r="K79" i="3" s="1"/>
  <c r="CE48" i="3"/>
  <c r="L89" i="3" s="1"/>
  <c r="CE18" i="3"/>
  <c r="K30" i="3" s="1"/>
  <c r="CE6" i="3"/>
  <c r="K4" i="3" s="1"/>
  <c r="CE47" i="3"/>
  <c r="L87" i="3" s="1"/>
  <c r="CE32" i="3"/>
  <c r="L56" i="3" s="1"/>
  <c r="CE43" i="3"/>
  <c r="L79" i="3" s="1"/>
  <c r="CE25" i="3"/>
  <c r="L37" i="3" s="1"/>
  <c r="CE8" i="3"/>
  <c r="L9" i="3" s="1"/>
  <c r="CE16" i="3"/>
  <c r="K21" i="3" s="1"/>
  <c r="CE38" i="3"/>
  <c r="K70" i="3" s="1"/>
  <c r="CE13" i="3"/>
  <c r="K14" i="3" s="1"/>
  <c r="CE53" i="3"/>
  <c r="L93" i="3" s="1"/>
  <c r="CE27" i="3"/>
  <c r="L44" i="3" s="1"/>
  <c r="CE46" i="3"/>
  <c r="K84" i="3" s="1"/>
  <c r="CE20" i="3"/>
  <c r="L33" i="3" s="1"/>
  <c r="CE10" i="3"/>
  <c r="K15" i="3" s="1"/>
  <c r="CE37" i="3"/>
  <c r="L61" i="3" s="1"/>
  <c r="CE31" i="3"/>
  <c r="L52" i="3" s="1"/>
  <c r="CE9" i="3"/>
  <c r="L5" i="3" s="1"/>
  <c r="CE44" i="3"/>
  <c r="K77" i="3" s="1"/>
  <c r="CE7" i="3"/>
  <c r="K9" i="3" s="1"/>
  <c r="CE52" i="3"/>
  <c r="L97" i="3" s="1"/>
  <c r="CE29" i="3"/>
  <c r="K49" i="3" s="1"/>
  <c r="CE11" i="3"/>
  <c r="L14" i="3" s="1"/>
  <c r="CE26" i="3"/>
  <c r="K44" i="3" s="1"/>
  <c r="CE22" i="3"/>
  <c r="K36" i="3" s="1"/>
  <c r="CE23" i="3"/>
  <c r="L36" i="3" s="1"/>
  <c r="CE50" i="3"/>
  <c r="K92" i="3" s="1"/>
  <c r="CE36" i="3"/>
  <c r="L62" i="3" s="1"/>
  <c r="CE28" i="3"/>
  <c r="K45" i="3" s="1"/>
  <c r="CE12" i="3"/>
  <c r="K13" i="3" s="1"/>
  <c r="CE33" i="3"/>
  <c r="L53" i="3" s="1"/>
  <c r="CE15" i="3"/>
  <c r="K25" i="3" s="1"/>
  <c r="CE40" i="3"/>
  <c r="L73" i="3" s="1"/>
  <c r="CE21" i="3"/>
  <c r="K31" i="3" s="1"/>
  <c r="CE41" i="3"/>
  <c r="L69" i="3" s="1"/>
  <c r="CE49" i="3"/>
  <c r="L85" i="3" s="1"/>
  <c r="CE30" i="3"/>
  <c r="K52" i="3" s="1"/>
  <c r="CE17" i="3"/>
  <c r="L21" i="3" s="1"/>
  <c r="CE39" i="3"/>
  <c r="L68" i="3" s="1"/>
  <c r="CE35" i="3"/>
  <c r="L63" i="3" s="1"/>
  <c r="CE19" i="3"/>
  <c r="L31" i="3" s="1"/>
  <c r="E27" i="48"/>
  <c r="F26" i="48" a="1"/>
  <c r="F26" i="48" s="1"/>
  <c r="A21" i="50" a="1"/>
  <c r="A21" i="50" s="1"/>
  <c r="A28" i="50" a="1"/>
  <c r="A28" i="50" s="1"/>
  <c r="A26" i="50" a="1"/>
  <c r="A26" i="50" s="1"/>
  <c r="B32" i="51"/>
  <c r="B22" i="51"/>
  <c r="A27" i="48" a="1"/>
  <c r="A27" i="48" s="1"/>
  <c r="A34" i="48" a="1"/>
  <c r="A34" i="48" s="1"/>
  <c r="B33" i="51"/>
  <c r="A20" i="50" a="1"/>
  <c r="A20" i="50" s="1"/>
  <c r="B31" i="51"/>
  <c r="B44" i="51"/>
  <c r="A28" i="48" a="1"/>
  <c r="A28" i="48" s="1"/>
  <c r="A32" i="50" a="1"/>
  <c r="A32" i="50" s="1"/>
  <c r="B35" i="51"/>
  <c r="B25" i="51"/>
  <c r="A29" i="48" a="1"/>
  <c r="A29" i="48" s="1"/>
  <c r="B43" i="51"/>
  <c r="B23" i="51"/>
  <c r="B2" i="48" a="1"/>
  <c r="B2" i="48" s="1"/>
  <c r="A22" i="50" a="1"/>
  <c r="A22" i="50" s="1"/>
  <c r="A31" i="50" a="1"/>
  <c r="A31" i="50" s="1"/>
  <c r="B27" i="51"/>
  <c r="A24" i="48" a="1"/>
  <c r="A24" i="48" s="1"/>
  <c r="B39" i="51"/>
  <c r="A25" i="50" a="1"/>
  <c r="A25" i="50" s="1"/>
  <c r="B36" i="51"/>
  <c r="B40" i="51"/>
  <c r="B37" i="51"/>
  <c r="A27" i="50" a="1"/>
  <c r="A27" i="50" s="1"/>
  <c r="A33" i="48" a="1"/>
  <c r="A33" i="48" s="1"/>
  <c r="A42" i="48" a="1"/>
  <c r="A42" i="48" s="1"/>
  <c r="A34" i="50" a="1"/>
  <c r="A34" i="50" s="1"/>
  <c r="A24" i="50" a="1"/>
  <c r="A24" i="50" s="1"/>
  <c r="A20" i="48" a="1"/>
  <c r="A20" i="48" s="1"/>
  <c r="A22" i="48" a="1"/>
  <c r="A22" i="48" s="1"/>
  <c r="A33" i="50" a="1"/>
  <c r="A33" i="50" s="1"/>
  <c r="A23" i="48" a="1"/>
  <c r="A23" i="48" s="1"/>
  <c r="A30" i="48" a="1"/>
  <c r="A30" i="48" s="1"/>
  <c r="A31" i="48" a="1"/>
  <c r="A31" i="48" s="1"/>
  <c r="A25" i="48" a="1"/>
  <c r="A25" i="48" s="1"/>
  <c r="A21" i="48" a="1"/>
  <c r="A21" i="48" s="1"/>
  <c r="A26" i="48" a="1"/>
  <c r="A26" i="48" s="1"/>
  <c r="A35" i="50" a="1"/>
  <c r="A35" i="50" s="1"/>
  <c r="A29" i="50" a="1"/>
  <c r="A29" i="50" s="1"/>
  <c r="A35" i="48" a="1"/>
  <c r="A35" i="48" s="1"/>
  <c r="A23" i="50" a="1"/>
  <c r="A23" i="50" s="1"/>
  <c r="A32" i="48" a="1"/>
  <c r="A32" i="48" s="1"/>
  <c r="A30" i="50" a="1"/>
  <c r="A30" i="50" s="1"/>
  <c r="B24" i="51"/>
  <c r="B38" i="51"/>
  <c r="B45" i="51"/>
  <c r="B28" i="51"/>
  <c r="B34" i="51"/>
  <c r="B30" i="51"/>
  <c r="B29" i="51"/>
  <c r="B41" i="51"/>
  <c r="B42" i="51"/>
  <c r="B26" i="51"/>
  <c r="E8" i="51"/>
  <c r="K96" i="3" l="1"/>
  <c r="K60" i="3"/>
  <c r="K41" i="3"/>
  <c r="K39" i="3"/>
  <c r="K62" i="3"/>
  <c r="K89" i="3"/>
  <c r="CF48" i="3" s="1"/>
  <c r="K95" i="3"/>
  <c r="CF51" i="3" s="1"/>
  <c r="L84" i="3"/>
  <c r="CF46" i="3" s="1"/>
  <c r="K78" i="3"/>
  <c r="K76" i="3"/>
  <c r="L95" i="3"/>
  <c r="L92" i="3"/>
  <c r="CF50" i="3" s="1"/>
  <c r="K29" i="3"/>
  <c r="CF21" i="3" s="1"/>
  <c r="K94" i="3"/>
  <c r="CF52" i="3" s="1"/>
  <c r="L80" i="3"/>
  <c r="L78" i="3"/>
  <c r="CF42" i="3" s="1"/>
  <c r="L24" i="3"/>
  <c r="K80" i="3"/>
  <c r="L76" i="3"/>
  <c r="L88" i="3"/>
  <c r="K20" i="3"/>
  <c r="L40" i="3"/>
  <c r="CF23" i="3" s="1"/>
  <c r="K37" i="3"/>
  <c r="K48" i="3"/>
  <c r="L96" i="3"/>
  <c r="L30" i="3"/>
  <c r="K57" i="3"/>
  <c r="K5" i="3"/>
  <c r="K12" i="3"/>
  <c r="L16" i="3"/>
  <c r="K86" i="3"/>
  <c r="L17" i="3"/>
  <c r="L94" i="3"/>
  <c r="K93" i="3"/>
  <c r="K54" i="3"/>
  <c r="CF32" i="3" s="1"/>
  <c r="L57" i="3"/>
  <c r="K71" i="3"/>
  <c r="K72" i="3"/>
  <c r="L12" i="3"/>
  <c r="L49" i="3"/>
  <c r="K55" i="3"/>
  <c r="K81" i="3"/>
  <c r="K17" i="3"/>
  <c r="K85" i="3"/>
  <c r="L7" i="3"/>
  <c r="CF6" i="3" s="1"/>
  <c r="L77" i="3"/>
  <c r="L15" i="3"/>
  <c r="K47" i="3"/>
  <c r="CF27" i="3" s="1"/>
  <c r="L86" i="3"/>
  <c r="K65" i="3"/>
  <c r="K63" i="3"/>
  <c r="L45" i="3"/>
  <c r="K22" i="3"/>
  <c r="L60" i="3"/>
  <c r="CF34" i="3" s="1"/>
  <c r="K46" i="3"/>
  <c r="L23" i="3"/>
  <c r="L25" i="3"/>
  <c r="K24" i="3"/>
  <c r="L46" i="3"/>
  <c r="L48" i="3"/>
  <c r="K38" i="3"/>
  <c r="K69" i="3"/>
  <c r="L41" i="3"/>
  <c r="L70" i="3"/>
  <c r="CF38" i="3" s="1"/>
  <c r="K68" i="3"/>
  <c r="K56" i="3"/>
  <c r="L20" i="3"/>
  <c r="L32" i="3"/>
  <c r="L22" i="3"/>
  <c r="CF17" i="3" s="1"/>
  <c r="K8" i="3"/>
  <c r="K28" i="3"/>
  <c r="CF19" i="3" s="1"/>
  <c r="L28" i="3"/>
  <c r="CF18" i="3" s="1"/>
  <c r="L55" i="3"/>
  <c r="K33" i="3"/>
  <c r="K32" i="3"/>
  <c r="L72" i="3"/>
  <c r="K6" i="3"/>
  <c r="CF7" i="3" s="1"/>
  <c r="L13" i="3"/>
  <c r="CF12" i="3" s="1"/>
  <c r="K40" i="3"/>
  <c r="CF24" i="3" s="1"/>
  <c r="L8" i="3"/>
  <c r="K16" i="3"/>
  <c r="K7" i="3"/>
  <c r="K64" i="3"/>
  <c r="L39" i="3"/>
  <c r="L29" i="3"/>
  <c r="L71" i="3"/>
  <c r="K73" i="3"/>
  <c r="CF40" i="3" s="1"/>
  <c r="L6" i="3"/>
  <c r="K53" i="3"/>
  <c r="CF33" i="3" s="1"/>
  <c r="L4" i="3"/>
  <c r="L64" i="3"/>
  <c r="L54" i="3"/>
  <c r="K88" i="3"/>
  <c r="K87" i="3"/>
  <c r="K61" i="3"/>
  <c r="CF37" i="3" s="1"/>
  <c r="L47" i="3"/>
  <c r="CF29" i="3" s="1"/>
  <c r="CF49" i="3"/>
  <c r="CF45" i="3"/>
  <c r="CF47" i="3"/>
  <c r="CF16" i="3"/>
  <c r="CF53" i="3"/>
  <c r="CF13" i="3"/>
  <c r="CF28" i="3"/>
  <c r="E9" i="51"/>
  <c r="CF22" i="3"/>
  <c r="CF8" i="3"/>
  <c r="CF26" i="3"/>
  <c r="B46" i="51"/>
  <c r="B47" i="51" s="1"/>
  <c r="E10" i="51"/>
  <c r="E28" i="48"/>
  <c r="F27" i="48" a="1"/>
  <c r="F27" i="48" s="1"/>
  <c r="E12" i="51"/>
  <c r="E11" i="51"/>
  <c r="CF30" i="3" l="1"/>
  <c r="CF31" i="3"/>
  <c r="CF20" i="3"/>
  <c r="CF44" i="3"/>
  <c r="CF11" i="3"/>
  <c r="CF43" i="3"/>
  <c r="CF14" i="3"/>
  <c r="CF36" i="3"/>
  <c r="CF25" i="3"/>
  <c r="CF10" i="3"/>
  <c r="CF35" i="3"/>
  <c r="CF15" i="3"/>
  <c r="CF39" i="3"/>
  <c r="CF9" i="3"/>
  <c r="CF41" i="3"/>
  <c r="F12" i="51"/>
  <c r="F10" i="51"/>
  <c r="F11" i="51" s="1"/>
  <c r="F9" i="51"/>
  <c r="F8" i="51"/>
  <c r="E29" i="48"/>
  <c r="F28" i="48" a="1"/>
  <c r="F28" i="48" s="1"/>
  <c r="CG49" i="3" l="1"/>
  <c r="CG53" i="3"/>
  <c r="CG45" i="3"/>
  <c r="CG9" i="3"/>
  <c r="CG40" i="3"/>
  <c r="CG39" i="3"/>
  <c r="CG38" i="3"/>
  <c r="CG31" i="3"/>
  <c r="CG27" i="3"/>
  <c r="CG22" i="3"/>
  <c r="CG23" i="3"/>
  <c r="CG14" i="3"/>
  <c r="CG19" i="3"/>
  <c r="CG11" i="3"/>
  <c r="CG16" i="3"/>
  <c r="CG41" i="3"/>
  <c r="CG26" i="3"/>
  <c r="CG29" i="3"/>
  <c r="CG21" i="3"/>
  <c r="CG20" i="3"/>
  <c r="CG17" i="3"/>
  <c r="CG37" i="3"/>
  <c r="CG51" i="3"/>
  <c r="CG28" i="3"/>
  <c r="CG43" i="3"/>
  <c r="CG50" i="3"/>
  <c r="CG42" i="3"/>
  <c r="CG34" i="3"/>
  <c r="CG8" i="3"/>
  <c r="CG15" i="3"/>
  <c r="CG10" i="3"/>
  <c r="CG13" i="3"/>
  <c r="CG24" i="3"/>
  <c r="CG7" i="3"/>
  <c r="CG12" i="3"/>
  <c r="CG46" i="3"/>
  <c r="CG47" i="3"/>
  <c r="CG35" i="3"/>
  <c r="CG25" i="3"/>
  <c r="CG6" i="3"/>
  <c r="CG32" i="3"/>
  <c r="CG44" i="3"/>
  <c r="CG33" i="3"/>
  <c r="CG36" i="3"/>
  <c r="CG52" i="3"/>
  <c r="CG48" i="3"/>
  <c r="CG18" i="3"/>
  <c r="CG30" i="3"/>
  <c r="E30" i="48"/>
  <c r="F29" i="48" a="1"/>
  <c r="F29" i="48" s="1"/>
  <c r="CH48" i="3" l="1"/>
  <c r="N85" i="3" s="1"/>
  <c r="CH37" i="3"/>
  <c r="N63" i="3" s="1"/>
  <c r="CH36" i="3"/>
  <c r="N61" i="3" s="1"/>
  <c r="CH46" i="3"/>
  <c r="N86" i="3" s="1"/>
  <c r="CH34" i="3"/>
  <c r="O65" i="3" s="1"/>
  <c r="CH30" i="3"/>
  <c r="N54" i="3" s="1"/>
  <c r="CH9" i="3"/>
  <c r="N6" i="3" s="1"/>
  <c r="CH13" i="3"/>
  <c r="N14" i="3" s="1"/>
  <c r="CH28" i="3"/>
  <c r="CH41" i="3"/>
  <c r="N72" i="3" s="1"/>
  <c r="CH12" i="3"/>
  <c r="O17" i="3" s="1"/>
  <c r="CH53" i="3"/>
  <c r="N95" i="3" s="1"/>
  <c r="CH22" i="3"/>
  <c r="N38" i="3" s="1"/>
  <c r="CH25" i="3"/>
  <c r="N41" i="3" s="1"/>
  <c r="CH40" i="3"/>
  <c r="O73" i="3" s="1"/>
  <c r="CH18" i="3"/>
  <c r="N28" i="3" s="1"/>
  <c r="CH16" i="3"/>
  <c r="N21" i="3" s="1"/>
  <c r="CH52" i="3"/>
  <c r="O94" i="3" s="1"/>
  <c r="CH15" i="3"/>
  <c r="N25" i="3" s="1"/>
  <c r="CH44" i="3"/>
  <c r="N77" i="3" s="1"/>
  <c r="CH51" i="3"/>
  <c r="N97" i="3" s="1"/>
  <c r="CH42" i="3"/>
  <c r="N78" i="3" s="1"/>
  <c r="CH27" i="3"/>
  <c r="O44" i="3" s="1"/>
  <c r="CH14" i="3"/>
  <c r="O24" i="3" s="1"/>
  <c r="CH8" i="3"/>
  <c r="O7" i="3" s="1"/>
  <c r="CH19" i="3"/>
  <c r="O28" i="3" s="1"/>
  <c r="CH33" i="3"/>
  <c r="N57" i="3" s="1"/>
  <c r="CH7" i="3"/>
  <c r="O6" i="3" s="1"/>
  <c r="CH6" i="3"/>
  <c r="N7" i="3" s="1"/>
  <c r="CH35" i="3"/>
  <c r="O63" i="3" s="1"/>
  <c r="CH21" i="3"/>
  <c r="N32" i="3" s="1"/>
  <c r="CH38" i="3"/>
  <c r="O72" i="3" s="1"/>
  <c r="CH49" i="3"/>
  <c r="O85" i="3" s="1"/>
  <c r="CH11" i="3"/>
  <c r="O12" i="3" s="1"/>
  <c r="CH10" i="3"/>
  <c r="N12" i="3" s="1"/>
  <c r="CH47" i="3"/>
  <c r="O87" i="3" s="1"/>
  <c r="CH20" i="3"/>
  <c r="O30" i="3" s="1"/>
  <c r="CH32" i="3"/>
  <c r="N53" i="3" s="1"/>
  <c r="CH24" i="3"/>
  <c r="N37" i="3" s="1"/>
  <c r="CH45" i="3"/>
  <c r="O77" i="3" s="1"/>
  <c r="CH50" i="3"/>
  <c r="O96" i="3" s="1"/>
  <c r="CH43" i="3"/>
  <c r="O79" i="3" s="1"/>
  <c r="CH29" i="3"/>
  <c r="N49" i="3" s="1"/>
  <c r="CH17" i="3"/>
  <c r="O21" i="3" s="1"/>
  <c r="CH23" i="3"/>
  <c r="O36" i="3" s="1"/>
  <c r="CH31" i="3"/>
  <c r="N56" i="3" s="1"/>
  <c r="CH39" i="3"/>
  <c r="O68" i="3" s="1"/>
  <c r="CH26" i="3"/>
  <c r="N44" i="3" s="1"/>
  <c r="O86" i="3"/>
  <c r="O25" i="3"/>
  <c r="O89" i="3"/>
  <c r="O46" i="3"/>
  <c r="O48" i="3"/>
  <c r="N45" i="3"/>
  <c r="E31" i="48"/>
  <c r="F30" i="48" a="1"/>
  <c r="F30" i="48" s="1"/>
  <c r="N71" i="3" l="1"/>
  <c r="O88" i="3"/>
  <c r="O93" i="3"/>
  <c r="O78" i="3"/>
  <c r="O53" i="3"/>
  <c r="CJ32" i="3" s="1"/>
  <c r="N96" i="3"/>
  <c r="O80" i="3"/>
  <c r="CJ43" i="3" s="1"/>
  <c r="N47" i="3"/>
  <c r="CI27" i="3" s="1"/>
  <c r="O22" i="3"/>
  <c r="CJ17" i="3" s="1"/>
  <c r="N84" i="3"/>
  <c r="O97" i="3"/>
  <c r="O16" i="3"/>
  <c r="N15" i="3"/>
  <c r="O15" i="3"/>
  <c r="CI10" i="3" s="1"/>
  <c r="O61" i="3"/>
  <c r="CJ37" i="3"/>
  <c r="N13" i="3"/>
  <c r="CJ13" i="3" s="1"/>
  <c r="N65" i="3"/>
  <c r="O69" i="3"/>
  <c r="O62" i="3"/>
  <c r="N55" i="3"/>
  <c r="CI31" i="3" s="1"/>
  <c r="O20" i="3"/>
  <c r="O64" i="3"/>
  <c r="N5" i="3"/>
  <c r="O14" i="3"/>
  <c r="CI13" i="3" s="1"/>
  <c r="N93" i="3"/>
  <c r="N33" i="3"/>
  <c r="CJ20" i="3" s="1"/>
  <c r="N52" i="3"/>
  <c r="O57" i="3"/>
  <c r="N17" i="3"/>
  <c r="O31" i="3"/>
  <c r="O84" i="3"/>
  <c r="CJ46" i="3" s="1"/>
  <c r="O45" i="3"/>
  <c r="N9" i="3"/>
  <c r="O52" i="3"/>
  <c r="N80" i="3"/>
  <c r="CJ44" i="3" s="1"/>
  <c r="O55" i="3"/>
  <c r="O81" i="3"/>
  <c r="N76" i="3"/>
  <c r="CK43" i="3" s="1"/>
  <c r="O29" i="3"/>
  <c r="CI20" i="3" s="1"/>
  <c r="O71" i="3"/>
  <c r="N69" i="3"/>
  <c r="O37" i="3"/>
  <c r="O60" i="3"/>
  <c r="CJ34" i="3" s="1"/>
  <c r="O47" i="3"/>
  <c r="N8" i="3"/>
  <c r="N31" i="3"/>
  <c r="CI19" i="3" s="1"/>
  <c r="N48" i="3"/>
  <c r="O54" i="3"/>
  <c r="CK30" i="3" s="1"/>
  <c r="N16" i="3"/>
  <c r="O56" i="3"/>
  <c r="O38" i="3"/>
  <c r="N73" i="3"/>
  <c r="N24" i="3"/>
  <c r="N64" i="3"/>
  <c r="O5" i="3"/>
  <c r="CI8" i="3" s="1"/>
  <c r="O70" i="3"/>
  <c r="CJ38" i="3" s="1"/>
  <c r="N39" i="3"/>
  <c r="O40" i="3"/>
  <c r="O13" i="3"/>
  <c r="CJ12" i="3" s="1"/>
  <c r="N22" i="3"/>
  <c r="CI15" i="3" s="1"/>
  <c r="N89" i="3"/>
  <c r="O4" i="3"/>
  <c r="CI6" i="3" s="1"/>
  <c r="N62" i="3"/>
  <c r="CK36" i="3" s="1"/>
  <c r="O92" i="3"/>
  <c r="CI50" i="3" s="1"/>
  <c r="N60" i="3"/>
  <c r="O41" i="3"/>
  <c r="N36" i="3"/>
  <c r="CK23" i="3" s="1"/>
  <c r="N4" i="3"/>
  <c r="N92" i="3"/>
  <c r="O76" i="3"/>
  <c r="CI42" i="3" s="1"/>
  <c r="N79" i="3"/>
  <c r="CI43" i="3" s="1"/>
  <c r="N81" i="3"/>
  <c r="N46" i="3"/>
  <c r="N68" i="3"/>
  <c r="O49" i="3"/>
  <c r="O32" i="3"/>
  <c r="N23" i="3"/>
  <c r="N70" i="3"/>
  <c r="N20" i="3"/>
  <c r="CK15" i="3" s="1"/>
  <c r="N30" i="3"/>
  <c r="CK20" i="3" s="1"/>
  <c r="O39" i="3"/>
  <c r="N29" i="3"/>
  <c r="CK21" i="3" s="1"/>
  <c r="N40" i="3"/>
  <c r="O8" i="3"/>
  <c r="CK27" i="3" s="1"/>
  <c r="O33" i="3"/>
  <c r="CJ19" i="3" s="1"/>
  <c r="N94" i="3"/>
  <c r="CJ52" i="3" s="1"/>
  <c r="O9" i="3"/>
  <c r="O23" i="3"/>
  <c r="O95" i="3"/>
  <c r="N87" i="3"/>
  <c r="N88" i="3"/>
  <c r="CJ28" i="3"/>
  <c r="CJ51" i="3"/>
  <c r="CI12" i="3"/>
  <c r="CK35" i="3"/>
  <c r="CK45" i="3"/>
  <c r="CJ45" i="3"/>
  <c r="CJ42" i="3"/>
  <c r="CK6" i="3"/>
  <c r="CK33" i="3"/>
  <c r="CJ53" i="3"/>
  <c r="CK48" i="3"/>
  <c r="CJ29" i="3"/>
  <c r="CK50" i="3"/>
  <c r="CI33" i="3"/>
  <c r="CK37" i="3"/>
  <c r="CK44" i="3"/>
  <c r="CK28" i="3"/>
  <c r="CK51" i="3"/>
  <c r="CJ10" i="3"/>
  <c r="CJ21" i="3"/>
  <c r="CJ49" i="3"/>
  <c r="CI32" i="3"/>
  <c r="CI24" i="3"/>
  <c r="CI47" i="3"/>
  <c r="CK18" i="3"/>
  <c r="CI49" i="3"/>
  <c r="CI17" i="3"/>
  <c r="CK53" i="3"/>
  <c r="CJ11" i="3"/>
  <c r="CK13" i="3"/>
  <c r="CI35" i="3"/>
  <c r="CI18" i="3"/>
  <c r="CK19" i="3"/>
  <c r="CI46" i="3"/>
  <c r="CK24" i="3"/>
  <c r="CI26" i="3"/>
  <c r="CK42" i="3"/>
  <c r="CI25" i="3"/>
  <c r="CK40" i="3"/>
  <c r="CI40" i="3"/>
  <c r="CK41" i="3"/>
  <c r="CK26" i="3"/>
  <c r="CI23" i="3"/>
  <c r="CI16" i="3"/>
  <c r="CI51" i="3"/>
  <c r="CI45" i="3"/>
  <c r="CK31" i="3"/>
  <c r="CK22" i="3"/>
  <c r="CJ33" i="3"/>
  <c r="CI22" i="3"/>
  <c r="CI11" i="3"/>
  <c r="CI7" i="3"/>
  <c r="CK52" i="3"/>
  <c r="CK25" i="3"/>
  <c r="CI44" i="3"/>
  <c r="CK47" i="3"/>
  <c r="CI53" i="3"/>
  <c r="CK46" i="3"/>
  <c r="CK49" i="3"/>
  <c r="CI9" i="3"/>
  <c r="CK38" i="3"/>
  <c r="CK17" i="3"/>
  <c r="CK8" i="3"/>
  <c r="CI29" i="3"/>
  <c r="CJ9" i="3"/>
  <c r="CK10" i="3"/>
  <c r="CJ50" i="3"/>
  <c r="CJ47" i="3"/>
  <c r="CK16" i="3"/>
  <c r="CJ18" i="3"/>
  <c r="CI36" i="3"/>
  <c r="CI21" i="3"/>
  <c r="CJ22" i="3"/>
  <c r="CK39" i="3"/>
  <c r="CK29" i="3"/>
  <c r="CK14" i="3"/>
  <c r="CI28" i="3"/>
  <c r="CI34" i="3"/>
  <c r="CK12" i="3"/>
  <c r="CJ16" i="3"/>
  <c r="CJ48" i="3"/>
  <c r="CI39" i="3"/>
  <c r="CI37" i="3"/>
  <c r="CI30" i="3"/>
  <c r="CJ35" i="3"/>
  <c r="CK11" i="3"/>
  <c r="CI52" i="3"/>
  <c r="CK34" i="3"/>
  <c r="CK32" i="3"/>
  <c r="CK7" i="3"/>
  <c r="CI48" i="3"/>
  <c r="CJ6" i="3"/>
  <c r="CJ24" i="3"/>
  <c r="CJ8" i="3"/>
  <c r="CJ7" i="3"/>
  <c r="CJ39" i="3"/>
  <c r="CJ23" i="3"/>
  <c r="CJ25" i="3"/>
  <c r="CJ27" i="3"/>
  <c r="CJ26" i="3"/>
  <c r="CJ41" i="3"/>
  <c r="E32" i="48"/>
  <c r="F31" i="48" a="1"/>
  <c r="F31" i="48" s="1"/>
  <c r="CJ31" i="3" l="1"/>
  <c r="CL31" i="3" s="1"/>
  <c r="CJ36" i="3"/>
  <c r="CL36" i="3" s="1"/>
  <c r="CK9" i="3"/>
  <c r="CI38" i="3"/>
  <c r="CL38" i="3" s="1"/>
  <c r="CI41" i="3"/>
  <c r="CL41" i="3" s="1"/>
  <c r="CJ30" i="3"/>
  <c r="CL30" i="3" s="1"/>
  <c r="CI14" i="3"/>
  <c r="CL32" i="3"/>
  <c r="CJ15" i="3"/>
  <c r="CL15" i="3" s="1"/>
  <c r="CL42" i="3"/>
  <c r="CL53" i="3"/>
  <c r="CJ14" i="3"/>
  <c r="CL28" i="3"/>
  <c r="CL13" i="3"/>
  <c r="CL11" i="3"/>
  <c r="CL35" i="3"/>
  <c r="CL19" i="3"/>
  <c r="CJ40" i="3"/>
  <c r="CL40" i="3" s="1"/>
  <c r="CL9" i="3"/>
  <c r="CL50" i="3"/>
  <c r="CL48" i="3"/>
  <c r="CL49" i="3"/>
  <c r="CL37" i="3"/>
  <c r="CL29" i="3"/>
  <c r="CL23" i="3"/>
  <c r="CL25" i="3"/>
  <c r="CL12" i="3"/>
  <c r="CL10" i="3"/>
  <c r="CL6" i="3"/>
  <c r="CL8" i="3"/>
  <c r="CL24" i="3"/>
  <c r="CL45" i="3"/>
  <c r="CL43" i="3"/>
  <c r="CL22" i="3"/>
  <c r="CL7" i="3"/>
  <c r="CL27" i="3"/>
  <c r="CL26" i="3"/>
  <c r="CL52" i="3"/>
  <c r="CL51" i="3"/>
  <c r="CL34" i="3"/>
  <c r="CL39" i="3"/>
  <c r="CL46" i="3"/>
  <c r="CL33" i="3"/>
  <c r="CL16" i="3"/>
  <c r="CL17" i="3"/>
  <c r="CL44" i="3"/>
  <c r="CL18" i="3"/>
  <c r="CL21" i="3"/>
  <c r="CL20" i="3"/>
  <c r="CL47" i="3"/>
  <c r="E33" i="48"/>
  <c r="F32" i="48" a="1"/>
  <c r="F32" i="48" s="1"/>
  <c r="CL14" i="3" l="1"/>
  <c r="CM15" i="3" s="1"/>
  <c r="CM36" i="3"/>
  <c r="CM25" i="3"/>
  <c r="CM42" i="3"/>
  <c r="CM34" i="3"/>
  <c r="CM47" i="3"/>
  <c r="CM10" i="3"/>
  <c r="CM29" i="3"/>
  <c r="CM20" i="3"/>
  <c r="CM8" i="3"/>
  <c r="CM48" i="3"/>
  <c r="CM18" i="3"/>
  <c r="CM46" i="3"/>
  <c r="CM33" i="3"/>
  <c r="CM44" i="3"/>
  <c r="CM9" i="3"/>
  <c r="CM26" i="3"/>
  <c r="CM45" i="3"/>
  <c r="CM40" i="3"/>
  <c r="CM31" i="3"/>
  <c r="CM35" i="3"/>
  <c r="CM19" i="3"/>
  <c r="CM37" i="3"/>
  <c r="CM51" i="3"/>
  <c r="CM23" i="3"/>
  <c r="CM30" i="3"/>
  <c r="CM53" i="3"/>
  <c r="CM13" i="3"/>
  <c r="CM11" i="3"/>
  <c r="CM6" i="3"/>
  <c r="CM52" i="3"/>
  <c r="CM7" i="3"/>
  <c r="CM22" i="3"/>
  <c r="CM49" i="3"/>
  <c r="CM24" i="3"/>
  <c r="CM28" i="3"/>
  <c r="CM21" i="3"/>
  <c r="CM12" i="3"/>
  <c r="CM43" i="3"/>
  <c r="CM27" i="3"/>
  <c r="CM38" i="3"/>
  <c r="CM39" i="3"/>
  <c r="CM16" i="3"/>
  <c r="CM32" i="3"/>
  <c r="CM17" i="3"/>
  <c r="F33" i="48" a="1"/>
  <c r="F33" i="48" s="1"/>
  <c r="E34" i="48"/>
  <c r="CM14" i="3" l="1"/>
  <c r="CM50" i="3"/>
  <c r="CM41" i="3"/>
  <c r="F34" i="48" a="1"/>
  <c r="F34" i="48" s="1"/>
  <c r="E35" i="48"/>
  <c r="CN41" i="3" l="1"/>
  <c r="Q71" i="3" s="1"/>
  <c r="CN51" i="3"/>
  <c r="R95" i="3" s="1"/>
  <c r="CN50" i="3"/>
  <c r="Q92" i="3" s="1"/>
  <c r="CN31" i="3"/>
  <c r="Q56" i="3" s="1"/>
  <c r="CN29" i="3"/>
  <c r="R45" i="3" s="1"/>
  <c r="CN52" i="3"/>
  <c r="R97" i="3" s="1"/>
  <c r="CN11" i="3"/>
  <c r="R14" i="3" s="1"/>
  <c r="CN39" i="3"/>
  <c r="R71" i="3" s="1"/>
  <c r="CN22" i="3"/>
  <c r="Q38" i="3" s="1"/>
  <c r="CN46" i="3"/>
  <c r="Q86" i="3" s="1"/>
  <c r="CN14" i="3"/>
  <c r="Q23" i="3" s="1"/>
  <c r="CN8" i="3"/>
  <c r="R9" i="3" s="1"/>
  <c r="CN36" i="3"/>
  <c r="Q61" i="3" s="1"/>
  <c r="CN28" i="3"/>
  <c r="R46" i="3" s="1"/>
  <c r="CN6" i="3"/>
  <c r="Q4" i="3" s="1"/>
  <c r="CN53" i="3"/>
  <c r="R93" i="3" s="1"/>
  <c r="CN26" i="3"/>
  <c r="Q44" i="3" s="1"/>
  <c r="CN43" i="3"/>
  <c r="Q80" i="3" s="1"/>
  <c r="CN40" i="3"/>
  <c r="R70" i="3" s="1"/>
  <c r="CN44" i="3"/>
  <c r="Q77" i="3" s="1"/>
  <c r="CN32" i="3"/>
  <c r="R54" i="3" s="1"/>
  <c r="CN30" i="3"/>
  <c r="R57" i="3" s="1"/>
  <c r="CN25" i="3"/>
  <c r="Q41" i="3" s="1"/>
  <c r="CN42" i="3"/>
  <c r="Q76" i="3" s="1"/>
  <c r="CN19" i="3"/>
  <c r="Q33" i="3" s="1"/>
  <c r="CN38" i="3"/>
  <c r="Q68" i="3" s="1"/>
  <c r="CN47" i="3"/>
  <c r="R84" i="3" s="1"/>
  <c r="CN7" i="3"/>
  <c r="R4" i="3" s="1"/>
  <c r="CN24" i="3"/>
  <c r="R40" i="3" s="1"/>
  <c r="CN33" i="3"/>
  <c r="Q57" i="3" s="1"/>
  <c r="CN35" i="3"/>
  <c r="R60" i="3" s="1"/>
  <c r="CN45" i="3"/>
  <c r="Q81" i="3" s="1"/>
  <c r="CN49" i="3"/>
  <c r="Q88" i="3" s="1"/>
  <c r="CN21" i="3"/>
  <c r="Q32" i="3" s="1"/>
  <c r="CN20" i="3"/>
  <c r="R33" i="3" s="1"/>
  <c r="CN18" i="3"/>
  <c r="Q30" i="3" s="1"/>
  <c r="CN15" i="3"/>
  <c r="R22" i="3" s="1"/>
  <c r="CN12" i="3"/>
  <c r="Q13" i="3" s="1"/>
  <c r="CN16" i="3"/>
  <c r="R25" i="3" s="1"/>
  <c r="CN48" i="3"/>
  <c r="Q85" i="3" s="1"/>
  <c r="CN17" i="3"/>
  <c r="Q24" i="3" s="1"/>
  <c r="CN9" i="3"/>
  <c r="R5" i="3" s="1"/>
  <c r="CN10" i="3"/>
  <c r="Q15" i="3" s="1"/>
  <c r="CN34" i="3"/>
  <c r="Q60" i="3" s="1"/>
  <c r="CN37" i="3"/>
  <c r="Q65" i="3" s="1"/>
  <c r="CN27" i="3"/>
  <c r="R44" i="3" s="1"/>
  <c r="CN23" i="3"/>
  <c r="Q40" i="3" s="1"/>
  <c r="CN13" i="3"/>
  <c r="R13" i="3" s="1"/>
  <c r="Q72" i="3"/>
  <c r="Q94" i="3"/>
  <c r="F35" i="48" a="1"/>
  <c r="F35" i="48" s="1"/>
  <c r="E36" i="48"/>
  <c r="Q97" i="3" l="1"/>
  <c r="R92" i="3"/>
  <c r="R52" i="3"/>
  <c r="R80" i="3"/>
  <c r="R96" i="3"/>
  <c r="Q89" i="3"/>
  <c r="R69" i="3"/>
  <c r="R64" i="3"/>
  <c r="R56" i="3"/>
  <c r="Q47" i="3"/>
  <c r="Q49" i="3"/>
  <c r="Q54" i="3"/>
  <c r="Q45" i="3"/>
  <c r="Q93" i="3"/>
  <c r="R94" i="3"/>
  <c r="R48" i="3"/>
  <c r="R81" i="3"/>
  <c r="Q39" i="3"/>
  <c r="R63" i="3"/>
  <c r="R62" i="3"/>
  <c r="R38" i="3"/>
  <c r="Q53" i="3"/>
  <c r="Q96" i="3"/>
  <c r="Q52" i="3"/>
  <c r="R89" i="3"/>
  <c r="R88" i="3"/>
  <c r="R15" i="3"/>
  <c r="R17" i="3"/>
  <c r="R53" i="3"/>
  <c r="Q55" i="3"/>
  <c r="Q7" i="3"/>
  <c r="R55" i="3"/>
  <c r="R65" i="3"/>
  <c r="R7" i="3"/>
  <c r="R37" i="3"/>
  <c r="R12" i="3"/>
  <c r="R86" i="3"/>
  <c r="R68" i="3"/>
  <c r="Q95" i="3"/>
  <c r="CO51" i="3" s="1"/>
  <c r="R8" i="3"/>
  <c r="Q73" i="3"/>
  <c r="Q78" i="3"/>
  <c r="Q14" i="3"/>
  <c r="R77" i="3"/>
  <c r="Q79" i="3"/>
  <c r="Q16" i="3"/>
  <c r="Q17" i="3"/>
  <c r="R23" i="3"/>
  <c r="Q64" i="3"/>
  <c r="Q21" i="3"/>
  <c r="Q46" i="3"/>
  <c r="Q87" i="3"/>
  <c r="R21" i="3"/>
  <c r="Q36" i="3"/>
  <c r="R28" i="3"/>
  <c r="R49" i="3"/>
  <c r="R31" i="3"/>
  <c r="R85" i="3"/>
  <c r="Q22" i="3"/>
  <c r="R41" i="3"/>
  <c r="Q63" i="3"/>
  <c r="Q37" i="3"/>
  <c r="Q6" i="3"/>
  <c r="Q84" i="3"/>
  <c r="Q70" i="3"/>
  <c r="R79" i="3"/>
  <c r="R72" i="3"/>
  <c r="R29" i="3"/>
  <c r="CP20" i="3" s="1"/>
  <c r="R76" i="3"/>
  <c r="Q8" i="3"/>
  <c r="CP30" i="3"/>
  <c r="Q25" i="3"/>
  <c r="R24" i="3"/>
  <c r="Q20" i="3"/>
  <c r="R87" i="3"/>
  <c r="R73" i="3"/>
  <c r="CO39" i="3" s="1"/>
  <c r="Q31" i="3"/>
  <c r="Q69" i="3"/>
  <c r="R61" i="3"/>
  <c r="R78" i="3"/>
  <c r="R32" i="3"/>
  <c r="Q28" i="3"/>
  <c r="R6" i="3"/>
  <c r="Q62" i="3"/>
  <c r="Q5" i="3"/>
  <c r="Q9" i="3"/>
  <c r="R20" i="3"/>
  <c r="Q29" i="3"/>
  <c r="R30" i="3"/>
  <c r="Q12" i="3"/>
  <c r="R16" i="3"/>
  <c r="R36" i="3"/>
  <c r="Q48" i="3"/>
  <c r="R39" i="3"/>
  <c r="CP27" i="3"/>
  <c r="R47" i="3"/>
  <c r="CO38" i="3"/>
  <c r="CO9" i="3"/>
  <c r="CP9" i="3"/>
  <c r="CO40" i="3"/>
  <c r="CP7" i="3"/>
  <c r="CO8" i="3"/>
  <c r="CP51" i="3"/>
  <c r="CQ51" i="3" s="1"/>
  <c r="CP8" i="3"/>
  <c r="CP25" i="3"/>
  <c r="CO26" i="3"/>
  <c r="CO21" i="3"/>
  <c r="CO23" i="3"/>
  <c r="CP39" i="3"/>
  <c r="CQ39" i="3" s="1"/>
  <c r="CO27" i="3"/>
  <c r="CQ27" i="3" s="1"/>
  <c r="CP26" i="3"/>
  <c r="CP23" i="3"/>
  <c r="CP21" i="3"/>
  <c r="CO25" i="3"/>
  <c r="CP34" i="3"/>
  <c r="CO41" i="3"/>
  <c r="CP52" i="3"/>
  <c r="CO52" i="3"/>
  <c r="CP35" i="3"/>
  <c r="CO53" i="3"/>
  <c r="CP13" i="3"/>
  <c r="CP45" i="3"/>
  <c r="CP40" i="3"/>
  <c r="CO35" i="3"/>
  <c r="CP18" i="3"/>
  <c r="CO12" i="3"/>
  <c r="CP46" i="3"/>
  <c r="CP16" i="3"/>
  <c r="CP49" i="3"/>
  <c r="CP47" i="3"/>
  <c r="CO16" i="3"/>
  <c r="CO22" i="3"/>
  <c r="CO46" i="3"/>
  <c r="CO49" i="3"/>
  <c r="CO45" i="3"/>
  <c r="CP50" i="3"/>
  <c r="CO13" i="3"/>
  <c r="CO29" i="3"/>
  <c r="CO42" i="3"/>
  <c r="CO17" i="3"/>
  <c r="CO50" i="3"/>
  <c r="CP48" i="3"/>
  <c r="CP32" i="3"/>
  <c r="CP17" i="3"/>
  <c r="CO18" i="3"/>
  <c r="CP6" i="3"/>
  <c r="CP53" i="3"/>
  <c r="CP22" i="3"/>
  <c r="CO7" i="3"/>
  <c r="CO24" i="3"/>
  <c r="CP33" i="3"/>
  <c r="CP12" i="3"/>
  <c r="CO32" i="3"/>
  <c r="CP41" i="3"/>
  <c r="CO34" i="3"/>
  <c r="CO6" i="3"/>
  <c r="CP38" i="3"/>
  <c r="CQ38" i="3" s="1"/>
  <c r="CP24" i="3"/>
  <c r="CO30" i="3"/>
  <c r="CO28" i="3"/>
  <c r="CO48" i="3"/>
  <c r="CP28" i="3"/>
  <c r="CP29" i="3"/>
  <c r="CO47" i="3"/>
  <c r="CP42" i="3"/>
  <c r="CO33" i="3"/>
  <c r="CQ9" i="3"/>
  <c r="E37" i="48"/>
  <c r="F36" i="48" a="1"/>
  <c r="F36" i="48" s="1"/>
  <c r="CO43" i="3" l="1"/>
  <c r="CP43" i="3"/>
  <c r="CP31" i="3"/>
  <c r="CP19" i="3"/>
  <c r="CP44" i="3"/>
  <c r="CO37" i="3"/>
  <c r="CO10" i="3"/>
  <c r="CO31" i="3"/>
  <c r="CO20" i="3"/>
  <c r="CQ20" i="3" s="1"/>
  <c r="CP37" i="3"/>
  <c r="CP10" i="3"/>
  <c r="CP11" i="3"/>
  <c r="CO44" i="3"/>
  <c r="CQ30" i="3"/>
  <c r="CP14" i="3"/>
  <c r="CP36" i="3"/>
  <c r="CP15" i="3"/>
  <c r="CO15" i="3"/>
  <c r="CO11" i="3"/>
  <c r="CO19" i="3"/>
  <c r="CO14" i="3"/>
  <c r="CO36" i="3"/>
  <c r="CQ40" i="3"/>
  <c r="CQ47" i="3"/>
  <c r="CQ6" i="3"/>
  <c r="CQ32" i="3"/>
  <c r="CQ50" i="3"/>
  <c r="CQ48" i="3"/>
  <c r="CQ53" i="3"/>
  <c r="CQ49" i="3"/>
  <c r="CQ46" i="3"/>
  <c r="CQ33" i="3"/>
  <c r="CQ13" i="3"/>
  <c r="CQ16" i="3"/>
  <c r="CQ7" i="3"/>
  <c r="CQ8" i="3"/>
  <c r="CQ35" i="3"/>
  <c r="CQ45" i="3"/>
  <c r="CQ25" i="3"/>
  <c r="CQ26" i="3"/>
  <c r="CQ24" i="3"/>
  <c r="CQ21" i="3"/>
  <c r="CQ23" i="3"/>
  <c r="CQ41" i="3"/>
  <c r="CQ34" i="3"/>
  <c r="CQ52" i="3"/>
  <c r="CQ28" i="3"/>
  <c r="CQ42" i="3"/>
  <c r="CQ29" i="3"/>
  <c r="CQ12" i="3"/>
  <c r="CQ22" i="3"/>
  <c r="CQ17" i="3"/>
  <c r="CQ18" i="3"/>
  <c r="E38" i="48"/>
  <c r="F37" i="48" a="1"/>
  <c r="F37" i="48" s="1"/>
  <c r="CQ44" i="3" l="1"/>
  <c r="CQ43" i="3"/>
  <c r="CQ19" i="3"/>
  <c r="CQ10" i="3"/>
  <c r="CQ31" i="3"/>
  <c r="CQ37" i="3"/>
  <c r="CQ11" i="3"/>
  <c r="CQ14" i="3"/>
  <c r="CQ36" i="3"/>
  <c r="CQ15" i="3"/>
  <c r="CR50" i="3" s="1"/>
  <c r="CR12" i="3"/>
  <c r="CR16" i="3"/>
  <c r="CR22" i="3"/>
  <c r="CR25" i="3"/>
  <c r="CR7" i="3"/>
  <c r="CR48" i="3"/>
  <c r="CR27" i="3"/>
  <c r="CR53" i="3"/>
  <c r="CR18" i="3"/>
  <c r="CR51" i="3"/>
  <c r="CR21" i="3"/>
  <c r="CR32" i="3"/>
  <c r="CR8" i="3"/>
  <c r="CR45" i="3"/>
  <c r="CR46" i="3"/>
  <c r="CR35" i="3"/>
  <c r="CR47" i="3"/>
  <c r="CR41" i="3"/>
  <c r="CR28" i="3"/>
  <c r="CR24" i="3"/>
  <c r="CR34" i="3"/>
  <c r="CR23" i="3"/>
  <c r="CR49" i="3"/>
  <c r="CR26" i="3"/>
  <c r="CR17" i="3"/>
  <c r="CR39" i="3"/>
  <c r="CR9" i="3"/>
  <c r="CR42" i="3"/>
  <c r="CR13" i="3"/>
  <c r="CR33" i="3"/>
  <c r="CR40" i="3"/>
  <c r="CR52" i="3"/>
  <c r="CR6" i="3"/>
  <c r="CR38" i="3"/>
  <c r="CR29" i="3"/>
  <c r="F38" i="48" a="1"/>
  <c r="F38" i="48" s="1"/>
  <c r="E39" i="48"/>
  <c r="CR37" i="3" l="1"/>
  <c r="CR10" i="3"/>
  <c r="CR11" i="3"/>
  <c r="CR44" i="3"/>
  <c r="CR20" i="3"/>
  <c r="CR36" i="3"/>
  <c r="CR19" i="3"/>
  <c r="CR43" i="3"/>
  <c r="CR14" i="3"/>
  <c r="CR15" i="3"/>
  <c r="CR30" i="3"/>
  <c r="CR31" i="3"/>
  <c r="E40" i="48"/>
  <c r="F39" i="48" a="1"/>
  <c r="F39" i="48" s="1"/>
  <c r="CS38" i="3" l="1"/>
  <c r="U72" i="3" s="1"/>
  <c r="CS18" i="3"/>
  <c r="U32" i="3" s="1"/>
  <c r="CS15" i="3"/>
  <c r="T25" i="3" s="1"/>
  <c r="CS44" i="3"/>
  <c r="U78" i="3" s="1"/>
  <c r="CS35" i="3"/>
  <c r="T64" i="3" s="1"/>
  <c r="CS51" i="3"/>
  <c r="U92" i="3" s="1"/>
  <c r="CS32" i="3"/>
  <c r="T53" i="3" s="1"/>
  <c r="CS50" i="3"/>
  <c r="T92" i="3" s="1"/>
  <c r="CS9" i="3"/>
  <c r="T8" i="3" s="1"/>
  <c r="CS20" i="3"/>
  <c r="U33" i="3" s="1"/>
  <c r="CS19" i="3"/>
  <c r="T33" i="3" s="1"/>
  <c r="CS53" i="3"/>
  <c r="T96" i="3" s="1"/>
  <c r="CS11" i="3"/>
  <c r="U14" i="3" s="1"/>
  <c r="CS47" i="3"/>
  <c r="U84" i="3" s="1"/>
  <c r="CS45" i="3"/>
  <c r="T81" i="3" s="1"/>
  <c r="CS46" i="3"/>
  <c r="U88" i="3" s="1"/>
  <c r="CS36" i="3"/>
  <c r="U64" i="3" s="1"/>
  <c r="CS37" i="3"/>
  <c r="U61" i="3" s="1"/>
  <c r="CS24" i="3"/>
  <c r="U40" i="3" s="1"/>
  <c r="CS48" i="3"/>
  <c r="U89" i="3" s="1"/>
  <c r="CS33" i="3"/>
  <c r="T57" i="3" s="1"/>
  <c r="CS30" i="3"/>
  <c r="U57" i="3" s="1"/>
  <c r="CS17" i="3"/>
  <c r="T24" i="3" s="1"/>
  <c r="CS12" i="3"/>
  <c r="U15" i="3" s="1"/>
  <c r="CS22" i="3"/>
  <c r="U41" i="3" s="1"/>
  <c r="CS23" i="3"/>
  <c r="U36" i="3" s="1"/>
  <c r="CS42" i="3"/>
  <c r="T78" i="3" s="1"/>
  <c r="CS16" i="3"/>
  <c r="U25" i="3" s="1"/>
  <c r="CS43" i="3"/>
  <c r="U76" i="3" s="1"/>
  <c r="CS39" i="3"/>
  <c r="T73" i="3" s="1"/>
  <c r="CS40" i="3"/>
  <c r="U73" i="3" s="1"/>
  <c r="CS7" i="3"/>
  <c r="U4" i="3" s="1"/>
  <c r="CS52" i="3"/>
  <c r="U94" i="3" s="1"/>
  <c r="CS8" i="3"/>
  <c r="U7" i="3" s="1"/>
  <c r="CS34" i="3"/>
  <c r="T60" i="3" s="1"/>
  <c r="CS25" i="3"/>
  <c r="T41" i="3" s="1"/>
  <c r="CS6" i="3"/>
  <c r="U8" i="3" s="1"/>
  <c r="CS49" i="3"/>
  <c r="U85" i="3" s="1"/>
  <c r="CS29" i="3"/>
  <c r="T47" i="3" s="1"/>
  <c r="CS10" i="3"/>
  <c r="T12" i="3" s="1"/>
  <c r="CS21" i="3"/>
  <c r="U29" i="3" s="1"/>
  <c r="CS41" i="3"/>
  <c r="U69" i="3" s="1"/>
  <c r="CS26" i="3"/>
  <c r="T46" i="3" s="1"/>
  <c r="CS13" i="3"/>
  <c r="T14" i="3" s="1"/>
  <c r="CS14" i="3"/>
  <c r="T23" i="3" s="1"/>
  <c r="CS28" i="3"/>
  <c r="U48" i="3" s="1"/>
  <c r="CS27" i="3"/>
  <c r="U47" i="3" s="1"/>
  <c r="CS31" i="3"/>
  <c r="T56" i="3" s="1"/>
  <c r="E41" i="48"/>
  <c r="F40" i="48" a="1"/>
  <c r="F40" i="48" s="1"/>
  <c r="U93" i="3" l="1"/>
  <c r="U80" i="3"/>
  <c r="T70" i="3"/>
  <c r="T68" i="3"/>
  <c r="T28" i="3"/>
  <c r="T30" i="3"/>
  <c r="CT20" i="3" s="1"/>
  <c r="U30" i="3"/>
  <c r="T29" i="3"/>
  <c r="T40" i="3"/>
  <c r="T65" i="3"/>
  <c r="U60" i="3"/>
  <c r="U9" i="3"/>
  <c r="U22" i="3"/>
  <c r="T63" i="3"/>
  <c r="U38" i="3"/>
  <c r="U81" i="3"/>
  <c r="U63" i="3"/>
  <c r="U31" i="3"/>
  <c r="U28" i="3"/>
  <c r="T37" i="3"/>
  <c r="T76" i="3"/>
  <c r="U24" i="3"/>
  <c r="U12" i="3"/>
  <c r="T55" i="3"/>
  <c r="T17" i="3"/>
  <c r="U20" i="3"/>
  <c r="T80" i="3"/>
  <c r="T95" i="3"/>
  <c r="U39" i="3"/>
  <c r="T71" i="3"/>
  <c r="U49" i="3"/>
  <c r="T72" i="3"/>
  <c r="T79" i="3"/>
  <c r="T5" i="3"/>
  <c r="U68" i="3"/>
  <c r="U95" i="3"/>
  <c r="U71" i="3"/>
  <c r="T88" i="3"/>
  <c r="T45" i="3"/>
  <c r="U13" i="3"/>
  <c r="T97" i="3"/>
  <c r="U86" i="3"/>
  <c r="U37" i="3"/>
  <c r="U77" i="3"/>
  <c r="T21" i="3"/>
  <c r="T39" i="3"/>
  <c r="T85" i="3"/>
  <c r="U56" i="3"/>
  <c r="T77" i="3"/>
  <c r="U54" i="3"/>
  <c r="U23" i="3"/>
  <c r="U21" i="3"/>
  <c r="T22" i="3"/>
  <c r="T69" i="3"/>
  <c r="U53" i="3"/>
  <c r="T49" i="3"/>
  <c r="U70" i="3"/>
  <c r="U45" i="3"/>
  <c r="T4" i="3"/>
  <c r="T48" i="3"/>
  <c r="U97" i="3"/>
  <c r="U44" i="3"/>
  <c r="T20" i="3"/>
  <c r="U52" i="3"/>
  <c r="U96" i="3"/>
  <c r="T7" i="3"/>
  <c r="U79" i="3"/>
  <c r="CT6" i="3"/>
  <c r="U55" i="3"/>
  <c r="T6" i="3"/>
  <c r="U46" i="3"/>
  <c r="CT51" i="3"/>
  <c r="T54" i="3"/>
  <c r="T87" i="3"/>
  <c r="T52" i="3"/>
  <c r="U62" i="3"/>
  <c r="T89" i="3"/>
  <c r="U87" i="3"/>
  <c r="U5" i="3"/>
  <c r="T36" i="3"/>
  <c r="T93" i="3"/>
  <c r="T84" i="3"/>
  <c r="T38" i="3"/>
  <c r="T94" i="3"/>
  <c r="T86" i="3"/>
  <c r="T32" i="3"/>
  <c r="T61" i="3"/>
  <c r="U16" i="3"/>
  <c r="U17" i="3"/>
  <c r="CT11" i="3" s="1"/>
  <c r="T9" i="3"/>
  <c r="U6" i="3"/>
  <c r="T15" i="3"/>
  <c r="T13" i="3"/>
  <c r="T31" i="3"/>
  <c r="CT19" i="3" s="1"/>
  <c r="U65" i="3"/>
  <c r="T44" i="3"/>
  <c r="T62" i="3"/>
  <c r="CT36" i="3" s="1"/>
  <c r="T16" i="3"/>
  <c r="CT16" i="3"/>
  <c r="CT8" i="3"/>
  <c r="CT21" i="3"/>
  <c r="CT39" i="3"/>
  <c r="CT26" i="3"/>
  <c r="CT17" i="3"/>
  <c r="CT35" i="3"/>
  <c r="CT38" i="3"/>
  <c r="CT12" i="3"/>
  <c r="CT46" i="3"/>
  <c r="CT40" i="3"/>
  <c r="CT9" i="3"/>
  <c r="CT23" i="3"/>
  <c r="CT7" i="3"/>
  <c r="CT25" i="3"/>
  <c r="CT41" i="3"/>
  <c r="CT28" i="3"/>
  <c r="CT24" i="3"/>
  <c r="CT49" i="3"/>
  <c r="CT27" i="3"/>
  <c r="CT34" i="3"/>
  <c r="CT45" i="3"/>
  <c r="CT29" i="3"/>
  <c r="CT42" i="3"/>
  <c r="CT53" i="3"/>
  <c r="CT22" i="3"/>
  <c r="CT52" i="3"/>
  <c r="CT50" i="3"/>
  <c r="CT32" i="3"/>
  <c r="CT13" i="3"/>
  <c r="CT33" i="3"/>
  <c r="CT47" i="3"/>
  <c r="CT48" i="3"/>
  <c r="CT18" i="3"/>
  <c r="E42" i="48"/>
  <c r="F41" i="48" a="1"/>
  <c r="F41" i="48" s="1"/>
  <c r="CT37" i="3" l="1"/>
  <c r="CU37" i="3" s="1"/>
  <c r="CT14" i="3"/>
  <c r="CT44" i="3"/>
  <c r="CT43" i="3"/>
  <c r="CT15" i="3"/>
  <c r="CT10" i="3"/>
  <c r="CT30" i="3"/>
  <c r="CT31" i="3"/>
  <c r="CU29" i="3"/>
  <c r="CU48" i="3"/>
  <c r="CU50" i="3"/>
  <c r="CU52" i="3"/>
  <c r="CU35" i="3"/>
  <c r="CU7" i="3"/>
  <c r="CU16" i="3"/>
  <c r="CU24" i="3"/>
  <c r="CU47" i="3"/>
  <c r="CU17" i="3"/>
  <c r="CU38" i="3"/>
  <c r="CU41" i="3"/>
  <c r="CU12" i="3"/>
  <c r="CU28" i="3"/>
  <c r="CU26" i="3"/>
  <c r="CU51" i="3"/>
  <c r="CU34" i="3"/>
  <c r="CU13" i="3"/>
  <c r="CU33" i="3"/>
  <c r="CU45" i="3"/>
  <c r="CU27" i="3"/>
  <c r="CU9" i="3"/>
  <c r="CU53" i="3"/>
  <c r="CU49" i="3"/>
  <c r="CU18" i="3"/>
  <c r="CU23" i="3"/>
  <c r="CU6" i="3"/>
  <c r="CU39" i="3"/>
  <c r="CU40" i="3"/>
  <c r="CU25" i="3"/>
  <c r="CU21" i="3"/>
  <c r="CU46" i="3"/>
  <c r="CU32" i="3"/>
  <c r="CU8" i="3"/>
  <c r="CU22" i="3"/>
  <c r="CU42" i="3"/>
  <c r="E43" i="48"/>
  <c r="F42" i="48" a="1"/>
  <c r="F42" i="48" s="1"/>
  <c r="CU36" i="3" l="1"/>
  <c r="CU11" i="3"/>
  <c r="CU20" i="3"/>
  <c r="CU44" i="3"/>
  <c r="CU10" i="3"/>
  <c r="CU14" i="3"/>
  <c r="CU15" i="3"/>
  <c r="CU43" i="3"/>
  <c r="CU19" i="3"/>
  <c r="CU31" i="3"/>
  <c r="CU30" i="3"/>
  <c r="E44" i="48"/>
  <c r="F43" i="48" a="1"/>
  <c r="F43" i="48" s="1"/>
  <c r="CV33" i="3" l="1"/>
  <c r="CW33" i="3" s="1"/>
  <c r="CV48" i="3"/>
  <c r="CW48" i="3" s="1"/>
  <c r="CV26" i="3"/>
  <c r="CW26" i="3" s="1"/>
  <c r="CV21" i="3"/>
  <c r="CW21" i="3" s="1"/>
  <c r="CV47" i="3"/>
  <c r="CW47" i="3" s="1"/>
  <c r="CV24" i="3"/>
  <c r="CW24" i="3" s="1"/>
  <c r="CV19" i="3"/>
  <c r="CW19" i="3" s="1"/>
  <c r="CV34" i="3"/>
  <c r="CW34" i="3" s="1"/>
  <c r="CV44" i="3"/>
  <c r="CW44" i="3" s="1"/>
  <c r="CV20" i="3"/>
  <c r="CW20" i="3" s="1"/>
  <c r="CV12" i="3"/>
  <c r="CW12" i="3" s="1"/>
  <c r="CV52" i="3"/>
  <c r="CW52" i="3" s="1"/>
  <c r="CV8" i="3"/>
  <c r="CW8" i="3" s="1"/>
  <c r="CV51" i="3"/>
  <c r="CW51" i="3" s="1"/>
  <c r="CV28" i="3"/>
  <c r="CW28" i="3" s="1"/>
  <c r="CV43" i="3"/>
  <c r="CW43" i="3" s="1"/>
  <c r="CV30" i="3"/>
  <c r="CW30" i="3" s="1"/>
  <c r="CV29" i="3"/>
  <c r="CW29" i="3" s="1"/>
  <c r="CV53" i="3"/>
  <c r="CW53" i="3" s="1"/>
  <c r="CV36" i="3"/>
  <c r="CW36" i="3" s="1"/>
  <c r="CV32" i="3"/>
  <c r="CW32" i="3" s="1"/>
  <c r="CV9" i="3"/>
  <c r="CW9" i="3" s="1"/>
  <c r="CV18" i="3"/>
  <c r="CW18" i="3" s="1"/>
  <c r="CV40" i="3"/>
  <c r="CW40" i="3" s="1"/>
  <c r="CV49" i="3"/>
  <c r="CW49" i="3" s="1"/>
  <c r="CV50" i="3"/>
  <c r="CW50" i="3" s="1"/>
  <c r="CV6" i="3"/>
  <c r="CW6" i="3" s="1"/>
  <c r="CV31" i="3"/>
  <c r="CW31" i="3" s="1"/>
  <c r="CV41" i="3"/>
  <c r="CW41" i="3" s="1"/>
  <c r="CV45" i="3"/>
  <c r="CW45" i="3" s="1"/>
  <c r="CV7" i="3"/>
  <c r="CW7" i="3" s="1"/>
  <c r="CV23" i="3"/>
  <c r="CW23" i="3" s="1"/>
  <c r="CV15" i="3"/>
  <c r="CW15" i="3" s="1"/>
  <c r="CV16" i="3"/>
  <c r="CW16" i="3" s="1"/>
  <c r="CV10" i="3"/>
  <c r="CW10" i="3" s="1"/>
  <c r="CV39" i="3"/>
  <c r="CW39" i="3" s="1"/>
  <c r="CV11" i="3"/>
  <c r="CW11" i="3" s="1"/>
  <c r="CV46" i="3"/>
  <c r="CW46" i="3" s="1"/>
  <c r="CV27" i="3"/>
  <c r="CW27" i="3" s="1"/>
  <c r="CV17" i="3"/>
  <c r="CW17" i="3" s="1"/>
  <c r="CV42" i="3"/>
  <c r="CW42" i="3" s="1"/>
  <c r="CV35" i="3"/>
  <c r="CW35" i="3" s="1"/>
  <c r="CV22" i="3"/>
  <c r="CW22" i="3" s="1"/>
  <c r="CV37" i="3"/>
  <c r="CW37" i="3" s="1"/>
  <c r="CV38" i="3"/>
  <c r="CW38" i="3" s="1"/>
  <c r="CV14" i="3"/>
  <c r="CW14" i="3" s="1"/>
  <c r="CV25" i="3"/>
  <c r="CW25" i="3" s="1"/>
  <c r="CV13" i="3"/>
  <c r="CW13" i="3" s="1"/>
  <c r="E45" i="48"/>
  <c r="F44" i="48" a="1"/>
  <c r="F44" i="48" s="1"/>
  <c r="CX20" i="3" l="1"/>
  <c r="CX13" i="3"/>
  <c r="CX50" i="3"/>
  <c r="CX44" i="3"/>
  <c r="CX10" i="3"/>
  <c r="CX47" i="3"/>
  <c r="CX21" i="3"/>
  <c r="CX32" i="3"/>
  <c r="CX30" i="3"/>
  <c r="CX12" i="3"/>
  <c r="CX6" i="3"/>
  <c r="CX37" i="3"/>
  <c r="CX7" i="3"/>
  <c r="CX28" i="3"/>
  <c r="CX53" i="3"/>
  <c r="CX48" i="3"/>
  <c r="CX49" i="3"/>
  <c r="CX39" i="3"/>
  <c r="CX52" i="3"/>
  <c r="CX8" i="3"/>
  <c r="CX25" i="3"/>
  <c r="CX51" i="3"/>
  <c r="CX43" i="3"/>
  <c r="CX45" i="3"/>
  <c r="CX23" i="3"/>
  <c r="CX15" i="3"/>
  <c r="CX29" i="3"/>
  <c r="CX22" i="3"/>
  <c r="CX41" i="3"/>
  <c r="CX26" i="3"/>
  <c r="CX40" i="3"/>
  <c r="CX24" i="3"/>
  <c r="CX19" i="3"/>
  <c r="CX33" i="3"/>
  <c r="CX34" i="3"/>
  <c r="CX16" i="3"/>
  <c r="CX18" i="3"/>
  <c r="CX14" i="3"/>
  <c r="CX31" i="3"/>
  <c r="CX27" i="3"/>
  <c r="CX11" i="3"/>
  <c r="CX35" i="3"/>
  <c r="CX17" i="3"/>
  <c r="CX36" i="3"/>
  <c r="CX9" i="3"/>
  <c r="CX42" i="3"/>
  <c r="CX46" i="3"/>
  <c r="CX38" i="3"/>
  <c r="F45" i="48" a="1"/>
  <c r="F45" i="48" s="1"/>
  <c r="E46" i="48"/>
  <c r="CY20" i="3" l="1"/>
  <c r="CY46" i="3"/>
  <c r="CY35" i="3"/>
  <c r="CZ35" i="3" s="1"/>
  <c r="CY18" i="3"/>
  <c r="CZ18" i="3" s="1"/>
  <c r="CY28" i="3"/>
  <c r="CZ28" i="3" s="1"/>
  <c r="CY51" i="3"/>
  <c r="CZ51" i="3" s="1"/>
  <c r="CY42" i="3"/>
  <c r="CZ42" i="3" s="1"/>
  <c r="CY16" i="3"/>
  <c r="CZ16" i="3" s="1"/>
  <c r="CY26" i="3"/>
  <c r="CZ26" i="3" s="1"/>
  <c r="CY50" i="3"/>
  <c r="CZ50" i="3" s="1"/>
  <c r="CY27" i="3"/>
  <c r="CZ27" i="3" s="1"/>
  <c r="CY36" i="3"/>
  <c r="CZ36" i="3" s="1"/>
  <c r="CY45" i="3"/>
  <c r="CZ45" i="3" s="1"/>
  <c r="CY48" i="3"/>
  <c r="CZ48" i="3" s="1"/>
  <c r="CY31" i="3"/>
  <c r="CZ31" i="3" s="1"/>
  <c r="CY40" i="3"/>
  <c r="CZ40" i="3" s="1"/>
  <c r="CY43" i="3"/>
  <c r="CZ43" i="3" s="1"/>
  <c r="CY53" i="3"/>
  <c r="CZ53" i="3" s="1"/>
  <c r="CY52" i="3"/>
  <c r="CZ52" i="3" s="1"/>
  <c r="CY39" i="3"/>
  <c r="CZ39" i="3" s="1"/>
  <c r="CY29" i="3"/>
  <c r="CZ29" i="3" s="1"/>
  <c r="CY24" i="3"/>
  <c r="CZ24" i="3" s="1"/>
  <c r="CY34" i="3"/>
  <c r="CZ34" i="3" s="1"/>
  <c r="CY6" i="3"/>
  <c r="CZ6" i="3" s="1"/>
  <c r="CY44" i="3"/>
  <c r="CZ44" i="3" s="1"/>
  <c r="CY15" i="3"/>
  <c r="CZ15" i="3" s="1"/>
  <c r="CY14" i="3"/>
  <c r="CZ14" i="3" s="1"/>
  <c r="CY17" i="3"/>
  <c r="CZ17" i="3" s="1"/>
  <c r="CY7" i="3"/>
  <c r="CZ7" i="3" s="1"/>
  <c r="CY19" i="3"/>
  <c r="CZ19" i="3" s="1"/>
  <c r="CY41" i="3"/>
  <c r="CZ41" i="3" s="1"/>
  <c r="CY33" i="3"/>
  <c r="CZ33" i="3" s="1"/>
  <c r="CY10" i="3"/>
  <c r="CZ10" i="3" s="1"/>
  <c r="CY47" i="3"/>
  <c r="CZ47" i="3" s="1"/>
  <c r="CY49" i="3"/>
  <c r="CZ49" i="3" s="1"/>
  <c r="CY23" i="3"/>
  <c r="CZ23" i="3" s="1"/>
  <c r="CY9" i="3"/>
  <c r="CZ9" i="3" s="1"/>
  <c r="CY22" i="3"/>
  <c r="CZ22" i="3" s="1"/>
  <c r="CY11" i="3"/>
  <c r="CZ11" i="3" s="1"/>
  <c r="CY37" i="3"/>
  <c r="CZ37" i="3" s="1"/>
  <c r="CY8" i="3"/>
  <c r="CZ8" i="3" s="1"/>
  <c r="CY30" i="3"/>
  <c r="CZ30" i="3" s="1"/>
  <c r="CY25" i="3"/>
  <c r="CZ25" i="3" s="1"/>
  <c r="CY38" i="3"/>
  <c r="CZ38" i="3" s="1"/>
  <c r="CY12" i="3"/>
  <c r="CZ12" i="3" s="1"/>
  <c r="CY32" i="3"/>
  <c r="CZ32" i="3" s="1"/>
  <c r="CY21" i="3"/>
  <c r="CZ21" i="3" s="1"/>
  <c r="CY13" i="3"/>
  <c r="CZ13" i="3" s="1"/>
  <c r="CZ20" i="3"/>
  <c r="CZ46" i="3"/>
  <c r="F46" i="48" a="1"/>
  <c r="F46" i="48" s="1"/>
  <c r="E47" i="48"/>
  <c r="DA34" i="3" l="1"/>
  <c r="DA27" i="3"/>
  <c r="DA37" i="3"/>
  <c r="DA21" i="3"/>
  <c r="DA6" i="3"/>
  <c r="DA7" i="3"/>
  <c r="DA39" i="3"/>
  <c r="DA26" i="3"/>
  <c r="DA38" i="3"/>
  <c r="DA31" i="3"/>
  <c r="DA23" i="3"/>
  <c r="DA53" i="3"/>
  <c r="DA28" i="3"/>
  <c r="DA40" i="3"/>
  <c r="DA45" i="3"/>
  <c r="DA12" i="3"/>
  <c r="DA8" i="3"/>
  <c r="DA49" i="3"/>
  <c r="DA41" i="3"/>
  <c r="DA35" i="3"/>
  <c r="DA25" i="3"/>
  <c r="DA42" i="3"/>
  <c r="DA36" i="3"/>
  <c r="DA30" i="3"/>
  <c r="DA13" i="3"/>
  <c r="DA20" i="3"/>
  <c r="DA17" i="3"/>
  <c r="DA43" i="3"/>
  <c r="DA33" i="3"/>
  <c r="DA19" i="3"/>
  <c r="DA50" i="3"/>
  <c r="DA10" i="3"/>
  <c r="DA18" i="3"/>
  <c r="DA48" i="3"/>
  <c r="DA44" i="3"/>
  <c r="DA9" i="3"/>
  <c r="DA32" i="3"/>
  <c r="DA51" i="3"/>
  <c r="DA16" i="3"/>
  <c r="DA22" i="3"/>
  <c r="DA11" i="3"/>
  <c r="DA29" i="3"/>
  <c r="DA24" i="3"/>
  <c r="DA52" i="3"/>
  <c r="DA47" i="3"/>
  <c r="DA46" i="3"/>
  <c r="DA14" i="3"/>
  <c r="DA15" i="3"/>
  <c r="E48" i="48"/>
  <c r="F47" i="48" a="1"/>
  <c r="F47" i="48" s="1"/>
  <c r="DB37" i="3" l="1"/>
  <c r="DC37" i="3" s="1"/>
  <c r="DB31" i="3"/>
  <c r="DC31" i="3" s="1"/>
  <c r="DB15" i="3"/>
  <c r="DC15" i="3" s="1"/>
  <c r="DB47" i="3"/>
  <c r="DB52" i="3"/>
  <c r="DB7" i="3"/>
  <c r="DB34" i="3"/>
  <c r="DB29" i="3"/>
  <c r="DB32" i="3"/>
  <c r="DB10" i="3"/>
  <c r="DB13" i="3"/>
  <c r="DB16" i="3"/>
  <c r="DB30" i="3"/>
  <c r="DB40" i="3"/>
  <c r="DB41" i="3"/>
  <c r="DB14" i="3"/>
  <c r="DB25" i="3"/>
  <c r="DB6" i="3"/>
  <c r="DB9" i="3"/>
  <c r="DC9" i="3" s="1"/>
  <c r="DB50" i="3"/>
  <c r="DB43" i="3"/>
  <c r="DB35" i="3"/>
  <c r="DB18" i="3"/>
  <c r="DB27" i="3"/>
  <c r="DB26" i="3"/>
  <c r="DB39" i="3"/>
  <c r="DB45" i="3"/>
  <c r="DB36" i="3"/>
  <c r="DB49" i="3"/>
  <c r="DB51" i="3"/>
  <c r="DB53" i="3"/>
  <c r="DB11" i="3"/>
  <c r="DB38" i="3"/>
  <c r="DB19" i="3"/>
  <c r="DB20" i="3"/>
  <c r="DB8" i="3"/>
  <c r="DB48" i="3"/>
  <c r="DB21" i="3"/>
  <c r="DB23" i="3"/>
  <c r="DB24" i="3"/>
  <c r="DB42" i="3"/>
  <c r="DB46" i="3"/>
  <c r="DB17" i="3"/>
  <c r="DB22" i="3"/>
  <c r="DB44" i="3"/>
  <c r="DB33" i="3"/>
  <c r="DB28" i="3"/>
  <c r="DB12" i="3"/>
  <c r="E49" i="48"/>
  <c r="F48" i="48" a="1"/>
  <c r="F48" i="48" s="1"/>
  <c r="DC53" i="3" l="1"/>
  <c r="DC25" i="3"/>
  <c r="DC12" i="3"/>
  <c r="DC36" i="3"/>
  <c r="DC42" i="3"/>
  <c r="DC38" i="3"/>
  <c r="DC45" i="3"/>
  <c r="DC35" i="3"/>
  <c r="DC41" i="3"/>
  <c r="DC34" i="3"/>
  <c r="DC27" i="3"/>
  <c r="DC8" i="3"/>
  <c r="DC10" i="3"/>
  <c r="DC20" i="3"/>
  <c r="DC28" i="3"/>
  <c r="DC19" i="3"/>
  <c r="DC33" i="3"/>
  <c r="DC11" i="3"/>
  <c r="DC39" i="3"/>
  <c r="DC43" i="3"/>
  <c r="DC40" i="3"/>
  <c r="DC7" i="3"/>
  <c r="DC6" i="3"/>
  <c r="DC51" i="3"/>
  <c r="DC49" i="3"/>
  <c r="DC46" i="3"/>
  <c r="DC14" i="3"/>
  <c r="DC24" i="3"/>
  <c r="DC22" i="3"/>
  <c r="DC23" i="3"/>
  <c r="DC26" i="3"/>
  <c r="DC50" i="3"/>
  <c r="DC30" i="3"/>
  <c r="DC52" i="3"/>
  <c r="DC48" i="3"/>
  <c r="DC13" i="3"/>
  <c r="DC18" i="3"/>
  <c r="DC32" i="3"/>
  <c r="DC29" i="3"/>
  <c r="DC44" i="3"/>
  <c r="DC17" i="3"/>
  <c r="DC21" i="3"/>
  <c r="DC16" i="3"/>
  <c r="DC47" i="3"/>
  <c r="F49" i="48" a="1"/>
  <c r="F49" i="48" s="1"/>
  <c r="E50" i="48"/>
  <c r="DD50" i="3" l="1"/>
  <c r="BM50" i="3" s="1"/>
  <c r="DD39" i="3"/>
  <c r="BM39" i="3" s="1"/>
  <c r="DD9" i="3"/>
  <c r="BM9" i="3" s="1"/>
  <c r="DD13" i="3"/>
  <c r="BM13" i="3" s="1"/>
  <c r="DD44" i="3"/>
  <c r="BM44" i="3" s="1"/>
  <c r="DD34" i="3"/>
  <c r="BM34" i="3" s="1"/>
  <c r="DD42" i="3"/>
  <c r="BM42" i="3" s="1"/>
  <c r="DD48" i="3"/>
  <c r="BM48" i="3" s="1"/>
  <c r="DD46" i="3"/>
  <c r="BM46" i="3" s="1"/>
  <c r="DD20" i="3"/>
  <c r="BM20" i="3" s="1"/>
  <c r="DD12" i="3"/>
  <c r="BM12" i="3" s="1"/>
  <c r="DD25" i="3"/>
  <c r="BM25" i="3" s="1"/>
  <c r="DD28" i="3"/>
  <c r="BM28" i="3" s="1"/>
  <c r="DD36" i="3"/>
  <c r="BM36" i="3" s="1"/>
  <c r="DD18" i="3"/>
  <c r="BM18" i="3" s="1"/>
  <c r="DD17" i="3"/>
  <c r="BM17" i="3" s="1"/>
  <c r="DD41" i="3"/>
  <c r="BM41" i="3" s="1"/>
  <c r="DD7" i="3"/>
  <c r="BM7" i="3" s="1"/>
  <c r="DD8" i="3"/>
  <c r="BM8" i="3" s="1"/>
  <c r="DD24" i="3"/>
  <c r="BM24" i="3" s="1"/>
  <c r="DD27" i="3"/>
  <c r="BM27" i="3" s="1"/>
  <c r="DD22" i="3"/>
  <c r="BM22" i="3" s="1"/>
  <c r="DD16" i="3"/>
  <c r="BM16" i="3" s="1"/>
  <c r="DD10" i="3"/>
  <c r="BM10" i="3" s="1"/>
  <c r="DD31" i="3"/>
  <c r="BM31" i="3" s="1"/>
  <c r="DD11" i="3"/>
  <c r="BM11" i="3" s="1"/>
  <c r="DD53" i="3"/>
  <c r="BM53" i="3" s="1"/>
  <c r="DD45" i="3"/>
  <c r="BM45" i="3" s="1"/>
  <c r="DD21" i="3"/>
  <c r="BM21" i="3" s="1"/>
  <c r="DD26" i="3"/>
  <c r="BM26" i="3" s="1"/>
  <c r="DD40" i="3"/>
  <c r="BM40" i="3" s="1"/>
  <c r="DD38" i="3"/>
  <c r="BM38" i="3" s="1"/>
  <c r="DD15" i="3"/>
  <c r="BM15" i="3" s="1"/>
  <c r="DD14" i="3"/>
  <c r="BM14" i="3" s="1"/>
  <c r="DD52" i="3"/>
  <c r="BM52" i="3" s="1"/>
  <c r="DD51" i="3"/>
  <c r="BM51" i="3" s="1"/>
  <c r="DD29" i="3"/>
  <c r="BM29" i="3" s="1"/>
  <c r="DD35" i="3"/>
  <c r="BM35" i="3" s="1"/>
  <c r="DD37" i="3"/>
  <c r="BM37" i="3" s="1"/>
  <c r="DD43" i="3"/>
  <c r="BM43" i="3" s="1"/>
  <c r="DD23" i="3"/>
  <c r="BM23" i="3" s="1"/>
  <c r="DD32" i="3"/>
  <c r="BM32" i="3" s="1"/>
  <c r="DD19" i="3"/>
  <c r="BM19" i="3" s="1"/>
  <c r="DD49" i="3"/>
  <c r="BM49" i="3" s="1"/>
  <c r="DD30" i="3"/>
  <c r="BM30" i="3" s="1"/>
  <c r="DD33" i="3"/>
  <c r="BM33" i="3" s="1"/>
  <c r="DD47" i="3"/>
  <c r="BM47" i="3" s="1"/>
  <c r="DD6" i="3"/>
  <c r="BM6" i="3" s="1"/>
  <c r="F50" i="48" a="1"/>
  <c r="F50" i="48" s="1"/>
  <c r="E51" i="48"/>
  <c r="DQ6" i="3" l="1"/>
  <c r="DJ6" i="3" s="1"/>
  <c r="AV6" i="3"/>
  <c r="AV40" i="3"/>
  <c r="DQ29" i="3"/>
  <c r="DJ29" i="3" s="1"/>
  <c r="AV54" i="3"/>
  <c r="AV64" i="3"/>
  <c r="DQ33" i="3"/>
  <c r="DJ33" i="3" s="1"/>
  <c r="DQ27" i="3"/>
  <c r="DJ27" i="3" s="1"/>
  <c r="DQ42" i="3"/>
  <c r="DJ42" i="3" s="1"/>
  <c r="DQ10" i="3"/>
  <c r="DJ10" i="3" s="1"/>
  <c r="DQ45" i="3"/>
  <c r="DJ45" i="3" s="1"/>
  <c r="AV55" i="3"/>
  <c r="DQ15" i="3"/>
  <c r="DJ15" i="3" s="1"/>
  <c r="AV31" i="3"/>
  <c r="DQ18" i="3"/>
  <c r="DJ18" i="3" s="1"/>
  <c r="AV65" i="3"/>
  <c r="AV94" i="3"/>
  <c r="AV30" i="3"/>
  <c r="AV17" i="3"/>
  <c r="DQ34" i="3"/>
  <c r="DJ34" i="3" s="1"/>
  <c r="DQ51" i="3"/>
  <c r="DJ51" i="3" s="1"/>
  <c r="AV48" i="3"/>
  <c r="DQ14" i="3"/>
  <c r="DJ14" i="3" s="1"/>
  <c r="AV24" i="3"/>
  <c r="DQ22" i="3"/>
  <c r="DJ22" i="3" s="1"/>
  <c r="AV72" i="3"/>
  <c r="AV87" i="3"/>
  <c r="DQ44" i="3"/>
  <c r="DJ44" i="3" s="1"/>
  <c r="DQ25" i="3"/>
  <c r="DJ25" i="3" s="1"/>
  <c r="AV73" i="3"/>
  <c r="DQ9" i="3"/>
  <c r="DJ9" i="3" s="1"/>
  <c r="DQ13" i="3"/>
  <c r="DJ13" i="3" s="1"/>
  <c r="DQ21" i="3"/>
  <c r="DJ21" i="3" s="1"/>
  <c r="AV97" i="3"/>
  <c r="DQ32" i="3"/>
  <c r="DJ32" i="3" s="1"/>
  <c r="AV79" i="3"/>
  <c r="AV46" i="3"/>
  <c r="DQ30" i="3"/>
  <c r="DJ30" i="3" s="1"/>
  <c r="AV89" i="3"/>
  <c r="DQ20" i="3"/>
  <c r="DJ20" i="3" s="1"/>
  <c r="DQ7" i="3"/>
  <c r="DJ7" i="3" s="1"/>
  <c r="AV57" i="3"/>
  <c r="AV22" i="3"/>
  <c r="AV56" i="3"/>
  <c r="AV88" i="3"/>
  <c r="DQ19" i="3"/>
  <c r="DJ19" i="3" s="1"/>
  <c r="DQ47" i="3"/>
  <c r="DJ47" i="3" s="1"/>
  <c r="AV25" i="3"/>
  <c r="AV32" i="3"/>
  <c r="DQ39" i="3"/>
  <c r="DJ39" i="3" s="1"/>
  <c r="AV7" i="3"/>
  <c r="AV62" i="3"/>
  <c r="AV39" i="3"/>
  <c r="DQ52" i="3"/>
  <c r="DJ52" i="3" s="1"/>
  <c r="AV95" i="3"/>
  <c r="DQ11" i="3"/>
  <c r="DJ11" i="3" s="1"/>
  <c r="DQ43" i="3"/>
  <c r="DJ43" i="3" s="1"/>
  <c r="AV9" i="3"/>
  <c r="DQ50" i="3"/>
  <c r="DJ50" i="3" s="1"/>
  <c r="DQ17" i="3"/>
  <c r="DJ17" i="3" s="1"/>
  <c r="DQ40" i="3"/>
  <c r="DJ40" i="3" s="1"/>
  <c r="AV71" i="3"/>
  <c r="AV78" i="3"/>
  <c r="AV96" i="3"/>
  <c r="AV15" i="3"/>
  <c r="AV16" i="3"/>
  <c r="DQ37" i="3"/>
  <c r="DJ37" i="3" s="1"/>
  <c r="AV86" i="3"/>
  <c r="DQ8" i="3"/>
  <c r="DJ8" i="3" s="1"/>
  <c r="DQ12" i="3"/>
  <c r="DJ12" i="3" s="1"/>
  <c r="DQ38" i="3"/>
  <c r="DJ38" i="3" s="1"/>
  <c r="DQ53" i="3"/>
  <c r="DJ53" i="3" s="1"/>
  <c r="AV49" i="3"/>
  <c r="AV14" i="3"/>
  <c r="DQ28" i="3"/>
  <c r="DJ28" i="3" s="1"/>
  <c r="AV41" i="3"/>
  <c r="DQ23" i="3"/>
  <c r="DJ23" i="3" s="1"/>
  <c r="AV38" i="3"/>
  <c r="AV23" i="3"/>
  <c r="DQ35" i="3"/>
  <c r="DJ35" i="3" s="1"/>
  <c r="DQ36" i="3"/>
  <c r="DJ36" i="3" s="1"/>
  <c r="AV47" i="3"/>
  <c r="AV33" i="3"/>
  <c r="DQ26" i="3"/>
  <c r="DJ26" i="3" s="1"/>
  <c r="AV81" i="3"/>
  <c r="DQ24" i="3"/>
  <c r="DJ24" i="3" s="1"/>
  <c r="AV80" i="3"/>
  <c r="DQ46" i="3"/>
  <c r="DJ46" i="3" s="1"/>
  <c r="DQ31" i="3"/>
  <c r="DJ31" i="3" s="1"/>
  <c r="DQ41" i="3"/>
  <c r="DJ41" i="3" s="1"/>
  <c r="DQ16" i="3"/>
  <c r="DJ16" i="3" s="1"/>
  <c r="AV70" i="3"/>
  <c r="DQ49" i="3"/>
  <c r="DJ49" i="3" s="1"/>
  <c r="AV63" i="3"/>
  <c r="DQ48" i="3"/>
  <c r="DJ48" i="3" s="1"/>
  <c r="AV8" i="3"/>
  <c r="E52" i="48"/>
  <c r="F51" i="48" a="1"/>
  <c r="F51" i="48" s="1"/>
  <c r="DL20" i="3" l="1"/>
  <c r="AU32" i="3" s="1"/>
  <c r="DL47" i="3"/>
  <c r="AU87" i="3" s="1"/>
  <c r="DL30" i="3"/>
  <c r="AU54" i="3" s="1"/>
  <c r="DL40" i="3"/>
  <c r="AU72" i="3" s="1"/>
  <c r="DL25" i="3"/>
  <c r="AU41" i="3" s="1"/>
  <c r="DL51" i="3"/>
  <c r="AU95" i="3" s="1"/>
  <c r="DL15" i="3"/>
  <c r="AU23" i="3" s="1"/>
  <c r="DL46" i="3"/>
  <c r="AU86" i="3" s="1"/>
  <c r="DL13" i="3"/>
  <c r="AU17" i="3" s="1"/>
  <c r="DL9" i="3"/>
  <c r="AU9" i="3" s="1"/>
  <c r="DL19" i="3"/>
  <c r="AU31" i="3" s="1"/>
  <c r="DL26" i="3"/>
  <c r="AU46" i="3" s="1"/>
  <c r="DL44" i="3"/>
  <c r="AU80" i="3" s="1"/>
  <c r="DL34" i="3"/>
  <c r="AU62" i="3" s="1"/>
  <c r="DL29" i="3"/>
  <c r="AU49" i="3" s="1"/>
  <c r="DL35" i="3"/>
  <c r="AU63" i="3" s="1"/>
  <c r="DL27" i="3"/>
  <c r="AU47" i="3" s="1"/>
  <c r="DL14" i="3"/>
  <c r="AU22" i="3" s="1"/>
  <c r="DL52" i="3"/>
  <c r="AU96" i="3" s="1"/>
  <c r="DL17" i="3"/>
  <c r="AU25" i="3" s="1"/>
  <c r="DL16" i="3"/>
  <c r="AU24" i="3" s="1"/>
  <c r="DL28" i="3"/>
  <c r="AU48" i="3" s="1"/>
  <c r="DL37" i="3"/>
  <c r="AU65" i="3" s="1"/>
  <c r="DL50" i="3"/>
  <c r="AU94" i="3" s="1"/>
  <c r="DL32" i="3"/>
  <c r="AU56" i="3" s="1"/>
  <c r="DL45" i="3"/>
  <c r="AU81" i="3" s="1"/>
  <c r="DL53" i="3"/>
  <c r="AU97" i="3" s="1"/>
  <c r="DL11" i="3"/>
  <c r="AU15" i="3" s="1"/>
  <c r="DL38" i="3"/>
  <c r="AU70" i="3" s="1"/>
  <c r="DL33" i="3"/>
  <c r="AU57" i="3" s="1"/>
  <c r="DL23" i="3"/>
  <c r="AU39" i="3" s="1"/>
  <c r="DL41" i="3"/>
  <c r="AU73" i="3" s="1"/>
  <c r="DL39" i="3"/>
  <c r="AU71" i="3" s="1"/>
  <c r="DL10" i="3"/>
  <c r="AU14" i="3" s="1"/>
  <c r="DF6" i="3"/>
  <c r="DF7" i="3"/>
  <c r="DF8" i="3"/>
  <c r="DF9" i="3"/>
  <c r="DL48" i="3"/>
  <c r="AU88" i="3" s="1"/>
  <c r="DL18" i="3"/>
  <c r="AU30" i="3" s="1"/>
  <c r="DL24" i="3"/>
  <c r="AU40" i="3" s="1"/>
  <c r="DL12" i="3"/>
  <c r="AU16" i="3" s="1"/>
  <c r="DL49" i="3"/>
  <c r="AU89" i="3" s="1"/>
  <c r="DL8" i="3"/>
  <c r="AU8" i="3" s="1"/>
  <c r="DL31" i="3"/>
  <c r="AU55" i="3" s="1"/>
  <c r="DL36" i="3"/>
  <c r="AU64" i="3" s="1"/>
  <c r="DL43" i="3"/>
  <c r="AU79" i="3" s="1"/>
  <c r="DL7" i="3"/>
  <c r="AU7" i="3" s="1"/>
  <c r="DL21" i="3"/>
  <c r="AU33" i="3" s="1"/>
  <c r="DL22" i="3"/>
  <c r="AU38" i="3" s="1"/>
  <c r="DL42" i="3"/>
  <c r="AU78" i="3" s="1"/>
  <c r="DL6" i="3"/>
  <c r="AU6" i="3" s="1"/>
  <c r="F52" i="48" a="1"/>
  <c r="F52" i="48" s="1"/>
  <c r="E53" i="48"/>
  <c r="DN45" i="3" l="1" a="1"/>
  <c r="DN45" i="3" s="1"/>
  <c r="DM49" i="3"/>
  <c r="DM45" i="3"/>
  <c r="DN42" i="3" a="1"/>
  <c r="DN42" i="3" s="1"/>
  <c r="DN6" i="3" a="1"/>
  <c r="DN6" i="3" s="1"/>
  <c r="DM24" i="3"/>
  <c r="DM10" i="3"/>
  <c r="DN10" i="3" a="1"/>
  <c r="DN10" i="3" s="1"/>
  <c r="DN51" i="3" a="1"/>
  <c r="DN51" i="3" s="1"/>
  <c r="DM23" i="3"/>
  <c r="DN7" i="3" a="1"/>
  <c r="DN7" i="3" s="1"/>
  <c r="DN12" i="3" a="1"/>
  <c r="DN12" i="3" s="1"/>
  <c r="DN43" i="3" a="1"/>
  <c r="DN43" i="3" s="1"/>
  <c r="DM12" i="3"/>
  <c r="DM42" i="3"/>
  <c r="DN9" i="3" a="1"/>
  <c r="DN9" i="3" s="1"/>
  <c r="DN53" i="3" a="1"/>
  <c r="DN53" i="3" s="1"/>
  <c r="DM34" i="3"/>
  <c r="DM39" i="3"/>
  <c r="DM8" i="3"/>
  <c r="DM15" i="3"/>
  <c r="DN47" i="3" a="1"/>
  <c r="DN47" i="3" s="1"/>
  <c r="AU77" i="3"/>
  <c r="AV76" i="3" s="1"/>
  <c r="DN31" i="3" a="1"/>
  <c r="DN31" i="3" s="1"/>
  <c r="DM14" i="3"/>
  <c r="DM51" i="3"/>
  <c r="DM7" i="3"/>
  <c r="DM31" i="3"/>
  <c r="DN38" i="3" a="1"/>
  <c r="DN38" i="3" s="1"/>
  <c r="DM37" i="3"/>
  <c r="DN17" i="3" a="1"/>
  <c r="DN17" i="3" s="1"/>
  <c r="DN34" i="3" a="1"/>
  <c r="DN34" i="3" s="1"/>
  <c r="DN15" i="3" a="1"/>
  <c r="DN15" i="3" s="1"/>
  <c r="DM40" i="3"/>
  <c r="DM38" i="3"/>
  <c r="DN37" i="3" a="1"/>
  <c r="DN37" i="3" s="1"/>
  <c r="DM17" i="3"/>
  <c r="DN27" i="3" a="1"/>
  <c r="DN27" i="3" s="1"/>
  <c r="DM43" i="3"/>
  <c r="DN8" i="3" a="1"/>
  <c r="DN8" i="3" s="1"/>
  <c r="DN23" i="3" a="1"/>
  <c r="DN23" i="3" s="1"/>
  <c r="DM11" i="3"/>
  <c r="DN28" i="3" a="1"/>
  <c r="DN28" i="3" s="1"/>
  <c r="DN52" i="3" a="1"/>
  <c r="DN52" i="3" s="1"/>
  <c r="DM35" i="3"/>
  <c r="DM44" i="3"/>
  <c r="DM13" i="3"/>
  <c r="DM22" i="3"/>
  <c r="DN11" i="3" a="1"/>
  <c r="DN11" i="3" s="1"/>
  <c r="DM52" i="3"/>
  <c r="DN44" i="3" a="1"/>
  <c r="DN44" i="3" s="1"/>
  <c r="DM47" i="3"/>
  <c r="DN36" i="3" a="1"/>
  <c r="DN36" i="3" s="1"/>
  <c r="DN48" i="3" a="1"/>
  <c r="DN48" i="3" s="1"/>
  <c r="DM33" i="3"/>
  <c r="DN50" i="3" a="1"/>
  <c r="DN50" i="3" s="1"/>
  <c r="DM16" i="3"/>
  <c r="DM29" i="3"/>
  <c r="DN46" i="3" a="1"/>
  <c r="DN46" i="3" s="1"/>
  <c r="DM25" i="3"/>
  <c r="DM48" i="3"/>
  <c r="DN33" i="3" a="1"/>
  <c r="DN33" i="3" s="1"/>
  <c r="DM53" i="3"/>
  <c r="DM50" i="3"/>
  <c r="DN16" i="3" a="1"/>
  <c r="DN16" i="3" s="1"/>
  <c r="DN14" i="3" a="1"/>
  <c r="DN14" i="3" s="1"/>
  <c r="DN29" i="3" a="1"/>
  <c r="DN29" i="3" s="1"/>
  <c r="DN26" i="3" a="1"/>
  <c r="DN26" i="3" s="1"/>
  <c r="AU85" i="3"/>
  <c r="AV84" i="3" s="1"/>
  <c r="DN25" i="3" a="1"/>
  <c r="DN25" i="3" s="1"/>
  <c r="AU53" i="3"/>
  <c r="AV52" i="3" s="1"/>
  <c r="DN22" i="3" a="1"/>
  <c r="DN22" i="3" s="1"/>
  <c r="DN24" i="3" a="1"/>
  <c r="DN24" i="3" s="1"/>
  <c r="DN39" i="3" a="1"/>
  <c r="DN39" i="3" s="1"/>
  <c r="DM27" i="3"/>
  <c r="DM26" i="3"/>
  <c r="DN13" i="3" a="1"/>
  <c r="DN13" i="3" s="1"/>
  <c r="DN40" i="3" a="1"/>
  <c r="DN40" i="3" s="1"/>
  <c r="DN20" i="3" a="1"/>
  <c r="DN20" i="3" s="1"/>
  <c r="AU29" i="3"/>
  <c r="AV28" i="3" s="1"/>
  <c r="AU13" i="3"/>
  <c r="AV12" i="3" s="1"/>
  <c r="AU37" i="3"/>
  <c r="AV36" i="3" s="1"/>
  <c r="AU45" i="3"/>
  <c r="AV44" i="3" s="1"/>
  <c r="DM20" i="3"/>
  <c r="AU93" i="3"/>
  <c r="AV92" i="3" s="1"/>
  <c r="DM6" i="3"/>
  <c r="DM21" i="3"/>
  <c r="DN49" i="3" a="1"/>
  <c r="DN49" i="3" s="1"/>
  <c r="DN18" i="3" a="1"/>
  <c r="DN18" i="3" s="1"/>
  <c r="DM41" i="3"/>
  <c r="DM32" i="3"/>
  <c r="DM19" i="3"/>
  <c r="DN30" i="3" a="1"/>
  <c r="DN30" i="3" s="1"/>
  <c r="AU69" i="3"/>
  <c r="AV68" i="3" s="1"/>
  <c r="DM9" i="3"/>
  <c r="AU5" i="3"/>
  <c r="AV4" i="3" s="1"/>
  <c r="DN21" i="3" a="1"/>
  <c r="DN21" i="3" s="1"/>
  <c r="DM36" i="3"/>
  <c r="DM18" i="3"/>
  <c r="DN41" i="3" a="1"/>
  <c r="DN41" i="3" s="1"/>
  <c r="DN32" i="3" a="1"/>
  <c r="DN32" i="3" s="1"/>
  <c r="DM28" i="3"/>
  <c r="AU21" i="3"/>
  <c r="AV20" i="3" s="1"/>
  <c r="DN35" i="3" a="1"/>
  <c r="DN35" i="3" s="1"/>
  <c r="AU61" i="3"/>
  <c r="AV60" i="3" s="1"/>
  <c r="DN19" i="3" a="1"/>
  <c r="DN19" i="3" s="1"/>
  <c r="DM46" i="3"/>
  <c r="DM30" i="3"/>
  <c r="E54" i="48"/>
  <c r="F53" i="48" a="1"/>
  <c r="F53" i="48" s="1"/>
  <c r="DF40" i="3" l="1"/>
  <c r="DF44" i="3"/>
  <c r="DF38" i="3"/>
  <c r="DF24" i="3"/>
  <c r="DF25" i="3"/>
  <c r="DF51" i="3"/>
  <c r="DF35" i="3"/>
  <c r="DF49" i="3"/>
  <c r="DF46" i="3"/>
  <c r="DF42" i="3"/>
  <c r="DF30" i="3"/>
  <c r="DF36" i="3"/>
  <c r="DF33" i="3"/>
  <c r="DF13" i="3"/>
  <c r="DF41" i="3"/>
  <c r="DF22" i="3"/>
  <c r="DF10" i="3"/>
  <c r="DF53" i="3"/>
  <c r="DF14" i="3"/>
  <c r="DF43" i="3"/>
  <c r="DF32" i="3"/>
  <c r="DF47" i="3"/>
  <c r="DF19" i="3"/>
  <c r="DF21" i="3"/>
  <c r="DF31" i="3"/>
  <c r="DF27" i="3"/>
  <c r="DF50" i="3"/>
  <c r="DF18" i="3"/>
  <c r="DF52" i="3"/>
  <c r="DF23" i="3"/>
  <c r="DF34" i="3"/>
  <c r="DF16" i="3"/>
  <c r="DF48" i="3"/>
  <c r="DF39" i="3"/>
  <c r="DF11" i="3"/>
  <c r="DF17" i="3"/>
  <c r="DF45" i="3"/>
  <c r="DF15" i="3"/>
  <c r="DF20" i="3"/>
  <c r="DF26" i="3"/>
  <c r="DF37" i="3"/>
  <c r="DF12" i="3"/>
  <c r="DF29" i="3"/>
  <c r="DF28" i="3"/>
  <c r="E55" i="48"/>
  <c r="F54" i="48" a="1"/>
  <c r="F54" i="48" s="1"/>
  <c r="DG26" i="3" l="1"/>
  <c r="DG16" i="3"/>
  <c r="DG22" i="3"/>
  <c r="DG35" i="3"/>
  <c r="DG15" i="3"/>
  <c r="DG47" i="3"/>
  <c r="DG13" i="3"/>
  <c r="DG51" i="3"/>
  <c r="DG49" i="3"/>
  <c r="DG19" i="3"/>
  <c r="DG45" i="3"/>
  <c r="DG52" i="3"/>
  <c r="DG32" i="3"/>
  <c r="DG33" i="3"/>
  <c r="DG28" i="3"/>
  <c r="DG17" i="3"/>
  <c r="DG18" i="3"/>
  <c r="DG43" i="3"/>
  <c r="DG24" i="3"/>
  <c r="DG21" i="3"/>
  <c r="DG20" i="3"/>
  <c r="DG29" i="3"/>
  <c r="DG11" i="3"/>
  <c r="DG50" i="3"/>
  <c r="DG14" i="3"/>
  <c r="DG30" i="3"/>
  <c r="DG38" i="3"/>
  <c r="DG12" i="3"/>
  <c r="DG27" i="3"/>
  <c r="DG53" i="3"/>
  <c r="DG42" i="3"/>
  <c r="DG44" i="3"/>
  <c r="DG37" i="3"/>
  <c r="DG48" i="3"/>
  <c r="DG31" i="3"/>
  <c r="DG10" i="3"/>
  <c r="DG46" i="3"/>
  <c r="DG40" i="3"/>
  <c r="DG34" i="3"/>
  <c r="DG41" i="3"/>
  <c r="DG23" i="3"/>
  <c r="DG25" i="3"/>
  <c r="DG36" i="3"/>
  <c r="DG39" i="3"/>
  <c r="DG7" i="3"/>
  <c r="DG6" i="3"/>
  <c r="DG9" i="3"/>
  <c r="DG8" i="3"/>
  <c r="E56" i="48"/>
  <c r="F55" i="48" a="1"/>
  <c r="F55" i="48" s="1"/>
  <c r="DH25" i="3" l="1"/>
  <c r="BN25" i="3" s="1"/>
  <c r="DH23" i="3"/>
  <c r="BN23" i="3" s="1"/>
  <c r="DH39" i="3"/>
  <c r="BN39" i="3" s="1"/>
  <c r="DH36" i="3"/>
  <c r="BN36" i="3" s="1"/>
  <c r="DH41" i="3"/>
  <c r="BN41" i="3" s="1"/>
  <c r="DH49" i="3"/>
  <c r="BN49" i="3" s="1"/>
  <c r="DH31" i="3"/>
  <c r="BN31" i="3" s="1"/>
  <c r="DH42" i="3"/>
  <c r="BN42" i="3" s="1"/>
  <c r="DH15" i="3"/>
  <c r="BN15" i="3" s="1"/>
  <c r="DH50" i="3"/>
  <c r="BN50" i="3" s="1"/>
  <c r="DH28" i="3"/>
  <c r="BN28" i="3" s="1"/>
  <c r="DH47" i="3"/>
  <c r="BN47" i="3" s="1"/>
  <c r="DH51" i="3"/>
  <c r="BN51" i="3" s="1"/>
  <c r="DH29" i="3"/>
  <c r="BN29" i="3" s="1"/>
  <c r="DH44" i="3"/>
  <c r="BN44" i="3" s="1"/>
  <c r="DH24" i="3"/>
  <c r="BN24" i="3" s="1"/>
  <c r="DH32" i="3"/>
  <c r="BN32" i="3" s="1"/>
  <c r="DH16" i="3"/>
  <c r="BN16" i="3" s="1"/>
  <c r="DH45" i="3"/>
  <c r="BN45" i="3" s="1"/>
  <c r="DH27" i="3"/>
  <c r="BN27" i="3" s="1"/>
  <c r="DH14" i="3"/>
  <c r="BN14" i="3" s="1"/>
  <c r="DH46" i="3"/>
  <c r="BN46" i="3" s="1"/>
  <c r="DH38" i="3"/>
  <c r="BN38" i="3" s="1"/>
  <c r="DH26" i="3"/>
  <c r="BN26" i="3" s="1"/>
  <c r="DH22" i="3"/>
  <c r="BN22" i="3" s="1"/>
  <c r="DH18" i="3"/>
  <c r="BN18" i="3" s="1"/>
  <c r="DH13" i="3"/>
  <c r="BN13" i="3" s="1"/>
  <c r="DH11" i="3"/>
  <c r="BN11" i="3" s="1"/>
  <c r="DH21" i="3"/>
  <c r="BN21" i="3" s="1"/>
  <c r="DH35" i="3"/>
  <c r="BN35" i="3" s="1"/>
  <c r="DH10" i="3"/>
  <c r="BN10" i="3" s="1"/>
  <c r="DH53" i="3"/>
  <c r="BN53" i="3" s="1"/>
  <c r="DH48" i="3"/>
  <c r="BN48" i="3" s="1"/>
  <c r="DH19" i="3"/>
  <c r="BN19" i="3" s="1"/>
  <c r="DH12" i="3"/>
  <c r="BN12" i="3" s="1"/>
  <c r="DH43" i="3"/>
  <c r="BN43" i="3" s="1"/>
  <c r="DH52" i="3"/>
  <c r="BN52" i="3" s="1"/>
  <c r="DH37" i="3"/>
  <c r="BN37" i="3" s="1"/>
  <c r="DH30" i="3"/>
  <c r="BN30" i="3" s="1"/>
  <c r="DH40" i="3"/>
  <c r="BN40" i="3" s="1"/>
  <c r="DH20" i="3"/>
  <c r="BN20" i="3" s="1"/>
  <c r="DH17" i="3"/>
  <c r="BN17" i="3" s="1"/>
  <c r="DH33" i="3"/>
  <c r="BN33" i="3" s="1"/>
  <c r="DH7" i="3"/>
  <c r="BN7" i="3" s="1"/>
  <c r="DH6" i="3"/>
  <c r="BN6" i="3" s="1"/>
  <c r="DH8" i="3"/>
  <c r="BN8" i="3" s="1"/>
  <c r="DH9" i="3"/>
  <c r="BN9" i="3" s="1"/>
  <c r="DH34" i="3"/>
  <c r="BN34" i="3" s="1"/>
  <c r="F56" i="48" a="1"/>
  <c r="F56" i="48" s="1"/>
  <c r="E57" i="48"/>
  <c r="AL48" i="3" l="1"/>
  <c r="AL89" i="3"/>
  <c r="AL39" i="3"/>
  <c r="AL94" i="3"/>
  <c r="AL25" i="3"/>
  <c r="AL23" i="3"/>
  <c r="AL16" i="3"/>
  <c r="AL78" i="3"/>
  <c r="AL73" i="3"/>
  <c r="BD67" i="3"/>
  <c r="BG67" i="3" s="1"/>
  <c r="AL96" i="3"/>
  <c r="AL22" i="3"/>
  <c r="BD58" i="3"/>
  <c r="BI58" i="3" s="1"/>
  <c r="AL9" i="3"/>
  <c r="AL86" i="3"/>
  <c r="AL63" i="3"/>
  <c r="AL87" i="3"/>
  <c r="AL6" i="3"/>
  <c r="AL41" i="3"/>
  <c r="AL47" i="3"/>
  <c r="AL55" i="3"/>
  <c r="AL56" i="3"/>
  <c r="BD59" i="3"/>
  <c r="BH59" i="3" s="1"/>
  <c r="AL65" i="3"/>
  <c r="AL33" i="3"/>
  <c r="BD64" i="3"/>
  <c r="BG64" i="3" s="1"/>
  <c r="AL81" i="3"/>
  <c r="BD60" i="3"/>
  <c r="AL62" i="3"/>
  <c r="AL79" i="3"/>
  <c r="AL97" i="3"/>
  <c r="BD68" i="3"/>
  <c r="BI68" i="3" s="1"/>
  <c r="BD61" i="3"/>
  <c r="BH61" i="3" s="1"/>
  <c r="AL54" i="3"/>
  <c r="BD69" i="3"/>
  <c r="BI69" i="3" s="1"/>
  <c r="BG60" i="3"/>
  <c r="AL88" i="3"/>
  <c r="AL71" i="3"/>
  <c r="AL95" i="3"/>
  <c r="BH60" i="3"/>
  <c r="BI60" i="3"/>
  <c r="AL64" i="3"/>
  <c r="AL30" i="3"/>
  <c r="AL70" i="3"/>
  <c r="AL40" i="3"/>
  <c r="BD63" i="3"/>
  <c r="BI63" i="3" s="1"/>
  <c r="AL72" i="3"/>
  <c r="BD62" i="3"/>
  <c r="BG58" i="3"/>
  <c r="BD65" i="3"/>
  <c r="BI65" i="3" s="1"/>
  <c r="AL17" i="3"/>
  <c r="AL46" i="3"/>
  <c r="AL80" i="3"/>
  <c r="AL49" i="3"/>
  <c r="BD66" i="3"/>
  <c r="BI66" i="3" s="1"/>
  <c r="AL38" i="3"/>
  <c r="BH64" i="3"/>
  <c r="BH58" i="3"/>
  <c r="BI67" i="3"/>
  <c r="AL24" i="3"/>
  <c r="AL32" i="3"/>
  <c r="AL31" i="3"/>
  <c r="AL7" i="3"/>
  <c r="AL8" i="3"/>
  <c r="AL14" i="3"/>
  <c r="BH67" i="3"/>
  <c r="AL15" i="3"/>
  <c r="AL57" i="3"/>
  <c r="E58" i="48"/>
  <c r="F57" i="48" a="1"/>
  <c r="F57" i="48" s="1"/>
  <c r="BG59" i="3" l="1"/>
  <c r="BH66" i="3"/>
  <c r="BH63" i="3"/>
  <c r="BG61" i="3"/>
  <c r="BH65" i="3"/>
  <c r="BH62" i="3"/>
  <c r="BI61" i="3"/>
  <c r="BI59" i="3"/>
  <c r="BG63" i="3"/>
  <c r="BI62" i="3"/>
  <c r="BH69" i="3"/>
  <c r="BG69" i="3"/>
  <c r="BH68" i="3"/>
  <c r="BI64" i="3"/>
  <c r="BF64" i="3" s="1"/>
  <c r="BJ64" i="3" s="1"/>
  <c r="BG62" i="3"/>
  <c r="BG68" i="3"/>
  <c r="BG65" i="3"/>
  <c r="BG66" i="3"/>
  <c r="AR8" i="3"/>
  <c r="AM8" i="3"/>
  <c r="I6" i="45" s="1"/>
  <c r="AT8" i="3"/>
  <c r="J6" i="45" s="1"/>
  <c r="AN8" i="3"/>
  <c r="AO8" i="3"/>
  <c r="AS8" i="3"/>
  <c r="AQ8" i="3"/>
  <c r="H6" i="45"/>
  <c r="AK8" i="3" a="1"/>
  <c r="AK8" i="3" s="1"/>
  <c r="AP8" i="3"/>
  <c r="AM80" i="3"/>
  <c r="U30" i="45" s="1"/>
  <c r="AN80" i="3"/>
  <c r="AK80" i="3" a="1"/>
  <c r="AK80" i="3" s="1"/>
  <c r="AO80" i="3"/>
  <c r="AS80" i="3"/>
  <c r="AP80" i="3"/>
  <c r="T30" i="45"/>
  <c r="AT80" i="3"/>
  <c r="V30" i="45" s="1"/>
  <c r="AQ80" i="3"/>
  <c r="AR80" i="3"/>
  <c r="E32" i="40"/>
  <c r="C100" i="40"/>
  <c r="I426" i="40"/>
  <c r="C401" i="40"/>
  <c r="C364" i="40"/>
  <c r="C93" i="40"/>
  <c r="E284" i="40"/>
  <c r="E217" i="40"/>
  <c r="C183" i="40"/>
  <c r="I164" i="40"/>
  <c r="I413" i="40"/>
  <c r="E256" i="40"/>
  <c r="C132" i="40"/>
  <c r="C351" i="40"/>
  <c r="C302" i="40"/>
  <c r="E229" i="40"/>
  <c r="C353" i="40"/>
  <c r="I369" i="40"/>
  <c r="I227" i="40"/>
  <c r="C145" i="40"/>
  <c r="C7" i="40"/>
  <c r="C216" i="40"/>
  <c r="C188" i="40"/>
  <c r="E200" i="40"/>
  <c r="G150" i="40"/>
  <c r="G157" i="40"/>
  <c r="C99" i="40"/>
  <c r="C257" i="40"/>
  <c r="D415" i="40"/>
  <c r="C63" i="40"/>
  <c r="J356" i="40"/>
  <c r="I153" i="40"/>
  <c r="C102" i="40"/>
  <c r="D271" i="40"/>
  <c r="C65" i="40"/>
  <c r="E189" i="40"/>
  <c r="D485" i="40"/>
  <c r="D469" i="40"/>
  <c r="I468" i="40"/>
  <c r="C109" i="40"/>
  <c r="C472" i="40"/>
  <c r="C398" i="40"/>
  <c r="D358" i="40"/>
  <c r="C80" i="40"/>
  <c r="I110" i="40"/>
  <c r="I494" i="40"/>
  <c r="C295" i="40"/>
  <c r="C363" i="40"/>
  <c r="I107" i="40"/>
  <c r="I143" i="40"/>
  <c r="C259" i="40"/>
  <c r="C92" i="40"/>
  <c r="C343" i="40"/>
  <c r="C400" i="40"/>
  <c r="C465" i="40"/>
  <c r="I368" i="40"/>
  <c r="J483" i="40"/>
  <c r="I360" i="40"/>
  <c r="D275" i="40"/>
  <c r="E45" i="40"/>
  <c r="I495" i="40"/>
  <c r="D411" i="40"/>
  <c r="C304" i="40"/>
  <c r="J78" i="40"/>
  <c r="C26" i="40"/>
  <c r="E265" i="40"/>
  <c r="C170" i="40"/>
  <c r="I166" i="40"/>
  <c r="C477" i="40"/>
  <c r="C193" i="40"/>
  <c r="J285" i="40"/>
  <c r="C103" i="40"/>
  <c r="C306" i="40"/>
  <c r="C75" i="40"/>
  <c r="I159" i="40"/>
  <c r="C298" i="40"/>
  <c r="C300" i="40"/>
  <c r="D254" i="40"/>
  <c r="J467" i="40"/>
  <c r="C48" i="40"/>
  <c r="C173" i="40"/>
  <c r="C222" i="40"/>
  <c r="C420" i="40"/>
  <c r="J496" i="40"/>
  <c r="C97" i="40"/>
  <c r="J226" i="40"/>
  <c r="C139" i="40"/>
  <c r="C214" i="40"/>
  <c r="I199" i="40"/>
  <c r="C169" i="40"/>
  <c r="I479" i="40"/>
  <c r="C296" i="40"/>
  <c r="C258" i="40"/>
  <c r="C463" i="40"/>
  <c r="C260" i="40"/>
  <c r="J152" i="40"/>
  <c r="C394" i="40"/>
  <c r="C211" i="40"/>
  <c r="J423" i="40"/>
  <c r="C53" i="40"/>
  <c r="I202" i="40"/>
  <c r="J165" i="40"/>
  <c r="C90" i="40"/>
  <c r="C14" i="40"/>
  <c r="C138" i="40"/>
  <c r="C392" i="40"/>
  <c r="D482" i="40"/>
  <c r="C339" i="40"/>
  <c r="C397" i="40"/>
  <c r="C67" i="40"/>
  <c r="E273" i="40"/>
  <c r="I266" i="40"/>
  <c r="C223" i="40"/>
  <c r="E220" i="40"/>
  <c r="I484" i="40"/>
  <c r="D155" i="40"/>
  <c r="C336" i="40"/>
  <c r="C194" i="40"/>
  <c r="I282" i="40"/>
  <c r="I493" i="40"/>
  <c r="C303" i="40"/>
  <c r="G147" i="40"/>
  <c r="C4" i="40"/>
  <c r="E192" i="40"/>
  <c r="I403" i="40"/>
  <c r="D148" i="40"/>
  <c r="C362" i="40"/>
  <c r="C54" i="40"/>
  <c r="E191" i="40"/>
  <c r="C137" i="40"/>
  <c r="I487" i="40"/>
  <c r="C95" i="40"/>
  <c r="C140" i="40"/>
  <c r="C408" i="40"/>
  <c r="E40" i="40"/>
  <c r="C5" i="40"/>
  <c r="E277" i="40"/>
  <c r="C294" i="40"/>
  <c r="C31" i="40"/>
  <c r="D154" i="40"/>
  <c r="E228" i="40"/>
  <c r="C174" i="40"/>
  <c r="C297" i="40"/>
  <c r="E280" i="40"/>
  <c r="C344" i="40"/>
  <c r="D151" i="40"/>
  <c r="C144" i="40"/>
  <c r="I279" i="40"/>
  <c r="C409" i="40"/>
  <c r="C108" i="40"/>
  <c r="C212" i="40"/>
  <c r="C421" i="40"/>
  <c r="E33" i="40"/>
  <c r="C224" i="40"/>
  <c r="C417" i="40"/>
  <c r="J262" i="40"/>
  <c r="C6" i="40"/>
  <c r="C366" i="40"/>
  <c r="C404" i="40"/>
  <c r="C361" i="40"/>
  <c r="I82" i="40"/>
  <c r="C74" i="40"/>
  <c r="J158" i="40"/>
  <c r="C77" i="40"/>
  <c r="I314" i="40"/>
  <c r="J488" i="40"/>
  <c r="C91" i="40"/>
  <c r="C12" i="40"/>
  <c r="E41" i="40"/>
  <c r="C399" i="40"/>
  <c r="J283" i="40"/>
  <c r="C18" i="40"/>
  <c r="C337" i="40"/>
  <c r="C342" i="40"/>
  <c r="C27" i="40"/>
  <c r="E38" i="40"/>
  <c r="C135" i="40"/>
  <c r="C168" i="40"/>
  <c r="E219" i="40"/>
  <c r="C101" i="40"/>
  <c r="C76" i="40"/>
  <c r="I406" i="40"/>
  <c r="J198" i="40"/>
  <c r="C405" i="40"/>
  <c r="C13" i="40"/>
  <c r="E201" i="40"/>
  <c r="I230" i="40"/>
  <c r="C94" i="40"/>
  <c r="C49" i="40"/>
  <c r="C422" i="40"/>
  <c r="C9" i="40"/>
  <c r="J310" i="40"/>
  <c r="D359" i="40"/>
  <c r="C354" i="40"/>
  <c r="C64" i="40"/>
  <c r="G161" i="40"/>
  <c r="D190" i="40"/>
  <c r="I46" i="40"/>
  <c r="C348" i="40"/>
  <c r="C307" i="40"/>
  <c r="C313" i="40"/>
  <c r="I311" i="40"/>
  <c r="E270" i="40"/>
  <c r="C474" i="40"/>
  <c r="C186" i="40"/>
  <c r="C62" i="40"/>
  <c r="C2" i="40"/>
  <c r="C308" i="40"/>
  <c r="C133" i="40"/>
  <c r="J163" i="40"/>
  <c r="C51" i="40"/>
  <c r="C16" i="40"/>
  <c r="E36" i="40"/>
  <c r="C340" i="40"/>
  <c r="J367" i="40"/>
  <c r="C15" i="40"/>
  <c r="E35" i="40"/>
  <c r="E44" i="40"/>
  <c r="C299" i="40"/>
  <c r="C50" i="40"/>
  <c r="E225" i="40"/>
  <c r="C301" i="40"/>
  <c r="G160" i="40"/>
  <c r="D268" i="40"/>
  <c r="I347" i="40"/>
  <c r="C464" i="40"/>
  <c r="D489" i="40"/>
  <c r="C352" i="40"/>
  <c r="C305" i="40"/>
  <c r="C419" i="40"/>
  <c r="I424" i="40"/>
  <c r="E281" i="40"/>
  <c r="E267" i="40"/>
  <c r="C252" i="40"/>
  <c r="C407" i="40"/>
  <c r="D274" i="40"/>
  <c r="C28" i="40"/>
  <c r="C210" i="40"/>
  <c r="E286" i="40"/>
  <c r="C396" i="40"/>
  <c r="C345" i="40"/>
  <c r="C172" i="40"/>
  <c r="J402" i="40"/>
  <c r="I156" i="40"/>
  <c r="C69" i="40"/>
  <c r="I263" i="40"/>
  <c r="E264" i="40"/>
  <c r="I162" i="40"/>
  <c r="I480" i="40"/>
  <c r="C81" i="40"/>
  <c r="C104" i="40"/>
  <c r="C10" i="40"/>
  <c r="I416" i="40"/>
  <c r="C418" i="40"/>
  <c r="D355" i="40"/>
  <c r="I79" i="40"/>
  <c r="C8" i="40"/>
  <c r="I43" i="40"/>
  <c r="I471" i="40"/>
  <c r="C70" i="40"/>
  <c r="C215" i="40"/>
  <c r="E197" i="40"/>
  <c r="C182" i="40"/>
  <c r="J490" i="40"/>
  <c r="I425" i="40"/>
  <c r="C341" i="40"/>
  <c r="C312" i="40"/>
  <c r="C134" i="40"/>
  <c r="J492" i="40"/>
  <c r="C196" i="40"/>
  <c r="C136" i="40"/>
  <c r="J278" i="40"/>
  <c r="E261" i="40"/>
  <c r="C462" i="40"/>
  <c r="E37" i="40"/>
  <c r="C338" i="40"/>
  <c r="C395" i="40"/>
  <c r="C72" i="40"/>
  <c r="C393" i="40"/>
  <c r="I350" i="40"/>
  <c r="I481" i="40"/>
  <c r="G149" i="40"/>
  <c r="J106" i="40"/>
  <c r="D470" i="40"/>
  <c r="C184" i="40"/>
  <c r="C185" i="40"/>
  <c r="C475" i="40"/>
  <c r="E255" i="40"/>
  <c r="E269" i="40"/>
  <c r="D34" i="40"/>
  <c r="D218" i="40"/>
  <c r="J346" i="40"/>
  <c r="D414" i="40"/>
  <c r="E276" i="40"/>
  <c r="C309" i="40"/>
  <c r="C52" i="40"/>
  <c r="J142" i="40"/>
  <c r="C29" i="40"/>
  <c r="C98" i="40"/>
  <c r="J412" i="40"/>
  <c r="C73" i="40"/>
  <c r="C410" i="40"/>
  <c r="C17" i="40"/>
  <c r="C476" i="40"/>
  <c r="I357" i="40"/>
  <c r="C365" i="40"/>
  <c r="C187" i="40"/>
  <c r="C96" i="40"/>
  <c r="C195" i="40"/>
  <c r="C349" i="40"/>
  <c r="J478" i="40"/>
  <c r="C221" i="40"/>
  <c r="C30" i="40"/>
  <c r="D491" i="40"/>
  <c r="E39" i="40"/>
  <c r="C68" i="40"/>
  <c r="C473" i="40"/>
  <c r="I370" i="40"/>
  <c r="C66" i="40"/>
  <c r="E253" i="40"/>
  <c r="D466" i="40"/>
  <c r="D486" i="40"/>
  <c r="C105" i="40"/>
  <c r="J272" i="40"/>
  <c r="I146" i="40"/>
  <c r="C141" i="40"/>
  <c r="C71" i="40"/>
  <c r="J42" i="40"/>
  <c r="C213" i="40"/>
  <c r="C171" i="40"/>
  <c r="I160" i="40"/>
  <c r="I244" i="40"/>
  <c r="I15" i="40"/>
  <c r="I219" i="40"/>
  <c r="I33" i="40"/>
  <c r="I261" i="40"/>
  <c r="I473" i="40"/>
  <c r="I64" i="40"/>
  <c r="I429" i="40"/>
  <c r="I417" i="40"/>
  <c r="I169" i="40"/>
  <c r="I433" i="40"/>
  <c r="I20" i="40"/>
  <c r="I259" i="40"/>
  <c r="I485" i="40"/>
  <c r="I32" i="40"/>
  <c r="I331" i="40"/>
  <c r="I223" i="40"/>
  <c r="I191" i="40"/>
  <c r="I458" i="40"/>
  <c r="I198" i="40"/>
  <c r="I367" i="40"/>
  <c r="I180" i="40"/>
  <c r="I312" i="40"/>
  <c r="I92" i="40"/>
  <c r="I432" i="40"/>
  <c r="I218" i="40"/>
  <c r="I38" i="40"/>
  <c r="I60" i="40"/>
  <c r="I249" i="40"/>
  <c r="I407" i="40"/>
  <c r="I246" i="40"/>
  <c r="I303" i="40"/>
  <c r="I59" i="40"/>
  <c r="I377" i="40"/>
  <c r="I488" i="40"/>
  <c r="I200" i="40"/>
  <c r="I324" i="40"/>
  <c r="I411" i="40"/>
  <c r="I35" i="40"/>
  <c r="I472" i="40"/>
  <c r="I397" i="40"/>
  <c r="I420" i="40"/>
  <c r="I258" i="40"/>
  <c r="I382" i="40"/>
  <c r="I135" i="40"/>
  <c r="I307" i="40"/>
  <c r="I78" i="40"/>
  <c r="I85" i="40"/>
  <c r="I206" i="40"/>
  <c r="I346" i="40"/>
  <c r="I233" i="40"/>
  <c r="I203" i="40"/>
  <c r="I428" i="40"/>
  <c r="I176" i="40"/>
  <c r="I144" i="40"/>
  <c r="I21" i="40"/>
  <c r="I57" i="40"/>
  <c r="I5" i="40"/>
  <c r="I358" i="40"/>
  <c r="I93" i="40"/>
  <c r="I120" i="40"/>
  <c r="I237" i="40"/>
  <c r="I42" i="40"/>
  <c r="I231" i="40"/>
  <c r="I211" i="40"/>
  <c r="I147" i="40"/>
  <c r="I94" i="40"/>
  <c r="I113" i="40"/>
  <c r="I74" i="40"/>
  <c r="I213" i="40"/>
  <c r="I302" i="40"/>
  <c r="I271" i="40"/>
  <c r="I462" i="40"/>
  <c r="I436" i="40"/>
  <c r="I242" i="40"/>
  <c r="I342" i="40"/>
  <c r="I173" i="40"/>
  <c r="I343" i="40"/>
  <c r="I62" i="40"/>
  <c r="I137" i="40"/>
  <c r="I466" i="40"/>
  <c r="I394" i="40"/>
  <c r="I148" i="40"/>
  <c r="I212" i="40"/>
  <c r="I132" i="40"/>
  <c r="I102" i="40"/>
  <c r="I361" i="40"/>
  <c r="I83" i="40"/>
  <c r="I158" i="40"/>
  <c r="I170" i="40"/>
  <c r="I86" i="40"/>
  <c r="I292" i="40"/>
  <c r="I63" i="40"/>
  <c r="I492" i="40"/>
  <c r="I289" i="40"/>
  <c r="I23" i="40"/>
  <c r="I322" i="40"/>
  <c r="I336" i="40"/>
  <c r="I398" i="40"/>
  <c r="I58" i="40"/>
  <c r="I126" i="40"/>
  <c r="I112" i="40"/>
  <c r="I252" i="40"/>
  <c r="I232" i="40"/>
  <c r="I309" i="40"/>
  <c r="I50" i="40"/>
  <c r="I362" i="40"/>
  <c r="I291" i="40"/>
  <c r="I326" i="40"/>
  <c r="I222" i="40"/>
  <c r="I379" i="40"/>
  <c r="I172" i="40"/>
  <c r="I404" i="40"/>
  <c r="I483" i="40"/>
  <c r="I8" i="40"/>
  <c r="I99" i="40"/>
  <c r="I280" i="40"/>
  <c r="I177" i="40"/>
  <c r="I330" i="40"/>
  <c r="I402" i="40"/>
  <c r="I298" i="40"/>
  <c r="I108" i="40"/>
  <c r="I253" i="40"/>
  <c r="I52" i="40"/>
  <c r="I401" i="40"/>
  <c r="I123" i="40"/>
  <c r="I127" i="40"/>
  <c r="I142" i="40"/>
  <c r="I295" i="40"/>
  <c r="I294" i="40"/>
  <c r="I14" i="40"/>
  <c r="I412" i="40"/>
  <c r="I443" i="40"/>
  <c r="I71" i="40"/>
  <c r="I186" i="40"/>
  <c r="I115" i="40"/>
  <c r="I319" i="40"/>
  <c r="I103" i="40"/>
  <c r="I205" i="40"/>
  <c r="I138" i="40"/>
  <c r="I427" i="40"/>
  <c r="I101" i="40"/>
  <c r="I430" i="40"/>
  <c r="I290" i="40"/>
  <c r="I118" i="40"/>
  <c r="I66" i="40"/>
  <c r="I327" i="40"/>
  <c r="I301" i="40"/>
  <c r="I463" i="40"/>
  <c r="I193" i="40"/>
  <c r="I447" i="40"/>
  <c r="I70" i="40"/>
  <c r="I194" i="40"/>
  <c r="I47" i="40"/>
  <c r="I34" i="40"/>
  <c r="I154" i="40"/>
  <c r="I157" i="40"/>
  <c r="I254" i="40"/>
  <c r="I333" i="40"/>
  <c r="I4" i="40"/>
  <c r="I17" i="40"/>
  <c r="I321" i="40"/>
  <c r="I434" i="40"/>
  <c r="I216" i="40"/>
  <c r="I179" i="40"/>
  <c r="I352" i="40"/>
  <c r="I305" i="40"/>
  <c r="I134" i="40"/>
  <c r="I464" i="40"/>
  <c r="I475" i="40"/>
  <c r="I272" i="40"/>
  <c r="I239" i="40"/>
  <c r="I355" i="40"/>
  <c r="I13" i="40"/>
  <c r="I235" i="40"/>
  <c r="I210" i="40"/>
  <c r="I97" i="40"/>
  <c r="I387" i="40"/>
  <c r="I139" i="40"/>
  <c r="I171" i="40"/>
  <c r="I337" i="40"/>
  <c r="I418" i="40"/>
  <c r="I207" i="40"/>
  <c r="I316" i="40"/>
  <c r="I152" i="40"/>
  <c r="I9" i="40"/>
  <c r="I182" i="40"/>
  <c r="I12" i="40"/>
  <c r="I49" i="40"/>
  <c r="I380" i="40"/>
  <c r="I386" i="40"/>
  <c r="I44" i="40"/>
  <c r="I197" i="40"/>
  <c r="I41" i="40"/>
  <c r="I348" i="40"/>
  <c r="I373" i="40"/>
  <c r="I383" i="40"/>
  <c r="I111" i="40"/>
  <c r="I55" i="40"/>
  <c r="I378" i="40"/>
  <c r="I183" i="40"/>
  <c r="I37" i="40"/>
  <c r="I364" i="40"/>
  <c r="I106" i="40"/>
  <c r="I195" i="40"/>
  <c r="I163" i="40"/>
  <c r="I423" i="40"/>
  <c r="I114" i="40"/>
  <c r="I208" i="40"/>
  <c r="I6" i="40"/>
  <c r="I96" i="40"/>
  <c r="I467" i="40"/>
  <c r="I22" i="40"/>
  <c r="I87" i="40"/>
  <c r="I28" i="40"/>
  <c r="I234" i="40"/>
  <c r="I310" i="40"/>
  <c r="I384" i="40"/>
  <c r="I16" i="40"/>
  <c r="I226" i="40"/>
  <c r="I267" i="40"/>
  <c r="I341" i="40"/>
  <c r="I315" i="40"/>
  <c r="I11" i="40"/>
  <c r="I375" i="40"/>
  <c r="I243" i="40"/>
  <c r="I73" i="40"/>
  <c r="I371" i="40"/>
  <c r="I26" i="40"/>
  <c r="I7" i="40"/>
  <c r="I124" i="40"/>
  <c r="I175" i="40"/>
  <c r="I274" i="40"/>
  <c r="I323" i="40"/>
  <c r="I297" i="40"/>
  <c r="I338" i="40"/>
  <c r="I225" i="40"/>
  <c r="I278" i="40"/>
  <c r="I446" i="40"/>
  <c r="I300" i="40"/>
  <c r="I414" i="40"/>
  <c r="I188" i="40"/>
  <c r="I283" i="40"/>
  <c r="I437" i="40"/>
  <c r="I65" i="40"/>
  <c r="I167" i="40"/>
  <c r="I24" i="40"/>
  <c r="I389" i="40"/>
  <c r="I374" i="40"/>
  <c r="I317" i="40"/>
  <c r="I288" i="40"/>
  <c r="I2" i="40"/>
  <c r="I185" i="40"/>
  <c r="I53" i="40"/>
  <c r="I453" i="40"/>
  <c r="I19" i="40"/>
  <c r="I356" i="40"/>
  <c r="I48" i="40"/>
  <c r="I88" i="40"/>
  <c r="I262" i="40"/>
  <c r="I141" i="40"/>
  <c r="I287" i="40"/>
  <c r="I184" i="40"/>
  <c r="I98" i="40"/>
  <c r="I3" i="40"/>
  <c r="I306" i="40"/>
  <c r="I268" i="40"/>
  <c r="I39" i="40"/>
  <c r="I353" i="40"/>
  <c r="I228" i="40"/>
  <c r="I204" i="40"/>
  <c r="I393" i="40"/>
  <c r="I190" i="40"/>
  <c r="I318" i="40"/>
  <c r="I439" i="40"/>
  <c r="I395" i="40"/>
  <c r="I442" i="40"/>
  <c r="I351" i="40"/>
  <c r="I69" i="40"/>
  <c r="I217" i="40"/>
  <c r="I372" i="40"/>
  <c r="I345" i="40"/>
  <c r="I455" i="40"/>
  <c r="I119" i="40"/>
  <c r="I90" i="40"/>
  <c r="I409" i="40"/>
  <c r="I328" i="40"/>
  <c r="I80" i="40"/>
  <c r="I255" i="40"/>
  <c r="I29" i="40"/>
  <c r="I277" i="40"/>
  <c r="I482" i="40"/>
  <c r="I296" i="40"/>
  <c r="I30" i="40"/>
  <c r="I178" i="40"/>
  <c r="I77" i="40"/>
  <c r="I133" i="40"/>
  <c r="I449" i="40"/>
  <c r="I168" i="40"/>
  <c r="I264" i="40"/>
  <c r="I151" i="40"/>
  <c r="I51" i="40"/>
  <c r="I91" i="40"/>
  <c r="I469" i="40"/>
  <c r="I189" i="40"/>
  <c r="I84" i="40"/>
  <c r="I408" i="40"/>
  <c r="I214" i="40"/>
  <c r="I56" i="40"/>
  <c r="I452" i="40"/>
  <c r="I238" i="40"/>
  <c r="I221" i="40"/>
  <c r="I399" i="40"/>
  <c r="I339" i="40"/>
  <c r="I129" i="40"/>
  <c r="I27" i="40"/>
  <c r="I105" i="40"/>
  <c r="I68" i="40"/>
  <c r="I257" i="40"/>
  <c r="I478" i="40"/>
  <c r="I75" i="40"/>
  <c r="I149" i="40"/>
  <c r="I247" i="40"/>
  <c r="I122" i="40"/>
  <c r="I392" i="40"/>
  <c r="I269" i="40"/>
  <c r="I117" i="40"/>
  <c r="I240" i="40"/>
  <c r="I444" i="40"/>
  <c r="AT62" i="3"/>
  <c r="V12" i="45" s="1"/>
  <c r="AS62" i="3"/>
  <c r="AQ62" i="3"/>
  <c r="M112" i="3"/>
  <c r="AA111" i="3" s="1"/>
  <c r="AN62" i="3"/>
  <c r="AR62" i="3"/>
  <c r="T12" i="45"/>
  <c r="AK62" i="3" a="1"/>
  <c r="AK62" i="3" s="1"/>
  <c r="AM62" i="3"/>
  <c r="U12" i="45" s="1"/>
  <c r="AP62" i="3"/>
  <c r="AO62" i="3"/>
  <c r="AM47" i="3"/>
  <c r="I45" i="45" s="1"/>
  <c r="H45" i="45"/>
  <c r="AS47" i="3"/>
  <c r="AQ47" i="3"/>
  <c r="AR47" i="3"/>
  <c r="N104" i="3"/>
  <c r="AF102" i="3" s="1"/>
  <c r="AP47" i="3"/>
  <c r="AK47" i="3" a="1"/>
  <c r="AK47" i="3" s="1"/>
  <c r="AO47" i="3"/>
  <c r="AN47" i="3"/>
  <c r="AT47" i="3"/>
  <c r="J45" i="45" s="1"/>
  <c r="AT22" i="3"/>
  <c r="J20" i="45" s="1"/>
  <c r="H20" i="45"/>
  <c r="AR22" i="3"/>
  <c r="AN22" i="3"/>
  <c r="AK22" i="3" a="1"/>
  <c r="AK22" i="3" s="1"/>
  <c r="AP22" i="3"/>
  <c r="AQ22" i="3"/>
  <c r="AS22" i="3"/>
  <c r="M104" i="3"/>
  <c r="AA102" i="3" s="1"/>
  <c r="AO22" i="3"/>
  <c r="AM22" i="3"/>
  <c r="I20" i="45" s="1"/>
  <c r="AN23" i="3"/>
  <c r="AT23" i="3"/>
  <c r="J21" i="45" s="1"/>
  <c r="AK23" i="3" a="1"/>
  <c r="AK23" i="3" s="1"/>
  <c r="H21" i="45"/>
  <c r="AP23" i="3"/>
  <c r="AS23" i="3"/>
  <c r="AM23" i="3"/>
  <c r="I21" i="45" s="1"/>
  <c r="N103" i="3"/>
  <c r="AF104" i="3" s="1"/>
  <c r="AQ23" i="3"/>
  <c r="AO23" i="3"/>
  <c r="AR23" i="3"/>
  <c r="AR39" i="3"/>
  <c r="AP39" i="3"/>
  <c r="AQ39" i="3"/>
  <c r="AO39" i="3"/>
  <c r="AS39" i="3"/>
  <c r="M106" i="3"/>
  <c r="AA105" i="3" s="1"/>
  <c r="H37" i="45"/>
  <c r="AT39" i="3"/>
  <c r="J37" i="45" s="1"/>
  <c r="AN39" i="3"/>
  <c r="AM39" i="3"/>
  <c r="I37" i="45" s="1"/>
  <c r="AK39" i="3" a="1"/>
  <c r="AK39" i="3" s="1"/>
  <c r="AK72" i="3" a="1"/>
  <c r="AK72" i="3" s="1"/>
  <c r="AS72" i="3"/>
  <c r="T22" i="45"/>
  <c r="AO72" i="3"/>
  <c r="AM72" i="3"/>
  <c r="U22" i="45" s="1"/>
  <c r="AT72" i="3"/>
  <c r="V22" i="45" s="1"/>
  <c r="AP72" i="3"/>
  <c r="AN72" i="3"/>
  <c r="AQ72" i="3"/>
  <c r="AR72" i="3"/>
  <c r="W22" i="45" s="1"/>
  <c r="AS70" i="3"/>
  <c r="AN70" i="3"/>
  <c r="AM70" i="3"/>
  <c r="U20" i="45" s="1"/>
  <c r="AQ70" i="3"/>
  <c r="T20" i="45"/>
  <c r="AK70" i="3" a="1"/>
  <c r="AK70" i="3" s="1"/>
  <c r="M105" i="3"/>
  <c r="AA106" i="3" s="1"/>
  <c r="AP70" i="3"/>
  <c r="AR70" i="3"/>
  <c r="W20" i="45" s="1"/>
  <c r="AT70" i="3"/>
  <c r="V20" i="45" s="1"/>
  <c r="AO70" i="3"/>
  <c r="AP54" i="3"/>
  <c r="AT54" i="3"/>
  <c r="V4" i="45" s="1"/>
  <c r="AS54" i="3"/>
  <c r="AM54" i="3"/>
  <c r="U4" i="45" s="1"/>
  <c r="AR54" i="3"/>
  <c r="AQ54" i="3"/>
  <c r="AN54" i="3"/>
  <c r="AK54" i="3" a="1"/>
  <c r="AK54" i="3" s="1"/>
  <c r="AO54" i="3"/>
  <c r="T4" i="45"/>
  <c r="M110" i="3"/>
  <c r="AA109" i="3" s="1"/>
  <c r="F463" i="40"/>
  <c r="F439" i="40"/>
  <c r="F145" i="40"/>
  <c r="C457" i="40"/>
  <c r="C42" i="40"/>
  <c r="F235" i="40"/>
  <c r="C22" i="40"/>
  <c r="F409" i="40"/>
  <c r="F466" i="40"/>
  <c r="C33" i="40"/>
  <c r="F461" i="40"/>
  <c r="F472" i="40"/>
  <c r="C484" i="40"/>
  <c r="C443" i="40"/>
  <c r="F459" i="40"/>
  <c r="C151" i="40"/>
  <c r="F109" i="40"/>
  <c r="F265" i="40"/>
  <c r="F272" i="40"/>
  <c r="F469" i="40"/>
  <c r="F94" i="40"/>
  <c r="F400" i="40"/>
  <c r="C486" i="40"/>
  <c r="F426" i="40"/>
  <c r="F496" i="40"/>
  <c r="F276" i="40"/>
  <c r="F203" i="40"/>
  <c r="C483" i="40"/>
  <c r="F436" i="40"/>
  <c r="C39" i="40"/>
  <c r="F240" i="40"/>
  <c r="F377" i="40"/>
  <c r="F211" i="40"/>
  <c r="F223" i="40"/>
  <c r="F264" i="40"/>
  <c r="C280" i="40"/>
  <c r="C123" i="40"/>
  <c r="F85" i="40"/>
  <c r="F143" i="40"/>
  <c r="F283" i="40"/>
  <c r="C458" i="40"/>
  <c r="F111" i="40"/>
  <c r="F234" i="40"/>
  <c r="F399" i="40"/>
  <c r="F371" i="40"/>
  <c r="F383" i="40"/>
  <c r="C278" i="40"/>
  <c r="F239" i="40"/>
  <c r="F372" i="40"/>
  <c r="F165" i="40"/>
  <c r="F101" i="40"/>
  <c r="F448" i="40"/>
  <c r="F378" i="40"/>
  <c r="F259" i="40"/>
  <c r="F241" i="40"/>
  <c r="F260" i="40"/>
  <c r="F468" i="40"/>
  <c r="F262" i="40"/>
  <c r="F27" i="40"/>
  <c r="C267" i="40"/>
  <c r="F86" i="40"/>
  <c r="F256" i="40"/>
  <c r="F248" i="40"/>
  <c r="F473" i="40"/>
  <c r="F403" i="40"/>
  <c r="F90" i="40"/>
  <c r="F135" i="40"/>
  <c r="F92" i="40"/>
  <c r="C161" i="40"/>
  <c r="F103" i="40"/>
  <c r="C385" i="40"/>
  <c r="F114" i="40"/>
  <c r="C164" i="40"/>
  <c r="F15" i="40"/>
  <c r="F30" i="40"/>
  <c r="C281" i="40"/>
  <c r="F98" i="40"/>
  <c r="C269" i="40"/>
  <c r="C444" i="40"/>
  <c r="F413" i="40"/>
  <c r="F84" i="40"/>
  <c r="F389" i="40"/>
  <c r="C432" i="40"/>
  <c r="F112" i="40"/>
  <c r="F263" i="40"/>
  <c r="C279" i="40"/>
  <c r="C20" i="40"/>
  <c r="F227" i="40"/>
  <c r="F407" i="40"/>
  <c r="F488" i="40"/>
  <c r="F134" i="40"/>
  <c r="F12" i="40"/>
  <c r="F430" i="40"/>
  <c r="F228" i="40"/>
  <c r="F415" i="40"/>
  <c r="C445" i="40"/>
  <c r="F441" i="40"/>
  <c r="F91" i="40"/>
  <c r="F470" i="40"/>
  <c r="C127" i="40"/>
  <c r="C243" i="40"/>
  <c r="C43" i="40"/>
  <c r="F207" i="40"/>
  <c r="F104" i="40"/>
  <c r="C122" i="40"/>
  <c r="C36" i="40"/>
  <c r="C149" i="40"/>
  <c r="F465" i="40"/>
  <c r="F146" i="40"/>
  <c r="F491" i="40"/>
  <c r="F284" i="40"/>
  <c r="F89" i="40"/>
  <c r="F433" i="40"/>
  <c r="F133" i="40"/>
  <c r="H392" i="40"/>
  <c r="C455" i="40"/>
  <c r="F476" i="40"/>
  <c r="C117" i="40"/>
  <c r="C482" i="40"/>
  <c r="F427" i="40"/>
  <c r="F275" i="40"/>
  <c r="C453" i="40"/>
  <c r="C166" i="40"/>
  <c r="C277" i="40"/>
  <c r="C32" i="40"/>
  <c r="F11" i="40"/>
  <c r="F246" i="40"/>
  <c r="F462" i="40"/>
  <c r="C485" i="40"/>
  <c r="F204" i="40"/>
  <c r="F390" i="40"/>
  <c r="F131" i="40"/>
  <c r="C46" i="40"/>
  <c r="C130" i="40"/>
  <c r="F219" i="40"/>
  <c r="C152" i="40"/>
  <c r="F396" i="40"/>
  <c r="C119" i="40"/>
  <c r="F386" i="40"/>
  <c r="C434" i="40"/>
  <c r="F138" i="40"/>
  <c r="C493" i="40"/>
  <c r="C23" i="40"/>
  <c r="C487" i="40"/>
  <c r="F26" i="40"/>
  <c r="F140" i="40"/>
  <c r="C492" i="40"/>
  <c r="F286" i="40"/>
  <c r="F253" i="40"/>
  <c r="F231" i="40"/>
  <c r="C158" i="40"/>
  <c r="F250" i="40"/>
  <c r="C237" i="40"/>
  <c r="C494" i="40"/>
  <c r="F419" i="40"/>
  <c r="F18" i="40"/>
  <c r="C147" i="40"/>
  <c r="F404" i="40"/>
  <c r="F464" i="40"/>
  <c r="F218" i="40"/>
  <c r="C435" i="40"/>
  <c r="F208" i="40"/>
  <c r="F110" i="40"/>
  <c r="F471" i="40"/>
  <c r="C270" i="40"/>
  <c r="F414" i="40"/>
  <c r="F210" i="40"/>
  <c r="C163" i="40"/>
  <c r="F93" i="40"/>
  <c r="C384" i="40"/>
  <c r="F220" i="40"/>
  <c r="F437" i="40"/>
  <c r="C21" i="40"/>
  <c r="F139" i="40"/>
  <c r="F142" i="40"/>
  <c r="F17" i="40"/>
  <c r="C40" i="40"/>
  <c r="F475" i="40"/>
  <c r="F379" i="40"/>
  <c r="F205" i="40"/>
  <c r="F233" i="40"/>
  <c r="F116" i="40"/>
  <c r="F108" i="40"/>
  <c r="F402" i="40"/>
  <c r="F450" i="40"/>
  <c r="C244" i="40"/>
  <c r="F214" i="40"/>
  <c r="F477" i="40"/>
  <c r="F411" i="40"/>
  <c r="F429" i="40"/>
  <c r="F249" i="40"/>
  <c r="F14" i="40"/>
  <c r="F232" i="40"/>
  <c r="C34" i="40"/>
  <c r="C25" i="40"/>
  <c r="F440" i="40"/>
  <c r="C118" i="40"/>
  <c r="F225" i="40"/>
  <c r="F144" i="40"/>
  <c r="F251" i="40"/>
  <c r="F230" i="40"/>
  <c r="F480" i="40"/>
  <c r="C38" i="40"/>
  <c r="C35" i="40"/>
  <c r="F424" i="40"/>
  <c r="C125" i="40"/>
  <c r="F87" i="40"/>
  <c r="F490" i="40"/>
  <c r="F132" i="40"/>
  <c r="C156" i="40"/>
  <c r="F381" i="40"/>
  <c r="F100" i="40"/>
  <c r="C162" i="40"/>
  <c r="F257" i="40"/>
  <c r="F375" i="40"/>
  <c r="F215" i="40"/>
  <c r="F481" i="40"/>
  <c r="C148" i="40"/>
  <c r="F107" i="40"/>
  <c r="F209" i="40"/>
  <c r="F141" i="40"/>
  <c r="F19" i="40"/>
  <c r="C447" i="40"/>
  <c r="F376" i="40"/>
  <c r="C24" i="40"/>
  <c r="F236" i="40"/>
  <c r="C159" i="40"/>
  <c r="F425" i="40"/>
  <c r="C247" i="40"/>
  <c r="C242" i="40"/>
  <c r="F28" i="40"/>
  <c r="F478" i="40"/>
  <c r="F213" i="40"/>
  <c r="F137" i="40"/>
  <c r="C44" i="40"/>
  <c r="F102" i="40"/>
  <c r="F428" i="40"/>
  <c r="F31" i="40"/>
  <c r="C382" i="40"/>
  <c r="C452" i="40"/>
  <c r="F397" i="40"/>
  <c r="C126" i="40"/>
  <c r="F128" i="40"/>
  <c r="F97" i="40"/>
  <c r="F252" i="40"/>
  <c r="F221" i="40"/>
  <c r="F258" i="40"/>
  <c r="F395" i="40"/>
  <c r="F106" i="40"/>
  <c r="C41" i="40"/>
  <c r="C153" i="40"/>
  <c r="F274" i="40"/>
  <c r="F115" i="40"/>
  <c r="F431" i="40"/>
  <c r="F254" i="40"/>
  <c r="F105" i="40"/>
  <c r="F405" i="40"/>
  <c r="F417" i="40"/>
  <c r="F95" i="40"/>
  <c r="F410" i="40"/>
  <c r="F438" i="40"/>
  <c r="F113" i="40"/>
  <c r="F16" i="40"/>
  <c r="F224" i="40"/>
  <c r="C150" i="40"/>
  <c r="H398" i="40"/>
  <c r="F391" i="40"/>
  <c r="F394" i="40"/>
  <c r="C45" i="40"/>
  <c r="C129" i="40"/>
  <c r="F13" i="40"/>
  <c r="F222" i="40"/>
  <c r="C121" i="40"/>
  <c r="C160" i="40"/>
  <c r="F373" i="40"/>
  <c r="F212" i="40"/>
  <c r="F408" i="40"/>
  <c r="F467" i="40"/>
  <c r="C37" i="40"/>
  <c r="F238" i="40"/>
  <c r="F460" i="40"/>
  <c r="F266" i="40"/>
  <c r="C157" i="40"/>
  <c r="C282" i="40"/>
  <c r="F380" i="40"/>
  <c r="C245" i="40"/>
  <c r="F421" i="40"/>
  <c r="C268" i="40"/>
  <c r="C120" i="40"/>
  <c r="F206" i="40"/>
  <c r="C155" i="40"/>
  <c r="F255" i="40"/>
  <c r="F446" i="40"/>
  <c r="F418" i="40"/>
  <c r="C454" i="40"/>
  <c r="F99" i="40"/>
  <c r="F479" i="40"/>
  <c r="F96" i="40"/>
  <c r="F226" i="40"/>
  <c r="F423" i="40"/>
  <c r="F451" i="40"/>
  <c r="F217" i="40"/>
  <c r="C442" i="40"/>
  <c r="F88" i="40"/>
  <c r="F387" i="40"/>
  <c r="F489" i="40"/>
  <c r="F261" i="40"/>
  <c r="C456" i="40"/>
  <c r="F449" i="40"/>
  <c r="F388" i="40"/>
  <c r="F406" i="40"/>
  <c r="F474" i="40"/>
  <c r="F393" i="40"/>
  <c r="F216" i="40"/>
  <c r="F285" i="40"/>
  <c r="F420" i="40"/>
  <c r="F416" i="40"/>
  <c r="F412" i="40"/>
  <c r="F271" i="40"/>
  <c r="C124" i="40"/>
  <c r="F273" i="40"/>
  <c r="C154" i="40"/>
  <c r="F136" i="40"/>
  <c r="F229" i="40"/>
  <c r="C495" i="40"/>
  <c r="F83" i="40"/>
  <c r="F374" i="40"/>
  <c r="F29" i="40"/>
  <c r="F422" i="40"/>
  <c r="F401" i="40"/>
  <c r="AK33" i="3" a="1"/>
  <c r="AK33" i="3" s="1"/>
  <c r="AP33" i="3"/>
  <c r="AM33" i="3"/>
  <c r="I31" i="45" s="1"/>
  <c r="AO33" i="3"/>
  <c r="AN33" i="3"/>
  <c r="AQ33" i="3"/>
  <c r="AS33" i="3"/>
  <c r="AT33" i="3"/>
  <c r="J31" i="45" s="1"/>
  <c r="AR33" i="3"/>
  <c r="H31" i="45"/>
  <c r="AT41" i="3"/>
  <c r="J39" i="45" s="1"/>
  <c r="AN41" i="3"/>
  <c r="AM41" i="3"/>
  <c r="I39" i="45" s="1"/>
  <c r="AR41" i="3"/>
  <c r="AO41" i="3"/>
  <c r="AP41" i="3"/>
  <c r="H39" i="45"/>
  <c r="AK41" i="3" a="1"/>
  <c r="AK41" i="3" s="1"/>
  <c r="AQ41" i="3"/>
  <c r="AS41" i="3"/>
  <c r="AT86" i="3"/>
  <c r="V36" i="45" s="1"/>
  <c r="M115" i="3"/>
  <c r="AA116" i="3" s="1"/>
  <c r="AS86" i="3"/>
  <c r="AQ86" i="3"/>
  <c r="AP86" i="3"/>
  <c r="T36" i="45"/>
  <c r="AO86" i="3"/>
  <c r="AR86" i="3"/>
  <c r="AK86" i="3" a="1"/>
  <c r="AK86" i="3" s="1"/>
  <c r="AN86" i="3"/>
  <c r="AM86" i="3"/>
  <c r="U36" i="45" s="1"/>
  <c r="AS96" i="3"/>
  <c r="AM96" i="3"/>
  <c r="U46" i="45" s="1"/>
  <c r="AT96" i="3"/>
  <c r="V46" i="45" s="1"/>
  <c r="AK96" i="3" a="1"/>
  <c r="AK96" i="3" s="1"/>
  <c r="AQ96" i="3"/>
  <c r="AP96" i="3"/>
  <c r="AN96" i="3"/>
  <c r="T46" i="45"/>
  <c r="AR96" i="3"/>
  <c r="AO96" i="3"/>
  <c r="BF67" i="3"/>
  <c r="AR57" i="3"/>
  <c r="T7" i="45"/>
  <c r="AP57" i="3"/>
  <c r="AQ57" i="3"/>
  <c r="AK57" i="3" a="1"/>
  <c r="AK57" i="3" s="1"/>
  <c r="AO57" i="3"/>
  <c r="AN57" i="3"/>
  <c r="AT57" i="3"/>
  <c r="V7" i="45" s="1"/>
  <c r="AM57" i="3"/>
  <c r="U7" i="45" s="1"/>
  <c r="AS57" i="3"/>
  <c r="M101" i="3"/>
  <c r="AA101" i="3" s="1"/>
  <c r="AQ7" i="3"/>
  <c r="AO7" i="3"/>
  <c r="AK7" i="3" a="1"/>
  <c r="AK7" i="3" s="1"/>
  <c r="AN7" i="3"/>
  <c r="AT7" i="3"/>
  <c r="J5" i="45" s="1"/>
  <c r="AP7" i="3"/>
  <c r="AR7" i="3"/>
  <c r="H5" i="45"/>
  <c r="AS7" i="3"/>
  <c r="AM7" i="3"/>
  <c r="I5" i="45" s="1"/>
  <c r="AT95" i="3"/>
  <c r="V45" i="45" s="1"/>
  <c r="AP95" i="3"/>
  <c r="AR95" i="3"/>
  <c r="AM95" i="3"/>
  <c r="U45" i="45" s="1"/>
  <c r="AN95" i="3"/>
  <c r="AQ95" i="3"/>
  <c r="AO95" i="3"/>
  <c r="N111" i="3"/>
  <c r="AF112" i="3" s="1"/>
  <c r="AK95" i="3" a="1"/>
  <c r="AK95" i="3" s="1"/>
  <c r="AS95" i="3"/>
  <c r="T45" i="45"/>
  <c r="F455" i="40"/>
  <c r="F10" i="40"/>
  <c r="H28" i="40"/>
  <c r="F127" i="40"/>
  <c r="I496" i="40"/>
  <c r="H136" i="40"/>
  <c r="F177" i="40"/>
  <c r="F280" i="40"/>
  <c r="F43" i="40"/>
  <c r="H140" i="40"/>
  <c r="F443" i="40"/>
  <c r="F149" i="40"/>
  <c r="F164" i="40"/>
  <c r="F155" i="40"/>
  <c r="H134" i="40"/>
  <c r="F38" i="40"/>
  <c r="F67" i="40"/>
  <c r="F362" i="40"/>
  <c r="H470" i="40"/>
  <c r="F346" i="40"/>
  <c r="H138" i="40"/>
  <c r="F74" i="40"/>
  <c r="F447" i="40"/>
  <c r="H472" i="40"/>
  <c r="F161" i="40"/>
  <c r="F63" i="40"/>
  <c r="H142" i="40"/>
  <c r="F482" i="40"/>
  <c r="H256" i="40"/>
  <c r="F329" i="40"/>
  <c r="I131" i="40"/>
  <c r="F494" i="40"/>
  <c r="I491" i="40"/>
  <c r="F183" i="40"/>
  <c r="F179" i="40"/>
  <c r="F120" i="40"/>
  <c r="H133" i="40"/>
  <c r="F445" i="40"/>
  <c r="F55" i="40"/>
  <c r="H449" i="40"/>
  <c r="F21" i="40"/>
  <c r="F340" i="40"/>
  <c r="H30" i="40"/>
  <c r="H254" i="40"/>
  <c r="H463" i="40"/>
  <c r="F244" i="40"/>
  <c r="I461" i="40"/>
  <c r="F75" i="40"/>
  <c r="H433" i="40"/>
  <c r="H441" i="40"/>
  <c r="F117" i="40"/>
  <c r="F349" i="40"/>
  <c r="F81" i="40"/>
  <c r="F59" i="40"/>
  <c r="H263" i="40"/>
  <c r="F80" i="40"/>
  <c r="F3" i="40"/>
  <c r="H275" i="40"/>
  <c r="I459" i="40"/>
  <c r="H476" i="40"/>
  <c r="H27" i="40"/>
  <c r="F41" i="40"/>
  <c r="F196" i="40"/>
  <c r="F369" i="40"/>
  <c r="F130" i="40"/>
  <c r="F119" i="40"/>
  <c r="F64" i="40"/>
  <c r="F36" i="40"/>
  <c r="H446" i="40"/>
  <c r="F434" i="40"/>
  <c r="F485" i="40"/>
  <c r="H342" i="40"/>
  <c r="H241" i="40"/>
  <c r="F328" i="40"/>
  <c r="H132" i="40"/>
  <c r="F187" i="40"/>
  <c r="F42" i="40"/>
  <c r="F121" i="40"/>
  <c r="F456" i="40"/>
  <c r="F178" i="40"/>
  <c r="F40" i="40"/>
  <c r="F282" i="40"/>
  <c r="F35" i="40"/>
  <c r="F56" i="40"/>
  <c r="F58" i="40"/>
  <c r="H252" i="40"/>
  <c r="F338" i="40"/>
  <c r="F347" i="40"/>
  <c r="F147" i="40"/>
  <c r="F270" i="40"/>
  <c r="F118" i="40"/>
  <c r="H436" i="40"/>
  <c r="H274" i="40"/>
  <c r="F457" i="40"/>
  <c r="H283" i="40"/>
  <c r="F366" i="40"/>
  <c r="F62" i="40"/>
  <c r="F268" i="40"/>
  <c r="F123" i="40"/>
  <c r="F125" i="40"/>
  <c r="F156" i="40"/>
  <c r="F359" i="40"/>
  <c r="F37" i="40"/>
  <c r="F68" i="40"/>
  <c r="F326" i="40"/>
  <c r="H266" i="40"/>
  <c r="F191" i="40"/>
  <c r="H234" i="40"/>
  <c r="F487" i="40"/>
  <c r="H145" i="40"/>
  <c r="F322" i="40"/>
  <c r="F368" i="40"/>
  <c r="F157" i="40"/>
  <c r="F78" i="40"/>
  <c r="F34" i="40"/>
  <c r="H249" i="40"/>
  <c r="F237" i="40"/>
  <c r="F71" i="40"/>
  <c r="H468" i="40"/>
  <c r="F277" i="40"/>
  <c r="H231" i="40"/>
  <c r="F70" i="40"/>
  <c r="F278" i="40"/>
  <c r="F344" i="40"/>
  <c r="F363" i="40"/>
  <c r="F79" i="40"/>
  <c r="H240" i="40"/>
  <c r="H480" i="40"/>
  <c r="F175" i="40"/>
  <c r="H137" i="40"/>
  <c r="F162" i="40"/>
  <c r="F190" i="40"/>
  <c r="H272" i="40"/>
  <c r="F360" i="40"/>
  <c r="F315" i="40"/>
  <c r="H428" i="40"/>
  <c r="F44" i="40"/>
  <c r="I276" i="40"/>
  <c r="F33" i="40"/>
  <c r="F279" i="40"/>
  <c r="H431" i="40"/>
  <c r="H116" i="40"/>
  <c r="F195" i="40"/>
  <c r="H438" i="40"/>
  <c r="H114" i="40"/>
  <c r="I460" i="40"/>
  <c r="F182" i="40"/>
  <c r="F330" i="40"/>
  <c r="F69" i="40"/>
  <c r="H143" i="40"/>
  <c r="F317" i="40"/>
  <c r="F484" i="40"/>
  <c r="F367" i="40"/>
  <c r="F24" i="40"/>
  <c r="F148" i="40"/>
  <c r="F193" i="40"/>
  <c r="I165" i="40"/>
  <c r="I284" i="40"/>
  <c r="H239" i="40"/>
  <c r="H469" i="40"/>
  <c r="H236" i="40"/>
  <c r="F163" i="40"/>
  <c r="F332" i="40"/>
  <c r="F198" i="40"/>
  <c r="H257" i="40"/>
  <c r="H488" i="40"/>
  <c r="H115" i="40"/>
  <c r="H31" i="40"/>
  <c r="H336" i="40"/>
  <c r="F454" i="40"/>
  <c r="H271" i="40"/>
  <c r="F153" i="40"/>
  <c r="F159" i="40"/>
  <c r="F334" i="40"/>
  <c r="H259" i="40"/>
  <c r="F23" i="40"/>
  <c r="F189" i="40"/>
  <c r="F5" i="40"/>
  <c r="I285" i="40"/>
  <c r="F351" i="40"/>
  <c r="H258" i="40"/>
  <c r="H475" i="40"/>
  <c r="H111" i="40"/>
  <c r="F444" i="40"/>
  <c r="F185" i="40"/>
  <c r="F495" i="40"/>
  <c r="F82" i="40"/>
  <c r="F8" i="40"/>
  <c r="H29" i="40"/>
  <c r="H430" i="40"/>
  <c r="F320" i="40"/>
  <c r="F345" i="40"/>
  <c r="F201" i="40"/>
  <c r="H233" i="40"/>
  <c r="F337" i="40"/>
  <c r="F126" i="40"/>
  <c r="H429" i="40"/>
  <c r="F343" i="40"/>
  <c r="H439" i="40"/>
  <c r="F358" i="40"/>
  <c r="F160" i="40"/>
  <c r="F194" i="40"/>
  <c r="H255" i="40"/>
  <c r="F20" i="40"/>
  <c r="F316" i="40"/>
  <c r="F45" i="40"/>
  <c r="F77" i="40"/>
  <c r="H471" i="40"/>
  <c r="F192" i="40"/>
  <c r="F483" i="40"/>
  <c r="H144" i="40"/>
  <c r="H464" i="40"/>
  <c r="F365" i="40"/>
  <c r="F46" i="40"/>
  <c r="F356" i="40"/>
  <c r="F124" i="40"/>
  <c r="H141" i="40"/>
  <c r="H19" i="40"/>
  <c r="H478" i="40"/>
  <c r="F180" i="40"/>
  <c r="H246" i="40"/>
  <c r="F184" i="40"/>
  <c r="F57" i="40"/>
  <c r="F281" i="40"/>
  <c r="H481" i="40"/>
  <c r="F22" i="40"/>
  <c r="I448" i="40"/>
  <c r="F150" i="40"/>
  <c r="F350" i="40"/>
  <c r="H260" i="40"/>
  <c r="F370" i="40"/>
  <c r="F186" i="40"/>
  <c r="F60" i="40"/>
  <c r="F9" i="40"/>
  <c r="F486" i="40"/>
  <c r="F32" i="40"/>
  <c r="F339" i="40"/>
  <c r="F200" i="40"/>
  <c r="H264" i="40"/>
  <c r="I489" i="40"/>
  <c r="F361" i="40"/>
  <c r="I273" i="40"/>
  <c r="F7" i="40"/>
  <c r="H232" i="40"/>
  <c r="H437" i="40"/>
  <c r="H135" i="40"/>
  <c r="F181" i="40"/>
  <c r="F25" i="40"/>
  <c r="F73" i="40"/>
  <c r="F129" i="40"/>
  <c r="H139" i="40"/>
  <c r="H238" i="40"/>
  <c r="F245" i="40"/>
  <c r="F4" i="40"/>
  <c r="F453" i="40"/>
  <c r="F353" i="40"/>
  <c r="H467" i="40"/>
  <c r="I451" i="40"/>
  <c r="F357" i="40"/>
  <c r="F318" i="40"/>
  <c r="H465" i="40"/>
  <c r="F247" i="40"/>
  <c r="F331" i="40"/>
  <c r="F324" i="40"/>
  <c r="F151" i="40"/>
  <c r="F76" i="40"/>
  <c r="H262" i="40"/>
  <c r="F333" i="40"/>
  <c r="I490" i="40"/>
  <c r="I248" i="40"/>
  <c r="F442" i="40"/>
  <c r="F39" i="40"/>
  <c r="F166" i="40"/>
  <c r="H450" i="40"/>
  <c r="F152" i="40"/>
  <c r="F176" i="40"/>
  <c r="F435" i="40"/>
  <c r="F243" i="40"/>
  <c r="I286" i="40"/>
  <c r="F432" i="40"/>
  <c r="H26" i="40"/>
  <c r="H261" i="40"/>
  <c r="F325" i="40"/>
  <c r="H113" i="40"/>
  <c r="F158" i="40"/>
  <c r="F267" i="40"/>
  <c r="F269" i="40"/>
  <c r="H462" i="40"/>
  <c r="F364" i="40"/>
  <c r="F321" i="40"/>
  <c r="F492" i="40"/>
  <c r="H479" i="40"/>
  <c r="F61" i="40"/>
  <c r="H146" i="40"/>
  <c r="F348" i="40"/>
  <c r="F323" i="40"/>
  <c r="F355" i="40"/>
  <c r="F341" i="40"/>
  <c r="F197" i="40"/>
  <c r="F199" i="40"/>
  <c r="H265" i="40"/>
  <c r="F354" i="40"/>
  <c r="F242" i="40"/>
  <c r="H466" i="40"/>
  <c r="F154" i="40"/>
  <c r="F122" i="40"/>
  <c r="F188" i="40"/>
  <c r="H235" i="40"/>
  <c r="H427" i="40"/>
  <c r="F65" i="40"/>
  <c r="I128" i="40"/>
  <c r="H474" i="40"/>
  <c r="H250" i="40"/>
  <c r="F452" i="40"/>
  <c r="F335" i="40"/>
  <c r="F202" i="40"/>
  <c r="H112" i="40"/>
  <c r="H253" i="40"/>
  <c r="F352" i="40"/>
  <c r="F72" i="40"/>
  <c r="F66" i="40"/>
  <c r="F493" i="40"/>
  <c r="F458" i="40"/>
  <c r="F319" i="40"/>
  <c r="F327" i="40"/>
  <c r="H477" i="40"/>
  <c r="H440" i="40"/>
  <c r="H473" i="40"/>
  <c r="F6" i="40"/>
  <c r="I251" i="40"/>
  <c r="AP15" i="3"/>
  <c r="N101" i="3"/>
  <c r="AF101" i="3" s="1"/>
  <c r="H13" i="45"/>
  <c r="AN15" i="3"/>
  <c r="AS15" i="3"/>
  <c r="AM15" i="3"/>
  <c r="I13" i="45" s="1"/>
  <c r="AR15" i="3"/>
  <c r="AT15" i="3"/>
  <c r="J13" i="45" s="1"/>
  <c r="AO15" i="3"/>
  <c r="AQ15" i="3"/>
  <c r="AK15" i="3" a="1"/>
  <c r="AK15" i="3" s="1"/>
  <c r="AO31" i="3"/>
  <c r="AK31" i="3" a="1"/>
  <c r="AK31" i="3" s="1"/>
  <c r="AQ31" i="3"/>
  <c r="AM31" i="3"/>
  <c r="I29" i="45" s="1"/>
  <c r="H29" i="45"/>
  <c r="AP31" i="3"/>
  <c r="AR31" i="3"/>
  <c r="AT31" i="3"/>
  <c r="J29" i="45" s="1"/>
  <c r="M116" i="3"/>
  <c r="AA114" i="3" s="1"/>
  <c r="AS31" i="3"/>
  <c r="AN31" i="3"/>
  <c r="AK38" i="3" a="1"/>
  <c r="AK38" i="3" s="1"/>
  <c r="AQ38" i="3"/>
  <c r="AR38" i="3"/>
  <c r="AO38" i="3"/>
  <c r="AT38" i="3"/>
  <c r="J36" i="45" s="1"/>
  <c r="AS38" i="3"/>
  <c r="AP38" i="3"/>
  <c r="H36" i="45"/>
  <c r="AM38" i="3"/>
  <c r="I36" i="45" s="1"/>
  <c r="M102" i="3"/>
  <c r="AA103" i="3" s="1"/>
  <c r="AN38" i="3"/>
  <c r="AN46" i="3"/>
  <c r="AP46" i="3"/>
  <c r="AM46" i="3"/>
  <c r="I44" i="45" s="1"/>
  <c r="AT46" i="3"/>
  <c r="J44" i="45" s="1"/>
  <c r="AK46" i="3" a="1"/>
  <c r="AK46" i="3" s="1"/>
  <c r="H44" i="45"/>
  <c r="AS46" i="3"/>
  <c r="AR46" i="3"/>
  <c r="AQ46" i="3"/>
  <c r="AO46" i="3"/>
  <c r="M103" i="3"/>
  <c r="AA104" i="3" s="1"/>
  <c r="AN71" i="3"/>
  <c r="AQ71" i="3"/>
  <c r="T21" i="45"/>
  <c r="AS71" i="3"/>
  <c r="AP71" i="3"/>
  <c r="AK71" i="3" a="1"/>
  <c r="AK71" i="3" s="1"/>
  <c r="AO71" i="3"/>
  <c r="N106" i="3"/>
  <c r="AF105" i="3" s="1"/>
  <c r="AR71" i="3"/>
  <c r="AT71" i="3"/>
  <c r="V21" i="45" s="1"/>
  <c r="AM71" i="3"/>
  <c r="U21" i="45" s="1"/>
  <c r="J294" i="40"/>
  <c r="J171" i="40"/>
  <c r="J181" i="40"/>
  <c r="J456" i="40"/>
  <c r="J128" i="40"/>
  <c r="J463" i="40"/>
  <c r="J306" i="40"/>
  <c r="J22" i="40"/>
  <c r="J140" i="40"/>
  <c r="J204" i="40"/>
  <c r="J176" i="40"/>
  <c r="J281" i="40"/>
  <c r="J354" i="40"/>
  <c r="J167" i="40"/>
  <c r="J316" i="40"/>
  <c r="J138" i="40"/>
  <c r="J8" i="40"/>
  <c r="J27" i="40"/>
  <c r="J164" i="40"/>
  <c r="J450" i="40"/>
  <c r="J329" i="40"/>
  <c r="J267" i="40"/>
  <c r="J98" i="40"/>
  <c r="J172" i="40"/>
  <c r="J390" i="40"/>
  <c r="J203" i="40"/>
  <c r="J137" i="40"/>
  <c r="J3" i="40"/>
  <c r="J413" i="40"/>
  <c r="J130" i="40"/>
  <c r="J68" i="40"/>
  <c r="J69" i="40"/>
  <c r="J161" i="40"/>
  <c r="J435" i="40"/>
  <c r="J238" i="40"/>
  <c r="J462" i="40"/>
  <c r="J189" i="40"/>
  <c r="J479" i="40"/>
  <c r="J58" i="40"/>
  <c r="J417" i="40"/>
  <c r="J89" i="40"/>
  <c r="J34" i="40"/>
  <c r="J67" i="40"/>
  <c r="J97" i="40"/>
  <c r="J26" i="40"/>
  <c r="J365" i="40"/>
  <c r="J196" i="40"/>
  <c r="J459" i="40"/>
  <c r="J215" i="40"/>
  <c r="J119" i="40"/>
  <c r="J256" i="40"/>
  <c r="J415" i="40"/>
  <c r="J357" i="40"/>
  <c r="J468" i="40"/>
  <c r="J141" i="40"/>
  <c r="J401" i="40"/>
  <c r="J372" i="40"/>
  <c r="J23" i="40"/>
  <c r="J253" i="40"/>
  <c r="J304" i="40"/>
  <c r="J258" i="40"/>
  <c r="J29" i="40"/>
  <c r="J47" i="40"/>
  <c r="J368" i="40"/>
  <c r="J91" i="40"/>
  <c r="J378" i="40"/>
  <c r="J403" i="40"/>
  <c r="J263" i="40"/>
  <c r="J330" i="40"/>
  <c r="J311" i="40"/>
  <c r="J100" i="40"/>
  <c r="J424" i="40"/>
  <c r="J188" i="40"/>
  <c r="J153" i="40"/>
  <c r="J299" i="40"/>
  <c r="J374" i="40"/>
  <c r="J293" i="40"/>
  <c r="J65" i="40"/>
  <c r="J300" i="40"/>
  <c r="J452" i="40"/>
  <c r="J31" i="40"/>
  <c r="J145" i="40"/>
  <c r="J225" i="40"/>
  <c r="J438" i="40"/>
  <c r="J400" i="40"/>
  <c r="J20" i="40"/>
  <c r="J57" i="40"/>
  <c r="J309" i="40"/>
  <c r="J212" i="40"/>
  <c r="J41" i="40"/>
  <c r="J440" i="40"/>
  <c r="J19" i="40"/>
  <c r="J12" i="40"/>
  <c r="J185" i="40"/>
  <c r="J45" i="40"/>
  <c r="J433" i="40"/>
  <c r="J197" i="40"/>
  <c r="J396" i="40"/>
  <c r="J105" i="40"/>
  <c r="J268" i="40"/>
  <c r="J38" i="40"/>
  <c r="J327" i="40"/>
  <c r="J342" i="40"/>
  <c r="J410" i="40"/>
  <c r="J72" i="40"/>
  <c r="J13" i="40"/>
  <c r="J209" i="40"/>
  <c r="J205" i="40"/>
  <c r="J454" i="40"/>
  <c r="J36" i="40"/>
  <c r="J484" i="40"/>
  <c r="J334" i="40"/>
  <c r="J275" i="40"/>
  <c r="J43" i="40"/>
  <c r="J178" i="40"/>
  <c r="J151" i="40"/>
  <c r="J114" i="40"/>
  <c r="J56" i="40"/>
  <c r="J111" i="40"/>
  <c r="J493" i="40"/>
  <c r="J242" i="40"/>
  <c r="J2" i="40"/>
  <c r="J337" i="40"/>
  <c r="J332" i="40"/>
  <c r="J126" i="40"/>
  <c r="J182" i="40"/>
  <c r="J122" i="40"/>
  <c r="J147" i="40"/>
  <c r="J252" i="40"/>
  <c r="J77" i="40"/>
  <c r="J134" i="40"/>
  <c r="J170" i="40"/>
  <c r="J340" i="40"/>
  <c r="J217" i="40"/>
  <c r="J321" i="40"/>
  <c r="J271" i="40"/>
  <c r="J206" i="40"/>
  <c r="J279" i="40"/>
  <c r="J101" i="40"/>
  <c r="J28" i="40"/>
  <c r="J10" i="40"/>
  <c r="J371" i="40"/>
  <c r="J243" i="40"/>
  <c r="J93" i="40"/>
  <c r="J184" i="40"/>
  <c r="J155" i="40"/>
  <c r="J246" i="40"/>
  <c r="J489" i="40"/>
  <c r="J37" i="40"/>
  <c r="J273" i="40"/>
  <c r="J239" i="40"/>
  <c r="J320" i="40"/>
  <c r="J486" i="40"/>
  <c r="J64" i="40"/>
  <c r="J192" i="40"/>
  <c r="J48" i="40"/>
  <c r="J81" i="40"/>
  <c r="J445" i="40"/>
  <c r="J183" i="40"/>
  <c r="J248" i="40"/>
  <c r="J359" i="40"/>
  <c r="J349" i="40"/>
  <c r="J7" i="40"/>
  <c r="J169" i="40"/>
  <c r="J229" i="40"/>
  <c r="J385" i="40"/>
  <c r="J113" i="40"/>
  <c r="J86" i="40"/>
  <c r="J104" i="40"/>
  <c r="J443" i="40"/>
  <c r="J74" i="40"/>
  <c r="J383" i="40"/>
  <c r="J168" i="40"/>
  <c r="J6" i="40"/>
  <c r="J476" i="40"/>
  <c r="J213" i="40"/>
  <c r="J218" i="40"/>
  <c r="J211" i="40"/>
  <c r="J50" i="40"/>
  <c r="J79" i="40"/>
  <c r="J291" i="40"/>
  <c r="J95" i="40"/>
  <c r="J157" i="40"/>
  <c r="J326" i="40"/>
  <c r="J187" i="40"/>
  <c r="J237" i="40"/>
  <c r="J62" i="40"/>
  <c r="J16" i="40"/>
  <c r="J315" i="40"/>
  <c r="J150" i="40"/>
  <c r="J352" i="40"/>
  <c r="J55" i="40"/>
  <c r="J341" i="40"/>
  <c r="J421" i="40"/>
  <c r="J33" i="40"/>
  <c r="J347" i="40"/>
  <c r="J61" i="40"/>
  <c r="J323" i="40"/>
  <c r="J116" i="40"/>
  <c r="J290" i="40"/>
  <c r="J305" i="40"/>
  <c r="J472" i="40"/>
  <c r="J250" i="40"/>
  <c r="J392" i="40"/>
  <c r="J11" i="40"/>
  <c r="J174" i="40"/>
  <c r="J465" i="40"/>
  <c r="J302" i="40"/>
  <c r="J102" i="40"/>
  <c r="J317" i="40"/>
  <c r="J397" i="40"/>
  <c r="J5" i="40"/>
  <c r="J121" i="40"/>
  <c r="J177" i="40"/>
  <c r="J393" i="40"/>
  <c r="J308" i="40"/>
  <c r="J382" i="40"/>
  <c r="J87" i="40"/>
  <c r="J175" i="40"/>
  <c r="J466" i="40"/>
  <c r="J325" i="40"/>
  <c r="J448" i="40"/>
  <c r="J363" i="40"/>
  <c r="J227" i="40"/>
  <c r="J270" i="40"/>
  <c r="J313" i="40"/>
  <c r="J109" i="40"/>
  <c r="J15" i="40"/>
  <c r="J112" i="40"/>
  <c r="J482" i="40"/>
  <c r="J84" i="40"/>
  <c r="J40" i="40"/>
  <c r="J295" i="40"/>
  <c r="J431" i="40"/>
  <c r="J4" i="40"/>
  <c r="J344" i="40"/>
  <c r="J289" i="40"/>
  <c r="J432" i="40"/>
  <c r="J277" i="40"/>
  <c r="J381" i="40"/>
  <c r="J297" i="40"/>
  <c r="J351" i="40"/>
  <c r="J221" i="40"/>
  <c r="J361" i="40"/>
  <c r="J54" i="40"/>
  <c r="J446" i="40"/>
  <c r="J232" i="40"/>
  <c r="J260" i="40"/>
  <c r="J143" i="40"/>
  <c r="J377" i="40"/>
  <c r="J436" i="40"/>
  <c r="J241" i="40"/>
  <c r="J193" i="40"/>
  <c r="J345" i="40"/>
  <c r="J411" i="40"/>
  <c r="J288" i="40"/>
  <c r="J284" i="40"/>
  <c r="J52" i="40"/>
  <c r="J301" i="40"/>
  <c r="J59" i="40"/>
  <c r="J224" i="40"/>
  <c r="J96" i="40"/>
  <c r="J470" i="40"/>
  <c r="J388" i="40"/>
  <c r="J25" i="40"/>
  <c r="J408" i="40"/>
  <c r="J427" i="40"/>
  <c r="J373" i="40"/>
  <c r="J136" i="40"/>
  <c r="J231" i="40"/>
  <c r="J376" i="40"/>
  <c r="J233" i="40"/>
  <c r="J234" i="40"/>
  <c r="J107" i="40"/>
  <c r="J76" i="40"/>
  <c r="J245" i="40"/>
  <c r="J296" i="40"/>
  <c r="J90" i="40"/>
  <c r="J159" i="40"/>
  <c r="J257" i="40"/>
  <c r="J207" i="40"/>
  <c r="J117" i="40"/>
  <c r="J355" i="40"/>
  <c r="J220" i="40"/>
  <c r="J190" i="40"/>
  <c r="J254" i="40"/>
  <c r="J394" i="40"/>
  <c r="J318" i="40"/>
  <c r="J194" i="40"/>
  <c r="J118" i="40"/>
  <c r="J322" i="40"/>
  <c r="J148" i="40"/>
  <c r="J386" i="40"/>
  <c r="J407" i="40"/>
  <c r="J32" i="40"/>
  <c r="J474" i="40"/>
  <c r="J429" i="40"/>
  <c r="J201" i="40"/>
  <c r="J123" i="40"/>
  <c r="J132" i="40"/>
  <c r="J210" i="40"/>
  <c r="J14" i="40"/>
  <c r="J216" i="40"/>
  <c r="J405" i="40"/>
  <c r="J18" i="40"/>
  <c r="J442" i="40"/>
  <c r="J73" i="40"/>
  <c r="J83" i="40"/>
  <c r="J63" i="40"/>
  <c r="J179" i="40"/>
  <c r="J199" i="40"/>
  <c r="J92" i="40"/>
  <c r="J428" i="40"/>
  <c r="J419" i="40"/>
  <c r="J125" i="40"/>
  <c r="J70" i="40"/>
  <c r="J21" i="40"/>
  <c r="J379" i="40"/>
  <c r="J236" i="40"/>
  <c r="J49" i="40"/>
  <c r="J265" i="40"/>
  <c r="J85" i="40"/>
  <c r="J287" i="40"/>
  <c r="J133" i="40"/>
  <c r="J336" i="40"/>
  <c r="J261" i="40"/>
  <c r="J338" i="40"/>
  <c r="J398" i="40"/>
  <c r="J222" i="40"/>
  <c r="J51" i="40"/>
  <c r="AK65" i="3" a="1"/>
  <c r="AK65" i="3" s="1"/>
  <c r="AR65" i="3"/>
  <c r="AS65" i="3"/>
  <c r="AO65" i="3"/>
  <c r="AP65" i="3"/>
  <c r="T15" i="45"/>
  <c r="AQ65" i="3"/>
  <c r="AT65" i="3"/>
  <c r="V15" i="45" s="1"/>
  <c r="AM65" i="3"/>
  <c r="U15" i="45" s="1"/>
  <c r="AN65" i="3"/>
  <c r="M107" i="3"/>
  <c r="AA107" i="3" s="1"/>
  <c r="AP6" i="3"/>
  <c r="AK6" i="3" a="1"/>
  <c r="AK6" i="3" s="1"/>
  <c r="AO6" i="3"/>
  <c r="H4" i="45"/>
  <c r="AN6" i="3"/>
  <c r="AT6" i="3"/>
  <c r="J4" i="45" s="1"/>
  <c r="AM6" i="3"/>
  <c r="I4" i="45" s="1"/>
  <c r="AQ6" i="3"/>
  <c r="AS6" i="3"/>
  <c r="AR6" i="3"/>
  <c r="AQ32" i="3"/>
  <c r="AN32" i="3"/>
  <c r="AS32" i="3"/>
  <c r="AT32" i="3"/>
  <c r="J30" i="45" s="1"/>
  <c r="AM32" i="3"/>
  <c r="I30" i="45" s="1"/>
  <c r="H30" i="45"/>
  <c r="AO32" i="3"/>
  <c r="AR32" i="3"/>
  <c r="AP32" i="3"/>
  <c r="AK32" i="3" a="1"/>
  <c r="AK32" i="3" s="1"/>
  <c r="J251" i="40"/>
  <c r="G295" i="40"/>
  <c r="J162" i="40"/>
  <c r="J244" i="40"/>
  <c r="J485" i="40"/>
  <c r="I477" i="40"/>
  <c r="J160" i="40"/>
  <c r="I422" i="40"/>
  <c r="J434" i="40"/>
  <c r="E243" i="40"/>
  <c r="G96" i="40"/>
  <c r="E213" i="40"/>
  <c r="I192" i="40"/>
  <c r="J495" i="40"/>
  <c r="G114" i="40"/>
  <c r="J487" i="40"/>
  <c r="J131" i="40"/>
  <c r="J82" i="40"/>
  <c r="E268" i="40"/>
  <c r="G288" i="40"/>
  <c r="J30" i="40"/>
  <c r="J120" i="40"/>
  <c r="J17" i="40"/>
  <c r="I381" i="40"/>
  <c r="J80" i="40"/>
  <c r="J276" i="40"/>
  <c r="I293" i="40"/>
  <c r="C427" i="40"/>
  <c r="I396" i="40"/>
  <c r="J314" i="40"/>
  <c r="I450" i="40"/>
  <c r="G111" i="40"/>
  <c r="J99" i="40"/>
  <c r="J53" i="40"/>
  <c r="E20" i="40"/>
  <c r="C112" i="40"/>
  <c r="G52" i="40"/>
  <c r="E239" i="40"/>
  <c r="E27" i="40"/>
  <c r="I109" i="40"/>
  <c r="I440" i="40"/>
  <c r="I45" i="40"/>
  <c r="I334" i="40"/>
  <c r="I18" i="40"/>
  <c r="J266" i="40"/>
  <c r="D463" i="40"/>
  <c r="I340" i="40"/>
  <c r="E168" i="40"/>
  <c r="G148" i="40"/>
  <c r="I344" i="40"/>
  <c r="I445" i="40"/>
  <c r="I405" i="40"/>
  <c r="J399" i="40"/>
  <c r="I31" i="40"/>
  <c r="I25" i="40"/>
  <c r="I335" i="40"/>
  <c r="E234" i="40"/>
  <c r="E185" i="40"/>
  <c r="I61" i="40"/>
  <c r="J350" i="40"/>
  <c r="I486" i="40"/>
  <c r="J370" i="40"/>
  <c r="I36" i="40"/>
  <c r="J200" i="40"/>
  <c r="E6" i="40"/>
  <c r="E3" i="40"/>
  <c r="D134" i="40"/>
  <c r="J455" i="40"/>
  <c r="G291" i="40"/>
  <c r="I354" i="40"/>
  <c r="E19" i="40"/>
  <c r="J235" i="40"/>
  <c r="I366" i="40"/>
  <c r="J223" i="40"/>
  <c r="I150" i="40"/>
  <c r="I400" i="40"/>
  <c r="D379" i="40"/>
  <c r="I349" i="40"/>
  <c r="G294" i="40"/>
  <c r="G49" i="40"/>
  <c r="D98" i="40"/>
  <c r="E218" i="40"/>
  <c r="I325" i="40"/>
  <c r="E231" i="40"/>
  <c r="J173" i="40"/>
  <c r="G300" i="40"/>
  <c r="I281" i="40"/>
  <c r="I245" i="40"/>
  <c r="I265" i="40"/>
  <c r="E190" i="40"/>
  <c r="J146" i="40"/>
  <c r="G59" i="40"/>
  <c r="E48" i="40"/>
  <c r="I161" i="40"/>
  <c r="I241" i="40"/>
  <c r="I299" i="40"/>
  <c r="E167" i="40"/>
  <c r="I385" i="40"/>
  <c r="E183" i="40"/>
  <c r="J255" i="40"/>
  <c r="I215" i="40"/>
  <c r="J24" i="40"/>
  <c r="I196" i="40"/>
  <c r="D119" i="40"/>
  <c r="J46" i="40"/>
  <c r="J464" i="40"/>
  <c r="I415" i="40"/>
  <c r="D394" i="40"/>
  <c r="C327" i="40"/>
  <c r="I435" i="40"/>
  <c r="D408" i="40"/>
  <c r="J449" i="40"/>
  <c r="E204" i="40"/>
  <c r="C205" i="40"/>
  <c r="C374" i="40"/>
  <c r="J186" i="40"/>
  <c r="I236" i="40"/>
  <c r="J439" i="40"/>
  <c r="I67" i="40"/>
  <c r="J240" i="40"/>
  <c r="J230" i="40"/>
  <c r="G32" i="40"/>
  <c r="J312" i="40"/>
  <c r="J124" i="40"/>
  <c r="E182" i="40"/>
  <c r="G90" i="40"/>
  <c r="I89" i="40"/>
  <c r="J343" i="40"/>
  <c r="E175" i="40"/>
  <c r="J339" i="40"/>
  <c r="J348" i="40"/>
  <c r="G342" i="40"/>
  <c r="C85" i="40"/>
  <c r="C383" i="40"/>
  <c r="J60" i="40"/>
  <c r="I376" i="40"/>
  <c r="D323" i="40"/>
  <c r="J103" i="40"/>
  <c r="G87" i="40"/>
  <c r="J264" i="40"/>
  <c r="J191" i="40"/>
  <c r="I104" i="40"/>
  <c r="I10" i="40"/>
  <c r="J444" i="40"/>
  <c r="I187" i="40"/>
  <c r="C372" i="40"/>
  <c r="C289" i="40"/>
  <c r="I224" i="40"/>
  <c r="C321" i="40"/>
  <c r="I313" i="40"/>
  <c r="J416" i="40"/>
  <c r="J286" i="40"/>
  <c r="I256" i="40"/>
  <c r="G62" i="40"/>
  <c r="E23" i="40"/>
  <c r="J9" i="40"/>
  <c r="J228" i="40"/>
  <c r="E203" i="40"/>
  <c r="J384" i="40"/>
  <c r="J364" i="40"/>
  <c r="E2" i="40"/>
  <c r="I456" i="40"/>
  <c r="J298" i="40"/>
  <c r="J475" i="40"/>
  <c r="I260" i="40"/>
  <c r="J35" i="40"/>
  <c r="E216" i="40"/>
  <c r="E26" i="40"/>
  <c r="E21" i="40"/>
  <c r="C316" i="40"/>
  <c r="G68" i="40"/>
  <c r="I308" i="40"/>
  <c r="E29" i="40"/>
  <c r="G297" i="40"/>
  <c r="I465" i="40"/>
  <c r="J404" i="40"/>
  <c r="I100" i="40"/>
  <c r="I220" i="40"/>
  <c r="J375" i="40"/>
  <c r="J214" i="40"/>
  <c r="C318" i="40"/>
  <c r="J202" i="40"/>
  <c r="I365" i="40"/>
  <c r="G123" i="40"/>
  <c r="G65" i="40"/>
  <c r="J71" i="40"/>
  <c r="J94" i="40"/>
  <c r="G93" i="40"/>
  <c r="C371" i="40"/>
  <c r="G132" i="40"/>
  <c r="E258" i="40"/>
  <c r="G91" i="40"/>
  <c r="E4" i="40"/>
  <c r="E170" i="40"/>
  <c r="G63" i="40"/>
  <c r="I125" i="40"/>
  <c r="D429" i="40"/>
  <c r="E194" i="40"/>
  <c r="I76" i="40"/>
  <c r="D443" i="40"/>
  <c r="I476" i="40"/>
  <c r="E12" i="40"/>
  <c r="I54" i="40"/>
  <c r="J75" i="40"/>
  <c r="G83" i="40"/>
  <c r="J135" i="40"/>
  <c r="I457" i="40"/>
  <c r="D352" i="40"/>
  <c r="D302" i="40"/>
  <c r="G336" i="40"/>
  <c r="I201" i="40"/>
  <c r="E254" i="40"/>
  <c r="I140" i="40"/>
  <c r="J324" i="40"/>
  <c r="J166" i="40"/>
  <c r="J282" i="40"/>
  <c r="J469" i="40"/>
  <c r="E13" i="40"/>
  <c r="I304" i="40"/>
  <c r="J409" i="40"/>
  <c r="C433" i="40"/>
  <c r="I270" i="40"/>
  <c r="E16" i="40"/>
  <c r="I391" i="40"/>
  <c r="J430" i="40"/>
  <c r="E172" i="40"/>
  <c r="I229" i="40"/>
  <c r="I174" i="40"/>
  <c r="E8" i="40"/>
  <c r="D338" i="40"/>
  <c r="J406" i="40"/>
  <c r="J333" i="40"/>
  <c r="E207" i="40"/>
  <c r="J319" i="40"/>
  <c r="J481" i="40"/>
  <c r="C377" i="40"/>
  <c r="E237" i="40"/>
  <c r="E222" i="40"/>
  <c r="I95" i="40"/>
  <c r="I410" i="40"/>
  <c r="J274" i="40"/>
  <c r="G287" i="40"/>
  <c r="I136" i="40"/>
  <c r="I116" i="40"/>
  <c r="G306" i="40"/>
  <c r="I320" i="40"/>
  <c r="I121" i="40"/>
  <c r="J66" i="40"/>
  <c r="I441" i="40"/>
  <c r="E11" i="40"/>
  <c r="I209" i="40"/>
  <c r="I421" i="40"/>
  <c r="J88" i="40"/>
  <c r="J156" i="40"/>
  <c r="I181" i="40"/>
  <c r="G47" i="40"/>
  <c r="J491" i="40"/>
  <c r="E210" i="40"/>
  <c r="J414" i="40"/>
  <c r="J380" i="40"/>
  <c r="E179" i="40"/>
  <c r="J259" i="40"/>
  <c r="C177" i="40"/>
  <c r="G74" i="40"/>
  <c r="C57" i="40"/>
  <c r="G117" i="40"/>
  <c r="J420" i="40"/>
  <c r="J180" i="40"/>
  <c r="J149" i="40"/>
  <c r="I359" i="40"/>
  <c r="E252" i="40"/>
  <c r="J292" i="40"/>
  <c r="D70" i="40"/>
  <c r="E14" i="40"/>
  <c r="E34" i="40"/>
  <c r="J115" i="40"/>
  <c r="I145" i="40"/>
  <c r="J249" i="40"/>
  <c r="G38" i="40"/>
  <c r="J358" i="40"/>
  <c r="J154" i="40"/>
  <c r="G84" i="40"/>
  <c r="I155" i="40"/>
  <c r="I390" i="40"/>
  <c r="E211" i="40"/>
  <c r="J328" i="40"/>
  <c r="G392" i="40"/>
  <c r="G398" i="40"/>
  <c r="E176" i="40"/>
  <c r="J360" i="40"/>
  <c r="G55" i="40"/>
  <c r="I250" i="40"/>
  <c r="J144" i="40"/>
  <c r="C315" i="40"/>
  <c r="J395" i="40"/>
  <c r="C232" i="40"/>
  <c r="E188" i="40"/>
  <c r="J108" i="40"/>
  <c r="J280" i="40"/>
  <c r="J471" i="40"/>
  <c r="I470" i="40"/>
  <c r="I81" i="40"/>
  <c r="J426" i="40"/>
  <c r="I275" i="40"/>
  <c r="G138" i="40"/>
  <c r="J451" i="40"/>
  <c r="J208" i="40"/>
  <c r="J129" i="40"/>
  <c r="E5" i="40"/>
  <c r="G102" i="40"/>
  <c r="J139" i="40"/>
  <c r="J219" i="40"/>
  <c r="I40" i="40"/>
  <c r="E169" i="40"/>
  <c r="J110" i="40"/>
  <c r="J461" i="40"/>
  <c r="J195" i="40"/>
  <c r="J307" i="40"/>
  <c r="G56" i="40"/>
  <c r="I431" i="40"/>
  <c r="J269" i="40"/>
  <c r="G50" i="40"/>
  <c r="J353" i="40"/>
  <c r="J44" i="40"/>
  <c r="J39" i="40"/>
  <c r="J389" i="40"/>
  <c r="I72" i="40"/>
  <c r="I130" i="40"/>
  <c r="I329" i="40"/>
  <c r="J303" i="40"/>
  <c r="H421" i="40"/>
  <c r="H377" i="40"/>
  <c r="H484" i="40"/>
  <c r="H217" i="40"/>
  <c r="F382" i="40"/>
  <c r="F170" i="40"/>
  <c r="H288" i="40"/>
  <c r="H14" i="40"/>
  <c r="H362" i="40"/>
  <c r="H130" i="40"/>
  <c r="H151" i="40"/>
  <c r="H482" i="40"/>
  <c r="H351" i="40"/>
  <c r="H458" i="40"/>
  <c r="H8" i="40"/>
  <c r="H162" i="40"/>
  <c r="H370" i="40"/>
  <c r="H409" i="40"/>
  <c r="H357" i="40"/>
  <c r="H161" i="40"/>
  <c r="H445" i="40"/>
  <c r="H355" i="40"/>
  <c r="H22" i="40"/>
  <c r="E283" i="40"/>
  <c r="H56" i="40"/>
  <c r="E275" i="40"/>
  <c r="H224" i="40"/>
  <c r="H281" i="40"/>
  <c r="H251" i="40"/>
  <c r="H163" i="40"/>
  <c r="H74" i="40"/>
  <c r="H89" i="40"/>
  <c r="H492" i="40"/>
  <c r="H352" i="40"/>
  <c r="H414" i="40"/>
  <c r="H61" i="40"/>
  <c r="F293" i="40"/>
  <c r="D450" i="40"/>
  <c r="H420" i="40"/>
  <c r="F384" i="40"/>
  <c r="H270" i="40"/>
  <c r="H456" i="40"/>
  <c r="H306" i="40"/>
  <c r="H280" i="40"/>
  <c r="H381" i="40"/>
  <c r="H85" i="40"/>
  <c r="H453" i="40"/>
  <c r="H188" i="40"/>
  <c r="H189" i="40"/>
  <c r="H73" i="40"/>
  <c r="H11" i="40"/>
  <c r="H97" i="40"/>
  <c r="H483" i="40"/>
  <c r="H119" i="40"/>
  <c r="H3" i="40"/>
  <c r="H365" i="40"/>
  <c r="H39" i="40"/>
  <c r="E274" i="40"/>
  <c r="H103" i="40"/>
  <c r="C329" i="40"/>
  <c r="H244" i="40"/>
  <c r="H124" i="40"/>
  <c r="H181" i="40"/>
  <c r="H356" i="40"/>
  <c r="H222" i="40"/>
  <c r="D446" i="40"/>
  <c r="H368" i="40"/>
  <c r="H69" i="40"/>
  <c r="F311" i="40"/>
  <c r="H407" i="40"/>
  <c r="H42" i="40"/>
  <c r="H123" i="40"/>
  <c r="H180" i="40"/>
  <c r="H88" i="40"/>
  <c r="H159" i="40"/>
  <c r="H426" i="40"/>
  <c r="H386" i="40"/>
  <c r="H237" i="40"/>
  <c r="H493" i="40"/>
  <c r="D449" i="40"/>
  <c r="H7" i="40"/>
  <c r="H45" i="40"/>
  <c r="H218" i="40"/>
  <c r="F54" i="40"/>
  <c r="H444" i="40"/>
  <c r="E241" i="40"/>
  <c r="H327" i="40"/>
  <c r="F302" i="40"/>
  <c r="H166" i="40"/>
  <c r="H209" i="40"/>
  <c r="H202" i="40"/>
  <c r="H16" i="40"/>
  <c r="H273" i="40"/>
  <c r="H282" i="40"/>
  <c r="H485" i="40"/>
  <c r="H391" i="40"/>
  <c r="H6" i="40"/>
  <c r="H247" i="40"/>
  <c r="H448" i="40"/>
  <c r="H25" i="40"/>
  <c r="H286" i="40"/>
  <c r="H24" i="40"/>
  <c r="F2" i="40"/>
  <c r="H378" i="40"/>
  <c r="E240" i="40"/>
  <c r="H204" i="40"/>
  <c r="H82" i="40"/>
  <c r="H219" i="40"/>
  <c r="F47" i="40"/>
  <c r="H245" i="40"/>
  <c r="H87" i="40"/>
  <c r="F309" i="40"/>
  <c r="H76" i="40"/>
  <c r="F303" i="40"/>
  <c r="H208" i="40"/>
  <c r="H35" i="40"/>
  <c r="H418" i="40"/>
  <c r="H380" i="40"/>
  <c r="H150" i="40"/>
  <c r="H104" i="40"/>
  <c r="H490" i="40"/>
  <c r="H496" i="40"/>
  <c r="H20" i="40"/>
  <c r="H459" i="40"/>
  <c r="H155" i="40"/>
  <c r="H442" i="40"/>
  <c r="H412" i="40"/>
  <c r="H207" i="40"/>
  <c r="H300" i="40"/>
  <c r="H102" i="40"/>
  <c r="H354" i="40"/>
  <c r="H322" i="40"/>
  <c r="H164" i="40"/>
  <c r="H79" i="40"/>
  <c r="H86" i="40"/>
  <c r="C326" i="40"/>
  <c r="H99" i="40"/>
  <c r="H408" i="40"/>
  <c r="H225" i="40"/>
  <c r="H201" i="40"/>
  <c r="H100" i="40"/>
  <c r="H17" i="40"/>
  <c r="F172" i="40"/>
  <c r="H199" i="40"/>
  <c r="H81" i="40"/>
  <c r="F290" i="40"/>
  <c r="H454" i="40"/>
  <c r="E250" i="40"/>
  <c r="H422" i="40"/>
  <c r="H447" i="40"/>
  <c r="H358" i="40"/>
  <c r="E271" i="40"/>
  <c r="H32" i="40"/>
  <c r="H5" i="40"/>
  <c r="H230" i="40"/>
  <c r="H109" i="40"/>
  <c r="H38" i="40"/>
  <c r="H197" i="40"/>
  <c r="H221" i="40"/>
  <c r="H23" i="40"/>
  <c r="H77" i="40"/>
  <c r="H156" i="40"/>
  <c r="H96" i="40"/>
  <c r="E272" i="40"/>
  <c r="H223" i="40"/>
  <c r="H148" i="40"/>
  <c r="H18" i="40"/>
  <c r="H359" i="40"/>
  <c r="H369" i="40"/>
  <c r="H196" i="40"/>
  <c r="H278" i="40"/>
  <c r="E238" i="40"/>
  <c r="E249" i="40"/>
  <c r="H335" i="40"/>
  <c r="F305" i="40"/>
  <c r="H425" i="40"/>
  <c r="H44" i="40"/>
  <c r="H410" i="40"/>
  <c r="H147" i="40"/>
  <c r="H267" i="40"/>
  <c r="H379" i="40"/>
  <c r="H419" i="40"/>
  <c r="H122" i="40"/>
  <c r="H43" i="40"/>
  <c r="H9" i="40"/>
  <c r="H78" i="40"/>
  <c r="H200" i="40"/>
  <c r="H417" i="40"/>
  <c r="H154" i="40"/>
  <c r="H177" i="40"/>
  <c r="F313" i="40"/>
  <c r="H285" i="40"/>
  <c r="H131" i="40"/>
  <c r="F289" i="40"/>
  <c r="H75" i="40"/>
  <c r="H110" i="40"/>
  <c r="F292" i="40"/>
  <c r="H324" i="40"/>
  <c r="H388" i="40"/>
  <c r="H387" i="40"/>
  <c r="H242" i="40"/>
  <c r="H68" i="40"/>
  <c r="F171" i="40"/>
  <c r="H127" i="40"/>
  <c r="H106" i="40"/>
  <c r="H279" i="40"/>
  <c r="F308" i="40"/>
  <c r="H364" i="40"/>
  <c r="F307" i="40"/>
  <c r="E246" i="40"/>
  <c r="H390" i="40"/>
  <c r="H98" i="40"/>
  <c r="H21" i="40"/>
  <c r="H323" i="40"/>
  <c r="H198" i="40"/>
  <c r="H41" i="40"/>
  <c r="H229" i="40"/>
  <c r="H366" i="40"/>
  <c r="F49" i="40"/>
  <c r="H101" i="40"/>
  <c r="D239" i="40"/>
  <c r="H226" i="40"/>
  <c r="H495" i="40"/>
  <c r="H494" i="40"/>
  <c r="F314" i="40"/>
  <c r="H389" i="40"/>
  <c r="H192" i="40"/>
  <c r="H331" i="40"/>
  <c r="H194" i="40"/>
  <c r="F304" i="40"/>
  <c r="H277" i="40"/>
  <c r="H125" i="40"/>
  <c r="H160" i="40"/>
  <c r="F51" i="40"/>
  <c r="H220" i="40"/>
  <c r="H37" i="40"/>
  <c r="H108" i="40"/>
  <c r="H353" i="40"/>
  <c r="H178" i="40"/>
  <c r="H128" i="40"/>
  <c r="H360" i="40"/>
  <c r="H332" i="40"/>
  <c r="F174" i="40"/>
  <c r="H34" i="40"/>
  <c r="H13" i="40"/>
  <c r="H228" i="40"/>
  <c r="H491" i="40"/>
  <c r="H36" i="40"/>
  <c r="H126" i="40"/>
  <c r="H15" i="40"/>
  <c r="H205" i="40"/>
  <c r="H80" i="40"/>
  <c r="H165" i="40"/>
  <c r="F50" i="40"/>
  <c r="H413" i="40"/>
  <c r="H121" i="40"/>
  <c r="H367" i="40"/>
  <c r="H325" i="40"/>
  <c r="H117" i="40"/>
  <c r="H193" i="40"/>
  <c r="H58" i="40"/>
  <c r="H487" i="40"/>
  <c r="H129" i="40"/>
  <c r="H334" i="40"/>
  <c r="H72" i="40"/>
  <c r="H333" i="40"/>
  <c r="H452" i="40"/>
  <c r="H361" i="40"/>
  <c r="D488" i="40"/>
  <c r="H455" i="40"/>
  <c r="H248" i="40"/>
  <c r="H216" i="40"/>
  <c r="H460" i="40"/>
  <c r="F53" i="40"/>
  <c r="H118" i="40"/>
  <c r="H269" i="40"/>
  <c r="H10" i="40"/>
  <c r="H158" i="40"/>
  <c r="H57" i="40"/>
  <c r="H416" i="40"/>
  <c r="H227" i="40"/>
  <c r="H423" i="40"/>
  <c r="H321" i="40"/>
  <c r="F173" i="40"/>
  <c r="H415" i="40"/>
  <c r="H176" i="40"/>
  <c r="H276" i="40"/>
  <c r="C328" i="40"/>
  <c r="H489" i="40"/>
  <c r="H284" i="40"/>
  <c r="H451" i="40"/>
  <c r="H107" i="40"/>
  <c r="F301" i="40"/>
  <c r="H443" i="40"/>
  <c r="H461" i="40"/>
  <c r="H291" i="40"/>
  <c r="H195" i="40"/>
  <c r="H411" i="40"/>
  <c r="H157" i="40"/>
  <c r="H70" i="40"/>
  <c r="H105" i="40"/>
  <c r="F310" i="40"/>
  <c r="H206" i="40"/>
  <c r="H40" i="40"/>
  <c r="H60" i="40"/>
  <c r="H59" i="40"/>
  <c r="H153" i="40"/>
  <c r="F312" i="40"/>
  <c r="H152" i="40"/>
  <c r="H71" i="40"/>
  <c r="F385" i="40"/>
  <c r="F167" i="40"/>
  <c r="H330" i="40"/>
  <c r="H84" i="40"/>
  <c r="H457" i="40"/>
  <c r="H243" i="40"/>
  <c r="H120" i="40"/>
  <c r="H190" i="40"/>
  <c r="H179" i="40"/>
  <c r="H486" i="40"/>
  <c r="F52" i="40"/>
  <c r="H424" i="40"/>
  <c r="H191" i="40"/>
  <c r="F169" i="40"/>
  <c r="H46" i="40"/>
  <c r="H33" i="40"/>
  <c r="H383" i="40"/>
  <c r="H363" i="40"/>
  <c r="H268" i="40"/>
  <c r="H149" i="40"/>
  <c r="AP30" i="3"/>
  <c r="M109" i="3"/>
  <c r="AA110" i="3" s="1"/>
  <c r="AK30" i="3" a="1"/>
  <c r="AK30" i="3" s="1"/>
  <c r="AN30" i="3"/>
  <c r="AR30" i="3"/>
  <c r="AQ30" i="3"/>
  <c r="AT30" i="3"/>
  <c r="J28" i="45" s="1"/>
  <c r="AO30" i="3"/>
  <c r="H28" i="45"/>
  <c r="AM30" i="3"/>
  <c r="I28" i="45" s="1"/>
  <c r="AS30" i="3"/>
  <c r="AN88" i="3"/>
  <c r="AR88" i="3"/>
  <c r="AS88" i="3"/>
  <c r="AQ88" i="3"/>
  <c r="AK88" i="3" a="1"/>
  <c r="AK88" i="3" s="1"/>
  <c r="AM88" i="3"/>
  <c r="U38" i="45" s="1"/>
  <c r="AT88" i="3"/>
  <c r="V38" i="45" s="1"/>
  <c r="T38" i="45"/>
  <c r="AP88" i="3"/>
  <c r="AO88" i="3"/>
  <c r="AP97" i="3"/>
  <c r="AT97" i="3"/>
  <c r="V47" i="45" s="1"/>
  <c r="AN97" i="3"/>
  <c r="AQ97" i="3"/>
  <c r="AR97" i="3"/>
  <c r="AS97" i="3"/>
  <c r="AM97" i="3"/>
  <c r="U47" i="45" s="1"/>
  <c r="T47" i="45"/>
  <c r="AK97" i="3" a="1"/>
  <c r="AK97" i="3" s="1"/>
  <c r="AO97" i="3"/>
  <c r="E310" i="40"/>
  <c r="E62" i="40"/>
  <c r="E136" i="40"/>
  <c r="E348" i="40"/>
  <c r="E67" i="40"/>
  <c r="E66" i="40"/>
  <c r="E108" i="40"/>
  <c r="E493" i="40"/>
  <c r="E164" i="40"/>
  <c r="E355" i="40"/>
  <c r="E434" i="40"/>
  <c r="E90" i="40"/>
  <c r="E332" i="40"/>
  <c r="E383" i="40"/>
  <c r="E425" i="40"/>
  <c r="E149" i="40"/>
  <c r="E373" i="40"/>
  <c r="E288" i="40"/>
  <c r="E64" i="40"/>
  <c r="E387" i="40"/>
  <c r="E105" i="40"/>
  <c r="E409" i="40"/>
  <c r="E430" i="40"/>
  <c r="E398" i="40"/>
  <c r="E314" i="40"/>
  <c r="E385" i="40"/>
  <c r="E391" i="40"/>
  <c r="E47" i="40"/>
  <c r="E313" i="40"/>
  <c r="E464" i="40"/>
  <c r="E433" i="40"/>
  <c r="E162" i="40"/>
  <c r="E79" i="40"/>
  <c r="E106" i="40"/>
  <c r="E56" i="40"/>
  <c r="E458" i="40"/>
  <c r="E77" i="40"/>
  <c r="E325" i="40"/>
  <c r="E388" i="40"/>
  <c r="E290" i="40"/>
  <c r="E94" i="40"/>
  <c r="E418" i="40"/>
  <c r="E327" i="40"/>
  <c r="E344" i="40"/>
  <c r="E393" i="40"/>
  <c r="E345" i="40"/>
  <c r="E156" i="40"/>
  <c r="E85" i="40"/>
  <c r="E298" i="40"/>
  <c r="E63" i="40"/>
  <c r="E356" i="40"/>
  <c r="E338" i="40"/>
  <c r="E463" i="40"/>
  <c r="E412" i="40"/>
  <c r="E329" i="40"/>
  <c r="E492" i="40"/>
  <c r="E148" i="40"/>
  <c r="E478" i="40"/>
  <c r="E165" i="40"/>
  <c r="E128" i="40"/>
  <c r="E455" i="40"/>
  <c r="E141" i="40"/>
  <c r="E413" i="40"/>
  <c r="E394" i="40"/>
  <c r="E109" i="40"/>
  <c r="E465" i="40"/>
  <c r="E370" i="40"/>
  <c r="E151" i="40"/>
  <c r="E375" i="40"/>
  <c r="E115" i="40"/>
  <c r="E118" i="40"/>
  <c r="E97" i="40"/>
  <c r="E102" i="40"/>
  <c r="E152" i="40"/>
  <c r="E82" i="40"/>
  <c r="E60" i="40"/>
  <c r="E352" i="40"/>
  <c r="E333" i="40"/>
  <c r="E301" i="40"/>
  <c r="E110" i="40"/>
  <c r="E460" i="40"/>
  <c r="E431" i="40"/>
  <c r="E137" i="40"/>
  <c r="E155" i="40"/>
  <c r="E439" i="40"/>
  <c r="E448" i="40"/>
  <c r="E358" i="40"/>
  <c r="E95" i="40"/>
  <c r="E337" i="40"/>
  <c r="E485" i="40"/>
  <c r="E396" i="40"/>
  <c r="E297" i="40"/>
  <c r="E123" i="40"/>
  <c r="E445" i="40"/>
  <c r="E163" i="40"/>
  <c r="E50" i="40"/>
  <c r="E157" i="40"/>
  <c r="E354" i="40"/>
  <c r="E103" i="40"/>
  <c r="E300" i="40"/>
  <c r="E122" i="40"/>
  <c r="E400" i="40"/>
  <c r="E450" i="40"/>
  <c r="E161" i="40"/>
  <c r="E321" i="40"/>
  <c r="E369" i="40"/>
  <c r="E160" i="40"/>
  <c r="E404" i="40"/>
  <c r="E490" i="40"/>
  <c r="E483" i="40"/>
  <c r="E96" i="40"/>
  <c r="E488" i="40"/>
  <c r="E287" i="40"/>
  <c r="E113" i="40"/>
  <c r="E78" i="40"/>
  <c r="E83" i="40"/>
  <c r="E451" i="40"/>
  <c r="E69" i="40"/>
  <c r="E381" i="40"/>
  <c r="E319" i="40"/>
  <c r="E453" i="40"/>
  <c r="E54" i="40"/>
  <c r="E421" i="40"/>
  <c r="E416" i="40"/>
  <c r="E146" i="40"/>
  <c r="E414" i="40"/>
  <c r="E59" i="40"/>
  <c r="E436" i="40"/>
  <c r="E84" i="40"/>
  <c r="E477" i="40"/>
  <c r="E457" i="40"/>
  <c r="E473" i="40"/>
  <c r="E364" i="40"/>
  <c r="E401" i="40"/>
  <c r="E104" i="40"/>
  <c r="E159" i="40"/>
  <c r="E296" i="40"/>
  <c r="E140" i="40"/>
  <c r="E346" i="40"/>
  <c r="E470" i="40"/>
  <c r="E117" i="40"/>
  <c r="E318" i="40"/>
  <c r="E340" i="40"/>
  <c r="E487" i="40"/>
  <c r="E294" i="40"/>
  <c r="E494" i="40"/>
  <c r="E419" i="40"/>
  <c r="E57" i="40"/>
  <c r="E89" i="40"/>
  <c r="E119" i="40"/>
  <c r="E395" i="40"/>
  <c r="E130" i="40"/>
  <c r="E468" i="40"/>
  <c r="E295" i="40"/>
  <c r="E424" i="40"/>
  <c r="E145" i="40"/>
  <c r="E481" i="40"/>
  <c r="E441" i="40"/>
  <c r="E126" i="40"/>
  <c r="E166" i="40"/>
  <c r="E302" i="40"/>
  <c r="E71" i="40"/>
  <c r="E61" i="40"/>
  <c r="E291" i="40"/>
  <c r="E76" i="40"/>
  <c r="E454" i="40"/>
  <c r="E72" i="40"/>
  <c r="E376" i="40"/>
  <c r="E111" i="40"/>
  <c r="E377" i="40"/>
  <c r="E289" i="40"/>
  <c r="E384" i="40"/>
  <c r="E371" i="40"/>
  <c r="E324" i="40"/>
  <c r="E304" i="40"/>
  <c r="E299" i="40"/>
  <c r="E349" i="40"/>
  <c r="E449" i="40"/>
  <c r="E88" i="40"/>
  <c r="E91" i="40"/>
  <c r="E307" i="40"/>
  <c r="E390" i="40"/>
  <c r="E423" i="40"/>
  <c r="E466" i="40"/>
  <c r="E397" i="40"/>
  <c r="E308" i="40"/>
  <c r="E362" i="40"/>
  <c r="E75" i="40"/>
  <c r="E150" i="40"/>
  <c r="E372" i="40"/>
  <c r="E158" i="40"/>
  <c r="E92" i="40"/>
  <c r="E124" i="40"/>
  <c r="E489" i="40"/>
  <c r="E446" i="40"/>
  <c r="E323" i="40"/>
  <c r="E342" i="40"/>
  <c r="E343" i="40"/>
  <c r="E491" i="40"/>
  <c r="E426" i="40"/>
  <c r="E378" i="40"/>
  <c r="E389" i="40"/>
  <c r="E471" i="40"/>
  <c r="E486" i="40"/>
  <c r="E107" i="40"/>
  <c r="E443" i="40"/>
  <c r="E129" i="40"/>
  <c r="E435" i="40"/>
  <c r="E153" i="40"/>
  <c r="E399" i="40"/>
  <c r="E361" i="40"/>
  <c r="E114" i="40"/>
  <c r="E403" i="40"/>
  <c r="E100" i="40"/>
  <c r="E133" i="40"/>
  <c r="E440" i="40"/>
  <c r="E447" i="40"/>
  <c r="E365" i="40"/>
  <c r="E74" i="40"/>
  <c r="E452" i="40"/>
  <c r="E320" i="40"/>
  <c r="E341" i="40"/>
  <c r="E125" i="40"/>
  <c r="E480" i="40"/>
  <c r="E379" i="40"/>
  <c r="E407" i="40"/>
  <c r="E437" i="40"/>
  <c r="E311" i="40"/>
  <c r="E317" i="40"/>
  <c r="E442" i="40"/>
  <c r="F48" i="40"/>
  <c r="E52" i="40"/>
  <c r="E374" i="40"/>
  <c r="E366" i="40"/>
  <c r="E411" i="40"/>
  <c r="E120" i="40"/>
  <c r="E359" i="40"/>
  <c r="E135" i="40"/>
  <c r="E312" i="40"/>
  <c r="E350" i="40"/>
  <c r="E132" i="40"/>
  <c r="E112" i="40"/>
  <c r="E475" i="40"/>
  <c r="E99" i="40"/>
  <c r="E93" i="40"/>
  <c r="E315" i="40"/>
  <c r="E68" i="40"/>
  <c r="E51" i="40"/>
  <c r="E459" i="40"/>
  <c r="E80" i="40"/>
  <c r="E138" i="40"/>
  <c r="E474" i="40"/>
  <c r="E101" i="40"/>
  <c r="E292" i="40"/>
  <c r="E422" i="40"/>
  <c r="E360" i="40"/>
  <c r="E382" i="40"/>
  <c r="E363" i="40"/>
  <c r="E438" i="40"/>
  <c r="E134" i="40"/>
  <c r="E336" i="40"/>
  <c r="E86" i="40"/>
  <c r="E147" i="40"/>
  <c r="E357" i="40"/>
  <c r="E53" i="40"/>
  <c r="E408" i="40"/>
  <c r="E331" i="40"/>
  <c r="E495" i="40"/>
  <c r="E456" i="40"/>
  <c r="E330" i="40"/>
  <c r="E309" i="40"/>
  <c r="E367" i="40"/>
  <c r="E335" i="40"/>
  <c r="E428" i="40"/>
  <c r="E444" i="40"/>
  <c r="E347" i="40"/>
  <c r="E305" i="40"/>
  <c r="E293" i="40"/>
  <c r="E417" i="40"/>
  <c r="E87" i="40"/>
  <c r="E402" i="40"/>
  <c r="E351" i="40"/>
  <c r="E432" i="40"/>
  <c r="E392" i="40"/>
  <c r="E81" i="40"/>
  <c r="E479" i="40"/>
  <c r="E58" i="40"/>
  <c r="E70" i="40"/>
  <c r="E427" i="40"/>
  <c r="E131" i="40"/>
  <c r="E98" i="40"/>
  <c r="E143" i="40"/>
  <c r="E306" i="40"/>
  <c r="E469" i="40"/>
  <c r="E322" i="40"/>
  <c r="E415" i="40"/>
  <c r="E484" i="40"/>
  <c r="E326" i="40"/>
  <c r="E386" i="40"/>
  <c r="E121" i="40"/>
  <c r="E127" i="40"/>
  <c r="E154" i="40"/>
  <c r="E380" i="40"/>
  <c r="E462" i="40"/>
  <c r="E405" i="40"/>
  <c r="E461" i="40"/>
  <c r="E144" i="40"/>
  <c r="E420" i="40"/>
  <c r="E65" i="40"/>
  <c r="E429" i="40"/>
  <c r="E334" i="40"/>
  <c r="E410" i="40"/>
  <c r="E142" i="40"/>
  <c r="E328" i="40"/>
  <c r="E368" i="40"/>
  <c r="E316" i="40"/>
  <c r="E303" i="40"/>
  <c r="E476" i="40"/>
  <c r="E55" i="40"/>
  <c r="E73" i="40"/>
  <c r="E353" i="40"/>
  <c r="E496" i="40"/>
  <c r="E467" i="40"/>
  <c r="E406" i="40"/>
  <c r="E472" i="40"/>
  <c r="E139" i="40"/>
  <c r="E482" i="40"/>
  <c r="E116" i="40"/>
  <c r="E49" i="40"/>
  <c r="E339" i="40"/>
  <c r="J453" i="40"/>
  <c r="E226" i="40"/>
  <c r="D300" i="40"/>
  <c r="D432" i="40"/>
  <c r="D191" i="40"/>
  <c r="D13" i="40"/>
  <c r="E232" i="40"/>
  <c r="D321" i="40"/>
  <c r="D91" i="40"/>
  <c r="G116" i="40"/>
  <c r="E209" i="40"/>
  <c r="G122" i="40"/>
  <c r="G146" i="40"/>
  <c r="G85" i="40"/>
  <c r="D407" i="40"/>
  <c r="E262" i="40"/>
  <c r="D360" i="40"/>
  <c r="E187" i="40"/>
  <c r="D427" i="40"/>
  <c r="D465" i="40"/>
  <c r="E186" i="40"/>
  <c r="E248" i="40"/>
  <c r="D375" i="40"/>
  <c r="G107" i="40"/>
  <c r="D68" i="40"/>
  <c r="D121" i="40"/>
  <c r="G40" i="40"/>
  <c r="E227" i="40"/>
  <c r="G140" i="40"/>
  <c r="G143" i="40"/>
  <c r="D373" i="40"/>
  <c r="E202" i="40"/>
  <c r="D117" i="40"/>
  <c r="D53" i="40"/>
  <c r="G125" i="40"/>
  <c r="J387" i="40"/>
  <c r="G162" i="40"/>
  <c r="D55" i="40"/>
  <c r="D397" i="40"/>
  <c r="D483" i="40"/>
  <c r="J494" i="40"/>
  <c r="D413" i="40"/>
  <c r="G78" i="40"/>
  <c r="I332" i="40"/>
  <c r="D54" i="40"/>
  <c r="D192" i="40"/>
  <c r="D290" i="40"/>
  <c r="D48" i="40"/>
  <c r="D354" i="40"/>
  <c r="E42" i="40"/>
  <c r="D72" i="40"/>
  <c r="D120" i="40"/>
  <c r="D490" i="40"/>
  <c r="G106" i="40"/>
  <c r="D347" i="40"/>
  <c r="D307" i="40"/>
  <c r="D308" i="40"/>
  <c r="D447" i="40"/>
  <c r="G58" i="40"/>
  <c r="D83" i="40"/>
  <c r="D353" i="40"/>
  <c r="D357" i="40"/>
  <c r="D241" i="40"/>
  <c r="D294" i="40"/>
  <c r="D211" i="40"/>
  <c r="E180" i="40"/>
  <c r="J437" i="40"/>
  <c r="J366" i="40"/>
  <c r="G110" i="40"/>
  <c r="G19" i="40"/>
  <c r="J331" i="40"/>
  <c r="D170" i="40"/>
  <c r="D240" i="40"/>
  <c r="D310" i="40"/>
  <c r="J418" i="40"/>
  <c r="D47" i="40"/>
  <c r="D136" i="40"/>
  <c r="D322" i="40"/>
  <c r="D468" i="40"/>
  <c r="D381" i="40"/>
  <c r="G60" i="40"/>
  <c r="G14" i="40"/>
  <c r="G124" i="40"/>
  <c r="D393" i="40"/>
  <c r="E242" i="40"/>
  <c r="E15" i="40"/>
  <c r="D402" i="40"/>
  <c r="E285" i="40"/>
  <c r="D382" i="40"/>
  <c r="D269" i="40"/>
  <c r="G142" i="40"/>
  <c r="D56" i="40"/>
  <c r="E177" i="40"/>
  <c r="I363" i="40"/>
  <c r="D324" i="40"/>
  <c r="E224" i="40"/>
  <c r="G101" i="40"/>
  <c r="G159" i="40"/>
  <c r="G57" i="40"/>
  <c r="D210" i="40"/>
  <c r="D66" i="40"/>
  <c r="D484" i="40"/>
  <c r="D67" i="40"/>
  <c r="D168" i="40"/>
  <c r="D416" i="40"/>
  <c r="D431" i="40"/>
  <c r="D231" i="40"/>
  <c r="E212" i="40"/>
  <c r="D51" i="40"/>
  <c r="E214" i="40"/>
  <c r="G21" i="40"/>
  <c r="D412" i="40"/>
  <c r="D328" i="40"/>
  <c r="D350" i="40"/>
  <c r="D133" i="40"/>
  <c r="D5" i="40"/>
  <c r="D84" i="40"/>
  <c r="J473" i="40"/>
  <c r="E22" i="40"/>
  <c r="J422" i="40"/>
  <c r="G113" i="40"/>
  <c r="D292" i="40"/>
  <c r="J441" i="40"/>
  <c r="E9" i="40"/>
  <c r="G79" i="40"/>
  <c r="J480" i="40"/>
  <c r="E10" i="40"/>
  <c r="E31" i="40"/>
  <c r="D253" i="40"/>
  <c r="D400" i="40"/>
  <c r="E278" i="40"/>
  <c r="I474" i="40"/>
  <c r="G86" i="40"/>
  <c r="J460" i="40"/>
  <c r="D448" i="40"/>
  <c r="G3" i="40"/>
  <c r="D430" i="40"/>
  <c r="D471" i="40"/>
  <c r="D298" i="40"/>
  <c r="G73" i="40"/>
  <c r="G158" i="40"/>
  <c r="D217" i="40"/>
  <c r="J127" i="40"/>
  <c r="G137" i="40"/>
  <c r="D304" i="40"/>
  <c r="E178" i="40"/>
  <c r="E230" i="40"/>
  <c r="D351" i="40"/>
  <c r="E184" i="40"/>
  <c r="D167" i="40"/>
  <c r="D346" i="40"/>
  <c r="D97" i="40"/>
  <c r="D293" i="40"/>
  <c r="D314" i="40"/>
  <c r="D462" i="40"/>
  <c r="D69" i="40"/>
  <c r="D451" i="40"/>
  <c r="G6" i="40"/>
  <c r="J335" i="40"/>
  <c r="D305" i="40"/>
  <c r="G131" i="40"/>
  <c r="D289" i="40"/>
  <c r="D435" i="40"/>
  <c r="D216" i="40"/>
  <c r="E193" i="40"/>
  <c r="D252" i="40"/>
  <c r="E46" i="40"/>
  <c r="E208" i="40"/>
  <c r="G128" i="40"/>
  <c r="E196" i="40"/>
  <c r="D99" i="40"/>
  <c r="D255" i="40"/>
  <c r="E24" i="40"/>
  <c r="D410" i="40"/>
  <c r="D371" i="40"/>
  <c r="J362" i="40"/>
  <c r="D406" i="40"/>
  <c r="D94" i="40"/>
  <c r="D317" i="40"/>
  <c r="E17" i="40"/>
  <c r="D377" i="40"/>
  <c r="D384" i="40"/>
  <c r="E282" i="40"/>
  <c r="D96" i="40"/>
  <c r="E266" i="40"/>
  <c r="D183" i="40"/>
  <c r="D132" i="40"/>
  <c r="D444" i="40"/>
  <c r="D188" i="40"/>
  <c r="G139" i="40"/>
  <c r="D49" i="40"/>
  <c r="D311" i="40"/>
  <c r="D434" i="40"/>
  <c r="D182" i="40"/>
  <c r="D487" i="40"/>
  <c r="D32" i="40"/>
  <c r="D378" i="40"/>
  <c r="E235" i="40"/>
  <c r="J457" i="40"/>
  <c r="E205" i="40"/>
  <c r="E245" i="40"/>
  <c r="D320" i="40"/>
  <c r="D189" i="40"/>
  <c r="D204" i="40"/>
  <c r="D392" i="40"/>
  <c r="D2" i="40"/>
  <c r="D92" i="40"/>
  <c r="E30" i="40"/>
  <c r="D340" i="40"/>
  <c r="D203" i="40"/>
  <c r="D147" i="40"/>
  <c r="E43" i="40"/>
  <c r="D220" i="40"/>
  <c r="D344" i="40"/>
  <c r="D315" i="40"/>
  <c r="D219" i="40"/>
  <c r="D35" i="40"/>
  <c r="D63" i="40"/>
  <c r="G76" i="40"/>
  <c r="D299" i="40"/>
  <c r="J391" i="40"/>
  <c r="D20" i="40"/>
  <c r="I454" i="40"/>
  <c r="J369" i="40"/>
  <c r="E221" i="40"/>
  <c r="D325" i="40"/>
  <c r="D303" i="40"/>
  <c r="D376" i="40"/>
  <c r="D169" i="40"/>
  <c r="E174" i="40"/>
  <c r="E206" i="40"/>
  <c r="D385" i="40"/>
  <c r="E279" i="40"/>
  <c r="D295" i="40"/>
  <c r="D445" i="40"/>
  <c r="E259" i="40"/>
  <c r="E7" i="40"/>
  <c r="D464" i="40"/>
  <c r="D152" i="40"/>
  <c r="E260" i="40"/>
  <c r="D12" i="40"/>
  <c r="D288" i="40"/>
  <c r="J477" i="40"/>
  <c r="D428" i="40"/>
  <c r="G82" i="40"/>
  <c r="G165" i="40"/>
  <c r="D336" i="40"/>
  <c r="D50" i="40"/>
  <c r="D399" i="40"/>
  <c r="D276" i="40"/>
  <c r="E25" i="40"/>
  <c r="E233" i="40"/>
  <c r="D153" i="40"/>
  <c r="G104" i="40"/>
  <c r="G75" i="40"/>
  <c r="E28" i="40"/>
  <c r="E199" i="40"/>
  <c r="I388" i="40"/>
  <c r="J425" i="40"/>
  <c r="D356" i="40"/>
  <c r="D409" i="40"/>
  <c r="E195" i="40"/>
  <c r="D64" i="40"/>
  <c r="G61" i="40"/>
  <c r="D270" i="40"/>
  <c r="D341" i="40"/>
  <c r="I419" i="40"/>
  <c r="E173" i="40"/>
  <c r="D380" i="40"/>
  <c r="D343" i="40"/>
  <c r="D326" i="40"/>
  <c r="D296" i="40"/>
  <c r="D150" i="40"/>
  <c r="D26" i="40"/>
  <c r="G115" i="40"/>
  <c r="E257" i="40"/>
  <c r="G88" i="40"/>
  <c r="D272" i="40"/>
  <c r="D339" i="40"/>
  <c r="D301" i="40"/>
  <c r="G112" i="40"/>
  <c r="D256" i="40"/>
  <c r="D237" i="40"/>
  <c r="D62" i="40"/>
  <c r="D329" i="40"/>
  <c r="D90" i="40"/>
  <c r="E171" i="40"/>
  <c r="E198" i="40"/>
  <c r="E215" i="40"/>
  <c r="E244" i="40"/>
  <c r="D4" i="40"/>
  <c r="D33" i="40"/>
  <c r="D273" i="40"/>
  <c r="D287" i="40"/>
  <c r="D238" i="40"/>
  <c r="D111" i="40"/>
  <c r="D118" i="40"/>
  <c r="E251" i="40"/>
  <c r="D319" i="40"/>
  <c r="G89" i="40"/>
  <c r="D316" i="40"/>
  <c r="D156" i="40"/>
  <c r="E18" i="40"/>
  <c r="E181" i="40"/>
  <c r="E236" i="40"/>
  <c r="D467" i="40"/>
  <c r="D337" i="40"/>
  <c r="D95" i="40"/>
  <c r="D135" i="40"/>
  <c r="G27" i="40"/>
  <c r="E247" i="40"/>
  <c r="D403" i="40"/>
  <c r="G39" i="40"/>
  <c r="D36" i="40"/>
  <c r="D175" i="40"/>
  <c r="G103" i="40"/>
  <c r="D442" i="40"/>
  <c r="D267" i="40"/>
  <c r="D71" i="40"/>
  <c r="E223" i="40"/>
  <c r="E263" i="40"/>
  <c r="D372" i="40"/>
  <c r="D100" i="40"/>
  <c r="G37" i="40"/>
  <c r="D396" i="40"/>
  <c r="I438" i="40"/>
  <c r="D176" i="40"/>
  <c r="D149" i="40"/>
  <c r="D395" i="40"/>
  <c r="G11" i="40"/>
  <c r="AT89" i="3"/>
  <c r="V39" i="45" s="1"/>
  <c r="AR89" i="3"/>
  <c r="AN89" i="3"/>
  <c r="AS89" i="3"/>
  <c r="AP89" i="3"/>
  <c r="AM89" i="3"/>
  <c r="U39" i="45" s="1"/>
  <c r="T39" i="45"/>
  <c r="AO89" i="3"/>
  <c r="AK89" i="3" a="1"/>
  <c r="AK89" i="3" s="1"/>
  <c r="AQ89" i="3"/>
  <c r="AO24" i="3"/>
  <c r="AM24" i="3"/>
  <c r="I22" i="45" s="1"/>
  <c r="AK24" i="3" a="1"/>
  <c r="AK24" i="3" s="1"/>
  <c r="AR24" i="3"/>
  <c r="AT24" i="3"/>
  <c r="J22" i="45" s="1"/>
  <c r="H22" i="45"/>
  <c r="AQ24" i="3"/>
  <c r="AP24" i="3"/>
  <c r="AN24" i="3"/>
  <c r="AS24" i="3"/>
  <c r="AN49" i="3"/>
  <c r="AT49" i="3"/>
  <c r="J47" i="45" s="1"/>
  <c r="AS49" i="3"/>
  <c r="AM49" i="3"/>
  <c r="I47" i="45" s="1"/>
  <c r="AR49" i="3"/>
  <c r="AK49" i="3" a="1"/>
  <c r="AK49" i="3" s="1"/>
  <c r="H47" i="45"/>
  <c r="AP49" i="3"/>
  <c r="AQ49" i="3"/>
  <c r="AO49" i="3"/>
  <c r="AP17" i="3"/>
  <c r="AQ17" i="3"/>
  <c r="H15" i="45"/>
  <c r="AO17" i="3"/>
  <c r="AK17" i="3" a="1"/>
  <c r="AK17" i="3" s="1"/>
  <c r="AT17" i="3"/>
  <c r="J15" i="45" s="1"/>
  <c r="AN17" i="3"/>
  <c r="AR17" i="3"/>
  <c r="AS17" i="3"/>
  <c r="AM17" i="3"/>
  <c r="I15" i="45" s="1"/>
  <c r="AS64" i="3"/>
  <c r="AK64" i="3" a="1"/>
  <c r="AK64" i="3" s="1"/>
  <c r="AP64" i="3"/>
  <c r="AO64" i="3"/>
  <c r="T14" i="45"/>
  <c r="AR64" i="3"/>
  <c r="AQ64" i="3"/>
  <c r="AN64" i="3"/>
  <c r="AT64" i="3"/>
  <c r="V14" i="45" s="1"/>
  <c r="AM64" i="3"/>
  <c r="U14" i="45" s="1"/>
  <c r="BF60" i="3"/>
  <c r="BJ60" i="3" s="1"/>
  <c r="AM81" i="3"/>
  <c r="U31" i="45" s="1"/>
  <c r="AT81" i="3"/>
  <c r="V31" i="45" s="1"/>
  <c r="AO81" i="3"/>
  <c r="AS81" i="3"/>
  <c r="T31" i="45"/>
  <c r="AP81" i="3"/>
  <c r="AK81" i="3" a="1"/>
  <c r="AK81" i="3" s="1"/>
  <c r="AR81" i="3"/>
  <c r="AQ81" i="3"/>
  <c r="AN81" i="3"/>
  <c r="AT9" i="3"/>
  <c r="J7" i="45" s="1"/>
  <c r="AM9" i="3"/>
  <c r="I7" i="45" s="1"/>
  <c r="AO9" i="3"/>
  <c r="AP9" i="3"/>
  <c r="AK9" i="3" a="1"/>
  <c r="AK9" i="3" s="1"/>
  <c r="AN9" i="3"/>
  <c r="AR9" i="3"/>
  <c r="AQ9" i="3"/>
  <c r="H7" i="45"/>
  <c r="AS9" i="3"/>
  <c r="AO73" i="3"/>
  <c r="T23" i="45"/>
  <c r="AQ73" i="3"/>
  <c r="AR73" i="3"/>
  <c r="AT73" i="3"/>
  <c r="V23" i="45" s="1"/>
  <c r="AS73" i="3"/>
  <c r="AN73" i="3"/>
  <c r="AM73" i="3"/>
  <c r="U23" i="45" s="1"/>
  <c r="AK73" i="3" a="1"/>
  <c r="AK73" i="3" s="1"/>
  <c r="AP73" i="3"/>
  <c r="AP14" i="3"/>
  <c r="H12" i="45"/>
  <c r="AM14" i="3"/>
  <c r="I12" i="45" s="1"/>
  <c r="AK14" i="3" a="1"/>
  <c r="AK14" i="3" s="1"/>
  <c r="AR14" i="3"/>
  <c r="AN14" i="3"/>
  <c r="AT14" i="3"/>
  <c r="J12" i="45" s="1"/>
  <c r="M113" i="3"/>
  <c r="AA113" i="3" s="1"/>
  <c r="AS14" i="3"/>
  <c r="AO14" i="3"/>
  <c r="AQ14" i="3"/>
  <c r="G43" i="40"/>
  <c r="H304" i="40"/>
  <c r="G9" i="40"/>
  <c r="C200" i="40"/>
  <c r="H338" i="40"/>
  <c r="C58" i="40"/>
  <c r="C467" i="40"/>
  <c r="G156" i="40"/>
  <c r="C380" i="40"/>
  <c r="C60" i="40"/>
  <c r="C114" i="40"/>
  <c r="C128" i="40"/>
  <c r="G72" i="40"/>
  <c r="G5" i="40"/>
  <c r="C198" i="40"/>
  <c r="C191" i="40"/>
  <c r="C319" i="40"/>
  <c r="H52" i="40"/>
  <c r="C225" i="40"/>
  <c r="C478" i="40"/>
  <c r="G26" i="40"/>
  <c r="C206" i="40"/>
  <c r="H337" i="40"/>
  <c r="C430" i="40"/>
  <c r="C175" i="40"/>
  <c r="C79" i="40"/>
  <c r="C360" i="40"/>
  <c r="C251" i="40"/>
  <c r="H297" i="40"/>
  <c r="H405" i="40"/>
  <c r="C240" i="40"/>
  <c r="C331" i="40"/>
  <c r="C350" i="40"/>
  <c r="H62" i="40"/>
  <c r="C217" i="40"/>
  <c r="C488" i="40"/>
  <c r="G34" i="40"/>
  <c r="C461" i="40"/>
  <c r="C334" i="40"/>
  <c r="H214" i="40"/>
  <c r="C496" i="40"/>
  <c r="C190" i="40"/>
  <c r="H187" i="40"/>
  <c r="G45" i="40"/>
  <c r="C239" i="40"/>
  <c r="C402" i="40"/>
  <c r="C471" i="40"/>
  <c r="C246" i="40"/>
  <c r="C241" i="40"/>
  <c r="H172" i="40"/>
  <c r="C220" i="40"/>
  <c r="C468" i="40"/>
  <c r="H309" i="40"/>
  <c r="G42" i="40"/>
  <c r="H339" i="40"/>
  <c r="C254" i="40"/>
  <c r="G127" i="40"/>
  <c r="G66" i="40"/>
  <c r="C266" i="40"/>
  <c r="C441" i="40"/>
  <c r="C368" i="40"/>
  <c r="G18" i="40"/>
  <c r="C272" i="40"/>
  <c r="G99" i="40"/>
  <c r="C490" i="40"/>
  <c r="G151" i="40"/>
  <c r="G25" i="40"/>
  <c r="H212" i="40"/>
  <c r="C373" i="40"/>
  <c r="G22" i="40"/>
  <c r="G298" i="40"/>
  <c r="H184" i="40"/>
  <c r="H65" i="40"/>
  <c r="C322" i="40"/>
  <c r="C451" i="40"/>
  <c r="H171" i="40"/>
  <c r="C388" i="40"/>
  <c r="C262" i="40"/>
  <c r="H93" i="40"/>
  <c r="C265" i="40"/>
  <c r="G145" i="40"/>
  <c r="C228" i="40"/>
  <c r="C416" i="40"/>
  <c r="G41" i="40"/>
  <c r="C437" i="40"/>
  <c r="G119" i="40"/>
  <c r="C106" i="40"/>
  <c r="G135" i="40"/>
  <c r="C370" i="40"/>
  <c r="G48" i="40"/>
  <c r="C425" i="40"/>
  <c r="G98" i="40"/>
  <c r="C286" i="40"/>
  <c r="C146" i="40"/>
  <c r="C311" i="40"/>
  <c r="C276" i="40"/>
  <c r="H349" i="40"/>
  <c r="C131" i="40"/>
  <c r="C82" i="40"/>
  <c r="G105" i="40"/>
  <c r="C414" i="40"/>
  <c r="H313" i="40"/>
  <c r="C192" i="40"/>
  <c r="C428" i="40"/>
  <c r="C189" i="40"/>
  <c r="C248" i="40"/>
  <c r="G7" i="40"/>
  <c r="C261" i="40"/>
  <c r="C204" i="40"/>
  <c r="C387" i="40"/>
  <c r="C460" i="40"/>
  <c r="G299" i="40"/>
  <c r="G154" i="40"/>
  <c r="G121" i="40"/>
  <c r="J447" i="40"/>
  <c r="C235" i="40"/>
  <c r="C292" i="40"/>
  <c r="G100" i="40"/>
  <c r="C255" i="40"/>
  <c r="G67" i="40"/>
  <c r="G80" i="40"/>
  <c r="C230" i="40"/>
  <c r="G16" i="40"/>
  <c r="C264" i="40"/>
  <c r="C403" i="40"/>
  <c r="H374" i="40"/>
  <c r="H396" i="40"/>
  <c r="C203" i="40"/>
  <c r="H302" i="40"/>
  <c r="G126" i="40"/>
  <c r="H173" i="40"/>
  <c r="G2" i="40"/>
  <c r="G81" i="40"/>
  <c r="J458" i="40"/>
  <c r="G51" i="40"/>
  <c r="G46" i="40"/>
  <c r="C201" i="40"/>
  <c r="C310" i="40"/>
  <c r="C450" i="40"/>
  <c r="G4" i="40"/>
  <c r="C179" i="40"/>
  <c r="G53" i="40"/>
  <c r="C55" i="40"/>
  <c r="G118" i="40"/>
  <c r="C481" i="40"/>
  <c r="H318" i="40"/>
  <c r="C271" i="40"/>
  <c r="G24" i="40"/>
  <c r="C375" i="40"/>
  <c r="G69" i="40"/>
  <c r="C219" i="40"/>
  <c r="C479" i="40"/>
  <c r="C491" i="40"/>
  <c r="C274" i="40"/>
  <c r="C181" i="40"/>
  <c r="H371" i="40"/>
  <c r="G70" i="40"/>
  <c r="C88" i="40"/>
  <c r="G168" i="40"/>
  <c r="H404" i="40"/>
  <c r="C142" i="40"/>
  <c r="C84" i="40"/>
  <c r="C3" i="40"/>
  <c r="G29" i="40"/>
  <c r="C379" i="40"/>
  <c r="H174" i="40"/>
  <c r="G30" i="40"/>
  <c r="H394" i="40"/>
  <c r="G8" i="40"/>
  <c r="C367" i="40"/>
  <c r="C330" i="40"/>
  <c r="C284" i="40"/>
  <c r="C283" i="40"/>
  <c r="C110" i="40"/>
  <c r="H294" i="40"/>
  <c r="C207" i="40"/>
  <c r="C429" i="40"/>
  <c r="G153" i="40"/>
  <c r="C233" i="40"/>
  <c r="C218" i="40"/>
  <c r="C390" i="40"/>
  <c r="C426" i="40"/>
  <c r="G94" i="40"/>
  <c r="H301" i="40"/>
  <c r="C415" i="40"/>
  <c r="C19" i="40"/>
  <c r="C346" i="40"/>
  <c r="G164" i="40"/>
  <c r="C167" i="40"/>
  <c r="C459" i="40"/>
  <c r="C438" i="40"/>
  <c r="C143" i="40"/>
  <c r="G97" i="40"/>
  <c r="H90" i="40"/>
  <c r="G12" i="40"/>
  <c r="C378" i="40"/>
  <c r="C227" i="40"/>
  <c r="C202" i="40"/>
  <c r="C111" i="40"/>
  <c r="C107" i="40"/>
  <c r="C347" i="40"/>
  <c r="C357" i="40"/>
  <c r="G155" i="40"/>
  <c r="G108" i="40"/>
  <c r="G10" i="40"/>
  <c r="C234" i="40"/>
  <c r="H169" i="40"/>
  <c r="H395" i="40"/>
  <c r="C229" i="40"/>
  <c r="C440" i="40"/>
  <c r="G77" i="40"/>
  <c r="C116" i="40"/>
  <c r="C376" i="40"/>
  <c r="C423" i="40"/>
  <c r="G35" i="40"/>
  <c r="C359" i="40"/>
  <c r="H185" i="40"/>
  <c r="G141" i="40"/>
  <c r="G136" i="40"/>
  <c r="C469" i="40"/>
  <c r="C323" i="40"/>
  <c r="H348" i="40"/>
  <c r="G64" i="40"/>
  <c r="C275" i="40"/>
  <c r="G134" i="40"/>
  <c r="G109" i="40"/>
  <c r="C89" i="40"/>
  <c r="H401" i="40"/>
  <c r="C83" i="40"/>
  <c r="H213" i="40"/>
  <c r="C56" i="40"/>
  <c r="C489" i="40"/>
  <c r="C449" i="40"/>
  <c r="H303" i="40"/>
  <c r="C231" i="40"/>
  <c r="C87" i="40"/>
  <c r="C273" i="40"/>
  <c r="C180" i="40"/>
  <c r="H312" i="40"/>
  <c r="C226" i="40"/>
  <c r="C178" i="40"/>
  <c r="G129" i="40"/>
  <c r="C238" i="40"/>
  <c r="C424" i="40"/>
  <c r="C115" i="40"/>
  <c r="G33" i="40"/>
  <c r="C293" i="40"/>
  <c r="C288" i="40"/>
  <c r="C332" i="40"/>
  <c r="C86" i="40"/>
  <c r="C466" i="40"/>
  <c r="G20" i="40"/>
  <c r="C287" i="40"/>
  <c r="C285" i="40"/>
  <c r="J247" i="40"/>
  <c r="G144" i="40"/>
  <c r="C325" i="40"/>
  <c r="C413" i="40"/>
  <c r="G163" i="40"/>
  <c r="C59" i="40"/>
  <c r="C208" i="40"/>
  <c r="C249" i="40"/>
  <c r="C470" i="40"/>
  <c r="G23" i="40"/>
  <c r="C431" i="40"/>
  <c r="C406" i="40"/>
  <c r="C250" i="40"/>
  <c r="H210" i="40"/>
  <c r="C317" i="40"/>
  <c r="G54" i="40"/>
  <c r="C320" i="40"/>
  <c r="G152" i="40"/>
  <c r="C439" i="40"/>
  <c r="C446" i="40"/>
  <c r="H182" i="40"/>
  <c r="G36" i="40"/>
  <c r="G166" i="40"/>
  <c r="C199" i="40"/>
  <c r="G296" i="40"/>
  <c r="C291" i="40"/>
  <c r="G13" i="40"/>
  <c r="G120" i="40"/>
  <c r="H345" i="40"/>
  <c r="H49" i="40"/>
  <c r="C333" i="40"/>
  <c r="C480" i="40"/>
  <c r="G15" i="40"/>
  <c r="C389" i="40"/>
  <c r="C165" i="40"/>
  <c r="C381" i="40"/>
  <c r="C448" i="40"/>
  <c r="G133" i="40"/>
  <c r="C113" i="40"/>
  <c r="G95" i="40"/>
  <c r="C197" i="40"/>
  <c r="C236" i="40"/>
  <c r="C324" i="40"/>
  <c r="H315" i="40"/>
  <c r="C369" i="40"/>
  <c r="C358" i="40"/>
  <c r="C436" i="40"/>
  <c r="H393" i="40"/>
  <c r="C335" i="40"/>
  <c r="C176" i="40"/>
  <c r="G71" i="40"/>
  <c r="H215" i="40"/>
  <c r="C355" i="40"/>
  <c r="C209" i="40"/>
  <c r="C253" i="40"/>
  <c r="C412" i="40"/>
  <c r="C290" i="40"/>
  <c r="G28" i="40"/>
  <c r="C391" i="40"/>
  <c r="G44" i="40"/>
  <c r="H186" i="40"/>
  <c r="G31" i="40"/>
  <c r="C263" i="40"/>
  <c r="C411" i="40"/>
  <c r="G17" i="40"/>
  <c r="C11" i="40"/>
  <c r="H340" i="40"/>
  <c r="C78" i="40"/>
  <c r="C386" i="40"/>
  <c r="C356" i="40"/>
  <c r="C61" i="40"/>
  <c r="G130" i="40"/>
  <c r="C256" i="40"/>
  <c r="C47" i="40"/>
  <c r="G92" i="40"/>
  <c r="C314" i="40"/>
  <c r="AM79" i="3"/>
  <c r="U29" i="45" s="1"/>
  <c r="AQ79" i="3"/>
  <c r="AO79" i="3"/>
  <c r="AT79" i="3"/>
  <c r="V29" i="45" s="1"/>
  <c r="AK79" i="3" a="1"/>
  <c r="AK79" i="3" s="1"/>
  <c r="N112" i="3"/>
  <c r="AF111" i="3" s="1"/>
  <c r="AP79" i="3"/>
  <c r="AS79" i="3"/>
  <c r="T29" i="45"/>
  <c r="AN79" i="3"/>
  <c r="AR79" i="3"/>
  <c r="AN56" i="3"/>
  <c r="AT56" i="3"/>
  <c r="V6" i="45" s="1"/>
  <c r="AO56" i="3"/>
  <c r="AK56" i="3" a="1"/>
  <c r="AK56" i="3" s="1"/>
  <c r="AR56" i="3"/>
  <c r="T6" i="45"/>
  <c r="AS56" i="3"/>
  <c r="AP56" i="3"/>
  <c r="AQ56" i="3"/>
  <c r="AM56" i="3"/>
  <c r="U6" i="45" s="1"/>
  <c r="T37" i="45"/>
  <c r="AR87" i="3"/>
  <c r="AQ87" i="3"/>
  <c r="M111" i="3"/>
  <c r="AA112" i="3" s="1"/>
  <c r="AO87" i="3"/>
  <c r="AM87" i="3"/>
  <c r="U37" i="45" s="1"/>
  <c r="AS87" i="3"/>
  <c r="AP87" i="3"/>
  <c r="AN87" i="3"/>
  <c r="AK87" i="3" a="1"/>
  <c r="AK87" i="3" s="1"/>
  <c r="AT87" i="3"/>
  <c r="V37" i="45" s="1"/>
  <c r="T28" i="45"/>
  <c r="AT78" i="3"/>
  <c r="V28" i="45" s="1"/>
  <c r="AO78" i="3"/>
  <c r="AK78" i="3" a="1"/>
  <c r="AK78" i="3" s="1"/>
  <c r="AS78" i="3"/>
  <c r="M114" i="3"/>
  <c r="AA115" i="3" s="1"/>
  <c r="AM78" i="3"/>
  <c r="U28" i="45" s="1"/>
  <c r="AR78" i="3"/>
  <c r="AP78" i="3"/>
  <c r="AN78" i="3"/>
  <c r="AQ78" i="3"/>
  <c r="AO25" i="3"/>
  <c r="AM25" i="3"/>
  <c r="I23" i="45" s="1"/>
  <c r="AK25" i="3" a="1"/>
  <c r="AK25" i="3" s="1"/>
  <c r="AR25" i="3"/>
  <c r="AT25" i="3"/>
  <c r="J23" i="45" s="1"/>
  <c r="AQ25" i="3"/>
  <c r="AP25" i="3"/>
  <c r="H23" i="45"/>
  <c r="AN25" i="3"/>
  <c r="AS25" i="3"/>
  <c r="AP48" i="3"/>
  <c r="AQ48" i="3"/>
  <c r="AS48" i="3"/>
  <c r="AM48" i="3"/>
  <c r="I46" i="45" s="1"/>
  <c r="AN48" i="3"/>
  <c r="AT48" i="3"/>
  <c r="J46" i="45" s="1"/>
  <c r="H46" i="45"/>
  <c r="AO48" i="3"/>
  <c r="AR48" i="3"/>
  <c r="AK48" i="3" a="1"/>
  <c r="AK48" i="3" s="1"/>
  <c r="BF58" i="3"/>
  <c r="BE58" i="3" s="1"/>
  <c r="BR58" i="3" s="1"/>
  <c r="AR40" i="3"/>
  <c r="AT40" i="3"/>
  <c r="J38" i="45" s="1"/>
  <c r="AK40" i="3" a="1"/>
  <c r="AK40" i="3" s="1"/>
  <c r="AQ40" i="3"/>
  <c r="H38" i="45"/>
  <c r="AN40" i="3"/>
  <c r="AM40" i="3"/>
  <c r="I38" i="45" s="1"/>
  <c r="AS40" i="3"/>
  <c r="AO40" i="3"/>
  <c r="AP40" i="3"/>
  <c r="D110" i="40"/>
  <c r="D24" i="40"/>
  <c r="H12" i="40"/>
  <c r="D174" i="40"/>
  <c r="D138" i="40"/>
  <c r="D475" i="40"/>
  <c r="D103" i="40"/>
  <c r="D123" i="40"/>
  <c r="H298" i="40"/>
  <c r="D212" i="40"/>
  <c r="D424" i="40"/>
  <c r="D206" i="40"/>
  <c r="D87" i="40"/>
  <c r="D3" i="40"/>
  <c r="D27" i="40"/>
  <c r="D333" i="40"/>
  <c r="D25" i="40"/>
  <c r="D140" i="40"/>
  <c r="D159" i="40"/>
  <c r="D348" i="40"/>
  <c r="D199" i="40"/>
  <c r="D421" i="40"/>
  <c r="D331" i="40"/>
  <c r="H376" i="40"/>
  <c r="D258" i="40"/>
  <c r="D21" i="40"/>
  <c r="D143" i="40"/>
  <c r="D74" i="40"/>
  <c r="D492" i="40"/>
  <c r="D163" i="40"/>
  <c r="D420" i="40"/>
  <c r="D207" i="40"/>
  <c r="D41" i="40"/>
  <c r="D9" i="40"/>
  <c r="D137" i="40"/>
  <c r="H434" i="40"/>
  <c r="D19" i="40"/>
  <c r="H295" i="40"/>
  <c r="H432" i="40"/>
  <c r="D366" i="40"/>
  <c r="H399" i="40"/>
  <c r="D139" i="40"/>
  <c r="D160" i="40"/>
  <c r="D75" i="40"/>
  <c r="D389" i="40"/>
  <c r="D196" i="40"/>
  <c r="D455" i="40"/>
  <c r="H83" i="40"/>
  <c r="H397" i="40"/>
  <c r="D425" i="40"/>
  <c r="D422" i="40"/>
  <c r="D481" i="40"/>
  <c r="D15" i="40"/>
  <c r="H95" i="40"/>
  <c r="D157" i="40"/>
  <c r="D383" i="40"/>
  <c r="D387" i="40"/>
  <c r="D197" i="40"/>
  <c r="H326" i="40"/>
  <c r="H168" i="40"/>
  <c r="D262" i="40"/>
  <c r="H310" i="40"/>
  <c r="D374" i="40"/>
  <c r="D318" i="40"/>
  <c r="D494" i="40"/>
  <c r="H373" i="40"/>
  <c r="D122" i="40"/>
  <c r="D247" i="40"/>
  <c r="D77" i="40"/>
  <c r="D28" i="40"/>
  <c r="D259" i="40"/>
  <c r="D109" i="40"/>
  <c r="D386" i="40"/>
  <c r="D209" i="40"/>
  <c r="D496" i="40"/>
  <c r="D363" i="40"/>
  <c r="D235" i="40"/>
  <c r="D201" i="40"/>
  <c r="D281" i="40"/>
  <c r="H211" i="40"/>
  <c r="H94" i="40"/>
  <c r="H203" i="40"/>
  <c r="H400" i="40"/>
  <c r="D476" i="40"/>
  <c r="D278" i="40"/>
  <c r="D59" i="40"/>
  <c r="H2" i="40"/>
  <c r="D224" i="40"/>
  <c r="D283" i="40"/>
  <c r="D166" i="40"/>
  <c r="D127" i="40"/>
  <c r="D361" i="40"/>
  <c r="D214" i="40"/>
  <c r="D6" i="40"/>
  <c r="D46" i="40"/>
  <c r="D57" i="40"/>
  <c r="H55" i="40"/>
  <c r="D52" i="40"/>
  <c r="H293" i="40"/>
  <c r="D106" i="40"/>
  <c r="D31" i="40"/>
  <c r="D213" i="40"/>
  <c r="D60" i="40"/>
  <c r="H435" i="40"/>
  <c r="D229" i="40"/>
  <c r="H175" i="40"/>
  <c r="D365" i="40"/>
  <c r="D38" i="40"/>
  <c r="D454" i="40"/>
  <c r="D181" i="40"/>
  <c r="D369" i="40"/>
  <c r="D200" i="40"/>
  <c r="D285" i="40"/>
  <c r="H308" i="40"/>
  <c r="D335" i="40"/>
  <c r="D14" i="40"/>
  <c r="D108" i="40"/>
  <c r="H385" i="40"/>
  <c r="D65" i="40"/>
  <c r="D173" i="40"/>
  <c r="H311" i="40"/>
  <c r="D142" i="40"/>
  <c r="D8" i="40"/>
  <c r="H343" i="40"/>
  <c r="D114" i="40"/>
  <c r="H47" i="40"/>
  <c r="D172" i="40"/>
  <c r="H346" i="40"/>
  <c r="D82" i="40"/>
  <c r="H316" i="40"/>
  <c r="D242" i="40"/>
  <c r="H344" i="40"/>
  <c r="D184" i="40"/>
  <c r="H403" i="40"/>
  <c r="D472" i="40"/>
  <c r="D479" i="40"/>
  <c r="H51" i="40"/>
  <c r="D81" i="40"/>
  <c r="D194" i="40"/>
  <c r="H296" i="40"/>
  <c r="D73" i="40"/>
  <c r="D130" i="40"/>
  <c r="D453" i="40"/>
  <c r="H317" i="40"/>
  <c r="D177" i="40"/>
  <c r="D234" i="40"/>
  <c r="D105" i="40"/>
  <c r="D245" i="40"/>
  <c r="H329" i="40"/>
  <c r="D418" i="40"/>
  <c r="D162" i="40"/>
  <c r="H287" i="40"/>
  <c r="D43" i="40"/>
  <c r="H384" i="40"/>
  <c r="D171" i="40"/>
  <c r="D260" i="40"/>
  <c r="D205" i="40"/>
  <c r="D297" i="40"/>
  <c r="D16" i="40"/>
  <c r="D141" i="40"/>
  <c r="D280" i="40"/>
  <c r="D198" i="40"/>
  <c r="D398" i="40"/>
  <c r="H292" i="40"/>
  <c r="D473" i="40"/>
  <c r="D208" i="40"/>
  <c r="D125" i="40"/>
  <c r="D61" i="40"/>
  <c r="D459" i="40"/>
  <c r="D367" i="40"/>
  <c r="D436" i="40"/>
  <c r="D45" i="40"/>
  <c r="D58" i="40"/>
  <c r="D257" i="40"/>
  <c r="H320" i="40"/>
  <c r="H290" i="40"/>
  <c r="D404" i="40"/>
  <c r="D116" i="40"/>
  <c r="H91" i="40"/>
  <c r="D18" i="40"/>
  <c r="D249" i="40"/>
  <c r="D438" i="40"/>
  <c r="H53" i="40"/>
  <c r="D195" i="40"/>
  <c r="D86" i="40"/>
  <c r="D80" i="40"/>
  <c r="H4" i="40"/>
  <c r="D246" i="40"/>
  <c r="D232" i="40"/>
  <c r="D456" i="40"/>
  <c r="D124" i="40"/>
  <c r="D88" i="40"/>
  <c r="D266" i="40"/>
  <c r="H50" i="40"/>
  <c r="D164" i="40"/>
  <c r="D265" i="40"/>
  <c r="H183" i="40"/>
  <c r="D225" i="40"/>
  <c r="D178" i="40"/>
  <c r="H63" i="40"/>
  <c r="D42" i="40"/>
  <c r="D85" i="40"/>
  <c r="H382" i="40"/>
  <c r="D419" i="40"/>
  <c r="D478" i="40"/>
  <c r="D228" i="40"/>
  <c r="D17" i="40"/>
  <c r="H375" i="40"/>
  <c r="D417" i="40"/>
  <c r="D291" i="40"/>
  <c r="D330" i="40"/>
  <c r="D441" i="40"/>
  <c r="D457" i="40"/>
  <c r="D233" i="40"/>
  <c r="D264" i="40"/>
  <c r="D368" i="40"/>
  <c r="D165" i="40"/>
  <c r="D452" i="40"/>
  <c r="D477" i="40"/>
  <c r="D313" i="40"/>
  <c r="D23" i="40"/>
  <c r="D236" i="40"/>
  <c r="H314" i="40"/>
  <c r="D186" i="40"/>
  <c r="D248" i="40"/>
  <c r="D79" i="40"/>
  <c r="D309" i="40"/>
  <c r="D493" i="40"/>
  <c r="D461" i="40"/>
  <c r="D458" i="40"/>
  <c r="H48" i="40"/>
  <c r="D388" i="40"/>
  <c r="D202" i="40"/>
  <c r="H67" i="40"/>
  <c r="D279" i="40"/>
  <c r="D226" i="40"/>
  <c r="H350" i="40"/>
  <c r="H305" i="40"/>
  <c r="D145" i="40"/>
  <c r="H54" i="40"/>
  <c r="D230" i="40"/>
  <c r="D423" i="40"/>
  <c r="D277" i="40"/>
  <c r="D78" i="40"/>
  <c r="D37" i="40"/>
  <c r="D76" i="40"/>
  <c r="D185" i="40"/>
  <c r="D10" i="40"/>
  <c r="D102" i="40"/>
  <c r="D101" i="40"/>
  <c r="D244" i="40"/>
  <c r="D158" i="40"/>
  <c r="D495" i="40"/>
  <c r="D144" i="40"/>
  <c r="D263" i="40"/>
  <c r="D128" i="40"/>
  <c r="D433" i="40"/>
  <c r="D22" i="40"/>
  <c r="D40" i="40"/>
  <c r="D480" i="40"/>
  <c r="H64" i="40"/>
  <c r="D286" i="40"/>
  <c r="D126" i="40"/>
  <c r="H319" i="40"/>
  <c r="H289" i="40"/>
  <c r="D39" i="40"/>
  <c r="D89" i="40"/>
  <c r="D243" i="40"/>
  <c r="D440" i="40"/>
  <c r="D282" i="40"/>
  <c r="D362" i="40"/>
  <c r="H406" i="40"/>
  <c r="D401" i="40"/>
  <c r="D349" i="40"/>
  <c r="H307" i="40"/>
  <c r="H347" i="40"/>
  <c r="D391" i="40"/>
  <c r="D342" i="40"/>
  <c r="D327" i="40"/>
  <c r="D29" i="40"/>
  <c r="D284" i="40"/>
  <c r="D115" i="40"/>
  <c r="D332" i="40"/>
  <c r="D107" i="40"/>
  <c r="H167" i="40"/>
  <c r="D222" i="40"/>
  <c r="H170" i="40"/>
  <c r="D426" i="40"/>
  <c r="D146" i="40"/>
  <c r="D179" i="40"/>
  <c r="D30" i="40"/>
  <c r="D364" i="40"/>
  <c r="H341" i="40"/>
  <c r="D334" i="40"/>
  <c r="D390" i="40"/>
  <c r="D187" i="40"/>
  <c r="D439" i="40"/>
  <c r="D11" i="40"/>
  <c r="D44" i="40"/>
  <c r="D180" i="40"/>
  <c r="D437" i="40"/>
  <c r="D345" i="40"/>
  <c r="D93" i="40"/>
  <c r="D7" i="40"/>
  <c r="D223" i="40"/>
  <c r="D250" i="40"/>
  <c r="H299" i="40"/>
  <c r="D474" i="40"/>
  <c r="D113" i="40"/>
  <c r="D131" i="40"/>
  <c r="D221" i="40"/>
  <c r="H92" i="40"/>
  <c r="D405" i="40"/>
  <c r="D251" i="40"/>
  <c r="D306" i="40"/>
  <c r="D215" i="40"/>
  <c r="H66" i="40"/>
  <c r="D112" i="40"/>
  <c r="D193" i="40"/>
  <c r="D129" i="40"/>
  <c r="D460" i="40"/>
  <c r="H328" i="40"/>
  <c r="D161" i="40"/>
  <c r="D227" i="40"/>
  <c r="D312" i="40"/>
  <c r="D370" i="40"/>
  <c r="H402" i="40"/>
  <c r="D104" i="40"/>
  <c r="H372" i="40"/>
  <c r="D261" i="40"/>
  <c r="AN55" i="3"/>
  <c r="AS55" i="3"/>
  <c r="AQ55" i="3"/>
  <c r="AR55" i="3"/>
  <c r="AK55" i="3" a="1"/>
  <c r="AK55" i="3" s="1"/>
  <c r="AM55" i="3"/>
  <c r="U5" i="45" s="1"/>
  <c r="AP55" i="3"/>
  <c r="T5" i="45"/>
  <c r="AO55" i="3"/>
  <c r="AT55" i="3"/>
  <c r="V5" i="45" s="1"/>
  <c r="N116" i="3"/>
  <c r="AF114" i="3" s="1"/>
  <c r="AS63" i="3"/>
  <c r="T13" i="45"/>
  <c r="AT63" i="3"/>
  <c r="V13" i="45" s="1"/>
  <c r="AO63" i="3"/>
  <c r="AP63" i="3"/>
  <c r="AN63" i="3"/>
  <c r="N114" i="3"/>
  <c r="AF115" i="3" s="1"/>
  <c r="AR63" i="3"/>
  <c r="AM63" i="3"/>
  <c r="U13" i="45" s="1"/>
  <c r="AK63" i="3" a="1"/>
  <c r="AK63" i="3" s="1"/>
  <c r="AQ63" i="3"/>
  <c r="G401" i="40"/>
  <c r="G185" i="40"/>
  <c r="G183" i="40"/>
  <c r="G323" i="40"/>
  <c r="F298" i="40"/>
  <c r="G278" i="40"/>
  <c r="G251" i="40"/>
  <c r="G205" i="40"/>
  <c r="G224" i="40"/>
  <c r="G333" i="40"/>
  <c r="G406" i="40"/>
  <c r="G350" i="40"/>
  <c r="G380" i="40"/>
  <c r="G358" i="40"/>
  <c r="G284" i="40"/>
  <c r="G202" i="40"/>
  <c r="G426" i="40"/>
  <c r="G258" i="40"/>
  <c r="G276" i="40"/>
  <c r="G438" i="40"/>
  <c r="G305" i="40"/>
  <c r="G486" i="40"/>
  <c r="G399" i="40"/>
  <c r="G418" i="40"/>
  <c r="G402" i="40"/>
  <c r="G389" i="40"/>
  <c r="G204" i="40"/>
  <c r="G477" i="40"/>
  <c r="G491" i="40"/>
  <c r="G321" i="40"/>
  <c r="G314" i="40"/>
  <c r="G173" i="40"/>
  <c r="G395" i="40"/>
  <c r="G496" i="40"/>
  <c r="G360" i="40"/>
  <c r="G229" i="40"/>
  <c r="G474" i="40"/>
  <c r="G262" i="40"/>
  <c r="G210" i="40"/>
  <c r="G248" i="40"/>
  <c r="G231" i="40"/>
  <c r="G357" i="40"/>
  <c r="G254" i="40"/>
  <c r="G369" i="40"/>
  <c r="G217" i="40"/>
  <c r="G308" i="40"/>
  <c r="G421" i="40"/>
  <c r="G222" i="40"/>
  <c r="G310" i="40"/>
  <c r="G423" i="40"/>
  <c r="G215" i="40"/>
  <c r="F297" i="40"/>
  <c r="G432" i="40"/>
  <c r="G197" i="40"/>
  <c r="G271" i="40"/>
  <c r="G407" i="40"/>
  <c r="G340" i="40"/>
  <c r="G240" i="40"/>
  <c r="G375" i="40"/>
  <c r="G387" i="40"/>
  <c r="G471" i="40"/>
  <c r="F336" i="40"/>
  <c r="G415" i="40"/>
  <c r="G171" i="40"/>
  <c r="G249" i="40"/>
  <c r="G447" i="40"/>
  <c r="G194" i="40"/>
  <c r="G346" i="40"/>
  <c r="G435" i="40"/>
  <c r="G255" i="40"/>
  <c r="G337" i="40"/>
  <c r="G434" i="40"/>
  <c r="G189" i="40"/>
  <c r="G354" i="40"/>
  <c r="G465" i="40"/>
  <c r="G467" i="40"/>
  <c r="G429" i="40"/>
  <c r="G464" i="40"/>
  <c r="F306" i="40"/>
  <c r="G280" i="40"/>
  <c r="G444" i="40"/>
  <c r="G301" i="40"/>
  <c r="G228" i="40"/>
  <c r="G400" i="40"/>
  <c r="G184" i="40"/>
  <c r="F342" i="40"/>
  <c r="G267" i="40"/>
  <c r="G424" i="40"/>
  <c r="G219" i="40"/>
  <c r="G243" i="40"/>
  <c r="G322" i="40"/>
  <c r="G481" i="40"/>
  <c r="G413" i="40"/>
  <c r="G265" i="40"/>
  <c r="G461" i="40"/>
  <c r="G365" i="40"/>
  <c r="G193" i="40"/>
  <c r="G268" i="40"/>
  <c r="G408" i="40"/>
  <c r="G488" i="40"/>
  <c r="G353" i="40"/>
  <c r="G343" i="40"/>
  <c r="G382" i="40"/>
  <c r="G362" i="40"/>
  <c r="G236" i="40"/>
  <c r="G394" i="40"/>
  <c r="G326" i="40"/>
  <c r="G480" i="40"/>
  <c r="G190" i="40"/>
  <c r="G485" i="40"/>
  <c r="G206" i="40"/>
  <c r="G439" i="40"/>
  <c r="G275" i="40"/>
  <c r="G437" i="40"/>
  <c r="G411" i="40"/>
  <c r="G191" i="40"/>
  <c r="G385" i="40"/>
  <c r="G459" i="40"/>
  <c r="G315" i="40"/>
  <c r="G331" i="40"/>
  <c r="G175" i="40"/>
  <c r="G475" i="40"/>
  <c r="G227" i="40"/>
  <c r="G478" i="40"/>
  <c r="G327" i="40"/>
  <c r="G201" i="40"/>
  <c r="G328" i="40"/>
  <c r="G457" i="40"/>
  <c r="G472" i="40"/>
  <c r="G487" i="40"/>
  <c r="G441" i="40"/>
  <c r="G246" i="40"/>
  <c r="G396" i="40"/>
  <c r="G384" i="40"/>
  <c r="G192" i="40"/>
  <c r="G207" i="40"/>
  <c r="G367" i="40"/>
  <c r="G241" i="40"/>
  <c r="G167" i="40"/>
  <c r="G473" i="40"/>
  <c r="G213" i="40"/>
  <c r="G199" i="40"/>
  <c r="F398" i="40"/>
  <c r="G212" i="40"/>
  <c r="G277" i="40"/>
  <c r="G420" i="40"/>
  <c r="G235" i="40"/>
  <c r="G433" i="40"/>
  <c r="G430" i="40"/>
  <c r="G230" i="40"/>
  <c r="G320" i="40"/>
  <c r="G351" i="40"/>
  <c r="G225" i="40"/>
  <c r="G494" i="40"/>
  <c r="G356" i="40"/>
  <c r="G234" i="40"/>
  <c r="G237" i="40"/>
  <c r="G274" i="40"/>
  <c r="G359" i="40"/>
  <c r="G313" i="40"/>
  <c r="G252" i="40"/>
  <c r="G242" i="40"/>
  <c r="G355" i="40"/>
  <c r="G238" i="40"/>
  <c r="G334" i="40"/>
  <c r="G259" i="40"/>
  <c r="G349" i="40"/>
  <c r="G332" i="40"/>
  <c r="G440" i="40"/>
  <c r="G390" i="40"/>
  <c r="G247" i="40"/>
  <c r="G470" i="40"/>
  <c r="G414" i="40"/>
  <c r="G462" i="40"/>
  <c r="G372" i="40"/>
  <c r="G273" i="40"/>
  <c r="G493" i="40"/>
  <c r="G489" i="40"/>
  <c r="G329" i="40"/>
  <c r="G186" i="40"/>
  <c r="G483" i="40"/>
  <c r="G289" i="40"/>
  <c r="G226" i="40"/>
  <c r="G203" i="40"/>
  <c r="G482" i="40"/>
  <c r="G458" i="40"/>
  <c r="G428" i="40"/>
  <c r="G253" i="40"/>
  <c r="G208" i="40"/>
  <c r="G456" i="40"/>
  <c r="G450" i="40"/>
  <c r="F287" i="40"/>
  <c r="G257" i="40"/>
  <c r="G307" i="40"/>
  <c r="G316" i="40"/>
  <c r="G261" i="40"/>
  <c r="G373" i="40"/>
  <c r="G361" i="40"/>
  <c r="G223" i="40"/>
  <c r="G269" i="40"/>
  <c r="G270" i="40"/>
  <c r="G463" i="40"/>
  <c r="G304" i="40"/>
  <c r="G449" i="40"/>
  <c r="G293" i="40"/>
  <c r="G330" i="40"/>
  <c r="G352" i="40"/>
  <c r="G221" i="40"/>
  <c r="F294" i="40"/>
  <c r="G279" i="40"/>
  <c r="G338" i="40"/>
  <c r="G495" i="40"/>
  <c r="G476" i="40"/>
  <c r="G264" i="40"/>
  <c r="G371" i="40"/>
  <c r="G479" i="40"/>
  <c r="G379" i="40"/>
  <c r="G492" i="40"/>
  <c r="G370" i="40"/>
  <c r="G250" i="40"/>
  <c r="G363" i="40"/>
  <c r="G181" i="40"/>
  <c r="G209" i="40"/>
  <c r="G419" i="40"/>
  <c r="G348" i="40"/>
  <c r="G490" i="40"/>
  <c r="G386" i="40"/>
  <c r="G383" i="40"/>
  <c r="G452" i="40"/>
  <c r="G431" i="40"/>
  <c r="G179" i="40"/>
  <c r="G174" i="40"/>
  <c r="F392" i="40"/>
  <c r="F168" i="40"/>
  <c r="G409" i="40"/>
  <c r="G177" i="40"/>
  <c r="G427" i="40"/>
  <c r="G172" i="40"/>
  <c r="G309" i="40"/>
  <c r="G216" i="40"/>
  <c r="G436" i="40"/>
  <c r="G281" i="40"/>
  <c r="G484" i="40"/>
  <c r="G405" i="40"/>
  <c r="G325" i="40"/>
  <c r="G214" i="40"/>
  <c r="G446" i="40"/>
  <c r="G443" i="40"/>
  <c r="G312" i="40"/>
  <c r="G302" i="40"/>
  <c r="G283" i="40"/>
  <c r="G448" i="40"/>
  <c r="G178" i="40"/>
  <c r="G318" i="40"/>
  <c r="G290" i="40"/>
  <c r="G220" i="40"/>
  <c r="G412" i="40"/>
  <c r="G180" i="40"/>
  <c r="G455" i="40"/>
  <c r="G345" i="40"/>
  <c r="G211" i="40"/>
  <c r="F288" i="40"/>
  <c r="G303" i="40"/>
  <c r="F291" i="40"/>
  <c r="G176" i="40"/>
  <c r="F300" i="40"/>
  <c r="G286" i="40"/>
  <c r="G388" i="40"/>
  <c r="G442" i="40"/>
  <c r="G245" i="40"/>
  <c r="G453" i="40"/>
  <c r="G244" i="40"/>
  <c r="G200" i="40"/>
  <c r="G319" i="40"/>
  <c r="G232" i="40"/>
  <c r="G410" i="40"/>
  <c r="G187" i="40"/>
  <c r="G335" i="40"/>
  <c r="G376" i="40"/>
  <c r="G381" i="40"/>
  <c r="G404" i="40"/>
  <c r="G341" i="40"/>
  <c r="G317" i="40"/>
  <c r="G347" i="40"/>
  <c r="G397" i="40"/>
  <c r="G469" i="40"/>
  <c r="G195" i="40"/>
  <c r="G368" i="40"/>
  <c r="G260" i="40"/>
  <c r="G292" i="40"/>
  <c r="G422" i="40"/>
  <c r="G198" i="40"/>
  <c r="G417" i="40"/>
  <c r="G460" i="40"/>
  <c r="G393" i="40"/>
  <c r="G266" i="40"/>
  <c r="G169" i="40"/>
  <c r="G445" i="40"/>
  <c r="G196" i="40"/>
  <c r="G256" i="40"/>
  <c r="G182" i="40"/>
  <c r="G339" i="40"/>
  <c r="G285" i="40"/>
  <c r="G239" i="40"/>
  <c r="G188" i="40"/>
  <c r="G466" i="40"/>
  <c r="G391" i="40"/>
  <c r="F296" i="40"/>
  <c r="G263" i="40"/>
  <c r="G233" i="40"/>
  <c r="G425" i="40"/>
  <c r="G282" i="40"/>
  <c r="G311" i="40"/>
  <c r="F299" i="40"/>
  <c r="G378" i="40"/>
  <c r="F295" i="40"/>
  <c r="G403" i="40"/>
  <c r="G324" i="40"/>
  <c r="G272" i="40"/>
  <c r="G170" i="40"/>
  <c r="G364" i="40"/>
  <c r="G218" i="40"/>
  <c r="G377" i="40"/>
  <c r="G454" i="40"/>
  <c r="G468" i="40"/>
  <c r="G366" i="40"/>
  <c r="G451" i="40"/>
  <c r="G344" i="40"/>
  <c r="G416" i="40"/>
  <c r="G374" i="40"/>
  <c r="AM16" i="3"/>
  <c r="I14" i="45" s="1"/>
  <c r="AP16" i="3"/>
  <c r="AK16" i="3" a="1"/>
  <c r="AK16" i="3" s="1"/>
  <c r="AQ16" i="3"/>
  <c r="AR16" i="3"/>
  <c r="AT16" i="3"/>
  <c r="J14" i="45" s="1"/>
  <c r="AO16" i="3"/>
  <c r="H14" i="45"/>
  <c r="AN16" i="3"/>
  <c r="AS16" i="3"/>
  <c r="AK94" i="3" a="1"/>
  <c r="AK94" i="3" s="1"/>
  <c r="AN94" i="3"/>
  <c r="T44" i="45"/>
  <c r="AO94" i="3"/>
  <c r="AM94" i="3"/>
  <c r="U44" i="45" s="1"/>
  <c r="AT94" i="3"/>
  <c r="V44" i="45" s="1"/>
  <c r="M108" i="3"/>
  <c r="AA108" i="3" s="1"/>
  <c r="AQ94" i="3"/>
  <c r="AP94" i="3"/>
  <c r="AS94" i="3"/>
  <c r="AR94" i="3"/>
  <c r="F58" i="48" a="1"/>
  <c r="F58" i="48" s="1"/>
  <c r="E59" i="48"/>
  <c r="BF66" i="3" l="1"/>
  <c r="BJ66" i="3" s="1"/>
  <c r="W46" i="45"/>
  <c r="BF65" i="3"/>
  <c r="BJ65" i="3" s="1"/>
  <c r="BF63" i="3"/>
  <c r="BK63" i="3" s="1"/>
  <c r="BF59" i="3"/>
  <c r="BE59" i="3" s="1"/>
  <c r="BR59" i="3" s="1"/>
  <c r="BF61" i="3"/>
  <c r="BE65" i="3"/>
  <c r="BR65" i="3" s="1"/>
  <c r="BF68" i="3"/>
  <c r="BF62" i="3"/>
  <c r="BJ62" i="3" s="1"/>
  <c r="BF69" i="3"/>
  <c r="BE69" i="3" s="1"/>
  <c r="BR69" i="3" s="1"/>
  <c r="BK61" i="3"/>
  <c r="BJ61" i="3"/>
  <c r="BE61" i="3"/>
  <c r="BR61" i="3" s="1"/>
  <c r="BK69" i="3"/>
  <c r="BJ69" i="3"/>
  <c r="BE64" i="3"/>
  <c r="BR64" i="3" s="1"/>
  <c r="BE66" i="3"/>
  <c r="BR66" i="3" s="1"/>
  <c r="BJ63" i="3"/>
  <c r="BJ68" i="3"/>
  <c r="BK68" i="3"/>
  <c r="BK65" i="3"/>
  <c r="BE60" i="3"/>
  <c r="BR60" i="3" s="1"/>
  <c r="BK66" i="3"/>
  <c r="BK62" i="3"/>
  <c r="BE63" i="3"/>
  <c r="BR63" i="3" s="1"/>
  <c r="BJ67" i="3"/>
  <c r="BK67" i="3"/>
  <c r="BE67" i="3"/>
  <c r="BR67" i="3" s="1"/>
  <c r="BK64" i="3"/>
  <c r="BL64" i="3" s="1"/>
  <c r="BJ58" i="3"/>
  <c r="BK58" i="3"/>
  <c r="BE68" i="3"/>
  <c r="BR68" i="3" s="1"/>
  <c r="BJ59" i="3"/>
  <c r="BK59" i="3"/>
  <c r="BK60" i="3"/>
  <c r="BL60" i="3" s="1"/>
  <c r="K20" i="45"/>
  <c r="W29" i="45"/>
  <c r="K31" i="45"/>
  <c r="W47" i="45"/>
  <c r="K38" i="45"/>
  <c r="K30" i="45"/>
  <c r="K4" i="45"/>
  <c r="W28" i="45"/>
  <c r="K23" i="45"/>
  <c r="W7" i="45"/>
  <c r="W36" i="45"/>
  <c r="W15" i="45"/>
  <c r="W23" i="45"/>
  <c r="W14" i="45"/>
  <c r="W31" i="45"/>
  <c r="K29" i="45"/>
  <c r="K14" i="45"/>
  <c r="W5" i="45"/>
  <c r="W39" i="45"/>
  <c r="W12" i="45"/>
  <c r="W4" i="45"/>
  <c r="K39" i="45"/>
  <c r="K45" i="45"/>
  <c r="W37" i="45"/>
  <c r="K5" i="45"/>
  <c r="W30" i="45"/>
  <c r="K15" i="45"/>
  <c r="K22" i="45"/>
  <c r="K46" i="45"/>
  <c r="K6" i="45"/>
  <c r="W44" i="45"/>
  <c r="K12" i="45"/>
  <c r="K44" i="45"/>
  <c r="M96" i="46"/>
  <c r="M97" i="46"/>
  <c r="M99" i="46"/>
  <c r="M98" i="46"/>
  <c r="K36" i="45"/>
  <c r="C174" i="46"/>
  <c r="D14" i="48" s="1" a="1"/>
  <c r="D14" i="48" s="1"/>
  <c r="AA19" i="45"/>
  <c r="M156" i="46"/>
  <c r="M139" i="46"/>
  <c r="AA21" i="45"/>
  <c r="M132" i="46"/>
  <c r="AA3" i="45"/>
  <c r="C175" i="46"/>
  <c r="D15" i="48" s="1" a="1"/>
  <c r="D15" i="48" s="1"/>
  <c r="M157" i="46"/>
  <c r="D112" i="3"/>
  <c r="AA16" i="45"/>
  <c r="K37" i="45"/>
  <c r="M124" i="46"/>
  <c r="M127" i="46"/>
  <c r="M125" i="46"/>
  <c r="M126" i="46"/>
  <c r="W13" i="45"/>
  <c r="M159" i="46"/>
  <c r="AA43" i="45"/>
  <c r="C177" i="46"/>
  <c r="D17" i="48" s="1" a="1"/>
  <c r="D17" i="48" s="1"/>
  <c r="W21" i="45"/>
  <c r="K13" i="45"/>
  <c r="K21" i="45"/>
  <c r="M160" i="46"/>
  <c r="AA40" i="45"/>
  <c r="C178" i="46"/>
  <c r="D18" i="48" s="1" a="1"/>
  <c r="D18" i="48" s="1"/>
  <c r="M119" i="46"/>
  <c r="M116" i="46"/>
  <c r="M118" i="46"/>
  <c r="M117" i="46"/>
  <c r="K47" i="45"/>
  <c r="AA33" i="45"/>
  <c r="M136" i="46"/>
  <c r="M150" i="46"/>
  <c r="D105" i="3"/>
  <c r="C168" i="46"/>
  <c r="AA31" i="45"/>
  <c r="M106" i="46"/>
  <c r="M107" i="46"/>
  <c r="M104" i="46"/>
  <c r="M105" i="46"/>
  <c r="M114" i="46"/>
  <c r="M113" i="46"/>
  <c r="M112" i="46"/>
  <c r="M115" i="46"/>
  <c r="M108" i="46"/>
  <c r="M109" i="46"/>
  <c r="M110" i="46"/>
  <c r="M111" i="46"/>
  <c r="M137" i="46"/>
  <c r="AA36" i="45"/>
  <c r="K7" i="45"/>
  <c r="M134" i="46"/>
  <c r="DT105" i="3"/>
  <c r="AA30" i="45"/>
  <c r="K168" i="46"/>
  <c r="M88" i="46"/>
  <c r="M90" i="46"/>
  <c r="M89" i="46"/>
  <c r="M91" i="46"/>
  <c r="K174" i="46"/>
  <c r="AA18" i="45"/>
  <c r="D111" i="3"/>
  <c r="M140" i="46"/>
  <c r="DT111" i="3"/>
  <c r="M142" i="46"/>
  <c r="AA45" i="45"/>
  <c r="AA12" i="45"/>
  <c r="DT104" i="3"/>
  <c r="M133" i="46"/>
  <c r="K167" i="46"/>
  <c r="M143" i="46"/>
  <c r="D114" i="3"/>
  <c r="K177" i="46"/>
  <c r="DT114" i="3"/>
  <c r="AA42" i="45"/>
  <c r="C167" i="46"/>
  <c r="M149" i="46"/>
  <c r="AA13" i="45"/>
  <c r="D104" i="3"/>
  <c r="M141" i="46"/>
  <c r="K175" i="46"/>
  <c r="DT112" i="3"/>
  <c r="AA15" i="45"/>
  <c r="W38" i="45"/>
  <c r="K28" i="45"/>
  <c r="M82" i="46"/>
  <c r="M83" i="46"/>
  <c r="M80" i="46"/>
  <c r="M81" i="46"/>
  <c r="W45" i="45"/>
  <c r="M135" i="46"/>
  <c r="AA6" i="45"/>
  <c r="AA28" i="45"/>
  <c r="M147" i="46"/>
  <c r="C165" i="46"/>
  <c r="D102" i="3"/>
  <c r="D115" i="3"/>
  <c r="DT115" i="3"/>
  <c r="K178" i="46"/>
  <c r="AA39" i="45"/>
  <c r="M144" i="46"/>
  <c r="W6" i="45"/>
  <c r="M85" i="46"/>
  <c r="M87" i="46"/>
  <c r="M86" i="46"/>
  <c r="M84" i="46"/>
  <c r="M94" i="46"/>
  <c r="M95" i="46"/>
  <c r="M93" i="46"/>
  <c r="M92" i="46"/>
  <c r="M101" i="46"/>
  <c r="M102" i="46"/>
  <c r="M103" i="46"/>
  <c r="M100" i="46"/>
  <c r="AA10" i="45"/>
  <c r="M146" i="46"/>
  <c r="C164" i="46"/>
  <c r="D101" i="3"/>
  <c r="M130" i="46"/>
  <c r="AA9" i="45"/>
  <c r="K164" i="46"/>
  <c r="DT101" i="3"/>
  <c r="M120" i="46"/>
  <c r="M121" i="46"/>
  <c r="M123" i="46"/>
  <c r="M122" i="46"/>
  <c r="AA48" i="45"/>
  <c r="M145" i="46"/>
  <c r="M138" i="46"/>
  <c r="AA24" i="45"/>
  <c r="DT102" i="3"/>
  <c r="M131" i="46"/>
  <c r="K165" i="46"/>
  <c r="AA27" i="45"/>
  <c r="E60" i="48"/>
  <c r="F59" i="48" a="1"/>
  <c r="F59" i="48" s="1"/>
  <c r="BL66" i="3" l="1"/>
  <c r="T85" i="46"/>
  <c r="KV85" i="46"/>
  <c r="JX85" i="46"/>
  <c r="IZ85" i="46"/>
  <c r="IB85" i="46"/>
  <c r="HD85" i="46"/>
  <c r="GF85" i="46"/>
  <c r="FH85" i="46"/>
  <c r="EJ85" i="46"/>
  <c r="DL85" i="46"/>
  <c r="CN85" i="46"/>
  <c r="BP85" i="46"/>
  <c r="AR85" i="46"/>
  <c r="KS85" i="46"/>
  <c r="JU85" i="46"/>
  <c r="IW85" i="46"/>
  <c r="HY85" i="46"/>
  <c r="HA85" i="46"/>
  <c r="GC85" i="46"/>
  <c r="FE85" i="46"/>
  <c r="EG85" i="46"/>
  <c r="DI85" i="46"/>
  <c r="CK85" i="46"/>
  <c r="BM85" i="46"/>
  <c r="AO85" i="46"/>
  <c r="KJ85" i="46"/>
  <c r="JL85" i="46"/>
  <c r="IN85" i="46"/>
  <c r="HP85" i="46"/>
  <c r="GR85" i="46"/>
  <c r="FT85" i="46"/>
  <c r="EV85" i="46"/>
  <c r="DX85" i="46"/>
  <c r="CZ85" i="46"/>
  <c r="CB85" i="46"/>
  <c r="BD85" i="46"/>
  <c r="AF85" i="46"/>
  <c r="LE85" i="46"/>
  <c r="JR85" i="46"/>
  <c r="IH85" i="46"/>
  <c r="GU85" i="46"/>
  <c r="FK85" i="46"/>
  <c r="DU85" i="46"/>
  <c r="CH85" i="46"/>
  <c r="AX85" i="46"/>
  <c r="LB85" i="46"/>
  <c r="JO85" i="46"/>
  <c r="IE85" i="46"/>
  <c r="GO85" i="46"/>
  <c r="FB85" i="46"/>
  <c r="DR85" i="46"/>
  <c r="CE85" i="46"/>
  <c r="AU85" i="46"/>
  <c r="KY85" i="46"/>
  <c r="JI85" i="46"/>
  <c r="HV85" i="46"/>
  <c r="GL85" i="46"/>
  <c r="EY85" i="46"/>
  <c r="DO85" i="46"/>
  <c r="BY85" i="46"/>
  <c r="AL85" i="46"/>
  <c r="KP85" i="46"/>
  <c r="JF85" i="46"/>
  <c r="HS85" i="46"/>
  <c r="GI85" i="46"/>
  <c r="ES85" i="46"/>
  <c r="DF85" i="46"/>
  <c r="BV85" i="46"/>
  <c r="AI85" i="46"/>
  <c r="KM85" i="46"/>
  <c r="JC85" i="46"/>
  <c r="HM85" i="46"/>
  <c r="FZ85" i="46"/>
  <c r="EP85" i="46"/>
  <c r="DC85" i="46"/>
  <c r="BS85" i="46"/>
  <c r="AC85" i="46"/>
  <c r="KG85" i="46"/>
  <c r="IT85" i="46"/>
  <c r="HJ85" i="46"/>
  <c r="FW85" i="46"/>
  <c r="EM85" i="46"/>
  <c r="CW85" i="46"/>
  <c r="BJ85" i="46"/>
  <c r="Z85" i="46"/>
  <c r="KD85" i="46"/>
  <c r="IQ85" i="46"/>
  <c r="HG85" i="46"/>
  <c r="FQ85" i="46"/>
  <c r="ED85" i="46"/>
  <c r="CT85" i="46"/>
  <c r="BG85" i="46"/>
  <c r="W85" i="46"/>
  <c r="BA85" i="46"/>
  <c r="KA85" i="46"/>
  <c r="IK85" i="46"/>
  <c r="GX85" i="46"/>
  <c r="FN85" i="46"/>
  <c r="EA85" i="46"/>
  <c r="CQ85" i="46"/>
  <c r="T126" i="46"/>
  <c r="KM126" i="46"/>
  <c r="JO126" i="46"/>
  <c r="IQ126" i="46"/>
  <c r="HS126" i="46"/>
  <c r="GU126" i="46"/>
  <c r="FW126" i="46"/>
  <c r="EY126" i="46"/>
  <c r="EA126" i="46"/>
  <c r="DC126" i="46"/>
  <c r="CE126" i="46"/>
  <c r="BG126" i="46"/>
  <c r="AI126" i="46"/>
  <c r="KS126" i="46"/>
  <c r="JR126" i="46"/>
  <c r="IN126" i="46"/>
  <c r="HM126" i="46"/>
  <c r="GL126" i="46"/>
  <c r="FK126" i="46"/>
  <c r="EJ126" i="46"/>
  <c r="DI126" i="46"/>
  <c r="CH126" i="46"/>
  <c r="BD126" i="46"/>
  <c r="AC126" i="46"/>
  <c r="KP126" i="46"/>
  <c r="JL126" i="46"/>
  <c r="IK126" i="46"/>
  <c r="HJ126" i="46"/>
  <c r="GI126" i="46"/>
  <c r="FH126" i="46"/>
  <c r="EG126" i="46"/>
  <c r="DF126" i="46"/>
  <c r="CB126" i="46"/>
  <c r="BA126" i="46"/>
  <c r="Z126" i="46"/>
  <c r="KJ126" i="46"/>
  <c r="JI126" i="46"/>
  <c r="IH126" i="46"/>
  <c r="HG126" i="46"/>
  <c r="GF126" i="46"/>
  <c r="FE126" i="46"/>
  <c r="ED126" i="46"/>
  <c r="CZ126" i="46"/>
  <c r="BY126" i="46"/>
  <c r="AX126" i="46"/>
  <c r="W126" i="46"/>
  <c r="KG126" i="46"/>
  <c r="JF126" i="46"/>
  <c r="IE126" i="46"/>
  <c r="HD126" i="46"/>
  <c r="GC126" i="46"/>
  <c r="FB126" i="46"/>
  <c r="DX126" i="46"/>
  <c r="CW126" i="46"/>
  <c r="BV126" i="46"/>
  <c r="AU126" i="46"/>
  <c r="LE126" i="46"/>
  <c r="KD126" i="46"/>
  <c r="JC126" i="46"/>
  <c r="IB126" i="46"/>
  <c r="HA126" i="46"/>
  <c r="FZ126" i="46"/>
  <c r="EV126" i="46"/>
  <c r="DU126" i="46"/>
  <c r="CT126" i="46"/>
  <c r="BS126" i="46"/>
  <c r="AR126" i="46"/>
  <c r="LB126" i="46"/>
  <c r="KA126" i="46"/>
  <c r="IZ126" i="46"/>
  <c r="HY126" i="46"/>
  <c r="GX126" i="46"/>
  <c r="FT126" i="46"/>
  <c r="ES126" i="46"/>
  <c r="DR126" i="46"/>
  <c r="CQ126" i="46"/>
  <c r="BP126" i="46"/>
  <c r="AO126" i="46"/>
  <c r="KY126" i="46"/>
  <c r="JX126" i="46"/>
  <c r="IW126" i="46"/>
  <c r="HV126" i="46"/>
  <c r="GR126" i="46"/>
  <c r="FQ126" i="46"/>
  <c r="EP126" i="46"/>
  <c r="DO126" i="46"/>
  <c r="CN126" i="46"/>
  <c r="BM126" i="46"/>
  <c r="AL126" i="46"/>
  <c r="KV126" i="46"/>
  <c r="JU126" i="46"/>
  <c r="IT126" i="46"/>
  <c r="HP126" i="46"/>
  <c r="GO126" i="46"/>
  <c r="FN126" i="46"/>
  <c r="EM126" i="46"/>
  <c r="DL126" i="46"/>
  <c r="CK126" i="46"/>
  <c r="BJ126" i="46"/>
  <c r="AF126" i="46"/>
  <c r="T98" i="46"/>
  <c r="KP98" i="46"/>
  <c r="JR98" i="46"/>
  <c r="IT98" i="46"/>
  <c r="HV98" i="46"/>
  <c r="GX98" i="46"/>
  <c r="FZ98" i="46"/>
  <c r="FB98" i="46"/>
  <c r="ED98" i="46"/>
  <c r="DF98" i="46"/>
  <c r="CH98" i="46"/>
  <c r="BJ98" i="46"/>
  <c r="AL98" i="46"/>
  <c r="KS98" i="46"/>
  <c r="JO98" i="46"/>
  <c r="IN98" i="46"/>
  <c r="HM98" i="46"/>
  <c r="GL98" i="46"/>
  <c r="FK98" i="46"/>
  <c r="EJ98" i="46"/>
  <c r="DI98" i="46"/>
  <c r="CE98" i="46"/>
  <c r="BD98" i="46"/>
  <c r="AC98" i="46"/>
  <c r="KM98" i="46"/>
  <c r="JL98" i="46"/>
  <c r="IK98" i="46"/>
  <c r="HJ98" i="46"/>
  <c r="GI98" i="46"/>
  <c r="FH98" i="46"/>
  <c r="EG98" i="46"/>
  <c r="DC98" i="46"/>
  <c r="CB98" i="46"/>
  <c r="BA98" i="46"/>
  <c r="Z98" i="46"/>
  <c r="KJ98" i="46"/>
  <c r="JI98" i="46"/>
  <c r="IH98" i="46"/>
  <c r="HG98" i="46"/>
  <c r="GF98" i="46"/>
  <c r="FE98" i="46"/>
  <c r="EA98" i="46"/>
  <c r="CZ98" i="46"/>
  <c r="BY98" i="46"/>
  <c r="AX98" i="46"/>
  <c r="W98" i="46"/>
  <c r="KG98" i="46"/>
  <c r="JF98" i="46"/>
  <c r="IE98" i="46"/>
  <c r="HD98" i="46"/>
  <c r="GC98" i="46"/>
  <c r="EY98" i="46"/>
  <c r="DX98" i="46"/>
  <c r="CW98" i="46"/>
  <c r="BV98" i="46"/>
  <c r="AU98" i="46"/>
  <c r="LE98" i="46"/>
  <c r="KD98" i="46"/>
  <c r="JC98" i="46"/>
  <c r="IB98" i="46"/>
  <c r="HA98" i="46"/>
  <c r="FW98" i="46"/>
  <c r="EV98" i="46"/>
  <c r="DU98" i="46"/>
  <c r="CT98" i="46"/>
  <c r="BS98" i="46"/>
  <c r="AR98" i="46"/>
  <c r="LB98" i="46"/>
  <c r="KA98" i="46"/>
  <c r="IZ98" i="46"/>
  <c r="HY98" i="46"/>
  <c r="GU98" i="46"/>
  <c r="FT98" i="46"/>
  <c r="ES98" i="46"/>
  <c r="DR98" i="46"/>
  <c r="CQ98" i="46"/>
  <c r="BP98" i="46"/>
  <c r="AO98" i="46"/>
  <c r="HS98" i="46"/>
  <c r="DO98" i="46"/>
  <c r="HP98" i="46"/>
  <c r="DL98" i="46"/>
  <c r="KY98" i="46"/>
  <c r="GR98" i="46"/>
  <c r="CN98" i="46"/>
  <c r="KV98" i="46"/>
  <c r="GO98" i="46"/>
  <c r="CK98" i="46"/>
  <c r="JX98" i="46"/>
  <c r="FQ98" i="46"/>
  <c r="BM98" i="46"/>
  <c r="JU98" i="46"/>
  <c r="FN98" i="46"/>
  <c r="BG98" i="46"/>
  <c r="IW98" i="46"/>
  <c r="EP98" i="46"/>
  <c r="AI98" i="46"/>
  <c r="IQ98" i="46"/>
  <c r="EM98" i="46"/>
  <c r="AF98" i="46"/>
  <c r="T122" i="46"/>
  <c r="KM122" i="46"/>
  <c r="JO122" i="46"/>
  <c r="IQ122" i="46"/>
  <c r="HS122" i="46"/>
  <c r="GU122" i="46"/>
  <c r="FW122" i="46"/>
  <c r="EY122" i="46"/>
  <c r="EA122" i="46"/>
  <c r="DC122" i="46"/>
  <c r="CE122" i="46"/>
  <c r="BG122" i="46"/>
  <c r="AI122" i="46"/>
  <c r="KS122" i="46"/>
  <c r="JR122" i="46"/>
  <c r="IN122" i="46"/>
  <c r="HM122" i="46"/>
  <c r="GL122" i="46"/>
  <c r="FK122" i="46"/>
  <c r="EJ122" i="46"/>
  <c r="DI122" i="46"/>
  <c r="CH122" i="46"/>
  <c r="BD122" i="46"/>
  <c r="AC122" i="46"/>
  <c r="KP122" i="46"/>
  <c r="JL122" i="46"/>
  <c r="IK122" i="46"/>
  <c r="HJ122" i="46"/>
  <c r="GI122" i="46"/>
  <c r="FH122" i="46"/>
  <c r="EG122" i="46"/>
  <c r="DF122" i="46"/>
  <c r="CB122" i="46"/>
  <c r="BA122" i="46"/>
  <c r="Z122" i="46"/>
  <c r="LE122" i="46"/>
  <c r="KD122" i="46"/>
  <c r="JC122" i="46"/>
  <c r="IB122" i="46"/>
  <c r="HA122" i="46"/>
  <c r="FZ122" i="46"/>
  <c r="EV122" i="46"/>
  <c r="LB122" i="46"/>
  <c r="KA122" i="46"/>
  <c r="IZ122" i="46"/>
  <c r="HY122" i="46"/>
  <c r="GX122" i="46"/>
  <c r="FT122" i="46"/>
  <c r="ES122" i="46"/>
  <c r="JF122" i="46"/>
  <c r="HD122" i="46"/>
  <c r="FB122" i="46"/>
  <c r="DL122" i="46"/>
  <c r="BV122" i="46"/>
  <c r="AO122" i="46"/>
  <c r="KY122" i="46"/>
  <c r="IW122" i="46"/>
  <c r="GR122" i="46"/>
  <c r="EP122" i="46"/>
  <c r="CZ122" i="46"/>
  <c r="BS122" i="46"/>
  <c r="AL122" i="46"/>
  <c r="KV122" i="46"/>
  <c r="IT122" i="46"/>
  <c r="GO122" i="46"/>
  <c r="EM122" i="46"/>
  <c r="CW122" i="46"/>
  <c r="BP122" i="46"/>
  <c r="AF122" i="46"/>
  <c r="KJ122" i="46"/>
  <c r="IH122" i="46"/>
  <c r="GF122" i="46"/>
  <c r="ED122" i="46"/>
  <c r="CT122" i="46"/>
  <c r="BM122" i="46"/>
  <c r="W122" i="46"/>
  <c r="KG122" i="46"/>
  <c r="GC122" i="46"/>
  <c r="CQ122" i="46"/>
  <c r="JX122" i="46"/>
  <c r="FQ122" i="46"/>
  <c r="CN122" i="46"/>
  <c r="JU122" i="46"/>
  <c r="FN122" i="46"/>
  <c r="CK122" i="46"/>
  <c r="JI122" i="46"/>
  <c r="FE122" i="46"/>
  <c r="BY122" i="46"/>
  <c r="IE122" i="46"/>
  <c r="DX122" i="46"/>
  <c r="BJ122" i="46"/>
  <c r="DO122" i="46"/>
  <c r="AX122" i="46"/>
  <c r="AU122" i="46"/>
  <c r="HV122" i="46"/>
  <c r="AR122" i="46"/>
  <c r="HP122" i="46"/>
  <c r="HG122" i="46"/>
  <c r="DU122" i="46"/>
  <c r="DR122" i="46"/>
  <c r="T121" i="46"/>
  <c r="KM121" i="46"/>
  <c r="JO121" i="46"/>
  <c r="IQ121" i="46"/>
  <c r="HS121" i="46"/>
  <c r="GU121" i="46"/>
  <c r="FW121" i="46"/>
  <c r="EY121" i="46"/>
  <c r="EA121" i="46"/>
  <c r="DC121" i="46"/>
  <c r="CE121" i="46"/>
  <c r="BG121" i="46"/>
  <c r="AI121" i="46"/>
  <c r="KJ121" i="46"/>
  <c r="JL121" i="46"/>
  <c r="IN121" i="46"/>
  <c r="HP121" i="46"/>
  <c r="GR121" i="46"/>
  <c r="FT121" i="46"/>
  <c r="EV121" i="46"/>
  <c r="DX121" i="46"/>
  <c r="CZ121" i="46"/>
  <c r="CB121" i="46"/>
  <c r="BD121" i="46"/>
  <c r="AF121" i="46"/>
  <c r="LE121" i="46"/>
  <c r="KG121" i="46"/>
  <c r="JI121" i="46"/>
  <c r="IK121" i="46"/>
  <c r="HM121" i="46"/>
  <c r="GO121" i="46"/>
  <c r="FQ121" i="46"/>
  <c r="ES121" i="46"/>
  <c r="DU121" i="46"/>
  <c r="CW121" i="46"/>
  <c r="BY121" i="46"/>
  <c r="BA121" i="46"/>
  <c r="AC121" i="46"/>
  <c r="LB121" i="46"/>
  <c r="KD121" i="46"/>
  <c r="JF121" i="46"/>
  <c r="IH121" i="46"/>
  <c r="HJ121" i="46"/>
  <c r="GL121" i="46"/>
  <c r="FN121" i="46"/>
  <c r="EP121" i="46"/>
  <c r="DR121" i="46"/>
  <c r="CT121" i="46"/>
  <c r="BV121" i="46"/>
  <c r="AX121" i="46"/>
  <c r="Z121" i="46"/>
  <c r="KY121" i="46"/>
  <c r="JC121" i="46"/>
  <c r="HG121" i="46"/>
  <c r="FK121" i="46"/>
  <c r="DO121" i="46"/>
  <c r="BS121" i="46"/>
  <c r="W121" i="46"/>
  <c r="KV121" i="46"/>
  <c r="IZ121" i="46"/>
  <c r="HD121" i="46"/>
  <c r="FH121" i="46"/>
  <c r="DL121" i="46"/>
  <c r="BP121" i="46"/>
  <c r="KS121" i="46"/>
  <c r="IW121" i="46"/>
  <c r="HA121" i="46"/>
  <c r="FE121" i="46"/>
  <c r="DI121" i="46"/>
  <c r="BM121" i="46"/>
  <c r="KP121" i="46"/>
  <c r="IT121" i="46"/>
  <c r="GX121" i="46"/>
  <c r="FB121" i="46"/>
  <c r="DF121" i="46"/>
  <c r="BJ121" i="46"/>
  <c r="KA121" i="46"/>
  <c r="IE121" i="46"/>
  <c r="GI121" i="46"/>
  <c r="EM121" i="46"/>
  <c r="CQ121" i="46"/>
  <c r="AU121" i="46"/>
  <c r="JR121" i="46"/>
  <c r="EG121" i="46"/>
  <c r="IB121" i="46"/>
  <c r="ED121" i="46"/>
  <c r="HY121" i="46"/>
  <c r="CN121" i="46"/>
  <c r="HV121" i="46"/>
  <c r="CK121" i="46"/>
  <c r="GF121" i="46"/>
  <c r="CH121" i="46"/>
  <c r="FZ121" i="46"/>
  <c r="EJ121" i="46"/>
  <c r="AR121" i="46"/>
  <c r="AO121" i="46"/>
  <c r="AL121" i="46"/>
  <c r="JX121" i="46"/>
  <c r="JU121" i="46"/>
  <c r="GC121" i="46"/>
  <c r="T95" i="46"/>
  <c r="KS95" i="46"/>
  <c r="JU95" i="46"/>
  <c r="KJ95" i="46"/>
  <c r="JI95" i="46"/>
  <c r="IK95" i="46"/>
  <c r="HM95" i="46"/>
  <c r="GO95" i="46"/>
  <c r="FQ95" i="46"/>
  <c r="ES95" i="46"/>
  <c r="DU95" i="46"/>
  <c r="CW95" i="46"/>
  <c r="BY95" i="46"/>
  <c r="BA95" i="46"/>
  <c r="AC95" i="46"/>
  <c r="KV95" i="46"/>
  <c r="JR95" i="46"/>
  <c r="IT95" i="46"/>
  <c r="HV95" i="46"/>
  <c r="GX95" i="46"/>
  <c r="FZ95" i="46"/>
  <c r="FB95" i="46"/>
  <c r="ED95" i="46"/>
  <c r="DF95" i="46"/>
  <c r="CH95" i="46"/>
  <c r="BJ95" i="46"/>
  <c r="AL95" i="46"/>
  <c r="KP95" i="46"/>
  <c r="JF95" i="46"/>
  <c r="IB95" i="46"/>
  <c r="GU95" i="46"/>
  <c r="FN95" i="46"/>
  <c r="EJ95" i="46"/>
  <c r="DC95" i="46"/>
  <c r="BV95" i="46"/>
  <c r="AR95" i="46"/>
  <c r="KM95" i="46"/>
  <c r="JC95" i="46"/>
  <c r="HY95" i="46"/>
  <c r="GR95" i="46"/>
  <c r="FK95" i="46"/>
  <c r="EG95" i="46"/>
  <c r="CZ95" i="46"/>
  <c r="BS95" i="46"/>
  <c r="AO95" i="46"/>
  <c r="KG95" i="46"/>
  <c r="IZ95" i="46"/>
  <c r="HS95" i="46"/>
  <c r="GL95" i="46"/>
  <c r="FH95" i="46"/>
  <c r="EA95" i="46"/>
  <c r="CT95" i="46"/>
  <c r="BP95" i="46"/>
  <c r="AI95" i="46"/>
  <c r="KA95" i="46"/>
  <c r="IQ95" i="46"/>
  <c r="HJ95" i="46"/>
  <c r="GF95" i="46"/>
  <c r="EY95" i="46"/>
  <c r="DR95" i="46"/>
  <c r="CN95" i="46"/>
  <c r="BG95" i="46"/>
  <c r="Z95" i="46"/>
  <c r="LE95" i="46"/>
  <c r="JX95" i="46"/>
  <c r="IN95" i="46"/>
  <c r="HG95" i="46"/>
  <c r="GC95" i="46"/>
  <c r="EV95" i="46"/>
  <c r="DO95" i="46"/>
  <c r="CK95" i="46"/>
  <c r="BD95" i="46"/>
  <c r="W95" i="46"/>
  <c r="LB95" i="46"/>
  <c r="JO95" i="46"/>
  <c r="IH95" i="46"/>
  <c r="HD95" i="46"/>
  <c r="FW95" i="46"/>
  <c r="EP95" i="46"/>
  <c r="DL95" i="46"/>
  <c r="CE95" i="46"/>
  <c r="AX95" i="46"/>
  <c r="KY95" i="46"/>
  <c r="FT95" i="46"/>
  <c r="AU95" i="46"/>
  <c r="KD95" i="46"/>
  <c r="FE95" i="46"/>
  <c r="AF95" i="46"/>
  <c r="JL95" i="46"/>
  <c r="EM95" i="46"/>
  <c r="IW95" i="46"/>
  <c r="DX95" i="46"/>
  <c r="IE95" i="46"/>
  <c r="DI95" i="46"/>
  <c r="HP95" i="46"/>
  <c r="CQ95" i="46"/>
  <c r="HA95" i="46"/>
  <c r="CB95" i="46"/>
  <c r="GI95" i="46"/>
  <c r="BM95" i="46"/>
  <c r="T115" i="46"/>
  <c r="KJ115" i="46"/>
  <c r="JL115" i="46"/>
  <c r="IN115" i="46"/>
  <c r="HP115" i="46"/>
  <c r="GR115" i="46"/>
  <c r="FT115" i="46"/>
  <c r="EV115" i="46"/>
  <c r="DX115" i="46"/>
  <c r="CZ115" i="46"/>
  <c r="CB115" i="46"/>
  <c r="BD115" i="46"/>
  <c r="AF115" i="46"/>
  <c r="KP115" i="46"/>
  <c r="JO115" i="46"/>
  <c r="IK115" i="46"/>
  <c r="HJ115" i="46"/>
  <c r="GI115" i="46"/>
  <c r="FH115" i="46"/>
  <c r="EG115" i="46"/>
  <c r="DF115" i="46"/>
  <c r="CE115" i="46"/>
  <c r="BA115" i="46"/>
  <c r="Z115" i="46"/>
  <c r="KM115" i="46"/>
  <c r="JI115" i="46"/>
  <c r="IH115" i="46"/>
  <c r="HG115" i="46"/>
  <c r="GF115" i="46"/>
  <c r="FE115" i="46"/>
  <c r="ED115" i="46"/>
  <c r="DC115" i="46"/>
  <c r="BY115" i="46"/>
  <c r="AX115" i="46"/>
  <c r="W115" i="46"/>
  <c r="KG115" i="46"/>
  <c r="JF115" i="46"/>
  <c r="IE115" i="46"/>
  <c r="HD115" i="46"/>
  <c r="GC115" i="46"/>
  <c r="FB115" i="46"/>
  <c r="EA115" i="46"/>
  <c r="CW115" i="46"/>
  <c r="BV115" i="46"/>
  <c r="AU115" i="46"/>
  <c r="LE115" i="46"/>
  <c r="KD115" i="46"/>
  <c r="JC115" i="46"/>
  <c r="IB115" i="46"/>
  <c r="HA115" i="46"/>
  <c r="FZ115" i="46"/>
  <c r="EY115" i="46"/>
  <c r="DU115" i="46"/>
  <c r="CT115" i="46"/>
  <c r="BS115" i="46"/>
  <c r="AR115" i="46"/>
  <c r="LB115" i="46"/>
  <c r="KA115" i="46"/>
  <c r="IZ115" i="46"/>
  <c r="HY115" i="46"/>
  <c r="GX115" i="46"/>
  <c r="FW115" i="46"/>
  <c r="ES115" i="46"/>
  <c r="DR115" i="46"/>
  <c r="CQ115" i="46"/>
  <c r="BP115" i="46"/>
  <c r="AO115" i="46"/>
  <c r="KV115" i="46"/>
  <c r="HV115" i="46"/>
  <c r="FK115" i="46"/>
  <c r="CK115" i="46"/>
  <c r="KS115" i="46"/>
  <c r="HS115" i="46"/>
  <c r="EP115" i="46"/>
  <c r="CH115" i="46"/>
  <c r="JX115" i="46"/>
  <c r="HM115" i="46"/>
  <c r="EM115" i="46"/>
  <c r="BM115" i="46"/>
  <c r="JU115" i="46"/>
  <c r="GU115" i="46"/>
  <c r="EJ115" i="46"/>
  <c r="BJ115" i="46"/>
  <c r="JR115" i="46"/>
  <c r="GO115" i="46"/>
  <c r="DO115" i="46"/>
  <c r="BG115" i="46"/>
  <c r="IW115" i="46"/>
  <c r="CN115" i="46"/>
  <c r="IT115" i="46"/>
  <c r="AL115" i="46"/>
  <c r="IQ115" i="46"/>
  <c r="AI115" i="46"/>
  <c r="GL115" i="46"/>
  <c r="AC115" i="46"/>
  <c r="FQ115" i="46"/>
  <c r="DL115" i="46"/>
  <c r="DI115" i="46"/>
  <c r="KY115" i="46"/>
  <c r="FN115" i="46"/>
  <c r="T118" i="46"/>
  <c r="KP118" i="46"/>
  <c r="JR118" i="46"/>
  <c r="IT118" i="46"/>
  <c r="HV118" i="46"/>
  <c r="GX118" i="46"/>
  <c r="FZ118" i="46"/>
  <c r="FB118" i="46"/>
  <c r="ED118" i="46"/>
  <c r="DF118" i="46"/>
  <c r="CH118" i="46"/>
  <c r="BJ118" i="46"/>
  <c r="AL118" i="46"/>
  <c r="LE118" i="46"/>
  <c r="KD118" i="46"/>
  <c r="JC118" i="46"/>
  <c r="IB118" i="46"/>
  <c r="HA118" i="46"/>
  <c r="FW118" i="46"/>
  <c r="EV118" i="46"/>
  <c r="DU118" i="46"/>
  <c r="CT118" i="46"/>
  <c r="BS118" i="46"/>
  <c r="AR118" i="46"/>
  <c r="KA118" i="46"/>
  <c r="IW118" i="46"/>
  <c r="HP118" i="46"/>
  <c r="GL118" i="46"/>
  <c r="FH118" i="46"/>
  <c r="EA118" i="46"/>
  <c r="CW118" i="46"/>
  <c r="BP118" i="46"/>
  <c r="AI118" i="46"/>
  <c r="LB118" i="46"/>
  <c r="JX118" i="46"/>
  <c r="IQ118" i="46"/>
  <c r="HM118" i="46"/>
  <c r="GI118" i="46"/>
  <c r="FE118" i="46"/>
  <c r="DX118" i="46"/>
  <c r="CQ118" i="46"/>
  <c r="BM118" i="46"/>
  <c r="AF118" i="46"/>
  <c r="KY118" i="46"/>
  <c r="JU118" i="46"/>
  <c r="IN118" i="46"/>
  <c r="HJ118" i="46"/>
  <c r="GF118" i="46"/>
  <c r="EY118" i="46"/>
  <c r="DR118" i="46"/>
  <c r="CN118" i="46"/>
  <c r="BG118" i="46"/>
  <c r="AC118" i="46"/>
  <c r="KV118" i="46"/>
  <c r="JO118" i="46"/>
  <c r="IK118" i="46"/>
  <c r="HG118" i="46"/>
  <c r="GC118" i="46"/>
  <c r="ES118" i="46"/>
  <c r="DO118" i="46"/>
  <c r="CK118" i="46"/>
  <c r="BD118" i="46"/>
  <c r="Z118" i="46"/>
  <c r="KS118" i="46"/>
  <c r="JL118" i="46"/>
  <c r="IH118" i="46"/>
  <c r="HD118" i="46"/>
  <c r="FT118" i="46"/>
  <c r="EP118" i="46"/>
  <c r="DL118" i="46"/>
  <c r="CE118" i="46"/>
  <c r="BA118" i="46"/>
  <c r="W118" i="46"/>
  <c r="KG118" i="46"/>
  <c r="GR118" i="46"/>
  <c r="DI118" i="46"/>
  <c r="AO118" i="46"/>
  <c r="JI118" i="46"/>
  <c r="GO118" i="46"/>
  <c r="DC118" i="46"/>
  <c r="JF118" i="46"/>
  <c r="FQ118" i="46"/>
  <c r="CZ118" i="46"/>
  <c r="IZ118" i="46"/>
  <c r="FN118" i="46"/>
  <c r="CB118" i="46"/>
  <c r="IE118" i="46"/>
  <c r="FK118" i="46"/>
  <c r="BY118" i="46"/>
  <c r="GU118" i="46"/>
  <c r="EM118" i="46"/>
  <c r="EJ118" i="46"/>
  <c r="EG118" i="46"/>
  <c r="KM118" i="46"/>
  <c r="BV118" i="46"/>
  <c r="AU118" i="46"/>
  <c r="KJ118" i="46"/>
  <c r="HY118" i="46"/>
  <c r="HS118" i="46"/>
  <c r="AX118" i="46"/>
  <c r="LE124" i="46"/>
  <c r="KG124" i="46"/>
  <c r="JI124" i="46"/>
  <c r="IK124" i="46"/>
  <c r="HM124" i="46"/>
  <c r="GO124" i="46"/>
  <c r="FQ124" i="46"/>
  <c r="LB124" i="46"/>
  <c r="KD124" i="46"/>
  <c r="JF124" i="46"/>
  <c r="IH124" i="46"/>
  <c r="HJ124" i="46"/>
  <c r="GL124" i="46"/>
  <c r="FN124" i="46"/>
  <c r="KJ124" i="46"/>
  <c r="IZ124" i="46"/>
  <c r="HV124" i="46"/>
  <c r="GR124" i="46"/>
  <c r="FH124" i="46"/>
  <c r="EJ124" i="46"/>
  <c r="DL124" i="46"/>
  <c r="CN124" i="46"/>
  <c r="BP124" i="46"/>
  <c r="AR124" i="46"/>
  <c r="KA124" i="46"/>
  <c r="IW124" i="46"/>
  <c r="HS124" i="46"/>
  <c r="GI124" i="46"/>
  <c r="FE124" i="46"/>
  <c r="EG124" i="46"/>
  <c r="DI124" i="46"/>
  <c r="CK124" i="46"/>
  <c r="BM124" i="46"/>
  <c r="AO124" i="46"/>
  <c r="JX124" i="46"/>
  <c r="IT124" i="46"/>
  <c r="HP124" i="46"/>
  <c r="GF124" i="46"/>
  <c r="FB124" i="46"/>
  <c r="ED124" i="46"/>
  <c r="DF124" i="46"/>
  <c r="CH124" i="46"/>
  <c r="BJ124" i="46"/>
  <c r="AL124" i="46"/>
  <c r="KP124" i="46"/>
  <c r="IN124" i="46"/>
  <c r="GU124" i="46"/>
  <c r="ES124" i="46"/>
  <c r="DC124" i="46"/>
  <c r="BV124" i="46"/>
  <c r="AF124" i="46"/>
  <c r="KM124" i="46"/>
  <c r="IE124" i="46"/>
  <c r="GC124" i="46"/>
  <c r="EP124" i="46"/>
  <c r="CZ124" i="46"/>
  <c r="BS124" i="46"/>
  <c r="AC124" i="46"/>
  <c r="JU124" i="46"/>
  <c r="IB124" i="46"/>
  <c r="FZ124" i="46"/>
  <c r="EM124" i="46"/>
  <c r="CW124" i="46"/>
  <c r="BG124" i="46"/>
  <c r="Z124" i="46"/>
  <c r="JR124" i="46"/>
  <c r="HY124" i="46"/>
  <c r="FW124" i="46"/>
  <c r="EA124" i="46"/>
  <c r="CT124" i="46"/>
  <c r="BD124" i="46"/>
  <c r="W124" i="46"/>
  <c r="JC124" i="46"/>
  <c r="EY124" i="46"/>
  <c r="CB124" i="46"/>
  <c r="IQ124" i="46"/>
  <c r="EV124" i="46"/>
  <c r="BY124" i="46"/>
  <c r="HG124" i="46"/>
  <c r="DX124" i="46"/>
  <c r="BA124" i="46"/>
  <c r="KY124" i="46"/>
  <c r="HD124" i="46"/>
  <c r="DU124" i="46"/>
  <c r="AX124" i="46"/>
  <c r="KV124" i="46"/>
  <c r="HA124" i="46"/>
  <c r="DR124" i="46"/>
  <c r="AU124" i="46"/>
  <c r="KS124" i="46"/>
  <c r="GX124" i="46"/>
  <c r="DO124" i="46"/>
  <c r="AI124" i="46"/>
  <c r="JO124" i="46"/>
  <c r="JL124" i="46"/>
  <c r="FT124" i="46"/>
  <c r="FK124" i="46"/>
  <c r="CQ124" i="46"/>
  <c r="CE124" i="46"/>
  <c r="T97" i="46"/>
  <c r="KY97" i="46"/>
  <c r="KA97" i="46"/>
  <c r="JC97" i="46"/>
  <c r="IE97" i="46"/>
  <c r="HG97" i="46"/>
  <c r="GI97" i="46"/>
  <c r="FK97" i="46"/>
  <c r="EM97" i="46"/>
  <c r="DO97" i="46"/>
  <c r="CQ97" i="46"/>
  <c r="BS97" i="46"/>
  <c r="AU97" i="46"/>
  <c r="W97" i="46"/>
  <c r="KG97" i="46"/>
  <c r="JF97" i="46"/>
  <c r="IB97" i="46"/>
  <c r="HA97" i="46"/>
  <c r="FZ97" i="46"/>
  <c r="EY97" i="46"/>
  <c r="DX97" i="46"/>
  <c r="CW97" i="46"/>
  <c r="BV97" i="46"/>
  <c r="AR97" i="46"/>
  <c r="LE97" i="46"/>
  <c r="KD97" i="46"/>
  <c r="IZ97" i="46"/>
  <c r="HY97" i="46"/>
  <c r="GX97" i="46"/>
  <c r="FW97" i="46"/>
  <c r="EV97" i="46"/>
  <c r="DU97" i="46"/>
  <c r="CT97" i="46"/>
  <c r="BP97" i="46"/>
  <c r="AO97" i="46"/>
  <c r="KV97" i="46"/>
  <c r="JU97" i="46"/>
  <c r="IT97" i="46"/>
  <c r="HS97" i="46"/>
  <c r="GR97" i="46"/>
  <c r="FQ97" i="46"/>
  <c r="EP97" i="46"/>
  <c r="DL97" i="46"/>
  <c r="CK97" i="46"/>
  <c r="BJ97" i="46"/>
  <c r="AI97" i="46"/>
  <c r="KS97" i="46"/>
  <c r="JR97" i="46"/>
  <c r="IQ97" i="46"/>
  <c r="HP97" i="46"/>
  <c r="GO97" i="46"/>
  <c r="FN97" i="46"/>
  <c r="EJ97" i="46"/>
  <c r="DI97" i="46"/>
  <c r="CH97" i="46"/>
  <c r="BG97" i="46"/>
  <c r="AF97" i="46"/>
  <c r="KP97" i="46"/>
  <c r="JO97" i="46"/>
  <c r="IN97" i="46"/>
  <c r="HM97" i="46"/>
  <c r="GL97" i="46"/>
  <c r="FH97" i="46"/>
  <c r="EG97" i="46"/>
  <c r="DF97" i="46"/>
  <c r="CE97" i="46"/>
  <c r="BD97" i="46"/>
  <c r="AC97" i="46"/>
  <c r="KJ97" i="46"/>
  <c r="HJ97" i="46"/>
  <c r="ES97" i="46"/>
  <c r="BY97" i="46"/>
  <c r="JX97" i="46"/>
  <c r="HD97" i="46"/>
  <c r="ED97" i="46"/>
  <c r="BM97" i="46"/>
  <c r="JL97" i="46"/>
  <c r="GU97" i="46"/>
  <c r="EA97" i="46"/>
  <c r="BA97" i="46"/>
  <c r="JI97" i="46"/>
  <c r="GF97" i="46"/>
  <c r="DR97" i="46"/>
  <c r="AX97" i="46"/>
  <c r="IW97" i="46"/>
  <c r="GC97" i="46"/>
  <c r="DC97" i="46"/>
  <c r="AL97" i="46"/>
  <c r="IK97" i="46"/>
  <c r="FT97" i="46"/>
  <c r="CZ97" i="46"/>
  <c r="Z97" i="46"/>
  <c r="LB97" i="46"/>
  <c r="IH97" i="46"/>
  <c r="FE97" i="46"/>
  <c r="CN97" i="46"/>
  <c r="KM97" i="46"/>
  <c r="HV97" i="46"/>
  <c r="FB97" i="46"/>
  <c r="CB97" i="46"/>
  <c r="T120" i="46"/>
  <c r="KV120" i="46"/>
  <c r="JX120" i="46"/>
  <c r="IZ120" i="46"/>
  <c r="IB120" i="46"/>
  <c r="HD120" i="46"/>
  <c r="GF120" i="46"/>
  <c r="FH120" i="46"/>
  <c r="EJ120" i="46"/>
  <c r="DL120" i="46"/>
  <c r="CN120" i="46"/>
  <c r="BP120" i="46"/>
  <c r="AR120" i="46"/>
  <c r="KS120" i="46"/>
  <c r="JU120" i="46"/>
  <c r="IW120" i="46"/>
  <c r="HY120" i="46"/>
  <c r="HA120" i="46"/>
  <c r="GC120" i="46"/>
  <c r="FE120" i="46"/>
  <c r="EG120" i="46"/>
  <c r="DI120" i="46"/>
  <c r="CK120" i="46"/>
  <c r="BM120" i="46"/>
  <c r="AO120" i="46"/>
  <c r="KP120" i="46"/>
  <c r="JR120" i="46"/>
  <c r="IT120" i="46"/>
  <c r="HV120" i="46"/>
  <c r="GX120" i="46"/>
  <c r="FZ120" i="46"/>
  <c r="FB120" i="46"/>
  <c r="ED120" i="46"/>
  <c r="DF120" i="46"/>
  <c r="CH120" i="46"/>
  <c r="BJ120" i="46"/>
  <c r="AL120" i="46"/>
  <c r="KM120" i="46"/>
  <c r="JO120" i="46"/>
  <c r="IQ120" i="46"/>
  <c r="HS120" i="46"/>
  <c r="GU120" i="46"/>
  <c r="FW120" i="46"/>
  <c r="EY120" i="46"/>
  <c r="EA120" i="46"/>
  <c r="DC120" i="46"/>
  <c r="CE120" i="46"/>
  <c r="BG120" i="46"/>
  <c r="AI120" i="46"/>
  <c r="JL120" i="46"/>
  <c r="HP120" i="46"/>
  <c r="FT120" i="46"/>
  <c r="DX120" i="46"/>
  <c r="CB120" i="46"/>
  <c r="AF120" i="46"/>
  <c r="LE120" i="46"/>
  <c r="JI120" i="46"/>
  <c r="HM120" i="46"/>
  <c r="FQ120" i="46"/>
  <c r="DU120" i="46"/>
  <c r="BY120" i="46"/>
  <c r="AC120" i="46"/>
  <c r="LB120" i="46"/>
  <c r="JF120" i="46"/>
  <c r="HJ120" i="46"/>
  <c r="FN120" i="46"/>
  <c r="DR120" i="46"/>
  <c r="BV120" i="46"/>
  <c r="Z120" i="46"/>
  <c r="KY120" i="46"/>
  <c r="JC120" i="46"/>
  <c r="HG120" i="46"/>
  <c r="FK120" i="46"/>
  <c r="DO120" i="46"/>
  <c r="BS120" i="46"/>
  <c r="W120" i="46"/>
  <c r="KJ120" i="46"/>
  <c r="IN120" i="46"/>
  <c r="GR120" i="46"/>
  <c r="EV120" i="46"/>
  <c r="CZ120" i="46"/>
  <c r="BD120" i="46"/>
  <c r="IE120" i="46"/>
  <c r="CT120" i="46"/>
  <c r="GO120" i="46"/>
  <c r="CQ120" i="46"/>
  <c r="GL120" i="46"/>
  <c r="BA120" i="46"/>
  <c r="KG120" i="46"/>
  <c r="GI120" i="46"/>
  <c r="AX120" i="46"/>
  <c r="KD120" i="46"/>
  <c r="ES120" i="46"/>
  <c r="AU120" i="46"/>
  <c r="KA120" i="46"/>
  <c r="IK120" i="46"/>
  <c r="IH120" i="46"/>
  <c r="EP120" i="46"/>
  <c r="EM120" i="46"/>
  <c r="CW120" i="46"/>
  <c r="T94" i="46"/>
  <c r="KP94" i="46"/>
  <c r="JR94" i="46"/>
  <c r="IT94" i="46"/>
  <c r="HV94" i="46"/>
  <c r="GX94" i="46"/>
  <c r="FZ94" i="46"/>
  <c r="FB94" i="46"/>
  <c r="ED94" i="46"/>
  <c r="DF94" i="46"/>
  <c r="CH94" i="46"/>
  <c r="BJ94" i="46"/>
  <c r="AL94" i="46"/>
  <c r="LE94" i="46"/>
  <c r="KD94" i="46"/>
  <c r="JC94" i="46"/>
  <c r="IB94" i="46"/>
  <c r="HA94" i="46"/>
  <c r="FW94" i="46"/>
  <c r="EV94" i="46"/>
  <c r="DU94" i="46"/>
  <c r="CT94" i="46"/>
  <c r="BS94" i="46"/>
  <c r="AR94" i="46"/>
  <c r="LB94" i="46"/>
  <c r="KA94" i="46"/>
  <c r="IZ94" i="46"/>
  <c r="HY94" i="46"/>
  <c r="GU94" i="46"/>
  <c r="FT94" i="46"/>
  <c r="ES94" i="46"/>
  <c r="DR94" i="46"/>
  <c r="CQ94" i="46"/>
  <c r="BP94" i="46"/>
  <c r="AO94" i="46"/>
  <c r="KY94" i="46"/>
  <c r="JX94" i="46"/>
  <c r="IW94" i="46"/>
  <c r="HS94" i="46"/>
  <c r="GR94" i="46"/>
  <c r="FQ94" i="46"/>
  <c r="EP94" i="46"/>
  <c r="DO94" i="46"/>
  <c r="CN94" i="46"/>
  <c r="BM94" i="46"/>
  <c r="AI94" i="46"/>
  <c r="KS94" i="46"/>
  <c r="JF94" i="46"/>
  <c r="HJ94" i="46"/>
  <c r="FN94" i="46"/>
  <c r="EA94" i="46"/>
  <c r="CE94" i="46"/>
  <c r="AU94" i="46"/>
  <c r="KM94" i="46"/>
  <c r="IQ94" i="46"/>
  <c r="HG94" i="46"/>
  <c r="FK94" i="46"/>
  <c r="DX94" i="46"/>
  <c r="CB94" i="46"/>
  <c r="AF94" i="46"/>
  <c r="KJ94" i="46"/>
  <c r="IN94" i="46"/>
  <c r="HD94" i="46"/>
  <c r="FH94" i="46"/>
  <c r="DL94" i="46"/>
  <c r="BY94" i="46"/>
  <c r="AC94" i="46"/>
  <c r="KG94" i="46"/>
  <c r="IK94" i="46"/>
  <c r="GO94" i="46"/>
  <c r="FE94" i="46"/>
  <c r="DI94" i="46"/>
  <c r="BV94" i="46"/>
  <c r="Z94" i="46"/>
  <c r="JU94" i="46"/>
  <c r="IH94" i="46"/>
  <c r="GL94" i="46"/>
  <c r="EY94" i="46"/>
  <c r="DC94" i="46"/>
  <c r="BG94" i="46"/>
  <c r="W94" i="46"/>
  <c r="JO94" i="46"/>
  <c r="IE94" i="46"/>
  <c r="GI94" i="46"/>
  <c r="EM94" i="46"/>
  <c r="CZ94" i="46"/>
  <c r="BD94" i="46"/>
  <c r="JL94" i="46"/>
  <c r="HP94" i="46"/>
  <c r="GF94" i="46"/>
  <c r="EJ94" i="46"/>
  <c r="CW94" i="46"/>
  <c r="BA94" i="46"/>
  <c r="KV94" i="46"/>
  <c r="JI94" i="46"/>
  <c r="HM94" i="46"/>
  <c r="GC94" i="46"/>
  <c r="EG94" i="46"/>
  <c r="CK94" i="46"/>
  <c r="AX94" i="46"/>
  <c r="T91" i="46"/>
  <c r="KP91" i="46"/>
  <c r="JR91" i="46"/>
  <c r="IT91" i="46"/>
  <c r="HV91" i="46"/>
  <c r="GX91" i="46"/>
  <c r="FZ91" i="46"/>
  <c r="FB91" i="46"/>
  <c r="ED91" i="46"/>
  <c r="DF91" i="46"/>
  <c r="CH91" i="46"/>
  <c r="BJ91" i="46"/>
  <c r="AL91" i="46"/>
  <c r="KM91" i="46"/>
  <c r="JO91" i="46"/>
  <c r="IQ91" i="46"/>
  <c r="HS91" i="46"/>
  <c r="GU91" i="46"/>
  <c r="FW91" i="46"/>
  <c r="EY91" i="46"/>
  <c r="EA91" i="46"/>
  <c r="DC91" i="46"/>
  <c r="CE91" i="46"/>
  <c r="BG91" i="46"/>
  <c r="AI91" i="46"/>
  <c r="KJ91" i="46"/>
  <c r="JL91" i="46"/>
  <c r="IN91" i="46"/>
  <c r="HP91" i="46"/>
  <c r="GR91" i="46"/>
  <c r="FT91" i="46"/>
  <c r="EV91" i="46"/>
  <c r="DX91" i="46"/>
  <c r="CZ91" i="46"/>
  <c r="CB91" i="46"/>
  <c r="BD91" i="46"/>
  <c r="AF91" i="46"/>
  <c r="LE91" i="46"/>
  <c r="KG91" i="46"/>
  <c r="JI91" i="46"/>
  <c r="IK91" i="46"/>
  <c r="HM91" i="46"/>
  <c r="GO91" i="46"/>
  <c r="FQ91" i="46"/>
  <c r="ES91" i="46"/>
  <c r="DU91" i="46"/>
  <c r="CW91" i="46"/>
  <c r="BY91" i="46"/>
  <c r="BA91" i="46"/>
  <c r="AC91" i="46"/>
  <c r="LB91" i="46"/>
  <c r="KD91" i="46"/>
  <c r="JF91" i="46"/>
  <c r="IH91" i="46"/>
  <c r="HJ91" i="46"/>
  <c r="GL91" i="46"/>
  <c r="FN91" i="46"/>
  <c r="EP91" i="46"/>
  <c r="DR91" i="46"/>
  <c r="CT91" i="46"/>
  <c r="BV91" i="46"/>
  <c r="AX91" i="46"/>
  <c r="Z91" i="46"/>
  <c r="KV91" i="46"/>
  <c r="IE91" i="46"/>
  <c r="GC91" i="46"/>
  <c r="DL91" i="46"/>
  <c r="AU91" i="46"/>
  <c r="KS91" i="46"/>
  <c r="IB91" i="46"/>
  <c r="FK91" i="46"/>
  <c r="DI91" i="46"/>
  <c r="AR91" i="46"/>
  <c r="KA91" i="46"/>
  <c r="HY91" i="46"/>
  <c r="FH91" i="46"/>
  <c r="CQ91" i="46"/>
  <c r="AO91" i="46"/>
  <c r="JX91" i="46"/>
  <c r="HG91" i="46"/>
  <c r="FE91" i="46"/>
  <c r="CN91" i="46"/>
  <c r="W91" i="46"/>
  <c r="JU91" i="46"/>
  <c r="HD91" i="46"/>
  <c r="EM91" i="46"/>
  <c r="CK91" i="46"/>
  <c r="JC91" i="46"/>
  <c r="HA91" i="46"/>
  <c r="EJ91" i="46"/>
  <c r="BS91" i="46"/>
  <c r="IZ91" i="46"/>
  <c r="GI91" i="46"/>
  <c r="EG91" i="46"/>
  <c r="BP91" i="46"/>
  <c r="DO91" i="46"/>
  <c r="BM91" i="46"/>
  <c r="KY91" i="46"/>
  <c r="IW91" i="46"/>
  <c r="GF91" i="46"/>
  <c r="T112" i="46"/>
  <c r="KP112" i="46"/>
  <c r="JR112" i="46"/>
  <c r="IT112" i="46"/>
  <c r="HV112" i="46"/>
  <c r="GX112" i="46"/>
  <c r="FZ112" i="46"/>
  <c r="FB112" i="46"/>
  <c r="ED112" i="46"/>
  <c r="KM112" i="46"/>
  <c r="JL112" i="46"/>
  <c r="IK112" i="46"/>
  <c r="HJ112" i="46"/>
  <c r="GI112" i="46"/>
  <c r="FH112" i="46"/>
  <c r="EG112" i="46"/>
  <c r="DF112" i="46"/>
  <c r="CH112" i="46"/>
  <c r="BJ112" i="46"/>
  <c r="AL112" i="46"/>
  <c r="KJ112" i="46"/>
  <c r="JI112" i="46"/>
  <c r="IH112" i="46"/>
  <c r="HG112" i="46"/>
  <c r="GF112" i="46"/>
  <c r="FE112" i="46"/>
  <c r="EA112" i="46"/>
  <c r="DC112" i="46"/>
  <c r="CE112" i="46"/>
  <c r="BG112" i="46"/>
  <c r="AI112" i="46"/>
  <c r="KG112" i="46"/>
  <c r="JF112" i="46"/>
  <c r="IE112" i="46"/>
  <c r="HD112" i="46"/>
  <c r="GC112" i="46"/>
  <c r="EY112" i="46"/>
  <c r="DX112" i="46"/>
  <c r="CZ112" i="46"/>
  <c r="CB112" i="46"/>
  <c r="BD112" i="46"/>
  <c r="AF112" i="46"/>
  <c r="LE112" i="46"/>
  <c r="KD112" i="46"/>
  <c r="JC112" i="46"/>
  <c r="IB112" i="46"/>
  <c r="HA112" i="46"/>
  <c r="FW112" i="46"/>
  <c r="EV112" i="46"/>
  <c r="DU112" i="46"/>
  <c r="CW112" i="46"/>
  <c r="BY112" i="46"/>
  <c r="BA112" i="46"/>
  <c r="AC112" i="46"/>
  <c r="LB112" i="46"/>
  <c r="KA112" i="46"/>
  <c r="IZ112" i="46"/>
  <c r="HY112" i="46"/>
  <c r="GU112" i="46"/>
  <c r="FT112" i="46"/>
  <c r="ES112" i="46"/>
  <c r="DR112" i="46"/>
  <c r="CT112" i="46"/>
  <c r="BV112" i="46"/>
  <c r="AX112" i="46"/>
  <c r="Z112" i="46"/>
  <c r="IW112" i="46"/>
  <c r="GL112" i="46"/>
  <c r="DL112" i="46"/>
  <c r="AU112" i="46"/>
  <c r="IQ112" i="46"/>
  <c r="FQ112" i="46"/>
  <c r="DI112" i="46"/>
  <c r="AR112" i="46"/>
  <c r="KY112" i="46"/>
  <c r="IN112" i="46"/>
  <c r="FN112" i="46"/>
  <c r="CQ112" i="46"/>
  <c r="AO112" i="46"/>
  <c r="KV112" i="46"/>
  <c r="HS112" i="46"/>
  <c r="FK112" i="46"/>
  <c r="CN112" i="46"/>
  <c r="W112" i="46"/>
  <c r="KS112" i="46"/>
  <c r="HP112" i="46"/>
  <c r="EP112" i="46"/>
  <c r="CK112" i="46"/>
  <c r="HM112" i="46"/>
  <c r="BM112" i="46"/>
  <c r="GR112" i="46"/>
  <c r="GO112" i="46"/>
  <c r="EM112" i="46"/>
  <c r="EJ112" i="46"/>
  <c r="JX112" i="46"/>
  <c r="DO112" i="46"/>
  <c r="JU112" i="46"/>
  <c r="JO112" i="46"/>
  <c r="BS112" i="46"/>
  <c r="BP112" i="46"/>
  <c r="KY116" i="46"/>
  <c r="KA116" i="46"/>
  <c r="JC116" i="46"/>
  <c r="IE116" i="46"/>
  <c r="HG116" i="46"/>
  <c r="GI116" i="46"/>
  <c r="FK116" i="46"/>
  <c r="EM116" i="46"/>
  <c r="DO116" i="46"/>
  <c r="CQ116" i="46"/>
  <c r="BS116" i="46"/>
  <c r="AU116" i="46"/>
  <c r="W116" i="46"/>
  <c r="KV116" i="46"/>
  <c r="JX116" i="46"/>
  <c r="IZ116" i="46"/>
  <c r="IB116" i="46"/>
  <c r="HD116" i="46"/>
  <c r="GF116" i="46"/>
  <c r="FH116" i="46"/>
  <c r="EJ116" i="46"/>
  <c r="DL116" i="46"/>
  <c r="CN116" i="46"/>
  <c r="BP116" i="46"/>
  <c r="AR116" i="46"/>
  <c r="KG116" i="46"/>
  <c r="IW116" i="46"/>
  <c r="HS116" i="46"/>
  <c r="GO116" i="46"/>
  <c r="FE116" i="46"/>
  <c r="EA116" i="46"/>
  <c r="CW116" i="46"/>
  <c r="BM116" i="46"/>
  <c r="AI116" i="46"/>
  <c r="KD116" i="46"/>
  <c r="IT116" i="46"/>
  <c r="HP116" i="46"/>
  <c r="GL116" i="46"/>
  <c r="FB116" i="46"/>
  <c r="DX116" i="46"/>
  <c r="CT116" i="46"/>
  <c r="BJ116" i="46"/>
  <c r="AF116" i="46"/>
  <c r="LE116" i="46"/>
  <c r="JU116" i="46"/>
  <c r="IQ116" i="46"/>
  <c r="HM116" i="46"/>
  <c r="GC116" i="46"/>
  <c r="EY116" i="46"/>
  <c r="DU116" i="46"/>
  <c r="CK116" i="46"/>
  <c r="BG116" i="46"/>
  <c r="AC116" i="46"/>
  <c r="LB116" i="46"/>
  <c r="JR116" i="46"/>
  <c r="IN116" i="46"/>
  <c r="HJ116" i="46"/>
  <c r="FZ116" i="46"/>
  <c r="EV116" i="46"/>
  <c r="DR116" i="46"/>
  <c r="CH116" i="46"/>
  <c r="BD116" i="46"/>
  <c r="Z116" i="46"/>
  <c r="KS116" i="46"/>
  <c r="JO116" i="46"/>
  <c r="IK116" i="46"/>
  <c r="HA116" i="46"/>
  <c r="FW116" i="46"/>
  <c r="ES116" i="46"/>
  <c r="DI116" i="46"/>
  <c r="CE116" i="46"/>
  <c r="BA116" i="46"/>
  <c r="JF116" i="46"/>
  <c r="FQ116" i="46"/>
  <c r="CB116" i="46"/>
  <c r="IH116" i="46"/>
  <c r="FN116" i="46"/>
  <c r="BY116" i="46"/>
  <c r="HY116" i="46"/>
  <c r="EP116" i="46"/>
  <c r="BV116" i="46"/>
  <c r="KP116" i="46"/>
  <c r="HV116" i="46"/>
  <c r="EG116" i="46"/>
  <c r="AX116" i="46"/>
  <c r="KM116" i="46"/>
  <c r="GX116" i="46"/>
  <c r="ED116" i="46"/>
  <c r="AO116" i="46"/>
  <c r="GR116" i="46"/>
  <c r="FT116" i="46"/>
  <c r="DF116" i="46"/>
  <c r="DC116" i="46"/>
  <c r="KJ116" i="46"/>
  <c r="CZ116" i="46"/>
  <c r="JI116" i="46"/>
  <c r="GU116" i="46"/>
  <c r="AL116" i="46"/>
  <c r="JL116" i="46"/>
  <c r="T96" i="46"/>
  <c r="KJ96" i="46"/>
  <c r="JL96" i="46"/>
  <c r="IN96" i="46"/>
  <c r="HP96" i="46"/>
  <c r="GR96" i="46"/>
  <c r="FT96" i="46"/>
  <c r="EV96" i="46"/>
  <c r="DX96" i="46"/>
  <c r="CZ96" i="46"/>
  <c r="CB96" i="46"/>
  <c r="BD96" i="46"/>
  <c r="AF96" i="46"/>
  <c r="KV96" i="46"/>
  <c r="JU96" i="46"/>
  <c r="IT96" i="46"/>
  <c r="HS96" i="46"/>
  <c r="GO96" i="46"/>
  <c r="FN96" i="46"/>
  <c r="EM96" i="46"/>
  <c r="DL96" i="46"/>
  <c r="CK96" i="46"/>
  <c r="BJ96" i="46"/>
  <c r="AI96" i="46"/>
  <c r="KS96" i="46"/>
  <c r="JR96" i="46"/>
  <c r="IQ96" i="46"/>
  <c r="HM96" i="46"/>
  <c r="GL96" i="46"/>
  <c r="FK96" i="46"/>
  <c r="EJ96" i="46"/>
  <c r="DI96" i="46"/>
  <c r="CH96" i="46"/>
  <c r="BG96" i="46"/>
  <c r="AC96" i="46"/>
  <c r="KM96" i="46"/>
  <c r="JI96" i="46"/>
  <c r="IH96" i="46"/>
  <c r="HG96" i="46"/>
  <c r="GF96" i="46"/>
  <c r="FE96" i="46"/>
  <c r="ED96" i="46"/>
  <c r="DC96" i="46"/>
  <c r="BY96" i="46"/>
  <c r="AX96" i="46"/>
  <c r="W96" i="46"/>
  <c r="KG96" i="46"/>
  <c r="JF96" i="46"/>
  <c r="IE96" i="46"/>
  <c r="HD96" i="46"/>
  <c r="GC96" i="46"/>
  <c r="FB96" i="46"/>
  <c r="EA96" i="46"/>
  <c r="CW96" i="46"/>
  <c r="BV96" i="46"/>
  <c r="AU96" i="46"/>
  <c r="LE96" i="46"/>
  <c r="KD96" i="46"/>
  <c r="JC96" i="46"/>
  <c r="IB96" i="46"/>
  <c r="HA96" i="46"/>
  <c r="FZ96" i="46"/>
  <c r="EY96" i="46"/>
  <c r="DU96" i="46"/>
  <c r="CT96" i="46"/>
  <c r="BS96" i="46"/>
  <c r="AR96" i="46"/>
  <c r="IW96" i="46"/>
  <c r="FW96" i="46"/>
  <c r="DF96" i="46"/>
  <c r="AL96" i="46"/>
  <c r="LB96" i="46"/>
  <c r="IK96" i="46"/>
  <c r="FQ96" i="46"/>
  <c r="CQ96" i="46"/>
  <c r="Z96" i="46"/>
  <c r="KY96" i="46"/>
  <c r="HY96" i="46"/>
  <c r="FH96" i="46"/>
  <c r="CN96" i="46"/>
  <c r="KP96" i="46"/>
  <c r="HV96" i="46"/>
  <c r="ES96" i="46"/>
  <c r="CE96" i="46"/>
  <c r="KA96" i="46"/>
  <c r="HJ96" i="46"/>
  <c r="EP96" i="46"/>
  <c r="BP96" i="46"/>
  <c r="JX96" i="46"/>
  <c r="GX96" i="46"/>
  <c r="EG96" i="46"/>
  <c r="BM96" i="46"/>
  <c r="JO96" i="46"/>
  <c r="GU96" i="46"/>
  <c r="DR96" i="46"/>
  <c r="BA96" i="46"/>
  <c r="IZ96" i="46"/>
  <c r="GI96" i="46"/>
  <c r="DO96" i="46"/>
  <c r="AO96" i="46"/>
  <c r="T104" i="46"/>
  <c r="KJ104" i="46"/>
  <c r="JL104" i="46"/>
  <c r="IN104" i="46"/>
  <c r="HP104" i="46"/>
  <c r="GR104" i="46"/>
  <c r="FT104" i="46"/>
  <c r="EV104" i="46"/>
  <c r="DX104" i="46"/>
  <c r="CZ104" i="46"/>
  <c r="CB104" i="46"/>
  <c r="BD104" i="46"/>
  <c r="AF104" i="46"/>
  <c r="LE104" i="46"/>
  <c r="KG104" i="46"/>
  <c r="JI104" i="46"/>
  <c r="IK104" i="46"/>
  <c r="HM104" i="46"/>
  <c r="KS104" i="46"/>
  <c r="JO104" i="46"/>
  <c r="IE104" i="46"/>
  <c r="HA104" i="46"/>
  <c r="FZ104" i="46"/>
  <c r="EY104" i="46"/>
  <c r="DU104" i="46"/>
  <c r="CT104" i="46"/>
  <c r="BS104" i="46"/>
  <c r="AR104" i="46"/>
  <c r="KP104" i="46"/>
  <c r="JF104" i="46"/>
  <c r="KM104" i="46"/>
  <c r="JC104" i="46"/>
  <c r="LB104" i="46"/>
  <c r="IZ104" i="46"/>
  <c r="HS104" i="46"/>
  <c r="GI104" i="46"/>
  <c r="FE104" i="46"/>
  <c r="EA104" i="46"/>
  <c r="CQ104" i="46"/>
  <c r="BM104" i="46"/>
  <c r="AI104" i="46"/>
  <c r="KY104" i="46"/>
  <c r="IW104" i="46"/>
  <c r="HJ104" i="46"/>
  <c r="GF104" i="46"/>
  <c r="FB104" i="46"/>
  <c r="DR104" i="46"/>
  <c r="CN104" i="46"/>
  <c r="BJ104" i="46"/>
  <c r="AC104" i="46"/>
  <c r="KV104" i="46"/>
  <c r="IT104" i="46"/>
  <c r="HG104" i="46"/>
  <c r="GC104" i="46"/>
  <c r="ES104" i="46"/>
  <c r="DO104" i="46"/>
  <c r="CK104" i="46"/>
  <c r="BG104" i="46"/>
  <c r="Z104" i="46"/>
  <c r="KD104" i="46"/>
  <c r="IQ104" i="46"/>
  <c r="HD104" i="46"/>
  <c r="FW104" i="46"/>
  <c r="EP104" i="46"/>
  <c r="DL104" i="46"/>
  <c r="CH104" i="46"/>
  <c r="BA104" i="46"/>
  <c r="W104" i="46"/>
  <c r="KA104" i="46"/>
  <c r="IH104" i="46"/>
  <c r="GX104" i="46"/>
  <c r="FQ104" i="46"/>
  <c r="EM104" i="46"/>
  <c r="DI104" i="46"/>
  <c r="CE104" i="46"/>
  <c r="AX104" i="46"/>
  <c r="IB104" i="46"/>
  <c r="FH104" i="46"/>
  <c r="BV104" i="46"/>
  <c r="HY104" i="46"/>
  <c r="EJ104" i="46"/>
  <c r="BP104" i="46"/>
  <c r="HV104" i="46"/>
  <c r="EG104" i="46"/>
  <c r="AU104" i="46"/>
  <c r="GU104" i="46"/>
  <c r="ED104" i="46"/>
  <c r="AO104" i="46"/>
  <c r="GO104" i="46"/>
  <c r="DF104" i="46"/>
  <c r="AL104" i="46"/>
  <c r="JX104" i="46"/>
  <c r="GL104" i="46"/>
  <c r="DC104" i="46"/>
  <c r="FN104" i="46"/>
  <c r="FK104" i="46"/>
  <c r="CW104" i="46"/>
  <c r="BY104" i="46"/>
  <c r="JU104" i="46"/>
  <c r="JR104" i="46"/>
  <c r="T123" i="46"/>
  <c r="KY123" i="46"/>
  <c r="KA123" i="46"/>
  <c r="JC123" i="46"/>
  <c r="IE123" i="46"/>
  <c r="HG123" i="46"/>
  <c r="GI123" i="46"/>
  <c r="FK123" i="46"/>
  <c r="EM123" i="46"/>
  <c r="DO123" i="46"/>
  <c r="CQ123" i="46"/>
  <c r="BS123" i="46"/>
  <c r="AU123" i="46"/>
  <c r="W123" i="46"/>
  <c r="KV123" i="46"/>
  <c r="JU123" i="46"/>
  <c r="IT123" i="46"/>
  <c r="HS123" i="46"/>
  <c r="GR123" i="46"/>
  <c r="FQ123" i="46"/>
  <c r="EP123" i="46"/>
  <c r="DL123" i="46"/>
  <c r="CK123" i="46"/>
  <c r="BJ123" i="46"/>
  <c r="AI123" i="46"/>
  <c r="KS123" i="46"/>
  <c r="JR123" i="46"/>
  <c r="IQ123" i="46"/>
  <c r="HP123" i="46"/>
  <c r="GO123" i="46"/>
  <c r="FN123" i="46"/>
  <c r="EJ123" i="46"/>
  <c r="DI123" i="46"/>
  <c r="CH123" i="46"/>
  <c r="BG123" i="46"/>
  <c r="AF123" i="46"/>
  <c r="KP123" i="46"/>
  <c r="JO123" i="46"/>
  <c r="IN123" i="46"/>
  <c r="HM123" i="46"/>
  <c r="GL123" i="46"/>
  <c r="FH123" i="46"/>
  <c r="EG123" i="46"/>
  <c r="DF123" i="46"/>
  <c r="CE123" i="46"/>
  <c r="KM123" i="46"/>
  <c r="JL123" i="46"/>
  <c r="IK123" i="46"/>
  <c r="HJ123" i="46"/>
  <c r="GF123" i="46"/>
  <c r="FE123" i="46"/>
  <c r="ED123" i="46"/>
  <c r="DC123" i="46"/>
  <c r="KD123" i="46"/>
  <c r="HY123" i="46"/>
  <c r="FW123" i="46"/>
  <c r="DU123" i="46"/>
  <c r="BV123" i="46"/>
  <c r="AL123" i="46"/>
  <c r="JX123" i="46"/>
  <c r="HV123" i="46"/>
  <c r="FT123" i="46"/>
  <c r="DR123" i="46"/>
  <c r="BP123" i="46"/>
  <c r="AC123" i="46"/>
  <c r="JI123" i="46"/>
  <c r="HD123" i="46"/>
  <c r="FB123" i="46"/>
  <c r="CZ123" i="46"/>
  <c r="BM123" i="46"/>
  <c r="Z123" i="46"/>
  <c r="JF123" i="46"/>
  <c r="HA123" i="46"/>
  <c r="EY123" i="46"/>
  <c r="CW123" i="46"/>
  <c r="BD123" i="46"/>
  <c r="LE123" i="46"/>
  <c r="IZ123" i="46"/>
  <c r="GX123" i="46"/>
  <c r="EV123" i="46"/>
  <c r="CT123" i="46"/>
  <c r="BA123" i="46"/>
  <c r="LB123" i="46"/>
  <c r="IW123" i="46"/>
  <c r="GU123" i="46"/>
  <c r="ES123" i="46"/>
  <c r="CN123" i="46"/>
  <c r="AX123" i="46"/>
  <c r="EA123" i="46"/>
  <c r="DX123" i="46"/>
  <c r="KJ123" i="46"/>
  <c r="CB123" i="46"/>
  <c r="KG123" i="46"/>
  <c r="BY123" i="46"/>
  <c r="IH123" i="46"/>
  <c r="IB123" i="46"/>
  <c r="GC123" i="46"/>
  <c r="FZ123" i="46"/>
  <c r="AR123" i="46"/>
  <c r="AO123" i="46"/>
  <c r="T93" i="46"/>
  <c r="KY93" i="46"/>
  <c r="KA93" i="46"/>
  <c r="JC93" i="46"/>
  <c r="IE93" i="46"/>
  <c r="HG93" i="46"/>
  <c r="GI93" i="46"/>
  <c r="FK93" i="46"/>
  <c r="EM93" i="46"/>
  <c r="DO93" i="46"/>
  <c r="CQ93" i="46"/>
  <c r="BS93" i="46"/>
  <c r="AU93" i="46"/>
  <c r="W93" i="46"/>
  <c r="KS93" i="46"/>
  <c r="JR93" i="46"/>
  <c r="IQ93" i="46"/>
  <c r="HP93" i="46"/>
  <c r="GO93" i="46"/>
  <c r="FN93" i="46"/>
  <c r="EJ93" i="46"/>
  <c r="KV93" i="46"/>
  <c r="JO93" i="46"/>
  <c r="IK93" i="46"/>
  <c r="HD93" i="46"/>
  <c r="FZ93" i="46"/>
  <c r="EV93" i="46"/>
  <c r="DR93" i="46"/>
  <c r="CN93" i="46"/>
  <c r="BM93" i="46"/>
  <c r="AL93" i="46"/>
  <c r="KP93" i="46"/>
  <c r="JL93" i="46"/>
  <c r="IH93" i="46"/>
  <c r="HA93" i="46"/>
  <c r="FW93" i="46"/>
  <c r="ES93" i="46"/>
  <c r="DL93" i="46"/>
  <c r="CK93" i="46"/>
  <c r="BJ93" i="46"/>
  <c r="AI93" i="46"/>
  <c r="KM93" i="46"/>
  <c r="JI93" i="46"/>
  <c r="IB93" i="46"/>
  <c r="GX93" i="46"/>
  <c r="FT93" i="46"/>
  <c r="EP93" i="46"/>
  <c r="DI93" i="46"/>
  <c r="CH93" i="46"/>
  <c r="BG93" i="46"/>
  <c r="AF93" i="46"/>
  <c r="KJ93" i="46"/>
  <c r="JF93" i="46"/>
  <c r="HY93" i="46"/>
  <c r="GU93" i="46"/>
  <c r="FQ93" i="46"/>
  <c r="EG93" i="46"/>
  <c r="DF93" i="46"/>
  <c r="CE93" i="46"/>
  <c r="BD93" i="46"/>
  <c r="AC93" i="46"/>
  <c r="KG93" i="46"/>
  <c r="IZ93" i="46"/>
  <c r="HV93" i="46"/>
  <c r="GR93" i="46"/>
  <c r="FH93" i="46"/>
  <c r="ED93" i="46"/>
  <c r="DC93" i="46"/>
  <c r="CB93" i="46"/>
  <c r="BA93" i="46"/>
  <c r="Z93" i="46"/>
  <c r="KD93" i="46"/>
  <c r="IW93" i="46"/>
  <c r="HS93" i="46"/>
  <c r="GL93" i="46"/>
  <c r="FE93" i="46"/>
  <c r="EA93" i="46"/>
  <c r="CZ93" i="46"/>
  <c r="BY93" i="46"/>
  <c r="AX93" i="46"/>
  <c r="LE93" i="46"/>
  <c r="JX93" i="46"/>
  <c r="IT93" i="46"/>
  <c r="HM93" i="46"/>
  <c r="GF93" i="46"/>
  <c r="FB93" i="46"/>
  <c r="DX93" i="46"/>
  <c r="CW93" i="46"/>
  <c r="BV93" i="46"/>
  <c r="AR93" i="46"/>
  <c r="CT93" i="46"/>
  <c r="LB93" i="46"/>
  <c r="BP93" i="46"/>
  <c r="JU93" i="46"/>
  <c r="AO93" i="46"/>
  <c r="IN93" i="46"/>
  <c r="HJ93" i="46"/>
  <c r="GC93" i="46"/>
  <c r="EY93" i="46"/>
  <c r="DU93" i="46"/>
  <c r="T108" i="46"/>
  <c r="LE108" i="46"/>
  <c r="KG108" i="46"/>
  <c r="JI108" i="46"/>
  <c r="IK108" i="46"/>
  <c r="HM108" i="46"/>
  <c r="GO108" i="46"/>
  <c r="FQ108" i="46"/>
  <c r="ES108" i="46"/>
  <c r="DU108" i="46"/>
  <c r="CW108" i="46"/>
  <c r="BY108" i="46"/>
  <c r="BA108" i="46"/>
  <c r="AC108" i="46"/>
  <c r="LB108" i="46"/>
  <c r="KD108" i="46"/>
  <c r="JF108" i="46"/>
  <c r="IH108" i="46"/>
  <c r="HJ108" i="46"/>
  <c r="GL108" i="46"/>
  <c r="FN108" i="46"/>
  <c r="EP108" i="46"/>
  <c r="DR108" i="46"/>
  <c r="CT108" i="46"/>
  <c r="BV108" i="46"/>
  <c r="AX108" i="46"/>
  <c r="Z108" i="46"/>
  <c r="KY108" i="46"/>
  <c r="KA108" i="46"/>
  <c r="JC108" i="46"/>
  <c r="IE108" i="46"/>
  <c r="HG108" i="46"/>
  <c r="GI108" i="46"/>
  <c r="FK108" i="46"/>
  <c r="EM108" i="46"/>
  <c r="DO108" i="46"/>
  <c r="CQ108" i="46"/>
  <c r="BS108" i="46"/>
  <c r="AU108" i="46"/>
  <c r="W108" i="46"/>
  <c r="KV108" i="46"/>
  <c r="JX108" i="46"/>
  <c r="IZ108" i="46"/>
  <c r="IB108" i="46"/>
  <c r="HD108" i="46"/>
  <c r="GF108" i="46"/>
  <c r="FH108" i="46"/>
  <c r="EJ108" i="46"/>
  <c r="DL108" i="46"/>
  <c r="CN108" i="46"/>
  <c r="BP108" i="46"/>
  <c r="AR108" i="46"/>
  <c r="KS108" i="46"/>
  <c r="JU108" i="46"/>
  <c r="IW108" i="46"/>
  <c r="HY108" i="46"/>
  <c r="HA108" i="46"/>
  <c r="GC108" i="46"/>
  <c r="FE108" i="46"/>
  <c r="EG108" i="46"/>
  <c r="DI108" i="46"/>
  <c r="CK108" i="46"/>
  <c r="BM108" i="46"/>
  <c r="AO108" i="46"/>
  <c r="KJ108" i="46"/>
  <c r="HS108" i="46"/>
  <c r="FB108" i="46"/>
  <c r="CZ108" i="46"/>
  <c r="AI108" i="46"/>
  <c r="JR108" i="46"/>
  <c r="HP108" i="46"/>
  <c r="EY108" i="46"/>
  <c r="CH108" i="46"/>
  <c r="AF108" i="46"/>
  <c r="JO108" i="46"/>
  <c r="GX108" i="46"/>
  <c r="EV108" i="46"/>
  <c r="CE108" i="46"/>
  <c r="JL108" i="46"/>
  <c r="GU108" i="46"/>
  <c r="ED108" i="46"/>
  <c r="CB108" i="46"/>
  <c r="IT108" i="46"/>
  <c r="GR108" i="46"/>
  <c r="EA108" i="46"/>
  <c r="BJ108" i="46"/>
  <c r="IQ108" i="46"/>
  <c r="FZ108" i="46"/>
  <c r="DX108" i="46"/>
  <c r="BG108" i="46"/>
  <c r="KP108" i="46"/>
  <c r="BD108" i="46"/>
  <c r="KM108" i="46"/>
  <c r="AL108" i="46"/>
  <c r="IN108" i="46"/>
  <c r="HV108" i="46"/>
  <c r="FW108" i="46"/>
  <c r="FT108" i="46"/>
  <c r="DF108" i="46"/>
  <c r="DC108" i="46"/>
  <c r="T117" i="46"/>
  <c r="KV117" i="46"/>
  <c r="JX117" i="46"/>
  <c r="IZ117" i="46"/>
  <c r="IB117" i="46"/>
  <c r="HD117" i="46"/>
  <c r="GF117" i="46"/>
  <c r="FH117" i="46"/>
  <c r="EJ117" i="46"/>
  <c r="DL117" i="46"/>
  <c r="CN117" i="46"/>
  <c r="BP117" i="46"/>
  <c r="AR117" i="46"/>
  <c r="KJ117" i="46"/>
  <c r="JI117" i="46"/>
  <c r="IH117" i="46"/>
  <c r="HG117" i="46"/>
  <c r="GC117" i="46"/>
  <c r="FB117" i="46"/>
  <c r="EA117" i="46"/>
  <c r="CZ117" i="46"/>
  <c r="BY117" i="46"/>
  <c r="AX117" i="46"/>
  <c r="W117" i="46"/>
  <c r="KG117" i="46"/>
  <c r="JF117" i="46"/>
  <c r="IE117" i="46"/>
  <c r="HA117" i="46"/>
  <c r="FZ117" i="46"/>
  <c r="EY117" i="46"/>
  <c r="DX117" i="46"/>
  <c r="CW117" i="46"/>
  <c r="BV117" i="46"/>
  <c r="AU117" i="46"/>
  <c r="KY117" i="46"/>
  <c r="JU117" i="46"/>
  <c r="IT117" i="46"/>
  <c r="HS117" i="46"/>
  <c r="GR117" i="46"/>
  <c r="FQ117" i="46"/>
  <c r="EP117" i="46"/>
  <c r="DO117" i="46"/>
  <c r="CK117" i="46"/>
  <c r="BJ117" i="46"/>
  <c r="AI117" i="46"/>
  <c r="KS117" i="46"/>
  <c r="JC117" i="46"/>
  <c r="HM117" i="46"/>
  <c r="FT117" i="46"/>
  <c r="ED117" i="46"/>
  <c r="CH117" i="46"/>
  <c r="AO117" i="46"/>
  <c r="KP117" i="46"/>
  <c r="IW117" i="46"/>
  <c r="HJ117" i="46"/>
  <c r="FN117" i="46"/>
  <c r="DU117" i="46"/>
  <c r="CE117" i="46"/>
  <c r="AL117" i="46"/>
  <c r="KM117" i="46"/>
  <c r="IQ117" i="46"/>
  <c r="GX117" i="46"/>
  <c r="FK117" i="46"/>
  <c r="DR117" i="46"/>
  <c r="CB117" i="46"/>
  <c r="AF117" i="46"/>
  <c r="KD117" i="46"/>
  <c r="IN117" i="46"/>
  <c r="GU117" i="46"/>
  <c r="FE117" i="46"/>
  <c r="DI117" i="46"/>
  <c r="BS117" i="46"/>
  <c r="AC117" i="46"/>
  <c r="KA117" i="46"/>
  <c r="IK117" i="46"/>
  <c r="GO117" i="46"/>
  <c r="EV117" i="46"/>
  <c r="DF117" i="46"/>
  <c r="BM117" i="46"/>
  <c r="Z117" i="46"/>
  <c r="HP117" i="46"/>
  <c r="CT117" i="46"/>
  <c r="LE117" i="46"/>
  <c r="GL117" i="46"/>
  <c r="CQ117" i="46"/>
  <c r="LB117" i="46"/>
  <c r="GI117" i="46"/>
  <c r="BG117" i="46"/>
  <c r="JR117" i="46"/>
  <c r="FW117" i="46"/>
  <c r="BD117" i="46"/>
  <c r="JO117" i="46"/>
  <c r="ES117" i="46"/>
  <c r="BA117" i="46"/>
  <c r="HY117" i="46"/>
  <c r="HV117" i="46"/>
  <c r="EM117" i="46"/>
  <c r="EG117" i="46"/>
  <c r="DC117" i="46"/>
  <c r="JL117" i="46"/>
  <c r="LE84" i="46"/>
  <c r="KG84" i="46"/>
  <c r="JI84" i="46"/>
  <c r="IK84" i="46"/>
  <c r="HM84" i="46"/>
  <c r="GO84" i="46"/>
  <c r="FQ84" i="46"/>
  <c r="ES84" i="46"/>
  <c r="DU84" i="46"/>
  <c r="CW84" i="46"/>
  <c r="BY84" i="46"/>
  <c r="BA84" i="46"/>
  <c r="AC84" i="46"/>
  <c r="LB84" i="46"/>
  <c r="KD84" i="46"/>
  <c r="JF84" i="46"/>
  <c r="IH84" i="46"/>
  <c r="HJ84" i="46"/>
  <c r="GL84" i="46"/>
  <c r="FN84" i="46"/>
  <c r="EP84" i="46"/>
  <c r="DR84" i="46"/>
  <c r="CT84" i="46"/>
  <c r="BV84" i="46"/>
  <c r="AX84" i="46"/>
  <c r="Z84" i="46"/>
  <c r="KY84" i="46"/>
  <c r="KA84" i="46"/>
  <c r="JC84" i="46"/>
  <c r="IE84" i="46"/>
  <c r="HG84" i="46"/>
  <c r="GI84" i="46"/>
  <c r="FK84" i="46"/>
  <c r="EM84" i="46"/>
  <c r="DO84" i="46"/>
  <c r="CQ84" i="46"/>
  <c r="BS84" i="46"/>
  <c r="AU84" i="46"/>
  <c r="W84" i="46"/>
  <c r="KV84" i="46"/>
  <c r="JX84" i="46"/>
  <c r="IZ84" i="46"/>
  <c r="IB84" i="46"/>
  <c r="HD84" i="46"/>
  <c r="GF84" i="46"/>
  <c r="FH84" i="46"/>
  <c r="EJ84" i="46"/>
  <c r="DL84" i="46"/>
  <c r="CN84" i="46"/>
  <c r="BP84" i="46"/>
  <c r="AR84" i="46"/>
  <c r="KS84" i="46"/>
  <c r="JU84" i="46"/>
  <c r="IW84" i="46"/>
  <c r="HY84" i="46"/>
  <c r="HA84" i="46"/>
  <c r="GC84" i="46"/>
  <c r="FE84" i="46"/>
  <c r="EG84" i="46"/>
  <c r="DI84" i="46"/>
  <c r="CK84" i="46"/>
  <c r="BM84" i="46"/>
  <c r="AO84" i="46"/>
  <c r="KP84" i="46"/>
  <c r="JR84" i="46"/>
  <c r="IT84" i="46"/>
  <c r="HV84" i="46"/>
  <c r="GX84" i="46"/>
  <c r="FZ84" i="46"/>
  <c r="FB84" i="46"/>
  <c r="ED84" i="46"/>
  <c r="DF84" i="46"/>
  <c r="CH84" i="46"/>
  <c r="BJ84" i="46"/>
  <c r="AL84" i="46"/>
  <c r="KM84" i="46"/>
  <c r="JO84" i="46"/>
  <c r="IQ84" i="46"/>
  <c r="HS84" i="46"/>
  <c r="GU84" i="46"/>
  <c r="FW84" i="46"/>
  <c r="EY84" i="46"/>
  <c r="EA84" i="46"/>
  <c r="DC84" i="46"/>
  <c r="CE84" i="46"/>
  <c r="BG84" i="46"/>
  <c r="AI84" i="46"/>
  <c r="IN84" i="46"/>
  <c r="BD84" i="46"/>
  <c r="HP84" i="46"/>
  <c r="AF84" i="46"/>
  <c r="JL84" i="46"/>
  <c r="GR84" i="46"/>
  <c r="FT84" i="46"/>
  <c r="EV84" i="46"/>
  <c r="DX84" i="46"/>
  <c r="CB84" i="46"/>
  <c r="KJ84" i="46"/>
  <c r="CZ84" i="46"/>
  <c r="T101" i="46"/>
  <c r="KM101" i="46"/>
  <c r="JO101" i="46"/>
  <c r="IQ101" i="46"/>
  <c r="HS101" i="46"/>
  <c r="GU101" i="46"/>
  <c r="FW101" i="46"/>
  <c r="EY101" i="46"/>
  <c r="EA101" i="46"/>
  <c r="DC101" i="46"/>
  <c r="CE101" i="46"/>
  <c r="BG101" i="46"/>
  <c r="AI101" i="46"/>
  <c r="KJ101" i="46"/>
  <c r="JL101" i="46"/>
  <c r="IN101" i="46"/>
  <c r="HP101" i="46"/>
  <c r="GR101" i="46"/>
  <c r="FT101" i="46"/>
  <c r="EV101" i="46"/>
  <c r="DX101" i="46"/>
  <c r="CZ101" i="46"/>
  <c r="CB101" i="46"/>
  <c r="BD101" i="46"/>
  <c r="AF101" i="46"/>
  <c r="LE101" i="46"/>
  <c r="KG101" i="46"/>
  <c r="JI101" i="46"/>
  <c r="IK101" i="46"/>
  <c r="HM101" i="46"/>
  <c r="GO101" i="46"/>
  <c r="FQ101" i="46"/>
  <c r="ES101" i="46"/>
  <c r="DU101" i="46"/>
  <c r="CW101" i="46"/>
  <c r="BY101" i="46"/>
  <c r="BA101" i="46"/>
  <c r="AC101" i="46"/>
  <c r="LB101" i="46"/>
  <c r="KD101" i="46"/>
  <c r="JF101" i="46"/>
  <c r="IH101" i="46"/>
  <c r="HJ101" i="46"/>
  <c r="GL101" i="46"/>
  <c r="FN101" i="46"/>
  <c r="EP101" i="46"/>
  <c r="DR101" i="46"/>
  <c r="CT101" i="46"/>
  <c r="BV101" i="46"/>
  <c r="AX101" i="46"/>
  <c r="Z101" i="46"/>
  <c r="KY101" i="46"/>
  <c r="KA101" i="46"/>
  <c r="JC101" i="46"/>
  <c r="IE101" i="46"/>
  <c r="HG101" i="46"/>
  <c r="GI101" i="46"/>
  <c r="FK101" i="46"/>
  <c r="EM101" i="46"/>
  <c r="DO101" i="46"/>
  <c r="CQ101" i="46"/>
  <c r="BS101" i="46"/>
  <c r="AU101" i="46"/>
  <c r="W101" i="46"/>
  <c r="JX101" i="46"/>
  <c r="HV101" i="46"/>
  <c r="FE101" i="46"/>
  <c r="CN101" i="46"/>
  <c r="AL101" i="46"/>
  <c r="JU101" i="46"/>
  <c r="HD101" i="46"/>
  <c r="FB101" i="46"/>
  <c r="CK101" i="46"/>
  <c r="JR101" i="46"/>
  <c r="HA101" i="46"/>
  <c r="EJ101" i="46"/>
  <c r="CH101" i="46"/>
  <c r="IZ101" i="46"/>
  <c r="GX101" i="46"/>
  <c r="EG101" i="46"/>
  <c r="BP101" i="46"/>
  <c r="IW101" i="46"/>
  <c r="GF101" i="46"/>
  <c r="ED101" i="46"/>
  <c r="BM101" i="46"/>
  <c r="KV101" i="46"/>
  <c r="IT101" i="46"/>
  <c r="GC101" i="46"/>
  <c r="DL101" i="46"/>
  <c r="BJ101" i="46"/>
  <c r="KS101" i="46"/>
  <c r="AR101" i="46"/>
  <c r="KP101" i="46"/>
  <c r="AO101" i="46"/>
  <c r="IB101" i="46"/>
  <c r="HY101" i="46"/>
  <c r="FZ101" i="46"/>
  <c r="FH101" i="46"/>
  <c r="DI101" i="46"/>
  <c r="DF101" i="46"/>
  <c r="T83" i="46"/>
  <c r="KP83" i="46"/>
  <c r="JR83" i="46"/>
  <c r="IT83" i="46"/>
  <c r="HV83" i="46"/>
  <c r="GX83" i="46"/>
  <c r="FZ83" i="46"/>
  <c r="FB83" i="46"/>
  <c r="ED83" i="46"/>
  <c r="DF83" i="46"/>
  <c r="CH83" i="46"/>
  <c r="BJ83" i="46"/>
  <c r="AL83" i="46"/>
  <c r="KM83" i="46"/>
  <c r="JO83" i="46"/>
  <c r="IQ83" i="46"/>
  <c r="HS83" i="46"/>
  <c r="GU83" i="46"/>
  <c r="FW83" i="46"/>
  <c r="EY83" i="46"/>
  <c r="EA83" i="46"/>
  <c r="DC83" i="46"/>
  <c r="CE83" i="46"/>
  <c r="BG83" i="46"/>
  <c r="AI83" i="46"/>
  <c r="KJ83" i="46"/>
  <c r="JL83" i="46"/>
  <c r="IN83" i="46"/>
  <c r="HP83" i="46"/>
  <c r="GR83" i="46"/>
  <c r="FT83" i="46"/>
  <c r="EV83" i="46"/>
  <c r="DX83" i="46"/>
  <c r="CZ83" i="46"/>
  <c r="CB83" i="46"/>
  <c r="BD83" i="46"/>
  <c r="AF83" i="46"/>
  <c r="LE83" i="46"/>
  <c r="KG83" i="46"/>
  <c r="JI83" i="46"/>
  <c r="IK83" i="46"/>
  <c r="HM83" i="46"/>
  <c r="GO83" i="46"/>
  <c r="FQ83" i="46"/>
  <c r="ES83" i="46"/>
  <c r="DU83" i="46"/>
  <c r="CW83" i="46"/>
  <c r="BY83" i="46"/>
  <c r="BA83" i="46"/>
  <c r="AC83" i="46"/>
  <c r="LB83" i="46"/>
  <c r="KD83" i="46"/>
  <c r="JF83" i="46"/>
  <c r="IH83" i="46"/>
  <c r="HJ83" i="46"/>
  <c r="GL83" i="46"/>
  <c r="FN83" i="46"/>
  <c r="EP83" i="46"/>
  <c r="DR83" i="46"/>
  <c r="CT83" i="46"/>
  <c r="BV83" i="46"/>
  <c r="AX83" i="46"/>
  <c r="Z83" i="46"/>
  <c r="KY83" i="46"/>
  <c r="KA83" i="46"/>
  <c r="JC83" i="46"/>
  <c r="IE83" i="46"/>
  <c r="HG83" i="46"/>
  <c r="GI83" i="46"/>
  <c r="FK83" i="46"/>
  <c r="EM83" i="46"/>
  <c r="DO83" i="46"/>
  <c r="CQ83" i="46"/>
  <c r="BS83" i="46"/>
  <c r="AU83" i="46"/>
  <c r="W83" i="46"/>
  <c r="KV83" i="46"/>
  <c r="JX83" i="46"/>
  <c r="IZ83" i="46"/>
  <c r="IB83" i="46"/>
  <c r="HD83" i="46"/>
  <c r="GF83" i="46"/>
  <c r="FH83" i="46"/>
  <c r="EJ83" i="46"/>
  <c r="DL83" i="46"/>
  <c r="CN83" i="46"/>
  <c r="BP83" i="46"/>
  <c r="AR83" i="46"/>
  <c r="HA83" i="46"/>
  <c r="HY83" i="46"/>
  <c r="GC83" i="46"/>
  <c r="FE83" i="46"/>
  <c r="AO83" i="46"/>
  <c r="EG83" i="46"/>
  <c r="KS83" i="46"/>
  <c r="DI83" i="46"/>
  <c r="JU83" i="46"/>
  <c r="CK83" i="46"/>
  <c r="IW83" i="46"/>
  <c r="BM83" i="46"/>
  <c r="T110" i="46"/>
  <c r="KJ110" i="46"/>
  <c r="JL110" i="46"/>
  <c r="IN110" i="46"/>
  <c r="HP110" i="46"/>
  <c r="GR110" i="46"/>
  <c r="FT110" i="46"/>
  <c r="EV110" i="46"/>
  <c r="DX110" i="46"/>
  <c r="CZ110" i="46"/>
  <c r="CB110" i="46"/>
  <c r="BD110" i="46"/>
  <c r="AF110" i="46"/>
  <c r="LE110" i="46"/>
  <c r="KG110" i="46"/>
  <c r="JI110" i="46"/>
  <c r="IK110" i="46"/>
  <c r="HM110" i="46"/>
  <c r="GO110" i="46"/>
  <c r="FQ110" i="46"/>
  <c r="ES110" i="46"/>
  <c r="DU110" i="46"/>
  <c r="CW110" i="46"/>
  <c r="BY110" i="46"/>
  <c r="BA110" i="46"/>
  <c r="AC110" i="46"/>
  <c r="KS110" i="46"/>
  <c r="JO110" i="46"/>
  <c r="IE110" i="46"/>
  <c r="HA110" i="46"/>
  <c r="FW110" i="46"/>
  <c r="EM110" i="46"/>
  <c r="DI110" i="46"/>
  <c r="CE110" i="46"/>
  <c r="AU110" i="46"/>
  <c r="KP110" i="46"/>
  <c r="JF110" i="46"/>
  <c r="IB110" i="46"/>
  <c r="GX110" i="46"/>
  <c r="FN110" i="46"/>
  <c r="EJ110" i="46"/>
  <c r="DF110" i="46"/>
  <c r="BV110" i="46"/>
  <c r="AR110" i="46"/>
  <c r="KM110" i="46"/>
  <c r="JC110" i="46"/>
  <c r="HY110" i="46"/>
  <c r="GU110" i="46"/>
  <c r="FK110" i="46"/>
  <c r="EG110" i="46"/>
  <c r="DC110" i="46"/>
  <c r="BS110" i="46"/>
  <c r="AO110" i="46"/>
  <c r="KD110" i="46"/>
  <c r="IZ110" i="46"/>
  <c r="HV110" i="46"/>
  <c r="GL110" i="46"/>
  <c r="FH110" i="46"/>
  <c r="ED110" i="46"/>
  <c r="CT110" i="46"/>
  <c r="BP110" i="46"/>
  <c r="AL110" i="46"/>
  <c r="KA110" i="46"/>
  <c r="IW110" i="46"/>
  <c r="HS110" i="46"/>
  <c r="GI110" i="46"/>
  <c r="FE110" i="46"/>
  <c r="EA110" i="46"/>
  <c r="CQ110" i="46"/>
  <c r="BM110" i="46"/>
  <c r="AI110" i="46"/>
  <c r="IT110" i="46"/>
  <c r="FZ110" i="46"/>
  <c r="CK110" i="46"/>
  <c r="IQ110" i="46"/>
  <c r="FB110" i="46"/>
  <c r="CH110" i="46"/>
  <c r="LB110" i="46"/>
  <c r="IH110" i="46"/>
  <c r="EY110" i="46"/>
  <c r="BJ110" i="46"/>
  <c r="KY110" i="46"/>
  <c r="HJ110" i="46"/>
  <c r="EP110" i="46"/>
  <c r="BG110" i="46"/>
  <c r="KV110" i="46"/>
  <c r="HG110" i="46"/>
  <c r="DR110" i="46"/>
  <c r="AX110" i="46"/>
  <c r="JX110" i="46"/>
  <c r="HD110" i="46"/>
  <c r="DO110" i="46"/>
  <c r="Z110" i="46"/>
  <c r="W110" i="46"/>
  <c r="JU110" i="46"/>
  <c r="JR110" i="46"/>
  <c r="GF110" i="46"/>
  <c r="GC110" i="46"/>
  <c r="DL110" i="46"/>
  <c r="CN110" i="46"/>
  <c r="T92" i="46"/>
  <c r="LE92" i="46"/>
  <c r="KG92" i="46"/>
  <c r="JI92" i="46"/>
  <c r="IK92" i="46"/>
  <c r="HM92" i="46"/>
  <c r="GO92" i="46"/>
  <c r="FQ92" i="46"/>
  <c r="ES92" i="46"/>
  <c r="DU92" i="46"/>
  <c r="CW92" i="46"/>
  <c r="BY92" i="46"/>
  <c r="BA92" i="46"/>
  <c r="AC92" i="46"/>
  <c r="LB92" i="46"/>
  <c r="KD92" i="46"/>
  <c r="JF92" i="46"/>
  <c r="IH92" i="46"/>
  <c r="HJ92" i="46"/>
  <c r="GL92" i="46"/>
  <c r="FN92" i="46"/>
  <c r="EP92" i="46"/>
  <c r="DR92" i="46"/>
  <c r="CT92" i="46"/>
  <c r="BV92" i="46"/>
  <c r="AX92" i="46"/>
  <c r="Z92" i="46"/>
  <c r="KY92" i="46"/>
  <c r="KA92" i="46"/>
  <c r="JC92" i="46"/>
  <c r="IE92" i="46"/>
  <c r="HG92" i="46"/>
  <c r="GI92" i="46"/>
  <c r="FK92" i="46"/>
  <c r="EM92" i="46"/>
  <c r="DO92" i="46"/>
  <c r="CQ92" i="46"/>
  <c r="BS92" i="46"/>
  <c r="AU92" i="46"/>
  <c r="W92" i="46"/>
  <c r="KV92" i="46"/>
  <c r="JX92" i="46"/>
  <c r="IZ92" i="46"/>
  <c r="IB92" i="46"/>
  <c r="HD92" i="46"/>
  <c r="GF92" i="46"/>
  <c r="FH92" i="46"/>
  <c r="EJ92" i="46"/>
  <c r="DL92" i="46"/>
  <c r="CN92" i="46"/>
  <c r="BP92" i="46"/>
  <c r="AR92" i="46"/>
  <c r="KS92" i="46"/>
  <c r="JU92" i="46"/>
  <c r="IW92" i="46"/>
  <c r="HY92" i="46"/>
  <c r="HA92" i="46"/>
  <c r="GC92" i="46"/>
  <c r="FE92" i="46"/>
  <c r="EG92" i="46"/>
  <c r="DI92" i="46"/>
  <c r="CK92" i="46"/>
  <c r="BM92" i="46"/>
  <c r="AO92" i="46"/>
  <c r="KP92" i="46"/>
  <c r="JR92" i="46"/>
  <c r="IT92" i="46"/>
  <c r="HV92" i="46"/>
  <c r="KM92" i="46"/>
  <c r="JO92" i="46"/>
  <c r="IQ92" i="46"/>
  <c r="HS92" i="46"/>
  <c r="HP92" i="46"/>
  <c r="EY92" i="46"/>
  <c r="CH92" i="46"/>
  <c r="AF92" i="46"/>
  <c r="GX92" i="46"/>
  <c r="EV92" i="46"/>
  <c r="CE92" i="46"/>
  <c r="GU92" i="46"/>
  <c r="ED92" i="46"/>
  <c r="CB92" i="46"/>
  <c r="GR92" i="46"/>
  <c r="EA92" i="46"/>
  <c r="BJ92" i="46"/>
  <c r="FZ92" i="46"/>
  <c r="DX92" i="46"/>
  <c r="BG92" i="46"/>
  <c r="KJ92" i="46"/>
  <c r="FW92" i="46"/>
  <c r="DF92" i="46"/>
  <c r="BD92" i="46"/>
  <c r="JL92" i="46"/>
  <c r="FT92" i="46"/>
  <c r="DC92" i="46"/>
  <c r="AL92" i="46"/>
  <c r="FB92" i="46"/>
  <c r="CZ92" i="46"/>
  <c r="AI92" i="46"/>
  <c r="IN92" i="46"/>
  <c r="T125" i="46"/>
  <c r="KV125" i="46"/>
  <c r="JX125" i="46"/>
  <c r="IZ125" i="46"/>
  <c r="IB125" i="46"/>
  <c r="HD125" i="46"/>
  <c r="GF125" i="46"/>
  <c r="FH125" i="46"/>
  <c r="EJ125" i="46"/>
  <c r="DL125" i="46"/>
  <c r="CN125" i="46"/>
  <c r="BP125" i="46"/>
  <c r="AR125" i="46"/>
  <c r="KS125" i="46"/>
  <c r="JU125" i="46"/>
  <c r="IW125" i="46"/>
  <c r="HY125" i="46"/>
  <c r="HA125" i="46"/>
  <c r="GC125" i="46"/>
  <c r="FE125" i="46"/>
  <c r="EG125" i="46"/>
  <c r="DI125" i="46"/>
  <c r="CK125" i="46"/>
  <c r="BM125" i="46"/>
  <c r="AO125" i="46"/>
  <c r="KM125" i="46"/>
  <c r="JI125" i="46"/>
  <c r="IE125" i="46"/>
  <c r="GU125" i="46"/>
  <c r="FQ125" i="46"/>
  <c r="EM125" i="46"/>
  <c r="DC125" i="46"/>
  <c r="BY125" i="46"/>
  <c r="AU125" i="46"/>
  <c r="KJ125" i="46"/>
  <c r="JF125" i="46"/>
  <c r="HV125" i="46"/>
  <c r="GR125" i="46"/>
  <c r="FN125" i="46"/>
  <c r="ED125" i="46"/>
  <c r="CZ125" i="46"/>
  <c r="BV125" i="46"/>
  <c r="AL125" i="46"/>
  <c r="KG125" i="46"/>
  <c r="JC125" i="46"/>
  <c r="HS125" i="46"/>
  <c r="GO125" i="46"/>
  <c r="FK125" i="46"/>
  <c r="EA125" i="46"/>
  <c r="CW125" i="46"/>
  <c r="BS125" i="46"/>
  <c r="AI125" i="46"/>
  <c r="KD125" i="46"/>
  <c r="IT125" i="46"/>
  <c r="HP125" i="46"/>
  <c r="GL125" i="46"/>
  <c r="FB125" i="46"/>
  <c r="DX125" i="46"/>
  <c r="CT125" i="46"/>
  <c r="BJ125" i="46"/>
  <c r="AF125" i="46"/>
  <c r="KA125" i="46"/>
  <c r="HM125" i="46"/>
  <c r="EY125" i="46"/>
  <c r="CQ125" i="46"/>
  <c r="AC125" i="46"/>
  <c r="JR125" i="46"/>
  <c r="HJ125" i="46"/>
  <c r="EV125" i="46"/>
  <c r="CH125" i="46"/>
  <c r="Z125" i="46"/>
  <c r="JO125" i="46"/>
  <c r="HG125" i="46"/>
  <c r="ES125" i="46"/>
  <c r="CE125" i="46"/>
  <c r="W125" i="46"/>
  <c r="JL125" i="46"/>
  <c r="GX125" i="46"/>
  <c r="EP125" i="46"/>
  <c r="CB125" i="46"/>
  <c r="LE125" i="46"/>
  <c r="IQ125" i="46"/>
  <c r="GI125" i="46"/>
  <c r="DU125" i="46"/>
  <c r="BG125" i="46"/>
  <c r="IN125" i="46"/>
  <c r="DF125" i="46"/>
  <c r="IK125" i="46"/>
  <c r="BD125" i="46"/>
  <c r="IH125" i="46"/>
  <c r="BA125" i="46"/>
  <c r="FZ125" i="46"/>
  <c r="AX125" i="46"/>
  <c r="FW125" i="46"/>
  <c r="LB125" i="46"/>
  <c r="FT125" i="46"/>
  <c r="KY125" i="46"/>
  <c r="DR125" i="46"/>
  <c r="KP125" i="46"/>
  <c r="DO125" i="46"/>
  <c r="T106" i="46"/>
  <c r="KY106" i="46"/>
  <c r="KA106" i="46"/>
  <c r="JC106" i="46"/>
  <c r="IE106" i="46"/>
  <c r="HG106" i="46"/>
  <c r="GI106" i="46"/>
  <c r="FK106" i="46"/>
  <c r="EM106" i="46"/>
  <c r="DO106" i="46"/>
  <c r="CQ106" i="46"/>
  <c r="BS106" i="46"/>
  <c r="AU106" i="46"/>
  <c r="W106" i="46"/>
  <c r="KP106" i="46"/>
  <c r="JO106" i="46"/>
  <c r="IN106" i="46"/>
  <c r="HM106" i="46"/>
  <c r="GL106" i="46"/>
  <c r="FH106" i="46"/>
  <c r="EG106" i="46"/>
  <c r="DF106" i="46"/>
  <c r="CE106" i="46"/>
  <c r="BD106" i="46"/>
  <c r="AC106" i="46"/>
  <c r="KM106" i="46"/>
  <c r="JL106" i="46"/>
  <c r="IK106" i="46"/>
  <c r="HJ106" i="46"/>
  <c r="GF106" i="46"/>
  <c r="FE106" i="46"/>
  <c r="ED106" i="46"/>
  <c r="DC106" i="46"/>
  <c r="CB106" i="46"/>
  <c r="BA106" i="46"/>
  <c r="Z106" i="46"/>
  <c r="KJ106" i="46"/>
  <c r="JI106" i="46"/>
  <c r="IH106" i="46"/>
  <c r="HD106" i="46"/>
  <c r="GC106" i="46"/>
  <c r="FB106" i="46"/>
  <c r="EA106" i="46"/>
  <c r="CZ106" i="46"/>
  <c r="BY106" i="46"/>
  <c r="AX106" i="46"/>
  <c r="KG106" i="46"/>
  <c r="JF106" i="46"/>
  <c r="IB106" i="46"/>
  <c r="HA106" i="46"/>
  <c r="FZ106" i="46"/>
  <c r="EY106" i="46"/>
  <c r="DX106" i="46"/>
  <c r="CW106" i="46"/>
  <c r="BV106" i="46"/>
  <c r="AR106" i="46"/>
  <c r="LB106" i="46"/>
  <c r="IW106" i="46"/>
  <c r="GU106" i="46"/>
  <c r="ES106" i="46"/>
  <c r="CN106" i="46"/>
  <c r="AL106" i="46"/>
  <c r="KV106" i="46"/>
  <c r="IT106" i="46"/>
  <c r="GR106" i="46"/>
  <c r="EP106" i="46"/>
  <c r="CK106" i="46"/>
  <c r="AI106" i="46"/>
  <c r="KS106" i="46"/>
  <c r="IQ106" i="46"/>
  <c r="GO106" i="46"/>
  <c r="EJ106" i="46"/>
  <c r="CH106" i="46"/>
  <c r="AF106" i="46"/>
  <c r="KD106" i="46"/>
  <c r="HY106" i="46"/>
  <c r="FW106" i="46"/>
  <c r="DU106" i="46"/>
  <c r="BP106" i="46"/>
  <c r="JX106" i="46"/>
  <c r="HV106" i="46"/>
  <c r="FT106" i="46"/>
  <c r="DR106" i="46"/>
  <c r="BM106" i="46"/>
  <c r="JU106" i="46"/>
  <c r="HS106" i="46"/>
  <c r="FQ106" i="46"/>
  <c r="DL106" i="46"/>
  <c r="BJ106" i="46"/>
  <c r="JR106" i="46"/>
  <c r="HP106" i="46"/>
  <c r="FN106" i="46"/>
  <c r="DI106" i="46"/>
  <c r="BG106" i="46"/>
  <c r="LE106" i="46"/>
  <c r="IZ106" i="46"/>
  <c r="GX106" i="46"/>
  <c r="CT106" i="46"/>
  <c r="AO106" i="46"/>
  <c r="EV106" i="46"/>
  <c r="T89" i="46"/>
  <c r="KJ89" i="46"/>
  <c r="JL89" i="46"/>
  <c r="IN89" i="46"/>
  <c r="HP89" i="46"/>
  <c r="GR89" i="46"/>
  <c r="FT89" i="46"/>
  <c r="EV89" i="46"/>
  <c r="DX89" i="46"/>
  <c r="CZ89" i="46"/>
  <c r="LE89" i="46"/>
  <c r="KG89" i="46"/>
  <c r="JI89" i="46"/>
  <c r="IK89" i="46"/>
  <c r="HM89" i="46"/>
  <c r="GO89" i="46"/>
  <c r="FQ89" i="46"/>
  <c r="KV89" i="46"/>
  <c r="JX89" i="46"/>
  <c r="IZ89" i="46"/>
  <c r="IB89" i="46"/>
  <c r="HD89" i="46"/>
  <c r="GF89" i="46"/>
  <c r="FH89" i="46"/>
  <c r="EJ89" i="46"/>
  <c r="DL89" i="46"/>
  <c r="CN89" i="46"/>
  <c r="BP89" i="46"/>
  <c r="AR89" i="46"/>
  <c r="KS89" i="46"/>
  <c r="JF89" i="46"/>
  <c r="HV89" i="46"/>
  <c r="GI89" i="46"/>
  <c r="EY89" i="46"/>
  <c r="DR89" i="46"/>
  <c r="CK89" i="46"/>
  <c r="BJ89" i="46"/>
  <c r="AI89" i="46"/>
  <c r="KP89" i="46"/>
  <c r="JC89" i="46"/>
  <c r="HS89" i="46"/>
  <c r="GC89" i="46"/>
  <c r="ES89" i="46"/>
  <c r="DO89" i="46"/>
  <c r="CH89" i="46"/>
  <c r="BG89" i="46"/>
  <c r="AF89" i="46"/>
  <c r="KM89" i="46"/>
  <c r="IW89" i="46"/>
  <c r="HJ89" i="46"/>
  <c r="FZ89" i="46"/>
  <c r="EP89" i="46"/>
  <c r="DI89" i="46"/>
  <c r="CE89" i="46"/>
  <c r="BD89" i="46"/>
  <c r="AC89" i="46"/>
  <c r="KD89" i="46"/>
  <c r="IT89" i="46"/>
  <c r="HG89" i="46"/>
  <c r="FW89" i="46"/>
  <c r="EM89" i="46"/>
  <c r="DF89" i="46"/>
  <c r="CB89" i="46"/>
  <c r="BA89" i="46"/>
  <c r="Z89" i="46"/>
  <c r="KA89" i="46"/>
  <c r="IQ89" i="46"/>
  <c r="HA89" i="46"/>
  <c r="FN89" i="46"/>
  <c r="EG89" i="46"/>
  <c r="DC89" i="46"/>
  <c r="BY89" i="46"/>
  <c r="AX89" i="46"/>
  <c r="W89" i="46"/>
  <c r="JU89" i="46"/>
  <c r="IH89" i="46"/>
  <c r="GX89" i="46"/>
  <c r="FK89" i="46"/>
  <c r="ED89" i="46"/>
  <c r="CW89" i="46"/>
  <c r="BV89" i="46"/>
  <c r="AU89" i="46"/>
  <c r="LB89" i="46"/>
  <c r="JR89" i="46"/>
  <c r="IE89" i="46"/>
  <c r="GU89" i="46"/>
  <c r="FE89" i="46"/>
  <c r="EA89" i="46"/>
  <c r="CT89" i="46"/>
  <c r="BS89" i="46"/>
  <c r="AO89" i="46"/>
  <c r="JO89" i="46"/>
  <c r="HY89" i="46"/>
  <c r="GL89" i="46"/>
  <c r="FB89" i="46"/>
  <c r="DU89" i="46"/>
  <c r="CQ89" i="46"/>
  <c r="BM89" i="46"/>
  <c r="KY89" i="46"/>
  <c r="AL89" i="46"/>
  <c r="T113" i="46"/>
  <c r="LE113" i="46"/>
  <c r="KG113" i="46"/>
  <c r="JI113" i="46"/>
  <c r="IK113" i="46"/>
  <c r="HM113" i="46"/>
  <c r="GO113" i="46"/>
  <c r="FQ113" i="46"/>
  <c r="ES113" i="46"/>
  <c r="DU113" i="46"/>
  <c r="CW113" i="46"/>
  <c r="BY113" i="46"/>
  <c r="BA113" i="46"/>
  <c r="AC113" i="46"/>
  <c r="KY113" i="46"/>
  <c r="JX113" i="46"/>
  <c r="IW113" i="46"/>
  <c r="HV113" i="46"/>
  <c r="GU113" i="46"/>
  <c r="FT113" i="46"/>
  <c r="EP113" i="46"/>
  <c r="DO113" i="46"/>
  <c r="CN113" i="46"/>
  <c r="BM113" i="46"/>
  <c r="AL113" i="46"/>
  <c r="KV113" i="46"/>
  <c r="JU113" i="46"/>
  <c r="IT113" i="46"/>
  <c r="HS113" i="46"/>
  <c r="GR113" i="46"/>
  <c r="FN113" i="46"/>
  <c r="EM113" i="46"/>
  <c r="DL113" i="46"/>
  <c r="CK113" i="46"/>
  <c r="BJ113" i="46"/>
  <c r="AI113" i="46"/>
  <c r="KS113" i="46"/>
  <c r="JR113" i="46"/>
  <c r="IQ113" i="46"/>
  <c r="HP113" i="46"/>
  <c r="GL113" i="46"/>
  <c r="FK113" i="46"/>
  <c r="EJ113" i="46"/>
  <c r="DI113" i="46"/>
  <c r="CH113" i="46"/>
  <c r="BG113" i="46"/>
  <c r="AF113" i="46"/>
  <c r="KP113" i="46"/>
  <c r="JO113" i="46"/>
  <c r="IN113" i="46"/>
  <c r="HJ113" i="46"/>
  <c r="GI113" i="46"/>
  <c r="FH113" i="46"/>
  <c r="EG113" i="46"/>
  <c r="DF113" i="46"/>
  <c r="CE113" i="46"/>
  <c r="BD113" i="46"/>
  <c r="Z113" i="46"/>
  <c r="KM113" i="46"/>
  <c r="JL113" i="46"/>
  <c r="IH113" i="46"/>
  <c r="HG113" i="46"/>
  <c r="GF113" i="46"/>
  <c r="FE113" i="46"/>
  <c r="ED113" i="46"/>
  <c r="DC113" i="46"/>
  <c r="CB113" i="46"/>
  <c r="AX113" i="46"/>
  <c r="W113" i="46"/>
  <c r="KJ113" i="46"/>
  <c r="HY113" i="46"/>
  <c r="EY113" i="46"/>
  <c r="BV113" i="46"/>
  <c r="KD113" i="46"/>
  <c r="HD113" i="46"/>
  <c r="EV113" i="46"/>
  <c r="BS113" i="46"/>
  <c r="KA113" i="46"/>
  <c r="HA113" i="46"/>
  <c r="EA113" i="46"/>
  <c r="BP113" i="46"/>
  <c r="JF113" i="46"/>
  <c r="GX113" i="46"/>
  <c r="DX113" i="46"/>
  <c r="AU113" i="46"/>
  <c r="JC113" i="46"/>
  <c r="GC113" i="46"/>
  <c r="DR113" i="46"/>
  <c r="AR113" i="46"/>
  <c r="LB113" i="46"/>
  <c r="CT113" i="46"/>
  <c r="IZ113" i="46"/>
  <c r="CQ113" i="46"/>
  <c r="IE113" i="46"/>
  <c r="AO113" i="46"/>
  <c r="IB113" i="46"/>
  <c r="FZ113" i="46"/>
  <c r="FW113" i="46"/>
  <c r="FB113" i="46"/>
  <c r="CZ113" i="46"/>
  <c r="T119" i="46"/>
  <c r="LE119" i="46"/>
  <c r="KG119" i="46"/>
  <c r="JI119" i="46"/>
  <c r="IK119" i="46"/>
  <c r="HM119" i="46"/>
  <c r="GO119" i="46"/>
  <c r="FQ119" i="46"/>
  <c r="ES119" i="46"/>
  <c r="DU119" i="46"/>
  <c r="CW119" i="46"/>
  <c r="BY119" i="46"/>
  <c r="BA119" i="46"/>
  <c r="AC119" i="46"/>
  <c r="LB119" i="46"/>
  <c r="KD119" i="46"/>
  <c r="JF119" i="46"/>
  <c r="IH119" i="46"/>
  <c r="HJ119" i="46"/>
  <c r="GL119" i="46"/>
  <c r="FN119" i="46"/>
  <c r="EP119" i="46"/>
  <c r="DR119" i="46"/>
  <c r="CT119" i="46"/>
  <c r="BV119" i="46"/>
  <c r="AX119" i="46"/>
  <c r="Z119" i="46"/>
  <c r="KM119" i="46"/>
  <c r="JC119" i="46"/>
  <c r="HY119" i="46"/>
  <c r="GU119" i="46"/>
  <c r="FK119" i="46"/>
  <c r="EG119" i="46"/>
  <c r="DC119" i="46"/>
  <c r="BS119" i="46"/>
  <c r="AO119" i="46"/>
  <c r="KV119" i="46"/>
  <c r="JO119" i="46"/>
  <c r="IB119" i="46"/>
  <c r="GR119" i="46"/>
  <c r="FE119" i="46"/>
  <c r="DX119" i="46"/>
  <c r="CK119" i="46"/>
  <c r="BD119" i="46"/>
  <c r="KS119" i="46"/>
  <c r="JL119" i="46"/>
  <c r="HV119" i="46"/>
  <c r="GI119" i="46"/>
  <c r="FB119" i="46"/>
  <c r="DO119" i="46"/>
  <c r="CH119" i="46"/>
  <c r="AU119" i="46"/>
  <c r="KP119" i="46"/>
  <c r="IZ119" i="46"/>
  <c r="HS119" i="46"/>
  <c r="GF119" i="46"/>
  <c r="EY119" i="46"/>
  <c r="DL119" i="46"/>
  <c r="CE119" i="46"/>
  <c r="AR119" i="46"/>
  <c r="KJ119" i="46"/>
  <c r="IW119" i="46"/>
  <c r="HP119" i="46"/>
  <c r="GC119" i="46"/>
  <c r="EV119" i="46"/>
  <c r="DI119" i="46"/>
  <c r="CB119" i="46"/>
  <c r="AL119" i="46"/>
  <c r="KA119" i="46"/>
  <c r="IT119" i="46"/>
  <c r="HG119" i="46"/>
  <c r="FZ119" i="46"/>
  <c r="EM119" i="46"/>
  <c r="DF119" i="46"/>
  <c r="BP119" i="46"/>
  <c r="AI119" i="46"/>
  <c r="HD119" i="46"/>
  <c r="EA119" i="46"/>
  <c r="W119" i="46"/>
  <c r="KY119" i="46"/>
  <c r="HA119" i="46"/>
  <c r="CZ119" i="46"/>
  <c r="JX119" i="46"/>
  <c r="GX119" i="46"/>
  <c r="CQ119" i="46"/>
  <c r="JU119" i="46"/>
  <c r="FW119" i="46"/>
  <c r="CN119" i="46"/>
  <c r="JR119" i="46"/>
  <c r="FT119" i="46"/>
  <c r="BM119" i="46"/>
  <c r="ED119" i="46"/>
  <c r="BJ119" i="46"/>
  <c r="BG119" i="46"/>
  <c r="IQ119" i="46"/>
  <c r="AF119" i="46"/>
  <c r="IN119" i="46"/>
  <c r="IE119" i="46"/>
  <c r="FH119" i="46"/>
  <c r="EJ119" i="46"/>
  <c r="T103" i="46"/>
  <c r="KS103" i="46"/>
  <c r="JU103" i="46"/>
  <c r="IW103" i="46"/>
  <c r="HY103" i="46"/>
  <c r="HA103" i="46"/>
  <c r="GC103" i="46"/>
  <c r="FE103" i="46"/>
  <c r="EG103" i="46"/>
  <c r="DI103" i="46"/>
  <c r="CK103" i="46"/>
  <c r="BM103" i="46"/>
  <c r="AO103" i="46"/>
  <c r="KV103" i="46"/>
  <c r="JR103" i="46"/>
  <c r="IQ103" i="46"/>
  <c r="HP103" i="46"/>
  <c r="GO103" i="46"/>
  <c r="FN103" i="46"/>
  <c r="EM103" i="46"/>
  <c r="DL103" i="46"/>
  <c r="CH103" i="46"/>
  <c r="BG103" i="46"/>
  <c r="AF103" i="46"/>
  <c r="KY103" i="46"/>
  <c r="JO103" i="46"/>
  <c r="IK103" i="46"/>
  <c r="HG103" i="46"/>
  <c r="FZ103" i="46"/>
  <c r="EV103" i="46"/>
  <c r="DR103" i="46"/>
  <c r="CN103" i="46"/>
  <c r="BD103" i="46"/>
  <c r="Z103" i="46"/>
  <c r="KP103" i="46"/>
  <c r="JL103" i="46"/>
  <c r="IH103" i="46"/>
  <c r="HD103" i="46"/>
  <c r="FW103" i="46"/>
  <c r="ES103" i="46"/>
  <c r="DO103" i="46"/>
  <c r="CE103" i="46"/>
  <c r="BA103" i="46"/>
  <c r="W103" i="46"/>
  <c r="KM103" i="46"/>
  <c r="JI103" i="46"/>
  <c r="IE103" i="46"/>
  <c r="GX103" i="46"/>
  <c r="FT103" i="46"/>
  <c r="EP103" i="46"/>
  <c r="DF103" i="46"/>
  <c r="CB103" i="46"/>
  <c r="AX103" i="46"/>
  <c r="KJ103" i="46"/>
  <c r="JF103" i="46"/>
  <c r="IB103" i="46"/>
  <c r="GU103" i="46"/>
  <c r="FQ103" i="46"/>
  <c r="EJ103" i="46"/>
  <c r="DC103" i="46"/>
  <c r="BY103" i="46"/>
  <c r="AU103" i="46"/>
  <c r="KG103" i="46"/>
  <c r="JC103" i="46"/>
  <c r="HV103" i="46"/>
  <c r="GR103" i="46"/>
  <c r="FK103" i="46"/>
  <c r="ED103" i="46"/>
  <c r="CZ103" i="46"/>
  <c r="BV103" i="46"/>
  <c r="AR103" i="46"/>
  <c r="LE103" i="46"/>
  <c r="HS103" i="46"/>
  <c r="EY103" i="46"/>
  <c r="BP103" i="46"/>
  <c r="LB103" i="46"/>
  <c r="HM103" i="46"/>
  <c r="EA103" i="46"/>
  <c r="BJ103" i="46"/>
  <c r="KD103" i="46"/>
  <c r="HJ103" i="46"/>
  <c r="DX103" i="46"/>
  <c r="AL103" i="46"/>
  <c r="KA103" i="46"/>
  <c r="GL103" i="46"/>
  <c r="DU103" i="46"/>
  <c r="AI103" i="46"/>
  <c r="JX103" i="46"/>
  <c r="GI103" i="46"/>
  <c r="CW103" i="46"/>
  <c r="AC103" i="46"/>
  <c r="IZ103" i="46"/>
  <c r="GF103" i="46"/>
  <c r="CT103" i="46"/>
  <c r="IT103" i="46"/>
  <c r="IN103" i="46"/>
  <c r="FH103" i="46"/>
  <c r="FB103" i="46"/>
  <c r="CQ103" i="46"/>
  <c r="BS103" i="46"/>
  <c r="T86" i="46"/>
  <c r="KM86" i="46"/>
  <c r="JO86" i="46"/>
  <c r="IQ86" i="46"/>
  <c r="HS86" i="46"/>
  <c r="GU86" i="46"/>
  <c r="FW86" i="46"/>
  <c r="EY86" i="46"/>
  <c r="EA86" i="46"/>
  <c r="DC86" i="46"/>
  <c r="CE86" i="46"/>
  <c r="BG86" i="46"/>
  <c r="AI86" i="46"/>
  <c r="KJ86" i="46"/>
  <c r="JL86" i="46"/>
  <c r="IN86" i="46"/>
  <c r="HP86" i="46"/>
  <c r="GR86" i="46"/>
  <c r="FT86" i="46"/>
  <c r="EV86" i="46"/>
  <c r="DX86" i="46"/>
  <c r="CZ86" i="46"/>
  <c r="CB86" i="46"/>
  <c r="BD86" i="46"/>
  <c r="AF86" i="46"/>
  <c r="LE86" i="46"/>
  <c r="KG86" i="46"/>
  <c r="JI86" i="46"/>
  <c r="IK86" i="46"/>
  <c r="HM86" i="46"/>
  <c r="GO86" i="46"/>
  <c r="FQ86" i="46"/>
  <c r="ES86" i="46"/>
  <c r="DU86" i="46"/>
  <c r="CW86" i="46"/>
  <c r="BY86" i="46"/>
  <c r="BA86" i="46"/>
  <c r="AC86" i="46"/>
  <c r="LB86" i="46"/>
  <c r="KD86" i="46"/>
  <c r="JF86" i="46"/>
  <c r="IH86" i="46"/>
  <c r="HJ86" i="46"/>
  <c r="GL86" i="46"/>
  <c r="FN86" i="46"/>
  <c r="KY86" i="46"/>
  <c r="KA86" i="46"/>
  <c r="JC86" i="46"/>
  <c r="IE86" i="46"/>
  <c r="HG86" i="46"/>
  <c r="GI86" i="46"/>
  <c r="FK86" i="46"/>
  <c r="EM86" i="46"/>
  <c r="DO86" i="46"/>
  <c r="CQ86" i="46"/>
  <c r="BS86" i="46"/>
  <c r="AU86" i="46"/>
  <c r="W86" i="46"/>
  <c r="IZ86" i="46"/>
  <c r="GX86" i="46"/>
  <c r="EJ86" i="46"/>
  <c r="CN86" i="46"/>
  <c r="AR86" i="46"/>
  <c r="IW86" i="46"/>
  <c r="GF86" i="46"/>
  <c r="EG86" i="46"/>
  <c r="CK86" i="46"/>
  <c r="AO86" i="46"/>
  <c r="KV86" i="46"/>
  <c r="IT86" i="46"/>
  <c r="GC86" i="46"/>
  <c r="ED86" i="46"/>
  <c r="CH86" i="46"/>
  <c r="AL86" i="46"/>
  <c r="KS86" i="46"/>
  <c r="IB86" i="46"/>
  <c r="FZ86" i="46"/>
  <c r="DR86" i="46"/>
  <c r="BV86" i="46"/>
  <c r="Z86" i="46"/>
  <c r="KP86" i="46"/>
  <c r="HY86" i="46"/>
  <c r="FH86" i="46"/>
  <c r="DL86" i="46"/>
  <c r="BP86" i="46"/>
  <c r="JX86" i="46"/>
  <c r="HV86" i="46"/>
  <c r="FE86" i="46"/>
  <c r="DI86" i="46"/>
  <c r="BM86" i="46"/>
  <c r="JU86" i="46"/>
  <c r="HD86" i="46"/>
  <c r="FB86" i="46"/>
  <c r="DF86" i="46"/>
  <c r="BJ86" i="46"/>
  <c r="JR86" i="46"/>
  <c r="HA86" i="46"/>
  <c r="EP86" i="46"/>
  <c r="CT86" i="46"/>
  <c r="AX86" i="46"/>
  <c r="T81" i="46"/>
  <c r="KJ81" i="46"/>
  <c r="JL81" i="46"/>
  <c r="IN81" i="46"/>
  <c r="HP81" i="46"/>
  <c r="GR81" i="46"/>
  <c r="FT81" i="46"/>
  <c r="EV81" i="46"/>
  <c r="DX81" i="46"/>
  <c r="CZ81" i="46"/>
  <c r="CB81" i="46"/>
  <c r="BD81" i="46"/>
  <c r="AF81" i="46"/>
  <c r="LE81" i="46"/>
  <c r="KG81" i="46"/>
  <c r="JI81" i="46"/>
  <c r="IK81" i="46"/>
  <c r="HM81" i="46"/>
  <c r="GO81" i="46"/>
  <c r="FQ81" i="46"/>
  <c r="ES81" i="46"/>
  <c r="DU81" i="46"/>
  <c r="CW81" i="46"/>
  <c r="BY81" i="46"/>
  <c r="BA81" i="46"/>
  <c r="AC81" i="46"/>
  <c r="LB81" i="46"/>
  <c r="KD81" i="46"/>
  <c r="JF81" i="46"/>
  <c r="IH81" i="46"/>
  <c r="HJ81" i="46"/>
  <c r="GL81" i="46"/>
  <c r="FN81" i="46"/>
  <c r="EP81" i="46"/>
  <c r="DR81" i="46"/>
  <c r="CT81" i="46"/>
  <c r="BV81" i="46"/>
  <c r="AX81" i="46"/>
  <c r="Z81" i="46"/>
  <c r="KY81" i="46"/>
  <c r="KA81" i="46"/>
  <c r="JC81" i="46"/>
  <c r="IE81" i="46"/>
  <c r="HG81" i="46"/>
  <c r="GI81" i="46"/>
  <c r="FK81" i="46"/>
  <c r="EM81" i="46"/>
  <c r="DO81" i="46"/>
  <c r="CQ81" i="46"/>
  <c r="BS81" i="46"/>
  <c r="AU81" i="46"/>
  <c r="W81" i="46"/>
  <c r="KV81" i="46"/>
  <c r="JX81" i="46"/>
  <c r="IZ81" i="46"/>
  <c r="IB81" i="46"/>
  <c r="HD81" i="46"/>
  <c r="GF81" i="46"/>
  <c r="FH81" i="46"/>
  <c r="EJ81" i="46"/>
  <c r="DL81" i="46"/>
  <c r="CN81" i="46"/>
  <c r="BP81" i="46"/>
  <c r="AR81" i="46"/>
  <c r="KP81" i="46"/>
  <c r="JR81" i="46"/>
  <c r="IT81" i="46"/>
  <c r="HV81" i="46"/>
  <c r="JU81" i="46"/>
  <c r="GU81" i="46"/>
  <c r="ED81" i="46"/>
  <c r="BM81" i="46"/>
  <c r="GX81" i="46"/>
  <c r="JO81" i="46"/>
  <c r="GC81" i="46"/>
  <c r="EA81" i="46"/>
  <c r="BJ81" i="46"/>
  <c r="IW81" i="46"/>
  <c r="FZ81" i="46"/>
  <c r="DI81" i="46"/>
  <c r="BG81" i="46"/>
  <c r="EG81" i="46"/>
  <c r="IQ81" i="46"/>
  <c r="FW81" i="46"/>
  <c r="DF81" i="46"/>
  <c r="AO81" i="46"/>
  <c r="CE81" i="46"/>
  <c r="HY81" i="46"/>
  <c r="FE81" i="46"/>
  <c r="DC81" i="46"/>
  <c r="AL81" i="46"/>
  <c r="HS81" i="46"/>
  <c r="FB81" i="46"/>
  <c r="CK81" i="46"/>
  <c r="AI81" i="46"/>
  <c r="KS81" i="46"/>
  <c r="HA81" i="46"/>
  <c r="EY81" i="46"/>
  <c r="CH81" i="46"/>
  <c r="KM81" i="46"/>
  <c r="T90" i="46"/>
  <c r="KY90" i="46"/>
  <c r="KA90" i="46"/>
  <c r="JC90" i="46"/>
  <c r="IE90" i="46"/>
  <c r="HG90" i="46"/>
  <c r="GI90" i="46"/>
  <c r="FK90" i="46"/>
  <c r="EM90" i="46"/>
  <c r="DO90" i="46"/>
  <c r="CQ90" i="46"/>
  <c r="BS90" i="46"/>
  <c r="AU90" i="46"/>
  <c r="W90" i="46"/>
  <c r="KV90" i="46"/>
  <c r="JX90" i="46"/>
  <c r="IZ90" i="46"/>
  <c r="IB90" i="46"/>
  <c r="HD90" i="46"/>
  <c r="GF90" i="46"/>
  <c r="FH90" i="46"/>
  <c r="EJ90" i="46"/>
  <c r="DL90" i="46"/>
  <c r="CN90" i="46"/>
  <c r="BP90" i="46"/>
  <c r="AR90" i="46"/>
  <c r="KM90" i="46"/>
  <c r="JO90" i="46"/>
  <c r="IQ90" i="46"/>
  <c r="HS90" i="46"/>
  <c r="GU90" i="46"/>
  <c r="FW90" i="46"/>
  <c r="EY90" i="46"/>
  <c r="EA90" i="46"/>
  <c r="DC90" i="46"/>
  <c r="CE90" i="46"/>
  <c r="BG90" i="46"/>
  <c r="AI90" i="46"/>
  <c r="KS90" i="46"/>
  <c r="JI90" i="46"/>
  <c r="HV90" i="46"/>
  <c r="GL90" i="46"/>
  <c r="EV90" i="46"/>
  <c r="DI90" i="46"/>
  <c r="BY90" i="46"/>
  <c r="AL90" i="46"/>
  <c r="KP90" i="46"/>
  <c r="JF90" i="46"/>
  <c r="HP90" i="46"/>
  <c r="GC90" i="46"/>
  <c r="ES90" i="46"/>
  <c r="DF90" i="46"/>
  <c r="BV90" i="46"/>
  <c r="AF90" i="46"/>
  <c r="KJ90" i="46"/>
  <c r="IW90" i="46"/>
  <c r="HM90" i="46"/>
  <c r="FZ90" i="46"/>
  <c r="EP90" i="46"/>
  <c r="CZ90" i="46"/>
  <c r="BM90" i="46"/>
  <c r="AC90" i="46"/>
  <c r="KG90" i="46"/>
  <c r="IT90" i="46"/>
  <c r="HJ90" i="46"/>
  <c r="FT90" i="46"/>
  <c r="EG90" i="46"/>
  <c r="CW90" i="46"/>
  <c r="BJ90" i="46"/>
  <c r="Z90" i="46"/>
  <c r="KD90" i="46"/>
  <c r="IN90" i="46"/>
  <c r="HA90" i="46"/>
  <c r="FQ90" i="46"/>
  <c r="ED90" i="46"/>
  <c r="CT90" i="46"/>
  <c r="BD90" i="46"/>
  <c r="JU90" i="46"/>
  <c r="IK90" i="46"/>
  <c r="GX90" i="46"/>
  <c r="FN90" i="46"/>
  <c r="DX90" i="46"/>
  <c r="CK90" i="46"/>
  <c r="BA90" i="46"/>
  <c r="LE90" i="46"/>
  <c r="JR90" i="46"/>
  <c r="IH90" i="46"/>
  <c r="GR90" i="46"/>
  <c r="FE90" i="46"/>
  <c r="DU90" i="46"/>
  <c r="CH90" i="46"/>
  <c r="AX90" i="46"/>
  <c r="LB90" i="46"/>
  <c r="JL90" i="46"/>
  <c r="HY90" i="46"/>
  <c r="GO90" i="46"/>
  <c r="FB90" i="46"/>
  <c r="DR90" i="46"/>
  <c r="CB90" i="46"/>
  <c r="AO90" i="46"/>
  <c r="T114" i="46"/>
  <c r="KV114" i="46"/>
  <c r="JX114" i="46"/>
  <c r="IZ114" i="46"/>
  <c r="IB114" i="46"/>
  <c r="HD114" i="46"/>
  <c r="GF114" i="46"/>
  <c r="FH114" i="46"/>
  <c r="EJ114" i="46"/>
  <c r="DL114" i="46"/>
  <c r="CN114" i="46"/>
  <c r="BP114" i="46"/>
  <c r="AR114" i="46"/>
  <c r="KS114" i="46"/>
  <c r="JU114" i="46"/>
  <c r="IW114" i="46"/>
  <c r="HY114" i="46"/>
  <c r="HA114" i="46"/>
  <c r="GC114" i="46"/>
  <c r="FE114" i="46"/>
  <c r="EG114" i="46"/>
  <c r="DI114" i="46"/>
  <c r="CK114" i="46"/>
  <c r="BM114" i="46"/>
  <c r="AO114" i="46"/>
  <c r="KJ114" i="46"/>
  <c r="JL114" i="46"/>
  <c r="IN114" i="46"/>
  <c r="HP114" i="46"/>
  <c r="GR114" i="46"/>
  <c r="FT114" i="46"/>
  <c r="EV114" i="46"/>
  <c r="LB114" i="46"/>
  <c r="JO114" i="46"/>
  <c r="IE114" i="46"/>
  <c r="GO114" i="46"/>
  <c r="FB114" i="46"/>
  <c r="DU114" i="46"/>
  <c r="CQ114" i="46"/>
  <c r="BG114" i="46"/>
  <c r="AC114" i="46"/>
  <c r="KY114" i="46"/>
  <c r="JI114" i="46"/>
  <c r="HV114" i="46"/>
  <c r="GL114" i="46"/>
  <c r="EY114" i="46"/>
  <c r="DR114" i="46"/>
  <c r="CH114" i="46"/>
  <c r="BD114" i="46"/>
  <c r="Z114" i="46"/>
  <c r="KP114" i="46"/>
  <c r="JF114" i="46"/>
  <c r="HS114" i="46"/>
  <c r="GI114" i="46"/>
  <c r="ES114" i="46"/>
  <c r="DO114" i="46"/>
  <c r="CE114" i="46"/>
  <c r="BA114" i="46"/>
  <c r="W114" i="46"/>
  <c r="KM114" i="46"/>
  <c r="JC114" i="46"/>
  <c r="HM114" i="46"/>
  <c r="FZ114" i="46"/>
  <c r="EP114" i="46"/>
  <c r="DF114" i="46"/>
  <c r="CB114" i="46"/>
  <c r="AX114" i="46"/>
  <c r="KG114" i="46"/>
  <c r="IT114" i="46"/>
  <c r="HJ114" i="46"/>
  <c r="FW114" i="46"/>
  <c r="EM114" i="46"/>
  <c r="DC114" i="46"/>
  <c r="BY114" i="46"/>
  <c r="AU114" i="46"/>
  <c r="KD114" i="46"/>
  <c r="GU114" i="46"/>
  <c r="CW114" i="46"/>
  <c r="KA114" i="46"/>
  <c r="FQ114" i="46"/>
  <c r="CT114" i="46"/>
  <c r="JR114" i="46"/>
  <c r="FN114" i="46"/>
  <c r="BV114" i="46"/>
  <c r="IQ114" i="46"/>
  <c r="FK114" i="46"/>
  <c r="BS114" i="46"/>
  <c r="IK114" i="46"/>
  <c r="ED114" i="46"/>
  <c r="BJ114" i="46"/>
  <c r="CZ114" i="46"/>
  <c r="AL114" i="46"/>
  <c r="LE114" i="46"/>
  <c r="AI114" i="46"/>
  <c r="IH114" i="46"/>
  <c r="AF114" i="46"/>
  <c r="HG114" i="46"/>
  <c r="GX114" i="46"/>
  <c r="EA114" i="46"/>
  <c r="DX114" i="46"/>
  <c r="T82" i="46"/>
  <c r="KY82" i="46"/>
  <c r="KA82" i="46"/>
  <c r="JC82" i="46"/>
  <c r="IE82" i="46"/>
  <c r="HG82" i="46"/>
  <c r="GI82" i="46"/>
  <c r="FK82" i="46"/>
  <c r="EM82" i="46"/>
  <c r="DO82" i="46"/>
  <c r="CQ82" i="46"/>
  <c r="BS82" i="46"/>
  <c r="AU82" i="46"/>
  <c r="W82" i="46"/>
  <c r="KV82" i="46"/>
  <c r="JX82" i="46"/>
  <c r="IZ82" i="46"/>
  <c r="IB82" i="46"/>
  <c r="HD82" i="46"/>
  <c r="GF82" i="46"/>
  <c r="FH82" i="46"/>
  <c r="EJ82" i="46"/>
  <c r="DL82" i="46"/>
  <c r="CN82" i="46"/>
  <c r="BP82" i="46"/>
  <c r="AR82" i="46"/>
  <c r="KS82" i="46"/>
  <c r="JU82" i="46"/>
  <c r="IW82" i="46"/>
  <c r="HY82" i="46"/>
  <c r="HA82" i="46"/>
  <c r="GC82" i="46"/>
  <c r="FE82" i="46"/>
  <c r="EG82" i="46"/>
  <c r="DI82" i="46"/>
  <c r="CK82" i="46"/>
  <c r="BM82" i="46"/>
  <c r="AO82" i="46"/>
  <c r="KP82" i="46"/>
  <c r="JR82" i="46"/>
  <c r="IT82" i="46"/>
  <c r="HV82" i="46"/>
  <c r="GX82" i="46"/>
  <c r="FZ82" i="46"/>
  <c r="FB82" i="46"/>
  <c r="ED82" i="46"/>
  <c r="DF82" i="46"/>
  <c r="CH82" i="46"/>
  <c r="BJ82" i="46"/>
  <c r="AL82" i="46"/>
  <c r="KM82" i="46"/>
  <c r="JO82" i="46"/>
  <c r="IQ82" i="46"/>
  <c r="HS82" i="46"/>
  <c r="GU82" i="46"/>
  <c r="FW82" i="46"/>
  <c r="EY82" i="46"/>
  <c r="EA82" i="46"/>
  <c r="DC82" i="46"/>
  <c r="CE82" i="46"/>
  <c r="BG82" i="46"/>
  <c r="AI82" i="46"/>
  <c r="KJ82" i="46"/>
  <c r="JL82" i="46"/>
  <c r="IN82" i="46"/>
  <c r="HP82" i="46"/>
  <c r="GR82" i="46"/>
  <c r="FT82" i="46"/>
  <c r="EV82" i="46"/>
  <c r="DX82" i="46"/>
  <c r="CZ82" i="46"/>
  <c r="CB82" i="46"/>
  <c r="BD82" i="46"/>
  <c r="AF82" i="46"/>
  <c r="LE82" i="46"/>
  <c r="KG82" i="46"/>
  <c r="JI82" i="46"/>
  <c r="IK82" i="46"/>
  <c r="HM82" i="46"/>
  <c r="GO82" i="46"/>
  <c r="FQ82" i="46"/>
  <c r="ES82" i="46"/>
  <c r="DU82" i="46"/>
  <c r="CW82" i="46"/>
  <c r="BY82" i="46"/>
  <c r="BA82" i="46"/>
  <c r="AC82" i="46"/>
  <c r="FN82" i="46"/>
  <c r="EP82" i="46"/>
  <c r="LB82" i="46"/>
  <c r="DR82" i="46"/>
  <c r="KD82" i="46"/>
  <c r="CT82" i="46"/>
  <c r="JF82" i="46"/>
  <c r="BV82" i="46"/>
  <c r="GL82" i="46"/>
  <c r="IH82" i="46"/>
  <c r="AX82" i="46"/>
  <c r="HJ82" i="46"/>
  <c r="Z82" i="46"/>
  <c r="T109" i="46"/>
  <c r="KV109" i="46"/>
  <c r="JX109" i="46"/>
  <c r="IZ109" i="46"/>
  <c r="IB109" i="46"/>
  <c r="HD109" i="46"/>
  <c r="GF109" i="46"/>
  <c r="FH109" i="46"/>
  <c r="EJ109" i="46"/>
  <c r="DL109" i="46"/>
  <c r="CN109" i="46"/>
  <c r="BP109" i="46"/>
  <c r="AR109" i="46"/>
  <c r="KS109" i="46"/>
  <c r="JU109" i="46"/>
  <c r="IW109" i="46"/>
  <c r="HY109" i="46"/>
  <c r="HA109" i="46"/>
  <c r="GC109" i="46"/>
  <c r="FE109" i="46"/>
  <c r="EG109" i="46"/>
  <c r="DI109" i="46"/>
  <c r="CK109" i="46"/>
  <c r="BM109" i="46"/>
  <c r="AO109" i="46"/>
  <c r="KP109" i="46"/>
  <c r="JR109" i="46"/>
  <c r="IT109" i="46"/>
  <c r="HV109" i="46"/>
  <c r="GX109" i="46"/>
  <c r="FZ109" i="46"/>
  <c r="FB109" i="46"/>
  <c r="ED109" i="46"/>
  <c r="DF109" i="46"/>
  <c r="CH109" i="46"/>
  <c r="BJ109" i="46"/>
  <c r="AL109" i="46"/>
  <c r="KM109" i="46"/>
  <c r="JO109" i="46"/>
  <c r="IQ109" i="46"/>
  <c r="HS109" i="46"/>
  <c r="GU109" i="46"/>
  <c r="FW109" i="46"/>
  <c r="EY109" i="46"/>
  <c r="EA109" i="46"/>
  <c r="DC109" i="46"/>
  <c r="CE109" i="46"/>
  <c r="BG109" i="46"/>
  <c r="AI109" i="46"/>
  <c r="KJ109" i="46"/>
  <c r="JL109" i="46"/>
  <c r="IN109" i="46"/>
  <c r="HP109" i="46"/>
  <c r="GR109" i="46"/>
  <c r="FT109" i="46"/>
  <c r="EV109" i="46"/>
  <c r="DX109" i="46"/>
  <c r="CZ109" i="46"/>
  <c r="CB109" i="46"/>
  <c r="BD109" i="46"/>
  <c r="AF109" i="46"/>
  <c r="JF109" i="46"/>
  <c r="GO109" i="46"/>
  <c r="EM109" i="46"/>
  <c r="BV109" i="46"/>
  <c r="LE109" i="46"/>
  <c r="JC109" i="46"/>
  <c r="GL109" i="46"/>
  <c r="DU109" i="46"/>
  <c r="BS109" i="46"/>
  <c r="LB109" i="46"/>
  <c r="IK109" i="46"/>
  <c r="GI109" i="46"/>
  <c r="DR109" i="46"/>
  <c r="BA109" i="46"/>
  <c r="KY109" i="46"/>
  <c r="IH109" i="46"/>
  <c r="FQ109" i="46"/>
  <c r="DO109" i="46"/>
  <c r="AX109" i="46"/>
  <c r="KG109" i="46"/>
  <c r="IE109" i="46"/>
  <c r="FN109" i="46"/>
  <c r="CW109" i="46"/>
  <c r="AU109" i="46"/>
  <c r="KD109" i="46"/>
  <c r="HM109" i="46"/>
  <c r="FK109" i="46"/>
  <c r="CT109" i="46"/>
  <c r="AC109" i="46"/>
  <c r="CQ109" i="46"/>
  <c r="BY109" i="46"/>
  <c r="KA109" i="46"/>
  <c r="Z109" i="46"/>
  <c r="JI109" i="46"/>
  <c r="W109" i="46"/>
  <c r="HJ109" i="46"/>
  <c r="HG109" i="46"/>
  <c r="ES109" i="46"/>
  <c r="EP109" i="46"/>
  <c r="T107" i="46"/>
  <c r="KP107" i="46"/>
  <c r="JR107" i="46"/>
  <c r="IT107" i="46"/>
  <c r="HV107" i="46"/>
  <c r="GX107" i="46"/>
  <c r="FZ107" i="46"/>
  <c r="FB107" i="46"/>
  <c r="ED107" i="46"/>
  <c r="DF107" i="46"/>
  <c r="CH107" i="46"/>
  <c r="BJ107" i="46"/>
  <c r="AL107" i="46"/>
  <c r="LE107" i="46"/>
  <c r="KG107" i="46"/>
  <c r="JI107" i="46"/>
  <c r="IK107" i="46"/>
  <c r="HM107" i="46"/>
  <c r="GO107" i="46"/>
  <c r="FQ107" i="46"/>
  <c r="ES107" i="46"/>
  <c r="DU107" i="46"/>
  <c r="CW107" i="46"/>
  <c r="BY107" i="46"/>
  <c r="BA107" i="46"/>
  <c r="AC107" i="46"/>
  <c r="LB107" i="46"/>
  <c r="KD107" i="46"/>
  <c r="JF107" i="46"/>
  <c r="IH107" i="46"/>
  <c r="HJ107" i="46"/>
  <c r="GL107" i="46"/>
  <c r="FN107" i="46"/>
  <c r="EP107" i="46"/>
  <c r="DR107" i="46"/>
  <c r="CT107" i="46"/>
  <c r="BV107" i="46"/>
  <c r="KV107" i="46"/>
  <c r="JL107" i="46"/>
  <c r="HY107" i="46"/>
  <c r="GI107" i="46"/>
  <c r="EY107" i="46"/>
  <c r="DL107" i="46"/>
  <c r="CB107" i="46"/>
  <c r="AR107" i="46"/>
  <c r="KS107" i="46"/>
  <c r="JC107" i="46"/>
  <c r="HS107" i="46"/>
  <c r="GF107" i="46"/>
  <c r="EV107" i="46"/>
  <c r="DI107" i="46"/>
  <c r="BS107" i="46"/>
  <c r="AO107" i="46"/>
  <c r="KM107" i="46"/>
  <c r="IZ107" i="46"/>
  <c r="HP107" i="46"/>
  <c r="GC107" i="46"/>
  <c r="EM107" i="46"/>
  <c r="DC107" i="46"/>
  <c r="BP107" i="46"/>
  <c r="AI107" i="46"/>
  <c r="KJ107" i="46"/>
  <c r="IW107" i="46"/>
  <c r="HG107" i="46"/>
  <c r="FW107" i="46"/>
  <c r="EJ107" i="46"/>
  <c r="CZ107" i="46"/>
  <c r="BM107" i="46"/>
  <c r="AF107" i="46"/>
  <c r="KA107" i="46"/>
  <c r="IQ107" i="46"/>
  <c r="HD107" i="46"/>
  <c r="FT107" i="46"/>
  <c r="EG107" i="46"/>
  <c r="CQ107" i="46"/>
  <c r="BG107" i="46"/>
  <c r="Z107" i="46"/>
  <c r="JX107" i="46"/>
  <c r="IN107" i="46"/>
  <c r="HA107" i="46"/>
  <c r="FK107" i="46"/>
  <c r="EA107" i="46"/>
  <c r="CN107" i="46"/>
  <c r="BD107" i="46"/>
  <c r="W107" i="46"/>
  <c r="FH107" i="46"/>
  <c r="KY107" i="46"/>
  <c r="FE107" i="46"/>
  <c r="JU107" i="46"/>
  <c r="DX107" i="46"/>
  <c r="JO107" i="46"/>
  <c r="DO107" i="46"/>
  <c r="IE107" i="46"/>
  <c r="CK107" i="46"/>
  <c r="IB107" i="46"/>
  <c r="CE107" i="46"/>
  <c r="GU107" i="46"/>
  <c r="AX107" i="46"/>
  <c r="GR107" i="46"/>
  <c r="AU107" i="46"/>
  <c r="T127" i="46"/>
  <c r="KJ127" i="46"/>
  <c r="JL127" i="46"/>
  <c r="IN127" i="46"/>
  <c r="HP127" i="46"/>
  <c r="GR127" i="46"/>
  <c r="FT127" i="46"/>
  <c r="EV127" i="46"/>
  <c r="DX127" i="46"/>
  <c r="CZ127" i="46"/>
  <c r="CB127" i="46"/>
  <c r="BD127" i="46"/>
  <c r="AF127" i="46"/>
  <c r="KP127" i="46"/>
  <c r="JO127" i="46"/>
  <c r="IK127" i="46"/>
  <c r="HJ127" i="46"/>
  <c r="GI127" i="46"/>
  <c r="FH127" i="46"/>
  <c r="EG127" i="46"/>
  <c r="DF127" i="46"/>
  <c r="CE127" i="46"/>
  <c r="BA127" i="46"/>
  <c r="Z127" i="46"/>
  <c r="KM127" i="46"/>
  <c r="JI127" i="46"/>
  <c r="IH127" i="46"/>
  <c r="HG127" i="46"/>
  <c r="GF127" i="46"/>
  <c r="FE127" i="46"/>
  <c r="ED127" i="46"/>
  <c r="DC127" i="46"/>
  <c r="BY127" i="46"/>
  <c r="AX127" i="46"/>
  <c r="W127" i="46"/>
  <c r="KG127" i="46"/>
  <c r="JF127" i="46"/>
  <c r="IE127" i="46"/>
  <c r="HD127" i="46"/>
  <c r="GC127" i="46"/>
  <c r="FB127" i="46"/>
  <c r="EA127" i="46"/>
  <c r="CW127" i="46"/>
  <c r="BV127" i="46"/>
  <c r="AU127" i="46"/>
  <c r="LE127" i="46"/>
  <c r="KD127" i="46"/>
  <c r="JC127" i="46"/>
  <c r="IB127" i="46"/>
  <c r="HA127" i="46"/>
  <c r="FZ127" i="46"/>
  <c r="EY127" i="46"/>
  <c r="DU127" i="46"/>
  <c r="CT127" i="46"/>
  <c r="BS127" i="46"/>
  <c r="AR127" i="46"/>
  <c r="LB127" i="46"/>
  <c r="KA127" i="46"/>
  <c r="IZ127" i="46"/>
  <c r="HY127" i="46"/>
  <c r="GX127" i="46"/>
  <c r="FW127" i="46"/>
  <c r="ES127" i="46"/>
  <c r="DR127" i="46"/>
  <c r="CQ127" i="46"/>
  <c r="BP127" i="46"/>
  <c r="AO127" i="46"/>
  <c r="KS127" i="46"/>
  <c r="HS127" i="46"/>
  <c r="EP127" i="46"/>
  <c r="CH127" i="46"/>
  <c r="JX127" i="46"/>
  <c r="HM127" i="46"/>
  <c r="EM127" i="46"/>
  <c r="BM127" i="46"/>
  <c r="JU127" i="46"/>
  <c r="GU127" i="46"/>
  <c r="EJ127" i="46"/>
  <c r="BJ127" i="46"/>
  <c r="JR127" i="46"/>
  <c r="GO127" i="46"/>
  <c r="DO127" i="46"/>
  <c r="BG127" i="46"/>
  <c r="IW127" i="46"/>
  <c r="GL127" i="46"/>
  <c r="DL127" i="46"/>
  <c r="AL127" i="46"/>
  <c r="IT127" i="46"/>
  <c r="FQ127" i="46"/>
  <c r="DI127" i="46"/>
  <c r="AI127" i="46"/>
  <c r="KY127" i="46"/>
  <c r="IQ127" i="46"/>
  <c r="FN127" i="46"/>
  <c r="CN127" i="46"/>
  <c r="AC127" i="46"/>
  <c r="KV127" i="46"/>
  <c r="HV127" i="46"/>
  <c r="FK127" i="46"/>
  <c r="CK127" i="46"/>
  <c r="T99" i="46"/>
  <c r="LE99" i="46"/>
  <c r="KG99" i="46"/>
  <c r="JI99" i="46"/>
  <c r="IK99" i="46"/>
  <c r="HM99" i="46"/>
  <c r="GO99" i="46"/>
  <c r="FQ99" i="46"/>
  <c r="ES99" i="46"/>
  <c r="DU99" i="46"/>
  <c r="CW99" i="46"/>
  <c r="BY99" i="46"/>
  <c r="BA99" i="46"/>
  <c r="AC99" i="46"/>
  <c r="LB99" i="46"/>
  <c r="KD99" i="46"/>
  <c r="JF99" i="46"/>
  <c r="IH99" i="46"/>
  <c r="HJ99" i="46"/>
  <c r="GL99" i="46"/>
  <c r="FN99" i="46"/>
  <c r="EP99" i="46"/>
  <c r="DR99" i="46"/>
  <c r="CT99" i="46"/>
  <c r="BV99" i="46"/>
  <c r="AX99" i="46"/>
  <c r="Z99" i="46"/>
  <c r="KY99" i="46"/>
  <c r="KA99" i="46"/>
  <c r="JC99" i="46"/>
  <c r="IE99" i="46"/>
  <c r="HG99" i="46"/>
  <c r="GI99" i="46"/>
  <c r="FK99" i="46"/>
  <c r="EM99" i="46"/>
  <c r="DO99" i="46"/>
  <c r="CQ99" i="46"/>
  <c r="BS99" i="46"/>
  <c r="AU99" i="46"/>
  <c r="W99" i="46"/>
  <c r="KV99" i="46"/>
  <c r="JX99" i="46"/>
  <c r="IZ99" i="46"/>
  <c r="IB99" i="46"/>
  <c r="HD99" i="46"/>
  <c r="GF99" i="46"/>
  <c r="FH99" i="46"/>
  <c r="EJ99" i="46"/>
  <c r="DL99" i="46"/>
  <c r="CN99" i="46"/>
  <c r="BP99" i="46"/>
  <c r="AR99" i="46"/>
  <c r="KS99" i="46"/>
  <c r="JU99" i="46"/>
  <c r="IW99" i="46"/>
  <c r="HY99" i="46"/>
  <c r="HA99" i="46"/>
  <c r="GC99" i="46"/>
  <c r="FE99" i="46"/>
  <c r="EG99" i="46"/>
  <c r="DI99" i="46"/>
  <c r="CK99" i="46"/>
  <c r="BM99" i="46"/>
  <c r="AO99" i="46"/>
  <c r="JO99" i="46"/>
  <c r="GX99" i="46"/>
  <c r="EV99" i="46"/>
  <c r="CE99" i="46"/>
  <c r="JL99" i="46"/>
  <c r="GU99" i="46"/>
  <c r="ED99" i="46"/>
  <c r="CB99" i="46"/>
  <c r="IT99" i="46"/>
  <c r="GR99" i="46"/>
  <c r="EA99" i="46"/>
  <c r="BJ99" i="46"/>
  <c r="IQ99" i="46"/>
  <c r="FZ99" i="46"/>
  <c r="DX99" i="46"/>
  <c r="BG99" i="46"/>
  <c r="KP99" i="46"/>
  <c r="IN99" i="46"/>
  <c r="FW99" i="46"/>
  <c r="DF99" i="46"/>
  <c r="BD99" i="46"/>
  <c r="KM99" i="46"/>
  <c r="HV99" i="46"/>
  <c r="FT99" i="46"/>
  <c r="DC99" i="46"/>
  <c r="AL99" i="46"/>
  <c r="HS99" i="46"/>
  <c r="HP99" i="46"/>
  <c r="FB99" i="46"/>
  <c r="EY99" i="46"/>
  <c r="CZ99" i="46"/>
  <c r="CH99" i="46"/>
  <c r="KJ99" i="46"/>
  <c r="AI99" i="46"/>
  <c r="JR99" i="46"/>
  <c r="AF99" i="46"/>
  <c r="T100" i="46"/>
  <c r="KV100" i="46"/>
  <c r="JX100" i="46"/>
  <c r="IZ100" i="46"/>
  <c r="IB100" i="46"/>
  <c r="HD100" i="46"/>
  <c r="GF100" i="46"/>
  <c r="FH100" i="46"/>
  <c r="EJ100" i="46"/>
  <c r="DL100" i="46"/>
  <c r="CN100" i="46"/>
  <c r="BP100" i="46"/>
  <c r="AR100" i="46"/>
  <c r="KS100" i="46"/>
  <c r="JU100" i="46"/>
  <c r="IW100" i="46"/>
  <c r="HY100" i="46"/>
  <c r="HA100" i="46"/>
  <c r="GC100" i="46"/>
  <c r="FE100" i="46"/>
  <c r="EG100" i="46"/>
  <c r="DI100" i="46"/>
  <c r="CK100" i="46"/>
  <c r="BM100" i="46"/>
  <c r="AO100" i="46"/>
  <c r="KP100" i="46"/>
  <c r="JR100" i="46"/>
  <c r="IT100" i="46"/>
  <c r="HV100" i="46"/>
  <c r="GX100" i="46"/>
  <c r="FZ100" i="46"/>
  <c r="FB100" i="46"/>
  <c r="ED100" i="46"/>
  <c r="DF100" i="46"/>
  <c r="CH100" i="46"/>
  <c r="BJ100" i="46"/>
  <c r="AL100" i="46"/>
  <c r="KM100" i="46"/>
  <c r="JO100" i="46"/>
  <c r="IQ100" i="46"/>
  <c r="HS100" i="46"/>
  <c r="GU100" i="46"/>
  <c r="FW100" i="46"/>
  <c r="EY100" i="46"/>
  <c r="EA100" i="46"/>
  <c r="DC100" i="46"/>
  <c r="CE100" i="46"/>
  <c r="BG100" i="46"/>
  <c r="AI100" i="46"/>
  <c r="KJ100" i="46"/>
  <c r="JL100" i="46"/>
  <c r="IN100" i="46"/>
  <c r="HP100" i="46"/>
  <c r="GR100" i="46"/>
  <c r="FT100" i="46"/>
  <c r="EV100" i="46"/>
  <c r="DX100" i="46"/>
  <c r="CZ100" i="46"/>
  <c r="CB100" i="46"/>
  <c r="BD100" i="46"/>
  <c r="AF100" i="46"/>
  <c r="LB100" i="46"/>
  <c r="IK100" i="46"/>
  <c r="GI100" i="46"/>
  <c r="DR100" i="46"/>
  <c r="BA100" i="46"/>
  <c r="KY100" i="46"/>
  <c r="IH100" i="46"/>
  <c r="FQ100" i="46"/>
  <c r="DO100" i="46"/>
  <c r="AX100" i="46"/>
  <c r="KG100" i="46"/>
  <c r="IE100" i="46"/>
  <c r="FN100" i="46"/>
  <c r="CW100" i="46"/>
  <c r="AU100" i="46"/>
  <c r="KD100" i="46"/>
  <c r="HM100" i="46"/>
  <c r="FK100" i="46"/>
  <c r="CT100" i="46"/>
  <c r="AC100" i="46"/>
  <c r="KA100" i="46"/>
  <c r="HJ100" i="46"/>
  <c r="ES100" i="46"/>
  <c r="CQ100" i="46"/>
  <c r="Z100" i="46"/>
  <c r="JI100" i="46"/>
  <c r="HG100" i="46"/>
  <c r="EP100" i="46"/>
  <c r="BY100" i="46"/>
  <c r="W100" i="46"/>
  <c r="JF100" i="46"/>
  <c r="JC100" i="46"/>
  <c r="GO100" i="46"/>
  <c r="GL100" i="46"/>
  <c r="EM100" i="46"/>
  <c r="DU100" i="46"/>
  <c r="BV100" i="46"/>
  <c r="LE100" i="46"/>
  <c r="BS100" i="46"/>
  <c r="T102" i="46"/>
  <c r="LE102" i="46"/>
  <c r="KG102" i="46"/>
  <c r="JI102" i="46"/>
  <c r="IK102" i="46"/>
  <c r="HM102" i="46"/>
  <c r="GO102" i="46"/>
  <c r="FQ102" i="46"/>
  <c r="ES102" i="46"/>
  <c r="DU102" i="46"/>
  <c r="CW102" i="46"/>
  <c r="BY102" i="46"/>
  <c r="BA102" i="46"/>
  <c r="AC102" i="46"/>
  <c r="KD102" i="46"/>
  <c r="JC102" i="46"/>
  <c r="IB102" i="46"/>
  <c r="HA102" i="46"/>
  <c r="FZ102" i="46"/>
  <c r="EY102" i="46"/>
  <c r="DX102" i="46"/>
  <c r="CT102" i="46"/>
  <c r="BS102" i="46"/>
  <c r="AR102" i="46"/>
  <c r="LB102" i="46"/>
  <c r="KA102" i="46"/>
  <c r="IZ102" i="46"/>
  <c r="HY102" i="46"/>
  <c r="GX102" i="46"/>
  <c r="FW102" i="46"/>
  <c r="EV102" i="46"/>
  <c r="DR102" i="46"/>
  <c r="CQ102" i="46"/>
  <c r="BP102" i="46"/>
  <c r="AO102" i="46"/>
  <c r="KY102" i="46"/>
  <c r="JX102" i="46"/>
  <c r="IW102" i="46"/>
  <c r="HV102" i="46"/>
  <c r="GU102" i="46"/>
  <c r="FT102" i="46"/>
  <c r="EP102" i="46"/>
  <c r="DO102" i="46"/>
  <c r="CN102" i="46"/>
  <c r="BM102" i="46"/>
  <c r="AL102" i="46"/>
  <c r="KV102" i="46"/>
  <c r="JU102" i="46"/>
  <c r="IT102" i="46"/>
  <c r="HS102" i="46"/>
  <c r="GR102" i="46"/>
  <c r="FN102" i="46"/>
  <c r="EM102" i="46"/>
  <c r="DL102" i="46"/>
  <c r="CK102" i="46"/>
  <c r="BJ102" i="46"/>
  <c r="AI102" i="46"/>
  <c r="KS102" i="46"/>
  <c r="JR102" i="46"/>
  <c r="IQ102" i="46"/>
  <c r="HP102" i="46"/>
  <c r="GL102" i="46"/>
  <c r="FK102" i="46"/>
  <c r="EJ102" i="46"/>
  <c r="DI102" i="46"/>
  <c r="CH102" i="46"/>
  <c r="BG102" i="46"/>
  <c r="AF102" i="46"/>
  <c r="JO102" i="46"/>
  <c r="HD102" i="46"/>
  <c r="ED102" i="46"/>
  <c r="BD102" i="46"/>
  <c r="JL102" i="46"/>
  <c r="GI102" i="46"/>
  <c r="EA102" i="46"/>
  <c r="AX102" i="46"/>
  <c r="JF102" i="46"/>
  <c r="GF102" i="46"/>
  <c r="DF102" i="46"/>
  <c r="AU102" i="46"/>
  <c r="IN102" i="46"/>
  <c r="GC102" i="46"/>
  <c r="DC102" i="46"/>
  <c r="Z102" i="46"/>
  <c r="IH102" i="46"/>
  <c r="FH102" i="46"/>
  <c r="CZ102" i="46"/>
  <c r="W102" i="46"/>
  <c r="KP102" i="46"/>
  <c r="IE102" i="46"/>
  <c r="FE102" i="46"/>
  <c r="CE102" i="46"/>
  <c r="HJ102" i="46"/>
  <c r="HG102" i="46"/>
  <c r="FB102" i="46"/>
  <c r="EG102" i="46"/>
  <c r="CB102" i="46"/>
  <c r="BV102" i="46"/>
  <c r="KM102" i="46"/>
  <c r="KJ102" i="46"/>
  <c r="T87" i="46"/>
  <c r="LB87" i="46"/>
  <c r="KD87" i="46"/>
  <c r="JF87" i="46"/>
  <c r="IH87" i="46"/>
  <c r="HJ87" i="46"/>
  <c r="GL87" i="46"/>
  <c r="FN87" i="46"/>
  <c r="EP87" i="46"/>
  <c r="DR87" i="46"/>
  <c r="CT87" i="46"/>
  <c r="BV87" i="46"/>
  <c r="AX87" i="46"/>
  <c r="Z87" i="46"/>
  <c r="KY87" i="46"/>
  <c r="KA87" i="46"/>
  <c r="JC87" i="46"/>
  <c r="IE87" i="46"/>
  <c r="HG87" i="46"/>
  <c r="GI87" i="46"/>
  <c r="FK87" i="46"/>
  <c r="EM87" i="46"/>
  <c r="DO87" i="46"/>
  <c r="CQ87" i="46"/>
  <c r="BS87" i="46"/>
  <c r="AU87" i="46"/>
  <c r="W87" i="46"/>
  <c r="KV87" i="46"/>
  <c r="JX87" i="46"/>
  <c r="IZ87" i="46"/>
  <c r="IB87" i="46"/>
  <c r="HD87" i="46"/>
  <c r="GF87" i="46"/>
  <c r="FH87" i="46"/>
  <c r="EJ87" i="46"/>
  <c r="DL87" i="46"/>
  <c r="CN87" i="46"/>
  <c r="BP87" i="46"/>
  <c r="AR87" i="46"/>
  <c r="KS87" i="46"/>
  <c r="JU87" i="46"/>
  <c r="IW87" i="46"/>
  <c r="HY87" i="46"/>
  <c r="HA87" i="46"/>
  <c r="GC87" i="46"/>
  <c r="FE87" i="46"/>
  <c r="EG87" i="46"/>
  <c r="DI87" i="46"/>
  <c r="CK87" i="46"/>
  <c r="BM87" i="46"/>
  <c r="AO87" i="46"/>
  <c r="KP87" i="46"/>
  <c r="JR87" i="46"/>
  <c r="IT87" i="46"/>
  <c r="HV87" i="46"/>
  <c r="GX87" i="46"/>
  <c r="FZ87" i="46"/>
  <c r="FB87" i="46"/>
  <c r="ED87" i="46"/>
  <c r="DF87" i="46"/>
  <c r="CH87" i="46"/>
  <c r="BJ87" i="46"/>
  <c r="AL87" i="46"/>
  <c r="KM87" i="46"/>
  <c r="IK87" i="46"/>
  <c r="FT87" i="46"/>
  <c r="DC87" i="46"/>
  <c r="BA87" i="46"/>
  <c r="KJ87" i="46"/>
  <c r="HS87" i="46"/>
  <c r="FQ87" i="46"/>
  <c r="CZ87" i="46"/>
  <c r="AI87" i="46"/>
  <c r="KG87" i="46"/>
  <c r="HP87" i="46"/>
  <c r="EY87" i="46"/>
  <c r="CW87" i="46"/>
  <c r="AF87" i="46"/>
  <c r="JO87" i="46"/>
  <c r="HM87" i="46"/>
  <c r="EV87" i="46"/>
  <c r="CE87" i="46"/>
  <c r="AC87" i="46"/>
  <c r="JL87" i="46"/>
  <c r="GU87" i="46"/>
  <c r="ES87" i="46"/>
  <c r="CB87" i="46"/>
  <c r="JI87" i="46"/>
  <c r="GR87" i="46"/>
  <c r="EA87" i="46"/>
  <c r="BY87" i="46"/>
  <c r="IQ87" i="46"/>
  <c r="GO87" i="46"/>
  <c r="DX87" i="46"/>
  <c r="BG87" i="46"/>
  <c r="LE87" i="46"/>
  <c r="IN87" i="46"/>
  <c r="FW87" i="46"/>
  <c r="DU87" i="46"/>
  <c r="BD87" i="46"/>
  <c r="T80" i="46"/>
  <c r="KS80" i="46"/>
  <c r="JU80" i="46"/>
  <c r="IW80" i="46"/>
  <c r="HY80" i="46"/>
  <c r="HA80" i="46"/>
  <c r="GC80" i="46"/>
  <c r="FE80" i="46"/>
  <c r="EG80" i="46"/>
  <c r="DI80" i="46"/>
  <c r="CK80" i="46"/>
  <c r="BM80" i="46"/>
  <c r="AO80" i="46"/>
  <c r="KP80" i="46"/>
  <c r="JR80" i="46"/>
  <c r="IT80" i="46"/>
  <c r="HV80" i="46"/>
  <c r="GX80" i="46"/>
  <c r="FZ80" i="46"/>
  <c r="FB80" i="46"/>
  <c r="ED80" i="46"/>
  <c r="DF80" i="46"/>
  <c r="CH80" i="46"/>
  <c r="KM80" i="46"/>
  <c r="JO80" i="46"/>
  <c r="IQ80" i="46"/>
  <c r="HS80" i="46"/>
  <c r="GU80" i="46"/>
  <c r="FW80" i="46"/>
  <c r="EY80" i="46"/>
  <c r="EA80" i="46"/>
  <c r="DC80" i="46"/>
  <c r="CE80" i="46"/>
  <c r="BG80" i="46"/>
  <c r="AI80" i="46"/>
  <c r="KJ80" i="46"/>
  <c r="JL80" i="46"/>
  <c r="IN80" i="46"/>
  <c r="HP80" i="46"/>
  <c r="GR80" i="46"/>
  <c r="FT80" i="46"/>
  <c r="EV80" i="46"/>
  <c r="DX80" i="46"/>
  <c r="CZ80" i="46"/>
  <c r="CB80" i="46"/>
  <c r="BD80" i="46"/>
  <c r="AF80" i="46"/>
  <c r="LE80" i="46"/>
  <c r="KG80" i="46"/>
  <c r="JI80" i="46"/>
  <c r="IK80" i="46"/>
  <c r="HM80" i="46"/>
  <c r="GO80" i="46"/>
  <c r="FQ80" i="46"/>
  <c r="ES80" i="46"/>
  <c r="DU80" i="46"/>
  <c r="CW80" i="46"/>
  <c r="BY80" i="46"/>
  <c r="BA80" i="46"/>
  <c r="AC80" i="46"/>
  <c r="KA80" i="46"/>
  <c r="HJ80" i="46"/>
  <c r="FH80" i="46"/>
  <c r="CQ80" i="46"/>
  <c r="AR80" i="46"/>
  <c r="IB80" i="46"/>
  <c r="JX80" i="46"/>
  <c r="HG80" i="46"/>
  <c r="EP80" i="46"/>
  <c r="CN80" i="46"/>
  <c r="AL80" i="46"/>
  <c r="JF80" i="46"/>
  <c r="HD80" i="46"/>
  <c r="EM80" i="46"/>
  <c r="BV80" i="46"/>
  <c r="Z80" i="46"/>
  <c r="KD80" i="46"/>
  <c r="JC80" i="46"/>
  <c r="GL80" i="46"/>
  <c r="EJ80" i="46"/>
  <c r="BS80" i="46"/>
  <c r="W80" i="46"/>
  <c r="FK80" i="46"/>
  <c r="LB80" i="46"/>
  <c r="IZ80" i="46"/>
  <c r="GI80" i="46"/>
  <c r="DR80" i="46"/>
  <c r="BP80" i="46"/>
  <c r="CT80" i="46"/>
  <c r="KY80" i="46"/>
  <c r="IH80" i="46"/>
  <c r="GF80" i="46"/>
  <c r="DO80" i="46"/>
  <c r="BJ80" i="46"/>
  <c r="KV80" i="46"/>
  <c r="IE80" i="46"/>
  <c r="FN80" i="46"/>
  <c r="DL80" i="46"/>
  <c r="AX80" i="46"/>
  <c r="AU80" i="46"/>
  <c r="T88" i="46"/>
  <c r="KS88" i="46"/>
  <c r="JU88" i="46"/>
  <c r="IW88" i="46"/>
  <c r="HY88" i="46"/>
  <c r="HA88" i="46"/>
  <c r="GC88" i="46"/>
  <c r="FE88" i="46"/>
  <c r="EG88" i="46"/>
  <c r="DI88" i="46"/>
  <c r="CK88" i="46"/>
  <c r="BM88" i="46"/>
  <c r="AO88" i="46"/>
  <c r="KP88" i="46"/>
  <c r="JR88" i="46"/>
  <c r="IT88" i="46"/>
  <c r="HV88" i="46"/>
  <c r="GX88" i="46"/>
  <c r="FZ88" i="46"/>
  <c r="FB88" i="46"/>
  <c r="ED88" i="46"/>
  <c r="DF88" i="46"/>
  <c r="CH88" i="46"/>
  <c r="BJ88" i="46"/>
  <c r="AL88" i="46"/>
  <c r="KM88" i="46"/>
  <c r="JO88" i="46"/>
  <c r="IQ88" i="46"/>
  <c r="HS88" i="46"/>
  <c r="GU88" i="46"/>
  <c r="FW88" i="46"/>
  <c r="EY88" i="46"/>
  <c r="EA88" i="46"/>
  <c r="DC88" i="46"/>
  <c r="CE88" i="46"/>
  <c r="BG88" i="46"/>
  <c r="AI88" i="46"/>
  <c r="KJ88" i="46"/>
  <c r="JL88" i="46"/>
  <c r="IN88" i="46"/>
  <c r="HP88" i="46"/>
  <c r="GR88" i="46"/>
  <c r="FT88" i="46"/>
  <c r="EV88" i="46"/>
  <c r="DX88" i="46"/>
  <c r="CZ88" i="46"/>
  <c r="CB88" i="46"/>
  <c r="BD88" i="46"/>
  <c r="AF88" i="46"/>
  <c r="LE88" i="46"/>
  <c r="KG88" i="46"/>
  <c r="JI88" i="46"/>
  <c r="IK88" i="46"/>
  <c r="HM88" i="46"/>
  <c r="GO88" i="46"/>
  <c r="FQ88" i="46"/>
  <c r="ES88" i="46"/>
  <c r="DU88" i="46"/>
  <c r="CW88" i="46"/>
  <c r="BY88" i="46"/>
  <c r="BA88" i="46"/>
  <c r="AC88" i="46"/>
  <c r="LB88" i="46"/>
  <c r="KD88" i="46"/>
  <c r="JF88" i="46"/>
  <c r="IH88" i="46"/>
  <c r="HJ88" i="46"/>
  <c r="GL88" i="46"/>
  <c r="FN88" i="46"/>
  <c r="EP88" i="46"/>
  <c r="DR88" i="46"/>
  <c r="CT88" i="46"/>
  <c r="BV88" i="46"/>
  <c r="KY88" i="46"/>
  <c r="KA88" i="46"/>
  <c r="JC88" i="46"/>
  <c r="IE88" i="46"/>
  <c r="HG88" i="46"/>
  <c r="GI88" i="46"/>
  <c r="FK88" i="46"/>
  <c r="EM88" i="46"/>
  <c r="DO88" i="46"/>
  <c r="CQ88" i="46"/>
  <c r="KV88" i="46"/>
  <c r="DL88" i="46"/>
  <c r="W88" i="46"/>
  <c r="JX88" i="46"/>
  <c r="CN88" i="46"/>
  <c r="IZ88" i="46"/>
  <c r="BS88" i="46"/>
  <c r="IB88" i="46"/>
  <c r="BP88" i="46"/>
  <c r="HD88" i="46"/>
  <c r="AX88" i="46"/>
  <c r="GF88" i="46"/>
  <c r="AU88" i="46"/>
  <c r="FH88" i="46"/>
  <c r="AR88" i="46"/>
  <c r="EJ88" i="46"/>
  <c r="Z88" i="46"/>
  <c r="T111" i="46"/>
  <c r="KY111" i="46"/>
  <c r="KA111" i="46"/>
  <c r="JC111" i="46"/>
  <c r="IE111" i="46"/>
  <c r="HG111" i="46"/>
  <c r="GI111" i="46"/>
  <c r="FK111" i="46"/>
  <c r="EM111" i="46"/>
  <c r="DO111" i="46"/>
  <c r="CQ111" i="46"/>
  <c r="BS111" i="46"/>
  <c r="AU111" i="46"/>
  <c r="W111" i="46"/>
  <c r="KV111" i="46"/>
  <c r="JX111" i="46"/>
  <c r="IZ111" i="46"/>
  <c r="IB111" i="46"/>
  <c r="HD111" i="46"/>
  <c r="GF111" i="46"/>
  <c r="FH111" i="46"/>
  <c r="EJ111" i="46"/>
  <c r="DL111" i="46"/>
  <c r="CN111" i="46"/>
  <c r="BP111" i="46"/>
  <c r="AR111" i="46"/>
  <c r="KP111" i="46"/>
  <c r="JR111" i="46"/>
  <c r="IT111" i="46"/>
  <c r="HV111" i="46"/>
  <c r="GX111" i="46"/>
  <c r="FZ111" i="46"/>
  <c r="FB111" i="46"/>
  <c r="ED111" i="46"/>
  <c r="DF111" i="46"/>
  <c r="CH111" i="46"/>
  <c r="BJ111" i="46"/>
  <c r="AL111" i="46"/>
  <c r="KS111" i="46"/>
  <c r="JI111" i="46"/>
  <c r="HS111" i="46"/>
  <c r="GL111" i="46"/>
  <c r="EV111" i="46"/>
  <c r="DI111" i="46"/>
  <c r="BY111" i="46"/>
  <c r="AI111" i="46"/>
  <c r="KM111" i="46"/>
  <c r="JF111" i="46"/>
  <c r="HP111" i="46"/>
  <c r="GC111" i="46"/>
  <c r="ES111" i="46"/>
  <c r="DC111" i="46"/>
  <c r="BV111" i="46"/>
  <c r="AF111" i="46"/>
  <c r="KJ111" i="46"/>
  <c r="IW111" i="46"/>
  <c r="HM111" i="46"/>
  <c r="FW111" i="46"/>
  <c r="EP111" i="46"/>
  <c r="CZ111" i="46"/>
  <c r="BM111" i="46"/>
  <c r="AC111" i="46"/>
  <c r="KG111" i="46"/>
  <c r="IQ111" i="46"/>
  <c r="HJ111" i="46"/>
  <c r="FT111" i="46"/>
  <c r="EG111" i="46"/>
  <c r="CW111" i="46"/>
  <c r="BG111" i="46"/>
  <c r="Z111" i="46"/>
  <c r="KD111" i="46"/>
  <c r="IN111" i="46"/>
  <c r="HA111" i="46"/>
  <c r="FQ111" i="46"/>
  <c r="EA111" i="46"/>
  <c r="CT111" i="46"/>
  <c r="BD111" i="46"/>
  <c r="LB111" i="46"/>
  <c r="GR111" i="46"/>
  <c r="CK111" i="46"/>
  <c r="JU111" i="46"/>
  <c r="GO111" i="46"/>
  <c r="CE111" i="46"/>
  <c r="JO111" i="46"/>
  <c r="FN111" i="46"/>
  <c r="CB111" i="46"/>
  <c r="JL111" i="46"/>
  <c r="FE111" i="46"/>
  <c r="BA111" i="46"/>
  <c r="IK111" i="46"/>
  <c r="EY111" i="46"/>
  <c r="AX111" i="46"/>
  <c r="IH111" i="46"/>
  <c r="DX111" i="46"/>
  <c r="AO111" i="46"/>
  <c r="LE111" i="46"/>
  <c r="HY111" i="46"/>
  <c r="GU111" i="46"/>
  <c r="DU111" i="46"/>
  <c r="DR111" i="46"/>
  <c r="T105" i="46"/>
  <c r="KJ105" i="46"/>
  <c r="JL105" i="46"/>
  <c r="IN105" i="46"/>
  <c r="HP105" i="46"/>
  <c r="GR105" i="46"/>
  <c r="FT105" i="46"/>
  <c r="EV105" i="46"/>
  <c r="DX105" i="46"/>
  <c r="CZ105" i="46"/>
  <c r="CB105" i="46"/>
  <c r="BD105" i="46"/>
  <c r="AF105" i="46"/>
  <c r="LE105" i="46"/>
  <c r="KD105" i="46"/>
  <c r="JC105" i="46"/>
  <c r="IB105" i="46"/>
  <c r="HA105" i="46"/>
  <c r="FZ105" i="46"/>
  <c r="EY105" i="46"/>
  <c r="DU105" i="46"/>
  <c r="CT105" i="46"/>
  <c r="BS105" i="46"/>
  <c r="AR105" i="46"/>
  <c r="LB105" i="46"/>
  <c r="KA105" i="46"/>
  <c r="IZ105" i="46"/>
  <c r="HY105" i="46"/>
  <c r="GX105" i="46"/>
  <c r="FW105" i="46"/>
  <c r="ES105" i="46"/>
  <c r="DR105" i="46"/>
  <c r="CQ105" i="46"/>
  <c r="BP105" i="46"/>
  <c r="AO105" i="46"/>
  <c r="KP105" i="46"/>
  <c r="JF105" i="46"/>
  <c r="HS105" i="46"/>
  <c r="GI105" i="46"/>
  <c r="FB105" i="46"/>
  <c r="DL105" i="46"/>
  <c r="CE105" i="46"/>
  <c r="AU105" i="46"/>
  <c r="KM105" i="46"/>
  <c r="IW105" i="46"/>
  <c r="HM105" i="46"/>
  <c r="GF105" i="46"/>
  <c r="EP105" i="46"/>
  <c r="DI105" i="46"/>
  <c r="BY105" i="46"/>
  <c r="AL105" i="46"/>
  <c r="KG105" i="46"/>
  <c r="IT105" i="46"/>
  <c r="HJ105" i="46"/>
  <c r="GC105" i="46"/>
  <c r="EM105" i="46"/>
  <c r="DF105" i="46"/>
  <c r="BV105" i="46"/>
  <c r="AI105" i="46"/>
  <c r="JX105" i="46"/>
  <c r="IQ105" i="46"/>
  <c r="HG105" i="46"/>
  <c r="FQ105" i="46"/>
  <c r="EJ105" i="46"/>
  <c r="DC105" i="46"/>
  <c r="BM105" i="46"/>
  <c r="AC105" i="46"/>
  <c r="JU105" i="46"/>
  <c r="IK105" i="46"/>
  <c r="HD105" i="46"/>
  <c r="FN105" i="46"/>
  <c r="EG105" i="46"/>
  <c r="CW105" i="46"/>
  <c r="BJ105" i="46"/>
  <c r="Z105" i="46"/>
  <c r="KY105" i="46"/>
  <c r="JR105" i="46"/>
  <c r="IH105" i="46"/>
  <c r="GU105" i="46"/>
  <c r="FK105" i="46"/>
  <c r="ED105" i="46"/>
  <c r="CN105" i="46"/>
  <c r="KV105" i="46"/>
  <c r="JO105" i="46"/>
  <c r="IE105" i="46"/>
  <c r="GO105" i="46"/>
  <c r="FH105" i="46"/>
  <c r="EA105" i="46"/>
  <c r="JI105" i="46"/>
  <c r="BA105" i="46"/>
  <c r="HV105" i="46"/>
  <c r="AX105" i="46"/>
  <c r="GL105" i="46"/>
  <c r="W105" i="46"/>
  <c r="FE105" i="46"/>
  <c r="DO105" i="46"/>
  <c r="BG105" i="46"/>
  <c r="KS105" i="46"/>
  <c r="CK105" i="46"/>
  <c r="CH105" i="46"/>
  <c r="T124" i="46"/>
  <c r="T116" i="46"/>
  <c r="T84" i="46"/>
  <c r="A17" i="50" a="1"/>
  <c r="A17" i="50" s="1"/>
  <c r="A17" i="48" a="1"/>
  <c r="A17" i="48" s="1"/>
  <c r="A18" i="50" a="1"/>
  <c r="A18" i="50" s="1"/>
  <c r="A18" i="48" a="1"/>
  <c r="A18" i="48" s="1"/>
  <c r="A14" i="48" a="1"/>
  <c r="A14" i="48" s="1"/>
  <c r="A14" i="50" a="1"/>
  <c r="A14" i="50" s="1"/>
  <c r="A15" i="50" a="1"/>
  <c r="A15" i="50" s="1"/>
  <c r="A15" i="48" a="1"/>
  <c r="A15" i="48" s="1"/>
  <c r="BL63" i="3"/>
  <c r="BL65" i="3"/>
  <c r="BL62" i="3"/>
  <c r="BE62" i="3"/>
  <c r="BR62" i="3" s="1"/>
  <c r="BS60" i="3" s="1"/>
  <c r="BL61" i="3"/>
  <c r="BL68" i="3"/>
  <c r="BL67" i="3"/>
  <c r="BL59" i="3"/>
  <c r="BL58" i="3"/>
  <c r="BL69" i="3"/>
  <c r="C5" i="48" a="1"/>
  <c r="C5" i="48" s="1"/>
  <c r="C4" i="48" a="1"/>
  <c r="C4" i="48" s="1"/>
  <c r="AG115" i="3"/>
  <c r="M126" i="3"/>
  <c r="AA126" i="3" s="1"/>
  <c r="AG114" i="3"/>
  <c r="N126" i="3"/>
  <c r="AF126" i="3" s="1"/>
  <c r="AG102" i="3"/>
  <c r="M122" i="3"/>
  <c r="AA122" i="3" s="1"/>
  <c r="N124" i="3"/>
  <c r="AF124" i="3" s="1"/>
  <c r="AG111" i="3"/>
  <c r="N122" i="3"/>
  <c r="AF122" i="3" s="1"/>
  <c r="AG105" i="3"/>
  <c r="AG112" i="3"/>
  <c r="M124" i="3"/>
  <c r="AA124" i="3" s="1"/>
  <c r="M121" i="3"/>
  <c r="AA120" i="3" s="1"/>
  <c r="AG101" i="3"/>
  <c r="N121" i="3"/>
  <c r="AF120" i="3" s="1"/>
  <c r="AG104" i="3"/>
  <c r="F60" i="48" a="1"/>
  <c r="F60" i="48" s="1"/>
  <c r="E61" i="48"/>
  <c r="DO128" i="46" l="1"/>
  <c r="BV128" i="46"/>
  <c r="DX128" i="46"/>
  <c r="FW128" i="46"/>
  <c r="CH128" i="46"/>
  <c r="CW128" i="46"/>
  <c r="JC128" i="46"/>
  <c r="EG128" i="46"/>
  <c r="KG128" i="46"/>
  <c r="JR128" i="46"/>
  <c r="DU128" i="46"/>
  <c r="GU128" i="46"/>
  <c r="KP128" i="46"/>
  <c r="IH128" i="46"/>
  <c r="BP128" i="46"/>
  <c r="HD128" i="46"/>
  <c r="AL128" i="46"/>
  <c r="IB128" i="46"/>
  <c r="ES128" i="46"/>
  <c r="FT128" i="46"/>
  <c r="AI128" i="46"/>
  <c r="HS128" i="46"/>
  <c r="ED128" i="46"/>
  <c r="GC128" i="46"/>
  <c r="FE128" i="46"/>
  <c r="AX128" i="46"/>
  <c r="KY128" i="46"/>
  <c r="DR128" i="46"/>
  <c r="JF128" i="46"/>
  <c r="CN128" i="46"/>
  <c r="FQ128" i="46"/>
  <c r="GR128" i="46"/>
  <c r="BG128" i="46"/>
  <c r="IQ128" i="46"/>
  <c r="FB128" i="46"/>
  <c r="HA128" i="46"/>
  <c r="FK128" i="46"/>
  <c r="LE128" i="46"/>
  <c r="EV128" i="46"/>
  <c r="DL128" i="46"/>
  <c r="GI128" i="46"/>
  <c r="W128" i="46"/>
  <c r="KD128" i="46"/>
  <c r="EP128" i="46"/>
  <c r="GO128" i="46"/>
  <c r="AF128" i="46"/>
  <c r="HP128" i="46"/>
  <c r="CE128" i="46"/>
  <c r="JO128" i="46"/>
  <c r="FZ128" i="46"/>
  <c r="AO128" i="46"/>
  <c r="HY128" i="46"/>
  <c r="EM128" i="46"/>
  <c r="FN128" i="46"/>
  <c r="IZ128" i="46"/>
  <c r="BS128" i="46"/>
  <c r="HG128" i="46"/>
  <c r="AR128" i="46"/>
  <c r="AC128" i="46"/>
  <c r="HM128" i="46"/>
  <c r="BD128" i="46"/>
  <c r="IN128" i="46"/>
  <c r="DC128" i="46"/>
  <c r="KM128" i="46"/>
  <c r="GX128" i="46"/>
  <c r="BM128" i="46"/>
  <c r="IW128" i="46"/>
  <c r="HJ128" i="46"/>
  <c r="GF128" i="46"/>
  <c r="KA128" i="46"/>
  <c r="IE128" i="46"/>
  <c r="CT128" i="46"/>
  <c r="LB128" i="46"/>
  <c r="EJ128" i="46"/>
  <c r="JX128" i="46"/>
  <c r="CQ128" i="46"/>
  <c r="BA128" i="46"/>
  <c r="IK128" i="46"/>
  <c r="CB128" i="46"/>
  <c r="JL128" i="46"/>
  <c r="EA128" i="46"/>
  <c r="HV128" i="46"/>
  <c r="CK128" i="46"/>
  <c r="JU128" i="46"/>
  <c r="DF128" i="46"/>
  <c r="AU128" i="46"/>
  <c r="KV128" i="46"/>
  <c r="BJ128" i="46"/>
  <c r="GL128" i="46"/>
  <c r="Z128" i="46"/>
  <c r="FH128" i="46"/>
  <c r="BY128" i="46"/>
  <c r="JI128" i="46"/>
  <c r="CZ128" i="46"/>
  <c r="KJ128" i="46"/>
  <c r="EY128" i="46"/>
  <c r="IT128" i="46"/>
  <c r="DI128" i="46"/>
  <c r="KS128" i="46"/>
  <c r="BS65" i="3"/>
  <c r="BS67" i="3"/>
  <c r="BS69" i="3"/>
  <c r="BS61" i="3"/>
  <c r="BS62" i="3"/>
  <c r="BS64" i="3"/>
  <c r="BS66" i="3"/>
  <c r="BS58" i="3"/>
  <c r="BS59" i="3"/>
  <c r="BS63" i="3"/>
  <c r="BS68" i="3"/>
  <c r="T128" i="46"/>
  <c r="D120" i="3"/>
  <c r="M182" i="46"/>
  <c r="AE10" i="45"/>
  <c r="DT120" i="3"/>
  <c r="K200" i="46"/>
  <c r="C206" i="46"/>
  <c r="M196" i="46"/>
  <c r="AE41" i="45"/>
  <c r="D124" i="3"/>
  <c r="M186" i="46"/>
  <c r="AE16" i="45"/>
  <c r="DT124" i="3"/>
  <c r="K204" i="46"/>
  <c r="AE17" i="45"/>
  <c r="M194" i="46"/>
  <c r="C204" i="46"/>
  <c r="D8" i="48" s="1" a="1"/>
  <c r="D8" i="48" s="1"/>
  <c r="M190" i="46"/>
  <c r="C200" i="46"/>
  <c r="AE11" i="45"/>
  <c r="DT122" i="3"/>
  <c r="K202" i="46"/>
  <c r="AE28" i="45"/>
  <c r="M184" i="46"/>
  <c r="D122" i="3"/>
  <c r="M192" i="46"/>
  <c r="C202" i="46"/>
  <c r="AE29" i="45"/>
  <c r="M188" i="46"/>
  <c r="DT126" i="3"/>
  <c r="AE40" i="45"/>
  <c r="K206" i="46"/>
  <c r="D126" i="3"/>
  <c r="E62" i="48"/>
  <c r="F61" i="48" a="1"/>
  <c r="F61" i="48" s="1"/>
  <c r="A8" i="50" l="1" a="1"/>
  <c r="A8" i="50" s="1"/>
  <c r="A8" i="48" a="1"/>
  <c r="A8" i="48" s="1"/>
  <c r="C30" i="48" a="1"/>
  <c r="C30" i="48" s="1"/>
  <c r="B30" i="48" s="1"/>
  <c r="B30" i="50" a="1"/>
  <c r="B30" i="50" s="1"/>
  <c r="C24" i="48" a="1"/>
  <c r="C24" i="48" s="1"/>
  <c r="B24" i="48" s="1"/>
  <c r="B24" i="50" a="1"/>
  <c r="B24" i="50" s="1"/>
  <c r="B34" i="50" a="1"/>
  <c r="B34" i="50" s="1"/>
  <c r="C34" i="48" a="1"/>
  <c r="C34" i="48" s="1"/>
  <c r="B34" i="48" s="1"/>
  <c r="B20" i="50" a="1"/>
  <c r="B20" i="50" s="1"/>
  <c r="C20" i="48" a="1"/>
  <c r="C20" i="48" s="1"/>
  <c r="B20" i="48" s="1"/>
  <c r="BT60" i="3"/>
  <c r="BU60" i="3" s="1"/>
  <c r="BT59" i="3"/>
  <c r="BU59" i="3" s="1"/>
  <c r="BT67" i="3"/>
  <c r="BU67" i="3" s="1"/>
  <c r="BT65" i="3"/>
  <c r="BU65" i="3" s="1"/>
  <c r="BT58" i="3"/>
  <c r="BU58" i="3" s="1"/>
  <c r="BT64" i="3"/>
  <c r="BU64" i="3" s="1"/>
  <c r="BT62" i="3"/>
  <c r="BU62" i="3" s="1"/>
  <c r="BT63" i="3"/>
  <c r="BU63" i="3" s="1"/>
  <c r="BT68" i="3"/>
  <c r="BU68" i="3" s="1"/>
  <c r="BT66" i="3"/>
  <c r="BU66" i="3" s="1"/>
  <c r="BT61" i="3"/>
  <c r="BU61" i="3" s="1"/>
  <c r="BT69" i="3"/>
  <c r="BU69" i="3" s="1"/>
  <c r="N131" i="3"/>
  <c r="AF131" i="3" s="1"/>
  <c r="AG120" i="3"/>
  <c r="AG126" i="3"/>
  <c r="M134" i="3"/>
  <c r="AA134" i="3" s="1"/>
  <c r="M132" i="3"/>
  <c r="AA132" i="3" s="1"/>
  <c r="AG124" i="3"/>
  <c r="M133" i="3"/>
  <c r="AA133" i="3" s="1"/>
  <c r="AG122" i="3"/>
  <c r="E63" i="48"/>
  <c r="F62" i="48" a="1"/>
  <c r="F62" i="48" s="1"/>
  <c r="BV59" i="3" l="1"/>
  <c r="BV60" i="3"/>
  <c r="BV64" i="3"/>
  <c r="BV67" i="3"/>
  <c r="BV65" i="3"/>
  <c r="BV66" i="3"/>
  <c r="BV58" i="3"/>
  <c r="BV68" i="3"/>
  <c r="BV61" i="3"/>
  <c r="BV62" i="3"/>
  <c r="BV63" i="3"/>
  <c r="BV69" i="3"/>
  <c r="AI43" i="45"/>
  <c r="M213" i="46"/>
  <c r="D134" i="3"/>
  <c r="AI31" i="45"/>
  <c r="M212" i="46"/>
  <c r="AI19" i="45"/>
  <c r="M211" i="46"/>
  <c r="C13" i="48" s="1" a="1"/>
  <c r="C13" i="48" s="1"/>
  <c r="AI8" i="45"/>
  <c r="M214" i="46"/>
  <c r="C16" i="48" s="1" a="1"/>
  <c r="C16" i="48" s="1"/>
  <c r="E64" i="48"/>
  <c r="F63" i="48" a="1"/>
  <c r="F63" i="48" s="1"/>
  <c r="B15" i="50" l="1" a="1"/>
  <c r="B15" i="50" s="1"/>
  <c r="C15" i="48" a="1"/>
  <c r="C15" i="48" s="1"/>
  <c r="B15" i="48" s="1"/>
  <c r="B14" i="50" a="1"/>
  <c r="B14" i="50" s="1"/>
  <c r="C14" i="48" a="1"/>
  <c r="C14" i="48" s="1"/>
  <c r="B14" i="48" s="1"/>
  <c r="BW61" i="3"/>
  <c r="BX61" i="3" s="1"/>
  <c r="BW65" i="3"/>
  <c r="BX65" i="3" s="1"/>
  <c r="BW58" i="3"/>
  <c r="BX58" i="3" s="1"/>
  <c r="BW59" i="3"/>
  <c r="BX59" i="3" s="1"/>
  <c r="BW60" i="3"/>
  <c r="BX60" i="3" s="1"/>
  <c r="BW63" i="3"/>
  <c r="BX63" i="3" s="1"/>
  <c r="BW68" i="3"/>
  <c r="BX68" i="3" s="1"/>
  <c r="BW62" i="3"/>
  <c r="BX62" i="3" s="1"/>
  <c r="BW67" i="3"/>
  <c r="BX67" i="3" s="1"/>
  <c r="BW66" i="3"/>
  <c r="BX66" i="3" s="1"/>
  <c r="BW64" i="3"/>
  <c r="BX64" i="3" s="1"/>
  <c r="BW69" i="3"/>
  <c r="BX69" i="3" s="1"/>
  <c r="N139" i="3"/>
  <c r="AF139" i="3" s="1"/>
  <c r="AG134" i="3"/>
  <c r="E65" i="48"/>
  <c r="F64" i="48" a="1"/>
  <c r="F64" i="48" s="1"/>
  <c r="BY69" i="3" l="1"/>
  <c r="BY65" i="3"/>
  <c r="BY58" i="3"/>
  <c r="BY61" i="3"/>
  <c r="BY59" i="3"/>
  <c r="BY64" i="3"/>
  <c r="BY62" i="3"/>
  <c r="BY60" i="3"/>
  <c r="BY68" i="3"/>
  <c r="BY66" i="3"/>
  <c r="AM38" i="45" a="1"/>
  <c r="AM38" i="45" s="1"/>
  <c r="M229" i="46"/>
  <c r="C11" i="48" s="1" a="1"/>
  <c r="C11" i="48" s="1"/>
  <c r="BY67" i="3"/>
  <c r="BY63" i="3"/>
  <c r="E66" i="48"/>
  <c r="F65" i="48" a="1"/>
  <c r="F65" i="48" s="1"/>
  <c r="BZ67" i="3" l="1"/>
  <c r="CA67" i="3" s="1"/>
  <c r="BZ60" i="3"/>
  <c r="BZ63" i="3"/>
  <c r="BZ64" i="3"/>
  <c r="BZ65" i="3"/>
  <c r="BZ59" i="3"/>
  <c r="BZ68" i="3"/>
  <c r="BZ61" i="3"/>
  <c r="BZ62" i="3"/>
  <c r="CA62" i="3" s="1"/>
  <c r="BZ69" i="3"/>
  <c r="BZ66" i="3"/>
  <c r="BZ58" i="3"/>
  <c r="E67" i="48"/>
  <c r="F66" i="48" a="1"/>
  <c r="F66" i="48" s="1"/>
  <c r="CA60" i="3" l="1"/>
  <c r="CA61" i="3"/>
  <c r="CA58" i="3"/>
  <c r="CA68" i="3"/>
  <c r="CA66" i="3"/>
  <c r="CA59" i="3"/>
  <c r="CA69" i="3"/>
  <c r="CA65" i="3"/>
  <c r="CA64" i="3"/>
  <c r="CA63" i="3"/>
  <c r="E68" i="48"/>
  <c r="F67" i="48" a="1"/>
  <c r="F67" i="48" s="1"/>
  <c r="CB63" i="3" l="1"/>
  <c r="BM63" i="3" s="1"/>
  <c r="CB59" i="3"/>
  <c r="BM59" i="3" s="1"/>
  <c r="CB66" i="3"/>
  <c r="BM66" i="3" s="1"/>
  <c r="CB64" i="3"/>
  <c r="BM64" i="3" s="1"/>
  <c r="CB68" i="3"/>
  <c r="BM68" i="3" s="1"/>
  <c r="CB60" i="3"/>
  <c r="BM60" i="3" s="1"/>
  <c r="CB58" i="3"/>
  <c r="BM58" i="3" s="1"/>
  <c r="CB65" i="3"/>
  <c r="BM65" i="3" s="1"/>
  <c r="CB61" i="3"/>
  <c r="BM61" i="3" s="1"/>
  <c r="CB62" i="3"/>
  <c r="BM62" i="3" s="1"/>
  <c r="CB69" i="3"/>
  <c r="BM69" i="3" s="1"/>
  <c r="CB67" i="3"/>
  <c r="BM67" i="3" s="1"/>
  <c r="F68" i="48" a="1"/>
  <c r="F68" i="48" s="1"/>
  <c r="E69" i="48"/>
  <c r="DQ68" i="3" l="1"/>
  <c r="DJ68" i="3" s="1"/>
  <c r="DQ64" i="3"/>
  <c r="DJ64" i="3" s="1"/>
  <c r="AV108" i="3"/>
  <c r="AV110" i="3"/>
  <c r="DQ65" i="3"/>
  <c r="DJ65" i="3" s="1"/>
  <c r="AV109" i="3"/>
  <c r="AV111" i="3"/>
  <c r="DQ66" i="3"/>
  <c r="DJ66" i="3" s="1"/>
  <c r="AV102" i="3"/>
  <c r="DQ61" i="3"/>
  <c r="DJ61" i="3" s="1"/>
  <c r="AV107" i="3"/>
  <c r="DQ69" i="3"/>
  <c r="DJ69" i="3" s="1"/>
  <c r="AV113" i="3"/>
  <c r="DQ58" i="3"/>
  <c r="DJ58" i="3" s="1"/>
  <c r="DQ62" i="3"/>
  <c r="DJ62" i="3" s="1"/>
  <c r="DQ60" i="3"/>
  <c r="DJ60" i="3" s="1"/>
  <c r="DQ67" i="3"/>
  <c r="DJ67" i="3" s="1"/>
  <c r="DQ59" i="3"/>
  <c r="DJ59" i="3" s="1"/>
  <c r="AV104" i="3"/>
  <c r="AV106" i="3"/>
  <c r="AV103" i="3"/>
  <c r="AV112" i="3"/>
  <c r="DQ63" i="3"/>
  <c r="DJ63" i="3" s="1"/>
  <c r="AV105" i="3"/>
  <c r="E70" i="48"/>
  <c r="F69" i="48" a="1"/>
  <c r="F69" i="48" s="1"/>
  <c r="CD69" i="3" l="1"/>
  <c r="CD62" i="3"/>
  <c r="DL64" i="3"/>
  <c r="DM64" i="3" s="1"/>
  <c r="DL69" i="3"/>
  <c r="DL65" i="3"/>
  <c r="DL58" i="3"/>
  <c r="CD63" i="3"/>
  <c r="DL61" i="3"/>
  <c r="CD60" i="3"/>
  <c r="CD68" i="3"/>
  <c r="CD61" i="3"/>
  <c r="DL59" i="3"/>
  <c r="DM59" i="3" s="1"/>
  <c r="DL67" i="3"/>
  <c r="AU111" i="3" s="1"/>
  <c r="CD67" i="3"/>
  <c r="CD58" i="3"/>
  <c r="DL60" i="3"/>
  <c r="AU104" i="3" s="1"/>
  <c r="CD65" i="3"/>
  <c r="CD66" i="3"/>
  <c r="DL63" i="3"/>
  <c r="AU107" i="3" s="1"/>
  <c r="DL62" i="3"/>
  <c r="AU106" i="3" s="1"/>
  <c r="CD59" i="3"/>
  <c r="CD64" i="3"/>
  <c r="DL66" i="3"/>
  <c r="DL68" i="3"/>
  <c r="E71" i="48"/>
  <c r="F70" i="48" a="1"/>
  <c r="F70" i="48" s="1"/>
  <c r="CE63" i="3" l="1"/>
  <c r="CE61" i="3"/>
  <c r="CE58" i="3"/>
  <c r="CE64" i="3"/>
  <c r="CE69" i="3"/>
  <c r="DN67" i="3" a="1"/>
  <c r="DN67" i="3" s="1"/>
  <c r="AU108" i="3"/>
  <c r="DM67" i="3"/>
  <c r="DN63" i="3" a="1"/>
  <c r="DN63" i="3" s="1"/>
  <c r="DM63" i="3"/>
  <c r="DN64" i="3" a="1"/>
  <c r="DN64" i="3" s="1"/>
  <c r="DM60" i="3"/>
  <c r="DN60" i="3" a="1"/>
  <c r="DN60" i="3" s="1"/>
  <c r="CE62" i="3"/>
  <c r="CE59" i="3"/>
  <c r="DN62" i="3" a="1"/>
  <c r="DN62" i="3" s="1"/>
  <c r="CE60" i="3"/>
  <c r="CE66" i="3"/>
  <c r="AU105" i="3"/>
  <c r="DM61" i="3"/>
  <c r="DN61" i="3" a="1"/>
  <c r="DN61" i="3" s="1"/>
  <c r="AU102" i="3"/>
  <c r="DM58" i="3"/>
  <c r="DN58" i="3" a="1"/>
  <c r="DN58" i="3" s="1"/>
  <c r="CE65" i="3"/>
  <c r="DN59" i="3" a="1"/>
  <c r="DN59" i="3" s="1"/>
  <c r="AU103" i="3"/>
  <c r="CE68" i="3"/>
  <c r="AU109" i="3"/>
  <c r="DN65" i="3" a="1"/>
  <c r="DN65" i="3" s="1"/>
  <c r="DM65" i="3"/>
  <c r="AU113" i="3"/>
  <c r="DN69" i="3" a="1"/>
  <c r="DN69" i="3" s="1"/>
  <c r="DM69" i="3"/>
  <c r="DM68" i="3"/>
  <c r="AU112" i="3"/>
  <c r="DN68" i="3" a="1"/>
  <c r="DN68" i="3" s="1"/>
  <c r="AU110" i="3"/>
  <c r="DN66" i="3" a="1"/>
  <c r="DN66" i="3" s="1"/>
  <c r="DM66" i="3"/>
  <c r="DM62" i="3"/>
  <c r="CE67" i="3"/>
  <c r="E72" i="48"/>
  <c r="F71" i="48" a="1"/>
  <c r="F71" i="48" s="1"/>
  <c r="CF64" i="3" l="1"/>
  <c r="BN64" i="3" s="1"/>
  <c r="CF61" i="3"/>
  <c r="BN61" i="3" s="1"/>
  <c r="CF69" i="3"/>
  <c r="BN69" i="3" s="1"/>
  <c r="CF63" i="3"/>
  <c r="BN63" i="3" s="1"/>
  <c r="CF58" i="3"/>
  <c r="BN58" i="3" s="1"/>
  <c r="CF67" i="3"/>
  <c r="BN67" i="3" s="1"/>
  <c r="CF66" i="3"/>
  <c r="BN66" i="3" s="1"/>
  <c r="CF68" i="3"/>
  <c r="BN68" i="3" s="1"/>
  <c r="CF65" i="3"/>
  <c r="BN65" i="3" s="1"/>
  <c r="CF60" i="3"/>
  <c r="BN60" i="3" s="1"/>
  <c r="CF59" i="3"/>
  <c r="BN59" i="3" s="1"/>
  <c r="AU101" i="3"/>
  <c r="AV100" i="3" s="1"/>
  <c r="CF62" i="3"/>
  <c r="BN62" i="3" s="1"/>
  <c r="F72" i="48" a="1"/>
  <c r="F72" i="48" s="1"/>
  <c r="E73" i="48"/>
  <c r="AL113" i="3" l="1"/>
  <c r="AP113" i="3" s="1"/>
  <c r="AL108" i="3"/>
  <c r="AL103" i="3"/>
  <c r="AQ103" i="3" s="1"/>
  <c r="AL109" i="3"/>
  <c r="AS109" i="3" s="1"/>
  <c r="AL110" i="3"/>
  <c r="AO110" i="3" s="1"/>
  <c r="AL111" i="3"/>
  <c r="AL105" i="3"/>
  <c r="AL106" i="3"/>
  <c r="AL107" i="3"/>
  <c r="AL112" i="3"/>
  <c r="AL102" i="3"/>
  <c r="AL104" i="3"/>
  <c r="F73" i="48" a="1"/>
  <c r="F73" i="48" s="1"/>
  <c r="E74" i="48"/>
  <c r="AP110" i="3" l="1"/>
  <c r="AO103" i="3"/>
  <c r="AT113" i="3"/>
  <c r="AN113" i="3"/>
  <c r="AO113" i="3"/>
  <c r="AQ113" i="3"/>
  <c r="AK103" i="3" a="1"/>
  <c r="AK103" i="3" s="1"/>
  <c r="AS113" i="3"/>
  <c r="AN103" i="3"/>
  <c r="AK113" i="3" a="1"/>
  <c r="AK113" i="3" s="1"/>
  <c r="AR113" i="3"/>
  <c r="AM113" i="3"/>
  <c r="AO109" i="3"/>
  <c r="AK109" i="3" a="1"/>
  <c r="AK109" i="3" s="1"/>
  <c r="AR109" i="3"/>
  <c r="AT109" i="3"/>
  <c r="AP109" i="3"/>
  <c r="AR110" i="3"/>
  <c r="AQ110" i="3"/>
  <c r="AM110" i="3"/>
  <c r="AM109" i="3"/>
  <c r="AT103" i="3"/>
  <c r="AK110" i="3" a="1"/>
  <c r="AK110" i="3" s="1"/>
  <c r="AM103" i="3"/>
  <c r="AN109" i="3"/>
  <c r="AT110" i="3"/>
  <c r="BF110" i="3"/>
  <c r="AN110" i="3"/>
  <c r="AQ109" i="3"/>
  <c r="AP103" i="3"/>
  <c r="BF109" i="3"/>
  <c r="AR108" i="3"/>
  <c r="AT108" i="3"/>
  <c r="AS108" i="3"/>
  <c r="AK108" i="3" a="1"/>
  <c r="AK108" i="3" s="1"/>
  <c r="AO108" i="3"/>
  <c r="AP108" i="3"/>
  <c r="AQ108" i="3"/>
  <c r="AM108" i="3"/>
  <c r="AN108" i="3"/>
  <c r="AS110" i="3"/>
  <c r="AR103" i="3"/>
  <c r="AS103" i="3"/>
  <c r="BF104" i="3"/>
  <c r="AT102" i="3"/>
  <c r="AP102" i="3"/>
  <c r="AO102" i="3"/>
  <c r="BF103" i="3"/>
  <c r="AQ102" i="3"/>
  <c r="AM102" i="3"/>
  <c r="AS102" i="3"/>
  <c r="AK102" i="3" a="1"/>
  <c r="AK102" i="3" s="1"/>
  <c r="AR102" i="3"/>
  <c r="AN102" i="3"/>
  <c r="AQ112" i="3"/>
  <c r="AN112" i="3"/>
  <c r="AR112" i="3"/>
  <c r="AM112" i="3"/>
  <c r="AS112" i="3"/>
  <c r="AK112" i="3" a="1"/>
  <c r="AK112" i="3" s="1"/>
  <c r="AT112" i="3"/>
  <c r="AP112" i="3"/>
  <c r="AO112" i="3"/>
  <c r="AT107" i="3"/>
  <c r="AK107" i="3" a="1"/>
  <c r="AK107" i="3" s="1"/>
  <c r="AM107" i="3"/>
  <c r="AQ107" i="3"/>
  <c r="AN107" i="3"/>
  <c r="AP107" i="3"/>
  <c r="BF108" i="3"/>
  <c r="AR107" i="3"/>
  <c r="AO107" i="3"/>
  <c r="AS107" i="3"/>
  <c r="AN106" i="3"/>
  <c r="AS106" i="3"/>
  <c r="AR106" i="3"/>
  <c r="AM106" i="3"/>
  <c r="AP106" i="3"/>
  <c r="AQ106" i="3"/>
  <c r="BF107" i="3"/>
  <c r="AT106" i="3"/>
  <c r="AK106" i="3" a="1"/>
  <c r="AK106" i="3" s="1"/>
  <c r="AO106" i="3"/>
  <c r="AK105" i="3" a="1"/>
  <c r="AK105" i="3" s="1"/>
  <c r="AN105" i="3"/>
  <c r="AO105" i="3"/>
  <c r="AM105" i="3"/>
  <c r="AP105" i="3"/>
  <c r="AQ105" i="3"/>
  <c r="BF106" i="3"/>
  <c r="AT105" i="3"/>
  <c r="AR105" i="3"/>
  <c r="AS105" i="3"/>
  <c r="AK111" i="3" a="1"/>
  <c r="AK111" i="3" s="1"/>
  <c r="AR111" i="3"/>
  <c r="AT111" i="3"/>
  <c r="AQ111" i="3"/>
  <c r="AN111" i="3"/>
  <c r="AS111" i="3"/>
  <c r="AM111" i="3"/>
  <c r="AP111" i="3"/>
  <c r="AO111" i="3"/>
  <c r="AR104" i="3"/>
  <c r="AQ104" i="3"/>
  <c r="AN104" i="3"/>
  <c r="AS104" i="3"/>
  <c r="AP104" i="3"/>
  <c r="AM104" i="3"/>
  <c r="AT104" i="3"/>
  <c r="AK104" i="3" a="1"/>
  <c r="AK104" i="3" s="1"/>
  <c r="BF105" i="3"/>
  <c r="AO104" i="3"/>
  <c r="E75" i="48"/>
  <c r="F74" i="48" a="1"/>
  <c r="F74" i="48" s="1"/>
  <c r="BG106" i="3" l="1"/>
  <c r="BG110" i="3"/>
  <c r="BG107" i="3"/>
  <c r="BG109" i="3"/>
  <c r="BG103" i="3"/>
  <c r="BG108" i="3"/>
  <c r="BG104" i="3"/>
  <c r="BG105" i="3"/>
  <c r="E76" i="48"/>
  <c r="F75" i="48" a="1"/>
  <c r="F75" i="48" s="1"/>
  <c r="BJ106" i="3" l="1"/>
  <c r="BJ104" i="3"/>
  <c r="BJ105" i="3"/>
  <c r="BJ107" i="3"/>
  <c r="BJ108" i="3"/>
  <c r="BJ109" i="3"/>
  <c r="BJ110" i="3"/>
  <c r="BJ103" i="3"/>
  <c r="E77" i="48"/>
  <c r="F76" i="48" a="1"/>
  <c r="F76" i="48" s="1"/>
  <c r="BI112" i="3" l="1"/>
  <c r="B428" i="40" s="1"/>
  <c r="E78" i="48"/>
  <c r="F77" i="48" a="1"/>
  <c r="F77" i="48" s="1"/>
  <c r="B86" i="40" l="1"/>
  <c r="B159" i="40"/>
  <c r="B59" i="40"/>
  <c r="B145" i="40"/>
  <c r="B52" i="40"/>
  <c r="B76" i="40"/>
  <c r="B358" i="40"/>
  <c r="B303" i="40"/>
  <c r="B183" i="40"/>
  <c r="B261" i="40"/>
  <c r="B223" i="40"/>
  <c r="B92" i="40"/>
  <c r="B202" i="40"/>
  <c r="B408" i="40"/>
  <c r="B416" i="40"/>
  <c r="B40" i="40"/>
  <c r="B492" i="40"/>
  <c r="B93" i="40"/>
  <c r="B304" i="40"/>
  <c r="B468" i="40"/>
  <c r="B31" i="40"/>
  <c r="B27" i="40"/>
  <c r="B305" i="40"/>
  <c r="B200" i="40"/>
  <c r="B50" i="40"/>
  <c r="B147" i="40"/>
  <c r="B366" i="40"/>
  <c r="B411" i="40"/>
  <c r="B22" i="40"/>
  <c r="B4" i="40"/>
  <c r="B279" i="40"/>
  <c r="B470" i="40"/>
  <c r="B169" i="40"/>
  <c r="B388" i="40"/>
  <c r="B370" i="40"/>
  <c r="B209" i="40"/>
  <c r="B164" i="40"/>
  <c r="B162" i="40"/>
  <c r="B409" i="40"/>
  <c r="B178" i="40"/>
  <c r="B457" i="40"/>
  <c r="B184" i="40"/>
  <c r="B43" i="40"/>
  <c r="AZ101" i="3"/>
  <c r="B68" i="40"/>
  <c r="B103" i="40"/>
  <c r="B320" i="40"/>
  <c r="B84" i="40"/>
  <c r="B17" i="40"/>
  <c r="B327" i="40"/>
  <c r="B307" i="40"/>
  <c r="B329" i="40"/>
  <c r="B473" i="40"/>
  <c r="B35" i="40"/>
  <c r="B297" i="40"/>
  <c r="B199" i="40"/>
  <c r="B386" i="40"/>
  <c r="B389" i="40"/>
  <c r="B317" i="40"/>
  <c r="B400" i="40"/>
  <c r="B475" i="40"/>
  <c r="B175" i="40"/>
  <c r="B263" i="40"/>
  <c r="B267" i="40"/>
  <c r="B436" i="40"/>
  <c r="B278" i="40"/>
  <c r="B322" i="40"/>
  <c r="B273" i="40"/>
  <c r="B348" i="40"/>
  <c r="B161" i="40"/>
  <c r="B233" i="40"/>
  <c r="B496" i="40"/>
  <c r="B435" i="40"/>
  <c r="B47" i="40"/>
  <c r="B326" i="40"/>
  <c r="B106" i="40"/>
  <c r="B67" i="40"/>
  <c r="B296" i="40"/>
  <c r="B62" i="40"/>
  <c r="B314" i="40"/>
  <c r="B34" i="40"/>
  <c r="B485" i="40"/>
  <c r="B222" i="40"/>
  <c r="B456" i="40"/>
  <c r="B391" i="40"/>
  <c r="B249" i="40"/>
  <c r="B240" i="40"/>
  <c r="B478" i="40"/>
  <c r="B262" i="40"/>
  <c r="B121" i="40"/>
  <c r="B118" i="40"/>
  <c r="B136" i="40"/>
  <c r="B465" i="40"/>
  <c r="B446" i="40"/>
  <c r="B214" i="40"/>
  <c r="B275" i="40"/>
  <c r="B395" i="40"/>
  <c r="B420" i="40"/>
  <c r="B378" i="40"/>
  <c r="B282" i="40"/>
  <c r="B158" i="40"/>
  <c r="B466" i="40"/>
  <c r="B173" i="40"/>
  <c r="B215" i="40"/>
  <c r="B227" i="40"/>
  <c r="B98" i="40"/>
  <c r="B157" i="40"/>
  <c r="B146" i="40"/>
  <c r="B337" i="40"/>
  <c r="B225" i="40"/>
  <c r="B368" i="40"/>
  <c r="B32" i="40"/>
  <c r="B430" i="40"/>
  <c r="B444" i="40"/>
  <c r="B451" i="40"/>
  <c r="B371" i="40"/>
  <c r="B257" i="40"/>
  <c r="B127" i="40"/>
  <c r="B424" i="40"/>
  <c r="B208" i="40"/>
  <c r="B20" i="40"/>
  <c r="B253" i="40"/>
  <c r="B151" i="40"/>
  <c r="B2" i="40"/>
  <c r="B360" i="40"/>
  <c r="B432" i="40"/>
  <c r="B461" i="40"/>
  <c r="B16" i="40"/>
  <c r="B250" i="40"/>
  <c r="B229" i="40"/>
  <c r="B377" i="40"/>
  <c r="B48" i="40"/>
  <c r="B101" i="40"/>
  <c r="B481" i="40"/>
  <c r="B244" i="40"/>
  <c r="B190" i="40"/>
  <c r="B463" i="40"/>
  <c r="B181" i="40"/>
  <c r="B294" i="40"/>
  <c r="B137" i="40"/>
  <c r="B346" i="40"/>
  <c r="B210" i="40"/>
  <c r="B418" i="40"/>
  <c r="B284" i="40"/>
  <c r="B469" i="40"/>
  <c r="B335" i="40"/>
  <c r="B64" i="40"/>
  <c r="B274" i="40"/>
  <c r="B374" i="40"/>
  <c r="B114" i="40"/>
  <c r="B140" i="40"/>
  <c r="B97" i="40"/>
  <c r="B41" i="40"/>
  <c r="B163" i="40"/>
  <c r="B243" i="40"/>
  <c r="B369" i="40"/>
  <c r="B219" i="40"/>
  <c r="B193" i="40"/>
  <c r="B91" i="40"/>
  <c r="B232" i="40"/>
  <c r="B23" i="40"/>
  <c r="B138" i="40"/>
  <c r="B168" i="40"/>
  <c r="B119" i="40"/>
  <c r="B412" i="40"/>
  <c r="B350" i="40"/>
  <c r="B332" i="40"/>
  <c r="B487" i="40"/>
  <c r="B494" i="40"/>
  <c r="B56" i="40"/>
  <c r="B46" i="40"/>
  <c r="B396" i="40"/>
  <c r="B191" i="40"/>
  <c r="B417" i="40"/>
  <c r="B201" i="40"/>
  <c r="B111" i="40"/>
  <c r="B54" i="40"/>
  <c r="B116" i="40"/>
  <c r="B6" i="40"/>
  <c r="B220" i="40"/>
  <c r="B407" i="40"/>
  <c r="B12" i="40"/>
  <c r="B182" i="40"/>
  <c r="B166" i="40"/>
  <c r="B242" i="40"/>
  <c r="B268" i="40"/>
  <c r="B288" i="40"/>
  <c r="B431" i="40"/>
  <c r="B397" i="40"/>
  <c r="B402" i="40"/>
  <c r="B104" i="40"/>
  <c r="B495" i="40"/>
  <c r="B434" i="40"/>
  <c r="B188" i="40"/>
  <c r="B247" i="40"/>
  <c r="B364" i="40"/>
  <c r="B174" i="40"/>
  <c r="B36" i="40"/>
  <c r="B248" i="40"/>
  <c r="B336" i="40"/>
  <c r="B228" i="40"/>
  <c r="B139" i="40"/>
  <c r="B204" i="40"/>
  <c r="B71" i="40"/>
  <c r="B167" i="40"/>
  <c r="B102" i="40"/>
  <c r="B353" i="40"/>
  <c r="B425" i="40"/>
  <c r="B236" i="40"/>
  <c r="B108" i="40"/>
  <c r="B141" i="40"/>
  <c r="B155" i="40"/>
  <c r="B203" i="40"/>
  <c r="B66" i="40"/>
  <c r="B241" i="40"/>
  <c r="B342" i="40"/>
  <c r="B15" i="40"/>
  <c r="B343" i="40"/>
  <c r="B345" i="40"/>
  <c r="B390" i="40"/>
  <c r="B419" i="40"/>
  <c r="B484" i="40"/>
  <c r="B217" i="40"/>
  <c r="B295" i="40"/>
  <c r="B122" i="40"/>
  <c r="B216" i="40"/>
  <c r="B344" i="40"/>
  <c r="B235" i="40"/>
  <c r="B28" i="40"/>
  <c r="B75" i="40"/>
  <c r="B376" i="40"/>
  <c r="B207" i="40"/>
  <c r="B313" i="40"/>
  <c r="B192" i="40"/>
  <c r="B482" i="40"/>
  <c r="B385" i="40"/>
  <c r="B260" i="40"/>
  <c r="B81" i="40"/>
  <c r="B63" i="40"/>
  <c r="B21" i="40"/>
  <c r="B30" i="40"/>
  <c r="B362" i="40"/>
  <c r="B308" i="40"/>
  <c r="B404" i="40"/>
  <c r="B60" i="40"/>
  <c r="B196" i="40"/>
  <c r="B283" i="40"/>
  <c r="B117" i="40"/>
  <c r="B153" i="40"/>
  <c r="B272" i="40"/>
  <c r="B238" i="40"/>
  <c r="B42" i="40"/>
  <c r="B433" i="40"/>
  <c r="B311" i="40"/>
  <c r="B357" i="40"/>
  <c r="B427" i="40"/>
  <c r="B300" i="40"/>
  <c r="B24" i="40"/>
  <c r="B237" i="40"/>
  <c r="B150" i="40"/>
  <c r="B100" i="40"/>
  <c r="B373" i="40"/>
  <c r="B110" i="40"/>
  <c r="B123" i="40"/>
  <c r="B37" i="40"/>
  <c r="B476" i="40"/>
  <c r="B58" i="40"/>
  <c r="B382" i="40"/>
  <c r="B206" i="40"/>
  <c r="B65" i="40"/>
  <c r="B384" i="40"/>
  <c r="B319" i="40"/>
  <c r="B126" i="40"/>
  <c r="B197" i="40"/>
  <c r="B333" i="40"/>
  <c r="B287" i="40"/>
  <c r="B490" i="40"/>
  <c r="B442" i="40"/>
  <c r="B172" i="40"/>
  <c r="B421" i="40"/>
  <c r="B361" i="40"/>
  <c r="B38" i="40"/>
  <c r="B170" i="40"/>
  <c r="B10" i="40"/>
  <c r="B448" i="40"/>
  <c r="B134" i="40"/>
  <c r="B156" i="40"/>
  <c r="B367" i="40"/>
  <c r="B125" i="40"/>
  <c r="B133" i="40"/>
  <c r="B365" i="40"/>
  <c r="B280" i="40"/>
  <c r="B79" i="40"/>
  <c r="B264" i="40"/>
  <c r="B324" i="40"/>
  <c r="B83" i="40"/>
  <c r="B291" i="40"/>
  <c r="B142" i="40"/>
  <c r="B128" i="40"/>
  <c r="B271" i="40"/>
  <c r="B393" i="40"/>
  <c r="B406" i="40"/>
  <c r="B398" i="40"/>
  <c r="B449" i="40"/>
  <c r="B74" i="40"/>
  <c r="B480" i="40"/>
  <c r="B352" i="40"/>
  <c r="B53" i="40"/>
  <c r="B72" i="40"/>
  <c r="B290" i="40"/>
  <c r="B312" i="40"/>
  <c r="B26" i="40"/>
  <c r="B226" i="40"/>
  <c r="B107" i="40"/>
  <c r="B383" i="40"/>
  <c r="B422" i="40"/>
  <c r="B189" i="40"/>
  <c r="B61" i="40"/>
  <c r="B325" i="40"/>
  <c r="B310" i="40"/>
  <c r="B410" i="40"/>
  <c r="B338" i="40"/>
  <c r="B292" i="40"/>
  <c r="B302" i="40"/>
  <c r="B399" i="40"/>
  <c r="B299" i="40"/>
  <c r="B281" i="40"/>
  <c r="B80" i="40"/>
  <c r="B269" i="40"/>
  <c r="B340" i="40"/>
  <c r="B19" i="40"/>
  <c r="B90" i="40"/>
  <c r="B486" i="40"/>
  <c r="B39" i="40"/>
  <c r="B211" i="40"/>
  <c r="B143" i="40"/>
  <c r="B472" i="40"/>
  <c r="B462" i="40"/>
  <c r="B330" i="40"/>
  <c r="B286" i="40"/>
  <c r="B234" i="40"/>
  <c r="B258" i="40"/>
  <c r="B454" i="40"/>
  <c r="B298" i="40"/>
  <c r="B185" i="40"/>
  <c r="B89" i="40"/>
  <c r="B231" i="40"/>
  <c r="B144" i="40"/>
  <c r="B265" i="40"/>
  <c r="B328" i="40"/>
  <c r="B70" i="40"/>
  <c r="B45" i="40"/>
  <c r="B443" i="40"/>
  <c r="B415" i="40"/>
  <c r="B148" i="40"/>
  <c r="B306" i="40"/>
  <c r="B266" i="40"/>
  <c r="B429" i="40"/>
  <c r="B489" i="40"/>
  <c r="B87" i="40"/>
  <c r="B187" i="40"/>
  <c r="B483" i="40"/>
  <c r="B195" i="40"/>
  <c r="B94" i="40"/>
  <c r="B491" i="40"/>
  <c r="B458" i="40"/>
  <c r="B355" i="40"/>
  <c r="B7" i="40"/>
  <c r="B230" i="40"/>
  <c r="B221" i="40"/>
  <c r="B426" i="40"/>
  <c r="B488" i="40"/>
  <c r="B180" i="40"/>
  <c r="B318" i="40"/>
  <c r="B112" i="40"/>
  <c r="B455" i="40"/>
  <c r="B277" i="40"/>
  <c r="B88" i="40"/>
  <c r="B224" i="40"/>
  <c r="B447" i="40"/>
  <c r="B349" i="40"/>
  <c r="B309" i="40"/>
  <c r="B255" i="40"/>
  <c r="B212" i="40"/>
  <c r="B55" i="40"/>
  <c r="B479" i="40"/>
  <c r="B186" i="40"/>
  <c r="B176" i="40"/>
  <c r="B213" i="40"/>
  <c r="B392" i="40"/>
  <c r="B477" i="40"/>
  <c r="B347" i="40"/>
  <c r="B113" i="40"/>
  <c r="B441" i="40"/>
  <c r="B293" i="40"/>
  <c r="B438" i="40"/>
  <c r="B205" i="40"/>
  <c r="B105" i="40"/>
  <c r="B467" i="40"/>
  <c r="B460" i="40"/>
  <c r="B359" i="40"/>
  <c r="B171" i="40"/>
  <c r="B372" i="40"/>
  <c r="B394" i="40"/>
  <c r="B11" i="40"/>
  <c r="B82" i="40"/>
  <c r="B363" i="40"/>
  <c r="B474" i="40"/>
  <c r="B423" i="40"/>
  <c r="B439" i="40"/>
  <c r="B218" i="40"/>
  <c r="B341" i="40"/>
  <c r="B57" i="40"/>
  <c r="B149" i="40"/>
  <c r="B29" i="40"/>
  <c r="B445" i="40"/>
  <c r="B403" i="40"/>
  <c r="B252" i="40"/>
  <c r="B379" i="40"/>
  <c r="B354" i="40"/>
  <c r="B51" i="40"/>
  <c r="B179" i="40"/>
  <c r="B401" i="40"/>
  <c r="B315" i="40"/>
  <c r="B96" i="40"/>
  <c r="B154" i="40"/>
  <c r="B99" i="40"/>
  <c r="B321" i="40"/>
  <c r="B78" i="40"/>
  <c r="B5" i="40"/>
  <c r="B387" i="40"/>
  <c r="B331" i="40"/>
  <c r="B44" i="40"/>
  <c r="B14" i="40"/>
  <c r="B356" i="40"/>
  <c r="B440" i="40"/>
  <c r="B85" i="40"/>
  <c r="B8" i="40"/>
  <c r="B413" i="40"/>
  <c r="B453" i="40"/>
  <c r="B115" i="40"/>
  <c r="B69" i="40"/>
  <c r="B239" i="40"/>
  <c r="B339" i="40"/>
  <c r="B334" i="40"/>
  <c r="B160" i="40"/>
  <c r="B471" i="40"/>
  <c r="B135" i="40"/>
  <c r="B351" i="40"/>
  <c r="B450" i="40"/>
  <c r="B437" i="40"/>
  <c r="B132" i="40"/>
  <c r="B245" i="40"/>
  <c r="B256" i="40"/>
  <c r="B405" i="40"/>
  <c r="B493" i="40"/>
  <c r="B254" i="40"/>
  <c r="B414" i="40"/>
  <c r="B270" i="40"/>
  <c r="B452" i="40"/>
  <c r="B323" i="40"/>
  <c r="B380" i="40"/>
  <c r="B95" i="40"/>
  <c r="B9" i="40"/>
  <c r="B285" i="40"/>
  <c r="B3" i="40"/>
  <c r="B464" i="40"/>
  <c r="B152" i="40"/>
  <c r="B77" i="40"/>
  <c r="B276" i="40"/>
  <c r="B131" i="40"/>
  <c r="B198" i="40"/>
  <c r="B259" i="40"/>
  <c r="B165" i="40"/>
  <c r="B25" i="40"/>
  <c r="B177" i="40"/>
  <c r="B246" i="40"/>
  <c r="B49" i="40"/>
  <c r="B375" i="40"/>
  <c r="B194" i="40"/>
  <c r="B120" i="40"/>
  <c r="B109" i="40"/>
  <c r="B289" i="40"/>
  <c r="B73" i="40"/>
  <c r="B381" i="40"/>
  <c r="B251" i="40"/>
  <c r="B301" i="40"/>
  <c r="B33" i="40"/>
  <c r="B130" i="40"/>
  <c r="B129" i="40"/>
  <c r="B124" i="40"/>
  <c r="B316" i="40"/>
  <c r="B459" i="40"/>
  <c r="B13" i="40"/>
  <c r="B18" i="40"/>
  <c r="E79" i="48"/>
  <c r="F78" i="48" a="1"/>
  <c r="F78" i="48" s="1"/>
  <c r="N108" i="3" l="1"/>
  <c r="AF108" i="3" s="1"/>
  <c r="N113" i="3"/>
  <c r="AF113" i="3" s="1"/>
  <c r="N107" i="3"/>
  <c r="AF107" i="3" s="1"/>
  <c r="B497" i="40"/>
  <c r="BG124" i="3" s="1"/>
  <c r="AZ110" i="3" s="1"/>
  <c r="N109" i="3"/>
  <c r="AF110" i="3" s="1"/>
  <c r="N110" i="3"/>
  <c r="AF109" i="3" s="1"/>
  <c r="DT109" i="3" s="1"/>
  <c r="N115" i="3"/>
  <c r="AF116" i="3" s="1"/>
  <c r="N105" i="3"/>
  <c r="AF106" i="3" s="1"/>
  <c r="N102" i="3"/>
  <c r="AF103" i="3" s="1"/>
  <c r="E80" i="48"/>
  <c r="F79" i="48" a="1"/>
  <c r="F79" i="48" s="1"/>
  <c r="BG117" i="3" l="1"/>
  <c r="AZ103" i="3" s="1"/>
  <c r="BG118" i="3"/>
  <c r="AZ104" i="3" s="1"/>
  <c r="BG119" i="3"/>
  <c r="AZ105" i="3" s="1"/>
  <c r="BG120" i="3"/>
  <c r="AZ106" i="3" s="1"/>
  <c r="BG121" i="3"/>
  <c r="AZ107" i="3" s="1"/>
  <c r="C179" i="46"/>
  <c r="D19" i="48" s="1" a="1"/>
  <c r="D19" i="48" s="1"/>
  <c r="D116" i="3"/>
  <c r="K176" i="46"/>
  <c r="D113" i="3"/>
  <c r="D110" i="3"/>
  <c r="C169" i="46"/>
  <c r="D106" i="3"/>
  <c r="DT103" i="3"/>
  <c r="D103" i="3"/>
  <c r="BG122" i="3"/>
  <c r="AZ108" i="3" s="1"/>
  <c r="BG123" i="3"/>
  <c r="AZ109" i="3" s="1"/>
  <c r="K170" i="46"/>
  <c r="D107" i="3"/>
  <c r="M158" i="46"/>
  <c r="C176" i="46"/>
  <c r="D16" i="48" s="1" a="1"/>
  <c r="D16" i="48" s="1"/>
  <c r="AA46" i="45"/>
  <c r="DT113" i="3"/>
  <c r="K179" i="46"/>
  <c r="C32" i="48" a="1"/>
  <c r="C32" i="48" s="1"/>
  <c r="B32" i="48" s="1"/>
  <c r="B32" i="50" a="1"/>
  <c r="B32" i="50" s="1"/>
  <c r="M152" i="46"/>
  <c r="DT107" i="3"/>
  <c r="C171" i="46"/>
  <c r="D108" i="3"/>
  <c r="N123" i="3" s="1"/>
  <c r="AF123" i="3" s="1"/>
  <c r="M153" i="46"/>
  <c r="K171" i="46"/>
  <c r="DT116" i="3"/>
  <c r="DT108" i="3"/>
  <c r="AA37" i="45"/>
  <c r="AA49" i="45"/>
  <c r="M161" i="46"/>
  <c r="K173" i="46"/>
  <c r="C170" i="46"/>
  <c r="D10" i="48" s="1" a="1"/>
  <c r="D10" i="48" s="1"/>
  <c r="DT106" i="3"/>
  <c r="K169" i="46"/>
  <c r="M151" i="46"/>
  <c r="AA22" i="45"/>
  <c r="AA7" i="45"/>
  <c r="AA34" i="45"/>
  <c r="DT110" i="3"/>
  <c r="K166" i="46"/>
  <c r="C173" i="46"/>
  <c r="D13" i="48" s="1" a="1"/>
  <c r="D13" i="48" s="1"/>
  <c r="M155" i="46"/>
  <c r="AA4" i="45"/>
  <c r="C166" i="46"/>
  <c r="D109" i="3"/>
  <c r="AG109" i="3" s="1"/>
  <c r="AA25" i="45"/>
  <c r="C172" i="46"/>
  <c r="D12" i="48" s="1" a="1"/>
  <c r="D12" i="48" s="1"/>
  <c r="K172" i="46"/>
  <c r="M154" i="46"/>
  <c r="M148" i="46"/>
  <c r="E81" i="48"/>
  <c r="F80" i="48" a="1"/>
  <c r="F80" i="48" s="1"/>
  <c r="Z166" i="46" l="1"/>
  <c r="CK165" i="46"/>
  <c r="JU165" i="46"/>
  <c r="DX166" i="46"/>
  <c r="FK167" i="46"/>
  <c r="GX168" i="46"/>
  <c r="BA169" i="46"/>
  <c r="IK169" i="46"/>
  <c r="CN170" i="46"/>
  <c r="JX170" i="46"/>
  <c r="EA171" i="46"/>
  <c r="FN172" i="46"/>
  <c r="CK164" i="46"/>
  <c r="GC164" i="46"/>
  <c r="JU164" i="46"/>
  <c r="AR165" i="46"/>
  <c r="IB165" i="46"/>
  <c r="CE166" i="46"/>
  <c r="JO166" i="46"/>
  <c r="FK165" i="46"/>
  <c r="GX166" i="46"/>
  <c r="BA167" i="46"/>
  <c r="IK167" i="46"/>
  <c r="EP165" i="46"/>
  <c r="GC166" i="46"/>
  <c r="AF167" i="46"/>
  <c r="HP167" i="46"/>
  <c r="BS168" i="46"/>
  <c r="JC168" i="46"/>
  <c r="DF169" i="46"/>
  <c r="KP169" i="46"/>
  <c r="ES170" i="46"/>
  <c r="GF171" i="46"/>
  <c r="AI172" i="46"/>
  <c r="HS172" i="46"/>
  <c r="AU166" i="46"/>
  <c r="FW167" i="46"/>
  <c r="BY168" i="46"/>
  <c r="DL169" i="46"/>
  <c r="EY170" i="46"/>
  <c r="GL171" i="46"/>
  <c r="HY172" i="46"/>
  <c r="EV173" i="46"/>
  <c r="GI174" i="46"/>
  <c r="Z164" i="46"/>
  <c r="HJ164" i="46"/>
  <c r="DC165" i="46"/>
  <c r="EP166" i="46"/>
  <c r="IW167" i="46"/>
  <c r="EP168" i="46"/>
  <c r="BA166" i="46"/>
  <c r="GC167" i="46"/>
  <c r="CE168" i="46"/>
  <c r="DR169" i="46"/>
  <c r="FE170" i="46"/>
  <c r="GR171" i="46"/>
  <c r="IE172" i="46"/>
  <c r="FB173" i="46"/>
  <c r="GO174" i="46"/>
  <c r="AU164" i="46"/>
  <c r="IE164" i="46"/>
  <c r="DU165" i="46"/>
  <c r="FH166" i="46"/>
  <c r="JF167" i="46"/>
  <c r="EV168" i="46"/>
  <c r="DX165" i="46"/>
  <c r="FK166" i="46"/>
  <c r="JO167" i="46"/>
  <c r="EY168" i="46"/>
  <c r="GL169" i="46"/>
  <c r="HS164" i="46"/>
  <c r="EA165" i="46"/>
  <c r="FN166" i="46"/>
  <c r="JR167" i="46"/>
  <c r="FE168" i="46"/>
  <c r="DI170" i="46"/>
  <c r="GI172" i="46"/>
  <c r="IQ173" i="46"/>
  <c r="AI174" i="46"/>
  <c r="KD174" i="46"/>
  <c r="ED175" i="46"/>
  <c r="FQ176" i="46"/>
  <c r="HD177" i="46"/>
  <c r="BG178" i="46"/>
  <c r="IQ178" i="46"/>
  <c r="CT179" i="46"/>
  <c r="KD179" i="46"/>
  <c r="FH168" i="46"/>
  <c r="KJ169" i="46"/>
  <c r="W170" i="46"/>
  <c r="IK171" i="46"/>
  <c r="DL172" i="46"/>
  <c r="GI173" i="46"/>
  <c r="HV174" i="46"/>
  <c r="CK175" i="46"/>
  <c r="JU175" i="46"/>
  <c r="DX170" i="46"/>
  <c r="GX172" i="46"/>
  <c r="IZ173" i="46"/>
  <c r="AO174" i="46"/>
  <c r="KM174" i="46"/>
  <c r="EJ175" i="46"/>
  <c r="FH167" i="46"/>
  <c r="EV169" i="46"/>
  <c r="JC170" i="46"/>
  <c r="DU171" i="46"/>
  <c r="CW173" i="46"/>
  <c r="EJ174" i="46"/>
  <c r="W175" i="46"/>
  <c r="HG175" i="46"/>
  <c r="GR168" i="46"/>
  <c r="KY169" i="46"/>
  <c r="AU170" i="46"/>
  <c r="JC171" i="46"/>
  <c r="DX172" i="46"/>
  <c r="GU173" i="46"/>
  <c r="IH174" i="46"/>
  <c r="CT175" i="46"/>
  <c r="KD175" i="46"/>
  <c r="EG176" i="46"/>
  <c r="FT177" i="46"/>
  <c r="W178" i="46"/>
  <c r="HG178" i="46"/>
  <c r="BJ179" i="46"/>
  <c r="IT179" i="46"/>
  <c r="HG169" i="46"/>
  <c r="KY170" i="46"/>
  <c r="FZ171" i="46"/>
  <c r="BA172" i="46"/>
  <c r="EM173" i="46"/>
  <c r="FZ174" i="46"/>
  <c r="BA175" i="46"/>
  <c r="IK175" i="46"/>
  <c r="CN176" i="46"/>
  <c r="EY174" i="46"/>
  <c r="AU176" i="46"/>
  <c r="LB176" i="46"/>
  <c r="CT177" i="46"/>
  <c r="EG178" i="46"/>
  <c r="FT179" i="46"/>
  <c r="DO173" i="46"/>
  <c r="AI175" i="46"/>
  <c r="GI176" i="46"/>
  <c r="HV177" i="46"/>
  <c r="JI178" i="46"/>
  <c r="BA179" i="46"/>
  <c r="KV179" i="46"/>
  <c r="EP173" i="46"/>
  <c r="BD175" i="46"/>
  <c r="GL176" i="46"/>
  <c r="HY177" i="46"/>
  <c r="JL178" i="46"/>
  <c r="BD179" i="46"/>
  <c r="KY179" i="46"/>
  <c r="GF174" i="46"/>
  <c r="BG176" i="46"/>
  <c r="DF177" i="46"/>
  <c r="ES178" i="46"/>
  <c r="GF179" i="46"/>
  <c r="CN166" i="46"/>
  <c r="CK174" i="46"/>
  <c r="Z176" i="46"/>
  <c r="KM176" i="46"/>
  <c r="CE177" i="46"/>
  <c r="DR178" i="46"/>
  <c r="FE179" i="46"/>
  <c r="JU169" i="46"/>
  <c r="IE171" i="46"/>
  <c r="CW172" i="46"/>
  <c r="EM176" i="46"/>
  <c r="FZ177" i="46"/>
  <c r="HM178" i="46"/>
  <c r="IZ179" i="46"/>
  <c r="BG167" i="46"/>
  <c r="DO169" i="46"/>
  <c r="HY170" i="46"/>
  <c r="CW171" i="46"/>
  <c r="DF176" i="46"/>
  <c r="EY177" i="46"/>
  <c r="GL178" i="46"/>
  <c r="HY179" i="46"/>
  <c r="IZ168" i="46"/>
  <c r="HG173" i="46"/>
  <c r="DC175" i="46"/>
  <c r="KY176" i="46"/>
  <c r="KM179" i="46"/>
  <c r="BY179" i="46"/>
  <c r="EJ164" i="46"/>
  <c r="DO164" i="46"/>
  <c r="KV164" i="46"/>
  <c r="GF164" i="46"/>
  <c r="HG164" i="46"/>
  <c r="DI165" i="46"/>
  <c r="EV166" i="46"/>
  <c r="HV168" i="46"/>
  <c r="JI169" i="46"/>
  <c r="DL170" i="46"/>
  <c r="EY171" i="46"/>
  <c r="GL172" i="46"/>
  <c r="GO164" i="46"/>
  <c r="IZ165" i="46"/>
  <c r="KM166" i="46"/>
  <c r="GI165" i="46"/>
  <c r="AL166" i="46"/>
  <c r="BY167" i="46"/>
  <c r="HA166" i="46"/>
  <c r="BD167" i="46"/>
  <c r="CQ168" i="46"/>
  <c r="ED169" i="46"/>
  <c r="BG172" i="46"/>
  <c r="BD165" i="46"/>
  <c r="CQ166" i="46"/>
  <c r="DC168" i="46"/>
  <c r="EP169" i="46"/>
  <c r="GC170" i="46"/>
  <c r="HP171" i="46"/>
  <c r="JC172" i="46"/>
  <c r="HG174" i="46"/>
  <c r="IQ164" i="46"/>
  <c r="KM167" i="46"/>
  <c r="BJ165" i="46"/>
  <c r="CW166" i="46"/>
  <c r="HS167" i="46"/>
  <c r="JL172" i="46"/>
  <c r="FZ173" i="46"/>
  <c r="HM174" i="46"/>
  <c r="BJ164" i="46"/>
  <c r="FQ165" i="46"/>
  <c r="HD166" i="46"/>
  <c r="GC168" i="46"/>
  <c r="KV167" i="46"/>
  <c r="FW165" i="46"/>
  <c r="HJ166" i="46"/>
  <c r="GL168" i="46"/>
  <c r="AF169" i="46"/>
  <c r="FB170" i="46"/>
  <c r="Z171" i="46"/>
  <c r="JX173" i="46"/>
  <c r="AR177" i="46"/>
  <c r="CE178" i="46"/>
  <c r="DR179" i="46"/>
  <c r="KA171" i="46"/>
  <c r="FB172" i="46"/>
  <c r="KS175" i="46"/>
  <c r="AR169" i="46"/>
  <c r="FN170" i="46"/>
  <c r="AL171" i="46"/>
  <c r="KD173" i="46"/>
  <c r="FH175" i="46"/>
  <c r="IE175" i="46"/>
  <c r="KS171" i="46"/>
  <c r="FQ172" i="46"/>
  <c r="LB175" i="46"/>
  <c r="AU178" i="46"/>
  <c r="JR179" i="46"/>
  <c r="JF169" i="46"/>
  <c r="HM171" i="46"/>
  <c r="CN172" i="46"/>
  <c r="HD174" i="46"/>
  <c r="BY175" i="46"/>
  <c r="DL176" i="46"/>
  <c r="JU174" i="46"/>
  <c r="CE176" i="46"/>
  <c r="EA177" i="46"/>
  <c r="FN178" i="46"/>
  <c r="HA179" i="46"/>
  <c r="EA175" i="46"/>
  <c r="AR178" i="46"/>
  <c r="CE179" i="46"/>
  <c r="JO173" i="46"/>
  <c r="HS176" i="46"/>
  <c r="JF177" i="46"/>
  <c r="KS178" i="46"/>
  <c r="W169" i="46"/>
  <c r="W171" i="46"/>
  <c r="CT176" i="46"/>
  <c r="EM177" i="46"/>
  <c r="FZ178" i="46"/>
  <c r="HM179" i="46"/>
  <c r="BA173" i="46"/>
  <c r="FT176" i="46"/>
  <c r="HG177" i="46"/>
  <c r="IT178" i="46"/>
  <c r="JL171" i="46"/>
  <c r="EP176" i="46"/>
  <c r="GC177" i="46"/>
  <c r="HP178" i="46"/>
  <c r="JC179" i="46"/>
  <c r="GU175" i="46"/>
  <c r="CB176" i="46"/>
  <c r="FB177" i="46"/>
  <c r="KS165" i="46"/>
  <c r="GI167" i="46"/>
  <c r="AL168" i="46"/>
  <c r="BY169" i="46"/>
  <c r="KV170" i="46"/>
  <c r="CW164" i="46"/>
  <c r="KG164" i="46"/>
  <c r="BP165" i="46"/>
  <c r="DC166" i="46"/>
  <c r="HV166" i="46"/>
  <c r="JI167" i="46"/>
  <c r="FN165" i="46"/>
  <c r="IN167" i="46"/>
  <c r="KA168" i="46"/>
  <c r="FQ170" i="46"/>
  <c r="HD171" i="46"/>
  <c r="IQ172" i="46"/>
  <c r="HD167" i="46"/>
  <c r="FT173" i="46"/>
  <c r="W174" i="46"/>
  <c r="BG164" i="46"/>
  <c r="EY165" i="46"/>
  <c r="GL166" i="46"/>
  <c r="FT168" i="46"/>
  <c r="DL168" i="46"/>
  <c r="EY169" i="46"/>
  <c r="GL170" i="46"/>
  <c r="HY171" i="46"/>
  <c r="AC174" i="46"/>
  <c r="IT164" i="46"/>
  <c r="KS167" i="46"/>
  <c r="FT165" i="46"/>
  <c r="HG166" i="46"/>
  <c r="GF168" i="46"/>
  <c r="HS169" i="46"/>
  <c r="IH164" i="46"/>
  <c r="LB167" i="46"/>
  <c r="IB172" i="46"/>
  <c r="Z173" i="46"/>
  <c r="BM174" i="46"/>
  <c r="FB175" i="46"/>
  <c r="GO176" i="46"/>
  <c r="IB177" i="46"/>
  <c r="JO178" i="46"/>
  <c r="LB179" i="46"/>
  <c r="KG168" i="46"/>
  <c r="CB170" i="46"/>
  <c r="HM173" i="46"/>
  <c r="IZ174" i="46"/>
  <c r="DI175" i="46"/>
  <c r="IN172" i="46"/>
  <c r="AI173" i="46"/>
  <c r="BV174" i="46"/>
  <c r="GU169" i="46"/>
  <c r="KP170" i="46"/>
  <c r="FQ171" i="46"/>
  <c r="AL172" i="46"/>
  <c r="EG173" i="46"/>
  <c r="FT174" i="46"/>
  <c r="AU175" i="46"/>
  <c r="CQ170" i="46"/>
  <c r="IB173" i="46"/>
  <c r="JO174" i="46"/>
  <c r="DR175" i="46"/>
  <c r="FE176" i="46"/>
  <c r="GR177" i="46"/>
  <c r="IE178" i="46"/>
  <c r="CH179" i="46"/>
  <c r="CW168" i="46"/>
  <c r="FQ173" i="46"/>
  <c r="JI175" i="46"/>
  <c r="DC170" i="46"/>
  <c r="IK173" i="46"/>
  <c r="HP176" i="46"/>
  <c r="JC177" i="46"/>
  <c r="KP178" i="46"/>
  <c r="EV175" i="46"/>
  <c r="AX178" i="46"/>
  <c r="CK179" i="46"/>
  <c r="EV170" i="46"/>
  <c r="HJ174" i="46"/>
  <c r="BJ176" i="46"/>
  <c r="DI177" i="46"/>
  <c r="EV178" i="46"/>
  <c r="GI179" i="46"/>
  <c r="JR172" i="46"/>
  <c r="AI179" i="46"/>
  <c r="KG179" i="46"/>
  <c r="EJ172" i="46"/>
  <c r="JR165" i="46"/>
  <c r="AC177" i="46"/>
  <c r="CW178" i="46"/>
  <c r="FQ179" i="46"/>
  <c r="HV178" i="46"/>
  <c r="EG165" i="46"/>
  <c r="FT166" i="46"/>
  <c r="W167" i="46"/>
  <c r="HG167" i="46"/>
  <c r="BJ168" i="46"/>
  <c r="IT168" i="46"/>
  <c r="CW169" i="46"/>
  <c r="KG169" i="46"/>
  <c r="EJ170" i="46"/>
  <c r="FW171" i="46"/>
  <c r="Z172" i="46"/>
  <c r="HJ172" i="46"/>
  <c r="DI164" i="46"/>
  <c r="HA164" i="46"/>
  <c r="KS164" i="46"/>
  <c r="CN165" i="46"/>
  <c r="JX165" i="46"/>
  <c r="EA166" i="46"/>
  <c r="W165" i="46"/>
  <c r="HG165" i="46"/>
  <c r="BJ166" i="46"/>
  <c r="IT166" i="46"/>
  <c r="CW167" i="46"/>
  <c r="KG167" i="46"/>
  <c r="GL165" i="46"/>
  <c r="AO166" i="46"/>
  <c r="HY166" i="46"/>
  <c r="CB167" i="46"/>
  <c r="JL167" i="46"/>
  <c r="DO168" i="46"/>
  <c r="KY168" i="46"/>
  <c r="FB169" i="46"/>
  <c r="GO170" i="46"/>
  <c r="AR171" i="46"/>
  <c r="IB171" i="46"/>
  <c r="CE172" i="46"/>
  <c r="JO172" i="46"/>
  <c r="CZ165" i="46"/>
  <c r="EM166" i="46"/>
  <c r="IT167" i="46"/>
  <c r="EJ168" i="46"/>
  <c r="FW169" i="46"/>
  <c r="HJ170" i="46"/>
  <c r="IW171" i="46"/>
  <c r="AO172" i="46"/>
  <c r="KJ172" i="46"/>
  <c r="GR173" i="46"/>
  <c r="AU174" i="46"/>
  <c r="IE174" i="46"/>
  <c r="BV164" i="46"/>
  <c r="JF164" i="46"/>
  <c r="GU165" i="46"/>
  <c r="IH166" i="46"/>
  <c r="Z167" i="46"/>
  <c r="HA168" i="46"/>
  <c r="DF165" i="46"/>
  <c r="ES166" i="46"/>
  <c r="IZ167" i="46"/>
  <c r="ES168" i="46"/>
  <c r="GF169" i="46"/>
  <c r="HS170" i="46"/>
  <c r="JF171" i="46"/>
  <c r="AU172" i="46"/>
  <c r="KS172" i="46"/>
  <c r="GX173" i="46"/>
  <c r="BA174" i="46"/>
  <c r="IK174" i="46"/>
  <c r="CQ164" i="46"/>
  <c r="KA164" i="46"/>
  <c r="HM165" i="46"/>
  <c r="IZ166" i="46"/>
  <c r="AL167" i="46"/>
  <c r="FE165" i="46"/>
  <c r="GR166" i="46"/>
  <c r="AU167" i="46"/>
  <c r="IE167" i="46"/>
  <c r="CH168" i="46"/>
  <c r="JR168" i="46"/>
  <c r="DU169" i="46"/>
  <c r="LE169" i="46"/>
  <c r="FH170" i="46"/>
  <c r="GU171" i="46"/>
  <c r="AX172" i="46"/>
  <c r="IH172" i="46"/>
  <c r="AC164" i="46"/>
  <c r="DU164" i="46"/>
  <c r="HM164" i="46"/>
  <c r="LE164" i="46"/>
  <c r="DL165" i="46"/>
  <c r="KV165" i="46"/>
  <c r="EY166" i="46"/>
  <c r="AU165" i="46"/>
  <c r="IE165" i="46"/>
  <c r="CH166" i="46"/>
  <c r="JR166" i="46"/>
  <c r="DU167" i="46"/>
  <c r="LE167" i="46"/>
  <c r="Z165" i="46"/>
  <c r="HJ165" i="46"/>
  <c r="BM166" i="46"/>
  <c r="IW166" i="46"/>
  <c r="CZ167" i="46"/>
  <c r="KJ167" i="46"/>
  <c r="EM168" i="46"/>
  <c r="FZ169" i="46"/>
  <c r="AC170" i="46"/>
  <c r="HM170" i="46"/>
  <c r="BP171" i="46"/>
  <c r="IZ171" i="46"/>
  <c r="DC172" i="46"/>
  <c r="KM172" i="46"/>
  <c r="EV165" i="46"/>
  <c r="GI166" i="46"/>
  <c r="KD167" i="46"/>
  <c r="FQ168" i="46"/>
  <c r="HD169" i="46"/>
  <c r="IQ170" i="46"/>
  <c r="AF171" i="46"/>
  <c r="KD171" i="46"/>
  <c r="BS172" i="46"/>
  <c r="AF173" i="46"/>
  <c r="HP173" i="46"/>
  <c r="BS174" i="46"/>
  <c r="JC174" i="46"/>
  <c r="DC164" i="46"/>
  <c r="KM164" i="46"/>
  <c r="IQ165" i="46"/>
  <c r="KD166" i="46"/>
  <c r="BM167" i="46"/>
  <c r="IH168" i="46"/>
  <c r="FB165" i="46"/>
  <c r="GO166" i="46"/>
  <c r="KP167" i="46"/>
  <c r="FW168" i="46"/>
  <c r="HJ169" i="46"/>
  <c r="IW170" i="46"/>
  <c r="AO171" i="46"/>
  <c r="KJ171" i="46"/>
  <c r="CB172" i="46"/>
  <c r="AL173" i="46"/>
  <c r="HV173" i="46"/>
  <c r="BY174" i="46"/>
  <c r="JI174" i="46"/>
  <c r="DF164" i="46"/>
  <c r="KP164" i="46"/>
  <c r="JI165" i="46"/>
  <c r="KV166" i="46"/>
  <c r="BV167" i="46"/>
  <c r="IN168" i="46"/>
  <c r="JL165" i="46"/>
  <c r="KY166" i="46"/>
  <c r="CE167" i="46"/>
  <c r="IQ168" i="46"/>
  <c r="AI169" i="46"/>
  <c r="KD169" i="46"/>
  <c r="BV170" i="46"/>
  <c r="KD164" i="46"/>
  <c r="JO165" i="46"/>
  <c r="LB166" i="46"/>
  <c r="CH167" i="46"/>
  <c r="IW168" i="46"/>
  <c r="KG165" i="46"/>
  <c r="CN167" i="46"/>
  <c r="EG169" i="46"/>
  <c r="IH170" i="46"/>
  <c r="DI171" i="46"/>
  <c r="CN173" i="46"/>
  <c r="EA174" i="46"/>
  <c r="GX175" i="46"/>
  <c r="BA176" i="46"/>
  <c r="IK176" i="46"/>
  <c r="CN177" i="46"/>
  <c r="JX177" i="46"/>
  <c r="EA178" i="46"/>
  <c r="FN179" i="46"/>
  <c r="AO169" i="46"/>
  <c r="FK170" i="46"/>
  <c r="AC171" i="46"/>
  <c r="IK172" i="46"/>
  <c r="AC173" i="46"/>
  <c r="KA173" i="46"/>
  <c r="BP174" i="46"/>
  <c r="FE175" i="46"/>
  <c r="FK164" i="46"/>
  <c r="ED167" i="46"/>
  <c r="EM169" i="46"/>
  <c r="IT170" i="46"/>
  <c r="DR171" i="46"/>
  <c r="CT173" i="46"/>
  <c r="EG174" i="46"/>
  <c r="HD175" i="46"/>
  <c r="GO168" i="46"/>
  <c r="KS169" i="46"/>
  <c r="AL170" i="46"/>
  <c r="IT171" i="46"/>
  <c r="DU172" i="46"/>
  <c r="GO173" i="46"/>
  <c r="IB174" i="46"/>
  <c r="CQ175" i="46"/>
  <c r="KA175" i="46"/>
  <c r="AR166" i="46"/>
  <c r="BD169" i="46"/>
  <c r="FW170" i="46"/>
  <c r="AX171" i="46"/>
  <c r="IW172" i="46"/>
  <c r="AR173" i="46"/>
  <c r="KM173" i="46"/>
  <c r="CE174" i="46"/>
  <c r="FN175" i="46"/>
  <c r="HA176" i="46"/>
  <c r="BD177" i="46"/>
  <c r="IN177" i="46"/>
  <c r="CQ178" i="46"/>
  <c r="KA178" i="46"/>
  <c r="ED179" i="46"/>
  <c r="CZ170" i="46"/>
  <c r="KY171" i="46"/>
  <c r="FZ172" i="46"/>
  <c r="IE173" i="46"/>
  <c r="JR174" i="46"/>
  <c r="DU175" i="46"/>
  <c r="LE175" i="46"/>
  <c r="LB171" i="46"/>
  <c r="GC172" i="46"/>
  <c r="EY176" i="46"/>
  <c r="GL177" i="46"/>
  <c r="HY178" i="46"/>
  <c r="JL179" i="46"/>
  <c r="AF174" i="46"/>
  <c r="KA176" i="46"/>
  <c r="BS177" i="46"/>
  <c r="DF178" i="46"/>
  <c r="ES179" i="46"/>
  <c r="BG174" i="46"/>
  <c r="KD176" i="46"/>
  <c r="BV177" i="46"/>
  <c r="DI178" i="46"/>
  <c r="EV179" i="46"/>
  <c r="HV172" i="46"/>
  <c r="W173" i="46"/>
  <c r="FK176" i="46"/>
  <c r="GX177" i="46"/>
  <c r="IK178" i="46"/>
  <c r="AC179" i="46"/>
  <c r="JX179" i="46"/>
  <c r="JL169" i="46"/>
  <c r="HV171" i="46"/>
  <c r="CQ172" i="46"/>
  <c r="EJ176" i="46"/>
  <c r="FW177" i="46"/>
  <c r="HJ178" i="46"/>
  <c r="IW179" i="46"/>
  <c r="CH165" i="46"/>
  <c r="KY173" i="46"/>
  <c r="FW175" i="46"/>
  <c r="IE176" i="46"/>
  <c r="W177" i="46"/>
  <c r="JR177" i="46"/>
  <c r="BJ178" i="46"/>
  <c r="LE178" i="46"/>
  <c r="CW179" i="46"/>
  <c r="HY168" i="46"/>
  <c r="HD173" i="46"/>
  <c r="CZ175" i="46"/>
  <c r="HD176" i="46"/>
  <c r="IQ177" i="46"/>
  <c r="AF178" i="46"/>
  <c r="KD178" i="46"/>
  <c r="BS179" i="46"/>
  <c r="LE166" i="46"/>
  <c r="DX174" i="46"/>
  <c r="KM175" i="46"/>
  <c r="BJ177" i="46"/>
  <c r="ED178" i="46"/>
  <c r="GU179" i="46"/>
  <c r="DO176" i="46"/>
  <c r="GI177" i="46"/>
  <c r="KG178" i="46"/>
  <c r="HD164" i="46"/>
  <c r="EV164" i="46"/>
  <c r="GR164" i="46"/>
  <c r="GC165" i="46"/>
  <c r="AF166" i="46"/>
  <c r="HP166" i="46"/>
  <c r="DF168" i="46"/>
  <c r="ES169" i="46"/>
  <c r="GF170" i="46"/>
  <c r="HS171" i="46"/>
  <c r="JF172" i="46"/>
  <c r="AO164" i="46"/>
  <c r="HY164" i="46"/>
  <c r="EJ165" i="46"/>
  <c r="FW166" i="46"/>
  <c r="BS165" i="46"/>
  <c r="DF166" i="46"/>
  <c r="ES167" i="46"/>
  <c r="AX165" i="46"/>
  <c r="CK166" i="46"/>
  <c r="DX167" i="46"/>
  <c r="FK168" i="46"/>
  <c r="GX169" i="46"/>
  <c r="IK170" i="46"/>
  <c r="JX171" i="46"/>
  <c r="EA172" i="46"/>
  <c r="GR165" i="46"/>
  <c r="IE166" i="46"/>
  <c r="GU168" i="46"/>
  <c r="IH169" i="46"/>
  <c r="JU170" i="46"/>
  <c r="IN173" i="46"/>
  <c r="KA174" i="46"/>
  <c r="LB164" i="46"/>
  <c r="DC167" i="46"/>
  <c r="JL168" i="46"/>
  <c r="AI170" i="46"/>
  <c r="BV171" i="46"/>
  <c r="DI172" i="46"/>
  <c r="BJ173" i="46"/>
  <c r="CW174" i="46"/>
  <c r="Z168" i="46"/>
  <c r="DL167" i="46"/>
  <c r="JX168" i="46"/>
  <c r="BP169" i="46"/>
  <c r="EA164" i="46"/>
  <c r="DR167" i="46"/>
  <c r="KD168" i="46"/>
  <c r="IQ167" i="46"/>
  <c r="GC169" i="46"/>
  <c r="KA170" i="46"/>
  <c r="EV171" i="46"/>
  <c r="W172" i="46"/>
  <c r="HV175" i="46"/>
  <c r="JI176" i="46"/>
  <c r="KV177" i="46"/>
  <c r="FQ166" i="46"/>
  <c r="JX172" i="46"/>
  <c r="BM173" i="46"/>
  <c r="CZ174" i="46"/>
  <c r="GC175" i="46"/>
  <c r="IB175" i="46"/>
  <c r="CH170" i="46"/>
  <c r="HY173" i="46"/>
  <c r="JL174" i="46"/>
  <c r="DO175" i="46"/>
  <c r="IB166" i="46"/>
  <c r="KP172" i="46"/>
  <c r="BV173" i="46"/>
  <c r="DI174" i="46"/>
  <c r="AO176" i="46"/>
  <c r="CB177" i="46"/>
  <c r="DO178" i="46"/>
  <c r="JI173" i="46"/>
  <c r="BD174" i="46"/>
  <c r="AF175" i="46"/>
  <c r="JF178" i="46"/>
  <c r="KS179" i="46"/>
  <c r="FB174" i="46"/>
  <c r="AX176" i="46"/>
  <c r="CW177" i="46"/>
  <c r="EJ178" i="46"/>
  <c r="FW179" i="46"/>
  <c r="ES173" i="46"/>
  <c r="GR176" i="46"/>
  <c r="BS167" i="46"/>
  <c r="JC167" i="46"/>
  <c r="KP168" i="46"/>
  <c r="AI171" i="46"/>
  <c r="BV172" i="46"/>
  <c r="EG164" i="46"/>
  <c r="JC165" i="46"/>
  <c r="KP166" i="46"/>
  <c r="IH165" i="46"/>
  <c r="JU166" i="46"/>
  <c r="BA170" i="46"/>
  <c r="CN171" i="46"/>
  <c r="Z170" i="46"/>
  <c r="BM171" i="46"/>
  <c r="CZ172" i="46"/>
  <c r="BD173" i="46"/>
  <c r="CQ174" i="46"/>
  <c r="DR164" i="46"/>
  <c r="KM165" i="46"/>
  <c r="GX165" i="46"/>
  <c r="IK166" i="46"/>
  <c r="AI167" i="46"/>
  <c r="HD168" i="46"/>
  <c r="IQ169" i="46"/>
  <c r="KD170" i="46"/>
  <c r="IT173" i="46"/>
  <c r="KG174" i="46"/>
  <c r="EM164" i="46"/>
  <c r="LE165" i="46"/>
  <c r="DI167" i="46"/>
  <c r="JU168" i="46"/>
  <c r="AC168" i="46"/>
  <c r="AF168" i="46"/>
  <c r="DR173" i="46"/>
  <c r="FE174" i="46"/>
  <c r="AL175" i="46"/>
  <c r="BY176" i="46"/>
  <c r="DL177" i="46"/>
  <c r="EY178" i="46"/>
  <c r="GL179" i="46"/>
  <c r="ED165" i="46"/>
  <c r="CK169" i="46"/>
  <c r="GX170" i="46"/>
  <c r="BY171" i="46"/>
  <c r="LE173" i="46"/>
  <c r="HV164" i="46"/>
  <c r="JX167" i="46"/>
  <c r="GR169" i="46"/>
  <c r="KM170" i="46"/>
  <c r="FK171" i="46"/>
  <c r="AF172" i="46"/>
  <c r="EA173" i="46"/>
  <c r="FN174" i="46"/>
  <c r="AR175" i="46"/>
  <c r="KP171" i="46"/>
  <c r="FH172" i="46"/>
  <c r="KY175" i="46"/>
  <c r="GO165" i="46"/>
  <c r="DC169" i="46"/>
  <c r="HP170" i="46"/>
  <c r="CK171" i="46"/>
  <c r="GL175" i="46"/>
  <c r="HY176" i="46"/>
  <c r="JL177" i="46"/>
  <c r="KY178" i="46"/>
  <c r="FB179" i="46"/>
  <c r="EM170" i="46"/>
  <c r="HM172" i="46"/>
  <c r="KV174" i="46"/>
  <c r="ES175" i="46"/>
  <c r="DL173" i="46"/>
  <c r="GF176" i="46"/>
  <c r="HS177" i="46"/>
  <c r="AU179" i="46"/>
  <c r="GC174" i="46"/>
  <c r="BD176" i="46"/>
  <c r="DC177" i="46"/>
  <c r="EP178" i="46"/>
  <c r="GC179" i="46"/>
  <c r="BG175" i="46"/>
  <c r="HA165" i="46"/>
  <c r="BD166" i="46"/>
  <c r="IN166" i="46"/>
  <c r="CQ167" i="46"/>
  <c r="KA167" i="46"/>
  <c r="ED168" i="46"/>
  <c r="FQ169" i="46"/>
  <c r="HD170" i="46"/>
  <c r="BG171" i="46"/>
  <c r="IQ171" i="46"/>
  <c r="CT172" i="46"/>
  <c r="KD172" i="46"/>
  <c r="BA164" i="46"/>
  <c r="ES164" i="46"/>
  <c r="IK164" i="46"/>
  <c r="FH165" i="46"/>
  <c r="GU166" i="46"/>
  <c r="CQ165" i="46"/>
  <c r="KA165" i="46"/>
  <c r="ED166" i="46"/>
  <c r="FQ167" i="46"/>
  <c r="BV165" i="46"/>
  <c r="JF165" i="46"/>
  <c r="DI166" i="46"/>
  <c r="KS166" i="46"/>
  <c r="EV167" i="46"/>
  <c r="GI168" i="46"/>
  <c r="AL169" i="46"/>
  <c r="HV169" i="46"/>
  <c r="BY170" i="46"/>
  <c r="JI170" i="46"/>
  <c r="DL171" i="46"/>
  <c r="KV171" i="46"/>
  <c r="EY172" i="46"/>
  <c r="IN165" i="46"/>
  <c r="KA166" i="46"/>
  <c r="BJ167" i="46"/>
  <c r="IB168" i="46"/>
  <c r="JO169" i="46"/>
  <c r="BG170" i="46"/>
  <c r="LB170" i="46"/>
  <c r="CT171" i="46"/>
  <c r="EG172" i="46"/>
  <c r="CB173" i="46"/>
  <c r="JL173" i="46"/>
  <c r="DO174" i="46"/>
  <c r="KY174" i="46"/>
  <c r="EY164" i="46"/>
  <c r="EJ167" i="46"/>
  <c r="AX168" i="46"/>
  <c r="KS168" i="46"/>
  <c r="IT165" i="46"/>
  <c r="KG166" i="46"/>
  <c r="BP167" i="46"/>
  <c r="IK168" i="46"/>
  <c r="Z169" i="46"/>
  <c r="JX169" i="46"/>
  <c r="BM170" i="46"/>
  <c r="CZ171" i="46"/>
  <c r="EM172" i="46"/>
  <c r="CH173" i="46"/>
  <c r="JR173" i="46"/>
  <c r="DU174" i="46"/>
  <c r="LE174" i="46"/>
  <c r="FB164" i="46"/>
  <c r="EY167" i="46"/>
  <c r="BD168" i="46"/>
  <c r="LB168" i="46"/>
  <c r="W166" i="46"/>
  <c r="FB167" i="46"/>
  <c r="BG168" i="46"/>
  <c r="LE168" i="46"/>
  <c r="CT169" i="46"/>
  <c r="EP164" i="46"/>
  <c r="FE167" i="46"/>
  <c r="BM168" i="46"/>
  <c r="IB169" i="46"/>
  <c r="GO171" i="46"/>
  <c r="BM172" i="46"/>
  <c r="EY173" i="46"/>
  <c r="GL174" i="46"/>
  <c r="BJ175" i="46"/>
  <c r="IT175" i="46"/>
  <c r="CW176" i="46"/>
  <c r="KG176" i="46"/>
  <c r="EJ177" i="46"/>
  <c r="FW178" i="46"/>
  <c r="Z179" i="46"/>
  <c r="HJ179" i="46"/>
  <c r="EA167" i="46"/>
  <c r="EJ169" i="46"/>
  <c r="IN170" i="46"/>
  <c r="DO171" i="46"/>
  <c r="CQ173" i="46"/>
  <c r="ED174" i="46"/>
  <c r="HA175" i="46"/>
  <c r="AO168" i="46"/>
  <c r="IN169" i="46"/>
  <c r="HA171" i="46"/>
  <c r="BY172" i="46"/>
  <c r="FH173" i="46"/>
  <c r="GU174" i="46"/>
  <c r="BP175" i="46"/>
  <c r="IZ175" i="46"/>
  <c r="ED170" i="46"/>
  <c r="HD172" i="46"/>
  <c r="JC173" i="46"/>
  <c r="AR174" i="46"/>
  <c r="KP174" i="46"/>
  <c r="EM175" i="46"/>
  <c r="FN167" i="46"/>
  <c r="FE169" i="46"/>
  <c r="JF170" i="46"/>
  <c r="ED171" i="46"/>
  <c r="DC173" i="46"/>
  <c r="EP174" i="46"/>
  <c r="Z175" i="46"/>
  <c r="HJ175" i="46"/>
  <c r="BM176" i="46"/>
  <c r="IW176" i="46"/>
  <c r="CZ177" i="46"/>
  <c r="KJ177" i="46"/>
  <c r="EM178" i="46"/>
  <c r="FZ179" i="46"/>
  <c r="AL165" i="46"/>
  <c r="BY166" i="46"/>
  <c r="BM169" i="46"/>
  <c r="FZ170" i="46"/>
  <c r="BA171" i="46"/>
  <c r="IZ172" i="46"/>
  <c r="AU173" i="46"/>
  <c r="KS173" i="46"/>
  <c r="CH174" i="46"/>
  <c r="FQ175" i="46"/>
  <c r="IH173" i="46"/>
  <c r="DX175" i="46"/>
  <c r="HJ176" i="46"/>
  <c r="IW177" i="46"/>
  <c r="AO178" i="46"/>
  <c r="KJ178" i="46"/>
  <c r="CB179" i="46"/>
  <c r="DF170" i="46"/>
  <c r="JX174" i="46"/>
  <c r="CH176" i="46"/>
  <c r="ED177" i="46"/>
  <c r="FQ178" i="46"/>
  <c r="HD179" i="46"/>
  <c r="EP170" i="46"/>
  <c r="LB174" i="46"/>
  <c r="CQ176" i="46"/>
  <c r="EG177" i="46"/>
  <c r="FT178" i="46"/>
  <c r="HG179" i="46"/>
  <c r="JU173" i="46"/>
  <c r="EY175" i="46"/>
  <c r="HV176" i="46"/>
  <c r="JI177" i="46"/>
  <c r="BA178" i="46"/>
  <c r="KV178" i="46"/>
  <c r="CN179" i="46"/>
  <c r="CZ168" i="46"/>
  <c r="FW173" i="46"/>
  <c r="CB175" i="46"/>
  <c r="GU176" i="46"/>
  <c r="IH177" i="46"/>
  <c r="Z178" i="46"/>
  <c r="JU178" i="46"/>
  <c r="BM179" i="46"/>
  <c r="DU166" i="46"/>
  <c r="CN174" i="46"/>
  <c r="AF176" i="46"/>
  <c r="KP176" i="46"/>
  <c r="CH177" i="46"/>
  <c r="DU178" i="46"/>
  <c r="FH179" i="46"/>
  <c r="KJ175" i="46"/>
  <c r="JO176" i="46"/>
  <c r="BG177" i="46"/>
  <c r="LB177" i="46"/>
  <c r="AC169" i="46"/>
  <c r="BP170" i="46"/>
  <c r="DC171" i="46"/>
  <c r="EP172" i="46"/>
  <c r="FQ164" i="46"/>
  <c r="AC167" i="46"/>
  <c r="AU168" i="46"/>
  <c r="CH169" i="46"/>
  <c r="DU170" i="46"/>
  <c r="FH171" i="46"/>
  <c r="GU172" i="46"/>
  <c r="KM168" i="46"/>
  <c r="DI168" i="46"/>
  <c r="EP167" i="46"/>
  <c r="GX164" i="46"/>
  <c r="HV167" i="46"/>
  <c r="JC166" i="46"/>
  <c r="IZ169" i="46"/>
  <c r="FW164" i="46"/>
  <c r="GU167" i="46"/>
  <c r="DX168" i="46"/>
  <c r="JU172" i="46"/>
  <c r="IW174" i="46"/>
  <c r="AC176" i="46"/>
  <c r="BP177" i="46"/>
  <c r="DC178" i="46"/>
  <c r="EP179" i="46"/>
  <c r="AI168" i="46"/>
  <c r="GI169" i="46"/>
  <c r="FB171" i="46"/>
  <c r="BM175" i="46"/>
  <c r="AF170" i="46"/>
  <c r="KG171" i="46"/>
  <c r="GF175" i="46"/>
  <c r="AC166" i="46"/>
  <c r="BP168" i="46"/>
  <c r="CZ169" i="46"/>
  <c r="CH171" i="46"/>
  <c r="BS175" i="46"/>
  <c r="EG170" i="46"/>
  <c r="EJ173" i="46"/>
  <c r="JF175" i="46"/>
  <c r="KS176" i="46"/>
  <c r="GX167" i="46"/>
  <c r="JL170" i="46"/>
  <c r="HA173" i="46"/>
  <c r="DL174" i="46"/>
  <c r="EP171" i="46"/>
  <c r="HP175" i="46"/>
  <c r="DR176" i="46"/>
  <c r="AI177" i="46"/>
  <c r="LE171" i="46"/>
  <c r="HS175" i="46"/>
  <c r="FB176" i="46"/>
  <c r="AL177" i="46"/>
  <c r="GC171" i="46"/>
  <c r="EA176" i="46"/>
  <c r="GI171" i="46"/>
  <c r="IQ175" i="46"/>
  <c r="ED176" i="46"/>
  <c r="KP177" i="46"/>
  <c r="FT175" i="46"/>
  <c r="BD178" i="46"/>
  <c r="CQ179" i="46"/>
  <c r="DR174" i="46"/>
  <c r="AI176" i="46"/>
  <c r="CK177" i="46"/>
  <c r="AO179" i="46"/>
  <c r="CK167" i="46"/>
  <c r="JR171" i="46"/>
  <c r="KA177" i="46"/>
  <c r="LE177" i="46"/>
  <c r="EJ179" i="46"/>
  <c r="CQ177" i="46"/>
  <c r="IB179" i="46"/>
  <c r="HG176" i="46"/>
  <c r="AL178" i="46"/>
  <c r="AX164" i="46"/>
  <c r="IN164" i="46"/>
  <c r="CT164" i="46"/>
  <c r="CZ176" i="46"/>
  <c r="BP179" i="46"/>
  <c r="HJ177" i="46"/>
  <c r="EG179" i="46"/>
  <c r="IE170" i="46"/>
  <c r="IT174" i="46"/>
  <c r="AR179" i="46"/>
  <c r="BP164" i="46"/>
  <c r="AI166" i="46"/>
  <c r="KD165" i="46"/>
  <c r="KJ165" i="46"/>
  <c r="FT170" i="46"/>
  <c r="BS173" i="46"/>
  <c r="Z174" i="46"/>
  <c r="CB178" i="46"/>
  <c r="FN176" i="46"/>
  <c r="BA177" i="46"/>
  <c r="IH176" i="46"/>
  <c r="HP165" i="46"/>
  <c r="LE176" i="46"/>
  <c r="JU167" i="46"/>
  <c r="AC172" i="46"/>
  <c r="CB174" i="46"/>
  <c r="FK169" i="46"/>
  <c r="CW175" i="46"/>
  <c r="GR178" i="46"/>
  <c r="IB178" i="46"/>
  <c r="DO177" i="46"/>
  <c r="IN176" i="46"/>
  <c r="W164" i="46"/>
  <c r="CQ169" i="46"/>
  <c r="FQ177" i="46"/>
  <c r="IK177" i="46"/>
  <c r="AF164" i="46"/>
  <c r="AO165" i="46"/>
  <c r="CB166" i="46"/>
  <c r="DO167" i="46"/>
  <c r="FB168" i="46"/>
  <c r="GO169" i="46"/>
  <c r="IB170" i="46"/>
  <c r="JO171" i="46"/>
  <c r="LB172" i="46"/>
  <c r="IW164" i="46"/>
  <c r="DO165" i="46"/>
  <c r="FB166" i="46"/>
  <c r="GO167" i="46"/>
  <c r="CT165" i="46"/>
  <c r="EG166" i="46"/>
  <c r="FT167" i="46"/>
  <c r="HG168" i="46"/>
  <c r="IT169" i="46"/>
  <c r="KG170" i="46"/>
  <c r="AX169" i="46"/>
  <c r="DX171" i="46"/>
  <c r="CZ173" i="46"/>
  <c r="EM174" i="46"/>
  <c r="CT170" i="46"/>
  <c r="FT172" i="46"/>
  <c r="CK168" i="46"/>
  <c r="GL164" i="46"/>
  <c r="BV166" i="46"/>
  <c r="IB167" i="46"/>
  <c r="HP168" i="46"/>
  <c r="EG168" i="46"/>
  <c r="CB169" i="46"/>
  <c r="BS171" i="46"/>
  <c r="CH175" i="46"/>
  <c r="DU176" i="46"/>
  <c r="FH177" i="46"/>
  <c r="GU178" i="46"/>
  <c r="IH179" i="46"/>
  <c r="IE169" i="46"/>
  <c r="GX171" i="46"/>
  <c r="EG175" i="46"/>
  <c r="CE170" i="46"/>
  <c r="BP173" i="46"/>
  <c r="JX175" i="46"/>
  <c r="HM166" i="46"/>
  <c r="IW169" i="46"/>
  <c r="HG171" i="46"/>
  <c r="FK175" i="46"/>
  <c r="KS170" i="46"/>
  <c r="AR172" i="46"/>
  <c r="FN173" i="46"/>
  <c r="AX174" i="46"/>
  <c r="HV165" i="46"/>
  <c r="ED172" i="46"/>
  <c r="EV174" i="46"/>
  <c r="IQ176" i="46"/>
  <c r="BM177" i="46"/>
  <c r="FT169" i="46"/>
  <c r="IT176" i="46"/>
  <c r="FK177" i="46"/>
  <c r="IN175" i="46"/>
  <c r="FH176" i="46"/>
  <c r="AO177" i="46"/>
  <c r="JC176" i="46"/>
  <c r="JL175" i="46"/>
  <c r="AX177" i="46"/>
  <c r="CK178" i="46"/>
  <c r="DX179" i="46"/>
  <c r="GR170" i="46"/>
  <c r="IQ174" i="46"/>
  <c r="BV176" i="46"/>
  <c r="DR177" i="46"/>
  <c r="CZ179" i="46"/>
  <c r="BJ170" i="46"/>
  <c r="DU177" i="46"/>
  <c r="JI179" i="46"/>
  <c r="HM177" i="46"/>
  <c r="KY164" i="46"/>
  <c r="JL164" i="46"/>
  <c r="DX164" i="46"/>
  <c r="AR164" i="46"/>
  <c r="KV172" i="46"/>
  <c r="FN169" i="46"/>
  <c r="BV178" i="46"/>
  <c r="IZ176" i="46"/>
  <c r="FN177" i="46"/>
  <c r="BS169" i="46"/>
  <c r="EP177" i="46"/>
  <c r="GC178" i="46"/>
  <c r="HP179" i="46"/>
  <c r="EA168" i="46"/>
  <c r="CE175" i="46"/>
  <c r="AC178" i="46"/>
  <c r="HM176" i="46"/>
  <c r="DO170" i="46"/>
  <c r="DU173" i="46"/>
  <c r="HG172" i="46"/>
  <c r="HA174" i="46"/>
  <c r="AF177" i="46"/>
  <c r="BP176" i="46"/>
  <c r="BD172" i="46"/>
  <c r="GU177" i="46"/>
  <c r="AX173" i="46"/>
  <c r="JO175" i="46"/>
  <c r="EA179" i="46"/>
  <c r="BM178" i="46"/>
  <c r="KJ164" i="46"/>
  <c r="AO167" i="46"/>
  <c r="BS170" i="46"/>
  <c r="HY174" i="46"/>
  <c r="EM171" i="46"/>
  <c r="ED164" i="46"/>
  <c r="GR179" i="46"/>
  <c r="IT172" i="46"/>
  <c r="LE172" i="46"/>
  <c r="BM165" i="46"/>
  <c r="CZ166" i="46"/>
  <c r="EM167" i="46"/>
  <c r="FZ168" i="46"/>
  <c r="HM169" i="46"/>
  <c r="IZ170" i="46"/>
  <c r="KM171" i="46"/>
  <c r="JI164" i="46"/>
  <c r="EM165" i="46"/>
  <c r="FZ166" i="46"/>
  <c r="HM167" i="46"/>
  <c r="DR165" i="46"/>
  <c r="FE166" i="46"/>
  <c r="GR167" i="46"/>
  <c r="IE168" i="46"/>
  <c r="JR169" i="46"/>
  <c r="LE170" i="46"/>
  <c r="CE169" i="46"/>
  <c r="FE171" i="46"/>
  <c r="DX173" i="46"/>
  <c r="FK174" i="46"/>
  <c r="BA168" i="46"/>
  <c r="EA170" i="46"/>
  <c r="HA172" i="46"/>
  <c r="DR168" i="46"/>
  <c r="AF165" i="46"/>
  <c r="JO164" i="46"/>
  <c r="DR166" i="46"/>
  <c r="EJ166" i="46"/>
  <c r="JF168" i="46"/>
  <c r="KA169" i="46"/>
  <c r="IH171" i="46"/>
  <c r="DF175" i="46"/>
  <c r="ES176" i="46"/>
  <c r="GF177" i="46"/>
  <c r="HS178" i="46"/>
  <c r="JF179" i="46"/>
  <c r="HY175" i="46"/>
  <c r="HA170" i="46"/>
  <c r="GL173" i="46"/>
  <c r="KV175" i="46"/>
  <c r="AO173" i="46"/>
  <c r="GI175" i="46"/>
  <c r="CK172" i="46"/>
  <c r="JF173" i="46"/>
  <c r="FW174" i="46"/>
  <c r="AL179" i="46"/>
  <c r="BY178" i="46"/>
  <c r="HY169" i="46"/>
  <c r="BD171" i="46"/>
  <c r="AL164" i="46"/>
  <c r="CN164" i="46"/>
  <c r="CT167" i="46"/>
  <c r="CB165" i="46"/>
  <c r="JU171" i="46"/>
  <c r="FZ175" i="46"/>
  <c r="IW175" i="46"/>
  <c r="HS173" i="46"/>
  <c r="DF179" i="46"/>
  <c r="CQ171" i="46"/>
  <c r="AC175" i="46"/>
  <c r="KD177" i="46"/>
  <c r="GF172" i="46"/>
  <c r="KG177" i="46"/>
  <c r="BJ174" i="46"/>
  <c r="BG179" i="46"/>
  <c r="IN178" i="46"/>
  <c r="CN178" i="46"/>
  <c r="FK179" i="46"/>
  <c r="DL164" i="46"/>
  <c r="IW165" i="46"/>
  <c r="KJ166" i="46"/>
  <c r="BG166" i="46"/>
  <c r="LB165" i="46"/>
  <c r="CT166" i="46"/>
  <c r="FE173" i="46"/>
  <c r="HS168" i="46"/>
  <c r="DI179" i="46"/>
  <c r="HA178" i="46"/>
  <c r="AU177" i="46"/>
  <c r="DU179" i="46"/>
  <c r="KV173" i="46"/>
  <c r="JO177" i="46"/>
  <c r="HP174" i="46"/>
  <c r="JX166" i="46"/>
  <c r="KV176" i="46"/>
  <c r="CT178" i="46"/>
  <c r="EP175" i="46"/>
  <c r="HP177" i="46"/>
  <c r="KP179" i="46"/>
  <c r="IN179" i="46"/>
  <c r="HD178" i="46"/>
  <c r="GI170" i="46"/>
  <c r="JX178" i="46"/>
  <c r="FE178" i="46"/>
  <c r="CH164" i="46"/>
  <c r="CB164" i="46"/>
  <c r="KY165" i="46"/>
  <c r="HA177" i="46"/>
  <c r="CK173" i="46"/>
  <c r="BG173" i="46"/>
  <c r="AL174" i="46"/>
  <c r="ES165" i="46"/>
  <c r="FE172" i="46"/>
  <c r="FK173" i="46"/>
  <c r="KS174" i="46"/>
  <c r="CK176" i="46"/>
  <c r="FK178" i="46"/>
  <c r="JI166" i="46"/>
  <c r="DL179" i="46"/>
  <c r="W179" i="46"/>
  <c r="BS176" i="46"/>
  <c r="FB178" i="46"/>
  <c r="IT177" i="46"/>
  <c r="CT174" i="46"/>
  <c r="CN175" i="46"/>
  <c r="AX170" i="46"/>
  <c r="JO179" i="46"/>
  <c r="IQ179" i="46"/>
  <c r="EG167" i="46"/>
  <c r="BG165" i="46"/>
  <c r="KV168" i="46"/>
  <c r="KJ170" i="46"/>
  <c r="HG170" i="46"/>
  <c r="JR170" i="46"/>
  <c r="BS164" i="46"/>
  <c r="CH178" i="46"/>
  <c r="BA165" i="46"/>
  <c r="IB176" i="46"/>
  <c r="LB178" i="46"/>
  <c r="IZ164" i="46"/>
  <c r="CB171" i="46"/>
  <c r="JC169" i="46"/>
  <c r="JC178" i="46"/>
  <c r="BY173" i="46"/>
  <c r="IH167" i="46"/>
  <c r="GC173" i="46"/>
  <c r="BM164" i="46"/>
  <c r="GF165" i="46"/>
  <c r="HS166" i="46"/>
  <c r="CK170" i="46"/>
  <c r="FK172" i="46"/>
  <c r="FN164" i="46"/>
  <c r="FZ167" i="46"/>
  <c r="BG169" i="46"/>
  <c r="EG171" i="46"/>
  <c r="DF173" i="46"/>
  <c r="ES174" i="46"/>
  <c r="AC165" i="46"/>
  <c r="BP166" i="46"/>
  <c r="GL167" i="46"/>
  <c r="DU168" i="46"/>
  <c r="AI165" i="46"/>
  <c r="GU170" i="46"/>
  <c r="GF173" i="46"/>
  <c r="KP175" i="46"/>
  <c r="BP172" i="46"/>
  <c r="IW173" i="46"/>
  <c r="FH174" i="46"/>
  <c r="KA172" i="46"/>
  <c r="JF174" i="46"/>
  <c r="CH172" i="46"/>
  <c r="KG173" i="46"/>
  <c r="DF174" i="46"/>
  <c r="BV168" i="46"/>
  <c r="HA169" i="46"/>
  <c r="FT171" i="46"/>
  <c r="BV175" i="46"/>
  <c r="DI176" i="46"/>
  <c r="EV177" i="46"/>
  <c r="GI178" i="46"/>
  <c r="HV179" i="46"/>
  <c r="JI171" i="46"/>
  <c r="GO175" i="46"/>
  <c r="JO170" i="46"/>
  <c r="EM179" i="46"/>
  <c r="IK179" i="46"/>
  <c r="IH178" i="46"/>
  <c r="DO179" i="46"/>
  <c r="BY177" i="46"/>
  <c r="DL178" i="46"/>
  <c r="EY179" i="46"/>
  <c r="JF176" i="46"/>
  <c r="KS177" i="46"/>
  <c r="BV169" i="46"/>
  <c r="BJ171" i="46"/>
  <c r="DC176" i="46"/>
  <c r="ES177" i="46"/>
  <c r="GF178" i="46"/>
  <c r="HS179" i="46"/>
  <c r="BD170" i="46"/>
  <c r="DX178" i="46"/>
  <c r="KJ179" i="46"/>
  <c r="DX169" i="46"/>
  <c r="ES172" i="46"/>
  <c r="JR176" i="46"/>
  <c r="AL176" i="46"/>
  <c r="GO178" i="46"/>
  <c r="EV176" i="46"/>
  <c r="FZ176" i="46"/>
  <c r="AI164" i="46"/>
  <c r="HP164" i="46"/>
  <c r="FT164" i="46"/>
  <c r="JR164" i="46"/>
  <c r="AR168" i="46"/>
  <c r="GR172" i="46"/>
  <c r="CN169" i="46"/>
  <c r="ED173" i="46"/>
  <c r="FQ174" i="46"/>
  <c r="DL166" i="46"/>
  <c r="CE165" i="46"/>
  <c r="DF172" i="46"/>
  <c r="HJ173" i="46"/>
  <c r="GR174" i="46"/>
  <c r="FN168" i="46"/>
  <c r="FZ165" i="46"/>
  <c r="HJ171" i="46"/>
  <c r="HM175" i="46"/>
  <c r="IE179" i="46"/>
  <c r="GX176" i="46"/>
  <c r="KY172" i="46"/>
  <c r="JX164" i="46"/>
  <c r="FZ164" i="46"/>
  <c r="BY164" i="46"/>
  <c r="HD165" i="46"/>
  <c r="IQ166" i="46"/>
  <c r="DR170" i="46"/>
  <c r="GU164" i="46"/>
  <c r="HJ167" i="46"/>
  <c r="FN171" i="46"/>
  <c r="BY165" i="46"/>
  <c r="BS166" i="46"/>
  <c r="HY167" i="46"/>
  <c r="HM168" i="46"/>
  <c r="EA169" i="46"/>
  <c r="AX179" i="46"/>
  <c r="GO172" i="46"/>
  <c r="GX174" i="46"/>
  <c r="GC176" i="46"/>
  <c r="IZ178" i="46"/>
  <c r="AR170" i="46"/>
  <c r="CE171" i="46"/>
  <c r="DR172" i="46"/>
  <c r="FE164" i="46"/>
  <c r="W168" i="46"/>
  <c r="BJ169" i="46"/>
  <c r="CW170" i="46"/>
  <c r="EJ171" i="46"/>
  <c r="FW172" i="46"/>
  <c r="JI168" i="46"/>
  <c r="CB168" i="46"/>
  <c r="KP165" i="46"/>
  <c r="DF167" i="46"/>
  <c r="LB169" i="46"/>
  <c r="KP173" i="46"/>
  <c r="GI164" i="46"/>
  <c r="GF167" i="46"/>
  <c r="DO166" i="46"/>
  <c r="FH169" i="46"/>
  <c r="AO170" i="46"/>
  <c r="HS165" i="46"/>
  <c r="AR167" i="46"/>
  <c r="CT168" i="46"/>
  <c r="CW165" i="46"/>
  <c r="EV172" i="46"/>
  <c r="LB173" i="46"/>
  <c r="HS174" i="46"/>
  <c r="AI178" i="46"/>
  <c r="BV179" i="46"/>
  <c r="KJ174" i="46"/>
  <c r="AO175" i="46"/>
  <c r="GF166" i="46"/>
  <c r="KJ168" i="46"/>
  <c r="KM169" i="46"/>
  <c r="IN171" i="46"/>
  <c r="DL175" i="46"/>
  <c r="AU169" i="46"/>
  <c r="AU171" i="46"/>
  <c r="KG172" i="46"/>
  <c r="IH175" i="46"/>
  <c r="JU176" i="46"/>
  <c r="AX167" i="46"/>
  <c r="HV170" i="46"/>
  <c r="DI173" i="46"/>
  <c r="KG175" i="46"/>
  <c r="HA167" i="46"/>
  <c r="ES171" i="46"/>
  <c r="DX176" i="46"/>
  <c r="JU179" i="46"/>
  <c r="W176" i="46"/>
  <c r="IE177" i="46"/>
  <c r="JR178" i="46"/>
  <c r="LE179" i="46"/>
  <c r="JI172" i="46"/>
  <c r="AF179" i="46"/>
  <c r="JL176" i="46"/>
  <c r="KY177" i="46"/>
  <c r="GR175" i="46"/>
  <c r="Z177" i="46"/>
  <c r="IW178" i="46"/>
  <c r="DF171" i="46"/>
  <c r="DC179" i="46"/>
  <c r="BD164" i="46"/>
  <c r="CZ164" i="46"/>
  <c r="CE164" i="46"/>
  <c r="IN174" i="46"/>
  <c r="AR176" i="46"/>
  <c r="JX176" i="46"/>
  <c r="FE177" i="46"/>
  <c r="GO177" i="46"/>
  <c r="HP169" i="46"/>
  <c r="KJ176" i="46"/>
  <c r="JC164" i="46"/>
  <c r="CE173" i="46"/>
  <c r="FW176" i="46"/>
  <c r="HY165" i="46"/>
  <c r="JL166" i="46"/>
  <c r="KY167" i="46"/>
  <c r="KV169" i="46"/>
  <c r="KJ173" i="46"/>
  <c r="AX166" i="46"/>
  <c r="JO168" i="46"/>
  <c r="HJ168" i="46"/>
  <c r="JF166" i="46"/>
  <c r="IZ177" i="46"/>
  <c r="KM178" i="46"/>
  <c r="DO172" i="46"/>
  <c r="DC174" i="46"/>
  <c r="JC175" i="46"/>
  <c r="BS178" i="46"/>
  <c r="DI169" i="46"/>
  <c r="CZ178" i="46"/>
  <c r="GX178" i="46"/>
  <c r="BJ172" i="46"/>
  <c r="KA179" i="46"/>
  <c r="IK165" i="46"/>
  <c r="JU177" i="46"/>
  <c r="FH164" i="46"/>
  <c r="CN168" i="46"/>
  <c r="JR175" i="46"/>
  <c r="AX175" i="46"/>
  <c r="DX177" i="46"/>
  <c r="GX179" i="46"/>
  <c r="HP172" i="46"/>
  <c r="KM177" i="46"/>
  <c r="GO179" i="46"/>
  <c r="BP178" i="46"/>
  <c r="FH178" i="46"/>
  <c r="IB164" i="46"/>
  <c r="Z130" i="46"/>
  <c r="HJ130" i="46"/>
  <c r="BM131" i="46"/>
  <c r="IW131" i="46"/>
  <c r="CZ132" i="46"/>
  <c r="KJ132" i="46"/>
  <c r="EM133" i="46"/>
  <c r="FZ134" i="46"/>
  <c r="AC135" i="46"/>
  <c r="HM135" i="46"/>
  <c r="BP136" i="46"/>
  <c r="IZ136" i="46"/>
  <c r="DC137" i="46"/>
  <c r="KM137" i="46"/>
  <c r="EP138" i="46"/>
  <c r="GC139" i="46"/>
  <c r="AF140" i="46"/>
  <c r="HP140" i="46"/>
  <c r="BS141" i="46"/>
  <c r="JC141" i="46"/>
  <c r="DF142" i="46"/>
  <c r="KP142" i="46"/>
  <c r="AC130" i="46"/>
  <c r="HM130" i="46"/>
  <c r="BP131" i="46"/>
  <c r="IZ131" i="46"/>
  <c r="DC132" i="46"/>
  <c r="KM132" i="46"/>
  <c r="EP133" i="46"/>
  <c r="GC134" i="46"/>
  <c r="AF135" i="46"/>
  <c r="HP135" i="46"/>
  <c r="BS136" i="46"/>
  <c r="JC136" i="46"/>
  <c r="DF137" i="46"/>
  <c r="KP137" i="46"/>
  <c r="ES138" i="46"/>
  <c r="GF139" i="46"/>
  <c r="AI140" i="46"/>
  <c r="HS140" i="46"/>
  <c r="BV141" i="46"/>
  <c r="JF141" i="46"/>
  <c r="DI142" i="46"/>
  <c r="KS142" i="46"/>
  <c r="AI130" i="46"/>
  <c r="HS130" i="46"/>
  <c r="BV131" i="46"/>
  <c r="JF131" i="46"/>
  <c r="DI132" i="46"/>
  <c r="KS132" i="46"/>
  <c r="EV133" i="46"/>
  <c r="GI134" i="46"/>
  <c r="AL135" i="46"/>
  <c r="HV135" i="46"/>
  <c r="BY136" i="46"/>
  <c r="JI136" i="46"/>
  <c r="DL137" i="46"/>
  <c r="KV137" i="46"/>
  <c r="EY138" i="46"/>
  <c r="GL139" i="46"/>
  <c r="AO140" i="46"/>
  <c r="HY140" i="46"/>
  <c r="CB141" i="46"/>
  <c r="JL141" i="46"/>
  <c r="DO142" i="46"/>
  <c r="KY142" i="46"/>
  <c r="AL130" i="46"/>
  <c r="HV130" i="46"/>
  <c r="BY131" i="46"/>
  <c r="JI131" i="46"/>
  <c r="DL132" i="46"/>
  <c r="KV132" i="46"/>
  <c r="EY133" i="46"/>
  <c r="GL134" i="46"/>
  <c r="AO135" i="46"/>
  <c r="HY135" i="46"/>
  <c r="CB136" i="46"/>
  <c r="JL136" i="46"/>
  <c r="AX130" i="46"/>
  <c r="IH130" i="46"/>
  <c r="CK131" i="46"/>
  <c r="JU131" i="46"/>
  <c r="DX132" i="46"/>
  <c r="FK133" i="46"/>
  <c r="GX134" i="46"/>
  <c r="BA135" i="46"/>
  <c r="IK135" i="46"/>
  <c r="CN136" i="46"/>
  <c r="JX136" i="46"/>
  <c r="EA137" i="46"/>
  <c r="FN138" i="46"/>
  <c r="HA139" i="46"/>
  <c r="BD140" i="46"/>
  <c r="IN140" i="46"/>
  <c r="CQ141" i="46"/>
  <c r="KA141" i="46"/>
  <c r="ED142" i="46"/>
  <c r="BA130" i="46"/>
  <c r="IK130" i="46"/>
  <c r="CN131" i="46"/>
  <c r="JX131" i="46"/>
  <c r="EA132" i="46"/>
  <c r="FN133" i="46"/>
  <c r="HA134" i="46"/>
  <c r="BD135" i="46"/>
  <c r="IN135" i="46"/>
  <c r="CQ136" i="46"/>
  <c r="KA136" i="46"/>
  <c r="ED137" i="46"/>
  <c r="FQ138" i="46"/>
  <c r="HD139" i="46"/>
  <c r="BG140" i="46"/>
  <c r="IQ140" i="46"/>
  <c r="CT141" i="46"/>
  <c r="KD141" i="46"/>
  <c r="EG142" i="46"/>
  <c r="BG130" i="46"/>
  <c r="IQ130" i="46"/>
  <c r="CT131" i="46"/>
  <c r="KD131" i="46"/>
  <c r="EG132" i="46"/>
  <c r="FT133" i="46"/>
  <c r="W134" i="46"/>
  <c r="HG134" i="46"/>
  <c r="BJ135" i="46"/>
  <c r="IT135" i="46"/>
  <c r="CW136" i="46"/>
  <c r="KG136" i="46"/>
  <c r="EJ137" i="46"/>
  <c r="FW138" i="46"/>
  <c r="Z139" i="46"/>
  <c r="HJ139" i="46"/>
  <c r="BM140" i="46"/>
  <c r="IW140" i="46"/>
  <c r="CZ141" i="46"/>
  <c r="KJ141" i="46"/>
  <c r="EM142" i="46"/>
  <c r="BJ130" i="46"/>
  <c r="IT130" i="46"/>
  <c r="CW131" i="46"/>
  <c r="KG131" i="46"/>
  <c r="EJ132" i="46"/>
  <c r="FW133" i="46"/>
  <c r="Z134" i="46"/>
  <c r="HJ134" i="46"/>
  <c r="BM135" i="46"/>
  <c r="IW135" i="46"/>
  <c r="CZ136" i="46"/>
  <c r="KJ136" i="46"/>
  <c r="BV130" i="46"/>
  <c r="JF130" i="46"/>
  <c r="DI131" i="46"/>
  <c r="KS131" i="46"/>
  <c r="EV132" i="46"/>
  <c r="GI133" i="46"/>
  <c r="AL134" i="46"/>
  <c r="HV134" i="46"/>
  <c r="BY135" i="46"/>
  <c r="JI135" i="46"/>
  <c r="DL136" i="46"/>
  <c r="KV136" i="46"/>
  <c r="EY137" i="46"/>
  <c r="GL138" i="46"/>
  <c r="AO139" i="46"/>
  <c r="HY139" i="46"/>
  <c r="CB140" i="46"/>
  <c r="JL140" i="46"/>
  <c r="DO141" i="46"/>
  <c r="KY141" i="46"/>
  <c r="FB142" i="46"/>
  <c r="BY130" i="46"/>
  <c r="JI130" i="46"/>
  <c r="DL131" i="46"/>
  <c r="KV131" i="46"/>
  <c r="EY132" i="46"/>
  <c r="GL133" i="46"/>
  <c r="AO134" i="46"/>
  <c r="HY134" i="46"/>
  <c r="CB135" i="46"/>
  <c r="JL135" i="46"/>
  <c r="DO136" i="46"/>
  <c r="KY136" i="46"/>
  <c r="FB137" i="46"/>
  <c r="GO138" i="46"/>
  <c r="AR139" i="46"/>
  <c r="IB139" i="46"/>
  <c r="CE140" i="46"/>
  <c r="JO140" i="46"/>
  <c r="DR141" i="46"/>
  <c r="LB141" i="46"/>
  <c r="FE142" i="46"/>
  <c r="CE130" i="46"/>
  <c r="JO130" i="46"/>
  <c r="DR131" i="46"/>
  <c r="LB131" i="46"/>
  <c r="FE132" i="46"/>
  <c r="GR133" i="46"/>
  <c r="AU134" i="46"/>
  <c r="IE134" i="46"/>
  <c r="CH135" i="46"/>
  <c r="JR135" i="46"/>
  <c r="DU136" i="46"/>
  <c r="LE136" i="46"/>
  <c r="FH137" i="46"/>
  <c r="GU138" i="46"/>
  <c r="AX139" i="46"/>
  <c r="IH139" i="46"/>
  <c r="CK140" i="46"/>
  <c r="JU140" i="46"/>
  <c r="DX141" i="46"/>
  <c r="FK142" i="46"/>
  <c r="CH130" i="46"/>
  <c r="JR130" i="46"/>
  <c r="DU131" i="46"/>
  <c r="LE131" i="46"/>
  <c r="FH132" i="46"/>
  <c r="GU133" i="46"/>
  <c r="AX134" i="46"/>
  <c r="IH134" i="46"/>
  <c r="CK135" i="46"/>
  <c r="JU135" i="46"/>
  <c r="DX136" i="46"/>
  <c r="CT130" i="46"/>
  <c r="KD130" i="46"/>
  <c r="EG131" i="46"/>
  <c r="FT132" i="46"/>
  <c r="W133" i="46"/>
  <c r="HG133" i="46"/>
  <c r="BJ134" i="46"/>
  <c r="IT134" i="46"/>
  <c r="CW135" i="46"/>
  <c r="KG135" i="46"/>
  <c r="EJ136" i="46"/>
  <c r="FW137" i="46"/>
  <c r="Z138" i="46"/>
  <c r="HJ138" i="46"/>
  <c r="BM139" i="46"/>
  <c r="IW139" i="46"/>
  <c r="CZ140" i="46"/>
  <c r="KJ140" i="46"/>
  <c r="EM141" i="46"/>
  <c r="FZ142" i="46"/>
  <c r="CW130" i="46"/>
  <c r="KG130" i="46"/>
  <c r="EJ131" i="46"/>
  <c r="FW132" i="46"/>
  <c r="Z133" i="46"/>
  <c r="HJ133" i="46"/>
  <c r="BM134" i="46"/>
  <c r="IW134" i="46"/>
  <c r="CZ135" i="46"/>
  <c r="KJ135" i="46"/>
  <c r="EM136" i="46"/>
  <c r="FZ137" i="46"/>
  <c r="AC138" i="46"/>
  <c r="HM138" i="46"/>
  <c r="BP139" i="46"/>
  <c r="IZ139" i="46"/>
  <c r="DC140" i="46"/>
  <c r="KM140" i="46"/>
  <c r="EP141" i="46"/>
  <c r="GC142" i="46"/>
  <c r="DC130" i="46"/>
  <c r="KM130" i="46"/>
  <c r="EP131" i="46"/>
  <c r="GC132" i="46"/>
  <c r="AF133" i="46"/>
  <c r="HP133" i="46"/>
  <c r="BS134" i="46"/>
  <c r="JC134" i="46"/>
  <c r="DF135" i="46"/>
  <c r="KP135" i="46"/>
  <c r="ES136" i="46"/>
  <c r="GF137" i="46"/>
  <c r="AI138" i="46"/>
  <c r="HS138" i="46"/>
  <c r="BV139" i="46"/>
  <c r="JF139" i="46"/>
  <c r="DI140" i="46"/>
  <c r="KS140" i="46"/>
  <c r="EV141" i="46"/>
  <c r="GI142" i="46"/>
  <c r="DF130" i="46"/>
  <c r="KP130" i="46"/>
  <c r="ES131" i="46"/>
  <c r="GF132" i="46"/>
  <c r="AI133" i="46"/>
  <c r="HS133" i="46"/>
  <c r="BV134" i="46"/>
  <c r="JF134" i="46"/>
  <c r="DI135" i="46"/>
  <c r="KS135" i="46"/>
  <c r="EV136" i="46"/>
  <c r="DR130" i="46"/>
  <c r="LB130" i="46"/>
  <c r="FE131" i="46"/>
  <c r="GR132" i="46"/>
  <c r="AU133" i="46"/>
  <c r="IE133" i="46"/>
  <c r="CH134" i="46"/>
  <c r="JR134" i="46"/>
  <c r="DU135" i="46"/>
  <c r="LE135" i="46"/>
  <c r="FH136" i="46"/>
  <c r="GU137" i="46"/>
  <c r="AX138" i="46"/>
  <c r="IH138" i="46"/>
  <c r="CK139" i="46"/>
  <c r="JU139" i="46"/>
  <c r="DX140" i="46"/>
  <c r="FK141" i="46"/>
  <c r="GX142" i="46"/>
  <c r="DU130" i="46"/>
  <c r="LE130" i="46"/>
  <c r="FH131" i="46"/>
  <c r="GU132" i="46"/>
  <c r="AX133" i="46"/>
  <c r="IH133" i="46"/>
  <c r="CK134" i="46"/>
  <c r="JU134" i="46"/>
  <c r="DX135" i="46"/>
  <c r="FK136" i="46"/>
  <c r="GX137" i="46"/>
  <c r="BA138" i="46"/>
  <c r="IK138" i="46"/>
  <c r="CN139" i="46"/>
  <c r="JX139" i="46"/>
  <c r="EA140" i="46"/>
  <c r="FN141" i="46"/>
  <c r="HA142" i="46"/>
  <c r="EA130" i="46"/>
  <c r="FN131" i="46"/>
  <c r="HA132" i="46"/>
  <c r="BD133" i="46"/>
  <c r="IN133" i="46"/>
  <c r="CQ134" i="46"/>
  <c r="KA134" i="46"/>
  <c r="ED135" i="46"/>
  <c r="FQ136" i="46"/>
  <c r="HD137" i="46"/>
  <c r="BG138" i="46"/>
  <c r="IQ138" i="46"/>
  <c r="CT139" i="46"/>
  <c r="KD139" i="46"/>
  <c r="EG140" i="46"/>
  <c r="FT141" i="46"/>
  <c r="W142" i="46"/>
  <c r="HG142" i="46"/>
  <c r="ED130" i="46"/>
  <c r="FQ131" i="46"/>
  <c r="HD132" i="46"/>
  <c r="BG133" i="46"/>
  <c r="IQ133" i="46"/>
  <c r="CT134" i="46"/>
  <c r="KD134" i="46"/>
  <c r="EG135" i="46"/>
  <c r="FT136" i="46"/>
  <c r="W137" i="46"/>
  <c r="EP130" i="46"/>
  <c r="GC131" i="46"/>
  <c r="AF132" i="46"/>
  <c r="HP132" i="46"/>
  <c r="BS133" i="46"/>
  <c r="JC133" i="46"/>
  <c r="DF134" i="46"/>
  <c r="KP134" i="46"/>
  <c r="ES135" i="46"/>
  <c r="GF136" i="46"/>
  <c r="AI137" i="46"/>
  <c r="HS137" i="46"/>
  <c r="BV138" i="46"/>
  <c r="JF138" i="46"/>
  <c r="DI139" i="46"/>
  <c r="KS139" i="46"/>
  <c r="EV140" i="46"/>
  <c r="GI141" i="46"/>
  <c r="AL142" i="46"/>
  <c r="HV142" i="46"/>
  <c r="ES130" i="46"/>
  <c r="GF131" i="46"/>
  <c r="AI132" i="46"/>
  <c r="HS132" i="46"/>
  <c r="BV133" i="46"/>
  <c r="JF133" i="46"/>
  <c r="DI134" i="46"/>
  <c r="KS134" i="46"/>
  <c r="EV135" i="46"/>
  <c r="GI136" i="46"/>
  <c r="AL137" i="46"/>
  <c r="HV137" i="46"/>
  <c r="BY138" i="46"/>
  <c r="JI138" i="46"/>
  <c r="DL139" i="46"/>
  <c r="KV139" i="46"/>
  <c r="EY140" i="46"/>
  <c r="GL141" i="46"/>
  <c r="AO142" i="46"/>
  <c r="HY142" i="46"/>
  <c r="EY130" i="46"/>
  <c r="GL131" i="46"/>
  <c r="AO132" i="46"/>
  <c r="HY132" i="46"/>
  <c r="CB133" i="46"/>
  <c r="JL133" i="46"/>
  <c r="DO134" i="46"/>
  <c r="KY134" i="46"/>
  <c r="FB135" i="46"/>
  <c r="GO136" i="46"/>
  <c r="AR137" i="46"/>
  <c r="IB137" i="46"/>
  <c r="CE138" i="46"/>
  <c r="JO138" i="46"/>
  <c r="DR139" i="46"/>
  <c r="LB139" i="46"/>
  <c r="FE140" i="46"/>
  <c r="GR141" i="46"/>
  <c r="AU142" i="46"/>
  <c r="IE142" i="46"/>
  <c r="FB130" i="46"/>
  <c r="GO131" i="46"/>
  <c r="AR132" i="46"/>
  <c r="IB132" i="46"/>
  <c r="CE133" i="46"/>
  <c r="JO133" i="46"/>
  <c r="DR134" i="46"/>
  <c r="LB134" i="46"/>
  <c r="FE135" i="46"/>
  <c r="GR136" i="46"/>
  <c r="FN130" i="46"/>
  <c r="HA131" i="46"/>
  <c r="BD132" i="46"/>
  <c r="IN132" i="46"/>
  <c r="CQ133" i="46"/>
  <c r="KA133" i="46"/>
  <c r="ED134" i="46"/>
  <c r="FQ135" i="46"/>
  <c r="HD136" i="46"/>
  <c r="BG137" i="46"/>
  <c r="IQ137" i="46"/>
  <c r="CT138" i="46"/>
  <c r="KD138" i="46"/>
  <c r="EG139" i="46"/>
  <c r="FT140" i="46"/>
  <c r="W141" i="46"/>
  <c r="HG141" i="46"/>
  <c r="BJ142" i="46"/>
  <c r="IT142" i="46"/>
  <c r="FQ130" i="46"/>
  <c r="HD131" i="46"/>
  <c r="BG132" i="46"/>
  <c r="IQ132" i="46"/>
  <c r="CT133" i="46"/>
  <c r="KD133" i="46"/>
  <c r="EG134" i="46"/>
  <c r="FT135" i="46"/>
  <c r="W136" i="46"/>
  <c r="HG136" i="46"/>
  <c r="BJ137" i="46"/>
  <c r="IT137" i="46"/>
  <c r="CW138" i="46"/>
  <c r="KG138" i="46"/>
  <c r="EJ139" i="46"/>
  <c r="FW140" i="46"/>
  <c r="Z141" i="46"/>
  <c r="HJ141" i="46"/>
  <c r="BM142" i="46"/>
  <c r="IW142" i="46"/>
  <c r="FW130" i="46"/>
  <c r="Z131" i="46"/>
  <c r="HJ131" i="46"/>
  <c r="BM132" i="46"/>
  <c r="IW132" i="46"/>
  <c r="CZ133" i="46"/>
  <c r="KJ133" i="46"/>
  <c r="EM134" i="46"/>
  <c r="FZ135" i="46"/>
  <c r="AC136" i="46"/>
  <c r="HM136" i="46"/>
  <c r="BP137" i="46"/>
  <c r="IZ137" i="46"/>
  <c r="DC138" i="46"/>
  <c r="KM138" i="46"/>
  <c r="EP139" i="46"/>
  <c r="GC140" i="46"/>
  <c r="AF141" i="46"/>
  <c r="HP141" i="46"/>
  <c r="BS142" i="46"/>
  <c r="JC142" i="46"/>
  <c r="FZ130" i="46"/>
  <c r="AC131" i="46"/>
  <c r="HM131" i="46"/>
  <c r="BP132" i="46"/>
  <c r="IZ132" i="46"/>
  <c r="DC133" i="46"/>
  <c r="KM133" i="46"/>
  <c r="EP134" i="46"/>
  <c r="GC135" i="46"/>
  <c r="AF136" i="46"/>
  <c r="HP136" i="46"/>
  <c r="GL130" i="46"/>
  <c r="AO131" i="46"/>
  <c r="HY131" i="46"/>
  <c r="CB132" i="46"/>
  <c r="JL132" i="46"/>
  <c r="DO133" i="46"/>
  <c r="KY133" i="46"/>
  <c r="FB134" i="46"/>
  <c r="GO135" i="46"/>
  <c r="AR136" i="46"/>
  <c r="IB136" i="46"/>
  <c r="CE137" i="46"/>
  <c r="JO137" i="46"/>
  <c r="DR138" i="46"/>
  <c r="LB138" i="46"/>
  <c r="FE139" i="46"/>
  <c r="GR140" i="46"/>
  <c r="AU141" i="46"/>
  <c r="IE141" i="46"/>
  <c r="CH142" i="46"/>
  <c r="JR142" i="46"/>
  <c r="GO130" i="46"/>
  <c r="AR131" i="46"/>
  <c r="IB131" i="46"/>
  <c r="CE132" i="46"/>
  <c r="JO132" i="46"/>
  <c r="DR133" i="46"/>
  <c r="LB133" i="46"/>
  <c r="FE134" i="46"/>
  <c r="GR135" i="46"/>
  <c r="AU136" i="46"/>
  <c r="IE136" i="46"/>
  <c r="CH137" i="46"/>
  <c r="JR137" i="46"/>
  <c r="DU138" i="46"/>
  <c r="LE138" i="46"/>
  <c r="FH139" i="46"/>
  <c r="GU140" i="46"/>
  <c r="AX141" i="46"/>
  <c r="IH141" i="46"/>
  <c r="CK142" i="46"/>
  <c r="JU142" i="46"/>
  <c r="GU130" i="46"/>
  <c r="AX131" i="46"/>
  <c r="IH131" i="46"/>
  <c r="CK132" i="46"/>
  <c r="JU132" i="46"/>
  <c r="DX133" i="46"/>
  <c r="FK134" i="46"/>
  <c r="GX135" i="46"/>
  <c r="BA136" i="46"/>
  <c r="IK136" i="46"/>
  <c r="CN137" i="46"/>
  <c r="JX137" i="46"/>
  <c r="EA138" i="46"/>
  <c r="FN139" i="46"/>
  <c r="HA140" i="46"/>
  <c r="BD141" i="46"/>
  <c r="IN141" i="46"/>
  <c r="CQ142" i="46"/>
  <c r="KA142" i="46"/>
  <c r="GX130" i="46"/>
  <c r="BA131" i="46"/>
  <c r="IK131" i="46"/>
  <c r="CN132" i="46"/>
  <c r="JX132" i="46"/>
  <c r="EA133" i="46"/>
  <c r="FN134" i="46"/>
  <c r="HA135" i="46"/>
  <c r="BD136" i="46"/>
  <c r="IN136" i="46"/>
  <c r="CQ137" i="46"/>
  <c r="KA137" i="46"/>
  <c r="ED138" i="46"/>
  <c r="FQ139" i="46"/>
  <c r="HD140" i="46"/>
  <c r="BG141" i="46"/>
  <c r="IQ141" i="46"/>
  <c r="CT142" i="46"/>
  <c r="KD142" i="46"/>
  <c r="BD130" i="46"/>
  <c r="CQ131" i="46"/>
  <c r="ED132" i="46"/>
  <c r="FQ133" i="46"/>
  <c r="HD134" i="46"/>
  <c r="IQ135" i="46"/>
  <c r="KD136" i="46"/>
  <c r="W139" i="46"/>
  <c r="BJ140" i="46"/>
  <c r="CW141" i="46"/>
  <c r="EJ142" i="46"/>
  <c r="FB143" i="46"/>
  <c r="GO144" i="46"/>
  <c r="AR145" i="46"/>
  <c r="IB145" i="46"/>
  <c r="CE146" i="46"/>
  <c r="JO146" i="46"/>
  <c r="HD130" i="46"/>
  <c r="IQ131" i="46"/>
  <c r="KD132" i="46"/>
  <c r="W135" i="46"/>
  <c r="BJ136" i="46"/>
  <c r="CW137" i="46"/>
  <c r="EJ138" i="46"/>
  <c r="FW139" i="46"/>
  <c r="HJ140" i="46"/>
  <c r="IW141" i="46"/>
  <c r="KJ142" i="46"/>
  <c r="AR143" i="46"/>
  <c r="IB143" i="46"/>
  <c r="CE144" i="46"/>
  <c r="JO144" i="46"/>
  <c r="DR145" i="46"/>
  <c r="LB145" i="46"/>
  <c r="FE146" i="46"/>
  <c r="GR147" i="46"/>
  <c r="JC130" i="46"/>
  <c r="KP131" i="46"/>
  <c r="AI134" i="46"/>
  <c r="BV135" i="46"/>
  <c r="DI136" i="46"/>
  <c r="EV137" i="46"/>
  <c r="GI138" i="46"/>
  <c r="HV139" i="46"/>
  <c r="JI140" i="46"/>
  <c r="KV141" i="46"/>
  <c r="BS143" i="46"/>
  <c r="JC143" i="46"/>
  <c r="DF144" i="46"/>
  <c r="KP144" i="46"/>
  <c r="ES145" i="46"/>
  <c r="GF146" i="46"/>
  <c r="AI147" i="46"/>
  <c r="HS147" i="46"/>
  <c r="BV148" i="46"/>
  <c r="JF148" i="46"/>
  <c r="DI149" i="46"/>
  <c r="KS149" i="46"/>
  <c r="EV150" i="46"/>
  <c r="GI151" i="46"/>
  <c r="AL152" i="46"/>
  <c r="HV152" i="46"/>
  <c r="BY153" i="46"/>
  <c r="JI153" i="46"/>
  <c r="HY130" i="46"/>
  <c r="KY132" i="46"/>
  <c r="AL133" i="46"/>
  <c r="DL135" i="46"/>
  <c r="GL137" i="46"/>
  <c r="JL139" i="46"/>
  <c r="CB142" i="46"/>
  <c r="GU143" i="46"/>
  <c r="IH144" i="46"/>
  <c r="JU145" i="46"/>
  <c r="EP147" i="46"/>
  <c r="HV148" i="46"/>
  <c r="AX149" i="46"/>
  <c r="JI149" i="46"/>
  <c r="CK150" i="46"/>
  <c r="KV150" i="46"/>
  <c r="DX151" i="46"/>
  <c r="FK152" i="46"/>
  <c r="GX153" i="46"/>
  <c r="DU154" i="46"/>
  <c r="LE154" i="46"/>
  <c r="FH155" i="46"/>
  <c r="GU156" i="46"/>
  <c r="AX157" i="46"/>
  <c r="IH157" i="46"/>
  <c r="CK158" i="46"/>
  <c r="JU158" i="46"/>
  <c r="DX159" i="46"/>
  <c r="BD131" i="46"/>
  <c r="ED133" i="46"/>
  <c r="HD135" i="46"/>
  <c r="KD137" i="46"/>
  <c r="CT140" i="46"/>
  <c r="FT142" i="46"/>
  <c r="IQ143" i="46"/>
  <c r="KD144" i="46"/>
  <c r="W145" i="46"/>
  <c r="BJ146" i="46"/>
  <c r="GF147" i="46"/>
  <c r="AR148" i="46"/>
  <c r="JC148" i="46"/>
  <c r="CE149" i="46"/>
  <c r="KP149" i="46"/>
  <c r="DR150" i="46"/>
  <c r="FE151" i="46"/>
  <c r="GR152" i="46"/>
  <c r="IE153" i="46"/>
  <c r="BS131" i="46"/>
  <c r="ES133" i="46"/>
  <c r="HS135" i="46"/>
  <c r="KS137" i="46"/>
  <c r="W138" i="46"/>
  <c r="CW140" i="46"/>
  <c r="FW142" i="46"/>
  <c r="IW143" i="46"/>
  <c r="KJ144" i="46"/>
  <c r="AF145" i="46"/>
  <c r="BS146" i="46"/>
  <c r="GI147" i="46"/>
  <c r="AU148" i="46"/>
  <c r="JI148" i="46"/>
  <c r="CH149" i="46"/>
  <c r="KV149" i="46"/>
  <c r="DU150" i="46"/>
  <c r="FH151" i="46"/>
  <c r="GU152" i="46"/>
  <c r="W153" i="46"/>
  <c r="IH153" i="46"/>
  <c r="CE131" i="46"/>
  <c r="FE133" i="46"/>
  <c r="IE135" i="46"/>
  <c r="LE137" i="46"/>
  <c r="BD138" i="46"/>
  <c r="ED140" i="46"/>
  <c r="HD142" i="46"/>
  <c r="JI143" i="46"/>
  <c r="KV144" i="46"/>
  <c r="AL145" i="46"/>
  <c r="BY146" i="46"/>
  <c r="GO147" i="46"/>
  <c r="BD148" i="46"/>
  <c r="JO148" i="46"/>
  <c r="CQ149" i="46"/>
  <c r="LB149" i="46"/>
  <c r="ED150" i="46"/>
  <c r="FQ151" i="46"/>
  <c r="HD152" i="46"/>
  <c r="AF153" i="46"/>
  <c r="IQ153" i="46"/>
  <c r="FH154" i="46"/>
  <c r="GU155" i="46"/>
  <c r="AX156" i="46"/>
  <c r="IH156" i="46"/>
  <c r="CK157" i="46"/>
  <c r="JU157" i="46"/>
  <c r="DX158" i="46"/>
  <c r="FK159" i="46"/>
  <c r="GI132" i="46"/>
  <c r="BY137" i="46"/>
  <c r="DO137" i="46"/>
  <c r="KY137" i="46"/>
  <c r="FB138" i="46"/>
  <c r="GO139" i="46"/>
  <c r="AR140" i="46"/>
  <c r="IB140" i="46"/>
  <c r="CE141" i="46"/>
  <c r="JO141" i="46"/>
  <c r="DR142" i="46"/>
  <c r="LB142" i="46"/>
  <c r="CZ130" i="46"/>
  <c r="EM131" i="46"/>
  <c r="FZ132" i="46"/>
  <c r="HM133" i="46"/>
  <c r="IZ134" i="46"/>
  <c r="KM135" i="46"/>
  <c r="AF138" i="46"/>
  <c r="BS139" i="46"/>
  <c r="DF140" i="46"/>
  <c r="ES141" i="46"/>
  <c r="GF142" i="46"/>
  <c r="FZ143" i="46"/>
  <c r="AC144" i="46"/>
  <c r="HM144" i="46"/>
  <c r="BP145" i="46"/>
  <c r="IZ145" i="46"/>
  <c r="DC146" i="46"/>
  <c r="KM146" i="46"/>
  <c r="IZ130" i="46"/>
  <c r="KM131" i="46"/>
  <c r="AF134" i="46"/>
  <c r="BS135" i="46"/>
  <c r="DF136" i="46"/>
  <c r="ES137" i="46"/>
  <c r="GF138" i="46"/>
  <c r="HS139" i="46"/>
  <c r="JF140" i="46"/>
  <c r="KS141" i="46"/>
  <c r="BP143" i="46"/>
  <c r="IZ143" i="46"/>
  <c r="DC144" i="46"/>
  <c r="KM144" i="46"/>
  <c r="EP145" i="46"/>
  <c r="GC146" i="46"/>
  <c r="AF147" i="46"/>
  <c r="HP147" i="46"/>
  <c r="KY130" i="46"/>
  <c r="AR133" i="46"/>
  <c r="CE134" i="46"/>
  <c r="DR135" i="46"/>
  <c r="FE136" i="46"/>
  <c r="GR137" i="46"/>
  <c r="IE138" i="46"/>
  <c r="JR139" i="46"/>
  <c r="LE140" i="46"/>
  <c r="CQ143" i="46"/>
  <c r="KA143" i="46"/>
  <c r="ED144" i="46"/>
  <c r="FQ145" i="46"/>
  <c r="HD146" i="46"/>
  <c r="BG147" i="46"/>
  <c r="IQ147" i="46"/>
  <c r="CT148" i="46"/>
  <c r="KD148" i="46"/>
  <c r="EG149" i="46"/>
  <c r="FT150" i="46"/>
  <c r="W151" i="46"/>
  <c r="HG151" i="46"/>
  <c r="BJ152" i="46"/>
  <c r="IT152" i="46"/>
  <c r="CW153" i="46"/>
  <c r="KG153" i="46"/>
  <c r="KS130" i="46"/>
  <c r="AI131" i="46"/>
  <c r="DI133" i="46"/>
  <c r="GI135" i="46"/>
  <c r="JI137" i="46"/>
  <c r="CH140" i="46"/>
  <c r="FH142" i="46"/>
  <c r="IK143" i="46"/>
  <c r="JX144" i="46"/>
  <c r="BA146" i="46"/>
  <c r="FZ147" i="46"/>
  <c r="AL148" i="46"/>
  <c r="IW148" i="46"/>
  <c r="BY149" i="46"/>
  <c r="KJ149" i="46"/>
  <c r="DL150" i="46"/>
  <c r="EY151" i="46"/>
  <c r="GL152" i="46"/>
  <c r="HY153" i="46"/>
  <c r="ES154" i="46"/>
  <c r="GF155" i="46"/>
  <c r="AI156" i="46"/>
  <c r="HS156" i="46"/>
  <c r="BV157" i="46"/>
  <c r="JF157" i="46"/>
  <c r="DI158" i="46"/>
  <c r="KS158" i="46"/>
  <c r="EV159" i="46"/>
  <c r="EA131" i="46"/>
  <c r="HA133" i="46"/>
  <c r="KA135" i="46"/>
  <c r="Z136" i="46"/>
  <c r="CZ138" i="46"/>
  <c r="FZ140" i="46"/>
  <c r="IZ142" i="46"/>
  <c r="KG143" i="46"/>
  <c r="W144" i="46"/>
  <c r="BJ145" i="46"/>
  <c r="CW146" i="46"/>
  <c r="HJ147" i="46"/>
  <c r="BS148" i="46"/>
  <c r="KG148" i="46"/>
  <c r="DF149" i="46"/>
  <c r="ES150" i="46"/>
  <c r="GF151" i="46"/>
  <c r="HS152" i="46"/>
  <c r="AU153" i="46"/>
  <c r="JF153" i="46"/>
  <c r="ED131" i="46"/>
  <c r="HD133" i="46"/>
  <c r="KD135" i="46"/>
  <c r="AI136" i="46"/>
  <c r="DI138" i="46"/>
  <c r="GI140" i="46"/>
  <c r="JI142" i="46"/>
  <c r="KJ143" i="46"/>
  <c r="Z144" i="46"/>
  <c r="BM145" i="46"/>
  <c r="CZ146" i="46"/>
  <c r="HM147" i="46"/>
  <c r="BY148" i="46"/>
  <c r="KJ148" i="46"/>
  <c r="DL149" i="46"/>
  <c r="EY150" i="46"/>
  <c r="GL151" i="46"/>
  <c r="HY152" i="46"/>
  <c r="AX153" i="46"/>
  <c r="JL153" i="46"/>
  <c r="FK131" i="46"/>
  <c r="IK133" i="46"/>
  <c r="AO136" i="46"/>
  <c r="DO138" i="46"/>
  <c r="GO140" i="46"/>
  <c r="JO142" i="46"/>
  <c r="KS143" i="46"/>
  <c r="AO144" i="46"/>
  <c r="CB145" i="46"/>
  <c r="DO146" i="46"/>
  <c r="HY147" i="46"/>
  <c r="CE148" i="46"/>
  <c r="KP148" i="46"/>
  <c r="DR149" i="46"/>
  <c r="FE150" i="46"/>
  <c r="GR151" i="46"/>
  <c r="IE152" i="46"/>
  <c r="BG153" i="46"/>
  <c r="JR153" i="46"/>
  <c r="GF154" i="46"/>
  <c r="AI155" i="46"/>
  <c r="HS155" i="46"/>
  <c r="BV156" i="46"/>
  <c r="JF156" i="46"/>
  <c r="DI157" i="46"/>
  <c r="KS157" i="46"/>
  <c r="EV158" i="46"/>
  <c r="GI159" i="46"/>
  <c r="AL160" i="46"/>
  <c r="BP133" i="46"/>
  <c r="HP137" i="46"/>
  <c r="DU142" i="46"/>
  <c r="KA130" i="46"/>
  <c r="AF131" i="46"/>
  <c r="IN131" i="46"/>
  <c r="EM137" i="46"/>
  <c r="FZ138" i="46"/>
  <c r="AC139" i="46"/>
  <c r="HM139" i="46"/>
  <c r="BP140" i="46"/>
  <c r="IZ140" i="46"/>
  <c r="DC141" i="46"/>
  <c r="KM141" i="46"/>
  <c r="EP142" i="46"/>
  <c r="EV130" i="46"/>
  <c r="GI131" i="46"/>
  <c r="HV132" i="46"/>
  <c r="JI133" i="46"/>
  <c r="KV134" i="46"/>
  <c r="AO137" i="46"/>
  <c r="CB138" i="46"/>
  <c r="DO139" i="46"/>
  <c r="FB140" i="46"/>
  <c r="GO141" i="46"/>
  <c r="IB142" i="46"/>
  <c r="GX143" i="46"/>
  <c r="BA144" i="46"/>
  <c r="IK144" i="46"/>
  <c r="CN145" i="46"/>
  <c r="JX145" i="46"/>
  <c r="EA146" i="46"/>
  <c r="KV130" i="46"/>
  <c r="AO133" i="46"/>
  <c r="CB134" i="46"/>
  <c r="DO135" i="46"/>
  <c r="FB136" i="46"/>
  <c r="GO137" i="46"/>
  <c r="IB138" i="46"/>
  <c r="JO139" i="46"/>
  <c r="LB140" i="46"/>
  <c r="CN143" i="46"/>
  <c r="JX143" i="46"/>
  <c r="EA144" i="46"/>
  <c r="FN145" i="46"/>
  <c r="HA146" i="46"/>
  <c r="BD147" i="46"/>
  <c r="IN147" i="46"/>
  <c r="BA132" i="46"/>
  <c r="CN133" i="46"/>
  <c r="EA134" i="46"/>
  <c r="FN135" i="46"/>
  <c r="HA136" i="46"/>
  <c r="IN137" i="46"/>
  <c r="KA138" i="46"/>
  <c r="BG142" i="46"/>
  <c r="DO143" i="46"/>
  <c r="KY143" i="46"/>
  <c r="FB144" i="46"/>
  <c r="GO145" i="46"/>
  <c r="AR146" i="46"/>
  <c r="IB146" i="46"/>
  <c r="CE147" i="46"/>
  <c r="JO147" i="46"/>
  <c r="DR148" i="46"/>
  <c r="LB148" i="46"/>
  <c r="FE149" i="46"/>
  <c r="GR150" i="46"/>
  <c r="AU151" i="46"/>
  <c r="IE151" i="46"/>
  <c r="CH152" i="46"/>
  <c r="JR152" i="46"/>
  <c r="DU153" i="46"/>
  <c r="LE153" i="46"/>
  <c r="DO131" i="46"/>
  <c r="GO133" i="46"/>
  <c r="JO135" i="46"/>
  <c r="BS138" i="46"/>
  <c r="ES140" i="46"/>
  <c r="HS142" i="46"/>
  <c r="JU143" i="46"/>
  <c r="BD145" i="46"/>
  <c r="CQ146" i="46"/>
  <c r="HD147" i="46"/>
  <c r="BM148" i="46"/>
  <c r="JX148" i="46"/>
  <c r="CZ149" i="46"/>
  <c r="EM150" i="46"/>
  <c r="FZ151" i="46"/>
  <c r="HM152" i="46"/>
  <c r="AO153" i="46"/>
  <c r="IZ153" i="46"/>
  <c r="FQ154" i="46"/>
  <c r="HD155" i="46"/>
  <c r="BG156" i="46"/>
  <c r="IQ156" i="46"/>
  <c r="CT157" i="46"/>
  <c r="KD157" i="46"/>
  <c r="EG158" i="46"/>
  <c r="FT159" i="46"/>
  <c r="W160" i="46"/>
  <c r="HG131" i="46"/>
  <c r="KG133" i="46"/>
  <c r="CK136" i="46"/>
  <c r="FK138" i="46"/>
  <c r="IK140" i="46"/>
  <c r="Z143" i="46"/>
  <c r="BM144" i="46"/>
  <c r="CZ145" i="46"/>
  <c r="EM146" i="46"/>
  <c r="IT147" i="46"/>
  <c r="CW148" i="46"/>
  <c r="EJ149" i="46"/>
  <c r="FW150" i="46"/>
  <c r="HJ151" i="46"/>
  <c r="AI152" i="46"/>
  <c r="IW152" i="46"/>
  <c r="BV153" i="46"/>
  <c r="KJ153" i="46"/>
  <c r="HP131" i="46"/>
  <c r="KP133" i="46"/>
  <c r="AC134" i="46"/>
  <c r="DC136" i="46"/>
  <c r="GC138" i="46"/>
  <c r="JC140" i="46"/>
  <c r="AC143" i="46"/>
  <c r="BP144" i="46"/>
  <c r="DC145" i="46"/>
  <c r="EP146" i="46"/>
  <c r="IW147" i="46"/>
  <c r="CZ148" i="46"/>
  <c r="EM149" i="46"/>
  <c r="FZ150" i="46"/>
  <c r="HM151" i="46"/>
  <c r="AO152" i="46"/>
  <c r="IZ152" i="46"/>
  <c r="CB153" i="46"/>
  <c r="KM153" i="46"/>
  <c r="HV131" i="46"/>
  <c r="KV133" i="46"/>
  <c r="BA134" i="46"/>
  <c r="EA136" i="46"/>
  <c r="HA138" i="46"/>
  <c r="KA140" i="46"/>
  <c r="AI143" i="46"/>
  <c r="BV144" i="46"/>
  <c r="DI145" i="46"/>
  <c r="EV146" i="46"/>
  <c r="JC147" i="46"/>
  <c r="DF148" i="46"/>
  <c r="ES149" i="46"/>
  <c r="GF150" i="46"/>
  <c r="HS151" i="46"/>
  <c r="AU152" i="46"/>
  <c r="JF152" i="46"/>
  <c r="FK137" i="46"/>
  <c r="GX138" i="46"/>
  <c r="BA139" i="46"/>
  <c r="IK139" i="46"/>
  <c r="CN140" i="46"/>
  <c r="JX140" i="46"/>
  <c r="EA141" i="46"/>
  <c r="FN142" i="46"/>
  <c r="GR130" i="46"/>
  <c r="IE131" i="46"/>
  <c r="JR132" i="46"/>
  <c r="LE133" i="46"/>
  <c r="AX136" i="46"/>
  <c r="CK137" i="46"/>
  <c r="DX138" i="46"/>
  <c r="FK139" i="46"/>
  <c r="GX140" i="46"/>
  <c r="IK141" i="46"/>
  <c r="JX142" i="46"/>
  <c r="AL143" i="46"/>
  <c r="HV143" i="46"/>
  <c r="BY144" i="46"/>
  <c r="JI144" i="46"/>
  <c r="DL145" i="46"/>
  <c r="KV145" i="46"/>
  <c r="EY146" i="46"/>
  <c r="AX132" i="46"/>
  <c r="CK133" i="46"/>
  <c r="DX134" i="46"/>
  <c r="FK135" i="46"/>
  <c r="GX136" i="46"/>
  <c r="IK137" i="46"/>
  <c r="JX138" i="46"/>
  <c r="BD142" i="46"/>
  <c r="DL143" i="46"/>
  <c r="KV143" i="46"/>
  <c r="EY144" i="46"/>
  <c r="GL145" i="46"/>
  <c r="AO146" i="46"/>
  <c r="HY146" i="46"/>
  <c r="CB147" i="46"/>
  <c r="JL147" i="46"/>
  <c r="W130" i="46"/>
  <c r="BJ131" i="46"/>
  <c r="CW132" i="46"/>
  <c r="EJ133" i="46"/>
  <c r="FW134" i="46"/>
  <c r="HJ135" i="46"/>
  <c r="IW136" i="46"/>
  <c r="KJ137" i="46"/>
  <c r="AC140" i="46"/>
  <c r="BP141" i="46"/>
  <c r="DC142" i="46"/>
  <c r="EM143" i="46"/>
  <c r="FZ144" i="46"/>
  <c r="AC145" i="46"/>
  <c r="HM145" i="46"/>
  <c r="BP146" i="46"/>
  <c r="IZ146" i="46"/>
  <c r="DC147" i="46"/>
  <c r="KM147" i="46"/>
  <c r="EP148" i="46"/>
  <c r="GC149" i="46"/>
  <c r="AF150" i="46"/>
  <c r="HP150" i="46"/>
  <c r="BS151" i="46"/>
  <c r="JC151" i="46"/>
  <c r="DF152" i="46"/>
  <c r="KP152" i="46"/>
  <c r="ES153" i="46"/>
  <c r="FZ131" i="46"/>
  <c r="IZ133" i="46"/>
  <c r="CE136" i="46"/>
  <c r="FE138" i="46"/>
  <c r="IE140" i="46"/>
  <c r="LE142" i="46"/>
  <c r="AX144" i="46"/>
  <c r="CK145" i="46"/>
  <c r="DX146" i="46"/>
  <c r="IH147" i="46"/>
  <c r="CN148" i="46"/>
  <c r="KY148" i="46"/>
  <c r="EA149" i="46"/>
  <c r="FN150" i="46"/>
  <c r="HA151" i="46"/>
  <c r="AC152" i="46"/>
  <c r="IN152" i="46"/>
  <c r="BP153" i="46"/>
  <c r="KA153" i="46"/>
  <c r="GO154" i="46"/>
  <c r="AR155" i="46"/>
  <c r="IB155" i="46"/>
  <c r="CE156" i="46"/>
  <c r="JO156" i="46"/>
  <c r="DR157" i="46"/>
  <c r="LB157" i="46"/>
  <c r="FE158" i="46"/>
  <c r="GR159" i="46"/>
  <c r="AU160" i="46"/>
  <c r="JR131" i="46"/>
  <c r="W132" i="46"/>
  <c r="CW134" i="46"/>
  <c r="FW136" i="46"/>
  <c r="IW138" i="46"/>
  <c r="BJ141" i="46"/>
  <c r="BG143" i="46"/>
  <c r="CT144" i="46"/>
  <c r="EG145" i="46"/>
  <c r="FT146" i="46"/>
  <c r="Z147" i="46"/>
  <c r="JX147" i="46"/>
  <c r="DX148" i="46"/>
  <c r="FK149" i="46"/>
  <c r="GX150" i="46"/>
  <c r="Z151" i="46"/>
  <c r="IK151" i="46"/>
  <c r="BM152" i="46"/>
  <c r="JX152" i="46"/>
  <c r="CZ153" i="46"/>
  <c r="KJ131" i="46"/>
  <c r="Z132" i="46"/>
  <c r="CZ134" i="46"/>
  <c r="FZ136" i="46"/>
  <c r="IZ138" i="46"/>
  <c r="BY141" i="46"/>
  <c r="BM143" i="46"/>
  <c r="CZ144" i="46"/>
  <c r="EM145" i="46"/>
  <c r="FZ146" i="46"/>
  <c r="AC147" i="46"/>
  <c r="KA147" i="46"/>
  <c r="EA148" i="46"/>
  <c r="FN149" i="46"/>
  <c r="HA150" i="46"/>
  <c r="AC151" i="46"/>
  <c r="IN151" i="46"/>
  <c r="BP152" i="46"/>
  <c r="KA152" i="46"/>
  <c r="DC153" i="46"/>
  <c r="AU132" i="46"/>
  <c r="DU134" i="46"/>
  <c r="GU136" i="46"/>
  <c r="JU138" i="46"/>
  <c r="CK141" i="46"/>
  <c r="BY143" i="46"/>
  <c r="DL144" i="46"/>
  <c r="EY145" i="46"/>
  <c r="GL146" i="46"/>
  <c r="AO147" i="46"/>
  <c r="KG147" i="46"/>
  <c r="EG148" i="46"/>
  <c r="FT149" i="46"/>
  <c r="HG150" i="46"/>
  <c r="AI151" i="46"/>
  <c r="IT151" i="46"/>
  <c r="BV152" i="46"/>
  <c r="KG152" i="46"/>
  <c r="GI137" i="46"/>
  <c r="AL138" i="46"/>
  <c r="HV138" i="46"/>
  <c r="BY139" i="46"/>
  <c r="JI139" i="46"/>
  <c r="DL140" i="46"/>
  <c r="KV140" i="46"/>
  <c r="EY141" i="46"/>
  <c r="GL142" i="46"/>
  <c r="IN130" i="46"/>
  <c r="KA131" i="46"/>
  <c r="BG135" i="46"/>
  <c r="CT136" i="46"/>
  <c r="EG137" i="46"/>
  <c r="FT138" i="46"/>
  <c r="HG139" i="46"/>
  <c r="IT140" i="46"/>
  <c r="KG141" i="46"/>
  <c r="BJ143" i="46"/>
  <c r="IT143" i="46"/>
  <c r="CW144" i="46"/>
  <c r="KG144" i="46"/>
  <c r="EJ145" i="46"/>
  <c r="FW146" i="46"/>
  <c r="BG131" i="46"/>
  <c r="CT132" i="46"/>
  <c r="EG133" i="46"/>
  <c r="FT134" i="46"/>
  <c r="HG135" i="46"/>
  <c r="IT136" i="46"/>
  <c r="KG137" i="46"/>
  <c r="Z140" i="46"/>
  <c r="BM141" i="46"/>
  <c r="CZ142" i="46"/>
  <c r="EJ143" i="46"/>
  <c r="FW144" i="46"/>
  <c r="Z145" i="46"/>
  <c r="HJ145" i="46"/>
  <c r="BM146" i="46"/>
  <c r="IW146" i="46"/>
  <c r="CZ147" i="46"/>
  <c r="KJ147" i="46"/>
  <c r="BS130" i="46"/>
  <c r="DF131" i="46"/>
  <c r="ES132" i="46"/>
  <c r="GF133" i="46"/>
  <c r="HS134" i="46"/>
  <c r="JF135" i="46"/>
  <c r="KS136" i="46"/>
  <c r="AL139" i="46"/>
  <c r="BY140" i="46"/>
  <c r="DL141" i="46"/>
  <c r="EY142" i="46"/>
  <c r="FK143" i="46"/>
  <c r="GX144" i="46"/>
  <c r="BA145" i="46"/>
  <c r="IK145" i="46"/>
  <c r="CN146" i="46"/>
  <c r="JX146" i="46"/>
  <c r="EA147" i="46"/>
  <c r="FN148" i="46"/>
  <c r="HA149" i="46"/>
  <c r="BD150" i="46"/>
  <c r="IN150" i="46"/>
  <c r="CQ151" i="46"/>
  <c r="KA151" i="46"/>
  <c r="ED152" i="46"/>
  <c r="FQ153" i="46"/>
  <c r="JL131" i="46"/>
  <c r="BY134" i="46"/>
  <c r="EY136" i="46"/>
  <c r="HY138" i="46"/>
  <c r="KY140" i="46"/>
  <c r="AO141" i="46"/>
  <c r="BA143" i="46"/>
  <c r="CN144" i="46"/>
  <c r="EA145" i="46"/>
  <c r="FN146" i="46"/>
  <c r="JR147" i="46"/>
  <c r="DO148" i="46"/>
  <c r="FB149" i="46"/>
  <c r="GO150" i="46"/>
  <c r="IB151" i="46"/>
  <c r="BD152" i="46"/>
  <c r="JO152" i="46"/>
  <c r="CQ153" i="46"/>
  <c r="LB153" i="46"/>
  <c r="AC154" i="46"/>
  <c r="HM154" i="46"/>
  <c r="BP155" i="46"/>
  <c r="IZ155" i="46"/>
  <c r="DC156" i="46"/>
  <c r="KM156" i="46"/>
  <c r="EP157" i="46"/>
  <c r="GC158" i="46"/>
  <c r="AF159" i="46"/>
  <c r="HP159" i="46"/>
  <c r="BS160" i="46"/>
  <c r="CQ132" i="46"/>
  <c r="FQ134" i="46"/>
  <c r="IQ136" i="46"/>
  <c r="BG139" i="46"/>
  <c r="EG141" i="46"/>
  <c r="CW143" i="46"/>
  <c r="EJ144" i="46"/>
  <c r="FW145" i="46"/>
  <c r="HJ146" i="46"/>
  <c r="BJ147" i="46"/>
  <c r="LB147" i="46"/>
  <c r="EY148" i="46"/>
  <c r="GL149" i="46"/>
  <c r="HY150" i="46"/>
  <c r="BA151" i="46"/>
  <c r="JL151" i="46"/>
  <c r="CN152" i="46"/>
  <c r="KY152" i="46"/>
  <c r="EA153" i="46"/>
  <c r="AF130" i="46"/>
  <c r="DF132" i="46"/>
  <c r="GF134" i="46"/>
  <c r="JF136" i="46"/>
  <c r="BJ139" i="46"/>
  <c r="EJ141" i="46"/>
  <c r="CZ143" i="46"/>
  <c r="EM144" i="46"/>
  <c r="FZ145" i="46"/>
  <c r="HM146" i="46"/>
  <c r="BM147" i="46"/>
  <c r="LE147" i="46"/>
  <c r="FB148" i="46"/>
  <c r="GO149" i="46"/>
  <c r="IB150" i="46"/>
  <c r="BD151" i="46"/>
  <c r="JO151" i="46"/>
  <c r="CQ152" i="46"/>
  <c r="LB152" i="46"/>
  <c r="ED153" i="46"/>
  <c r="AR130" i="46"/>
  <c r="DR132" i="46"/>
  <c r="GR134" i="46"/>
  <c r="JR136" i="46"/>
  <c r="CQ139" i="46"/>
  <c r="FQ141" i="46"/>
  <c r="DI143" i="46"/>
  <c r="EV144" i="46"/>
  <c r="GI145" i="46"/>
  <c r="HV146" i="46"/>
  <c r="BS147" i="46"/>
  <c r="FH148" i="46"/>
  <c r="GU149" i="46"/>
  <c r="W150" i="46"/>
  <c r="IH150" i="46"/>
  <c r="BJ151" i="46"/>
  <c r="JU151" i="46"/>
  <c r="CW152" i="46"/>
  <c r="HG137" i="46"/>
  <c r="BJ138" i="46"/>
  <c r="IT138" i="46"/>
  <c r="CW139" i="46"/>
  <c r="KG139" i="46"/>
  <c r="EJ140" i="46"/>
  <c r="FW141" i="46"/>
  <c r="Z142" i="46"/>
  <c r="HJ142" i="46"/>
  <c r="KJ130" i="46"/>
  <c r="AC133" i="46"/>
  <c r="BP134" i="46"/>
  <c r="DC135" i="46"/>
  <c r="EP136" i="46"/>
  <c r="GC137" i="46"/>
  <c r="HP138" i="46"/>
  <c r="JC139" i="46"/>
  <c r="KP140" i="46"/>
  <c r="CH143" i="46"/>
  <c r="JR143" i="46"/>
  <c r="DU144" i="46"/>
  <c r="LE144" i="46"/>
  <c r="FH145" i="46"/>
  <c r="GU146" i="46"/>
  <c r="BP130" i="46"/>
  <c r="DC131" i="46"/>
  <c r="EP132" i="46"/>
  <c r="GC133" i="46"/>
  <c r="HP134" i="46"/>
  <c r="JC135" i="46"/>
  <c r="KP136" i="46"/>
  <c r="AI139" i="46"/>
  <c r="BV140" i="46"/>
  <c r="DI141" i="46"/>
  <c r="EV142" i="46"/>
  <c r="FH143" i="46"/>
  <c r="GU144" i="46"/>
  <c r="AX145" i="46"/>
  <c r="IH145" i="46"/>
  <c r="CK146" i="46"/>
  <c r="JU146" i="46"/>
  <c r="DX147" i="46"/>
  <c r="DO130" i="46"/>
  <c r="FB131" i="46"/>
  <c r="GO132" i="46"/>
  <c r="IB133" i="46"/>
  <c r="JO134" i="46"/>
  <c r="LB135" i="46"/>
  <c r="AU138" i="46"/>
  <c r="CH139" i="46"/>
  <c r="DU140" i="46"/>
  <c r="FH141" i="46"/>
  <c r="GU142" i="46"/>
  <c r="GI143" i="46"/>
  <c r="AL144" i="46"/>
  <c r="HV144" i="46"/>
  <c r="BY145" i="46"/>
  <c r="JI145" i="46"/>
  <c r="DL146" i="46"/>
  <c r="KV146" i="46"/>
  <c r="EY147" i="46"/>
  <c r="GL148" i="46"/>
  <c r="AO149" i="46"/>
  <c r="HY149" i="46"/>
  <c r="CB150" i="46"/>
  <c r="JL150" i="46"/>
  <c r="DO151" i="46"/>
  <c r="KY151" i="46"/>
  <c r="FB152" i="46"/>
  <c r="GO153" i="46"/>
  <c r="BV132" i="46"/>
  <c r="EV134" i="46"/>
  <c r="HV136" i="46"/>
  <c r="KV138" i="46"/>
  <c r="AU139" i="46"/>
  <c r="DU141" i="46"/>
  <c r="CK143" i="46"/>
  <c r="DX144" i="46"/>
  <c r="FK145" i="46"/>
  <c r="GX146" i="46"/>
  <c r="AX147" i="46"/>
  <c r="KV147" i="46"/>
  <c r="ES148" i="46"/>
  <c r="GF149" i="46"/>
  <c r="HS150" i="46"/>
  <c r="AR151" i="46"/>
  <c r="JF151" i="46"/>
  <c r="CE152" i="46"/>
  <c r="KS152" i="46"/>
  <c r="DR153" i="46"/>
  <c r="BA154" i="46"/>
  <c r="IK154" i="46"/>
  <c r="CN155" i="46"/>
  <c r="JX155" i="46"/>
  <c r="EA156" i="46"/>
  <c r="FN157" i="46"/>
  <c r="HA158" i="46"/>
  <c r="BD159" i="46"/>
  <c r="IN159" i="46"/>
  <c r="CN130" i="46"/>
  <c r="FN132" i="46"/>
  <c r="IN134" i="46"/>
  <c r="BM137" i="46"/>
  <c r="EM139" i="46"/>
  <c r="HM141" i="46"/>
  <c r="EG143" i="46"/>
  <c r="FT144" i="46"/>
  <c r="HG145" i="46"/>
  <c r="IT146" i="46"/>
  <c r="CN147" i="46"/>
  <c r="FZ148" i="46"/>
  <c r="HM149" i="46"/>
  <c r="AO150" i="46"/>
  <c r="IZ150" i="46"/>
  <c r="CB151" i="46"/>
  <c r="KM151" i="46"/>
  <c r="DO152" i="46"/>
  <c r="FB153" i="46"/>
  <c r="CQ130" i="46"/>
  <c r="FQ132" i="46"/>
  <c r="IQ134" i="46"/>
  <c r="BV137" i="46"/>
  <c r="EV139" i="46"/>
  <c r="HV141" i="46"/>
  <c r="EP143" i="46"/>
  <c r="GC144" i="46"/>
  <c r="HP145" i="46"/>
  <c r="JC146" i="46"/>
  <c r="CQ147" i="46"/>
  <c r="GC148" i="46"/>
  <c r="HP149" i="46"/>
  <c r="AR150" i="46"/>
  <c r="JC150" i="46"/>
  <c r="CE151" i="46"/>
  <c r="KP151" i="46"/>
  <c r="DR152" i="46"/>
  <c r="FE153" i="46"/>
  <c r="DX130" i="46"/>
  <c r="GX132" i="46"/>
  <c r="JX134" i="46"/>
  <c r="CB137" i="46"/>
  <c r="FB139" i="46"/>
  <c r="IB141" i="46"/>
  <c r="EV143" i="46"/>
  <c r="GI144" i="46"/>
  <c r="HV145" i="46"/>
  <c r="JI146" i="46"/>
  <c r="CW147" i="46"/>
  <c r="GI148" i="46"/>
  <c r="HV149" i="46"/>
  <c r="AU137" i="46"/>
  <c r="IE137" i="46"/>
  <c r="CH138" i="46"/>
  <c r="JR138" i="46"/>
  <c r="DU139" i="46"/>
  <c r="LE139" i="46"/>
  <c r="FH140" i="46"/>
  <c r="GU141" i="46"/>
  <c r="AX142" i="46"/>
  <c r="IH142" i="46"/>
  <c r="AL132" i="46"/>
  <c r="BY133" i="46"/>
  <c r="DL134" i="46"/>
  <c r="EY135" i="46"/>
  <c r="GL136" i="46"/>
  <c r="HY137" i="46"/>
  <c r="JL138" i="46"/>
  <c r="KY139" i="46"/>
  <c r="AR142" i="46"/>
  <c r="DF143" i="46"/>
  <c r="KP143" i="46"/>
  <c r="ES144" i="46"/>
  <c r="GF145" i="46"/>
  <c r="AI146" i="46"/>
  <c r="HS146" i="46"/>
  <c r="DL130" i="46"/>
  <c r="EY131" i="46"/>
  <c r="GL132" i="46"/>
  <c r="HY133" i="46"/>
  <c r="JL134" i="46"/>
  <c r="KY135" i="46"/>
  <c r="AR138" i="46"/>
  <c r="CE139" i="46"/>
  <c r="DR140" i="46"/>
  <c r="FE141" i="46"/>
  <c r="GR142" i="46"/>
  <c r="GF143" i="46"/>
  <c r="AI144" i="46"/>
  <c r="HS144" i="46"/>
  <c r="BV145" i="46"/>
  <c r="JF145" i="46"/>
  <c r="DI146" i="46"/>
  <c r="KS146" i="46"/>
  <c r="EV147" i="46"/>
  <c r="FK130" i="46"/>
  <c r="GX131" i="46"/>
  <c r="IK132" i="46"/>
  <c r="JX133" i="46"/>
  <c r="BD137" i="46"/>
  <c r="CQ138" i="46"/>
  <c r="ED139" i="46"/>
  <c r="FQ140" i="46"/>
  <c r="HD141" i="46"/>
  <c r="IQ142" i="46"/>
  <c r="W143" i="46"/>
  <c r="HG143" i="46"/>
  <c r="BJ144" i="46"/>
  <c r="IT144" i="46"/>
  <c r="CW145" i="46"/>
  <c r="KG145" i="46"/>
  <c r="EJ146" i="46"/>
  <c r="FW147" i="46"/>
  <c r="Z148" i="46"/>
  <c r="HJ148" i="46"/>
  <c r="BM149" i="46"/>
  <c r="IW149" i="46"/>
  <c r="CZ150" i="46"/>
  <c r="KJ150" i="46"/>
  <c r="EM151" i="46"/>
  <c r="FZ152" i="46"/>
  <c r="AC153" i="46"/>
  <c r="HM153" i="46"/>
  <c r="CB130" i="46"/>
  <c r="FB132" i="46"/>
  <c r="IB134" i="46"/>
  <c r="LB136" i="46"/>
  <c r="AF137" i="46"/>
  <c r="DF139" i="46"/>
  <c r="GF141" i="46"/>
  <c r="DX143" i="46"/>
  <c r="FK144" i="46"/>
  <c r="GX145" i="46"/>
  <c r="IK146" i="46"/>
  <c r="CH147" i="46"/>
  <c r="FT148" i="46"/>
  <c r="HG149" i="46"/>
  <c r="AI150" i="46"/>
  <c r="IT150" i="46"/>
  <c r="BV151" i="46"/>
  <c r="KG151" i="46"/>
  <c r="DI152" i="46"/>
  <c r="EV153" i="46"/>
  <c r="BY154" i="46"/>
  <c r="JI154" i="46"/>
  <c r="DL155" i="46"/>
  <c r="KV155" i="46"/>
  <c r="EY156" i="46"/>
  <c r="GL157" i="46"/>
  <c r="AO158" i="46"/>
  <c r="HY158" i="46"/>
  <c r="CB159" i="46"/>
  <c r="JL159" i="46"/>
  <c r="FT130" i="46"/>
  <c r="IT132" i="46"/>
  <c r="AX135" i="46"/>
  <c r="DX137" i="46"/>
  <c r="GX139" i="46"/>
  <c r="JX141" i="46"/>
  <c r="AC142" i="46"/>
  <c r="FT143" i="46"/>
  <c r="HG144" i="46"/>
  <c r="IT145" i="46"/>
  <c r="KG146" i="46"/>
  <c r="DR147" i="46"/>
  <c r="HA148" i="46"/>
  <c r="AC149" i="46"/>
  <c r="IN149" i="46"/>
  <c r="BP150" i="46"/>
  <c r="KA150" i="46"/>
  <c r="DC151" i="46"/>
  <c r="EP152" i="46"/>
  <c r="GC153" i="46"/>
  <c r="GC130" i="46"/>
  <c r="JC132" i="46"/>
  <c r="BP135" i="46"/>
  <c r="EP137" i="46"/>
  <c r="HP139" i="46"/>
  <c r="KP141" i="46"/>
  <c r="AF142" i="46"/>
  <c r="FW143" i="46"/>
  <c r="HJ144" i="46"/>
  <c r="IW145" i="46"/>
  <c r="KJ146" i="46"/>
  <c r="DU147" i="46"/>
  <c r="HD148" i="46"/>
  <c r="AF149" i="46"/>
  <c r="IQ149" i="46"/>
  <c r="BS150" i="46"/>
  <c r="KD150" i="46"/>
  <c r="DF151" i="46"/>
  <c r="ES152" i="46"/>
  <c r="GF153" i="46"/>
  <c r="GI130" i="46"/>
  <c r="JI132" i="46"/>
  <c r="CN135" i="46"/>
  <c r="FN137" i="46"/>
  <c r="IN139" i="46"/>
  <c r="BS137" i="46"/>
  <c r="JC137" i="46"/>
  <c r="DF138" i="46"/>
  <c r="KP138" i="46"/>
  <c r="ES139" i="46"/>
  <c r="GF140" i="46"/>
  <c r="AI141" i="46"/>
  <c r="HS141" i="46"/>
  <c r="BV142" i="46"/>
  <c r="JF142" i="46"/>
  <c r="AU131" i="46"/>
  <c r="CH132" i="46"/>
  <c r="DU133" i="46"/>
  <c r="FH134" i="46"/>
  <c r="GU135" i="46"/>
  <c r="IH136" i="46"/>
  <c r="JU137" i="46"/>
  <c r="BA141" i="46"/>
  <c r="CN142" i="46"/>
  <c r="ED143" i="46"/>
  <c r="FQ144" i="46"/>
  <c r="HD145" i="46"/>
  <c r="BG146" i="46"/>
  <c r="IQ146" i="46"/>
  <c r="FH130" i="46"/>
  <c r="GU131" i="46"/>
  <c r="IH132" i="46"/>
  <c r="JU133" i="46"/>
  <c r="BA137" i="46"/>
  <c r="CN138" i="46"/>
  <c r="EA139" i="46"/>
  <c r="FN140" i="46"/>
  <c r="HA141" i="46"/>
  <c r="IN142" i="46"/>
  <c r="HD143" i="46"/>
  <c r="BG144" i="46"/>
  <c r="IQ144" i="46"/>
  <c r="CT145" i="46"/>
  <c r="KD145" i="46"/>
  <c r="EG146" i="46"/>
  <c r="FT147" i="46"/>
  <c r="HG130" i="46"/>
  <c r="IT131" i="46"/>
  <c r="KG132" i="46"/>
  <c r="Z135" i="46"/>
  <c r="BM136" i="46"/>
  <c r="CZ137" i="46"/>
  <c r="EM138" i="46"/>
  <c r="FZ139" i="46"/>
  <c r="HM140" i="46"/>
  <c r="IZ141" i="46"/>
  <c r="KM142" i="46"/>
  <c r="AU143" i="46"/>
  <c r="IE143" i="46"/>
  <c r="CH144" i="46"/>
  <c r="JR144" i="46"/>
  <c r="DU145" i="46"/>
  <c r="LE145" i="46"/>
  <c r="FH146" i="46"/>
  <c r="GU147" i="46"/>
  <c r="AX148" i="46"/>
  <c r="IH148" i="46"/>
  <c r="CK149" i="46"/>
  <c r="JU149" i="46"/>
  <c r="DX150" i="46"/>
  <c r="FK151" i="46"/>
  <c r="GX152" i="46"/>
  <c r="BA153" i="46"/>
  <c r="IK153" i="46"/>
  <c r="EM130" i="46"/>
  <c r="HM132" i="46"/>
  <c r="KM134" i="46"/>
  <c r="AR135" i="46"/>
  <c r="DR137" i="46"/>
  <c r="GR139" i="46"/>
  <c r="JR141" i="46"/>
  <c r="FN143" i="46"/>
  <c r="HA144" i="46"/>
  <c r="IN145" i="46"/>
  <c r="KA146" i="46"/>
  <c r="DL147" i="46"/>
  <c r="GU148" i="46"/>
  <c r="W149" i="46"/>
  <c r="IH149" i="46"/>
  <c r="BJ150" i="46"/>
  <c r="JU150" i="46"/>
  <c r="CW151" i="46"/>
  <c r="EJ152" i="46"/>
  <c r="FW153" i="46"/>
  <c r="CW154" i="46"/>
  <c r="KG154" i="46"/>
  <c r="EJ155" i="46"/>
  <c r="FW156" i="46"/>
  <c r="Z157" i="46"/>
  <c r="HJ157" i="46"/>
  <c r="BM158" i="46"/>
  <c r="IW158" i="46"/>
  <c r="CZ159" i="46"/>
  <c r="KJ159" i="46"/>
  <c r="IE130" i="46"/>
  <c r="LE132" i="46"/>
  <c r="BJ133" i="46"/>
  <c r="EJ135" i="46"/>
  <c r="HJ137" i="46"/>
  <c r="KJ139" i="46"/>
  <c r="W140" i="46"/>
  <c r="CW142" i="46"/>
  <c r="HJ143" i="46"/>
  <c r="IW144" i="46"/>
  <c r="KJ145" i="46"/>
  <c r="Z146" i="46"/>
  <c r="FB147" i="46"/>
  <c r="IB148" i="46"/>
  <c r="BD149" i="46"/>
  <c r="JO149" i="46"/>
  <c r="CQ150" i="46"/>
  <c r="LB150" i="46"/>
  <c r="ED151" i="46"/>
  <c r="FQ152" i="46"/>
  <c r="HD153" i="46"/>
  <c r="IW130" i="46"/>
  <c r="BM133" i="46"/>
  <c r="EM135" i="46"/>
  <c r="HM137" i="46"/>
  <c r="KM139" i="46"/>
  <c r="AL140" i="46"/>
  <c r="DL142" i="46"/>
  <c r="HM143" i="46"/>
  <c r="IZ144" i="46"/>
  <c r="KM145" i="46"/>
  <c r="AC146" i="46"/>
  <c r="FE147" i="46"/>
  <c r="IE148" i="46"/>
  <c r="BG149" i="46"/>
  <c r="JR149" i="46"/>
  <c r="CT150" i="46"/>
  <c r="LE150" i="46"/>
  <c r="EG151" i="46"/>
  <c r="FT152" i="46"/>
  <c r="HG153" i="46"/>
  <c r="BA142" i="46"/>
  <c r="GL143" i="46"/>
  <c r="EG147" i="46"/>
  <c r="AX150" i="46"/>
  <c r="KV151" i="46"/>
  <c r="EJ154" i="46"/>
  <c r="FW155" i="46"/>
  <c r="HJ156" i="46"/>
  <c r="IW157" i="46"/>
  <c r="BD158" i="46"/>
  <c r="KJ158" i="46"/>
  <c r="CQ159" i="46"/>
  <c r="JL130" i="46"/>
  <c r="KY131" i="46"/>
  <c r="AU140" i="46"/>
  <c r="CH141" i="46"/>
  <c r="HJ132" i="46"/>
  <c r="DF133" i="46"/>
  <c r="KP132" i="46"/>
  <c r="BA133" i="46"/>
  <c r="JO136" i="46"/>
  <c r="FQ137" i="46"/>
  <c r="BP138" i="46"/>
  <c r="DC143" i="46"/>
  <c r="GC145" i="46"/>
  <c r="BP147" i="46"/>
  <c r="GR149" i="46"/>
  <c r="JR151" i="46"/>
  <c r="CT152" i="46"/>
  <c r="KJ134" i="46"/>
  <c r="GL135" i="46"/>
  <c r="DR136" i="46"/>
  <c r="Z137" i="46"/>
  <c r="AO143" i="46"/>
  <c r="DO145" i="46"/>
  <c r="FH144" i="46"/>
  <c r="GX133" i="46"/>
  <c r="IW137" i="46"/>
  <c r="EV138" i="46"/>
  <c r="BD139" i="46"/>
  <c r="EA143" i="46"/>
  <c r="HA145" i="46"/>
  <c r="CK147" i="46"/>
  <c r="HJ149" i="46"/>
  <c r="AL150" i="46"/>
  <c r="CQ135" i="46"/>
  <c r="BS145" i="46"/>
  <c r="AF148" i="46"/>
  <c r="KD149" i="46"/>
  <c r="GO151" i="46"/>
  <c r="GO152" i="46"/>
  <c r="CT153" i="46"/>
  <c r="CZ154" i="46"/>
  <c r="EM155" i="46"/>
  <c r="FZ156" i="46"/>
  <c r="HM157" i="46"/>
  <c r="IZ158" i="46"/>
  <c r="AO159" i="46"/>
  <c r="KM159" i="46"/>
  <c r="CB160" i="46"/>
  <c r="JO160" i="46"/>
  <c r="KS133" i="46"/>
  <c r="JL137" i="46"/>
  <c r="CZ139" i="46"/>
  <c r="HY145" i="46"/>
  <c r="DI148" i="46"/>
  <c r="AU150" i="46"/>
  <c r="IZ151" i="46"/>
  <c r="JL152" i="46"/>
  <c r="FH153" i="46"/>
  <c r="EG154" i="46"/>
  <c r="FT155" i="46"/>
  <c r="EA135" i="46"/>
  <c r="CH145" i="46"/>
  <c r="AO148" i="46"/>
  <c r="KM149" i="46"/>
  <c r="GX151" i="46"/>
  <c r="HJ152" i="46"/>
  <c r="DL153" i="46"/>
  <c r="DF154" i="46"/>
  <c r="ES155" i="46"/>
  <c r="JF132" i="46"/>
  <c r="HD144" i="46"/>
  <c r="KD147" i="46"/>
  <c r="IE149" i="46"/>
  <c r="EV151" i="46"/>
  <c r="FH152" i="46"/>
  <c r="BM153" i="46"/>
  <c r="CE154" i="46"/>
  <c r="DO144" i="46"/>
  <c r="LB146" i="46"/>
  <c r="HV147" i="46"/>
  <c r="FZ149" i="46"/>
  <c r="CZ151" i="46"/>
  <c r="DL152" i="46"/>
  <c r="Z153" i="46"/>
  <c r="BG154" i="46"/>
  <c r="LB154" i="46"/>
  <c r="CT155" i="46"/>
  <c r="EG156" i="46"/>
  <c r="FT157" i="46"/>
  <c r="HG158" i="46"/>
  <c r="IT159" i="46"/>
  <c r="IE146" i="46"/>
  <c r="KD153" i="46"/>
  <c r="KD154" i="46"/>
  <c r="DU155" i="46"/>
  <c r="ED156" i="46"/>
  <c r="HD158" i="46"/>
  <c r="CE159" i="46"/>
  <c r="ED160" i="46"/>
  <c r="ES161" i="46"/>
  <c r="DI144" i="46"/>
  <c r="EP153" i="46"/>
  <c r="HP154" i="46"/>
  <c r="BS155" i="46"/>
  <c r="CQ156" i="46"/>
  <c r="KV157" i="46"/>
  <c r="FQ158" i="46"/>
  <c r="AR159" i="46"/>
  <c r="DF160" i="46"/>
  <c r="DX161" i="46"/>
  <c r="AR141" i="46"/>
  <c r="DR144" i="46"/>
  <c r="AF146" i="46"/>
  <c r="FZ153" i="46"/>
  <c r="HS154" i="46"/>
  <c r="BV155" i="46"/>
  <c r="CW156" i="46"/>
  <c r="KY157" i="46"/>
  <c r="FW158" i="46"/>
  <c r="AX159" i="46"/>
  <c r="DI160" i="46"/>
  <c r="EA161" i="46"/>
  <c r="FN136" i="46"/>
  <c r="DF141" i="46"/>
  <c r="EG144" i="46"/>
  <c r="CH146" i="46"/>
  <c r="GR153" i="46"/>
  <c r="IN154" i="46"/>
  <c r="CK155" i="46"/>
  <c r="DF156" i="46"/>
  <c r="GF158" i="46"/>
  <c r="BA159" i="46"/>
  <c r="DL160" i="46"/>
  <c r="ED161" i="46"/>
  <c r="HS136" i="46"/>
  <c r="ED141" i="46"/>
  <c r="JC144" i="46"/>
  <c r="DR146" i="46"/>
  <c r="GU153" i="46"/>
  <c r="IT154" i="46"/>
  <c r="CQ155" i="46"/>
  <c r="DI156" i="46"/>
  <c r="DO160" i="46"/>
  <c r="HY155" i="46"/>
  <c r="HA156" i="46"/>
  <c r="BY157" i="46"/>
  <c r="KG158" i="46"/>
  <c r="FE159" i="46"/>
  <c r="GL161" i="46"/>
  <c r="JR157" i="46"/>
  <c r="EP158" i="46"/>
  <c r="KY160" i="46"/>
  <c r="DI161" i="46"/>
  <c r="LB155" i="46"/>
  <c r="ES159" i="46"/>
  <c r="KY161" i="46"/>
  <c r="KA158" i="46"/>
  <c r="LE160" i="46"/>
  <c r="GI161" i="46"/>
  <c r="GL154" i="46"/>
  <c r="GU157" i="46"/>
  <c r="AC158" i="46"/>
  <c r="EV160" i="46"/>
  <c r="AU161" i="46"/>
  <c r="W148" i="46"/>
  <c r="DU146" i="46"/>
  <c r="GX159" i="46"/>
  <c r="FK150" i="46"/>
  <c r="DF158" i="46"/>
  <c r="FK161" i="46"/>
  <c r="IB159" i="46"/>
  <c r="FZ160" i="46"/>
  <c r="KS161" i="46"/>
  <c r="BV161" i="46"/>
  <c r="CH133" i="46"/>
  <c r="DX142" i="46"/>
  <c r="HS143" i="46"/>
  <c r="FK147" i="46"/>
  <c r="BY150" i="46"/>
  <c r="CH153" i="46"/>
  <c r="HD154" i="46"/>
  <c r="IQ155" i="46"/>
  <c r="KD156" i="46"/>
  <c r="AO157" i="46"/>
  <c r="CB158" i="46"/>
  <c r="DO159" i="46"/>
  <c r="DL138" i="46"/>
  <c r="EY139" i="46"/>
  <c r="GL140" i="46"/>
  <c r="HY141" i="46"/>
  <c r="JL142" i="46"/>
  <c r="IW133" i="46"/>
  <c r="FZ133" i="46"/>
  <c r="FT131" i="46"/>
  <c r="IN138" i="46"/>
  <c r="FT139" i="46"/>
  <c r="BS140" i="46"/>
  <c r="GC143" i="46"/>
  <c r="JC145" i="46"/>
  <c r="ED147" i="46"/>
  <c r="IT149" i="46"/>
  <c r="BV150" i="46"/>
  <c r="EV152" i="46"/>
  <c r="CW133" i="46"/>
  <c r="JU136" i="46"/>
  <c r="FT137" i="46"/>
  <c r="CK138" i="46"/>
  <c r="DR143" i="46"/>
  <c r="GR145" i="46"/>
  <c r="EG130" i="46"/>
  <c r="IE144" i="46"/>
  <c r="KY138" i="46"/>
  <c r="IE139" i="46"/>
  <c r="EM140" i="46"/>
  <c r="AL141" i="46"/>
  <c r="HA143" i="46"/>
  <c r="KA145" i="46"/>
  <c r="W146" i="46"/>
  <c r="ES147" i="46"/>
  <c r="JL149" i="46"/>
  <c r="CN150" i="46"/>
  <c r="IT133" i="46"/>
  <c r="JF137" i="46"/>
  <c r="CB139" i="46"/>
  <c r="HS145" i="46"/>
  <c r="CQ148" i="46"/>
  <c r="AC150" i="46"/>
  <c r="IW151" i="46"/>
  <c r="JI152" i="46"/>
  <c r="EY153" i="46"/>
  <c r="ED154" i="46"/>
  <c r="FQ155" i="46"/>
  <c r="HD156" i="46"/>
  <c r="IQ157" i="46"/>
  <c r="AI158" i="46"/>
  <c r="KD158" i="46"/>
  <c r="BV159" i="46"/>
  <c r="DC160" i="46"/>
  <c r="KM160" i="46"/>
  <c r="JI141" i="46"/>
  <c r="GF148" i="46"/>
  <c r="DI150" i="46"/>
  <c r="HJ153" i="46"/>
  <c r="FN154" i="46"/>
  <c r="HA155" i="46"/>
  <c r="LB137" i="46"/>
  <c r="DC139" i="46"/>
  <c r="IE145" i="46"/>
  <c r="DL148" i="46"/>
  <c r="BA150" i="46"/>
  <c r="JI151" i="46"/>
  <c r="JU152" i="46"/>
  <c r="FN153" i="46"/>
  <c r="EM154" i="46"/>
  <c r="FZ155" i="46"/>
  <c r="FW135" i="46"/>
  <c r="CQ145" i="46"/>
  <c r="BG148" i="46"/>
  <c r="LE149" i="46"/>
  <c r="HD151" i="46"/>
  <c r="HP152" i="46"/>
  <c r="DO153" i="46"/>
  <c r="DI154" i="46"/>
  <c r="JL144" i="46"/>
  <c r="KS147" i="46"/>
  <c r="JC149" i="46"/>
  <c r="FT151" i="46"/>
  <c r="FW152" i="46"/>
  <c r="CE153" i="46"/>
  <c r="CK154" i="46"/>
  <c r="DX155" i="46"/>
  <c r="FK156" i="46"/>
  <c r="GX157" i="46"/>
  <c r="IK158" i="46"/>
  <c r="AC159" i="46"/>
  <c r="JX159" i="46"/>
  <c r="IB130" i="46"/>
  <c r="DU137" i="46"/>
  <c r="AI142" i="46"/>
  <c r="GI155" i="46"/>
  <c r="FT156" i="46"/>
  <c r="AR157" i="46"/>
  <c r="IT158" i="46"/>
  <c r="DR159" i="46"/>
  <c r="FE160" i="46"/>
  <c r="FQ161" i="46"/>
  <c r="KD146" i="46"/>
  <c r="KV153" i="46"/>
  <c r="KY154" i="46"/>
  <c r="ED155" i="46"/>
  <c r="EJ156" i="46"/>
  <c r="HJ158" i="46"/>
  <c r="CH159" i="46"/>
  <c r="EG160" i="46"/>
  <c r="EV161" i="46"/>
  <c r="LE146" i="46"/>
  <c r="KY153" i="46"/>
  <c r="EG155" i="46"/>
  <c r="EM156" i="46"/>
  <c r="HM158" i="46"/>
  <c r="CK159" i="46"/>
  <c r="EJ160" i="46"/>
  <c r="EY161" i="46"/>
  <c r="EV155" i="46"/>
  <c r="EV156" i="46"/>
  <c r="HV158" i="46"/>
  <c r="CT159" i="46"/>
  <c r="EM160" i="46"/>
  <c r="FB161" i="46"/>
  <c r="HG146" i="46"/>
  <c r="JF149" i="46"/>
  <c r="HM155" i="46"/>
  <c r="GO156" i="46"/>
  <c r="BP157" i="46"/>
  <c r="FQ160" i="46"/>
  <c r="HS148" i="46"/>
  <c r="HG140" i="46"/>
  <c r="KG156" i="46"/>
  <c r="FH157" i="46"/>
  <c r="AL151" i="46"/>
  <c r="IK159" i="46"/>
  <c r="IH161" i="46"/>
  <c r="IH143" i="46"/>
  <c r="IB158" i="46"/>
  <c r="CW159" i="46"/>
  <c r="FE161" i="46"/>
  <c r="Z160" i="46"/>
  <c r="CK153" i="46"/>
  <c r="JU159" i="46"/>
  <c r="AO155" i="46"/>
  <c r="Z159" i="46"/>
  <c r="JC161" i="46"/>
  <c r="CK156" i="46"/>
  <c r="FK158" i="46"/>
  <c r="IB160" i="46"/>
  <c r="DR161" i="46"/>
  <c r="BJ149" i="46"/>
  <c r="AF157" i="46"/>
  <c r="BM160" i="46"/>
  <c r="BM138" i="46"/>
  <c r="JF160" i="46"/>
  <c r="CW160" i="46"/>
  <c r="JU130" i="46"/>
  <c r="AX140" i="46"/>
  <c r="HY144" i="46"/>
  <c r="AL149" i="46"/>
  <c r="DC150" i="46"/>
  <c r="DX152" i="46"/>
  <c r="DI153" i="46"/>
  <c r="IB154" i="46"/>
  <c r="JO155" i="46"/>
  <c r="Z156" i="46"/>
  <c r="LB156" i="46"/>
  <c r="BM157" i="46"/>
  <c r="CZ158" i="46"/>
  <c r="EM159" i="46"/>
  <c r="JC138" i="46"/>
  <c r="KP139" i="46"/>
  <c r="IH140" i="46"/>
  <c r="FB141" i="46"/>
  <c r="BP142" i="46"/>
  <c r="JF143" i="46"/>
  <c r="BV146" i="46"/>
  <c r="GL147" i="46"/>
  <c r="BA148" i="46"/>
  <c r="KY149" i="46"/>
  <c r="EA150" i="46"/>
  <c r="HA152" i="46"/>
  <c r="HS131" i="46"/>
  <c r="KJ138" i="46"/>
  <c r="GI139" i="46"/>
  <c r="CQ140" i="46"/>
  <c r="GO143" i="46"/>
  <c r="JO145" i="46"/>
  <c r="ES134" i="46"/>
  <c r="AU135" i="46"/>
  <c r="LB144" i="46"/>
  <c r="AU145" i="46"/>
  <c r="KG140" i="46"/>
  <c r="GX141" i="46"/>
  <c r="EA142" i="46"/>
  <c r="KD143" i="46"/>
  <c r="CT146" i="46"/>
  <c r="HG147" i="46"/>
  <c r="BP148" i="46"/>
  <c r="EP150" i="46"/>
  <c r="IT141" i="46"/>
  <c r="FQ148" i="46"/>
  <c r="DF150" i="46"/>
  <c r="LE151" i="46"/>
  <c r="HA153" i="46"/>
  <c r="FK154" i="46"/>
  <c r="GX155" i="46"/>
  <c r="IK156" i="46"/>
  <c r="AC157" i="46"/>
  <c r="JX157" i="46"/>
  <c r="BP158" i="46"/>
  <c r="DC159" i="46"/>
  <c r="EA160" i="46"/>
  <c r="IT148" i="46"/>
  <c r="GI150" i="46"/>
  <c r="JO153" i="46"/>
  <c r="GU154" i="46"/>
  <c r="IH155" i="46"/>
  <c r="JU141" i="46"/>
  <c r="GO148" i="46"/>
  <c r="DO150" i="46"/>
  <c r="HS153" i="46"/>
  <c r="FT154" i="46"/>
  <c r="HG155" i="46"/>
  <c r="DX139" i="46"/>
  <c r="IQ145" i="46"/>
  <c r="ED148" i="46"/>
  <c r="BG150" i="46"/>
  <c r="JX151" i="46"/>
  <c r="KD152" i="46"/>
  <c r="FT153" i="46"/>
  <c r="EP154" i="46"/>
  <c r="JX135" i="46"/>
  <c r="DI137" i="46"/>
  <c r="FB145" i="46"/>
  <c r="CB148" i="46"/>
  <c r="HY151" i="46"/>
  <c r="IH152" i="46"/>
  <c r="EG153" i="46"/>
  <c r="DR154" i="46"/>
  <c r="FE155" i="46"/>
  <c r="GR156" i="46"/>
  <c r="IE157" i="46"/>
  <c r="W158" i="46"/>
  <c r="JR158" i="46"/>
  <c r="BJ159" i="46"/>
  <c r="LE159" i="46"/>
  <c r="IT155" i="46"/>
  <c r="HM156" i="46"/>
  <c r="CH157" i="46"/>
  <c r="KM158" i="46"/>
  <c r="FH159" i="46"/>
  <c r="GF160" i="46"/>
  <c r="GO161" i="46"/>
  <c r="FE137" i="46"/>
  <c r="GO155" i="46"/>
  <c r="GC156" i="46"/>
  <c r="BA157" i="46"/>
  <c r="JC158" i="46"/>
  <c r="EA159" i="46"/>
  <c r="FH160" i="46"/>
  <c r="FT161" i="46"/>
  <c r="GR155" i="46"/>
  <c r="GF156" i="46"/>
  <c r="BD157" i="46"/>
  <c r="JF158" i="46"/>
  <c r="ED159" i="46"/>
  <c r="FK160" i="46"/>
  <c r="FW161" i="46"/>
  <c r="HJ155" i="46"/>
  <c r="GI156" i="46"/>
  <c r="BJ157" i="46"/>
  <c r="JI158" i="46"/>
  <c r="EJ159" i="46"/>
  <c r="FN160" i="46"/>
  <c r="FZ161" i="46"/>
  <c r="JX156" i="46"/>
  <c r="EV157" i="46"/>
  <c r="HV160" i="46"/>
  <c r="AO161" i="46"/>
  <c r="EV145" i="46"/>
  <c r="CQ154" i="46"/>
  <c r="AF156" i="46"/>
  <c r="EM147" i="46"/>
  <c r="GI152" i="46"/>
  <c r="IN157" i="46"/>
  <c r="DO154" i="46"/>
  <c r="AR156" i="46"/>
  <c r="BP160" i="46"/>
  <c r="LE158" i="46"/>
  <c r="GC159" i="46"/>
  <c r="HA161" i="46"/>
  <c r="AF154" i="46"/>
  <c r="DO157" i="46"/>
  <c r="DR160" i="46"/>
  <c r="W161" i="46"/>
  <c r="EY159" i="46"/>
  <c r="LB161" i="46"/>
  <c r="HD161" i="46"/>
  <c r="HD157" i="46"/>
  <c r="BS158" i="46"/>
  <c r="FB160" i="46"/>
  <c r="BP161" i="46"/>
  <c r="BJ148" i="46"/>
  <c r="CN161" i="46"/>
  <c r="IN156" i="46"/>
  <c r="AL157" i="46"/>
  <c r="CT160" i="46"/>
  <c r="IH137" i="46"/>
  <c r="JF144" i="46"/>
  <c r="BP149" i="46"/>
  <c r="JI150" i="46"/>
  <c r="EY152" i="46"/>
  <c r="EJ153" i="46"/>
  <c r="IZ154" i="46"/>
  <c r="BG155" i="46"/>
  <c r="KM155" i="46"/>
  <c r="CT156" i="46"/>
  <c r="EG157" i="46"/>
  <c r="FT158" i="46"/>
  <c r="HG159" i="46"/>
  <c r="AL136" i="46"/>
  <c r="BM130" i="46"/>
  <c r="HP142" i="46"/>
  <c r="BS144" i="46"/>
  <c r="ES146" i="46"/>
  <c r="IZ147" i="46"/>
  <c r="DC148" i="46"/>
  <c r="GC150" i="46"/>
  <c r="JC152" i="46"/>
  <c r="JR140" i="46"/>
  <c r="FZ141" i="46"/>
  <c r="BY142" i="46"/>
  <c r="JL143" i="46"/>
  <c r="LE134" i="46"/>
  <c r="IB135" i="46"/>
  <c r="ED136" i="46"/>
  <c r="AC137" i="46"/>
  <c r="AX143" i="46"/>
  <c r="DX145" i="46"/>
  <c r="KV142" i="46"/>
  <c r="CQ144" i="46"/>
  <c r="FQ146" i="46"/>
  <c r="JU147" i="46"/>
  <c r="DU148" i="46"/>
  <c r="GU150" i="46"/>
  <c r="IQ148" i="46"/>
  <c r="FQ150" i="46"/>
  <c r="JC153" i="46"/>
  <c r="GR154" i="46"/>
  <c r="IE155" i="46"/>
  <c r="JR156" i="46"/>
  <c r="BG157" i="46"/>
  <c r="LE157" i="46"/>
  <c r="CT158" i="46"/>
  <c r="EG159" i="46"/>
  <c r="EY160" i="46"/>
  <c r="GU134" i="46"/>
  <c r="AX146" i="46"/>
  <c r="JF150" i="46"/>
  <c r="HY154" i="46"/>
  <c r="JL155" i="46"/>
  <c r="IZ148" i="46"/>
  <c r="GL150" i="46"/>
  <c r="JU153" i="46"/>
  <c r="GX154" i="46"/>
  <c r="IK155" i="46"/>
  <c r="LE141" i="46"/>
  <c r="GR148" i="46"/>
  <c r="EG150" i="46"/>
  <c r="HV153" i="46"/>
  <c r="FW154" i="46"/>
  <c r="IT139" i="46"/>
  <c r="CN141" i="46"/>
  <c r="KY145" i="46"/>
  <c r="EM148" i="46"/>
  <c r="CE150" i="46"/>
  <c r="KJ151" i="46"/>
  <c r="KM152" i="46"/>
  <c r="GI153" i="46"/>
  <c r="EY154" i="46"/>
  <c r="GL155" i="46"/>
  <c r="HY156" i="46"/>
  <c r="JL157" i="46"/>
  <c r="BA158" i="46"/>
  <c r="KY158" i="46"/>
  <c r="CN159" i="46"/>
  <c r="FE145" i="46"/>
  <c r="LE155" i="46"/>
  <c r="IZ156" i="46"/>
  <c r="EA157" i="46"/>
  <c r="HA159" i="46"/>
  <c r="HG160" i="46"/>
  <c r="AC161" i="46"/>
  <c r="HM161" i="46"/>
  <c r="JC155" i="46"/>
  <c r="HP156" i="46"/>
  <c r="CQ157" i="46"/>
  <c r="KP158" i="46"/>
  <c r="FQ159" i="46"/>
  <c r="GI160" i="46"/>
  <c r="GR161" i="46"/>
  <c r="JF155" i="46"/>
  <c r="HV156" i="46"/>
  <c r="CW157" i="46"/>
  <c r="KV158" i="46"/>
  <c r="FW159" i="46"/>
  <c r="GL160" i="46"/>
  <c r="GU161" i="46"/>
  <c r="JU155" i="46"/>
  <c r="IB156" i="46"/>
  <c r="CZ157" i="46"/>
  <c r="LB158" i="46"/>
  <c r="FZ159" i="46"/>
  <c r="GO160" i="46"/>
  <c r="GX161" i="46"/>
  <c r="AO138" i="46"/>
  <c r="BV147" i="46"/>
  <c r="FN152" i="46"/>
  <c r="IB157" i="46"/>
  <c r="DC158" i="46"/>
  <c r="JX160" i="46"/>
  <c r="CK161" i="46"/>
  <c r="IB153" i="46"/>
  <c r="IW154" i="46"/>
  <c r="CW155" i="46"/>
  <c r="DO156" i="46"/>
  <c r="CT143" i="46"/>
  <c r="CT137" i="46"/>
  <c r="IW153" i="46"/>
  <c r="KA154" i="46"/>
  <c r="DR155" i="46"/>
  <c r="DX156" i="46"/>
  <c r="DX160" i="46"/>
  <c r="AX151" i="46"/>
  <c r="JO159" i="46"/>
  <c r="DL158" i="46"/>
  <c r="HA160" i="46"/>
  <c r="CQ161" i="46"/>
  <c r="AC160" i="46"/>
  <c r="CN153" i="46"/>
  <c r="KD159" i="46"/>
  <c r="AX152" i="46"/>
  <c r="BD155" i="46"/>
  <c r="AI159" i="46"/>
  <c r="JF161" i="46"/>
  <c r="FE156" i="46"/>
  <c r="GO158" i="46"/>
  <c r="IZ160" i="46"/>
  <c r="EJ161" i="46"/>
  <c r="CW149" i="46"/>
  <c r="AI157" i="46"/>
  <c r="CQ160" i="46"/>
  <c r="IH159" i="46"/>
  <c r="FW151" i="46"/>
  <c r="IE158" i="46"/>
  <c r="IB161" i="46"/>
  <c r="FH150" i="46"/>
  <c r="KG155" i="46"/>
  <c r="JL145" i="46"/>
  <c r="IZ149" i="46"/>
  <c r="KM150" i="46"/>
  <c r="GC152" i="46"/>
  <c r="FK153" i="46"/>
  <c r="AR154" i="46"/>
  <c r="JX154" i="46"/>
  <c r="CE155" i="46"/>
  <c r="DR156" i="46"/>
  <c r="FE157" i="46"/>
  <c r="GR158" i="46"/>
  <c r="IE159" i="46"/>
  <c r="DC134" i="46"/>
  <c r="EP135" i="46"/>
  <c r="GC136" i="46"/>
  <c r="FE130" i="46"/>
  <c r="AL131" i="46"/>
  <c r="AU130" i="46"/>
  <c r="HP130" i="46"/>
  <c r="EP144" i="46"/>
  <c r="HP146" i="46"/>
  <c r="FE148" i="46"/>
  <c r="IE150" i="46"/>
  <c r="BG151" i="46"/>
  <c r="LE152" i="46"/>
  <c r="IK142" i="46"/>
  <c r="CB144" i="46"/>
  <c r="FB133" i="46"/>
  <c r="KM136" i="46"/>
  <c r="HA137" i="46"/>
  <c r="EG138" i="46"/>
  <c r="AF139" i="46"/>
  <c r="DU143" i="46"/>
  <c r="GU145" i="46"/>
  <c r="BJ132" i="46"/>
  <c r="FN144" i="46"/>
  <c r="IN146" i="46"/>
  <c r="FW148" i="46"/>
  <c r="IW150" i="46"/>
  <c r="GO134" i="46"/>
  <c r="AU146" i="46"/>
  <c r="LE148" i="46"/>
  <c r="IQ150" i="46"/>
  <c r="HV154" i="46"/>
  <c r="JI155" i="46"/>
  <c r="BA156" i="46"/>
  <c r="KV156" i="46"/>
  <c r="CN157" i="46"/>
  <c r="EA158" i="46"/>
  <c r="FN159" i="46"/>
  <c r="FW160" i="46"/>
  <c r="W131" i="46"/>
  <c r="GR138" i="46"/>
  <c r="EY143" i="46"/>
  <c r="FB146" i="46"/>
  <c r="CT147" i="46"/>
  <c r="BV149" i="46"/>
  <c r="W152" i="46"/>
  <c r="JF154" i="46"/>
  <c r="AX155" i="46"/>
  <c r="KS155" i="46"/>
  <c r="HM134" i="46"/>
  <c r="BG136" i="46"/>
  <c r="BD146" i="46"/>
  <c r="JO150" i="46"/>
  <c r="IE154" i="46"/>
  <c r="W155" i="46"/>
  <c r="JR155" i="46"/>
  <c r="JR148" i="46"/>
  <c r="HD150" i="46"/>
  <c r="JX153" i="46"/>
  <c r="HA154" i="46"/>
  <c r="HP148" i="46"/>
  <c r="FB150" i="46"/>
  <c r="IN153" i="46"/>
  <c r="GC154" i="46"/>
  <c r="HP155" i="46"/>
  <c r="JC156" i="46"/>
  <c r="AU157" i="46"/>
  <c r="KP157" i="46"/>
  <c r="CH158" i="46"/>
  <c r="DU159" i="46"/>
  <c r="IN143" i="46"/>
  <c r="BM151" i="46"/>
  <c r="KS156" i="46"/>
  <c r="FQ157" i="46"/>
  <c r="AR158" i="46"/>
  <c r="IQ159" i="46"/>
  <c r="IH160" i="46"/>
  <c r="BA161" i="46"/>
  <c r="IK161" i="46"/>
  <c r="FT145" i="46"/>
  <c r="JI156" i="46"/>
  <c r="ED157" i="46"/>
  <c r="HD159" i="46"/>
  <c r="HJ160" i="46"/>
  <c r="AF161" i="46"/>
  <c r="HP161" i="46"/>
  <c r="KP145" i="46"/>
  <c r="JL156" i="46"/>
  <c r="EJ157" i="46"/>
  <c r="HJ159" i="46"/>
  <c r="HM160" i="46"/>
  <c r="AI161" i="46"/>
  <c r="HS161" i="46"/>
  <c r="BV143" i="46"/>
  <c r="JU156" i="46"/>
  <c r="ES157" i="46"/>
  <c r="HS159" i="46"/>
  <c r="HP160" i="46"/>
  <c r="AL161" i="46"/>
  <c r="HV161" i="46"/>
  <c r="CE143" i="46"/>
  <c r="GI158" i="46"/>
  <c r="BG159" i="46"/>
  <c r="EG161" i="46"/>
  <c r="JX149" i="46"/>
  <c r="HV155" i="46"/>
  <c r="GX156" i="46"/>
  <c r="BS157" i="46"/>
  <c r="IN155" i="46"/>
  <c r="HG156" i="46"/>
  <c r="CE157" i="46"/>
  <c r="GC160" i="46"/>
  <c r="BS153" i="46"/>
  <c r="FE154" i="46"/>
  <c r="AC155" i="46"/>
  <c r="BP156" i="46"/>
  <c r="CN160" i="46"/>
  <c r="HV151" i="46"/>
  <c r="IT156" i="46"/>
  <c r="IQ158" i="46"/>
  <c r="KD160" i="46"/>
  <c r="FN161" i="46"/>
  <c r="FZ154" i="46"/>
  <c r="DX157" i="46"/>
  <c r="DU160" i="46"/>
  <c r="Z161" i="46"/>
  <c r="GL159" i="46"/>
  <c r="HG161" i="46"/>
  <c r="EJ150" i="46"/>
  <c r="KA157" i="46"/>
  <c r="BV158" i="46"/>
  <c r="FT160" i="46"/>
  <c r="BS161" i="46"/>
  <c r="KA160" i="46"/>
  <c r="DU149" i="46"/>
  <c r="KS145" i="46"/>
  <c r="AL146" i="46"/>
  <c r="AC148" i="46"/>
  <c r="KA149" i="46"/>
  <c r="CK151" i="46"/>
  <c r="GL153" i="46"/>
  <c r="BP154" i="46"/>
  <c r="KV154" i="46"/>
  <c r="DC155" i="46"/>
  <c r="EP156" i="46"/>
  <c r="GC157" i="46"/>
  <c r="HP158" i="46"/>
  <c r="W159" i="46"/>
  <c r="JC159" i="46"/>
  <c r="BJ160" i="46"/>
  <c r="HV133" i="46"/>
  <c r="JI134" i="46"/>
  <c r="KV135" i="46"/>
  <c r="GR131" i="46"/>
  <c r="BY132" i="46"/>
  <c r="HA130" i="46"/>
  <c r="CH131" i="46"/>
  <c r="DU132" i="46"/>
  <c r="CZ131" i="46"/>
  <c r="AO130" i="46"/>
  <c r="LB132" i="46"/>
  <c r="HP144" i="46"/>
  <c r="KP146" i="46"/>
  <c r="HG148" i="46"/>
  <c r="AI149" i="46"/>
  <c r="KG150" i="46"/>
  <c r="DI151" i="46"/>
  <c r="FE144" i="46"/>
  <c r="JO131" i="46"/>
  <c r="KS138" i="46"/>
  <c r="GU139" i="46"/>
  <c r="DO140" i="46"/>
  <c r="AC141" i="46"/>
  <c r="GR143" i="46"/>
  <c r="JR145" i="46"/>
  <c r="GF130" i="46"/>
  <c r="IN144" i="46"/>
  <c r="HY148" i="46"/>
  <c r="BA149" i="46"/>
  <c r="KY150" i="46"/>
  <c r="FH138" i="46"/>
  <c r="ES143" i="46"/>
  <c r="ED146" i="46"/>
  <c r="BY147" i="46"/>
  <c r="BS149" i="46"/>
  <c r="JC154" i="46"/>
  <c r="AU155" i="46"/>
  <c r="KP155" i="46"/>
  <c r="CH156" i="46"/>
  <c r="DU157" i="46"/>
  <c r="FH158" i="46"/>
  <c r="GU159" i="46"/>
  <c r="GU160" i="46"/>
  <c r="FQ142" i="46"/>
  <c r="LB143" i="46"/>
  <c r="AR144" i="46"/>
  <c r="JF146" i="46"/>
  <c r="FQ147" i="46"/>
  <c r="EV149" i="46"/>
  <c r="BY151" i="46"/>
  <c r="CB152" i="46"/>
  <c r="AO154" i="46"/>
  <c r="KM154" i="46"/>
  <c r="CB155" i="46"/>
  <c r="CB131" i="46"/>
  <c r="HD138" i="46"/>
  <c r="FE143" i="46"/>
  <c r="FK146" i="46"/>
  <c r="DF147" i="46"/>
  <c r="CB149" i="46"/>
  <c r="Z152" i="46"/>
  <c r="JL154" i="46"/>
  <c r="BA155" i="46"/>
  <c r="KY155" i="46"/>
  <c r="IK134" i="46"/>
  <c r="BV136" i="46"/>
  <c r="CB146" i="46"/>
  <c r="AL147" i="46"/>
  <c r="JR150" i="46"/>
  <c r="IH154" i="46"/>
  <c r="JX130" i="46"/>
  <c r="AR134" i="46"/>
  <c r="KM148" i="46"/>
  <c r="HM150" i="46"/>
  <c r="KP153" i="46"/>
  <c r="HJ154" i="46"/>
  <c r="IW155" i="46"/>
  <c r="AO156" i="46"/>
  <c r="KJ156" i="46"/>
  <c r="CB157" i="46"/>
  <c r="DO158" i="46"/>
  <c r="FB159" i="46"/>
  <c r="CH148" i="46"/>
  <c r="DX149" i="46"/>
  <c r="HJ150" i="46"/>
  <c r="IH151" i="46"/>
  <c r="BS152" i="46"/>
  <c r="AI154" i="46"/>
  <c r="HG157" i="46"/>
  <c r="CE158" i="46"/>
  <c r="KG159" i="46"/>
  <c r="AI160" i="46"/>
  <c r="JI160" i="46"/>
  <c r="BY161" i="46"/>
  <c r="JI161" i="46"/>
  <c r="BD134" i="46"/>
  <c r="Z150" i="46"/>
  <c r="CT151" i="46"/>
  <c r="KY156" i="46"/>
  <c r="FW157" i="46"/>
  <c r="AU158" i="46"/>
  <c r="IW159" i="46"/>
  <c r="IK160" i="46"/>
  <c r="BD161" i="46"/>
  <c r="IN161" i="46"/>
  <c r="BG134" i="46"/>
  <c r="IQ139" i="46"/>
  <c r="BM150" i="46"/>
  <c r="DR151" i="46"/>
  <c r="LE156" i="46"/>
  <c r="FZ157" i="46"/>
  <c r="AX158" i="46"/>
  <c r="IZ159" i="46"/>
  <c r="IN160" i="46"/>
  <c r="BG161" i="46"/>
  <c r="IQ161" i="46"/>
  <c r="KA139" i="46"/>
  <c r="Z149" i="46"/>
  <c r="CH150" i="46"/>
  <c r="DU151" i="46"/>
  <c r="GI157" i="46"/>
  <c r="BG158" i="46"/>
  <c r="JI159" i="46"/>
  <c r="IT160" i="46"/>
  <c r="BJ161" i="46"/>
  <c r="IT161" i="46"/>
  <c r="AU149" i="46"/>
  <c r="CW150" i="46"/>
  <c r="FB151" i="46"/>
  <c r="JO158" i="46"/>
  <c r="EP159" i="46"/>
  <c r="GC161" i="46"/>
  <c r="EP140" i="46"/>
  <c r="KA156" i="46"/>
  <c r="FB157" i="46"/>
  <c r="IK148" i="46"/>
  <c r="KP156" i="46"/>
  <c r="FK157" i="46"/>
  <c r="AL158" i="46"/>
  <c r="IE160" i="46"/>
  <c r="AX161" i="46"/>
  <c r="FB155" i="46"/>
  <c r="FB156" i="46"/>
  <c r="W157" i="46"/>
  <c r="EP160" i="46"/>
  <c r="IW161" i="46"/>
  <c r="BY156" i="46"/>
  <c r="EY158" i="46"/>
  <c r="HD160" i="46"/>
  <c r="DL161" i="46"/>
  <c r="AF160" i="46"/>
  <c r="DX153" i="46"/>
  <c r="JU144" i="46"/>
  <c r="BG152" i="46"/>
  <c r="FK155" i="46"/>
  <c r="BM159" i="46"/>
  <c r="JX161" i="46"/>
  <c r="FH156" i="46"/>
  <c r="GU158" i="46"/>
  <c r="JC160" i="46"/>
  <c r="EM161" i="46"/>
  <c r="FH161" i="46"/>
  <c r="IE161" i="46"/>
  <c r="GO146" i="46"/>
  <c r="BY158" i="46"/>
  <c r="FH135" i="46"/>
  <c r="KY146" i="46"/>
  <c r="HM148" i="46"/>
  <c r="DL151" i="46"/>
  <c r="HP153" i="46"/>
  <c r="CN154" i="46"/>
  <c r="EA155" i="46"/>
  <c r="FN156" i="46"/>
  <c r="HA157" i="46"/>
  <c r="IN158" i="46"/>
  <c r="AU159" i="46"/>
  <c r="KA159" i="46"/>
  <c r="CH160" i="46"/>
  <c r="AC132" i="46"/>
  <c r="IE132" i="46"/>
  <c r="DL133" i="46"/>
  <c r="KA132" i="46"/>
  <c r="FH133" i="46"/>
  <c r="JC131" i="46"/>
  <c r="CN134" i="46"/>
  <c r="KS144" i="46"/>
  <c r="AI145" i="46"/>
  <c r="JL148" i="46"/>
  <c r="CN149" i="46"/>
  <c r="FN151" i="46"/>
  <c r="CK130" i="46"/>
  <c r="IB144" i="46"/>
  <c r="KD140" i="46"/>
  <c r="GC141" i="46"/>
  <c r="CE142" i="46"/>
  <c r="JO143" i="46"/>
  <c r="EY134" i="46"/>
  <c r="CE135" i="46"/>
  <c r="BG145" i="46"/>
  <c r="KA148" i="46"/>
  <c r="DC149" i="46"/>
  <c r="ES142" i="46"/>
  <c r="KM143" i="46"/>
  <c r="AF144" i="46"/>
  <c r="IH146" i="46"/>
  <c r="FN147" i="46"/>
  <c r="ED149" i="46"/>
  <c r="BP151" i="46"/>
  <c r="BY152" i="46"/>
  <c r="AL154" i="46"/>
  <c r="KJ154" i="46"/>
  <c r="BY155" i="46"/>
  <c r="DL156" i="46"/>
  <c r="EY157" i="46"/>
  <c r="GL158" i="46"/>
  <c r="HY159" i="46"/>
  <c r="HS160" i="46"/>
  <c r="FK132" i="46"/>
  <c r="GL144" i="46"/>
  <c r="JF147" i="46"/>
  <c r="HS149" i="46"/>
  <c r="EJ151" i="46"/>
  <c r="EM152" i="46"/>
  <c r="BD153" i="46"/>
  <c r="BV154" i="46"/>
  <c r="DI155" i="46"/>
  <c r="GO142" i="46"/>
  <c r="LE143" i="46"/>
  <c r="AU144" i="46"/>
  <c r="JL146" i="46"/>
  <c r="GC147" i="46"/>
  <c r="EY149" i="46"/>
  <c r="CH151" i="46"/>
  <c r="CK152" i="46"/>
  <c r="AU154" i="46"/>
  <c r="KP154" i="46"/>
  <c r="CH155" i="46"/>
  <c r="DX131" i="46"/>
  <c r="HG138" i="46"/>
  <c r="BA140" i="46"/>
  <c r="FQ143" i="46"/>
  <c r="GI146" i="46"/>
  <c r="DI147" i="46"/>
  <c r="CT149" i="46"/>
  <c r="AF151" i="46"/>
  <c r="AF152" i="46"/>
  <c r="JO154" i="46"/>
  <c r="HJ136" i="46"/>
  <c r="CB143" i="46"/>
  <c r="DF146" i="46"/>
  <c r="AU147" i="46"/>
  <c r="AR149" i="46"/>
  <c r="KP150" i="46"/>
  <c r="IQ154" i="46"/>
  <c r="AF155" i="46"/>
  <c r="KD155" i="46"/>
  <c r="BS156" i="46"/>
  <c r="DF157" i="46"/>
  <c r="ES158" i="46"/>
  <c r="GF159" i="46"/>
  <c r="HV140" i="46"/>
  <c r="FH147" i="46"/>
  <c r="JU148" i="46"/>
  <c r="IK152" i="46"/>
  <c r="DX154" i="46"/>
  <c r="AU156" i="46"/>
  <c r="IZ157" i="46"/>
  <c r="DU158" i="46"/>
  <c r="BV160" i="46"/>
  <c r="KJ160" i="46"/>
  <c r="CW161" i="46"/>
  <c r="KG161" i="46"/>
  <c r="CK148" i="46"/>
  <c r="FW149" i="46"/>
  <c r="HV150" i="46"/>
  <c r="IQ151" i="46"/>
  <c r="DC152" i="46"/>
  <c r="BD154" i="46"/>
  <c r="HP157" i="46"/>
  <c r="CN158" i="46"/>
  <c r="KP159" i="46"/>
  <c r="AO160" i="46"/>
  <c r="JL160" i="46"/>
  <c r="CB161" i="46"/>
  <c r="JL161" i="46"/>
  <c r="EJ148" i="46"/>
  <c r="GI149" i="46"/>
  <c r="IK150" i="46"/>
  <c r="KD151" i="46"/>
  <c r="DU152" i="46"/>
  <c r="BJ154" i="46"/>
  <c r="HS157" i="46"/>
  <c r="CQ158" i="46"/>
  <c r="KS159" i="46"/>
  <c r="AR160" i="46"/>
  <c r="JR160" i="46"/>
  <c r="CE161" i="46"/>
  <c r="JO161" i="46"/>
  <c r="AR147" i="46"/>
  <c r="EV148" i="46"/>
  <c r="GX149" i="46"/>
  <c r="JX150" i="46"/>
  <c r="KS151" i="46"/>
  <c r="EA152" i="46"/>
  <c r="BM154" i="46"/>
  <c r="W156" i="46"/>
  <c r="HV157" i="46"/>
  <c r="CW158" i="46"/>
  <c r="KV159" i="46"/>
  <c r="BA160" i="46"/>
  <c r="JU160" i="46"/>
  <c r="CH161" i="46"/>
  <c r="JR161" i="46"/>
  <c r="BA147" i="46"/>
  <c r="FK148" i="46"/>
  <c r="IK149" i="46"/>
  <c r="KS150" i="46"/>
  <c r="GX148" i="46"/>
  <c r="HV159" i="46"/>
  <c r="HY161" i="46"/>
  <c r="DO147" i="46"/>
  <c r="GF152" i="46"/>
  <c r="IK157" i="46"/>
  <c r="IZ135" i="46"/>
  <c r="CT154" i="46"/>
  <c r="AL156" i="46"/>
  <c r="KY147" i="46"/>
  <c r="IB152" i="46"/>
  <c r="IT157" i="46"/>
  <c r="DR158" i="46"/>
  <c r="KG160" i="46"/>
  <c r="CT161" i="46"/>
  <c r="KA155" i="46"/>
  <c r="IE156" i="46"/>
  <c r="DC157" i="46"/>
  <c r="GR160" i="46"/>
  <c r="KJ155" i="46"/>
  <c r="DL159" i="46"/>
  <c r="IN148" i="46"/>
  <c r="EP151" i="46"/>
  <c r="KS153" i="46"/>
  <c r="DL154" i="46"/>
  <c r="EY155" i="46"/>
  <c r="GL156" i="46"/>
  <c r="HY157" i="46"/>
  <c r="AF158" i="46"/>
  <c r="JL158" i="46"/>
  <c r="BS159" i="46"/>
  <c r="KY159" i="46"/>
  <c r="DI130" i="46"/>
  <c r="EV131" i="46"/>
  <c r="EJ130" i="46"/>
  <c r="FW131" i="46"/>
  <c r="BS132" i="46"/>
  <c r="JR133" i="46"/>
  <c r="EM132" i="46"/>
  <c r="KG134" i="46"/>
  <c r="GF135" i="46"/>
  <c r="CH136" i="46"/>
  <c r="AF143" i="46"/>
  <c r="DF145" i="46"/>
  <c r="EP149" i="46"/>
  <c r="HP151" i="46"/>
  <c r="AR152" i="46"/>
  <c r="EJ134" i="46"/>
  <c r="AI135" i="46"/>
  <c r="KY144" i="46"/>
  <c r="AO145" i="46"/>
  <c r="KG142" i="46"/>
  <c r="CK144" i="46"/>
  <c r="IH135" i="46"/>
  <c r="EG136" i="46"/>
  <c r="AX137" i="46"/>
  <c r="BD143" i="46"/>
  <c r="ED145" i="46"/>
  <c r="W147" i="46"/>
  <c r="FH149" i="46"/>
  <c r="DO132" i="46"/>
  <c r="GF144" i="46"/>
  <c r="IK147" i="46"/>
  <c r="HD149" i="46"/>
  <c r="EA151" i="46"/>
  <c r="EG152" i="46"/>
  <c r="AR153" i="46"/>
  <c r="BS154" i="46"/>
  <c r="DF155" i="46"/>
  <c r="ES156" i="46"/>
  <c r="GF157" i="46"/>
  <c r="HS158" i="46"/>
  <c r="JF159" i="46"/>
  <c r="AX160" i="46"/>
  <c r="IQ160" i="46"/>
  <c r="CT135" i="46"/>
  <c r="CE145" i="46"/>
  <c r="AI148" i="46"/>
  <c r="KG149" i="46"/>
  <c r="GU151" i="46"/>
  <c r="HG152" i="46"/>
  <c r="DF153" i="46"/>
  <c r="DC154" i="46"/>
  <c r="EP155" i="46"/>
  <c r="HG132" i="46"/>
  <c r="GR144" i="46"/>
  <c r="JI147" i="46"/>
  <c r="IB149" i="46"/>
  <c r="ES151" i="46"/>
  <c r="FE152" i="46"/>
  <c r="BJ153" i="46"/>
  <c r="CB154" i="46"/>
  <c r="DO155" i="46"/>
  <c r="HM142" i="46"/>
  <c r="BD144" i="46"/>
  <c r="JR146" i="46"/>
  <c r="GX147" i="46"/>
  <c r="FQ149" i="46"/>
  <c r="CN151" i="46"/>
  <c r="CZ152" i="46"/>
  <c r="AX154" i="46"/>
  <c r="KS154" i="46"/>
  <c r="FK140" i="46"/>
  <c r="HY143" i="46"/>
  <c r="GR146" i="46"/>
  <c r="EJ147" i="46"/>
  <c r="DO149" i="46"/>
  <c r="AO151" i="46"/>
  <c r="BA152" i="46"/>
  <c r="Z154" i="46"/>
  <c r="JU154" i="46"/>
  <c r="BM155" i="46"/>
  <c r="CZ156" i="46"/>
  <c r="EM157" i="46"/>
  <c r="FZ158" i="46"/>
  <c r="HM159" i="46"/>
  <c r="EM153" i="46"/>
  <c r="HG154" i="46"/>
  <c r="BJ155" i="46"/>
  <c r="CN156" i="46"/>
  <c r="KM157" i="46"/>
  <c r="FN158" i="46"/>
  <c r="AL159" i="46"/>
  <c r="CZ160" i="46"/>
  <c r="DU161" i="46"/>
  <c r="LE161" i="46"/>
  <c r="HA147" i="46"/>
  <c r="KS148" i="46"/>
  <c r="IQ152" i="46"/>
  <c r="EA154" i="46"/>
  <c r="BD156" i="46"/>
  <c r="JC157" i="46"/>
  <c r="ED158" i="46"/>
  <c r="BY160" i="46"/>
  <c r="KP160" i="46"/>
  <c r="CZ161" i="46"/>
  <c r="KJ161" i="46"/>
  <c r="IB147" i="46"/>
  <c r="KV148" i="46"/>
  <c r="KJ152" i="46"/>
  <c r="AI153" i="46"/>
  <c r="EV154" i="46"/>
  <c r="BJ156" i="46"/>
  <c r="JI157" i="46"/>
  <c r="EJ158" i="46"/>
  <c r="CE160" i="46"/>
  <c r="KS160" i="46"/>
  <c r="DC161" i="46"/>
  <c r="KM161" i="46"/>
  <c r="IE147" i="46"/>
  <c r="KV152" i="46"/>
  <c r="AL153" i="46"/>
  <c r="FB154" i="46"/>
  <c r="Z155" i="46"/>
  <c r="BM156" i="46"/>
  <c r="JO157" i="46"/>
  <c r="EM158" i="46"/>
  <c r="CK160" i="46"/>
  <c r="KV160" i="46"/>
  <c r="DF161" i="46"/>
  <c r="KP161" i="46"/>
  <c r="KP147" i="46"/>
  <c r="LB151" i="46"/>
  <c r="CH154" i="46"/>
  <c r="AC156" i="46"/>
  <c r="LB159" i="46"/>
  <c r="BD160" i="46"/>
  <c r="JU161" i="46"/>
  <c r="IT153" i="46"/>
  <c r="JR154" i="46"/>
  <c r="CZ155" i="46"/>
  <c r="DU156" i="46"/>
  <c r="HP143" i="46"/>
  <c r="GX158" i="46"/>
  <c r="BY159" i="46"/>
  <c r="EP161" i="46"/>
  <c r="GO157" i="46"/>
  <c r="BJ158" i="46"/>
  <c r="IW160" i="46"/>
  <c r="BM161" i="46"/>
  <c r="JR159" i="46"/>
  <c r="AL155" i="46"/>
  <c r="IZ161" i="46"/>
  <c r="HY136" i="46"/>
  <c r="CB156" i="46"/>
  <c r="FB158" i="46"/>
  <c r="HY160" i="46"/>
  <c r="DO161" i="46"/>
  <c r="BG160" i="46"/>
  <c r="KV161" i="46"/>
  <c r="JX158" i="46"/>
  <c r="ES160" i="46"/>
  <c r="FQ156" i="46"/>
  <c r="DL157" i="46"/>
  <c r="GR157" i="46"/>
  <c r="HJ161" i="46"/>
  <c r="KJ157" i="46"/>
  <c r="KG157" i="46"/>
  <c r="DI159" i="46"/>
  <c r="GI154" i="46"/>
  <c r="AR161" i="46"/>
  <c r="FN155" i="46"/>
  <c r="BP159" i="46"/>
  <c r="KA161" i="46"/>
  <c r="GC155" i="46"/>
  <c r="DF159" i="46"/>
  <c r="GF161" i="46"/>
  <c r="Z158" i="46"/>
  <c r="GC151" i="46"/>
  <c r="KA144" i="46"/>
  <c r="IW156" i="46"/>
  <c r="GO159" i="46"/>
  <c r="IH158" i="46"/>
  <c r="W154" i="46"/>
  <c r="LB160" i="46"/>
  <c r="GX160" i="46"/>
  <c r="KD161" i="46"/>
  <c r="A13" i="48" a="1"/>
  <c r="A13" i="48" s="1"/>
  <c r="B13" i="48" s="1"/>
  <c r="A13" i="50" a="1"/>
  <c r="A13" i="50" s="1"/>
  <c r="B13" i="50" a="1"/>
  <c r="B13" i="50" s="1"/>
  <c r="A19" i="48" a="1"/>
  <c r="A19" i="48" s="1"/>
  <c r="A19" i="50" a="1"/>
  <c r="A19" i="50" s="1"/>
  <c r="A10" i="48" a="1"/>
  <c r="A10" i="48" s="1"/>
  <c r="A10" i="50" a="1"/>
  <c r="A10" i="50" s="1"/>
  <c r="A12" i="50" a="1"/>
  <c r="A12" i="50" s="1"/>
  <c r="A12" i="48" a="1"/>
  <c r="A12" i="48" s="1"/>
  <c r="A16" i="48" a="1"/>
  <c r="A16" i="48" s="1"/>
  <c r="B16" i="48" s="1"/>
  <c r="A16" i="50" a="1"/>
  <c r="A16" i="50" s="1"/>
  <c r="B16" i="50" a="1"/>
  <c r="B16" i="50" s="1"/>
  <c r="AG116" i="3"/>
  <c r="N127" i="3"/>
  <c r="AF127" i="3" s="1"/>
  <c r="AG113" i="3"/>
  <c r="M127" i="3"/>
  <c r="AA127" i="3" s="1"/>
  <c r="M125" i="3"/>
  <c r="AA125" i="3" s="1"/>
  <c r="AG110" i="3"/>
  <c r="AG103" i="3"/>
  <c r="M120" i="3"/>
  <c r="AA121" i="3" s="1"/>
  <c r="AG106" i="3"/>
  <c r="N120" i="3"/>
  <c r="AF121" i="3" s="1"/>
  <c r="M123" i="3"/>
  <c r="AA123" i="3" s="1"/>
  <c r="K203" i="46" s="1"/>
  <c r="AG107" i="3"/>
  <c r="N125" i="3"/>
  <c r="AF125" i="3" s="1"/>
  <c r="M195" i="46" s="1"/>
  <c r="AG108" i="3"/>
  <c r="I2" i="47"/>
  <c r="H3" i="47"/>
  <c r="T173" i="46"/>
  <c r="T169" i="46"/>
  <c r="H2" i="47"/>
  <c r="C26" i="48" a="1"/>
  <c r="C26" i="48" s="1"/>
  <c r="B26" i="48" s="1"/>
  <c r="B26" i="50" a="1"/>
  <c r="B26" i="50" s="1"/>
  <c r="B22" i="50" a="1"/>
  <c r="B22" i="50" s="1"/>
  <c r="C22" i="48" a="1"/>
  <c r="C22" i="48" s="1"/>
  <c r="B22" i="48" s="1"/>
  <c r="C28" i="48" a="1"/>
  <c r="C28" i="48" s="1"/>
  <c r="B28" i="48" s="1"/>
  <c r="B28" i="50" a="1"/>
  <c r="B28" i="50" s="1"/>
  <c r="T140" i="46"/>
  <c r="T148" i="46"/>
  <c r="T139" i="46"/>
  <c r="T160" i="46"/>
  <c r="T134" i="46"/>
  <c r="T153" i="46"/>
  <c r="T159" i="46"/>
  <c r="T133" i="46"/>
  <c r="T135" i="46"/>
  <c r="T143" i="46"/>
  <c r="T154" i="46"/>
  <c r="T137" i="46"/>
  <c r="T142" i="46"/>
  <c r="T145" i="46"/>
  <c r="T157" i="46"/>
  <c r="T158" i="46"/>
  <c r="T152" i="46"/>
  <c r="T161" i="46"/>
  <c r="T131" i="46"/>
  <c r="T146" i="46"/>
  <c r="T144" i="46"/>
  <c r="T132" i="46"/>
  <c r="T138" i="46"/>
  <c r="T130" i="46"/>
  <c r="T151" i="46"/>
  <c r="T141" i="46"/>
  <c r="T147" i="46"/>
  <c r="T136" i="46"/>
  <c r="T150" i="46"/>
  <c r="T156" i="46"/>
  <c r="T149" i="46"/>
  <c r="T155" i="46"/>
  <c r="T176" i="46"/>
  <c r="T164" i="46"/>
  <c r="T165" i="46"/>
  <c r="T166" i="46"/>
  <c r="T167" i="46"/>
  <c r="T177" i="46"/>
  <c r="T170" i="46"/>
  <c r="T172" i="46"/>
  <c r="T175" i="46"/>
  <c r="T168" i="46"/>
  <c r="T171" i="46"/>
  <c r="T179" i="46"/>
  <c r="T174" i="46"/>
  <c r="T178" i="46"/>
  <c r="M193" i="46"/>
  <c r="AE35" i="45"/>
  <c r="E82" i="48"/>
  <c r="F81" i="48" a="1"/>
  <c r="F81" i="48" s="1"/>
  <c r="DT125" i="3" l="1"/>
  <c r="C203" i="46"/>
  <c r="DT123" i="3"/>
  <c r="C205" i="46"/>
  <c r="D9" i="48" s="1" a="1"/>
  <c r="D9" i="48" s="1"/>
  <c r="AE23" i="45"/>
  <c r="K205" i="46"/>
  <c r="FT180" i="46"/>
  <c r="GU180" i="46"/>
  <c r="IB180" i="46"/>
  <c r="JC180" i="46"/>
  <c r="BY180" i="46"/>
  <c r="EJ162" i="46"/>
  <c r="BM162" i="46"/>
  <c r="IB162" i="46"/>
  <c r="JL162" i="46"/>
  <c r="AR162" i="46"/>
  <c r="AF162" i="46"/>
  <c r="FN162" i="46"/>
  <c r="EY162" i="46"/>
  <c r="LB162" i="46"/>
  <c r="CW162" i="46"/>
  <c r="CE162" i="46"/>
  <c r="BJ162" i="46"/>
  <c r="HV162" i="46"/>
  <c r="BD180" i="46"/>
  <c r="JX180" i="46"/>
  <c r="AI180" i="46"/>
  <c r="IZ180" i="46"/>
  <c r="FQ180" i="46"/>
  <c r="ES180" i="46"/>
  <c r="HV180" i="46"/>
  <c r="KD180" i="46"/>
  <c r="AC180" i="46"/>
  <c r="GO180" i="46"/>
  <c r="GF180" i="46"/>
  <c r="GC180" i="46"/>
  <c r="HG162" i="46"/>
  <c r="FK162" i="46"/>
  <c r="KS162" i="46"/>
  <c r="GU162" i="46"/>
  <c r="DR162" i="46"/>
  <c r="KD162" i="46"/>
  <c r="JI162" i="46"/>
  <c r="IQ162" i="46"/>
  <c r="AL162" i="46"/>
  <c r="AL180" i="46"/>
  <c r="JO180" i="46"/>
  <c r="JL180" i="46"/>
  <c r="IW180" i="46"/>
  <c r="CT180" i="46"/>
  <c r="BA180" i="46"/>
  <c r="EM180" i="46"/>
  <c r="KV180" i="46"/>
  <c r="CK180" i="46"/>
  <c r="AO162" i="46"/>
  <c r="HA162" i="46"/>
  <c r="KJ162" i="46"/>
  <c r="BS162" i="46"/>
  <c r="W162" i="46"/>
  <c r="KA162" i="46"/>
  <c r="BD162" i="46"/>
  <c r="FZ162" i="46"/>
  <c r="ES162" i="46"/>
  <c r="CT162" i="46"/>
  <c r="BY162" i="46"/>
  <c r="BG162" i="46"/>
  <c r="HS162" i="46"/>
  <c r="FE180" i="46"/>
  <c r="HP180" i="46"/>
  <c r="BS180" i="46"/>
  <c r="AF180" i="46"/>
  <c r="EP180" i="46"/>
  <c r="DR180" i="46"/>
  <c r="GR180" i="46"/>
  <c r="KP180" i="46"/>
  <c r="KA180" i="46"/>
  <c r="DO180" i="46"/>
  <c r="HS180" i="46"/>
  <c r="JX162" i="46"/>
  <c r="HP162" i="46"/>
  <c r="FE162" i="46"/>
  <c r="EM162" i="46"/>
  <c r="CB162" i="46"/>
  <c r="HD162" i="46"/>
  <c r="GO162" i="46"/>
  <c r="ED162" i="46"/>
  <c r="KP162" i="46"/>
  <c r="JF162" i="46"/>
  <c r="IK162" i="46"/>
  <c r="AI162" i="46"/>
  <c r="CE180" i="46"/>
  <c r="DL180" i="46"/>
  <c r="KJ180" i="46"/>
  <c r="AR180" i="46"/>
  <c r="IN180" i="46"/>
  <c r="FW180" i="46"/>
  <c r="GX180" i="46"/>
  <c r="DF180" i="46"/>
  <c r="KM180" i="46"/>
  <c r="CQ180" i="46"/>
  <c r="JF180" i="46"/>
  <c r="EJ180" i="46"/>
  <c r="DI162" i="46"/>
  <c r="CK162" i="46"/>
  <c r="GF162" i="46"/>
  <c r="DX162" i="46"/>
  <c r="CQ162" i="46"/>
  <c r="CN162" i="46"/>
  <c r="BP162" i="46"/>
  <c r="CZ162" i="46"/>
  <c r="FW162" i="46"/>
  <c r="EP162" i="46"/>
  <c r="DF162" i="46"/>
  <c r="BV162" i="46"/>
  <c r="BA162" i="46"/>
  <c r="HM162" i="46"/>
  <c r="FN180" i="46"/>
  <c r="GL180" i="46"/>
  <c r="BP180" i="46"/>
  <c r="FB180" i="46"/>
  <c r="EG180" i="46"/>
  <c r="EV180" i="46"/>
  <c r="FK180" i="46"/>
  <c r="DC180" i="46"/>
  <c r="BV180" i="46"/>
  <c r="IH180" i="46"/>
  <c r="KG180" i="46"/>
  <c r="BJ180" i="46"/>
  <c r="IQ180" i="46"/>
  <c r="IE180" i="46"/>
  <c r="JU162" i="46"/>
  <c r="EG162" i="46"/>
  <c r="IZ162" i="46"/>
  <c r="JC162" i="46"/>
  <c r="GL162" i="46"/>
  <c r="EA162" i="46"/>
  <c r="KM162" i="46"/>
  <c r="JR162" i="46"/>
  <c r="IH162" i="46"/>
  <c r="AC162" i="46"/>
  <c r="FH180" i="46"/>
  <c r="CZ180" i="46"/>
  <c r="GI180" i="46"/>
  <c r="BM180" i="46"/>
  <c r="DX180" i="46"/>
  <c r="KY180" i="46"/>
  <c r="AX180" i="46"/>
  <c r="EY180" i="46"/>
  <c r="EA180" i="46"/>
  <c r="LB180" i="46"/>
  <c r="HD180" i="46"/>
  <c r="LE180" i="46"/>
  <c r="KS180" i="46"/>
  <c r="IT180" i="46"/>
  <c r="CW180" i="46"/>
  <c r="AU180" i="46"/>
  <c r="HJ180" i="46"/>
  <c r="DO162" i="46"/>
  <c r="IN162" i="46"/>
  <c r="GR162" i="46"/>
  <c r="EV162" i="46"/>
  <c r="FQ162" i="46"/>
  <c r="FB162" i="46"/>
  <c r="LE162" i="46"/>
  <c r="DC162" i="46"/>
  <c r="CH162" i="46"/>
  <c r="AX162" i="46"/>
  <c r="HJ162" i="46"/>
  <c r="JR180" i="46"/>
  <c r="CB180" i="46"/>
  <c r="JI180" i="46"/>
  <c r="W180" i="46"/>
  <c r="HY180" i="46"/>
  <c r="HM180" i="46"/>
  <c r="HA180" i="46"/>
  <c r="BG180" i="46"/>
  <c r="Z180" i="46"/>
  <c r="AU162" i="46"/>
  <c r="IW162" i="46"/>
  <c r="IE162" i="46"/>
  <c r="FH162" i="46"/>
  <c r="GI162" i="46"/>
  <c r="GC162" i="46"/>
  <c r="FT162" i="46"/>
  <c r="DL162" i="46"/>
  <c r="KV162" i="46"/>
  <c r="KY162" i="46"/>
  <c r="HY162" i="46"/>
  <c r="GX162" i="46"/>
  <c r="DU162" i="46"/>
  <c r="KG162" i="46"/>
  <c r="JO162" i="46"/>
  <c r="IT162" i="46"/>
  <c r="Z162" i="46"/>
  <c r="FZ180" i="46"/>
  <c r="CH180" i="46"/>
  <c r="CN180" i="46"/>
  <c r="ED180" i="46"/>
  <c r="IK180" i="46"/>
  <c r="AO180" i="46"/>
  <c r="DU180" i="46"/>
  <c r="DI180" i="46"/>
  <c r="HG180" i="46"/>
  <c r="JU180" i="46"/>
  <c r="B33" i="50" a="1"/>
  <c r="B33" i="50" s="1"/>
  <c r="C33" i="48" a="1"/>
  <c r="C33" i="48" s="1"/>
  <c r="B33" i="48" s="1"/>
  <c r="C31" i="48" a="1"/>
  <c r="C31" i="48" s="1"/>
  <c r="B31" i="48" s="1"/>
  <c r="B31" i="50" a="1"/>
  <c r="B31" i="50" s="1"/>
  <c r="M197" i="46"/>
  <c r="AE47" i="45"/>
  <c r="M189" i="46"/>
  <c r="AE46" i="45"/>
  <c r="DT127" i="3"/>
  <c r="D127" i="3"/>
  <c r="K207" i="46"/>
  <c r="C207" i="46"/>
  <c r="D11" i="48" s="1" a="1"/>
  <c r="D11" i="48" s="1"/>
  <c r="D125" i="3"/>
  <c r="AE22" i="45"/>
  <c r="M187" i="46"/>
  <c r="M191" i="46"/>
  <c r="AE5" i="45"/>
  <c r="C201" i="46"/>
  <c r="D121" i="3"/>
  <c r="M183" i="46"/>
  <c r="AE4" i="45"/>
  <c r="K201" i="46"/>
  <c r="DT121" i="3"/>
  <c r="AE34" i="45"/>
  <c r="D123" i="3"/>
  <c r="M185" i="46"/>
  <c r="T162" i="46"/>
  <c r="M162" i="46"/>
  <c r="G3" i="47" s="1"/>
  <c r="T180" i="46"/>
  <c r="F82" i="48" a="1"/>
  <c r="F82" i="48" s="1"/>
  <c r="E83" i="48"/>
  <c r="A9" i="50" l="1" a="1"/>
  <c r="A9" i="50" s="1"/>
  <c r="A9" i="48" a="1"/>
  <c r="A9" i="48" s="1"/>
  <c r="A11" i="50" a="1"/>
  <c r="A11" i="50" s="1"/>
  <c r="A11" i="48" a="1"/>
  <c r="A11" i="48" s="1"/>
  <c r="B11" i="48" s="1"/>
  <c r="B11" i="50" a="1"/>
  <c r="B11" i="50" s="1"/>
  <c r="AI200" i="46"/>
  <c r="KJ200" i="46"/>
  <c r="BP201" i="46"/>
  <c r="IZ201" i="46"/>
  <c r="EP200" i="46"/>
  <c r="EM201" i="46"/>
  <c r="HV200" i="46"/>
  <c r="Z201" i="46"/>
  <c r="HJ201" i="46"/>
  <c r="BP200" i="46"/>
  <c r="LB200" i="46"/>
  <c r="BY201" i="46"/>
  <c r="DF200" i="46"/>
  <c r="DX201" i="46"/>
  <c r="GC201" i="46"/>
  <c r="AI202" i="46"/>
  <c r="HS202" i="46"/>
  <c r="BV203" i="46"/>
  <c r="JF203" i="46"/>
  <c r="GI201" i="46"/>
  <c r="AL202" i="46"/>
  <c r="HV202" i="46"/>
  <c r="BY203" i="46"/>
  <c r="JI203" i="46"/>
  <c r="GU201" i="46"/>
  <c r="AO202" i="46"/>
  <c r="HY202" i="46"/>
  <c r="CB203" i="46"/>
  <c r="JL203" i="46"/>
  <c r="EJ202" i="46"/>
  <c r="FW203" i="46"/>
  <c r="BG200" i="46"/>
  <c r="EM202" i="46"/>
  <c r="FZ203" i="46"/>
  <c r="HD200" i="46"/>
  <c r="DC201" i="46"/>
  <c r="GL202" i="46"/>
  <c r="AO203" i="46"/>
  <c r="HY203" i="46"/>
  <c r="IQ201" i="46"/>
  <c r="BY202" i="46"/>
  <c r="JI202" i="46"/>
  <c r="DL203" i="46"/>
  <c r="GR204" i="46"/>
  <c r="AU205" i="46"/>
  <c r="IE205" i="46"/>
  <c r="BJ200" i="46"/>
  <c r="CN201" i="46"/>
  <c r="JX201" i="46"/>
  <c r="GF200" i="46"/>
  <c r="FK201" i="46"/>
  <c r="JL200" i="46"/>
  <c r="AX201" i="46"/>
  <c r="IH201" i="46"/>
  <c r="CQ200" i="46"/>
  <c r="CW201" i="46"/>
  <c r="EV200" i="46"/>
  <c r="EV201" i="46"/>
  <c r="HS201" i="46"/>
  <c r="BG202" i="46"/>
  <c r="IQ202" i="46"/>
  <c r="CT203" i="46"/>
  <c r="KD203" i="46"/>
  <c r="HV201" i="46"/>
  <c r="BJ202" i="46"/>
  <c r="IT202" i="46"/>
  <c r="CW203" i="46"/>
  <c r="KG203" i="46"/>
  <c r="HY201" i="46"/>
  <c r="BM202" i="46"/>
  <c r="IW202" i="46"/>
  <c r="CZ203" i="46"/>
  <c r="KJ203" i="46"/>
  <c r="BV200" i="46"/>
  <c r="FH202" i="46"/>
  <c r="GU203" i="46"/>
  <c r="DL200" i="46"/>
  <c r="AI201" i="46"/>
  <c r="FK202" i="46"/>
  <c r="GX203" i="46"/>
  <c r="JF200" i="46"/>
  <c r="FE201" i="46"/>
  <c r="Z202" i="46"/>
  <c r="HJ202" i="46"/>
  <c r="BM203" i="46"/>
  <c r="IW203" i="46"/>
  <c r="JU201" i="46"/>
  <c r="CW202" i="46"/>
  <c r="KG202" i="46"/>
  <c r="EJ203" i="46"/>
  <c r="EV202" i="46"/>
  <c r="FK203" i="46"/>
  <c r="AF204" i="46"/>
  <c r="HP204" i="46"/>
  <c r="BS205" i="46"/>
  <c r="JC205" i="46"/>
  <c r="CZ200" i="46"/>
  <c r="DL201" i="46"/>
  <c r="KV201" i="46"/>
  <c r="HG200" i="46"/>
  <c r="AL200" i="46"/>
  <c r="KM200" i="46"/>
  <c r="BV201" i="46"/>
  <c r="JF201" i="46"/>
  <c r="DR200" i="46"/>
  <c r="DU201" i="46"/>
  <c r="FW200" i="46"/>
  <c r="FT201" i="46"/>
  <c r="IW201" i="46"/>
  <c r="CE202" i="46"/>
  <c r="JO202" i="46"/>
  <c r="DR203" i="46"/>
  <c r="LB203" i="46"/>
  <c r="JC201" i="46"/>
  <c r="CH202" i="46"/>
  <c r="JR202" i="46"/>
  <c r="DU203" i="46"/>
  <c r="LE203" i="46"/>
  <c r="JI201" i="46"/>
  <c r="CK202" i="46"/>
  <c r="JU202" i="46"/>
  <c r="DX203" i="46"/>
  <c r="JC200" i="46"/>
  <c r="CH201" i="46"/>
  <c r="GF202" i="46"/>
  <c r="AI203" i="46"/>
  <c r="HS203" i="46"/>
  <c r="FN200" i="46"/>
  <c r="CK201" i="46"/>
  <c r="GI202" i="46"/>
  <c r="AL203" i="46"/>
  <c r="HV203" i="46"/>
  <c r="HG201" i="46"/>
  <c r="AX202" i="46"/>
  <c r="IH202" i="46"/>
  <c r="CK203" i="46"/>
  <c r="JU203" i="46"/>
  <c r="EJ200" i="46"/>
  <c r="LE201" i="46"/>
  <c r="DU202" i="46"/>
  <c r="LE202" i="46"/>
  <c r="JC203" i="46"/>
  <c r="BD204" i="46"/>
  <c r="IN204" i="46"/>
  <c r="CQ205" i="46"/>
  <c r="KA205" i="46"/>
  <c r="EA200" i="46"/>
  <c r="EJ201" i="46"/>
  <c r="IH200" i="46"/>
  <c r="W201" i="46"/>
  <c r="CB200" i="46"/>
  <c r="CT201" i="46"/>
  <c r="KD201" i="46"/>
  <c r="FH200" i="46"/>
  <c r="ES201" i="46"/>
  <c r="GX200" i="46"/>
  <c r="GR201" i="46"/>
  <c r="KG201" i="46"/>
  <c r="DC202" i="46"/>
  <c r="KM202" i="46"/>
  <c r="EP203" i="46"/>
  <c r="KJ201" i="46"/>
  <c r="DF202" i="46"/>
  <c r="KP202" i="46"/>
  <c r="ES203" i="46"/>
  <c r="KM201" i="46"/>
  <c r="DI202" i="46"/>
  <c r="KS202" i="46"/>
  <c r="EV203" i="46"/>
  <c r="EY201" i="46"/>
  <c r="HD202" i="46"/>
  <c r="BG203" i="46"/>
  <c r="IQ203" i="46"/>
  <c r="FB201" i="46"/>
  <c r="W202" i="46"/>
  <c r="HG202" i="46"/>
  <c r="BJ203" i="46"/>
  <c r="IT203" i="46"/>
  <c r="IN201" i="46"/>
  <c r="BV202" i="46"/>
  <c r="JF202" i="46"/>
  <c r="DI203" i="46"/>
  <c r="KS203" i="46"/>
  <c r="GL200" i="46"/>
  <c r="ES202" i="46"/>
  <c r="CB204" i="46"/>
  <c r="JL204" i="46"/>
  <c r="DO205" i="46"/>
  <c r="KY205" i="46"/>
  <c r="FB200" i="46"/>
  <c r="FH201" i="46"/>
  <c r="W200" i="46"/>
  <c r="JX200" i="46"/>
  <c r="AU201" i="46"/>
  <c r="DC200" i="46"/>
  <c r="DR201" i="46"/>
  <c r="LB201" i="46"/>
  <c r="GI200" i="46"/>
  <c r="FQ201" i="46"/>
  <c r="IN200" i="46"/>
  <c r="AF201" i="46"/>
  <c r="AF200" i="46"/>
  <c r="EA202" i="46"/>
  <c r="FN203" i="46"/>
  <c r="BS200" i="46"/>
  <c r="ED202" i="46"/>
  <c r="FQ203" i="46"/>
  <c r="FK200" i="46"/>
  <c r="EG202" i="46"/>
  <c r="FT203" i="46"/>
  <c r="GX201" i="46"/>
  <c r="AR202" i="46"/>
  <c r="IB202" i="46"/>
  <c r="CE203" i="46"/>
  <c r="JO203" i="46"/>
  <c r="HA201" i="46"/>
  <c r="AU202" i="46"/>
  <c r="IE202" i="46"/>
  <c r="CH203" i="46"/>
  <c r="JR203" i="46"/>
  <c r="JR201" i="46"/>
  <c r="CT202" i="46"/>
  <c r="KD202" i="46"/>
  <c r="EG203" i="46"/>
  <c r="IQ200" i="46"/>
  <c r="AO201" i="46"/>
  <c r="FQ202" i="46"/>
  <c r="CZ204" i="46"/>
  <c r="KJ204" i="46"/>
  <c r="GR200" i="46"/>
  <c r="GF201" i="46"/>
  <c r="AX200" i="46"/>
  <c r="KY200" i="46"/>
  <c r="BS201" i="46"/>
  <c r="ED200" i="46"/>
  <c r="EP201" i="46"/>
  <c r="HJ200" i="46"/>
  <c r="GO201" i="46"/>
  <c r="JO200" i="46"/>
  <c r="BD201" i="46"/>
  <c r="CH200" i="46"/>
  <c r="EY202" i="46"/>
  <c r="GL203" i="46"/>
  <c r="DX200" i="46"/>
  <c r="FB202" i="46"/>
  <c r="GO203" i="46"/>
  <c r="HP200" i="46"/>
  <c r="FE202" i="46"/>
  <c r="GR203" i="46"/>
  <c r="IE201" i="46"/>
  <c r="BP202" i="46"/>
  <c r="IZ202" i="46"/>
  <c r="DC203" i="46"/>
  <c r="KM203" i="46"/>
  <c r="IK201" i="46"/>
  <c r="BS202" i="46"/>
  <c r="JC202" i="46"/>
  <c r="DF203" i="46"/>
  <c r="AR200" i="46"/>
  <c r="KY201" i="46"/>
  <c r="DR202" i="46"/>
  <c r="LB202" i="46"/>
  <c r="FE203" i="46"/>
  <c r="KV200" i="46"/>
  <c r="DF201" i="46"/>
  <c r="GO202" i="46"/>
  <c r="AR203" i="46"/>
  <c r="DX204" i="46"/>
  <c r="HS200" i="46"/>
  <c r="HD201" i="46"/>
  <c r="CN200" i="46"/>
  <c r="CQ201" i="46"/>
  <c r="FT200" i="46"/>
  <c r="FN201" i="46"/>
  <c r="IZ200" i="46"/>
  <c r="AC201" i="46"/>
  <c r="BD200" i="46"/>
  <c r="KP200" i="46"/>
  <c r="CB201" i="46"/>
  <c r="EM200" i="46"/>
  <c r="BJ201" i="46"/>
  <c r="FW202" i="46"/>
  <c r="Z203" i="46"/>
  <c r="HJ203" i="46"/>
  <c r="FZ200" i="46"/>
  <c r="BM201" i="46"/>
  <c r="FZ202" i="46"/>
  <c r="AC203" i="46"/>
  <c r="HM203" i="46"/>
  <c r="JR200" i="46"/>
  <c r="CE201" i="46"/>
  <c r="GC202" i="46"/>
  <c r="AF203" i="46"/>
  <c r="HP203" i="46"/>
  <c r="JL201" i="46"/>
  <c r="CN202" i="46"/>
  <c r="JX202" i="46"/>
  <c r="EA203" i="46"/>
  <c r="JO201" i="46"/>
  <c r="CQ202" i="46"/>
  <c r="KA202" i="46"/>
  <c r="ED203" i="46"/>
  <c r="CT200" i="46"/>
  <c r="EP202" i="46"/>
  <c r="GC203" i="46"/>
  <c r="FW201" i="46"/>
  <c r="AC202" i="46"/>
  <c r="HM202" i="46"/>
  <c r="BP203" i="46"/>
  <c r="IT200" i="46"/>
  <c r="AR201" i="46"/>
  <c r="IB201" i="46"/>
  <c r="DO200" i="46"/>
  <c r="DO201" i="46"/>
  <c r="GU200" i="46"/>
  <c r="GL201" i="46"/>
  <c r="Z200" i="46"/>
  <c r="KA200" i="46"/>
  <c r="BA201" i="46"/>
  <c r="CE200" i="46"/>
  <c r="CZ201" i="46"/>
  <c r="EA201" i="46"/>
  <c r="GU202" i="46"/>
  <c r="AX203" i="46"/>
  <c r="IH203" i="46"/>
  <c r="IE200" i="46"/>
  <c r="ED201" i="46"/>
  <c r="GX202" i="46"/>
  <c r="BA203" i="46"/>
  <c r="IK203" i="46"/>
  <c r="EG201" i="46"/>
  <c r="HA202" i="46"/>
  <c r="BD203" i="46"/>
  <c r="IN203" i="46"/>
  <c r="KP201" i="46"/>
  <c r="DL202" i="46"/>
  <c r="KV202" i="46"/>
  <c r="EY203" i="46"/>
  <c r="KS201" i="46"/>
  <c r="DO202" i="46"/>
  <c r="KY202" i="46"/>
  <c r="FB203" i="46"/>
  <c r="EY200" i="46"/>
  <c r="AL201" i="46"/>
  <c r="FN202" i="46"/>
  <c r="HA203" i="46"/>
  <c r="HM201" i="46"/>
  <c r="BA202" i="46"/>
  <c r="IK202" i="46"/>
  <c r="CN203" i="46"/>
  <c r="W205" i="46"/>
  <c r="FB206" i="46"/>
  <c r="GO207" i="46"/>
  <c r="KD200" i="46"/>
  <c r="FW204" i="46"/>
  <c r="Z205" i="46"/>
  <c r="HJ205" i="46"/>
  <c r="BM206" i="46"/>
  <c r="ED204" i="46"/>
  <c r="FQ205" i="46"/>
  <c r="DI204" i="46"/>
  <c r="KS204" i="46"/>
  <c r="EV205" i="46"/>
  <c r="GI206" i="46"/>
  <c r="AL207" i="46"/>
  <c r="HV207" i="46"/>
  <c r="CQ204" i="46"/>
  <c r="ED205" i="46"/>
  <c r="EY206" i="46"/>
  <c r="GL207" i="46"/>
  <c r="AO205" i="46"/>
  <c r="CB206" i="46"/>
  <c r="EG207" i="46"/>
  <c r="IK204" i="46"/>
  <c r="JX205" i="46"/>
  <c r="IZ206" i="46"/>
  <c r="AR207" i="46"/>
  <c r="KM207" i="46"/>
  <c r="CQ203" i="46"/>
  <c r="BG205" i="46"/>
  <c r="CT206" i="46"/>
  <c r="EM207" i="46"/>
  <c r="CB202" i="46"/>
  <c r="HG204" i="46"/>
  <c r="IT205" i="46"/>
  <c r="IB206" i="46"/>
  <c r="JO207" i="46"/>
  <c r="KA201" i="46"/>
  <c r="BV204" i="46"/>
  <c r="DI205" i="46"/>
  <c r="EP206" i="46"/>
  <c r="GC207" i="46"/>
  <c r="BG206" i="46"/>
  <c r="DR207" i="46"/>
  <c r="EJ204" i="46"/>
  <c r="GC206" i="46"/>
  <c r="GF204" i="46"/>
  <c r="HJ206" i="46"/>
  <c r="JX204" i="46"/>
  <c r="JU206" i="46"/>
  <c r="CE205" i="46"/>
  <c r="CN204" i="46"/>
  <c r="KS200" i="46"/>
  <c r="IK200" i="46"/>
  <c r="CW200" i="46"/>
  <c r="EG200" i="46"/>
  <c r="EM205" i="46"/>
  <c r="FZ206" i="46"/>
  <c r="AC207" i="46"/>
  <c r="HM207" i="46"/>
  <c r="W203" i="46"/>
  <c r="GU204" i="46"/>
  <c r="AX205" i="46"/>
  <c r="IH205" i="46"/>
  <c r="CK206" i="46"/>
  <c r="FB204" i="46"/>
  <c r="GO205" i="46"/>
  <c r="AR206" i="46"/>
  <c r="EG204" i="46"/>
  <c r="FT205" i="46"/>
  <c r="W206" i="46"/>
  <c r="HG206" i="46"/>
  <c r="BJ207" i="46"/>
  <c r="IT207" i="46"/>
  <c r="EM204" i="46"/>
  <c r="FZ205" i="46"/>
  <c r="GF206" i="46"/>
  <c r="HS207" i="46"/>
  <c r="IE203" i="46"/>
  <c r="AX204" i="46"/>
  <c r="CK205" i="46"/>
  <c r="DX206" i="46"/>
  <c r="FK207" i="46"/>
  <c r="KG204" i="46"/>
  <c r="KG206" i="46"/>
  <c r="BV207" i="46"/>
  <c r="HP201" i="46"/>
  <c r="KV203" i="46"/>
  <c r="BP204" i="46"/>
  <c r="DC205" i="46"/>
  <c r="EG206" i="46"/>
  <c r="FT207" i="46"/>
  <c r="JC204" i="46"/>
  <c r="KP205" i="46"/>
  <c r="JI206" i="46"/>
  <c r="AX207" i="46"/>
  <c r="KV207" i="46"/>
  <c r="DR204" i="46"/>
  <c r="FE205" i="46"/>
  <c r="FT206" i="46"/>
  <c r="HG207" i="46"/>
  <c r="FH203" i="46"/>
  <c r="AC204" i="46"/>
  <c r="BP205" i="46"/>
  <c r="DC206" i="46"/>
  <c r="EY207" i="46"/>
  <c r="AI205" i="46"/>
  <c r="HG203" i="46"/>
  <c r="EV206" i="46"/>
  <c r="GI207" i="46"/>
  <c r="DI200" i="46"/>
  <c r="AO200" i="46"/>
  <c r="GO200" i="46"/>
  <c r="FK205" i="46"/>
  <c r="GX206" i="46"/>
  <c r="BA207" i="46"/>
  <c r="IK207" i="46"/>
  <c r="FT202" i="46"/>
  <c r="GF203" i="46"/>
  <c r="AI204" i="46"/>
  <c r="HS204" i="46"/>
  <c r="BV205" i="46"/>
  <c r="JF205" i="46"/>
  <c r="DI206" i="46"/>
  <c r="FZ204" i="46"/>
  <c r="AC205" i="46"/>
  <c r="HM205" i="46"/>
  <c r="BP206" i="46"/>
  <c r="FE204" i="46"/>
  <c r="GR205" i="46"/>
  <c r="AU206" i="46"/>
  <c r="IE206" i="46"/>
  <c r="CH207" i="46"/>
  <c r="JR207" i="46"/>
  <c r="GI204" i="46"/>
  <c r="HV205" i="46"/>
  <c r="HM206" i="46"/>
  <c r="IZ207" i="46"/>
  <c r="CT204" i="46"/>
  <c r="EG205" i="46"/>
  <c r="FE206" i="46"/>
  <c r="GR207" i="46"/>
  <c r="AI206" i="46"/>
  <c r="DC207" i="46"/>
  <c r="DL204" i="46"/>
  <c r="EY205" i="46"/>
  <c r="FN206" i="46"/>
  <c r="HA207" i="46"/>
  <c r="KY204" i="46"/>
  <c r="KM206" i="46"/>
  <c r="CE207" i="46"/>
  <c r="FN204" i="46"/>
  <c r="HA205" i="46"/>
  <c r="HA206" i="46"/>
  <c r="IN207" i="46"/>
  <c r="BY204" i="46"/>
  <c r="DL205" i="46"/>
  <c r="ES206" i="46"/>
  <c r="GF207" i="46"/>
  <c r="AU200" i="46"/>
  <c r="FE207" i="46"/>
  <c r="IW200" i="46"/>
  <c r="JU200" i="46"/>
  <c r="ES200" i="46"/>
  <c r="GI205" i="46"/>
  <c r="AL206" i="46"/>
  <c r="HV206" i="46"/>
  <c r="BY207" i="46"/>
  <c r="JI207" i="46"/>
  <c r="BG201" i="46"/>
  <c r="JX203" i="46"/>
  <c r="BG204" i="46"/>
  <c r="IQ204" i="46"/>
  <c r="CT205" i="46"/>
  <c r="KD205" i="46"/>
  <c r="AU203" i="46"/>
  <c r="GX204" i="46"/>
  <c r="BA205" i="46"/>
  <c r="IK205" i="46"/>
  <c r="CN206" i="46"/>
  <c r="GC204" i="46"/>
  <c r="AF205" i="46"/>
  <c r="HP205" i="46"/>
  <c r="BS206" i="46"/>
  <c r="JC206" i="46"/>
  <c r="DF207" i="46"/>
  <c r="KP207" i="46"/>
  <c r="JL202" i="46"/>
  <c r="IE204" i="46"/>
  <c r="JR205" i="46"/>
  <c r="IQ206" i="46"/>
  <c r="AI207" i="46"/>
  <c r="KD207" i="46"/>
  <c r="EP204" i="46"/>
  <c r="GC205" i="46"/>
  <c r="GL206" i="46"/>
  <c r="HY207" i="46"/>
  <c r="AR205" i="46"/>
  <c r="CE206" i="46"/>
  <c r="EJ207" i="46"/>
  <c r="FH204" i="46"/>
  <c r="GU205" i="46"/>
  <c r="GR206" i="46"/>
  <c r="IE207" i="46"/>
  <c r="BA206" i="46"/>
  <c r="DL207" i="46"/>
  <c r="CZ202" i="46"/>
  <c r="HJ204" i="46"/>
  <c r="IW205" i="46"/>
  <c r="IH206" i="46"/>
  <c r="W207" i="46"/>
  <c r="JU207" i="46"/>
  <c r="DU204" i="46"/>
  <c r="FH205" i="46"/>
  <c r="FW206" i="46"/>
  <c r="HJ207" i="46"/>
  <c r="IN202" i="46"/>
  <c r="JO205" i="46"/>
  <c r="IB200" i="46"/>
  <c r="DX207" i="46"/>
  <c r="HA200" i="46"/>
  <c r="BA200" i="46"/>
  <c r="CK200" i="46"/>
  <c r="HG205" i="46"/>
  <c r="BJ206" i="46"/>
  <c r="IT206" i="46"/>
  <c r="CW207" i="46"/>
  <c r="KG207" i="46"/>
  <c r="CE204" i="46"/>
  <c r="JO204" i="46"/>
  <c r="DR205" i="46"/>
  <c r="LB205" i="46"/>
  <c r="GR202" i="46"/>
  <c r="GI203" i="46"/>
  <c r="AL204" i="46"/>
  <c r="HV204" i="46"/>
  <c r="BY205" i="46"/>
  <c r="JI205" i="46"/>
  <c r="DL206" i="46"/>
  <c r="AF202" i="46"/>
  <c r="BS203" i="46"/>
  <c r="HA204" i="46"/>
  <c r="BD205" i="46"/>
  <c r="IN205" i="46"/>
  <c r="CQ206" i="46"/>
  <c r="KA206" i="46"/>
  <c r="ED207" i="46"/>
  <c r="KA204" i="46"/>
  <c r="JX206" i="46"/>
  <c r="BP207" i="46"/>
  <c r="GL204" i="46"/>
  <c r="HY205" i="46"/>
  <c r="HP206" i="46"/>
  <c r="JC207" i="46"/>
  <c r="IZ203" i="46"/>
  <c r="BA204" i="46"/>
  <c r="CN205" i="46"/>
  <c r="EA206" i="46"/>
  <c r="FN207" i="46"/>
  <c r="BD202" i="46"/>
  <c r="HD204" i="46"/>
  <c r="IQ205" i="46"/>
  <c r="HY206" i="46"/>
  <c r="JL207" i="46"/>
  <c r="DO203" i="46"/>
  <c r="W204" i="46"/>
  <c r="BJ205" i="46"/>
  <c r="CW206" i="46"/>
  <c r="EP207" i="46"/>
  <c r="JF204" i="46"/>
  <c r="KS205" i="46"/>
  <c r="JL206" i="46"/>
  <c r="BD207" i="46"/>
  <c r="KY207" i="46"/>
  <c r="FQ204" i="46"/>
  <c r="HD205" i="46"/>
  <c r="HD206" i="46"/>
  <c r="IQ207" i="46"/>
  <c r="FW205" i="46"/>
  <c r="HS205" i="46"/>
  <c r="AF207" i="46"/>
  <c r="CQ207" i="46"/>
  <c r="AR204" i="46"/>
  <c r="DR206" i="46"/>
  <c r="GC200" i="46"/>
  <c r="HM200" i="46"/>
  <c r="JI200" i="46"/>
  <c r="FE200" i="46"/>
  <c r="EV204" i="46"/>
  <c r="CH206" i="46"/>
  <c r="JR206" i="46"/>
  <c r="DU207" i="46"/>
  <c r="LE207" i="46"/>
  <c r="DC204" i="46"/>
  <c r="KM204" i="46"/>
  <c r="EP205" i="46"/>
  <c r="DI201" i="46"/>
  <c r="KA203" i="46"/>
  <c r="BJ204" i="46"/>
  <c r="IT204" i="46"/>
  <c r="CW205" i="46"/>
  <c r="KG205" i="46"/>
  <c r="HP202" i="46"/>
  <c r="HD203" i="46"/>
  <c r="AO204" i="46"/>
  <c r="HY204" i="46"/>
  <c r="CB205" i="46"/>
  <c r="JL205" i="46"/>
  <c r="DO206" i="46"/>
  <c r="KY206" i="46"/>
  <c r="FB207" i="46"/>
  <c r="AC206" i="46"/>
  <c r="LE206" i="46"/>
  <c r="CT207" i="46"/>
  <c r="KJ202" i="46"/>
  <c r="IH204" i="46"/>
  <c r="JU205" i="46"/>
  <c r="IW206" i="46"/>
  <c r="AO207" i="46"/>
  <c r="KJ207" i="46"/>
  <c r="CW204" i="46"/>
  <c r="EJ205" i="46"/>
  <c r="FH206" i="46"/>
  <c r="GU207" i="46"/>
  <c r="IZ204" i="46"/>
  <c r="KM205" i="46"/>
  <c r="JF206" i="46"/>
  <c r="AU207" i="46"/>
  <c r="KS207" i="46"/>
  <c r="IT201" i="46"/>
  <c r="KY203" i="46"/>
  <c r="BS204" i="46"/>
  <c r="DF205" i="46"/>
  <c r="EJ206" i="46"/>
  <c r="FW207" i="46"/>
  <c r="LB204" i="46"/>
  <c r="KS206" i="46"/>
  <c r="CK207" i="46"/>
  <c r="DX202" i="46"/>
  <c r="HM204" i="46"/>
  <c r="IZ205" i="46"/>
  <c r="IK206" i="46"/>
  <c r="Z207" i="46"/>
  <c r="JX207" i="46"/>
  <c r="KA207" i="46"/>
  <c r="BM207" i="46"/>
  <c r="BV206" i="46"/>
  <c r="KG200" i="46"/>
  <c r="BM200" i="46"/>
  <c r="FT204" i="46"/>
  <c r="DF206" i="46"/>
  <c r="KP206" i="46"/>
  <c r="ES207" i="46"/>
  <c r="EA204" i="46"/>
  <c r="FN205" i="46"/>
  <c r="CH204" i="46"/>
  <c r="JR204" i="46"/>
  <c r="DU205" i="46"/>
  <c r="LE205" i="46"/>
  <c r="FZ201" i="46"/>
  <c r="KP203" i="46"/>
  <c r="BM204" i="46"/>
  <c r="IW204" i="46"/>
  <c r="CZ205" i="46"/>
  <c r="KJ205" i="46"/>
  <c r="EM206" i="46"/>
  <c r="FZ207" i="46"/>
  <c r="AL205" i="46"/>
  <c r="BY206" i="46"/>
  <c r="EA207" i="46"/>
  <c r="KD204" i="46"/>
  <c r="KD206" i="46"/>
  <c r="BS207" i="46"/>
  <c r="ES204" i="46"/>
  <c r="GF205" i="46"/>
  <c r="GO206" i="46"/>
  <c r="IB207" i="46"/>
  <c r="KV204" i="46"/>
  <c r="KJ206" i="46"/>
  <c r="CB207" i="46"/>
  <c r="DO204" i="46"/>
  <c r="FB205" i="46"/>
  <c r="FQ206" i="46"/>
  <c r="HD207" i="46"/>
  <c r="BD206" i="46"/>
  <c r="DO207" i="46"/>
  <c r="JI204" i="46"/>
  <c r="KV205" i="46"/>
  <c r="JO206" i="46"/>
  <c r="BG207" i="46"/>
  <c r="LB207" i="46"/>
  <c r="HP207" i="46"/>
  <c r="IW207" i="46"/>
  <c r="Z206" i="46"/>
  <c r="EA205" i="46"/>
  <c r="HY200" i="46"/>
  <c r="DU200" i="46"/>
  <c r="FQ200" i="46"/>
  <c r="ED206" i="46"/>
  <c r="FQ207" i="46"/>
  <c r="EY204" i="46"/>
  <c r="GL205" i="46"/>
  <c r="AO206" i="46"/>
  <c r="DF204" i="46"/>
  <c r="KP204" i="46"/>
  <c r="ES205" i="46"/>
  <c r="CK204" i="46"/>
  <c r="JU204" i="46"/>
  <c r="DX205" i="46"/>
  <c r="FK206" i="46"/>
  <c r="GX207" i="46"/>
  <c r="IB203" i="46"/>
  <c r="AU204" i="46"/>
  <c r="CH205" i="46"/>
  <c r="DU206" i="46"/>
  <c r="FH207" i="46"/>
  <c r="AF206" i="46"/>
  <c r="CZ207" i="46"/>
  <c r="GO204" i="46"/>
  <c r="IB205" i="46"/>
  <c r="HS206" i="46"/>
  <c r="JF207" i="46"/>
  <c r="AX206" i="46"/>
  <c r="DI207" i="46"/>
  <c r="FK204" i="46"/>
  <c r="GX205" i="46"/>
  <c r="GU206" i="46"/>
  <c r="IH207" i="46"/>
  <c r="EM203" i="46"/>
  <c r="Z204" i="46"/>
  <c r="BM205" i="46"/>
  <c r="CZ206" i="46"/>
  <c r="EV207" i="46"/>
  <c r="LE204" i="46"/>
  <c r="KV206" i="46"/>
  <c r="CN207" i="46"/>
  <c r="IB204" i="46"/>
  <c r="IN206" i="46"/>
  <c r="LB206" i="46"/>
  <c r="LE200" i="46"/>
  <c r="AC200" i="46"/>
  <c r="BY200" i="46"/>
  <c r="DL182" i="46"/>
  <c r="KV182" i="46"/>
  <c r="EY183" i="46"/>
  <c r="W182" i="46"/>
  <c r="HG182" i="46"/>
  <c r="BJ183" i="46"/>
  <c r="IT183" i="46"/>
  <c r="CT182" i="46"/>
  <c r="KD182" i="46"/>
  <c r="EG183" i="46"/>
  <c r="EJ182" i="46"/>
  <c r="FW183" i="46"/>
  <c r="AU182" i="46"/>
  <c r="IE182" i="46"/>
  <c r="CH183" i="46"/>
  <c r="JR183" i="46"/>
  <c r="DR182" i="46"/>
  <c r="LB182" i="46"/>
  <c r="FE183" i="46"/>
  <c r="FH182" i="46"/>
  <c r="GU183" i="46"/>
  <c r="BS182" i="46"/>
  <c r="JC182" i="46"/>
  <c r="DF183" i="46"/>
  <c r="KP183" i="46"/>
  <c r="EP182" i="46"/>
  <c r="GC183" i="46"/>
  <c r="AC182" i="46"/>
  <c r="GF182" i="46"/>
  <c r="AI183" i="46"/>
  <c r="HS183" i="46"/>
  <c r="CQ182" i="46"/>
  <c r="KA182" i="46"/>
  <c r="ED183" i="46"/>
  <c r="FN182" i="46"/>
  <c r="HA183" i="46"/>
  <c r="AF182" i="46"/>
  <c r="HD182" i="46"/>
  <c r="BG183" i="46"/>
  <c r="IQ183" i="46"/>
  <c r="DO182" i="46"/>
  <c r="KY182" i="46"/>
  <c r="FB183" i="46"/>
  <c r="GL182" i="46"/>
  <c r="AO183" i="46"/>
  <c r="AR182" i="46"/>
  <c r="IB182" i="46"/>
  <c r="CE183" i="46"/>
  <c r="JO183" i="46"/>
  <c r="EM182" i="46"/>
  <c r="FZ183" i="46"/>
  <c r="Z182" i="46"/>
  <c r="HJ182" i="46"/>
  <c r="BP182" i="46"/>
  <c r="IZ182" i="46"/>
  <c r="DC183" i="46"/>
  <c r="KM183" i="46"/>
  <c r="FK182" i="46"/>
  <c r="GX183" i="46"/>
  <c r="AX182" i="46"/>
  <c r="IH182" i="46"/>
  <c r="CN182" i="46"/>
  <c r="JX182" i="46"/>
  <c r="EA183" i="46"/>
  <c r="GI182" i="46"/>
  <c r="AL183" i="46"/>
  <c r="HV183" i="46"/>
  <c r="BV182" i="46"/>
  <c r="JF182" i="46"/>
  <c r="HY183" i="46"/>
  <c r="BD182" i="46"/>
  <c r="IN182" i="46"/>
  <c r="CQ183" i="46"/>
  <c r="KA183" i="46"/>
  <c r="DF182" i="46"/>
  <c r="KP182" i="46"/>
  <c r="EG182" i="46"/>
  <c r="CT184" i="46"/>
  <c r="KD184" i="46"/>
  <c r="IK182" i="46"/>
  <c r="BA183" i="46"/>
  <c r="ES184" i="46"/>
  <c r="IN183" i="46"/>
  <c r="BD184" i="46"/>
  <c r="IN184" i="46"/>
  <c r="BY182" i="46"/>
  <c r="DC184" i="46"/>
  <c r="KM184" i="46"/>
  <c r="LB183" i="46"/>
  <c r="HM183" i="46"/>
  <c r="JR184" i="46"/>
  <c r="FT185" i="46"/>
  <c r="HY184" i="46"/>
  <c r="EY185" i="46"/>
  <c r="GF184" i="46"/>
  <c r="ED185" i="46"/>
  <c r="GU182" i="46"/>
  <c r="EM184" i="46"/>
  <c r="DI185" i="46"/>
  <c r="KP184" i="46"/>
  <c r="GF185" i="46"/>
  <c r="FN185" i="46"/>
  <c r="DC186" i="46"/>
  <c r="KM186" i="46"/>
  <c r="AL186" i="46"/>
  <c r="HV186" i="46"/>
  <c r="KS184" i="46"/>
  <c r="LB185" i="46"/>
  <c r="KY184" i="46"/>
  <c r="GI186" i="46"/>
  <c r="BS184" i="46"/>
  <c r="IW185" i="46"/>
  <c r="EP186" i="46"/>
  <c r="AC186" i="46"/>
  <c r="BM186" i="46"/>
  <c r="BG187" i="46"/>
  <c r="IQ187" i="46"/>
  <c r="GC186" i="46"/>
  <c r="GF186" i="46"/>
  <c r="DI187" i="46"/>
  <c r="JX185" i="46"/>
  <c r="JX186" i="46"/>
  <c r="FH187" i="46"/>
  <c r="AF186" i="46"/>
  <c r="HA186" i="46"/>
  <c r="GL185" i="46"/>
  <c r="IH187" i="46"/>
  <c r="CZ188" i="46"/>
  <c r="KJ188" i="46"/>
  <c r="IK187" i="46"/>
  <c r="DC188" i="46"/>
  <c r="KM188" i="46"/>
  <c r="IN187" i="46"/>
  <c r="DF188" i="46"/>
  <c r="KP188" i="46"/>
  <c r="IT187" i="46"/>
  <c r="DI188" i="46"/>
  <c r="KS188" i="46"/>
  <c r="AC187" i="46"/>
  <c r="LE187" i="46"/>
  <c r="FH188" i="46"/>
  <c r="AF187" i="46"/>
  <c r="FK188" i="46"/>
  <c r="AL187" i="46"/>
  <c r="CW189" i="46"/>
  <c r="KG189" i="46"/>
  <c r="EJ190" i="46"/>
  <c r="HM188" i="46"/>
  <c r="AF189" i="46"/>
  <c r="HP189" i="46"/>
  <c r="EY189" i="46"/>
  <c r="CH189" i="46"/>
  <c r="KP187" i="46"/>
  <c r="FN188" i="46"/>
  <c r="CT189" i="46"/>
  <c r="BS190" i="46"/>
  <c r="KD190" i="46"/>
  <c r="CW191" i="46"/>
  <c r="KG191" i="46"/>
  <c r="HA190" i="46"/>
  <c r="AC191" i="46"/>
  <c r="HP191" i="46"/>
  <c r="KG188" i="46"/>
  <c r="IW189" i="46"/>
  <c r="FB190" i="46"/>
  <c r="FW191" i="46"/>
  <c r="GC189" i="46"/>
  <c r="DC190" i="46"/>
  <c r="ED191" i="46"/>
  <c r="JC189" i="46"/>
  <c r="FK190" i="46"/>
  <c r="GC191" i="46"/>
  <c r="HP190" i="46"/>
  <c r="AR191" i="46"/>
  <c r="IB191" i="46"/>
  <c r="EP189" i="46"/>
  <c r="CK190" i="46"/>
  <c r="KY190" i="46"/>
  <c r="DO191" i="46"/>
  <c r="KY191" i="46"/>
  <c r="AX191" i="46"/>
  <c r="BY192" i="46"/>
  <c r="JI192" i="46"/>
  <c r="DL193" i="46"/>
  <c r="KV193" i="46"/>
  <c r="EY194" i="46"/>
  <c r="GL195" i="46"/>
  <c r="AO196" i="46"/>
  <c r="HY196" i="46"/>
  <c r="IW190" i="46"/>
  <c r="DX192" i="46"/>
  <c r="FK193" i="46"/>
  <c r="GX194" i="46"/>
  <c r="BM190" i="46"/>
  <c r="KD191" i="46"/>
  <c r="DC192" i="46"/>
  <c r="KM192" i="46"/>
  <c r="EP193" i="46"/>
  <c r="GC194" i="46"/>
  <c r="DR191" i="46"/>
  <c r="CH192" i="46"/>
  <c r="JR192" i="46"/>
  <c r="DU193" i="46"/>
  <c r="LE193" i="46"/>
  <c r="EG192" i="46"/>
  <c r="FT193" i="46"/>
  <c r="IW183" i="46"/>
  <c r="CB182" i="46"/>
  <c r="JL182" i="46"/>
  <c r="DO183" i="46"/>
  <c r="KY183" i="46"/>
  <c r="ED182" i="46"/>
  <c r="FE182" i="46"/>
  <c r="EA182" i="46"/>
  <c r="DR184" i="46"/>
  <c r="LB184" i="46"/>
  <c r="CW183" i="46"/>
  <c r="FQ184" i="46"/>
  <c r="KJ183" i="46"/>
  <c r="CB184" i="46"/>
  <c r="JL184" i="46"/>
  <c r="FQ182" i="46"/>
  <c r="EA184" i="46"/>
  <c r="CE182" i="46"/>
  <c r="JI183" i="46"/>
  <c r="GR185" i="46"/>
  <c r="JU184" i="46"/>
  <c r="FW185" i="46"/>
  <c r="IB184" i="46"/>
  <c r="FB185" i="46"/>
  <c r="GI184" i="46"/>
  <c r="EG185" i="46"/>
  <c r="AR183" i="46"/>
  <c r="HD185" i="46"/>
  <c r="HY185" i="46"/>
  <c r="EA186" i="46"/>
  <c r="AX185" i="46"/>
  <c r="BJ186" i="46"/>
  <c r="IT186" i="46"/>
  <c r="W186" i="46"/>
  <c r="HG186" i="46"/>
  <c r="CB183" i="46"/>
  <c r="HD184" i="46"/>
  <c r="KD185" i="46"/>
  <c r="FN186" i="46"/>
  <c r="Z185" i="46"/>
  <c r="BA186" i="46"/>
  <c r="DX186" i="46"/>
  <c r="CE187" i="46"/>
  <c r="JO187" i="46"/>
  <c r="HY186" i="46"/>
  <c r="AC185" i="46"/>
  <c r="IB186" i="46"/>
  <c r="EG187" i="46"/>
  <c r="GF187" i="46"/>
  <c r="CN186" i="46"/>
  <c r="DU185" i="46"/>
  <c r="IW186" i="46"/>
  <c r="JR187" i="46"/>
  <c r="DX188" i="46"/>
  <c r="JX187" i="46"/>
  <c r="EA188" i="46"/>
  <c r="KA187" i="46"/>
  <c r="ED188" i="46"/>
  <c r="KD187" i="46"/>
  <c r="EG188" i="46"/>
  <c r="FQ186" i="46"/>
  <c r="BS187" i="46"/>
  <c r="GF188" i="46"/>
  <c r="HD186" i="46"/>
  <c r="BV187" i="46"/>
  <c r="GI188" i="46"/>
  <c r="HM186" i="46"/>
  <c r="BY187" i="46"/>
  <c r="DU189" i="46"/>
  <c r="LE189" i="46"/>
  <c r="FH190" i="46"/>
  <c r="LE188" i="46"/>
  <c r="BD189" i="46"/>
  <c r="IN189" i="46"/>
  <c r="AX188" i="46"/>
  <c r="FW189" i="46"/>
  <c r="DF189" i="46"/>
  <c r="JF188" i="46"/>
  <c r="AO189" i="46"/>
  <c r="FK189" i="46"/>
  <c r="CT190" i="46"/>
  <c r="LE190" i="46"/>
  <c r="DU191" i="46"/>
  <c r="LE191" i="46"/>
  <c r="AR186" i="46"/>
  <c r="IE190" i="46"/>
  <c r="BD191" i="46"/>
  <c r="IN191" i="46"/>
  <c r="KD189" i="46"/>
  <c r="GC190" i="46"/>
  <c r="GU191" i="46"/>
  <c r="CT188" i="46"/>
  <c r="HJ189" i="46"/>
  <c r="ED190" i="46"/>
  <c r="FB191" i="46"/>
  <c r="KS189" i="46"/>
  <c r="GL190" i="46"/>
  <c r="HA191" i="46"/>
  <c r="AF190" i="46"/>
  <c r="IQ190" i="46"/>
  <c r="BP191" i="46"/>
  <c r="IZ191" i="46"/>
  <c r="GL189" i="46"/>
  <c r="DO190" i="46"/>
  <c r="EM191" i="46"/>
  <c r="IH191" i="46"/>
  <c r="CW192" i="46"/>
  <c r="KG192" i="46"/>
  <c r="EJ193" i="46"/>
  <c r="FW194" i="46"/>
  <c r="Z195" i="46"/>
  <c r="HJ195" i="46"/>
  <c r="BM196" i="46"/>
  <c r="IW196" i="46"/>
  <c r="Z189" i="46"/>
  <c r="EV192" i="46"/>
  <c r="GI193" i="46"/>
  <c r="AL194" i="46"/>
  <c r="HV194" i="46"/>
  <c r="KA190" i="46"/>
  <c r="EA192" i="46"/>
  <c r="FN193" i="46"/>
  <c r="HA194" i="46"/>
  <c r="CQ190" i="46"/>
  <c r="LB191" i="46"/>
  <c r="DF192" i="46"/>
  <c r="KP192" i="46"/>
  <c r="ES193" i="46"/>
  <c r="GX189" i="46"/>
  <c r="FE192" i="46"/>
  <c r="GR193" i="46"/>
  <c r="KD192" i="46"/>
  <c r="JU183" i="46"/>
  <c r="CZ182" i="46"/>
  <c r="KJ182" i="46"/>
  <c r="EM183" i="46"/>
  <c r="FB182" i="46"/>
  <c r="GC182" i="46"/>
  <c r="HS182" i="46"/>
  <c r="AX183" i="46"/>
  <c r="EP184" i="46"/>
  <c r="ES183" i="46"/>
  <c r="GO184" i="46"/>
  <c r="BG182" i="46"/>
  <c r="CZ184" i="46"/>
  <c r="KJ184" i="46"/>
  <c r="JI182" i="46"/>
  <c r="BP183" i="46"/>
  <c r="EY184" i="46"/>
  <c r="FW182" i="46"/>
  <c r="Z183" i="46"/>
  <c r="LE183" i="46"/>
  <c r="EJ183" i="46"/>
  <c r="AF185" i="46"/>
  <c r="HP185" i="46"/>
  <c r="GU185" i="46"/>
  <c r="JX184" i="46"/>
  <c r="FZ185" i="46"/>
  <c r="IE184" i="46"/>
  <c r="FE185" i="46"/>
  <c r="IB183" i="46"/>
  <c r="AR185" i="46"/>
  <c r="DO184" i="46"/>
  <c r="JF185" i="46"/>
  <c r="EY186" i="46"/>
  <c r="DO185" i="46"/>
  <c r="CH186" i="46"/>
  <c r="JR186" i="46"/>
  <c r="AU186" i="46"/>
  <c r="IE186" i="46"/>
  <c r="GL186" i="46"/>
  <c r="CQ185" i="46"/>
  <c r="BY186" i="46"/>
  <c r="FT186" i="46"/>
  <c r="DC187" i="46"/>
  <c r="IH185" i="46"/>
  <c r="JL186" i="46"/>
  <c r="JC185" i="46"/>
  <c r="JU186" i="46"/>
  <c r="FE187" i="46"/>
  <c r="FK184" i="46"/>
  <c r="HD187" i="46"/>
  <c r="EV186" i="46"/>
  <c r="LE185" i="46"/>
  <c r="KG186" i="46"/>
  <c r="KS187" i="46"/>
  <c r="EV188" i="46"/>
  <c r="KV187" i="46"/>
  <c r="EY188" i="46"/>
  <c r="W187" i="46"/>
  <c r="KY187" i="46"/>
  <c r="FB188" i="46"/>
  <c r="Z187" i="46"/>
  <c r="LB187" i="46"/>
  <c r="FE188" i="46"/>
  <c r="CZ187" i="46"/>
  <c r="HD188" i="46"/>
  <c r="DF187" i="46"/>
  <c r="W188" i="46"/>
  <c r="HG188" i="46"/>
  <c r="DO187" i="46"/>
  <c r="ES189" i="46"/>
  <c r="GF190" i="46"/>
  <c r="AI191" i="46"/>
  <c r="CB189" i="46"/>
  <c r="JL189" i="46"/>
  <c r="IE187" i="46"/>
  <c r="EP188" i="46"/>
  <c r="GU189" i="46"/>
  <c r="ED189" i="46"/>
  <c r="BM189" i="46"/>
  <c r="HA189" i="46"/>
  <c r="DU190" i="46"/>
  <c r="ES191" i="46"/>
  <c r="AU189" i="46"/>
  <c r="AU190" i="46"/>
  <c r="JF190" i="46"/>
  <c r="CB191" i="46"/>
  <c r="JL191" i="46"/>
  <c r="HG190" i="46"/>
  <c r="AF191" i="46"/>
  <c r="HS191" i="46"/>
  <c r="IZ189" i="46"/>
  <c r="FE190" i="46"/>
  <c r="FZ191" i="46"/>
  <c r="HM190" i="46"/>
  <c r="AO191" i="46"/>
  <c r="HY191" i="46"/>
  <c r="BV189" i="46"/>
  <c r="BG190" i="46"/>
  <c r="JR190" i="46"/>
  <c r="CN191" i="46"/>
  <c r="JX191" i="46"/>
  <c r="GL188" i="46"/>
  <c r="IB189" i="46"/>
  <c r="EP190" i="46"/>
  <c r="FK191" i="46"/>
  <c r="HV190" i="46"/>
  <c r="DU192" i="46"/>
  <c r="LE192" i="46"/>
  <c r="FH193" i="46"/>
  <c r="GU194" i="46"/>
  <c r="AX195" i="46"/>
  <c r="IH195" i="46"/>
  <c r="CK196" i="46"/>
  <c r="JU196" i="46"/>
  <c r="FT192" i="46"/>
  <c r="W193" i="46"/>
  <c r="HG193" i="46"/>
  <c r="BJ194" i="46"/>
  <c r="IT194" i="46"/>
  <c r="CQ189" i="46"/>
  <c r="EY192" i="46"/>
  <c r="GL193" i="46"/>
  <c r="AO194" i="46"/>
  <c r="HY194" i="46"/>
  <c r="LB190" i="46"/>
  <c r="ED192" i="46"/>
  <c r="FQ193" i="46"/>
  <c r="GC192" i="46"/>
  <c r="AF193" i="46"/>
  <c r="HP193" i="46"/>
  <c r="HJ191" i="46"/>
  <c r="KS183" i="46"/>
  <c r="DX182" i="46"/>
  <c r="FK183" i="46"/>
  <c r="FZ182" i="46"/>
  <c r="HA182" i="46"/>
  <c r="CT183" i="46"/>
  <c r="FN184" i="46"/>
  <c r="GO183" i="46"/>
  <c r="AC184" i="46"/>
  <c r="HM184" i="46"/>
  <c r="EY182" i="46"/>
  <c r="DX184" i="46"/>
  <c r="DL183" i="46"/>
  <c r="FW184" i="46"/>
  <c r="JO182" i="46"/>
  <c r="BV183" i="46"/>
  <c r="CW182" i="46"/>
  <c r="AL184" i="46"/>
  <c r="BD185" i="46"/>
  <c r="IN185" i="46"/>
  <c r="FT183" i="46"/>
  <c r="AI185" i="46"/>
  <c r="HS185" i="46"/>
  <c r="GX185" i="46"/>
  <c r="KA184" i="46"/>
  <c r="GC185" i="46"/>
  <c r="BJ184" i="46"/>
  <c r="BP185" i="46"/>
  <c r="JL183" i="46"/>
  <c r="IZ184" i="46"/>
  <c r="KV185" i="46"/>
  <c r="FW186" i="46"/>
  <c r="FQ185" i="46"/>
  <c r="DF186" i="46"/>
  <c r="KP186" i="46"/>
  <c r="BA185" i="46"/>
  <c r="BV185" i="46"/>
  <c r="BS186" i="46"/>
  <c r="JC186" i="46"/>
  <c r="Z186" i="46"/>
  <c r="HJ186" i="46"/>
  <c r="ES185" i="46"/>
  <c r="CW186" i="46"/>
  <c r="HP186" i="46"/>
  <c r="EA187" i="46"/>
  <c r="LB186" i="46"/>
  <c r="LE186" i="46"/>
  <c r="GC187" i="46"/>
  <c r="AR187" i="46"/>
  <c r="IB187" i="46"/>
  <c r="GR186" i="46"/>
  <c r="BD186" i="46"/>
  <c r="AX187" i="46"/>
  <c r="FT188" i="46"/>
  <c r="DI186" i="46"/>
  <c r="BA187" i="46"/>
  <c r="FW188" i="46"/>
  <c r="DL186" i="46"/>
  <c r="BD187" i="46"/>
  <c r="FZ188" i="46"/>
  <c r="FH186" i="46"/>
  <c r="BJ187" i="46"/>
  <c r="GC188" i="46"/>
  <c r="EP187" i="46"/>
  <c r="AR188" i="46"/>
  <c r="IB188" i="46"/>
  <c r="ES187" i="46"/>
  <c r="AU188" i="46"/>
  <c r="IE188" i="46"/>
  <c r="EV187" i="46"/>
  <c r="Z188" i="46"/>
  <c r="FQ189" i="46"/>
  <c r="HD190" i="46"/>
  <c r="CZ189" i="46"/>
  <c r="KJ189" i="46"/>
  <c r="IH188" i="46"/>
  <c r="AI189" i="46"/>
  <c r="HS189" i="46"/>
  <c r="FB189" i="46"/>
  <c r="CK189" i="46"/>
  <c r="JI188" i="46"/>
  <c r="IH189" i="46"/>
  <c r="EV190" i="46"/>
  <c r="FQ191" i="46"/>
  <c r="DL189" i="46"/>
  <c r="BV190" i="46"/>
  <c r="KG190" i="46"/>
  <c r="CZ191" i="46"/>
  <c r="KJ191" i="46"/>
  <c r="IZ186" i="46"/>
  <c r="W190" i="46"/>
  <c r="IH190" i="46"/>
  <c r="BG191" i="46"/>
  <c r="IQ191" i="46"/>
  <c r="KP189" i="46"/>
  <c r="GI190" i="46"/>
  <c r="GX191" i="46"/>
  <c r="AC190" i="46"/>
  <c r="IN190" i="46"/>
  <c r="BM191" i="46"/>
  <c r="IW191" i="46"/>
  <c r="EM189" i="46"/>
  <c r="CH190" i="46"/>
  <c r="KS190" i="46"/>
  <c r="DL191" i="46"/>
  <c r="KV191" i="46"/>
  <c r="JR189" i="46"/>
  <c r="FQ190" i="46"/>
  <c r="GI191" i="46"/>
  <c r="ES192" i="46"/>
  <c r="GF193" i="46"/>
  <c r="AI194" i="46"/>
  <c r="HS194" i="46"/>
  <c r="BV195" i="46"/>
  <c r="JF195" i="46"/>
  <c r="DI196" i="46"/>
  <c r="KS196" i="46"/>
  <c r="GR192" i="46"/>
  <c r="AU193" i="46"/>
  <c r="IE193" i="46"/>
  <c r="CH194" i="46"/>
  <c r="JR194" i="46"/>
  <c r="FW192" i="46"/>
  <c r="Z193" i="46"/>
  <c r="HJ193" i="46"/>
  <c r="BM194" i="46"/>
  <c r="IW194" i="46"/>
  <c r="FH189" i="46"/>
  <c r="FB192" i="46"/>
  <c r="GO193" i="46"/>
  <c r="HA192" i="46"/>
  <c r="BD193" i="46"/>
  <c r="IN193" i="46"/>
  <c r="EV182" i="46"/>
  <c r="GI183" i="46"/>
  <c r="AI182" i="46"/>
  <c r="GX182" i="46"/>
  <c r="AO182" i="46"/>
  <c r="HY182" i="46"/>
  <c r="EP183" i="46"/>
  <c r="GL184" i="46"/>
  <c r="IK183" i="46"/>
  <c r="BA184" i="46"/>
  <c r="IK184" i="46"/>
  <c r="IQ182" i="46"/>
  <c r="BD183" i="46"/>
  <c r="EV184" i="46"/>
  <c r="FH183" i="46"/>
  <c r="GU184" i="46"/>
  <c r="DR183" i="46"/>
  <c r="GO182" i="46"/>
  <c r="AC183" i="46"/>
  <c r="CH184" i="46"/>
  <c r="CB185" i="46"/>
  <c r="JL185" i="46"/>
  <c r="AO184" i="46"/>
  <c r="BG185" i="46"/>
  <c r="IQ185" i="46"/>
  <c r="GF183" i="46"/>
  <c r="AL185" i="46"/>
  <c r="HV185" i="46"/>
  <c r="AF183" i="46"/>
  <c r="HA185" i="46"/>
  <c r="DF184" i="46"/>
  <c r="CN185" i="46"/>
  <c r="GU186" i="46"/>
  <c r="KM182" i="46"/>
  <c r="IB185" i="46"/>
  <c r="ED186" i="46"/>
  <c r="DR185" i="46"/>
  <c r="EM185" i="46"/>
  <c r="CQ186" i="46"/>
  <c r="KA186" i="46"/>
  <c r="W185" i="46"/>
  <c r="AX186" i="46"/>
  <c r="IH186" i="46"/>
  <c r="HJ185" i="46"/>
  <c r="DU186" i="46"/>
  <c r="HM185" i="46"/>
  <c r="JI186" i="46"/>
  <c r="EY187" i="46"/>
  <c r="BM184" i="46"/>
  <c r="DL184" i="46"/>
  <c r="HA187" i="46"/>
  <c r="CK186" i="46"/>
  <c r="BP187" i="46"/>
  <c r="IZ187" i="46"/>
  <c r="CT185" i="46"/>
  <c r="IN186" i="46"/>
  <c r="KV184" i="46"/>
  <c r="JF186" i="46"/>
  <c r="CH187" i="46"/>
  <c r="GR188" i="46"/>
  <c r="KJ186" i="46"/>
  <c r="CQ187" i="46"/>
  <c r="GU188" i="46"/>
  <c r="KS186" i="46"/>
  <c r="CT187" i="46"/>
  <c r="GX188" i="46"/>
  <c r="CW187" i="46"/>
  <c r="HA188" i="46"/>
  <c r="FZ187" i="46"/>
  <c r="BP188" i="46"/>
  <c r="IZ188" i="46"/>
  <c r="GI187" i="46"/>
  <c r="BS188" i="46"/>
  <c r="JC188" i="46"/>
  <c r="GL187" i="46"/>
  <c r="FB187" i="46"/>
  <c r="DR188" i="46"/>
  <c r="GO189" i="46"/>
  <c r="AR190" i="46"/>
  <c r="IB190" i="46"/>
  <c r="DX189" i="46"/>
  <c r="BG189" i="46"/>
  <c r="IQ189" i="46"/>
  <c r="BA188" i="46"/>
  <c r="DI189" i="46"/>
  <c r="JX189" i="46"/>
  <c r="FW190" i="46"/>
  <c r="GO191" i="46"/>
  <c r="FN189" i="46"/>
  <c r="CW190" i="46"/>
  <c r="DX191" i="46"/>
  <c r="AU187" i="46"/>
  <c r="AX189" i="46"/>
  <c r="AX190" i="46"/>
  <c r="JI190" i="46"/>
  <c r="CE191" i="46"/>
  <c r="JO191" i="46"/>
  <c r="HJ190" i="46"/>
  <c r="AL191" i="46"/>
  <c r="HV191" i="46"/>
  <c r="DR187" i="46"/>
  <c r="BS189" i="46"/>
  <c r="BD190" i="46"/>
  <c r="JO190" i="46"/>
  <c r="CK191" i="46"/>
  <c r="JU191" i="46"/>
  <c r="GI189" i="46"/>
  <c r="DI190" i="46"/>
  <c r="EJ191" i="46"/>
  <c r="KY189" i="46"/>
  <c r="GR190" i="46"/>
  <c r="HG191" i="46"/>
  <c r="FQ192" i="46"/>
  <c r="HD193" i="46"/>
  <c r="BG194" i="46"/>
  <c r="IQ194" i="46"/>
  <c r="CT195" i="46"/>
  <c r="KD195" i="46"/>
  <c r="EG196" i="46"/>
  <c r="AF192" i="46"/>
  <c r="HP192" i="46"/>
  <c r="BS193" i="46"/>
  <c r="JC193" i="46"/>
  <c r="DF194" i="46"/>
  <c r="KP194" i="46"/>
  <c r="GU192" i="46"/>
  <c r="AX193" i="46"/>
  <c r="IH193" i="46"/>
  <c r="CK194" i="46"/>
  <c r="JU194" i="46"/>
  <c r="FZ192" i="46"/>
  <c r="AC193" i="46"/>
  <c r="HM193" i="46"/>
  <c r="AO192" i="46"/>
  <c r="HY192" i="46"/>
  <c r="CB193" i="46"/>
  <c r="JL193" i="46"/>
  <c r="BM183" i="46"/>
  <c r="FT182" i="46"/>
  <c r="W183" i="46"/>
  <c r="HG183" i="46"/>
  <c r="AL182" i="46"/>
  <c r="HV182" i="46"/>
  <c r="BM182" i="46"/>
  <c r="IW182" i="46"/>
  <c r="GL183" i="46"/>
  <c r="Z184" i="46"/>
  <c r="HJ184" i="46"/>
  <c r="KG183" i="46"/>
  <c r="BY184" i="46"/>
  <c r="JI184" i="46"/>
  <c r="CZ183" i="46"/>
  <c r="FT184" i="46"/>
  <c r="HD183" i="46"/>
  <c r="AI184" i="46"/>
  <c r="HS184" i="46"/>
  <c r="FN183" i="46"/>
  <c r="KG182" i="46"/>
  <c r="BY183" i="46"/>
  <c r="ED184" i="46"/>
  <c r="CZ185" i="46"/>
  <c r="KJ185" i="46"/>
  <c r="CK184" i="46"/>
  <c r="CE185" i="46"/>
  <c r="JO185" i="46"/>
  <c r="AR184" i="46"/>
  <c r="BJ185" i="46"/>
  <c r="IT185" i="46"/>
  <c r="HP183" i="46"/>
  <c r="AO185" i="46"/>
  <c r="HM182" i="46"/>
  <c r="FB184" i="46"/>
  <c r="DL185" i="46"/>
  <c r="AI186" i="46"/>
  <c r="HS186" i="46"/>
  <c r="FE184" i="46"/>
  <c r="JI185" i="46"/>
  <c r="FB186" i="46"/>
  <c r="GI185" i="46"/>
  <c r="GO185" i="46"/>
  <c r="DO186" i="46"/>
  <c r="KY186" i="46"/>
  <c r="BY185" i="46"/>
  <c r="BV186" i="46"/>
  <c r="DI184" i="46"/>
  <c r="IZ185" i="46"/>
  <c r="KV186" i="46"/>
  <c r="FW187" i="46"/>
  <c r="AO187" i="46"/>
  <c r="HY187" i="46"/>
  <c r="ES186" i="46"/>
  <c r="CN187" i="46"/>
  <c r="DX183" i="46"/>
  <c r="KS185" i="46"/>
  <c r="KD186" i="46"/>
  <c r="AO186" i="46"/>
  <c r="DU187" i="46"/>
  <c r="AF188" i="46"/>
  <c r="HP188" i="46"/>
  <c r="DX187" i="46"/>
  <c r="AI188" i="46"/>
  <c r="HS188" i="46"/>
  <c r="ED187" i="46"/>
  <c r="AL188" i="46"/>
  <c r="HV188" i="46"/>
  <c r="EM187" i="46"/>
  <c r="AO188" i="46"/>
  <c r="HY188" i="46"/>
  <c r="HM187" i="46"/>
  <c r="CN188" i="46"/>
  <c r="JX188" i="46"/>
  <c r="HP187" i="46"/>
  <c r="CQ188" i="46"/>
  <c r="KA188" i="46"/>
  <c r="HV187" i="46"/>
  <c r="HJ188" i="46"/>
  <c r="AC189" i="46"/>
  <c r="HM189" i="46"/>
  <c r="BP190" i="46"/>
  <c r="IZ190" i="46"/>
  <c r="EV189" i="46"/>
  <c r="CE189" i="46"/>
  <c r="JO189" i="46"/>
  <c r="JL187" i="46"/>
  <c r="ES188" i="46"/>
  <c r="EG189" i="46"/>
  <c r="GX190" i="46"/>
  <c r="Z191" i="46"/>
  <c r="HM191" i="46"/>
  <c r="HD189" i="46"/>
  <c r="DX190" i="46"/>
  <c r="EV191" i="46"/>
  <c r="DO189" i="46"/>
  <c r="BY190" i="46"/>
  <c r="KJ190" i="46"/>
  <c r="DC191" i="46"/>
  <c r="KM191" i="46"/>
  <c r="Z190" i="46"/>
  <c r="IK190" i="46"/>
  <c r="BJ191" i="46"/>
  <c r="IT191" i="46"/>
  <c r="EJ189" i="46"/>
  <c r="CE190" i="46"/>
  <c r="KP190" i="46"/>
  <c r="DI191" i="46"/>
  <c r="KS191" i="46"/>
  <c r="FQ188" i="46"/>
  <c r="HY189" i="46"/>
  <c r="EM190" i="46"/>
  <c r="FH191" i="46"/>
  <c r="HS190" i="46"/>
  <c r="AU191" i="46"/>
  <c r="IE191" i="46"/>
  <c r="GO192" i="46"/>
  <c r="AR193" i="46"/>
  <c r="IB193" i="46"/>
  <c r="CE194" i="46"/>
  <c r="JO194" i="46"/>
  <c r="DR195" i="46"/>
  <c r="LB195" i="46"/>
  <c r="FE196" i="46"/>
  <c r="BD192" i="46"/>
  <c r="IN192" i="46"/>
  <c r="CQ193" i="46"/>
  <c r="KA193" i="46"/>
  <c r="ED194" i="46"/>
  <c r="AI192" i="46"/>
  <c r="HS192" i="46"/>
  <c r="BV193" i="46"/>
  <c r="JF193" i="46"/>
  <c r="DI194" i="46"/>
  <c r="KS194" i="46"/>
  <c r="GX192" i="46"/>
  <c r="BA193" i="46"/>
  <c r="IK193" i="46"/>
  <c r="BM192" i="46"/>
  <c r="IW192" i="46"/>
  <c r="CZ193" i="46"/>
  <c r="KJ193" i="46"/>
  <c r="CK183" i="46"/>
  <c r="GR182" i="46"/>
  <c r="AU183" i="46"/>
  <c r="IE183" i="46"/>
  <c r="BJ182" i="46"/>
  <c r="IT182" i="46"/>
  <c r="CK182" i="46"/>
  <c r="JU182" i="46"/>
  <c r="IH183" i="46"/>
  <c r="AX184" i="46"/>
  <c r="IH184" i="46"/>
  <c r="BA182" i="46"/>
  <c r="CW184" i="46"/>
  <c r="KG184" i="46"/>
  <c r="EV183" i="46"/>
  <c r="GR184" i="46"/>
  <c r="IZ183" i="46"/>
  <c r="BG184" i="46"/>
  <c r="IQ184" i="46"/>
  <c r="HJ183" i="46"/>
  <c r="DU183" i="46"/>
  <c r="FZ184" i="46"/>
  <c r="DX185" i="46"/>
  <c r="DC182" i="46"/>
  <c r="EG184" i="46"/>
  <c r="DC185" i="46"/>
  <c r="KM185" i="46"/>
  <c r="CN184" i="46"/>
  <c r="CH185" i="46"/>
  <c r="JR185" i="46"/>
  <c r="AU184" i="46"/>
  <c r="BM185" i="46"/>
  <c r="GX184" i="46"/>
  <c r="EJ185" i="46"/>
  <c r="AU185" i="46"/>
  <c r="BG186" i="46"/>
  <c r="IQ186" i="46"/>
  <c r="JX183" i="46"/>
  <c r="JC184" i="46"/>
  <c r="KY185" i="46"/>
  <c r="FZ186" i="46"/>
  <c r="LE182" i="46"/>
  <c r="W184" i="46"/>
  <c r="IE185" i="46"/>
  <c r="BP184" i="46"/>
  <c r="IK185" i="46"/>
  <c r="EM186" i="46"/>
  <c r="EP185" i="46"/>
  <c r="CT186" i="46"/>
  <c r="CN183" i="46"/>
  <c r="HG184" i="46"/>
  <c r="KG185" i="46"/>
  <c r="GU187" i="46"/>
  <c r="BP186" i="46"/>
  <c r="CB186" i="46"/>
  <c r="BM187" i="46"/>
  <c r="IW187" i="46"/>
  <c r="GO186" i="46"/>
  <c r="DL187" i="46"/>
  <c r="CZ186" i="46"/>
  <c r="FK187" i="46"/>
  <c r="BD188" i="46"/>
  <c r="IN188" i="46"/>
  <c r="FN187" i="46"/>
  <c r="BG188" i="46"/>
  <c r="IQ188" i="46"/>
  <c r="FQ187" i="46"/>
  <c r="BJ188" i="46"/>
  <c r="IT188" i="46"/>
  <c r="FT187" i="46"/>
  <c r="BM188" i="46"/>
  <c r="IW188" i="46"/>
  <c r="JC187" i="46"/>
  <c r="DL188" i="46"/>
  <c r="KV188" i="46"/>
  <c r="JF187" i="46"/>
  <c r="DO188" i="46"/>
  <c r="KY188" i="46"/>
  <c r="JI187" i="46"/>
  <c r="LB188" i="46"/>
  <c r="BA189" i="46"/>
  <c r="IK189" i="46"/>
  <c r="CN190" i="46"/>
  <c r="JX190" i="46"/>
  <c r="AC188" i="46"/>
  <c r="FT189" i="46"/>
  <c r="FK185" i="46"/>
  <c r="DC189" i="46"/>
  <c r="KM189" i="46"/>
  <c r="IK188" i="46"/>
  <c r="AL189" i="46"/>
  <c r="FE189" i="46"/>
  <c r="HY190" i="46"/>
  <c r="BA191" i="46"/>
  <c r="IK191" i="46"/>
  <c r="KD188" i="46"/>
  <c r="IT189" i="46"/>
  <c r="EY190" i="46"/>
  <c r="FT191" i="46"/>
  <c r="FZ189" i="46"/>
  <c r="CZ190" i="46"/>
  <c r="EA191" i="46"/>
  <c r="CB187" i="46"/>
  <c r="BP189" i="46"/>
  <c r="BA190" i="46"/>
  <c r="JL190" i="46"/>
  <c r="CH191" i="46"/>
  <c r="JR191" i="46"/>
  <c r="GF189" i="46"/>
  <c r="DF190" i="46"/>
  <c r="EG191" i="46"/>
  <c r="JF189" i="46"/>
  <c r="FN190" i="46"/>
  <c r="GF191" i="46"/>
  <c r="W189" i="46"/>
  <c r="AI190" i="46"/>
  <c r="IT190" i="46"/>
  <c r="BS191" i="46"/>
  <c r="JC191" i="46"/>
  <c r="AC192" i="46"/>
  <c r="HM192" i="46"/>
  <c r="BP193" i="46"/>
  <c r="IZ193" i="46"/>
  <c r="DC194" i="46"/>
  <c r="KM194" i="46"/>
  <c r="EP195" i="46"/>
  <c r="GC196" i="46"/>
  <c r="BV191" i="46"/>
  <c r="CB192" i="46"/>
  <c r="JL192" i="46"/>
  <c r="DO193" i="46"/>
  <c r="KY193" i="46"/>
  <c r="FB194" i="46"/>
  <c r="BG192" i="46"/>
  <c r="IQ192" i="46"/>
  <c r="CT193" i="46"/>
  <c r="KD193" i="46"/>
  <c r="EG194" i="46"/>
  <c r="AL192" i="46"/>
  <c r="HV192" i="46"/>
  <c r="BY193" i="46"/>
  <c r="JI193" i="46"/>
  <c r="EP191" i="46"/>
  <c r="CK192" i="46"/>
  <c r="JU192" i="46"/>
  <c r="DX193" i="46"/>
  <c r="DI183" i="46"/>
  <c r="HP182" i="46"/>
  <c r="BS183" i="46"/>
  <c r="JC183" i="46"/>
  <c r="CH182" i="46"/>
  <c r="JR182" i="46"/>
  <c r="DI182" i="46"/>
  <c r="KS182" i="46"/>
  <c r="KD183" i="46"/>
  <c r="BV184" i="46"/>
  <c r="JF184" i="46"/>
  <c r="ES182" i="46"/>
  <c r="DU184" i="46"/>
  <c r="LE184" i="46"/>
  <c r="GR183" i="46"/>
  <c r="AF184" i="46"/>
  <c r="HP184" i="46"/>
  <c r="KV183" i="46"/>
  <c r="CE184" i="46"/>
  <c r="JO184" i="46"/>
  <c r="JF183" i="46"/>
  <c r="FQ183" i="46"/>
  <c r="HV184" i="46"/>
  <c r="EV185" i="46"/>
  <c r="GC184" i="46"/>
  <c r="EA185" i="46"/>
  <c r="DU182" i="46"/>
  <c r="EJ184" i="46"/>
  <c r="DF185" i="46"/>
  <c r="KP185" i="46"/>
  <c r="CQ184" i="46"/>
  <c r="CK185" i="46"/>
  <c r="IT184" i="46"/>
  <c r="FH185" i="46"/>
  <c r="CW185" i="46"/>
  <c r="CE186" i="46"/>
  <c r="JO186" i="46"/>
  <c r="GX186" i="46"/>
  <c r="FH184" i="46"/>
  <c r="JU185" i="46"/>
  <c r="HA184" i="46"/>
  <c r="KA185" i="46"/>
  <c r="FK186" i="46"/>
  <c r="HG185" i="46"/>
  <c r="DR186" i="46"/>
  <c r="AI187" i="46"/>
  <c r="HS187" i="46"/>
  <c r="EG186" i="46"/>
  <c r="EJ186" i="46"/>
  <c r="CK187" i="46"/>
  <c r="JU187" i="46"/>
  <c r="BS185" i="46"/>
  <c r="IK186" i="46"/>
  <c r="EJ187" i="46"/>
  <c r="IW184" i="46"/>
  <c r="FE186" i="46"/>
  <c r="GR187" i="46"/>
  <c r="CB188" i="46"/>
  <c r="JL188" i="46"/>
  <c r="GX187" i="46"/>
  <c r="CE188" i="46"/>
  <c r="JO188" i="46"/>
  <c r="HG187" i="46"/>
  <c r="CH188" i="46"/>
  <c r="JR188" i="46"/>
  <c r="HJ187" i="46"/>
  <c r="CK188" i="46"/>
  <c r="JU188" i="46"/>
  <c r="KG187" i="46"/>
  <c r="EJ188" i="46"/>
  <c r="KJ187" i="46"/>
  <c r="EM188" i="46"/>
  <c r="KM187" i="46"/>
  <c r="BY189" i="46"/>
  <c r="JI189" i="46"/>
  <c r="DL190" i="46"/>
  <c r="KV190" i="46"/>
  <c r="GO187" i="46"/>
  <c r="DU188" i="46"/>
  <c r="GR189" i="46"/>
  <c r="EA189" i="46"/>
  <c r="BJ189" i="46"/>
  <c r="BV188" i="46"/>
  <c r="AR189" i="46"/>
  <c r="AO190" i="46"/>
  <c r="JC190" i="46"/>
  <c r="BY191" i="46"/>
  <c r="JI191" i="46"/>
  <c r="KA189" i="46"/>
  <c r="FZ190" i="46"/>
  <c r="GR191" i="46"/>
  <c r="BY188" i="46"/>
  <c r="HG189" i="46"/>
  <c r="EA190" i="46"/>
  <c r="EY191" i="46"/>
  <c r="DR189" i="46"/>
  <c r="CB190" i="46"/>
  <c r="KM190" i="46"/>
  <c r="DF191" i="46"/>
  <c r="KP191" i="46"/>
  <c r="CW188" i="46"/>
  <c r="HV189" i="46"/>
  <c r="EG190" i="46"/>
  <c r="FE191" i="46"/>
  <c r="KV189" i="46"/>
  <c r="GO190" i="46"/>
  <c r="HD191" i="46"/>
  <c r="CN189" i="46"/>
  <c r="BJ190" i="46"/>
  <c r="JU190" i="46"/>
  <c r="CQ191" i="46"/>
  <c r="KA191" i="46"/>
  <c r="BA192" i="46"/>
  <c r="IK192" i="46"/>
  <c r="CN193" i="46"/>
  <c r="JX193" i="46"/>
  <c r="EA194" i="46"/>
  <c r="FN195" i="46"/>
  <c r="HA196" i="46"/>
  <c r="AL190" i="46"/>
  <c r="JF191" i="46"/>
  <c r="CZ192" i="46"/>
  <c r="KJ192" i="46"/>
  <c r="EM193" i="46"/>
  <c r="FZ194" i="46"/>
  <c r="CT191" i="46"/>
  <c r="CE192" i="46"/>
  <c r="JO192" i="46"/>
  <c r="DR193" i="46"/>
  <c r="LB193" i="46"/>
  <c r="FE194" i="46"/>
  <c r="BJ192" i="46"/>
  <c r="IT192" i="46"/>
  <c r="CW193" i="46"/>
  <c r="KG193" i="46"/>
  <c r="DR190" i="46"/>
  <c r="DI192" i="46"/>
  <c r="KS192" i="46"/>
  <c r="GO194" i="46"/>
  <c r="BS195" i="46"/>
  <c r="KG195" i="46"/>
  <c r="DF196" i="46"/>
  <c r="FK194" i="46"/>
  <c r="AU195" i="46"/>
  <c r="JI195" i="46"/>
  <c r="CH196" i="46"/>
  <c r="KV196" i="46"/>
  <c r="FT190" i="46"/>
  <c r="GF192" i="46"/>
  <c r="HS193" i="46"/>
  <c r="BA194" i="46"/>
  <c r="GF195" i="46"/>
  <c r="HS196" i="46"/>
  <c r="AL193" i="46"/>
  <c r="IN194" i="46"/>
  <c r="DF195" i="46"/>
  <c r="FT194" i="46"/>
  <c r="BG195" i="46"/>
  <c r="JR195" i="46"/>
  <c r="JF192" i="46"/>
  <c r="KS193" i="46"/>
  <c r="CZ194" i="46"/>
  <c r="HS195" i="46"/>
  <c r="JX192" i="46"/>
  <c r="DL194" i="46"/>
  <c r="HV195" i="46"/>
  <c r="Z196" i="46"/>
  <c r="EM197" i="46"/>
  <c r="BY196" i="46"/>
  <c r="FN197" i="46"/>
  <c r="EV195" i="46"/>
  <c r="DX196" i="46"/>
  <c r="GO197" i="46"/>
  <c r="AR194" i="46"/>
  <c r="FW196" i="46"/>
  <c r="AF197" i="46"/>
  <c r="HP197" i="46"/>
  <c r="HJ192" i="46"/>
  <c r="JI196" i="46"/>
  <c r="CE197" i="46"/>
  <c r="JO197" i="46"/>
  <c r="ED197" i="46"/>
  <c r="AO195" i="46"/>
  <c r="CZ196" i="46"/>
  <c r="GC197" i="46"/>
  <c r="JX197" i="46"/>
  <c r="HV196" i="46"/>
  <c r="IQ197" i="46"/>
  <c r="CN197" i="46"/>
  <c r="IE194" i="46"/>
  <c r="CW195" i="46"/>
  <c r="EJ196" i="46"/>
  <c r="GR194" i="46"/>
  <c r="BY195" i="46"/>
  <c r="KJ195" i="46"/>
  <c r="DL196" i="46"/>
  <c r="IH192" i="46"/>
  <c r="JU193" i="46"/>
  <c r="CQ194" i="46"/>
  <c r="HG195" i="46"/>
  <c r="AI196" i="46"/>
  <c r="IT196" i="46"/>
  <c r="BP192" i="46"/>
  <c r="DC193" i="46"/>
  <c r="KD194" i="46"/>
  <c r="EG195" i="46"/>
  <c r="HJ194" i="46"/>
  <c r="CH195" i="46"/>
  <c r="KS195" i="46"/>
  <c r="W191" i="46"/>
  <c r="EP194" i="46"/>
  <c r="AI195" i="46"/>
  <c r="IT195" i="46"/>
  <c r="FN191" i="46"/>
  <c r="ES194" i="46"/>
  <c r="AL195" i="46"/>
  <c r="IW195" i="46"/>
  <c r="BV196" i="46"/>
  <c r="FK197" i="46"/>
  <c r="DU195" i="46"/>
  <c r="DU196" i="46"/>
  <c r="GL197" i="46"/>
  <c r="FT196" i="46"/>
  <c r="AC197" i="46"/>
  <c r="HM197" i="46"/>
  <c r="HJ196" i="46"/>
  <c r="BD197" i="46"/>
  <c r="IN197" i="46"/>
  <c r="LE196" i="46"/>
  <c r="DC197" i="46"/>
  <c r="KM197" i="46"/>
  <c r="BA196" i="46"/>
  <c r="FB197" i="46"/>
  <c r="IZ195" i="46"/>
  <c r="EV196" i="46"/>
  <c r="HA197" i="46"/>
  <c r="KA195" i="46"/>
  <c r="KD196" i="46"/>
  <c r="DL197" i="46"/>
  <c r="EV193" i="46"/>
  <c r="JU189" i="46"/>
  <c r="CE193" i="46"/>
  <c r="JL194" i="46"/>
  <c r="DX195" i="46"/>
  <c r="FK196" i="46"/>
  <c r="GO188" i="46"/>
  <c r="IH194" i="46"/>
  <c r="CZ195" i="46"/>
  <c r="EM196" i="46"/>
  <c r="KY192" i="46"/>
  <c r="DX194" i="46"/>
  <c r="W195" i="46"/>
  <c r="IK195" i="46"/>
  <c r="BJ196" i="46"/>
  <c r="JX196" i="46"/>
  <c r="DR192" i="46"/>
  <c r="FE193" i="46"/>
  <c r="W194" i="46"/>
  <c r="FH195" i="46"/>
  <c r="AO193" i="46"/>
  <c r="IZ194" i="46"/>
  <c r="DI195" i="46"/>
  <c r="GF194" i="46"/>
  <c r="BJ195" i="46"/>
  <c r="JU195" i="46"/>
  <c r="GI194" i="46"/>
  <c r="BM195" i="46"/>
  <c r="JX195" i="46"/>
  <c r="CQ195" i="46"/>
  <c r="DR196" i="46"/>
  <c r="GI197" i="46"/>
  <c r="IE189" i="46"/>
  <c r="FH196" i="46"/>
  <c r="Z197" i="46"/>
  <c r="HJ197" i="46"/>
  <c r="KY194" i="46"/>
  <c r="HG196" i="46"/>
  <c r="BA197" i="46"/>
  <c r="IK197" i="46"/>
  <c r="FH192" i="46"/>
  <c r="JF196" i="46"/>
  <c r="CB197" i="46"/>
  <c r="JL197" i="46"/>
  <c r="EA197" i="46"/>
  <c r="CW196" i="46"/>
  <c r="FZ197" i="46"/>
  <c r="GL191" i="46"/>
  <c r="EV194" i="46"/>
  <c r="GI196" i="46"/>
  <c r="AO197" i="46"/>
  <c r="HY197" i="46"/>
  <c r="HD197" i="46"/>
  <c r="GL194" i="46"/>
  <c r="KV197" i="46"/>
  <c r="BP195" i="46"/>
  <c r="HD196" i="46"/>
  <c r="IH197" i="46"/>
  <c r="CQ192" i="46"/>
  <c r="JI197" i="46"/>
  <c r="KJ197" i="46"/>
  <c r="IW193" i="46"/>
  <c r="AX196" i="46"/>
  <c r="ES196" i="46"/>
  <c r="IE196" i="46"/>
  <c r="BM197" i="46"/>
  <c r="EY196" i="46"/>
  <c r="AR197" i="46"/>
  <c r="EJ197" i="46"/>
  <c r="GF196" i="46"/>
  <c r="HV197" i="46"/>
  <c r="JU197" i="46"/>
  <c r="IB197" i="46"/>
  <c r="W196" i="46"/>
  <c r="IZ197" i="46"/>
  <c r="DU194" i="46"/>
  <c r="IE195" i="46"/>
  <c r="BG196" i="46"/>
  <c r="DO192" i="46"/>
  <c r="GR196" i="46"/>
  <c r="KP195" i="46"/>
  <c r="EM194" i="46"/>
  <c r="AF195" i="46"/>
  <c r="IQ193" i="46"/>
  <c r="GR195" i="46"/>
  <c r="GU195" i="46"/>
  <c r="BM193" i="46"/>
  <c r="AL196" i="46"/>
  <c r="CB196" i="46"/>
  <c r="FW195" i="46"/>
  <c r="GR197" i="46"/>
  <c r="BG197" i="46"/>
  <c r="DF197" i="46"/>
  <c r="BP196" i="46"/>
  <c r="FE197" i="46"/>
  <c r="EG193" i="46"/>
  <c r="LB194" i="46"/>
  <c r="EY195" i="46"/>
  <c r="GL196" i="46"/>
  <c r="LB189" i="46"/>
  <c r="AU192" i="46"/>
  <c r="CH193" i="46"/>
  <c r="JX194" i="46"/>
  <c r="EA195" i="46"/>
  <c r="FN196" i="46"/>
  <c r="FN194" i="46"/>
  <c r="BA195" i="46"/>
  <c r="JL195" i="46"/>
  <c r="CN196" i="46"/>
  <c r="KY196" i="46"/>
  <c r="GU190" i="46"/>
  <c r="GI192" i="46"/>
  <c r="HV193" i="46"/>
  <c r="BD194" i="46"/>
  <c r="GI195" i="46"/>
  <c r="BS192" i="46"/>
  <c r="DF193" i="46"/>
  <c r="KG194" i="46"/>
  <c r="EJ195" i="46"/>
  <c r="HM194" i="46"/>
  <c r="CK195" i="46"/>
  <c r="KV195" i="46"/>
  <c r="HP194" i="46"/>
  <c r="CN195" i="46"/>
  <c r="KY195" i="46"/>
  <c r="LE195" i="46"/>
  <c r="FB196" i="46"/>
  <c r="W197" i="46"/>
  <c r="HG197" i="46"/>
  <c r="JI194" i="46"/>
  <c r="AX197" i="46"/>
  <c r="JC196" i="46"/>
  <c r="BY197" i="46"/>
  <c r="LB196" i="46"/>
  <c r="CZ197" i="46"/>
  <c r="EY197" i="46"/>
  <c r="HY195" i="46"/>
  <c r="GX197" i="46"/>
  <c r="IW197" i="46"/>
  <c r="CT196" i="46"/>
  <c r="FW197" i="46"/>
  <c r="AL197" i="46"/>
  <c r="KA196" i="46"/>
  <c r="KS197" i="46"/>
  <c r="GU196" i="46"/>
  <c r="BP197" i="46"/>
  <c r="FH197" i="46"/>
  <c r="BS196" i="46"/>
  <c r="IB192" i="46"/>
  <c r="FE195" i="46"/>
  <c r="HG194" i="46"/>
  <c r="CE195" i="46"/>
  <c r="IQ195" i="46"/>
  <c r="IT193" i="46"/>
  <c r="DO197" i="46"/>
  <c r="KP197" i="46"/>
  <c r="AR192" i="46"/>
  <c r="GX193" i="46"/>
  <c r="AU194" i="46"/>
  <c r="FZ195" i="46"/>
  <c r="HM196" i="46"/>
  <c r="DL192" i="46"/>
  <c r="EY193" i="46"/>
  <c r="LE194" i="46"/>
  <c r="FB195" i="46"/>
  <c r="GO196" i="46"/>
  <c r="HD194" i="46"/>
  <c r="CB195" i="46"/>
  <c r="KM195" i="46"/>
  <c r="DO196" i="46"/>
  <c r="IZ192" i="46"/>
  <c r="KM193" i="46"/>
  <c r="CT194" i="46"/>
  <c r="HM195" i="46"/>
  <c r="EJ192" i="46"/>
  <c r="FW193" i="46"/>
  <c r="Z194" i="46"/>
  <c r="FK195" i="46"/>
  <c r="BG193" i="46"/>
  <c r="JC194" i="46"/>
  <c r="DL195" i="46"/>
  <c r="W192" i="46"/>
  <c r="BJ193" i="46"/>
  <c r="JF194" i="46"/>
  <c r="DO195" i="46"/>
  <c r="IB194" i="46"/>
  <c r="GX196" i="46"/>
  <c r="AU197" i="46"/>
  <c r="IE197" i="46"/>
  <c r="Z192" i="46"/>
  <c r="IZ196" i="46"/>
  <c r="BV197" i="46"/>
  <c r="JF197" i="46"/>
  <c r="KM196" i="46"/>
  <c r="CW197" i="46"/>
  <c r="KG197" i="46"/>
  <c r="DX197" i="46"/>
  <c r="DO194" i="46"/>
  <c r="CK197" i="46"/>
  <c r="IT197" i="46"/>
  <c r="CE196" i="46"/>
  <c r="JR196" i="46"/>
  <c r="FB193" i="46"/>
  <c r="KY197" i="46"/>
  <c r="EP197" i="46"/>
  <c r="FQ197" i="46"/>
  <c r="IH196" i="46"/>
  <c r="CT192" i="46"/>
  <c r="JO193" i="46"/>
  <c r="CB194" i="46"/>
  <c r="HA195" i="46"/>
  <c r="AC196" i="46"/>
  <c r="IN196" i="46"/>
  <c r="ES190" i="46"/>
  <c r="FN192" i="46"/>
  <c r="HA193" i="46"/>
  <c r="AX194" i="46"/>
  <c r="GC195" i="46"/>
  <c r="HP196" i="46"/>
  <c r="AI193" i="46"/>
  <c r="IK194" i="46"/>
  <c r="DC195" i="46"/>
  <c r="EP196" i="46"/>
  <c r="LB192" i="46"/>
  <c r="EJ194" i="46"/>
  <c r="AC195" i="46"/>
  <c r="IN195" i="46"/>
  <c r="GL192" i="46"/>
  <c r="HY193" i="46"/>
  <c r="BP194" i="46"/>
  <c r="GO195" i="46"/>
  <c r="BV192" i="46"/>
  <c r="DI193" i="46"/>
  <c r="KJ194" i="46"/>
  <c r="EM195" i="46"/>
  <c r="CN192" i="46"/>
  <c r="EA193" i="46"/>
  <c r="KV194" i="46"/>
  <c r="ES195" i="46"/>
  <c r="IK196" i="46"/>
  <c r="BS197" i="46"/>
  <c r="JC197" i="46"/>
  <c r="KJ196" i="46"/>
  <c r="CT197" i="46"/>
  <c r="KD197" i="46"/>
  <c r="DU197" i="46"/>
  <c r="LE197" i="46"/>
  <c r="GU193" i="46"/>
  <c r="AU196" i="46"/>
  <c r="EV197" i="46"/>
  <c r="GX195" i="46"/>
  <c r="ED196" i="46"/>
  <c r="GU197" i="46"/>
  <c r="IB196" i="46"/>
  <c r="BJ197" i="46"/>
  <c r="DI197" i="46"/>
  <c r="GF197" i="46"/>
  <c r="FH194" i="46"/>
  <c r="JC195" i="46"/>
  <c r="BS194" i="46"/>
  <c r="HG192" i="46"/>
  <c r="BV194" i="46"/>
  <c r="DC196" i="46"/>
  <c r="FK192" i="46"/>
  <c r="DR194" i="46"/>
  <c r="IB195" i="46"/>
  <c r="BD196" i="46"/>
  <c r="JO196" i="46"/>
  <c r="IE192" i="46"/>
  <c r="JR193" i="46"/>
  <c r="CN194" i="46"/>
  <c r="HD195" i="46"/>
  <c r="AF196" i="46"/>
  <c r="IQ196" i="46"/>
  <c r="AX192" i="46"/>
  <c r="CK193" i="46"/>
  <c r="KA194" i="46"/>
  <c r="ED195" i="46"/>
  <c r="FQ196" i="46"/>
  <c r="FQ194" i="46"/>
  <c r="BD195" i="46"/>
  <c r="JO195" i="46"/>
  <c r="JC192" i="46"/>
  <c r="KP193" i="46"/>
  <c r="CW194" i="46"/>
  <c r="HP195" i="46"/>
  <c r="EM192" i="46"/>
  <c r="FZ193" i="46"/>
  <c r="AC194" i="46"/>
  <c r="FQ195" i="46"/>
  <c r="EP192" i="46"/>
  <c r="GC193" i="46"/>
  <c r="AF194" i="46"/>
  <c r="FT195" i="46"/>
  <c r="KG196" i="46"/>
  <c r="CQ197" i="46"/>
  <c r="KA197" i="46"/>
  <c r="DR197" i="46"/>
  <c r="LB197" i="46"/>
  <c r="ED193" i="46"/>
  <c r="AR196" i="46"/>
  <c r="ES197" i="46"/>
  <c r="CQ196" i="46"/>
  <c r="FT197" i="46"/>
  <c r="BY194" i="46"/>
  <c r="FZ196" i="46"/>
  <c r="AI197" i="46"/>
  <c r="HS197" i="46"/>
  <c r="KA192" i="46"/>
  <c r="JL196" i="46"/>
  <c r="CH197" i="46"/>
  <c r="JR197" i="46"/>
  <c r="EG197" i="46"/>
  <c r="AR195" i="46"/>
  <c r="KP196" i="46"/>
  <c r="KV192" i="46"/>
  <c r="HD192" i="46"/>
  <c r="EA196" i="46"/>
  <c r="T205" i="46"/>
  <c r="T203" i="46"/>
  <c r="T207" i="46"/>
  <c r="T200" i="46"/>
  <c r="J3" i="47"/>
  <c r="J2" i="47"/>
  <c r="K2" i="47"/>
  <c r="T202" i="46"/>
  <c r="T201" i="46"/>
  <c r="T204" i="46"/>
  <c r="T206" i="46"/>
  <c r="B29" i="50" a="1"/>
  <c r="B29" i="50" s="1"/>
  <c r="C29" i="48" a="1"/>
  <c r="C29" i="48" s="1"/>
  <c r="B29" i="48" s="1"/>
  <c r="C35" i="48" a="1"/>
  <c r="C35" i="48" s="1"/>
  <c r="B35" i="48" s="1"/>
  <c r="B35" i="50" a="1"/>
  <c r="B35" i="50" s="1"/>
  <c r="C23" i="48" a="1"/>
  <c r="C23" i="48" s="1"/>
  <c r="B23" i="48" s="1"/>
  <c r="B23" i="50" a="1"/>
  <c r="B23" i="50" s="1"/>
  <c r="B25" i="50" a="1"/>
  <c r="B25" i="50" s="1"/>
  <c r="C25" i="48" a="1"/>
  <c r="C25" i="48" s="1"/>
  <c r="B25" i="48" s="1"/>
  <c r="B21" i="50" a="1"/>
  <c r="B21" i="50" s="1"/>
  <c r="C21" i="48" a="1"/>
  <c r="C21" i="48" s="1"/>
  <c r="B21" i="48" s="1"/>
  <c r="C27" i="48" a="1"/>
  <c r="C27" i="48" s="1"/>
  <c r="B27" i="48" s="1"/>
  <c r="B27" i="50" a="1"/>
  <c r="B27" i="50" s="1"/>
  <c r="T191" i="46"/>
  <c r="T195" i="46"/>
  <c r="T188" i="46"/>
  <c r="T192" i="46"/>
  <c r="T187" i="46"/>
  <c r="T197" i="46"/>
  <c r="T186" i="46"/>
  <c r="T196" i="46"/>
  <c r="T190" i="46"/>
  <c r="T189" i="46"/>
  <c r="T182" i="46"/>
  <c r="T194" i="46"/>
  <c r="T183" i="46"/>
  <c r="T185" i="46"/>
  <c r="T193" i="46"/>
  <c r="T184" i="46"/>
  <c r="N134" i="3"/>
  <c r="AF134" i="3" s="1"/>
  <c r="AG127" i="3"/>
  <c r="N132" i="3"/>
  <c r="AF132" i="3" s="1"/>
  <c r="D132" i="3" s="1"/>
  <c r="AG125" i="3"/>
  <c r="AG121" i="3"/>
  <c r="M131" i="3"/>
  <c r="AA131" i="3" s="1"/>
  <c r="N133" i="3"/>
  <c r="AF133" i="3" s="1"/>
  <c r="D133" i="3" s="1"/>
  <c r="AG123" i="3"/>
  <c r="E84" i="48"/>
  <c r="F83" i="48" a="1"/>
  <c r="F83" i="48" s="1"/>
  <c r="HS198" i="46" l="1"/>
  <c r="CZ198" i="46"/>
  <c r="CH198" i="46"/>
  <c r="DX198" i="46"/>
  <c r="EV198" i="46"/>
  <c r="FE208" i="46"/>
  <c r="GC208" i="46"/>
  <c r="AI198" i="46"/>
  <c r="JR198" i="46"/>
  <c r="CK208" i="46"/>
  <c r="ES208" i="46"/>
  <c r="EG208" i="46"/>
  <c r="LB208" i="46"/>
  <c r="AL198" i="46"/>
  <c r="FW198" i="46"/>
  <c r="JC208" i="46"/>
  <c r="BY208" i="46"/>
  <c r="JI208" i="46"/>
  <c r="IK208" i="46"/>
  <c r="DF198" i="46"/>
  <c r="GR198" i="46"/>
  <c r="AF198" i="46"/>
  <c r="AO198" i="46"/>
  <c r="AX198" i="46"/>
  <c r="AC198" i="46"/>
  <c r="DI208" i="46"/>
  <c r="IE208" i="46"/>
  <c r="HJ208" i="46"/>
  <c r="GI208" i="46"/>
  <c r="FT198" i="46"/>
  <c r="IT198" i="46"/>
  <c r="KP198" i="46"/>
  <c r="KJ198" i="46"/>
  <c r="EA198" i="46"/>
  <c r="BA198" i="46"/>
  <c r="JU198" i="46"/>
  <c r="GO198" i="46"/>
  <c r="JX198" i="46"/>
  <c r="IB198" i="46"/>
  <c r="LB198" i="46"/>
  <c r="KD198" i="46"/>
  <c r="FQ208" i="46"/>
  <c r="KD208" i="46"/>
  <c r="BM208" i="46"/>
  <c r="BA208" i="46"/>
  <c r="JU208" i="46"/>
  <c r="AO208" i="46"/>
  <c r="CW208" i="46"/>
  <c r="CT208" i="46"/>
  <c r="GX208" i="46"/>
  <c r="HP208" i="46"/>
  <c r="BS208" i="46"/>
  <c r="JX208" i="46"/>
  <c r="KP208" i="46"/>
  <c r="IH208" i="46"/>
  <c r="JR208" i="46"/>
  <c r="JF208" i="46"/>
  <c r="IT208" i="46"/>
  <c r="GF208" i="46"/>
  <c r="HD208" i="46"/>
  <c r="HV208" i="46"/>
  <c r="EP208" i="46"/>
  <c r="EY198" i="46"/>
  <c r="JL198" i="46"/>
  <c r="CK198" i="46"/>
  <c r="HA198" i="46"/>
  <c r="GC198" i="46"/>
  <c r="CN198" i="46"/>
  <c r="FK198" i="46"/>
  <c r="AR198" i="46"/>
  <c r="GL198" i="46"/>
  <c r="FN198" i="46"/>
  <c r="EP198" i="46"/>
  <c r="DR198" i="46"/>
  <c r="CT198" i="46"/>
  <c r="DU208" i="46"/>
  <c r="EA208" i="46"/>
  <c r="KG208" i="46"/>
  <c r="HA208" i="46"/>
  <c r="GU208" i="46"/>
  <c r="AF208" i="46"/>
  <c r="ED208" i="46"/>
  <c r="DF208" i="46"/>
  <c r="CH208" i="46"/>
  <c r="KM208" i="46"/>
  <c r="BJ208" i="46"/>
  <c r="JL208" i="46"/>
  <c r="AL208" i="46"/>
  <c r="GU198" i="46"/>
  <c r="BG198" i="46"/>
  <c r="CB198" i="46"/>
  <c r="FB198" i="46"/>
  <c r="HM198" i="46"/>
  <c r="IK198" i="46"/>
  <c r="IB208" i="46"/>
  <c r="IW208" i="46"/>
  <c r="Z208" i="46"/>
  <c r="DO208" i="46"/>
  <c r="DC208" i="46"/>
  <c r="FH208" i="46"/>
  <c r="CB208" i="46"/>
  <c r="FN208" i="46"/>
  <c r="DL208" i="46"/>
  <c r="FK208" i="46"/>
  <c r="BP208" i="46"/>
  <c r="EM208" i="46"/>
  <c r="GX198" i="46"/>
  <c r="KM198" i="46"/>
  <c r="ED198" i="46"/>
  <c r="IW198" i="46"/>
  <c r="CW198" i="46"/>
  <c r="JI198" i="46"/>
  <c r="FE198" i="46"/>
  <c r="EG198" i="46"/>
  <c r="JF198" i="46"/>
  <c r="IZ198" i="46"/>
  <c r="HJ198" i="46"/>
  <c r="KY198" i="46"/>
  <c r="KA198" i="46"/>
  <c r="JC198" i="46"/>
  <c r="IE198" i="46"/>
  <c r="HG198" i="46"/>
  <c r="AC208" i="46"/>
  <c r="BV208" i="46"/>
  <c r="HM208" i="46"/>
  <c r="HS208" i="46"/>
  <c r="AI208" i="46"/>
  <c r="FZ208" i="46"/>
  <c r="CN208" i="46"/>
  <c r="KV208" i="46"/>
  <c r="KY208" i="46"/>
  <c r="GR208" i="46"/>
  <c r="AU208" i="46"/>
  <c r="W208" i="46"/>
  <c r="BJ198" i="46"/>
  <c r="HV198" i="46"/>
  <c r="DC198" i="46"/>
  <c r="JO198" i="46"/>
  <c r="BM198" i="46"/>
  <c r="BV198" i="46"/>
  <c r="BP198" i="46"/>
  <c r="Z198" i="46"/>
  <c r="DO198" i="46"/>
  <c r="CQ198" i="46"/>
  <c r="BS198" i="46"/>
  <c r="AU198" i="46"/>
  <c r="W198" i="46"/>
  <c r="HY208" i="46"/>
  <c r="DR208" i="46"/>
  <c r="IQ208" i="46"/>
  <c r="JO208" i="46"/>
  <c r="EY208" i="46"/>
  <c r="CE208" i="46"/>
  <c r="BG208" i="46"/>
  <c r="IZ208" i="46"/>
  <c r="FT208" i="46"/>
  <c r="IN198" i="46"/>
  <c r="IQ198" i="46"/>
  <c r="CE198" i="46"/>
  <c r="DU198" i="46"/>
  <c r="ES198" i="46"/>
  <c r="KS198" i="46"/>
  <c r="KG198" i="46"/>
  <c r="FQ198" i="46"/>
  <c r="BY198" i="46"/>
  <c r="KV198" i="46"/>
  <c r="LE208" i="46"/>
  <c r="KS208" i="46"/>
  <c r="KA208" i="46"/>
  <c r="IN208" i="46"/>
  <c r="CQ208" i="46"/>
  <c r="KJ208" i="46"/>
  <c r="FZ198" i="46"/>
  <c r="BD198" i="46"/>
  <c r="HP198" i="46"/>
  <c r="DI198" i="46"/>
  <c r="LE198" i="46"/>
  <c r="HY198" i="46"/>
  <c r="GI198" i="46"/>
  <c r="IH198" i="46"/>
  <c r="EM198" i="46"/>
  <c r="HD198" i="46"/>
  <c r="GF198" i="46"/>
  <c r="FH198" i="46"/>
  <c r="EJ198" i="46"/>
  <c r="DL198" i="46"/>
  <c r="FW208" i="46"/>
  <c r="GO208" i="46"/>
  <c r="BD208" i="46"/>
  <c r="AR208" i="46"/>
  <c r="FB208" i="46"/>
  <c r="AX208" i="46"/>
  <c r="GL208" i="46"/>
  <c r="EV208" i="46"/>
  <c r="EJ208" i="46"/>
  <c r="HG208" i="46"/>
  <c r="DX208" i="46"/>
  <c r="CZ208" i="46"/>
  <c r="T208" i="46"/>
  <c r="AG133" i="3"/>
  <c r="M139" i="3"/>
  <c r="AA139" i="3" s="1"/>
  <c r="AG132" i="3"/>
  <c r="N138" i="3"/>
  <c r="AF138" i="3" s="1"/>
  <c r="T198" i="46"/>
  <c r="M198" i="46"/>
  <c r="I3" i="47" s="1"/>
  <c r="K223" i="46"/>
  <c r="AI44" i="45"/>
  <c r="M217" i="46"/>
  <c r="DT134" i="3"/>
  <c r="C223" i="46"/>
  <c r="D7" i="48" s="1" a="1"/>
  <c r="D7" i="48" s="1"/>
  <c r="C221" i="46"/>
  <c r="M215" i="46"/>
  <c r="K221" i="46"/>
  <c r="DT132" i="3"/>
  <c r="AI20" i="45"/>
  <c r="K220" i="46"/>
  <c r="AI7" i="45"/>
  <c r="DT131" i="3"/>
  <c r="C220" i="46"/>
  <c r="M210" i="46"/>
  <c r="D131" i="3"/>
  <c r="AI32" i="45"/>
  <c r="M216" i="46"/>
  <c r="C222" i="46"/>
  <c r="D6" i="48" s="1" a="1"/>
  <c r="D6" i="48" s="1"/>
  <c r="DT133" i="3"/>
  <c r="K222" i="46"/>
  <c r="F84" i="48" a="1"/>
  <c r="F84" i="48" s="1"/>
  <c r="E85" i="48"/>
  <c r="AF143" i="3" l="1"/>
  <c r="H139" i="3"/>
  <c r="A6" i="50" a="1"/>
  <c r="A6" i="50" s="1"/>
  <c r="A6" i="48" a="1"/>
  <c r="A6" i="48" s="1"/>
  <c r="A7" i="50" a="1"/>
  <c r="A7" i="50" s="1"/>
  <c r="A7" i="48" a="1"/>
  <c r="A7" i="48" s="1"/>
  <c r="B17" i="50" a="1"/>
  <c r="B17" i="50" s="1"/>
  <c r="C17" i="48" a="1"/>
  <c r="C17" i="48" s="1"/>
  <c r="B17" i="48" s="1"/>
  <c r="C19" i="48" a="1"/>
  <c r="C19" i="48" s="1"/>
  <c r="B19" i="48" s="1"/>
  <c r="B19" i="50" a="1"/>
  <c r="B19" i="50" s="1"/>
  <c r="C12" i="48" a="1"/>
  <c r="C12" i="48" s="1"/>
  <c r="B12" i="48" s="1"/>
  <c r="B12" i="50" a="1"/>
  <c r="B12" i="50" s="1"/>
  <c r="B18" i="50" a="1"/>
  <c r="B18" i="50" s="1"/>
  <c r="C18" i="48" a="1"/>
  <c r="C18" i="48" s="1"/>
  <c r="B18" i="48" s="1"/>
  <c r="AL220" i="46"/>
  <c r="ED220" i="46"/>
  <c r="HV220" i="46"/>
  <c r="AR221" i="46"/>
  <c r="BP221" i="46"/>
  <c r="CN221" i="46"/>
  <c r="DL221" i="46"/>
  <c r="EJ221" i="46"/>
  <c r="FH221" i="46"/>
  <c r="GF221" i="46"/>
  <c r="HD221" i="46"/>
  <c r="IB221" i="46"/>
  <c r="IZ221" i="46"/>
  <c r="JX221" i="46"/>
  <c r="KV221" i="46"/>
  <c r="AI222" i="46"/>
  <c r="BG222" i="46"/>
  <c r="CE222" i="46"/>
  <c r="DC222" i="46"/>
  <c r="EA222" i="46"/>
  <c r="EY222" i="46"/>
  <c r="FW222" i="46"/>
  <c r="GU222" i="46"/>
  <c r="HS222" i="46"/>
  <c r="IQ222" i="46"/>
  <c r="JO222" i="46"/>
  <c r="KM222" i="46"/>
  <c r="Z223" i="46"/>
  <c r="AX223" i="46"/>
  <c r="BV223" i="46"/>
  <c r="CT223" i="46"/>
  <c r="DR223" i="46"/>
  <c r="EP223" i="46"/>
  <c r="FN223" i="46"/>
  <c r="GL223" i="46"/>
  <c r="HJ223" i="46"/>
  <c r="IH223" i="46"/>
  <c r="JF223" i="46"/>
  <c r="KD223" i="46"/>
  <c r="LB223" i="46"/>
  <c r="CT220" i="46"/>
  <c r="GL220" i="46"/>
  <c r="KD220" i="46"/>
  <c r="W221" i="46"/>
  <c r="AU221" i="46"/>
  <c r="BS221" i="46"/>
  <c r="CQ221" i="46"/>
  <c r="DO221" i="46"/>
  <c r="EM221" i="46"/>
  <c r="FK221" i="46"/>
  <c r="GI221" i="46"/>
  <c r="HG221" i="46"/>
  <c r="IE221" i="46"/>
  <c r="JC221" i="46"/>
  <c r="KA221" i="46"/>
  <c r="KY221" i="46"/>
  <c r="AL222" i="46"/>
  <c r="BJ222" i="46"/>
  <c r="CH222" i="46"/>
  <c r="DF222" i="46"/>
  <c r="ED222" i="46"/>
  <c r="FB222" i="46"/>
  <c r="FZ222" i="46"/>
  <c r="GX222" i="46"/>
  <c r="HV222" i="46"/>
  <c r="IT222" i="46"/>
  <c r="JR222" i="46"/>
  <c r="KP222" i="46"/>
  <c r="AC223" i="46"/>
  <c r="BA223" i="46"/>
  <c r="BY223" i="46"/>
  <c r="CW223" i="46"/>
  <c r="DU223" i="46"/>
  <c r="ES223" i="46"/>
  <c r="FQ223" i="46"/>
  <c r="GO223" i="46"/>
  <c r="HM223" i="46"/>
  <c r="IK223" i="46"/>
  <c r="JI223" i="46"/>
  <c r="KG223" i="46"/>
  <c r="LE223" i="46"/>
  <c r="BJ220" i="46"/>
  <c r="FB220" i="46"/>
  <c r="IT220" i="46"/>
  <c r="Z221" i="46"/>
  <c r="AX221" i="46"/>
  <c r="BV221" i="46"/>
  <c r="CT221" i="46"/>
  <c r="DR221" i="46"/>
  <c r="EP221" i="46"/>
  <c r="FN221" i="46"/>
  <c r="GL221" i="46"/>
  <c r="HJ221" i="46"/>
  <c r="IH221" i="46"/>
  <c r="JF221" i="46"/>
  <c r="KD221" i="46"/>
  <c r="LB221" i="46"/>
  <c r="AO222" i="46"/>
  <c r="BM222" i="46"/>
  <c r="CK222" i="46"/>
  <c r="DI222" i="46"/>
  <c r="EG222" i="46"/>
  <c r="FE222" i="46"/>
  <c r="GC222" i="46"/>
  <c r="HA222" i="46"/>
  <c r="HY222" i="46"/>
  <c r="IW222" i="46"/>
  <c r="JU222" i="46"/>
  <c r="KS222" i="46"/>
  <c r="AF223" i="46"/>
  <c r="BD223" i="46"/>
  <c r="CB223" i="46"/>
  <c r="CZ223" i="46"/>
  <c r="DX223" i="46"/>
  <c r="EV223" i="46"/>
  <c r="FT223" i="46"/>
  <c r="GR223" i="46"/>
  <c r="HP223" i="46"/>
  <c r="IN223" i="46"/>
  <c r="JL223" i="46"/>
  <c r="KJ223" i="46"/>
  <c r="Z220" i="46"/>
  <c r="DR220" i="46"/>
  <c r="HJ220" i="46"/>
  <c r="LB220" i="46"/>
  <c r="AC221" i="46"/>
  <c r="BA221" i="46"/>
  <c r="BY221" i="46"/>
  <c r="CW221" i="46"/>
  <c r="DU221" i="46"/>
  <c r="ES221" i="46"/>
  <c r="FQ221" i="46"/>
  <c r="GO221" i="46"/>
  <c r="HM221" i="46"/>
  <c r="IK221" i="46"/>
  <c r="JI221" i="46"/>
  <c r="KG221" i="46"/>
  <c r="LE221" i="46"/>
  <c r="AR222" i="46"/>
  <c r="BP222" i="46"/>
  <c r="CN222" i="46"/>
  <c r="DL222" i="46"/>
  <c r="EJ222" i="46"/>
  <c r="FH222" i="46"/>
  <c r="GF222" i="46"/>
  <c r="HD222" i="46"/>
  <c r="IB222" i="46"/>
  <c r="IZ222" i="46"/>
  <c r="JX222" i="46"/>
  <c r="KV222" i="46"/>
  <c r="AI223" i="46"/>
  <c r="BG223" i="46"/>
  <c r="CE223" i="46"/>
  <c r="DC223" i="46"/>
  <c r="EA223" i="46"/>
  <c r="EY223" i="46"/>
  <c r="FW223" i="46"/>
  <c r="GU223" i="46"/>
  <c r="HS223" i="46"/>
  <c r="IQ223" i="46"/>
  <c r="JO223" i="46"/>
  <c r="KM223" i="46"/>
  <c r="CH220" i="46"/>
  <c r="FZ220" i="46"/>
  <c r="JR220" i="46"/>
  <c r="AF221" i="46"/>
  <c r="BD221" i="46"/>
  <c r="CB221" i="46"/>
  <c r="CZ221" i="46"/>
  <c r="DX221" i="46"/>
  <c r="EV221" i="46"/>
  <c r="FT221" i="46"/>
  <c r="GR221" i="46"/>
  <c r="HP221" i="46"/>
  <c r="IN221" i="46"/>
  <c r="JL221" i="46"/>
  <c r="KJ221" i="46"/>
  <c r="W222" i="46"/>
  <c r="AU222" i="46"/>
  <c r="BS222" i="46"/>
  <c r="CQ222" i="46"/>
  <c r="DO222" i="46"/>
  <c r="EM222" i="46"/>
  <c r="FK222" i="46"/>
  <c r="GI222" i="46"/>
  <c r="HG222" i="46"/>
  <c r="IE222" i="46"/>
  <c r="JC222" i="46"/>
  <c r="KA222" i="46"/>
  <c r="KY222" i="46"/>
  <c r="AL223" i="46"/>
  <c r="BJ223" i="46"/>
  <c r="CH223" i="46"/>
  <c r="DF223" i="46"/>
  <c r="ED223" i="46"/>
  <c r="FB223" i="46"/>
  <c r="FZ223" i="46"/>
  <c r="GX223" i="46"/>
  <c r="HV223" i="46"/>
  <c r="IT223" i="46"/>
  <c r="JR223" i="46"/>
  <c r="KP223" i="46"/>
  <c r="AX220" i="46"/>
  <c r="EP220" i="46"/>
  <c r="IH220" i="46"/>
  <c r="AI221" i="46"/>
  <c r="BG221" i="46"/>
  <c r="CE221" i="46"/>
  <c r="DC221" i="46"/>
  <c r="EA221" i="46"/>
  <c r="EY221" i="46"/>
  <c r="FW221" i="46"/>
  <c r="GU221" i="46"/>
  <c r="HS221" i="46"/>
  <c r="IQ221" i="46"/>
  <c r="JO221" i="46"/>
  <c r="KM221" i="46"/>
  <c r="Z222" i="46"/>
  <c r="AX222" i="46"/>
  <c r="BV222" i="46"/>
  <c r="CT222" i="46"/>
  <c r="DR222" i="46"/>
  <c r="EP222" i="46"/>
  <c r="FN222" i="46"/>
  <c r="GL222" i="46"/>
  <c r="HJ222" i="46"/>
  <c r="IH222" i="46"/>
  <c r="JF222" i="46"/>
  <c r="KD222" i="46"/>
  <c r="LB222" i="46"/>
  <c r="AO223" i="46"/>
  <c r="BM223" i="46"/>
  <c r="CK223" i="46"/>
  <c r="DI223" i="46"/>
  <c r="EG223" i="46"/>
  <c r="FE223" i="46"/>
  <c r="GC223" i="46"/>
  <c r="HA223" i="46"/>
  <c r="HY223" i="46"/>
  <c r="IW223" i="46"/>
  <c r="JU223" i="46"/>
  <c r="KS223" i="46"/>
  <c r="FN220" i="46"/>
  <c r="BJ221" i="46"/>
  <c r="FB221" i="46"/>
  <c r="IT221" i="46"/>
  <c r="CW222" i="46"/>
  <c r="GO222" i="46"/>
  <c r="KG222" i="46"/>
  <c r="AR223" i="46"/>
  <c r="EJ223" i="46"/>
  <c r="IB223" i="46"/>
  <c r="BM221" i="46"/>
  <c r="FE221" i="46"/>
  <c r="IW221" i="46"/>
  <c r="CZ222" i="46"/>
  <c r="GR222" i="46"/>
  <c r="KJ222" i="46"/>
  <c r="AU223" i="46"/>
  <c r="EM223" i="46"/>
  <c r="IE223" i="46"/>
  <c r="JF220" i="46"/>
  <c r="CH221" i="46"/>
  <c r="FZ221" i="46"/>
  <c r="JR221" i="46"/>
  <c r="AC222" i="46"/>
  <c r="DU222" i="46"/>
  <c r="HM222" i="46"/>
  <c r="LE222" i="46"/>
  <c r="BP223" i="46"/>
  <c r="FH223" i="46"/>
  <c r="IZ223" i="46"/>
  <c r="DF220" i="46"/>
  <c r="CK221" i="46"/>
  <c r="GC221" i="46"/>
  <c r="JU221" i="46"/>
  <c r="AF222" i="46"/>
  <c r="DX222" i="46"/>
  <c r="HP222" i="46"/>
  <c r="BS223" i="46"/>
  <c r="FK223" i="46"/>
  <c r="JC223" i="46"/>
  <c r="DF221" i="46"/>
  <c r="GX221" i="46"/>
  <c r="KP221" i="46"/>
  <c r="BA222" i="46"/>
  <c r="ES222" i="46"/>
  <c r="IK222" i="46"/>
  <c r="CN223" i="46"/>
  <c r="GF223" i="46"/>
  <c r="JX223" i="46"/>
  <c r="GX220" i="46"/>
  <c r="DI221" i="46"/>
  <c r="HA221" i="46"/>
  <c r="KS221" i="46"/>
  <c r="BD222" i="46"/>
  <c r="EV222" i="46"/>
  <c r="IN222" i="46"/>
  <c r="CQ223" i="46"/>
  <c r="GI223" i="46"/>
  <c r="KA223" i="46"/>
  <c r="BV220" i="46"/>
  <c r="AL221" i="46"/>
  <c r="ED221" i="46"/>
  <c r="HV221" i="46"/>
  <c r="BY222" i="46"/>
  <c r="FQ222" i="46"/>
  <c r="JI222" i="46"/>
  <c r="DL223" i="46"/>
  <c r="HD223" i="46"/>
  <c r="KV223" i="46"/>
  <c r="AO221" i="46"/>
  <c r="CB222" i="46"/>
  <c r="DO223" i="46"/>
  <c r="EG221" i="46"/>
  <c r="FT222" i="46"/>
  <c r="HG223" i="46"/>
  <c r="HY221" i="46"/>
  <c r="JL222" i="46"/>
  <c r="KY223" i="46"/>
  <c r="KP220" i="46"/>
  <c r="W223" i="46"/>
  <c r="GI220" i="46"/>
  <c r="KS220" i="46"/>
  <c r="CK220" i="46"/>
  <c r="LE220" i="46"/>
  <c r="BP220" i="46"/>
  <c r="KJ220" i="46"/>
  <c r="AU220" i="46"/>
  <c r="IB220" i="46"/>
  <c r="HY220" i="46"/>
  <c r="IQ220" i="46"/>
  <c r="GC220" i="46"/>
  <c r="CB220" i="46"/>
  <c r="AR220" i="46"/>
  <c r="KY220" i="46"/>
  <c r="KV220" i="46"/>
  <c r="BA220" i="46"/>
  <c r="BM220" i="46"/>
  <c r="IN220" i="46"/>
  <c r="JX220" i="46"/>
  <c r="BS220" i="46"/>
  <c r="KM220" i="46"/>
  <c r="AC220" i="46"/>
  <c r="IW220" i="46"/>
  <c r="GO220" i="46"/>
  <c r="HG220" i="46"/>
  <c r="HD220" i="46"/>
  <c r="HA220" i="46"/>
  <c r="IK220" i="46"/>
  <c r="EM220" i="46"/>
  <c r="CQ220" i="46"/>
  <c r="EA220" i="46"/>
  <c r="FK220" i="46"/>
  <c r="CZ220" i="46"/>
  <c r="KG220" i="46"/>
  <c r="DX220" i="46"/>
  <c r="DC220" i="46"/>
  <c r="JO220" i="46"/>
  <c r="HS220" i="46"/>
  <c r="KA220" i="46"/>
  <c r="ES220" i="46"/>
  <c r="JU220" i="46"/>
  <c r="AF220" i="46"/>
  <c r="IZ220" i="46"/>
  <c r="IE220" i="46"/>
  <c r="FW220" i="46"/>
  <c r="FT220" i="46"/>
  <c r="FQ220" i="46"/>
  <c r="CE220" i="46"/>
  <c r="DU220" i="46"/>
  <c r="DI220" i="46"/>
  <c r="EV220" i="46"/>
  <c r="AI220" i="46"/>
  <c r="JC220" i="46"/>
  <c r="HM220" i="46"/>
  <c r="GR220" i="46"/>
  <c r="EJ220" i="46"/>
  <c r="EG220" i="46"/>
  <c r="EY220" i="46"/>
  <c r="FH220" i="46"/>
  <c r="BY220" i="46"/>
  <c r="AO220" i="46"/>
  <c r="BG220" i="46"/>
  <c r="JL220" i="46"/>
  <c r="BD220" i="46"/>
  <c r="CN220" i="46"/>
  <c r="HP220" i="46"/>
  <c r="GU220" i="46"/>
  <c r="FE220" i="46"/>
  <c r="CW220" i="46"/>
  <c r="DO220" i="46"/>
  <c r="DL220" i="46"/>
  <c r="GF220" i="46"/>
  <c r="W220" i="46"/>
  <c r="JI220" i="46"/>
  <c r="AR210" i="46"/>
  <c r="BP210" i="46"/>
  <c r="CN210" i="46"/>
  <c r="DL210" i="46"/>
  <c r="EJ210" i="46"/>
  <c r="FH210" i="46"/>
  <c r="GF210" i="46"/>
  <c r="HD210" i="46"/>
  <c r="IB210" i="46"/>
  <c r="IZ210" i="46"/>
  <c r="JX210" i="46"/>
  <c r="KV210" i="46"/>
  <c r="AI211" i="46"/>
  <c r="BG211" i="46"/>
  <c r="CE211" i="46"/>
  <c r="DC211" i="46"/>
  <c r="EA211" i="46"/>
  <c r="EY211" i="46"/>
  <c r="FW211" i="46"/>
  <c r="GU211" i="46"/>
  <c r="HS211" i="46"/>
  <c r="IQ211" i="46"/>
  <c r="JO211" i="46"/>
  <c r="KM211" i="46"/>
  <c r="AC210" i="46"/>
  <c r="BA210" i="46"/>
  <c r="BY210" i="46"/>
  <c r="CW210" i="46"/>
  <c r="DU210" i="46"/>
  <c r="ES210" i="46"/>
  <c r="FQ210" i="46"/>
  <c r="GO210" i="46"/>
  <c r="HM210" i="46"/>
  <c r="IK210" i="46"/>
  <c r="JI210" i="46"/>
  <c r="KG210" i="46"/>
  <c r="LE210" i="46"/>
  <c r="AX210" i="46"/>
  <c r="CE210" i="46"/>
  <c r="DI210" i="46"/>
  <c r="EP210" i="46"/>
  <c r="FW210" i="46"/>
  <c r="HA210" i="46"/>
  <c r="IH210" i="46"/>
  <c r="JO210" i="46"/>
  <c r="KS210" i="46"/>
  <c r="W211" i="46"/>
  <c r="AX211" i="46"/>
  <c r="BY211" i="46"/>
  <c r="CZ211" i="46"/>
  <c r="ED211" i="46"/>
  <c r="FE211" i="46"/>
  <c r="GF211" i="46"/>
  <c r="HG211" i="46"/>
  <c r="IH211" i="46"/>
  <c r="JI211" i="46"/>
  <c r="KJ211" i="46"/>
  <c r="AL212" i="46"/>
  <c r="BJ212" i="46"/>
  <c r="CH212" i="46"/>
  <c r="DF212" i="46"/>
  <c r="ED212" i="46"/>
  <c r="FB212" i="46"/>
  <c r="FZ212" i="46"/>
  <c r="GX212" i="46"/>
  <c r="HV212" i="46"/>
  <c r="IT212" i="46"/>
  <c r="JR212" i="46"/>
  <c r="KP212" i="46"/>
  <c r="W210" i="46"/>
  <c r="BD210" i="46"/>
  <c r="CH210" i="46"/>
  <c r="DO210" i="46"/>
  <c r="EV210" i="46"/>
  <c r="FZ210" i="46"/>
  <c r="HG210" i="46"/>
  <c r="IN210" i="46"/>
  <c r="JR210" i="46"/>
  <c r="KY210" i="46"/>
  <c r="Z211" i="46"/>
  <c r="BA211" i="46"/>
  <c r="CB211" i="46"/>
  <c r="DF211" i="46"/>
  <c r="EG211" i="46"/>
  <c r="FH211" i="46"/>
  <c r="GI211" i="46"/>
  <c r="HJ211" i="46"/>
  <c r="IK211" i="46"/>
  <c r="JL211" i="46"/>
  <c r="KP211" i="46"/>
  <c r="AO212" i="46"/>
  <c r="BM212" i="46"/>
  <c r="CK212" i="46"/>
  <c r="DI212" i="46"/>
  <c r="EG212" i="46"/>
  <c r="FE212" i="46"/>
  <c r="GC212" i="46"/>
  <c r="HA212" i="46"/>
  <c r="HY212" i="46"/>
  <c r="IW212" i="46"/>
  <c r="JU212" i="46"/>
  <c r="KS212" i="46"/>
  <c r="Z210" i="46"/>
  <c r="BG210" i="46"/>
  <c r="CK210" i="46"/>
  <c r="DR210" i="46"/>
  <c r="EY210" i="46"/>
  <c r="GC210" i="46"/>
  <c r="HJ210" i="46"/>
  <c r="IQ210" i="46"/>
  <c r="JU210" i="46"/>
  <c r="LB210" i="46"/>
  <c r="AC211" i="46"/>
  <c r="BD211" i="46"/>
  <c r="CH211" i="46"/>
  <c r="DI211" i="46"/>
  <c r="EJ211" i="46"/>
  <c r="FK211" i="46"/>
  <c r="GL211" i="46"/>
  <c r="HM211" i="46"/>
  <c r="IN211" i="46"/>
  <c r="JR211" i="46"/>
  <c r="KS211" i="46"/>
  <c r="AR212" i="46"/>
  <c r="BP212" i="46"/>
  <c r="CN212" i="46"/>
  <c r="DL212" i="46"/>
  <c r="EJ212" i="46"/>
  <c r="FH212" i="46"/>
  <c r="GF212" i="46"/>
  <c r="HD212" i="46"/>
  <c r="IB212" i="46"/>
  <c r="IZ212" i="46"/>
  <c r="JX212" i="46"/>
  <c r="KV212" i="46"/>
  <c r="AF210" i="46"/>
  <c r="BJ210" i="46"/>
  <c r="CQ210" i="46"/>
  <c r="DX210" i="46"/>
  <c r="FB210" i="46"/>
  <c r="GI210" i="46"/>
  <c r="HP210" i="46"/>
  <c r="IT210" i="46"/>
  <c r="KA210" i="46"/>
  <c r="AF211" i="46"/>
  <c r="BJ211" i="46"/>
  <c r="CK211" i="46"/>
  <c r="DL211" i="46"/>
  <c r="EM211" i="46"/>
  <c r="FN211" i="46"/>
  <c r="GO211" i="46"/>
  <c r="HP211" i="46"/>
  <c r="IT211" i="46"/>
  <c r="JU211" i="46"/>
  <c r="KV211" i="46"/>
  <c r="W212" i="46"/>
  <c r="AU212" i="46"/>
  <c r="BS212" i="46"/>
  <c r="CQ212" i="46"/>
  <c r="DO212" i="46"/>
  <c r="EM212" i="46"/>
  <c r="FK212" i="46"/>
  <c r="GI212" i="46"/>
  <c r="HG212" i="46"/>
  <c r="IE212" i="46"/>
  <c r="JC212" i="46"/>
  <c r="KA212" i="46"/>
  <c r="KY212" i="46"/>
  <c r="AI210" i="46"/>
  <c r="BM210" i="46"/>
  <c r="CT210" i="46"/>
  <c r="EA210" i="46"/>
  <c r="FE210" i="46"/>
  <c r="GL210" i="46"/>
  <c r="HS210" i="46"/>
  <c r="IW210" i="46"/>
  <c r="KD210" i="46"/>
  <c r="AL211" i="46"/>
  <c r="BM211" i="46"/>
  <c r="CN211" i="46"/>
  <c r="DO211" i="46"/>
  <c r="EP211" i="46"/>
  <c r="FQ211" i="46"/>
  <c r="GR211" i="46"/>
  <c r="HV211" i="46"/>
  <c r="IW211" i="46"/>
  <c r="JX211" i="46"/>
  <c r="KY211" i="46"/>
  <c r="Z212" i="46"/>
  <c r="AX212" i="46"/>
  <c r="BV212" i="46"/>
  <c r="CT212" i="46"/>
  <c r="DR212" i="46"/>
  <c r="EP212" i="46"/>
  <c r="FN212" i="46"/>
  <c r="GL212" i="46"/>
  <c r="HJ212" i="46"/>
  <c r="IH212" i="46"/>
  <c r="JF212" i="46"/>
  <c r="KD212" i="46"/>
  <c r="LB212" i="46"/>
  <c r="AL210" i="46"/>
  <c r="BS210" i="46"/>
  <c r="CZ210" i="46"/>
  <c r="ED210" i="46"/>
  <c r="FK210" i="46"/>
  <c r="GR210" i="46"/>
  <c r="HV210" i="46"/>
  <c r="JC210" i="46"/>
  <c r="KJ210" i="46"/>
  <c r="AO211" i="46"/>
  <c r="BP211" i="46"/>
  <c r="CQ211" i="46"/>
  <c r="DR211" i="46"/>
  <c r="ES211" i="46"/>
  <c r="FT211" i="46"/>
  <c r="GX211" i="46"/>
  <c r="HY211" i="46"/>
  <c r="IZ211" i="46"/>
  <c r="KA211" i="46"/>
  <c r="LB211" i="46"/>
  <c r="AO210" i="46"/>
  <c r="BV210" i="46"/>
  <c r="DC210" i="46"/>
  <c r="EG210" i="46"/>
  <c r="FN210" i="46"/>
  <c r="GU210" i="46"/>
  <c r="HY210" i="46"/>
  <c r="JF210" i="46"/>
  <c r="KM210" i="46"/>
  <c r="AR211" i="46"/>
  <c r="BS211" i="46"/>
  <c r="CT211" i="46"/>
  <c r="DU211" i="46"/>
  <c r="EV211" i="46"/>
  <c r="FZ211" i="46"/>
  <c r="HA211" i="46"/>
  <c r="IB211" i="46"/>
  <c r="JC211" i="46"/>
  <c r="KD211" i="46"/>
  <c r="LE211" i="46"/>
  <c r="IE210" i="46"/>
  <c r="CW211" i="46"/>
  <c r="AF212" i="46"/>
  <c r="CW212" i="46"/>
  <c r="EY212" i="46"/>
  <c r="HP212" i="46"/>
  <c r="KG212" i="46"/>
  <c r="AC213" i="46"/>
  <c r="BA213" i="46"/>
  <c r="BY213" i="46"/>
  <c r="CW213" i="46"/>
  <c r="DU213" i="46"/>
  <c r="ES213" i="46"/>
  <c r="FQ213" i="46"/>
  <c r="GO213" i="46"/>
  <c r="HM213" i="46"/>
  <c r="IK213" i="46"/>
  <c r="JI213" i="46"/>
  <c r="KG213" i="46"/>
  <c r="LE213" i="46"/>
  <c r="AR214" i="46"/>
  <c r="BP214" i="46"/>
  <c r="CN214" i="46"/>
  <c r="DL214" i="46"/>
  <c r="EJ214" i="46"/>
  <c r="FH214" i="46"/>
  <c r="GF214" i="46"/>
  <c r="HD214" i="46"/>
  <c r="IB214" i="46"/>
  <c r="IZ214" i="46"/>
  <c r="JX214" i="46"/>
  <c r="KV214" i="46"/>
  <c r="AI215" i="46"/>
  <c r="BG215" i="46"/>
  <c r="CE215" i="46"/>
  <c r="DC215" i="46"/>
  <c r="EA215" i="46"/>
  <c r="EY215" i="46"/>
  <c r="FW215" i="46"/>
  <c r="GU215" i="46"/>
  <c r="HS215" i="46"/>
  <c r="IQ215" i="46"/>
  <c r="JO215" i="46"/>
  <c r="KM215" i="46"/>
  <c r="Z216" i="46"/>
  <c r="AX216" i="46"/>
  <c r="BV216" i="46"/>
  <c r="CT216" i="46"/>
  <c r="DR216" i="46"/>
  <c r="EP216" i="46"/>
  <c r="FN216" i="46"/>
  <c r="GL216" i="46"/>
  <c r="HJ216" i="46"/>
  <c r="IH216" i="46"/>
  <c r="JF216" i="46"/>
  <c r="KD216" i="46"/>
  <c r="LB216" i="46"/>
  <c r="AO217" i="46"/>
  <c r="BM217" i="46"/>
  <c r="CK217" i="46"/>
  <c r="DI217" i="46"/>
  <c r="EG217" i="46"/>
  <c r="FE217" i="46"/>
  <c r="GC217" i="46"/>
  <c r="HA217" i="46"/>
  <c r="JL210" i="46"/>
  <c r="DX211" i="46"/>
  <c r="AI212" i="46"/>
  <c r="CZ212" i="46"/>
  <c r="FQ212" i="46"/>
  <c r="HS212" i="46"/>
  <c r="KJ212" i="46"/>
  <c r="AF213" i="46"/>
  <c r="BD213" i="46"/>
  <c r="CB213" i="46"/>
  <c r="CZ213" i="46"/>
  <c r="DX213" i="46"/>
  <c r="EV213" i="46"/>
  <c r="FT213" i="46"/>
  <c r="GR213" i="46"/>
  <c r="HP213" i="46"/>
  <c r="IN213" i="46"/>
  <c r="JL213" i="46"/>
  <c r="KJ213" i="46"/>
  <c r="W214" i="46"/>
  <c r="AU214" i="46"/>
  <c r="BS214" i="46"/>
  <c r="CQ214" i="46"/>
  <c r="DO214" i="46"/>
  <c r="EM214" i="46"/>
  <c r="FK214" i="46"/>
  <c r="GI214" i="46"/>
  <c r="HG214" i="46"/>
  <c r="IE214" i="46"/>
  <c r="JC214" i="46"/>
  <c r="KA214" i="46"/>
  <c r="KY214" i="46"/>
  <c r="AL215" i="46"/>
  <c r="BJ215" i="46"/>
  <c r="CH215" i="46"/>
  <c r="DF215" i="46"/>
  <c r="ED215" i="46"/>
  <c r="FB215" i="46"/>
  <c r="FZ215" i="46"/>
  <c r="GX215" i="46"/>
  <c r="HV215" i="46"/>
  <c r="IT215" i="46"/>
  <c r="JR215" i="46"/>
  <c r="KP215" i="46"/>
  <c r="AC216" i="46"/>
  <c r="BA216" i="46"/>
  <c r="BY216" i="46"/>
  <c r="CW216" i="46"/>
  <c r="DU216" i="46"/>
  <c r="ES216" i="46"/>
  <c r="FQ216" i="46"/>
  <c r="GO216" i="46"/>
  <c r="HM216" i="46"/>
  <c r="IK216" i="46"/>
  <c r="JI216" i="46"/>
  <c r="KG216" i="46"/>
  <c r="LE216" i="46"/>
  <c r="AR217" i="46"/>
  <c r="BP217" i="46"/>
  <c r="CN217" i="46"/>
  <c r="DL217" i="46"/>
  <c r="EJ217" i="46"/>
  <c r="FH217" i="46"/>
  <c r="GF217" i="46"/>
  <c r="AU210" i="46"/>
  <c r="KP210" i="46"/>
  <c r="FB211" i="46"/>
  <c r="BA212" i="46"/>
  <c r="DC212" i="46"/>
  <c r="FT212" i="46"/>
  <c r="IK212" i="46"/>
  <c r="KM212" i="46"/>
  <c r="AI213" i="46"/>
  <c r="BG213" i="46"/>
  <c r="CE213" i="46"/>
  <c r="DC213" i="46"/>
  <c r="EA213" i="46"/>
  <c r="EY213" i="46"/>
  <c r="FW213" i="46"/>
  <c r="GU213" i="46"/>
  <c r="HS213" i="46"/>
  <c r="IQ213" i="46"/>
  <c r="JO213" i="46"/>
  <c r="KM213" i="46"/>
  <c r="Z214" i="46"/>
  <c r="AX214" i="46"/>
  <c r="BV214" i="46"/>
  <c r="CT214" i="46"/>
  <c r="DR214" i="46"/>
  <c r="EP214" i="46"/>
  <c r="FN214" i="46"/>
  <c r="GL214" i="46"/>
  <c r="HJ214" i="46"/>
  <c r="IH214" i="46"/>
  <c r="JF214" i="46"/>
  <c r="KD214" i="46"/>
  <c r="LB214" i="46"/>
  <c r="AO215" i="46"/>
  <c r="BM215" i="46"/>
  <c r="CK215" i="46"/>
  <c r="DI215" i="46"/>
  <c r="EG215" i="46"/>
  <c r="FE215" i="46"/>
  <c r="GC215" i="46"/>
  <c r="HA215" i="46"/>
  <c r="HY215" i="46"/>
  <c r="IW215" i="46"/>
  <c r="JU215" i="46"/>
  <c r="KS215" i="46"/>
  <c r="AF216" i="46"/>
  <c r="BD216" i="46"/>
  <c r="CB216" i="46"/>
  <c r="CZ216" i="46"/>
  <c r="DX216" i="46"/>
  <c r="EV216" i="46"/>
  <c r="FT216" i="46"/>
  <c r="GR216" i="46"/>
  <c r="HP216" i="46"/>
  <c r="IN216" i="46"/>
  <c r="JL216" i="46"/>
  <c r="KJ216" i="46"/>
  <c r="W217" i="46"/>
  <c r="AU217" i="46"/>
  <c r="BS217" i="46"/>
  <c r="CQ217" i="46"/>
  <c r="DO217" i="46"/>
  <c r="EM217" i="46"/>
  <c r="FK217" i="46"/>
  <c r="GI217" i="46"/>
  <c r="CB210" i="46"/>
  <c r="GC211" i="46"/>
  <c r="BD212" i="46"/>
  <c r="DU212" i="46"/>
  <c r="FW212" i="46"/>
  <c r="IN212" i="46"/>
  <c r="LE212" i="46"/>
  <c r="AL213" i="46"/>
  <c r="BJ213" i="46"/>
  <c r="CH213" i="46"/>
  <c r="DF213" i="46"/>
  <c r="ED213" i="46"/>
  <c r="FB213" i="46"/>
  <c r="FZ213" i="46"/>
  <c r="GX213" i="46"/>
  <c r="HV213" i="46"/>
  <c r="IT213" i="46"/>
  <c r="JR213" i="46"/>
  <c r="KP213" i="46"/>
  <c r="AC214" i="46"/>
  <c r="BA214" i="46"/>
  <c r="BY214" i="46"/>
  <c r="CW214" i="46"/>
  <c r="DU214" i="46"/>
  <c r="ES214" i="46"/>
  <c r="FQ214" i="46"/>
  <c r="GO214" i="46"/>
  <c r="HM214" i="46"/>
  <c r="IK214" i="46"/>
  <c r="JI214" i="46"/>
  <c r="KG214" i="46"/>
  <c r="LE214" i="46"/>
  <c r="AR215" i="46"/>
  <c r="BP215" i="46"/>
  <c r="CN215" i="46"/>
  <c r="DL215" i="46"/>
  <c r="EJ215" i="46"/>
  <c r="FH215" i="46"/>
  <c r="GF215" i="46"/>
  <c r="HD215" i="46"/>
  <c r="IB215" i="46"/>
  <c r="IZ215" i="46"/>
  <c r="JX215" i="46"/>
  <c r="KV215" i="46"/>
  <c r="AI216" i="46"/>
  <c r="BG216" i="46"/>
  <c r="CE216" i="46"/>
  <c r="DC216" i="46"/>
  <c r="EA216" i="46"/>
  <c r="EY216" i="46"/>
  <c r="FW216" i="46"/>
  <c r="GU216" i="46"/>
  <c r="HS216" i="46"/>
  <c r="IQ216" i="46"/>
  <c r="JO216" i="46"/>
  <c r="KM216" i="46"/>
  <c r="Z217" i="46"/>
  <c r="AX217" i="46"/>
  <c r="BV217" i="46"/>
  <c r="CT217" i="46"/>
  <c r="DR217" i="46"/>
  <c r="EP217" i="46"/>
  <c r="FN217" i="46"/>
  <c r="GL217" i="46"/>
  <c r="DF210" i="46"/>
  <c r="HD211" i="46"/>
  <c r="BG212" i="46"/>
  <c r="DX212" i="46"/>
  <c r="GO212" i="46"/>
  <c r="IQ212" i="46"/>
  <c r="AO213" i="46"/>
  <c r="BM213" i="46"/>
  <c r="CK213" i="46"/>
  <c r="DI213" i="46"/>
  <c r="EG213" i="46"/>
  <c r="FE213" i="46"/>
  <c r="GC213" i="46"/>
  <c r="HA213" i="46"/>
  <c r="HY213" i="46"/>
  <c r="IW213" i="46"/>
  <c r="JU213" i="46"/>
  <c r="KS213" i="46"/>
  <c r="AF214" i="46"/>
  <c r="BD214" i="46"/>
  <c r="CB214" i="46"/>
  <c r="CZ214" i="46"/>
  <c r="DX214" i="46"/>
  <c r="EV214" i="46"/>
  <c r="FT214" i="46"/>
  <c r="GR214" i="46"/>
  <c r="HP214" i="46"/>
  <c r="IN214" i="46"/>
  <c r="JL214" i="46"/>
  <c r="KJ214" i="46"/>
  <c r="W215" i="46"/>
  <c r="AU215" i="46"/>
  <c r="BS215" i="46"/>
  <c r="CQ215" i="46"/>
  <c r="DO215" i="46"/>
  <c r="EM215" i="46"/>
  <c r="FK215" i="46"/>
  <c r="GI215" i="46"/>
  <c r="HG215" i="46"/>
  <c r="IE215" i="46"/>
  <c r="JC215" i="46"/>
  <c r="KA215" i="46"/>
  <c r="KY215" i="46"/>
  <c r="AL216" i="46"/>
  <c r="BJ216" i="46"/>
  <c r="CH216" i="46"/>
  <c r="DF216" i="46"/>
  <c r="ED216" i="46"/>
  <c r="FB216" i="46"/>
  <c r="FZ216" i="46"/>
  <c r="GX216" i="46"/>
  <c r="HV216" i="46"/>
  <c r="IT216" i="46"/>
  <c r="JR216" i="46"/>
  <c r="KP216" i="46"/>
  <c r="AC217" i="46"/>
  <c r="BA217" i="46"/>
  <c r="BY217" i="46"/>
  <c r="CW217" i="46"/>
  <c r="DU217" i="46"/>
  <c r="ES217" i="46"/>
  <c r="FQ217" i="46"/>
  <c r="GO217" i="46"/>
  <c r="EM210" i="46"/>
  <c r="IE211" i="46"/>
  <c r="BY212" i="46"/>
  <c r="EA212" i="46"/>
  <c r="GR212" i="46"/>
  <c r="JI212" i="46"/>
  <c r="AR213" i="46"/>
  <c r="BP213" i="46"/>
  <c r="CN213" i="46"/>
  <c r="DL213" i="46"/>
  <c r="EJ213" i="46"/>
  <c r="FH213" i="46"/>
  <c r="GF213" i="46"/>
  <c r="HD213" i="46"/>
  <c r="IB213" i="46"/>
  <c r="IZ213" i="46"/>
  <c r="JX213" i="46"/>
  <c r="KV213" i="46"/>
  <c r="AI214" i="46"/>
  <c r="BG214" i="46"/>
  <c r="CE214" i="46"/>
  <c r="DC214" i="46"/>
  <c r="EA214" i="46"/>
  <c r="EY214" i="46"/>
  <c r="FW214" i="46"/>
  <c r="GU214" i="46"/>
  <c r="HS214" i="46"/>
  <c r="IQ214" i="46"/>
  <c r="JO214" i="46"/>
  <c r="KM214" i="46"/>
  <c r="Z215" i="46"/>
  <c r="AX215" i="46"/>
  <c r="BV215" i="46"/>
  <c r="CT215" i="46"/>
  <c r="DR215" i="46"/>
  <c r="EP215" i="46"/>
  <c r="FN215" i="46"/>
  <c r="GL215" i="46"/>
  <c r="HJ215" i="46"/>
  <c r="IH215" i="46"/>
  <c r="JF215" i="46"/>
  <c r="KD215" i="46"/>
  <c r="LB215" i="46"/>
  <c r="AO216" i="46"/>
  <c r="BM216" i="46"/>
  <c r="CK216" i="46"/>
  <c r="DI216" i="46"/>
  <c r="EG216" i="46"/>
  <c r="FE216" i="46"/>
  <c r="GC216" i="46"/>
  <c r="HA216" i="46"/>
  <c r="HY216" i="46"/>
  <c r="IW216" i="46"/>
  <c r="JU216" i="46"/>
  <c r="KS216" i="46"/>
  <c r="FT210" i="46"/>
  <c r="AU211" i="46"/>
  <c r="JF211" i="46"/>
  <c r="CB212" i="46"/>
  <c r="ES212" i="46"/>
  <c r="GU212" i="46"/>
  <c r="JL212" i="46"/>
  <c r="W213" i="46"/>
  <c r="AU213" i="46"/>
  <c r="BS213" i="46"/>
  <c r="CQ213" i="46"/>
  <c r="DO213" i="46"/>
  <c r="EM213" i="46"/>
  <c r="FK213" i="46"/>
  <c r="GI213" i="46"/>
  <c r="HG213" i="46"/>
  <c r="IE213" i="46"/>
  <c r="JC213" i="46"/>
  <c r="KA213" i="46"/>
  <c r="KY213" i="46"/>
  <c r="AL214" i="46"/>
  <c r="BJ214" i="46"/>
  <c r="CH214" i="46"/>
  <c r="DF214" i="46"/>
  <c r="ED214" i="46"/>
  <c r="FB214" i="46"/>
  <c r="FZ214" i="46"/>
  <c r="GX214" i="46"/>
  <c r="HV214" i="46"/>
  <c r="IT214" i="46"/>
  <c r="JR214" i="46"/>
  <c r="KP214" i="46"/>
  <c r="AC215" i="46"/>
  <c r="BA215" i="46"/>
  <c r="BY215" i="46"/>
  <c r="CW215" i="46"/>
  <c r="DU215" i="46"/>
  <c r="ES215" i="46"/>
  <c r="FQ215" i="46"/>
  <c r="GO215" i="46"/>
  <c r="HM215" i="46"/>
  <c r="IK215" i="46"/>
  <c r="JI215" i="46"/>
  <c r="KG215" i="46"/>
  <c r="LE215" i="46"/>
  <c r="AR216" i="46"/>
  <c r="BP216" i="46"/>
  <c r="CN216" i="46"/>
  <c r="DL216" i="46"/>
  <c r="EJ216" i="46"/>
  <c r="FH216" i="46"/>
  <c r="GF216" i="46"/>
  <c r="HD216" i="46"/>
  <c r="IB216" i="46"/>
  <c r="IZ216" i="46"/>
  <c r="JX216" i="46"/>
  <c r="KV216" i="46"/>
  <c r="JO212" i="46"/>
  <c r="AX213" i="46"/>
  <c r="IH213" i="46"/>
  <c r="CK214" i="46"/>
  <c r="JU214" i="46"/>
  <c r="DX215" i="46"/>
  <c r="FK216" i="46"/>
  <c r="BJ217" i="46"/>
  <c r="EA217" i="46"/>
  <c r="GR217" i="46"/>
  <c r="HS217" i="46"/>
  <c r="IQ217" i="46"/>
  <c r="JO217" i="46"/>
  <c r="KM217" i="46"/>
  <c r="BV213" i="46"/>
  <c r="JF213" i="46"/>
  <c r="DI214" i="46"/>
  <c r="KS214" i="46"/>
  <c r="EV215" i="46"/>
  <c r="GI216" i="46"/>
  <c r="CB217" i="46"/>
  <c r="ED217" i="46"/>
  <c r="GU217" i="46"/>
  <c r="HV217" i="46"/>
  <c r="IT217" i="46"/>
  <c r="JR217" i="46"/>
  <c r="KP217" i="46"/>
  <c r="BV211" i="46"/>
  <c r="CT213" i="46"/>
  <c r="KD213" i="46"/>
  <c r="EG214" i="46"/>
  <c r="FT215" i="46"/>
  <c r="W216" i="46"/>
  <c r="HG216" i="46"/>
  <c r="CE217" i="46"/>
  <c r="EV217" i="46"/>
  <c r="GX217" i="46"/>
  <c r="HY217" i="46"/>
  <c r="IW217" i="46"/>
  <c r="JU217" i="46"/>
  <c r="KS217" i="46"/>
  <c r="KG211" i="46"/>
  <c r="DR213" i="46"/>
  <c r="LB213" i="46"/>
  <c r="FE214" i="46"/>
  <c r="GR215" i="46"/>
  <c r="AU216" i="46"/>
  <c r="IE216" i="46"/>
  <c r="AF217" i="46"/>
  <c r="CH217" i="46"/>
  <c r="EY217" i="46"/>
  <c r="HD217" i="46"/>
  <c r="IB217" i="46"/>
  <c r="IZ217" i="46"/>
  <c r="JX217" i="46"/>
  <c r="KV217" i="46"/>
  <c r="CE212" i="46"/>
  <c r="FN213" i="46"/>
  <c r="HA214" i="46"/>
  <c r="BD215" i="46"/>
  <c r="IN215" i="46"/>
  <c r="CQ216" i="46"/>
  <c r="KA216" i="46"/>
  <c r="AL217" i="46"/>
  <c r="DC217" i="46"/>
  <c r="FT217" i="46"/>
  <c r="HJ217" i="46"/>
  <c r="IH217" i="46"/>
  <c r="JF217" i="46"/>
  <c r="KD217" i="46"/>
  <c r="LB217" i="46"/>
  <c r="EV212" i="46"/>
  <c r="GL213" i="46"/>
  <c r="AO214" i="46"/>
  <c r="HY214" i="46"/>
  <c r="CB215" i="46"/>
  <c r="JL215" i="46"/>
  <c r="DO216" i="46"/>
  <c r="KY216" i="46"/>
  <c r="BD217" i="46"/>
  <c r="DF217" i="46"/>
  <c r="FW217" i="46"/>
  <c r="HM217" i="46"/>
  <c r="IK217" i="46"/>
  <c r="JI217" i="46"/>
  <c r="KG217" i="46"/>
  <c r="LE217" i="46"/>
  <c r="HM212" i="46"/>
  <c r="Z213" i="46"/>
  <c r="HJ213" i="46"/>
  <c r="BM214" i="46"/>
  <c r="IW214" i="46"/>
  <c r="CZ215" i="46"/>
  <c r="KJ215" i="46"/>
  <c r="EM216" i="46"/>
  <c r="BG217" i="46"/>
  <c r="DX217" i="46"/>
  <c r="FZ217" i="46"/>
  <c r="HP217" i="46"/>
  <c r="IN217" i="46"/>
  <c r="JL217" i="46"/>
  <c r="KJ217" i="46"/>
  <c r="IE217" i="46"/>
  <c r="AC212" i="46"/>
  <c r="JC217" i="46"/>
  <c r="KA217" i="46"/>
  <c r="KY217" i="46"/>
  <c r="AI217" i="46"/>
  <c r="CZ217" i="46"/>
  <c r="FB217" i="46"/>
  <c r="GC214" i="46"/>
  <c r="HG217" i="46"/>
  <c r="AF215" i="46"/>
  <c r="HP215" i="46"/>
  <c r="BS216" i="46"/>
  <c r="GX210" i="46"/>
  <c r="JC216" i="46"/>
  <c r="EP213" i="46"/>
  <c r="T223" i="46"/>
  <c r="T222" i="46"/>
  <c r="T221" i="46"/>
  <c r="T220" i="46"/>
  <c r="M228" i="46"/>
  <c r="AM14" i="45"/>
  <c r="AM37" i="45"/>
  <c r="C233" i="46"/>
  <c r="DT139" i="3"/>
  <c r="K233" i="46"/>
  <c r="AF147" i="3"/>
  <c r="D139" i="3"/>
  <c r="M227" i="46"/>
  <c r="M138" i="3"/>
  <c r="AA138" i="3" s="1"/>
  <c r="AA143" i="3" s="1"/>
  <c r="AG131" i="3"/>
  <c r="T212" i="46"/>
  <c r="T213" i="46"/>
  <c r="T210" i="46"/>
  <c r="T217" i="46"/>
  <c r="T216" i="46"/>
  <c r="T214" i="46"/>
  <c r="T215" i="46"/>
  <c r="T211" i="46"/>
  <c r="L3" i="47"/>
  <c r="L2" i="47"/>
  <c r="M2" i="47"/>
  <c r="F85" i="48" a="1"/>
  <c r="F85" i="48" s="1"/>
  <c r="E86" i="48"/>
  <c r="AQ32" i="45" l="1"/>
  <c r="M237" i="46"/>
  <c r="H138" i="3"/>
  <c r="C9" i="48" a="1"/>
  <c r="C9" i="48" s="1"/>
  <c r="B9" i="48" s="1"/>
  <c r="B9" i="50" a="1"/>
  <c r="B9" i="50" s="1"/>
  <c r="C10" i="48" a="1"/>
  <c r="C10" i="48" s="1"/>
  <c r="B10" i="48" s="1"/>
  <c r="B10" i="50" a="1"/>
  <c r="B10" i="50" s="1"/>
  <c r="JO224" i="46"/>
  <c r="JF224" i="46"/>
  <c r="KM224" i="46"/>
  <c r="CW224" i="46"/>
  <c r="EY224" i="46"/>
  <c r="CE224" i="46"/>
  <c r="DC224" i="46"/>
  <c r="AR224" i="46"/>
  <c r="BP224" i="46"/>
  <c r="GX224" i="46"/>
  <c r="HM224" i="46"/>
  <c r="EM224" i="46"/>
  <c r="LE218" i="46"/>
  <c r="IH218" i="46"/>
  <c r="JF218" i="46"/>
  <c r="KG218" i="46"/>
  <c r="W224" i="46"/>
  <c r="GU224" i="46"/>
  <c r="JL224" i="46"/>
  <c r="EJ224" i="46"/>
  <c r="IK224" i="46"/>
  <c r="CQ224" i="46"/>
  <c r="HY224" i="46"/>
  <c r="JR224" i="46"/>
  <c r="BJ224" i="46"/>
  <c r="LB218" i="46"/>
  <c r="FQ218" i="46"/>
  <c r="ED218" i="46"/>
  <c r="CT218" i="46"/>
  <c r="FQ224" i="46"/>
  <c r="IZ224" i="46"/>
  <c r="HS224" i="46"/>
  <c r="CZ224" i="46"/>
  <c r="HD224" i="46"/>
  <c r="IN224" i="46"/>
  <c r="KM218" i="46"/>
  <c r="DC218" i="46"/>
  <c r="KP218" i="46"/>
  <c r="DF218" i="46"/>
  <c r="JO218" i="46"/>
  <c r="FH224" i="46"/>
  <c r="IE224" i="46"/>
  <c r="LE224" i="46"/>
  <c r="GR224" i="46"/>
  <c r="DU224" i="46"/>
  <c r="JX224" i="46"/>
  <c r="KP224" i="46"/>
  <c r="LB224" i="46"/>
  <c r="DL224" i="46"/>
  <c r="BY224" i="46"/>
  <c r="AF224" i="46"/>
  <c r="KA224" i="46"/>
  <c r="BS224" i="46"/>
  <c r="AO224" i="46"/>
  <c r="EV224" i="46"/>
  <c r="FT224" i="46"/>
  <c r="DF224" i="46"/>
  <c r="FN224" i="46"/>
  <c r="FE224" i="46"/>
  <c r="CB218" i="46"/>
  <c r="KJ218" i="46"/>
  <c r="IW218" i="46"/>
  <c r="HP218" i="46"/>
  <c r="DO218" i="46"/>
  <c r="KV218" i="46"/>
  <c r="DL218" i="46"/>
  <c r="FB224" i="46"/>
  <c r="CT224" i="46"/>
  <c r="KD218" i="46"/>
  <c r="JL218" i="46"/>
  <c r="HY218" i="46"/>
  <c r="JC218" i="46"/>
  <c r="GI218" i="46"/>
  <c r="GC218" i="46"/>
  <c r="JX218" i="46"/>
  <c r="CN218" i="46"/>
  <c r="FT218" i="46"/>
  <c r="CE218" i="46"/>
  <c r="DU218" i="46"/>
  <c r="JR218" i="46"/>
  <c r="CH218" i="46"/>
  <c r="AX218" i="46"/>
  <c r="KY218" i="46"/>
  <c r="BD218" i="46"/>
  <c r="HA218" i="46"/>
  <c r="IZ218" i="46"/>
  <c r="BP218" i="46"/>
  <c r="DI224" i="46"/>
  <c r="DX224" i="46"/>
  <c r="FK224" i="46"/>
  <c r="IW224" i="46"/>
  <c r="FZ224" i="46"/>
  <c r="KD224" i="46"/>
  <c r="AX224" i="46"/>
  <c r="JI218" i="46"/>
  <c r="IK218" i="46"/>
  <c r="IQ218" i="46"/>
  <c r="IT218" i="46"/>
  <c r="BJ218" i="46"/>
  <c r="Z218" i="46"/>
  <c r="GR218" i="46"/>
  <c r="FE218" i="46"/>
  <c r="DX218" i="46"/>
  <c r="W218" i="46"/>
  <c r="IB218" i="46"/>
  <c r="AR218" i="46"/>
  <c r="GF224" i="46"/>
  <c r="DO224" i="46"/>
  <c r="HP224" i="46"/>
  <c r="ES224" i="46"/>
  <c r="IQ224" i="46"/>
  <c r="AU224" i="46"/>
  <c r="CH224" i="46"/>
  <c r="HJ224" i="46"/>
  <c r="Z224" i="46"/>
  <c r="EA218" i="46"/>
  <c r="ES218" i="46"/>
  <c r="BG218" i="46"/>
  <c r="CW218" i="46"/>
  <c r="HM218" i="46"/>
  <c r="HJ218" i="46"/>
  <c r="HS218" i="46"/>
  <c r="AI218" i="46"/>
  <c r="BY218" i="46"/>
  <c r="HV218" i="46"/>
  <c r="AL218" i="46"/>
  <c r="GL218" i="46"/>
  <c r="EG218" i="46"/>
  <c r="FK218" i="46"/>
  <c r="CQ218" i="46"/>
  <c r="CK218" i="46"/>
  <c r="IN218" i="46"/>
  <c r="HD218" i="46"/>
  <c r="JI224" i="46"/>
  <c r="BD224" i="46"/>
  <c r="AI224" i="46"/>
  <c r="FW224" i="46"/>
  <c r="EA224" i="46"/>
  <c r="GO224" i="46"/>
  <c r="BM224" i="46"/>
  <c r="BA224" i="46"/>
  <c r="KJ224" i="46"/>
  <c r="GL224" i="46"/>
  <c r="BV218" i="46"/>
  <c r="GU218" i="46"/>
  <c r="BA218" i="46"/>
  <c r="GX218" i="46"/>
  <c r="FN218" i="46"/>
  <c r="AU218" i="46"/>
  <c r="HG218" i="46"/>
  <c r="DI218" i="46"/>
  <c r="GF218" i="46"/>
  <c r="BG224" i="46"/>
  <c r="KV224" i="46"/>
  <c r="CB224" i="46"/>
  <c r="KS224" i="46"/>
  <c r="HV224" i="46"/>
  <c r="AC218" i="46"/>
  <c r="FZ218" i="46"/>
  <c r="EP218" i="46"/>
  <c r="IE218" i="46"/>
  <c r="CZ218" i="46"/>
  <c r="BM218" i="46"/>
  <c r="KA218" i="46"/>
  <c r="AF218" i="46"/>
  <c r="JU218" i="46"/>
  <c r="FH218" i="46"/>
  <c r="JU224" i="46"/>
  <c r="HG224" i="46"/>
  <c r="GC224" i="46"/>
  <c r="IB224" i="46"/>
  <c r="EP224" i="46"/>
  <c r="ED224" i="46"/>
  <c r="FW218" i="46"/>
  <c r="EM218" i="46"/>
  <c r="EY218" i="46"/>
  <c r="GO218" i="46"/>
  <c r="FB218" i="46"/>
  <c r="DR218" i="46"/>
  <c r="AO218" i="46"/>
  <c r="BS218" i="46"/>
  <c r="EV218" i="46"/>
  <c r="KS218" i="46"/>
  <c r="EJ218" i="46"/>
  <c r="CN224" i="46"/>
  <c r="EG224" i="46"/>
  <c r="JC224" i="46"/>
  <c r="KG224" i="46"/>
  <c r="HA224" i="46"/>
  <c r="AC224" i="46"/>
  <c r="KY224" i="46"/>
  <c r="CK224" i="46"/>
  <c r="GI224" i="46"/>
  <c r="BV224" i="46"/>
  <c r="IH224" i="46"/>
  <c r="IT224" i="46"/>
  <c r="DR224" i="46"/>
  <c r="AL224" i="46"/>
  <c r="N143" i="3"/>
  <c r="N147" i="3"/>
  <c r="AG139" i="3"/>
  <c r="AU26" i="45"/>
  <c r="AA151" i="3"/>
  <c r="H147" i="3"/>
  <c r="M241" i="46"/>
  <c r="AQ31" i="45"/>
  <c r="AA152" i="3"/>
  <c r="DT143" i="3"/>
  <c r="M236" i="46"/>
  <c r="C244" i="46"/>
  <c r="K244" i="46"/>
  <c r="D143" i="3"/>
  <c r="AG143" i="3" s="1"/>
  <c r="K232" i="46"/>
  <c r="AA147" i="3"/>
  <c r="C232" i="46"/>
  <c r="D4" i="48" s="1" a="1"/>
  <c r="D4" i="48" s="1"/>
  <c r="AM13" i="45"/>
  <c r="DT138" i="3"/>
  <c r="D138" i="3"/>
  <c r="M226" i="46"/>
  <c r="T218" i="46"/>
  <c r="M218" i="46"/>
  <c r="K3" i="47" s="1"/>
  <c r="T224" i="46"/>
  <c r="F86" i="48" a="1"/>
  <c r="F86" i="48" s="1"/>
  <c r="E87" i="48"/>
  <c r="B4" i="50" l="1" a="1"/>
  <c r="B4" i="50" s="1"/>
  <c r="A4" i="50" a="1"/>
  <c r="A4" i="50" s="1"/>
  <c r="A4" i="48" a="1"/>
  <c r="A4" i="48" s="1"/>
  <c r="AR236" i="46"/>
  <c r="BP236" i="46"/>
  <c r="CN236" i="46"/>
  <c r="DL236" i="46"/>
  <c r="EJ236" i="46"/>
  <c r="FH236" i="46"/>
  <c r="GF236" i="46"/>
  <c r="HD236" i="46"/>
  <c r="IB236" i="46"/>
  <c r="IZ236" i="46"/>
  <c r="JX236" i="46"/>
  <c r="KV236" i="46"/>
  <c r="AI237" i="46"/>
  <c r="BG237" i="46"/>
  <c r="CE237" i="46"/>
  <c r="DC237" i="46"/>
  <c r="EA237" i="46"/>
  <c r="EY237" i="46"/>
  <c r="FW237" i="46"/>
  <c r="GU237" i="46"/>
  <c r="HS237" i="46"/>
  <c r="IQ237" i="46"/>
  <c r="JO237" i="46"/>
  <c r="KM237" i="46"/>
  <c r="W236" i="46"/>
  <c r="AU236" i="46"/>
  <c r="BS236" i="46"/>
  <c r="CQ236" i="46"/>
  <c r="DO236" i="46"/>
  <c r="EM236" i="46"/>
  <c r="FK236" i="46"/>
  <c r="GI236" i="46"/>
  <c r="HG236" i="46"/>
  <c r="IE236" i="46"/>
  <c r="JC236" i="46"/>
  <c r="KA236" i="46"/>
  <c r="KY236" i="46"/>
  <c r="AL237" i="46"/>
  <c r="BJ237" i="46"/>
  <c r="CH237" i="46"/>
  <c r="DF237" i="46"/>
  <c r="ED237" i="46"/>
  <c r="FB237" i="46"/>
  <c r="FZ237" i="46"/>
  <c r="GX237" i="46"/>
  <c r="HV237" i="46"/>
  <c r="IT237" i="46"/>
  <c r="JR237" i="46"/>
  <c r="KP237" i="46"/>
  <c r="Z236" i="46"/>
  <c r="AX236" i="46"/>
  <c r="BV236" i="46"/>
  <c r="CT236" i="46"/>
  <c r="DR236" i="46"/>
  <c r="EP236" i="46"/>
  <c r="FN236" i="46"/>
  <c r="GL236" i="46"/>
  <c r="HJ236" i="46"/>
  <c r="IH236" i="46"/>
  <c r="JF236" i="46"/>
  <c r="KD236" i="46"/>
  <c r="LB236" i="46"/>
  <c r="AO237" i="46"/>
  <c r="BM237" i="46"/>
  <c r="CK237" i="46"/>
  <c r="DI237" i="46"/>
  <c r="EG237" i="46"/>
  <c r="FE237" i="46"/>
  <c r="GC237" i="46"/>
  <c r="HA237" i="46"/>
  <c r="HY237" i="46"/>
  <c r="IW237" i="46"/>
  <c r="JU237" i="46"/>
  <c r="KS237" i="46"/>
  <c r="AC236" i="46"/>
  <c r="BA236" i="46"/>
  <c r="BY236" i="46"/>
  <c r="CW236" i="46"/>
  <c r="DU236" i="46"/>
  <c r="ES236" i="46"/>
  <c r="FQ236" i="46"/>
  <c r="GO236" i="46"/>
  <c r="HM236" i="46"/>
  <c r="IK236" i="46"/>
  <c r="JI236" i="46"/>
  <c r="KG236" i="46"/>
  <c r="LE236" i="46"/>
  <c r="AR237" i="46"/>
  <c r="BP237" i="46"/>
  <c r="CN237" i="46"/>
  <c r="DL237" i="46"/>
  <c r="EJ237" i="46"/>
  <c r="FH237" i="46"/>
  <c r="GF237" i="46"/>
  <c r="HD237" i="46"/>
  <c r="IB237" i="46"/>
  <c r="IZ237" i="46"/>
  <c r="JX237" i="46"/>
  <c r="KV237" i="46"/>
  <c r="AF236" i="46"/>
  <c r="BD236" i="46"/>
  <c r="CB236" i="46"/>
  <c r="CZ236" i="46"/>
  <c r="DX236" i="46"/>
  <c r="EV236" i="46"/>
  <c r="FT236" i="46"/>
  <c r="GR236" i="46"/>
  <c r="HP236" i="46"/>
  <c r="IN236" i="46"/>
  <c r="JL236" i="46"/>
  <c r="KJ236" i="46"/>
  <c r="W237" i="46"/>
  <c r="AU237" i="46"/>
  <c r="BS237" i="46"/>
  <c r="CQ237" i="46"/>
  <c r="DO237" i="46"/>
  <c r="EM237" i="46"/>
  <c r="FK237" i="46"/>
  <c r="GI237" i="46"/>
  <c r="HG237" i="46"/>
  <c r="IE237" i="46"/>
  <c r="JC237" i="46"/>
  <c r="KA237" i="46"/>
  <c r="KY237" i="46"/>
  <c r="CE236" i="46"/>
  <c r="EG236" i="46"/>
  <c r="GX236" i="46"/>
  <c r="JO236" i="46"/>
  <c r="BA237" i="46"/>
  <c r="DR237" i="46"/>
  <c r="FT237" i="46"/>
  <c r="IK237" i="46"/>
  <c r="LB237" i="46"/>
  <c r="CH236" i="46"/>
  <c r="EY236" i="46"/>
  <c r="HA236" i="46"/>
  <c r="JR236" i="46"/>
  <c r="BD237" i="46"/>
  <c r="DU237" i="46"/>
  <c r="GL237" i="46"/>
  <c r="IN237" i="46"/>
  <c r="LE237" i="46"/>
  <c r="AI236" i="46"/>
  <c r="CK236" i="46"/>
  <c r="FB236" i="46"/>
  <c r="HS236" i="46"/>
  <c r="JU236" i="46"/>
  <c r="BV237" i="46"/>
  <c r="DX237" i="46"/>
  <c r="GO237" i="46"/>
  <c r="JF237" i="46"/>
  <c r="AL236" i="46"/>
  <c r="DC236" i="46"/>
  <c r="FE236" i="46"/>
  <c r="HV236" i="46"/>
  <c r="KM236" i="46"/>
  <c r="BY237" i="46"/>
  <c r="EP237" i="46"/>
  <c r="GR237" i="46"/>
  <c r="JI237" i="46"/>
  <c r="AO236" i="46"/>
  <c r="DF236" i="46"/>
  <c r="FW236" i="46"/>
  <c r="HY236" i="46"/>
  <c r="KP236" i="46"/>
  <c r="Z237" i="46"/>
  <c r="CB237" i="46"/>
  <c r="ES237" i="46"/>
  <c r="HJ237" i="46"/>
  <c r="JL237" i="46"/>
  <c r="BG236" i="46"/>
  <c r="DI236" i="46"/>
  <c r="FZ236" i="46"/>
  <c r="IQ236" i="46"/>
  <c r="KS236" i="46"/>
  <c r="AC237" i="46"/>
  <c r="CT237" i="46"/>
  <c r="EV237" i="46"/>
  <c r="HM237" i="46"/>
  <c r="KD237" i="46"/>
  <c r="BJ236" i="46"/>
  <c r="EA236" i="46"/>
  <c r="GC236" i="46"/>
  <c r="IT236" i="46"/>
  <c r="AF237" i="46"/>
  <c r="CW237" i="46"/>
  <c r="FN237" i="46"/>
  <c r="HP237" i="46"/>
  <c r="KG237" i="46"/>
  <c r="BM236" i="46"/>
  <c r="CZ237" i="46"/>
  <c r="AX237" i="46"/>
  <c r="ED236" i="46"/>
  <c r="FQ237" i="46"/>
  <c r="GU236" i="46"/>
  <c r="IH237" i="46"/>
  <c r="IW236" i="46"/>
  <c r="KJ237" i="46"/>
  <c r="W232" i="46"/>
  <c r="AX232" i="46"/>
  <c r="CN232" i="46"/>
  <c r="DO232" i="46"/>
  <c r="EP232" i="46"/>
  <c r="GF232" i="46"/>
  <c r="HG232" i="46"/>
  <c r="IH232" i="46"/>
  <c r="JX232" i="46"/>
  <c r="KY232" i="46"/>
  <c r="BS232" i="46"/>
  <c r="EM232" i="46"/>
  <c r="FB232" i="46"/>
  <c r="HV232" i="46"/>
  <c r="IZ232" i="46"/>
  <c r="KP232" i="46"/>
  <c r="W233" i="46"/>
  <c r="AU233" i="46"/>
  <c r="BS233" i="46"/>
  <c r="CQ233" i="46"/>
  <c r="DO233" i="46"/>
  <c r="EM233" i="46"/>
  <c r="FK233" i="46"/>
  <c r="GI233" i="46"/>
  <c r="HG233" i="46"/>
  <c r="IE233" i="46"/>
  <c r="JC233" i="46"/>
  <c r="KA233" i="46"/>
  <c r="KY233" i="46"/>
  <c r="AR232" i="46"/>
  <c r="BG232" i="46"/>
  <c r="CH232" i="46"/>
  <c r="DL232" i="46"/>
  <c r="EA232" i="46"/>
  <c r="GU232" i="46"/>
  <c r="HJ232" i="46"/>
  <c r="IN232" i="46"/>
  <c r="JO232" i="46"/>
  <c r="KD232" i="46"/>
  <c r="Z233" i="46"/>
  <c r="AX233" i="46"/>
  <c r="BV233" i="46"/>
  <c r="CT233" i="46"/>
  <c r="DR233" i="46"/>
  <c r="EP233" i="46"/>
  <c r="FN233" i="46"/>
  <c r="GL233" i="46"/>
  <c r="HJ233" i="46"/>
  <c r="IH233" i="46"/>
  <c r="JF233" i="46"/>
  <c r="KD233" i="46"/>
  <c r="LB233" i="46"/>
  <c r="AF232" i="46"/>
  <c r="BV232" i="46"/>
  <c r="CZ232" i="46"/>
  <c r="FT232" i="46"/>
  <c r="GI232" i="46"/>
  <c r="JC232" i="46"/>
  <c r="AC233" i="46"/>
  <c r="BA233" i="46"/>
  <c r="BY233" i="46"/>
  <c r="CW233" i="46"/>
  <c r="DU233" i="46"/>
  <c r="ES233" i="46"/>
  <c r="FQ233" i="46"/>
  <c r="GO233" i="46"/>
  <c r="HM233" i="46"/>
  <c r="IK233" i="46"/>
  <c r="JI233" i="46"/>
  <c r="KG233" i="46"/>
  <c r="LE233" i="46"/>
  <c r="AU232" i="46"/>
  <c r="BJ232" i="46"/>
  <c r="ED232" i="46"/>
  <c r="FH232" i="46"/>
  <c r="GX232" i="46"/>
  <c r="IB232" i="46"/>
  <c r="IQ232" i="46"/>
  <c r="JR232" i="46"/>
  <c r="KV232" i="46"/>
  <c r="AF233" i="46"/>
  <c r="BD233" i="46"/>
  <c r="CB233" i="46"/>
  <c r="CZ233" i="46"/>
  <c r="DX233" i="46"/>
  <c r="EV233" i="46"/>
  <c r="FT233" i="46"/>
  <c r="GR233" i="46"/>
  <c r="AI232" i="46"/>
  <c r="DC232" i="46"/>
  <c r="DR232" i="46"/>
  <c r="EV232" i="46"/>
  <c r="FW232" i="46"/>
  <c r="GL232" i="46"/>
  <c r="HP232" i="46"/>
  <c r="JF232" i="46"/>
  <c r="KJ232" i="46"/>
  <c r="AI233" i="46"/>
  <c r="BG233" i="46"/>
  <c r="CE233" i="46"/>
  <c r="DC233" i="46"/>
  <c r="EA233" i="46"/>
  <c r="EY233" i="46"/>
  <c r="CB232" i="46"/>
  <c r="CQ232" i="46"/>
  <c r="FK232" i="46"/>
  <c r="IE232" i="46"/>
  <c r="IT232" i="46"/>
  <c r="AL232" i="46"/>
  <c r="BP232" i="46"/>
  <c r="DF232" i="46"/>
  <c r="EJ232" i="46"/>
  <c r="EY232" i="46"/>
  <c r="FZ232" i="46"/>
  <c r="HD232" i="46"/>
  <c r="HS232" i="46"/>
  <c r="KM232" i="46"/>
  <c r="LB232" i="46"/>
  <c r="AO233" i="46"/>
  <c r="DF233" i="46"/>
  <c r="FH233" i="46"/>
  <c r="HD233" i="46"/>
  <c r="IT233" i="46"/>
  <c r="KJ233" i="46"/>
  <c r="BD232" i="46"/>
  <c r="CT232" i="46"/>
  <c r="AR233" i="46"/>
  <c r="DI233" i="46"/>
  <c r="FW233" i="46"/>
  <c r="HP233" i="46"/>
  <c r="IW233" i="46"/>
  <c r="KM233" i="46"/>
  <c r="BJ233" i="46"/>
  <c r="DL233" i="46"/>
  <c r="FZ233" i="46"/>
  <c r="HS233" i="46"/>
  <c r="IZ233" i="46"/>
  <c r="KP233" i="46"/>
  <c r="CE232" i="46"/>
  <c r="FN232" i="46"/>
  <c r="BM233" i="46"/>
  <c r="ED233" i="46"/>
  <c r="GC233" i="46"/>
  <c r="HV233" i="46"/>
  <c r="JL233" i="46"/>
  <c r="KS233" i="46"/>
  <c r="DX232" i="46"/>
  <c r="BP233" i="46"/>
  <c r="EG233" i="46"/>
  <c r="GF233" i="46"/>
  <c r="HY233" i="46"/>
  <c r="JO233" i="46"/>
  <c r="KV233" i="46"/>
  <c r="CH233" i="46"/>
  <c r="HA233" i="46"/>
  <c r="CK233" i="46"/>
  <c r="IB233" i="46"/>
  <c r="Z232" i="46"/>
  <c r="CN233" i="46"/>
  <c r="IN233" i="46"/>
  <c r="EJ233" i="46"/>
  <c r="IQ233" i="46"/>
  <c r="KA232" i="46"/>
  <c r="FB233" i="46"/>
  <c r="JR233" i="46"/>
  <c r="GR232" i="46"/>
  <c r="FE233" i="46"/>
  <c r="JU233" i="46"/>
  <c r="JL232" i="46"/>
  <c r="GU233" i="46"/>
  <c r="JX233" i="46"/>
  <c r="AL233" i="46"/>
  <c r="GX233" i="46"/>
  <c r="CK232" i="46"/>
  <c r="BM232" i="46"/>
  <c r="AO232" i="46"/>
  <c r="IK232" i="46"/>
  <c r="ES232" i="46"/>
  <c r="FQ232" i="46"/>
  <c r="JU232" i="46"/>
  <c r="BY232" i="46"/>
  <c r="KS232" i="46"/>
  <c r="CW232" i="46"/>
  <c r="BA232" i="46"/>
  <c r="DI232" i="46"/>
  <c r="GC232" i="46"/>
  <c r="JI232" i="46"/>
  <c r="HA232" i="46"/>
  <c r="HY232" i="46"/>
  <c r="AC232" i="46"/>
  <c r="DU232" i="46"/>
  <c r="KG232" i="46"/>
  <c r="LE232" i="46"/>
  <c r="HM232" i="46"/>
  <c r="IW232" i="46"/>
  <c r="IW234" i="46" s="1"/>
  <c r="GO232" i="46"/>
  <c r="EG232" i="46"/>
  <c r="EG234" i="46" s="1"/>
  <c r="FE232" i="46"/>
  <c r="W226" i="46"/>
  <c r="AU226" i="46"/>
  <c r="BS226" i="46"/>
  <c r="CQ226" i="46"/>
  <c r="DO226" i="46"/>
  <c r="EM226" i="46"/>
  <c r="FK226" i="46"/>
  <c r="GI226" i="46"/>
  <c r="HG226" i="46"/>
  <c r="IE226" i="46"/>
  <c r="JC226" i="46"/>
  <c r="KA226" i="46"/>
  <c r="KY226" i="46"/>
  <c r="AL227" i="46"/>
  <c r="BJ227" i="46"/>
  <c r="CH227" i="46"/>
  <c r="DF227" i="46"/>
  <c r="ED227" i="46"/>
  <c r="FB227" i="46"/>
  <c r="FZ227" i="46"/>
  <c r="GX227" i="46"/>
  <c r="HV227" i="46"/>
  <c r="IT227" i="46"/>
  <c r="JR227" i="46"/>
  <c r="KP227" i="46"/>
  <c r="Z226" i="46"/>
  <c r="AX226" i="46"/>
  <c r="BV226" i="46"/>
  <c r="CT226" i="46"/>
  <c r="DR226" i="46"/>
  <c r="EP226" i="46"/>
  <c r="FN226" i="46"/>
  <c r="GL226" i="46"/>
  <c r="HJ226" i="46"/>
  <c r="IH226" i="46"/>
  <c r="JF226" i="46"/>
  <c r="KD226" i="46"/>
  <c r="LB226" i="46"/>
  <c r="AO227" i="46"/>
  <c r="BM227" i="46"/>
  <c r="CK227" i="46"/>
  <c r="DI227" i="46"/>
  <c r="EG227" i="46"/>
  <c r="FE227" i="46"/>
  <c r="GC227" i="46"/>
  <c r="HA227" i="46"/>
  <c r="HY227" i="46"/>
  <c r="IW227" i="46"/>
  <c r="JU227" i="46"/>
  <c r="KS227" i="46"/>
  <c r="AF228" i="46"/>
  <c r="BD228" i="46"/>
  <c r="CB228" i="46"/>
  <c r="CZ228" i="46"/>
  <c r="DX228" i="46"/>
  <c r="EV228" i="46"/>
  <c r="FT228" i="46"/>
  <c r="GR228" i="46"/>
  <c r="HP228" i="46"/>
  <c r="IN228" i="46"/>
  <c r="JL228" i="46"/>
  <c r="KJ228" i="46"/>
  <c r="W229" i="46"/>
  <c r="AU229" i="46"/>
  <c r="BS229" i="46"/>
  <c r="CQ229" i="46"/>
  <c r="DO229" i="46"/>
  <c r="EM229" i="46"/>
  <c r="FK229" i="46"/>
  <c r="GI229" i="46"/>
  <c r="HG229" i="46"/>
  <c r="IE229" i="46"/>
  <c r="JC229" i="46"/>
  <c r="KA229" i="46"/>
  <c r="KY229" i="46"/>
  <c r="AC226" i="46"/>
  <c r="BA226" i="46"/>
  <c r="BY226" i="46"/>
  <c r="CW226" i="46"/>
  <c r="DU226" i="46"/>
  <c r="ES226" i="46"/>
  <c r="FQ226" i="46"/>
  <c r="GO226" i="46"/>
  <c r="HM226" i="46"/>
  <c r="IK226" i="46"/>
  <c r="JI226" i="46"/>
  <c r="KG226" i="46"/>
  <c r="LE226" i="46"/>
  <c r="AF226" i="46"/>
  <c r="BD226" i="46"/>
  <c r="CB226" i="46"/>
  <c r="CZ226" i="46"/>
  <c r="DX226" i="46"/>
  <c r="EV226" i="46"/>
  <c r="FT226" i="46"/>
  <c r="GR226" i="46"/>
  <c r="HP226" i="46"/>
  <c r="IN226" i="46"/>
  <c r="JL226" i="46"/>
  <c r="KJ226" i="46"/>
  <c r="AI226" i="46"/>
  <c r="BG226" i="46"/>
  <c r="CE226" i="46"/>
  <c r="DC226" i="46"/>
  <c r="EA226" i="46"/>
  <c r="EY226" i="46"/>
  <c r="FW226" i="46"/>
  <c r="GU226" i="46"/>
  <c r="HS226" i="46"/>
  <c r="IQ226" i="46"/>
  <c r="JO226" i="46"/>
  <c r="KM226" i="46"/>
  <c r="AL226" i="46"/>
  <c r="BJ226" i="46"/>
  <c r="CH226" i="46"/>
  <c r="DF226" i="46"/>
  <c r="ED226" i="46"/>
  <c r="FB226" i="46"/>
  <c r="FZ226" i="46"/>
  <c r="GX226" i="46"/>
  <c r="HV226" i="46"/>
  <c r="IT226" i="46"/>
  <c r="JR226" i="46"/>
  <c r="KP226" i="46"/>
  <c r="CK226" i="46"/>
  <c r="GC226" i="46"/>
  <c r="JU226" i="46"/>
  <c r="AC227" i="46"/>
  <c r="BG227" i="46"/>
  <c r="CQ227" i="46"/>
  <c r="DU227" i="46"/>
  <c r="EY227" i="46"/>
  <c r="GI227" i="46"/>
  <c r="HM227" i="46"/>
  <c r="IQ227" i="46"/>
  <c r="KA227" i="46"/>
  <c r="LE227" i="46"/>
  <c r="Z228" i="46"/>
  <c r="BA228" i="46"/>
  <c r="CE228" i="46"/>
  <c r="DF228" i="46"/>
  <c r="EG228" i="46"/>
  <c r="FH228" i="46"/>
  <c r="GI228" i="46"/>
  <c r="HJ228" i="46"/>
  <c r="IK228" i="46"/>
  <c r="JO228" i="46"/>
  <c r="KP228" i="46"/>
  <c r="AL229" i="46"/>
  <c r="BM229" i="46"/>
  <c r="CN229" i="46"/>
  <c r="DR229" i="46"/>
  <c r="ES229" i="46"/>
  <c r="FT229" i="46"/>
  <c r="GU229" i="46"/>
  <c r="HV229" i="46"/>
  <c r="IW229" i="46"/>
  <c r="JX229" i="46"/>
  <c r="LB229" i="46"/>
  <c r="CN226" i="46"/>
  <c r="GF226" i="46"/>
  <c r="JX226" i="46"/>
  <c r="AF227" i="46"/>
  <c r="BP227" i="46"/>
  <c r="CT227" i="46"/>
  <c r="DX227" i="46"/>
  <c r="FH227" i="46"/>
  <c r="GL227" i="46"/>
  <c r="HP227" i="46"/>
  <c r="IZ227" i="46"/>
  <c r="KD227" i="46"/>
  <c r="AC228" i="46"/>
  <c r="BG228" i="46"/>
  <c r="CH228" i="46"/>
  <c r="DI228" i="46"/>
  <c r="EJ228" i="46"/>
  <c r="FK228" i="46"/>
  <c r="GL228" i="46"/>
  <c r="HM228" i="46"/>
  <c r="IQ228" i="46"/>
  <c r="JR228" i="46"/>
  <c r="KS228" i="46"/>
  <c r="AO229" i="46"/>
  <c r="BP229" i="46"/>
  <c r="CT229" i="46"/>
  <c r="DU229" i="46"/>
  <c r="EV229" i="46"/>
  <c r="FW229" i="46"/>
  <c r="GX229" i="46"/>
  <c r="HY229" i="46"/>
  <c r="IZ229" i="46"/>
  <c r="KD229" i="46"/>
  <c r="LE229" i="46"/>
  <c r="DI226" i="46"/>
  <c r="HA226" i="46"/>
  <c r="KS226" i="46"/>
  <c r="AI227" i="46"/>
  <c r="BS227" i="46"/>
  <c r="CW227" i="46"/>
  <c r="EA227" i="46"/>
  <c r="FK227" i="46"/>
  <c r="GO227" i="46"/>
  <c r="HS227" i="46"/>
  <c r="JC227" i="46"/>
  <c r="KG227" i="46"/>
  <c r="AI228" i="46"/>
  <c r="BJ228" i="46"/>
  <c r="CK228" i="46"/>
  <c r="DL228" i="46"/>
  <c r="EM228" i="46"/>
  <c r="FN228" i="46"/>
  <c r="GO228" i="46"/>
  <c r="HS228" i="46"/>
  <c r="IT228" i="46"/>
  <c r="JU228" i="46"/>
  <c r="KV228" i="46"/>
  <c r="AR229" i="46"/>
  <c r="BV229" i="46"/>
  <c r="CW229" i="46"/>
  <c r="DX229" i="46"/>
  <c r="EY229" i="46"/>
  <c r="FZ229" i="46"/>
  <c r="HA229" i="46"/>
  <c r="IB229" i="46"/>
  <c r="JF229" i="46"/>
  <c r="KG229" i="46"/>
  <c r="DL226" i="46"/>
  <c r="HD226" i="46"/>
  <c r="KV226" i="46"/>
  <c r="AR227" i="46"/>
  <c r="BV227" i="46"/>
  <c r="CZ227" i="46"/>
  <c r="EJ227" i="46"/>
  <c r="FN227" i="46"/>
  <c r="GR227" i="46"/>
  <c r="IB227" i="46"/>
  <c r="JF227" i="46"/>
  <c r="KJ227" i="46"/>
  <c r="AL228" i="46"/>
  <c r="BM228" i="46"/>
  <c r="CN228" i="46"/>
  <c r="DO228" i="46"/>
  <c r="EP228" i="46"/>
  <c r="FQ228" i="46"/>
  <c r="GU228" i="46"/>
  <c r="HV228" i="46"/>
  <c r="IW228" i="46"/>
  <c r="JX228" i="46"/>
  <c r="KY228" i="46"/>
  <c r="AX229" i="46"/>
  <c r="BY229" i="46"/>
  <c r="CZ229" i="46"/>
  <c r="EA229" i="46"/>
  <c r="FB229" i="46"/>
  <c r="GC229" i="46"/>
  <c r="HD229" i="46"/>
  <c r="IH229" i="46"/>
  <c r="JI229" i="46"/>
  <c r="KJ229" i="46"/>
  <c r="AO226" i="46"/>
  <c r="EG226" i="46"/>
  <c r="HY226" i="46"/>
  <c r="AU227" i="46"/>
  <c r="BY227" i="46"/>
  <c r="DC227" i="46"/>
  <c r="EM227" i="46"/>
  <c r="FQ227" i="46"/>
  <c r="GU227" i="46"/>
  <c r="IE227" i="46"/>
  <c r="JI227" i="46"/>
  <c r="KM227" i="46"/>
  <c r="AO228" i="46"/>
  <c r="BP228" i="46"/>
  <c r="CQ228" i="46"/>
  <c r="DR228" i="46"/>
  <c r="ES228" i="46"/>
  <c r="FW228" i="46"/>
  <c r="GX228" i="46"/>
  <c r="HY228" i="46"/>
  <c r="IZ228" i="46"/>
  <c r="KA228" i="46"/>
  <c r="LB228" i="46"/>
  <c r="Z229" i="46"/>
  <c r="BA229" i="46"/>
  <c r="CB229" i="46"/>
  <c r="DC229" i="46"/>
  <c r="ED229" i="46"/>
  <c r="FE229" i="46"/>
  <c r="GF229" i="46"/>
  <c r="HJ229" i="46"/>
  <c r="IK229" i="46"/>
  <c r="JL229" i="46"/>
  <c r="KM229" i="46"/>
  <c r="AR226" i="46"/>
  <c r="EJ226" i="46"/>
  <c r="IB226" i="46"/>
  <c r="AX227" i="46"/>
  <c r="CB227" i="46"/>
  <c r="DL227" i="46"/>
  <c r="EP227" i="46"/>
  <c r="FT227" i="46"/>
  <c r="HD227" i="46"/>
  <c r="IH227" i="46"/>
  <c r="JL227" i="46"/>
  <c r="KV227" i="46"/>
  <c r="AR228" i="46"/>
  <c r="BS228" i="46"/>
  <c r="CT228" i="46"/>
  <c r="DU228" i="46"/>
  <c r="EY228" i="46"/>
  <c r="FZ228" i="46"/>
  <c r="HA228" i="46"/>
  <c r="IB228" i="46"/>
  <c r="JC228" i="46"/>
  <c r="KD228" i="46"/>
  <c r="LE228" i="46"/>
  <c r="AC229" i="46"/>
  <c r="BD229" i="46"/>
  <c r="CE229" i="46"/>
  <c r="DF229" i="46"/>
  <c r="EG229" i="46"/>
  <c r="FH229" i="46"/>
  <c r="GL229" i="46"/>
  <c r="HM229" i="46"/>
  <c r="IN229" i="46"/>
  <c r="JO229" i="46"/>
  <c r="KP229" i="46"/>
  <c r="BM226" i="46"/>
  <c r="FE226" i="46"/>
  <c r="IW226" i="46"/>
  <c r="W227" i="46"/>
  <c r="BA227" i="46"/>
  <c r="CE227" i="46"/>
  <c r="DO227" i="46"/>
  <c r="ES227" i="46"/>
  <c r="FW227" i="46"/>
  <c r="HG227" i="46"/>
  <c r="IK227" i="46"/>
  <c r="JO227" i="46"/>
  <c r="KY227" i="46"/>
  <c r="AU228" i="46"/>
  <c r="BV228" i="46"/>
  <c r="CW228" i="46"/>
  <c r="EA228" i="46"/>
  <c r="FB228" i="46"/>
  <c r="GC228" i="46"/>
  <c r="HD228" i="46"/>
  <c r="IE228" i="46"/>
  <c r="JF228" i="46"/>
  <c r="KG228" i="46"/>
  <c r="AF229" i="46"/>
  <c r="BG229" i="46"/>
  <c r="CH229" i="46"/>
  <c r="DI229" i="46"/>
  <c r="EJ229" i="46"/>
  <c r="FN229" i="46"/>
  <c r="GO229" i="46"/>
  <c r="HP229" i="46"/>
  <c r="IQ229" i="46"/>
  <c r="JR229" i="46"/>
  <c r="KS229" i="46"/>
  <c r="IN227" i="46"/>
  <c r="HG228" i="46"/>
  <c r="AI229" i="46"/>
  <c r="IT229" i="46"/>
  <c r="BP226" i="46"/>
  <c r="Z227" i="46"/>
  <c r="JX227" i="46"/>
  <c r="W228" i="46"/>
  <c r="IH228" i="46"/>
  <c r="BJ229" i="46"/>
  <c r="JU229" i="46"/>
  <c r="FH226" i="46"/>
  <c r="BD227" i="46"/>
  <c r="LB227" i="46"/>
  <c r="AX228" i="46"/>
  <c r="JI228" i="46"/>
  <c r="CK229" i="46"/>
  <c r="KV229" i="46"/>
  <c r="IZ226" i="46"/>
  <c r="CN227" i="46"/>
  <c r="BY228" i="46"/>
  <c r="KM228" i="46"/>
  <c r="DL229" i="46"/>
  <c r="DR227" i="46"/>
  <c r="DC228" i="46"/>
  <c r="EP229" i="46"/>
  <c r="FQ229" i="46"/>
  <c r="EV227" i="46"/>
  <c r="GR229" i="46"/>
  <c r="GF227" i="46"/>
  <c r="HS229" i="46"/>
  <c r="HJ227" i="46"/>
  <c r="ED228" i="46"/>
  <c r="FE228" i="46"/>
  <c r="GF228" i="46"/>
  <c r="AU244" i="46"/>
  <c r="AU245" i="46" s="1"/>
  <c r="BV244" i="46"/>
  <c r="BV245" i="46" s="1"/>
  <c r="CW244" i="46"/>
  <c r="CW245" i="46" s="1"/>
  <c r="EM244" i="46"/>
  <c r="EM245" i="46" s="1"/>
  <c r="FN244" i="46"/>
  <c r="FN245" i="46" s="1"/>
  <c r="GO244" i="46"/>
  <c r="GO245" i="46" s="1"/>
  <c r="IE244" i="46"/>
  <c r="IE245" i="46" s="1"/>
  <c r="JF244" i="46"/>
  <c r="JF245" i="46" s="1"/>
  <c r="KG244" i="46"/>
  <c r="KG245" i="46" s="1"/>
  <c r="AI244" i="46"/>
  <c r="AI245" i="46" s="1"/>
  <c r="BJ244" i="46"/>
  <c r="BJ245" i="46" s="1"/>
  <c r="CK244" i="46"/>
  <c r="CK245" i="46" s="1"/>
  <c r="EA244" i="46"/>
  <c r="EA245" i="46" s="1"/>
  <c r="FB244" i="46"/>
  <c r="FB245" i="46" s="1"/>
  <c r="GC244" i="46"/>
  <c r="GC245" i="46" s="1"/>
  <c r="HS244" i="46"/>
  <c r="HS245" i="46" s="1"/>
  <c r="IT244" i="46"/>
  <c r="IT245" i="46" s="1"/>
  <c r="JU244" i="46"/>
  <c r="JU245" i="46" s="1"/>
  <c r="W244" i="46"/>
  <c r="W245" i="46" s="1"/>
  <c r="AX244" i="46"/>
  <c r="AX245" i="46" s="1"/>
  <c r="BY244" i="46"/>
  <c r="BY245" i="46" s="1"/>
  <c r="DO244" i="46"/>
  <c r="DO245" i="46" s="1"/>
  <c r="EP244" i="46"/>
  <c r="EP245" i="46" s="1"/>
  <c r="FQ244" i="46"/>
  <c r="FQ245" i="46" s="1"/>
  <c r="HG244" i="46"/>
  <c r="HG245" i="46" s="1"/>
  <c r="IH244" i="46"/>
  <c r="IH245" i="46" s="1"/>
  <c r="JI244" i="46"/>
  <c r="JI245" i="46" s="1"/>
  <c r="KY244" i="46"/>
  <c r="KY245" i="46" s="1"/>
  <c r="AL244" i="46"/>
  <c r="AL245" i="46" s="1"/>
  <c r="BM244" i="46"/>
  <c r="BM245" i="46" s="1"/>
  <c r="DC244" i="46"/>
  <c r="DC245" i="46" s="1"/>
  <c r="ED244" i="46"/>
  <c r="ED245" i="46" s="1"/>
  <c r="FE244" i="46"/>
  <c r="FE245" i="46" s="1"/>
  <c r="GU244" i="46"/>
  <c r="GU245" i="46" s="1"/>
  <c r="HV244" i="46"/>
  <c r="HV245" i="46" s="1"/>
  <c r="IW244" i="46"/>
  <c r="IW245" i="46" s="1"/>
  <c r="KM244" i="46"/>
  <c r="KM245" i="46" s="1"/>
  <c r="Z244" i="46"/>
  <c r="Z245" i="46" s="1"/>
  <c r="BA244" i="46"/>
  <c r="BA245" i="46" s="1"/>
  <c r="CQ244" i="46"/>
  <c r="CQ245" i="46" s="1"/>
  <c r="DR244" i="46"/>
  <c r="DR245" i="46" s="1"/>
  <c r="ES244" i="46"/>
  <c r="ES245" i="46" s="1"/>
  <c r="GI244" i="46"/>
  <c r="GI245" i="46" s="1"/>
  <c r="HJ244" i="46"/>
  <c r="HJ245" i="46" s="1"/>
  <c r="IK244" i="46"/>
  <c r="IK245" i="46" s="1"/>
  <c r="KA244" i="46"/>
  <c r="KA245" i="46" s="1"/>
  <c r="LB244" i="46"/>
  <c r="LB245" i="46" s="1"/>
  <c r="AC244" i="46"/>
  <c r="AC245" i="46" s="1"/>
  <c r="CH244" i="46"/>
  <c r="CH245" i="46" s="1"/>
  <c r="JO244" i="46"/>
  <c r="JO245" i="46" s="1"/>
  <c r="BS244" i="46"/>
  <c r="BS245" i="46" s="1"/>
  <c r="DU244" i="46"/>
  <c r="DU245" i="46" s="1"/>
  <c r="FZ244" i="46"/>
  <c r="FZ245" i="46" s="1"/>
  <c r="DF244" i="46"/>
  <c r="DF245" i="46" s="1"/>
  <c r="FK244" i="46"/>
  <c r="FK245" i="46" s="1"/>
  <c r="HM244" i="46"/>
  <c r="HM245" i="46" s="1"/>
  <c r="JR244" i="46"/>
  <c r="JR245" i="46" s="1"/>
  <c r="GX244" i="46"/>
  <c r="GX245" i="46" s="1"/>
  <c r="JC244" i="46"/>
  <c r="JC245" i="46" s="1"/>
  <c r="LE244" i="46"/>
  <c r="LE245" i="46" s="1"/>
  <c r="BG244" i="46"/>
  <c r="BG245" i="46" s="1"/>
  <c r="DI244" i="46"/>
  <c r="DI245" i="46" s="1"/>
  <c r="KP244" i="46"/>
  <c r="KP245" i="46" s="1"/>
  <c r="AO244" i="46"/>
  <c r="AO245" i="46" s="1"/>
  <c r="CT244" i="46"/>
  <c r="CT245" i="46" s="1"/>
  <c r="EY244" i="46"/>
  <c r="EY245" i="46" s="1"/>
  <c r="HA244" i="46"/>
  <c r="HA245" i="46" s="1"/>
  <c r="CE244" i="46"/>
  <c r="CE245" i="46" s="1"/>
  <c r="EG244" i="46"/>
  <c r="EG245" i="46" s="1"/>
  <c r="GL244" i="46"/>
  <c r="GL245" i="46" s="1"/>
  <c r="IQ244" i="46"/>
  <c r="IQ245" i="46" s="1"/>
  <c r="KS244" i="46"/>
  <c r="KS245" i="46" s="1"/>
  <c r="HY244" i="46"/>
  <c r="HY245" i="46" s="1"/>
  <c r="FW244" i="46"/>
  <c r="FW245" i="46" s="1"/>
  <c r="KD244" i="46"/>
  <c r="KD245" i="46" s="1"/>
  <c r="FH244" i="46"/>
  <c r="FH245" i="46" s="1"/>
  <c r="CN244" i="46"/>
  <c r="CN245" i="46" s="1"/>
  <c r="IB244" i="46"/>
  <c r="IB245" i="46" s="1"/>
  <c r="BP244" i="46"/>
  <c r="BP245" i="46" s="1"/>
  <c r="JL244" i="46"/>
  <c r="JL245" i="46" s="1"/>
  <c r="KJ244" i="46"/>
  <c r="KJ245" i="46" s="1"/>
  <c r="DX244" i="46"/>
  <c r="DX245" i="46" s="1"/>
  <c r="AF244" i="46"/>
  <c r="AF245" i="46" s="1"/>
  <c r="FT244" i="46"/>
  <c r="FT245" i="46" s="1"/>
  <c r="IN244" i="46"/>
  <c r="IN245" i="46" s="1"/>
  <c r="HD244" i="46"/>
  <c r="HD245" i="46" s="1"/>
  <c r="IZ244" i="46"/>
  <c r="IZ245" i="46" s="1"/>
  <c r="DL244" i="46"/>
  <c r="DL245" i="46" s="1"/>
  <c r="HP244" i="46"/>
  <c r="HP245" i="46" s="1"/>
  <c r="BD244" i="46"/>
  <c r="BD245" i="46" s="1"/>
  <c r="CB244" i="46"/>
  <c r="CB245" i="46" s="1"/>
  <c r="JX244" i="46"/>
  <c r="JX245" i="46" s="1"/>
  <c r="KV244" i="46"/>
  <c r="KV245" i="46" s="1"/>
  <c r="CZ244" i="46"/>
  <c r="CZ245" i="46" s="1"/>
  <c r="AR244" i="46"/>
  <c r="AR245" i="46" s="1"/>
  <c r="EV244" i="46"/>
  <c r="EV245" i="46" s="1"/>
  <c r="GF244" i="46"/>
  <c r="GF245" i="46" s="1"/>
  <c r="EJ244" i="46"/>
  <c r="EJ245" i="46" s="1"/>
  <c r="GR244" i="46"/>
  <c r="GR245" i="46" s="1"/>
  <c r="T232" i="46"/>
  <c r="T233" i="46"/>
  <c r="AG151" i="3"/>
  <c r="M251" i="46"/>
  <c r="C7" i="48" s="1" a="1"/>
  <c r="C7" i="48" s="1"/>
  <c r="B7" i="48" s="1"/>
  <c r="BB23" i="45"/>
  <c r="T236" i="46"/>
  <c r="T237" i="46"/>
  <c r="M252" i="46"/>
  <c r="AG152" i="3"/>
  <c r="AZ25" i="45"/>
  <c r="T244" i="46"/>
  <c r="T245" i="46" s="1"/>
  <c r="M240" i="46"/>
  <c r="AA150" i="3"/>
  <c r="K247" i="46"/>
  <c r="C247" i="46"/>
  <c r="D5" i="48" s="1" a="1"/>
  <c r="D5" i="48" s="1"/>
  <c r="D147" i="3"/>
  <c r="AG147" i="3" s="1"/>
  <c r="AU25" i="45"/>
  <c r="DT147" i="3"/>
  <c r="T227" i="46"/>
  <c r="T229" i="46"/>
  <c r="T228" i="46"/>
  <c r="T226" i="46"/>
  <c r="N3" i="47"/>
  <c r="O2" i="47"/>
  <c r="N2" i="47"/>
  <c r="Q2" i="47"/>
  <c r="P2" i="47"/>
  <c r="Q3" i="47"/>
  <c r="AG138" i="3"/>
  <c r="M143" i="3"/>
  <c r="M147" i="3"/>
  <c r="E88" i="48"/>
  <c r="F87" i="48" a="1"/>
  <c r="F87" i="48" s="1"/>
  <c r="B7" i="50" l="1" a="1"/>
  <c r="B7" i="50" s="1"/>
  <c r="C8" i="48" a="1"/>
  <c r="C8" i="48" s="1"/>
  <c r="B8" i="48" s="1"/>
  <c r="B5" i="50" a="1"/>
  <c r="B5" i="50" s="1"/>
  <c r="A5" i="50" a="1"/>
  <c r="A5" i="50" s="1"/>
  <c r="H2" i="50" s="1" a="1"/>
  <c r="H2" i="50" s="1"/>
  <c r="A5" i="48" a="1"/>
  <c r="A5" i="48" s="1"/>
  <c r="B5" i="48" s="1"/>
  <c r="B8" i="50" a="1"/>
  <c r="B8" i="50" s="1"/>
  <c r="B4" i="48"/>
  <c r="DI238" i="46"/>
  <c r="KA234" i="46"/>
  <c r="JF234" i="46"/>
  <c r="BD234" i="46"/>
  <c r="FK234" i="46"/>
  <c r="BN20" i="45"/>
  <c r="BN47" i="45"/>
  <c r="BN11" i="45"/>
  <c r="BN14" i="45"/>
  <c r="BN33" i="45"/>
  <c r="BN26" i="45"/>
  <c r="BN18" i="45"/>
  <c r="BN24" i="45"/>
  <c r="BN49" i="45"/>
  <c r="BN40" i="45"/>
  <c r="BN25" i="45"/>
  <c r="BN43" i="45"/>
  <c r="BN36" i="45"/>
  <c r="BN5" i="45"/>
  <c r="BN17" i="45"/>
  <c r="BN48" i="45"/>
  <c r="BN29" i="45"/>
  <c r="BN39" i="45"/>
  <c r="BN4" i="45"/>
  <c r="BN50" i="45"/>
  <c r="BN28" i="45"/>
  <c r="BN45" i="45"/>
  <c r="BN10" i="45"/>
  <c r="BN9" i="45"/>
  <c r="BN21" i="45"/>
  <c r="BN22" i="45"/>
  <c r="BN19" i="45"/>
  <c r="BN35" i="45"/>
  <c r="BN41" i="45"/>
  <c r="BN42" i="45"/>
  <c r="BN32" i="45"/>
  <c r="BN6" i="45"/>
  <c r="BN27" i="45"/>
  <c r="BN8" i="45"/>
  <c r="BN46" i="45"/>
  <c r="BN44" i="45"/>
  <c r="BN34" i="45"/>
  <c r="BN51" i="45"/>
  <c r="BN31" i="45"/>
  <c r="BN23" i="45"/>
  <c r="BN38" i="45"/>
  <c r="BN13" i="45"/>
  <c r="BN30" i="45"/>
  <c r="BN37" i="45"/>
  <c r="BN15" i="45"/>
  <c r="BN16" i="45"/>
  <c r="BN12" i="45"/>
  <c r="BN7" i="45"/>
  <c r="FE238" i="46"/>
  <c r="HM234" i="46"/>
  <c r="GR234" i="46"/>
  <c r="CB234" i="46"/>
  <c r="HA234" i="46"/>
  <c r="BM47" i="45"/>
  <c r="BM11" i="45"/>
  <c r="BM26" i="45"/>
  <c r="BM33" i="45"/>
  <c r="BM18" i="45"/>
  <c r="BM20" i="45"/>
  <c r="BM14" i="45"/>
  <c r="BM24" i="45"/>
  <c r="BM5" i="45"/>
  <c r="BM38" i="45"/>
  <c r="BM42" i="45"/>
  <c r="BM45" i="45"/>
  <c r="BM29" i="45"/>
  <c r="BM50" i="45"/>
  <c r="BM21" i="45"/>
  <c r="BM22" i="45"/>
  <c r="BM19" i="45"/>
  <c r="BM10" i="45"/>
  <c r="BM34" i="45"/>
  <c r="BM32" i="45"/>
  <c r="BM6" i="45"/>
  <c r="BM43" i="45"/>
  <c r="BM8" i="45"/>
  <c r="BM37" i="45"/>
  <c r="BM44" i="45"/>
  <c r="BM15" i="45"/>
  <c r="BM35" i="45"/>
  <c r="BM46" i="45"/>
  <c r="BM36" i="45"/>
  <c r="BM27" i="45"/>
  <c r="BM41" i="45"/>
  <c r="BM31" i="45"/>
  <c r="BM23" i="45"/>
  <c r="BM40" i="45"/>
  <c r="BM51" i="45"/>
  <c r="BM25" i="45"/>
  <c r="BM13" i="45"/>
  <c r="BM30" i="45"/>
  <c r="BM39" i="45"/>
  <c r="BM17" i="45"/>
  <c r="BM16" i="45"/>
  <c r="BM12" i="45"/>
  <c r="BM7" i="45"/>
  <c r="BM9" i="45"/>
  <c r="BM28" i="45"/>
  <c r="BM48" i="45"/>
  <c r="BM49" i="45"/>
  <c r="BM4" i="45"/>
  <c r="KS238" i="46"/>
  <c r="DO230" i="46"/>
  <c r="HY238" i="46"/>
  <c r="AO238" i="46"/>
  <c r="IK234" i="46"/>
  <c r="EY234" i="46"/>
  <c r="DR234" i="46"/>
  <c r="DX234" i="46"/>
  <c r="HV230" i="46"/>
  <c r="IW238" i="46"/>
  <c r="BM238" i="46"/>
  <c r="DI234" i="46"/>
  <c r="IZ230" i="46"/>
  <c r="GO234" i="46"/>
  <c r="FQ234" i="46"/>
  <c r="CQ234" i="46"/>
  <c r="BA234" i="46"/>
  <c r="GX230" i="46"/>
  <c r="FH230" i="46"/>
  <c r="FZ230" i="46"/>
  <c r="GL234" i="46"/>
  <c r="DU234" i="46"/>
  <c r="HY234" i="46"/>
  <c r="JL234" i="46"/>
  <c r="JO234" i="46"/>
  <c r="EG238" i="46"/>
  <c r="LB234" i="46"/>
  <c r="FN234" i="46"/>
  <c r="CK238" i="46"/>
  <c r="AC234" i="46"/>
  <c r="KS234" i="46"/>
  <c r="JU238" i="46"/>
  <c r="KY234" i="46"/>
  <c r="DC230" i="46"/>
  <c r="FW234" i="46"/>
  <c r="BM234" i="46"/>
  <c r="BY234" i="46"/>
  <c r="Z234" i="46"/>
  <c r="IE230" i="46"/>
  <c r="BJ230" i="46"/>
  <c r="BS230" i="46"/>
  <c r="HA230" i="46"/>
  <c r="DF230" i="46"/>
  <c r="DX230" i="46"/>
  <c r="FQ230" i="46"/>
  <c r="FW230" i="46"/>
  <c r="IT230" i="46"/>
  <c r="AI230" i="46"/>
  <c r="FE230" i="46"/>
  <c r="HG230" i="46"/>
  <c r="HJ230" i="46"/>
  <c r="HD234" i="46"/>
  <c r="AI234" i="46"/>
  <c r="ED234" i="46"/>
  <c r="HJ234" i="46"/>
  <c r="HV234" i="46"/>
  <c r="AX234" i="46"/>
  <c r="DX238" i="46"/>
  <c r="IK238" i="46"/>
  <c r="FN238" i="46"/>
  <c r="KA238" i="46"/>
  <c r="CQ238" i="46"/>
  <c r="IQ238" i="46"/>
  <c r="BG238" i="46"/>
  <c r="HD238" i="46"/>
  <c r="FZ234" i="46"/>
  <c r="BJ234" i="46"/>
  <c r="FB234" i="46"/>
  <c r="W234" i="46"/>
  <c r="KJ238" i="46"/>
  <c r="CZ238" i="46"/>
  <c r="HM238" i="46"/>
  <c r="AC238" i="46"/>
  <c r="EP238" i="46"/>
  <c r="DF238" i="46"/>
  <c r="JC238" i="46"/>
  <c r="BS238" i="46"/>
  <c r="AI238" i="46"/>
  <c r="GF238" i="46"/>
  <c r="HP234" i="46"/>
  <c r="KV234" i="46"/>
  <c r="JR234" i="46"/>
  <c r="IN238" i="46"/>
  <c r="AR234" i="46"/>
  <c r="BA238" i="46"/>
  <c r="ED238" i="46"/>
  <c r="EJ230" i="46"/>
  <c r="DI230" i="46"/>
  <c r="CE230" i="46"/>
  <c r="JU230" i="46"/>
  <c r="KJ230" i="46"/>
  <c r="ES230" i="46"/>
  <c r="GL230" i="46"/>
  <c r="KP238" i="46"/>
  <c r="HS238" i="46"/>
  <c r="KJ234" i="46"/>
  <c r="KV230" i="46"/>
  <c r="HS230" i="46"/>
  <c r="JC230" i="46"/>
  <c r="JO230" i="46"/>
  <c r="GC230" i="46"/>
  <c r="JL230" i="46"/>
  <c r="CB230" i="46"/>
  <c r="LE230" i="46"/>
  <c r="DU230" i="46"/>
  <c r="FN230" i="46"/>
  <c r="ES234" i="46"/>
  <c r="IT234" i="46"/>
  <c r="CE234" i="46"/>
  <c r="AU234" i="46"/>
  <c r="EA234" i="46"/>
  <c r="EM234" i="46"/>
  <c r="IH234" i="46"/>
  <c r="JL238" i="46"/>
  <c r="CB238" i="46"/>
  <c r="GO238" i="46"/>
  <c r="LB238" i="46"/>
  <c r="DR238" i="46"/>
  <c r="JR238" i="46"/>
  <c r="CH238" i="46"/>
  <c r="IE238" i="46"/>
  <c r="AU238" i="46"/>
  <c r="GU238" i="46"/>
  <c r="FH238" i="46"/>
  <c r="CZ230" i="46"/>
  <c r="KY230" i="46"/>
  <c r="W247" i="46"/>
  <c r="W248" i="46" s="1"/>
  <c r="AU247" i="46"/>
  <c r="AU248" i="46" s="1"/>
  <c r="BS247" i="46"/>
  <c r="BS248" i="46" s="1"/>
  <c r="CQ247" i="46"/>
  <c r="CQ248" i="46" s="1"/>
  <c r="DO247" i="46"/>
  <c r="DO248" i="46" s="1"/>
  <c r="EM247" i="46"/>
  <c r="EM248" i="46" s="1"/>
  <c r="FK247" i="46"/>
  <c r="FK248" i="46" s="1"/>
  <c r="GI247" i="46"/>
  <c r="GI248" i="46" s="1"/>
  <c r="HG247" i="46"/>
  <c r="HG248" i="46" s="1"/>
  <c r="IE247" i="46"/>
  <c r="IE248" i="46" s="1"/>
  <c r="JC247" i="46"/>
  <c r="JC248" i="46" s="1"/>
  <c r="KA247" i="46"/>
  <c r="KA248" i="46" s="1"/>
  <c r="KY247" i="46"/>
  <c r="KY248" i="46" s="1"/>
  <c r="Z247" i="46"/>
  <c r="Z248" i="46" s="1"/>
  <c r="AX247" i="46"/>
  <c r="AX248" i="46" s="1"/>
  <c r="BV247" i="46"/>
  <c r="BV248" i="46" s="1"/>
  <c r="CT247" i="46"/>
  <c r="CT248" i="46" s="1"/>
  <c r="DR247" i="46"/>
  <c r="DR248" i="46" s="1"/>
  <c r="EP247" i="46"/>
  <c r="EP248" i="46" s="1"/>
  <c r="FN247" i="46"/>
  <c r="FN248" i="46" s="1"/>
  <c r="GL247" i="46"/>
  <c r="GL248" i="46" s="1"/>
  <c r="HJ247" i="46"/>
  <c r="HJ248" i="46" s="1"/>
  <c r="IH247" i="46"/>
  <c r="IH248" i="46" s="1"/>
  <c r="JF247" i="46"/>
  <c r="JF248" i="46" s="1"/>
  <c r="KD247" i="46"/>
  <c r="KD248" i="46" s="1"/>
  <c r="LB247" i="46"/>
  <c r="LB248" i="46" s="1"/>
  <c r="AC247" i="46"/>
  <c r="AC248" i="46" s="1"/>
  <c r="BA247" i="46"/>
  <c r="BA248" i="46" s="1"/>
  <c r="BY247" i="46"/>
  <c r="BY248" i="46" s="1"/>
  <c r="CW247" i="46"/>
  <c r="CW248" i="46" s="1"/>
  <c r="DU247" i="46"/>
  <c r="DU248" i="46" s="1"/>
  <c r="ES247" i="46"/>
  <c r="ES248" i="46" s="1"/>
  <c r="FQ247" i="46"/>
  <c r="FQ248" i="46" s="1"/>
  <c r="GO247" i="46"/>
  <c r="GO248" i="46" s="1"/>
  <c r="HM247" i="46"/>
  <c r="HM248" i="46" s="1"/>
  <c r="IK247" i="46"/>
  <c r="IK248" i="46" s="1"/>
  <c r="JI247" i="46"/>
  <c r="JI248" i="46" s="1"/>
  <c r="KG247" i="46"/>
  <c r="KG248" i="46" s="1"/>
  <c r="LE247" i="46"/>
  <c r="LE248" i="46" s="1"/>
  <c r="AF247" i="46"/>
  <c r="AF248" i="46" s="1"/>
  <c r="BD247" i="46"/>
  <c r="BD248" i="46" s="1"/>
  <c r="CB247" i="46"/>
  <c r="CB248" i="46" s="1"/>
  <c r="CZ247" i="46"/>
  <c r="CZ248" i="46" s="1"/>
  <c r="DX247" i="46"/>
  <c r="DX248" i="46" s="1"/>
  <c r="EV247" i="46"/>
  <c r="EV248" i="46" s="1"/>
  <c r="FT247" i="46"/>
  <c r="FT248" i="46" s="1"/>
  <c r="GR247" i="46"/>
  <c r="GR248" i="46" s="1"/>
  <c r="HP247" i="46"/>
  <c r="HP248" i="46" s="1"/>
  <c r="IN247" i="46"/>
  <c r="IN248" i="46" s="1"/>
  <c r="JL247" i="46"/>
  <c r="JL248" i="46" s="1"/>
  <c r="KJ247" i="46"/>
  <c r="KJ248" i="46" s="1"/>
  <c r="AI247" i="46"/>
  <c r="AI248" i="46" s="1"/>
  <c r="BG247" i="46"/>
  <c r="BG248" i="46" s="1"/>
  <c r="CE247" i="46"/>
  <c r="CE248" i="46" s="1"/>
  <c r="DC247" i="46"/>
  <c r="DC248" i="46" s="1"/>
  <c r="EA247" i="46"/>
  <c r="EA248" i="46" s="1"/>
  <c r="EY247" i="46"/>
  <c r="EY248" i="46" s="1"/>
  <c r="FW247" i="46"/>
  <c r="FW248" i="46" s="1"/>
  <c r="GU247" i="46"/>
  <c r="GU248" i="46" s="1"/>
  <c r="HS247" i="46"/>
  <c r="HS248" i="46" s="1"/>
  <c r="IQ247" i="46"/>
  <c r="IQ248" i="46" s="1"/>
  <c r="JO247" i="46"/>
  <c r="JO248" i="46" s="1"/>
  <c r="KM247" i="46"/>
  <c r="KM248" i="46" s="1"/>
  <c r="AR247" i="46"/>
  <c r="AR248" i="46" s="1"/>
  <c r="DI247" i="46"/>
  <c r="DI248" i="46" s="1"/>
  <c r="FZ247" i="46"/>
  <c r="FZ248" i="46" s="1"/>
  <c r="IB247" i="46"/>
  <c r="IB248" i="46" s="1"/>
  <c r="KS247" i="46"/>
  <c r="KS248" i="46" s="1"/>
  <c r="BJ247" i="46"/>
  <c r="BJ248" i="46" s="1"/>
  <c r="DL247" i="46"/>
  <c r="DL248" i="46" s="1"/>
  <c r="GC247" i="46"/>
  <c r="GC248" i="46" s="1"/>
  <c r="IT247" i="46"/>
  <c r="IT248" i="46" s="1"/>
  <c r="KV247" i="46"/>
  <c r="KV248" i="46" s="1"/>
  <c r="BM247" i="46"/>
  <c r="BM248" i="46" s="1"/>
  <c r="ED247" i="46"/>
  <c r="ED248" i="46" s="1"/>
  <c r="GF247" i="46"/>
  <c r="GF248" i="46" s="1"/>
  <c r="IW247" i="46"/>
  <c r="IW248" i="46" s="1"/>
  <c r="BP247" i="46"/>
  <c r="BP248" i="46" s="1"/>
  <c r="EG247" i="46"/>
  <c r="EG248" i="46" s="1"/>
  <c r="GX247" i="46"/>
  <c r="GX248" i="46" s="1"/>
  <c r="IZ247" i="46"/>
  <c r="IZ248" i="46" s="1"/>
  <c r="CH247" i="46"/>
  <c r="CH248" i="46" s="1"/>
  <c r="EJ247" i="46"/>
  <c r="EJ248" i="46" s="1"/>
  <c r="HA247" i="46"/>
  <c r="HA248" i="46" s="1"/>
  <c r="JR247" i="46"/>
  <c r="JR248" i="46" s="1"/>
  <c r="CK247" i="46"/>
  <c r="CK248" i="46" s="1"/>
  <c r="FB247" i="46"/>
  <c r="FB248" i="46" s="1"/>
  <c r="HD247" i="46"/>
  <c r="HD248" i="46" s="1"/>
  <c r="JU247" i="46"/>
  <c r="JU248" i="46" s="1"/>
  <c r="AL247" i="46"/>
  <c r="AL248" i="46" s="1"/>
  <c r="CN247" i="46"/>
  <c r="CN248" i="46" s="1"/>
  <c r="FE247" i="46"/>
  <c r="FE248" i="46" s="1"/>
  <c r="HV247" i="46"/>
  <c r="HV248" i="46" s="1"/>
  <c r="JX247" i="46"/>
  <c r="JX248" i="46" s="1"/>
  <c r="HY247" i="46"/>
  <c r="HY248" i="46" s="1"/>
  <c r="KP247" i="46"/>
  <c r="KP248" i="46" s="1"/>
  <c r="AO247" i="46"/>
  <c r="AO248" i="46" s="1"/>
  <c r="DF247" i="46"/>
  <c r="DF248" i="46" s="1"/>
  <c r="FH247" i="46"/>
  <c r="FH248" i="46" s="1"/>
  <c r="HD230" i="46"/>
  <c r="KA230" i="46"/>
  <c r="CK230" i="46"/>
  <c r="IN230" i="46"/>
  <c r="BD230" i="46"/>
  <c r="KG230" i="46"/>
  <c r="CW230" i="46"/>
  <c r="EP230" i="46"/>
  <c r="EJ234" i="46"/>
  <c r="IE234" i="46"/>
  <c r="JC234" i="46"/>
  <c r="DL234" i="46"/>
  <c r="BS234" i="46"/>
  <c r="HG234" i="46"/>
  <c r="BD238" i="46"/>
  <c r="FQ238" i="46"/>
  <c r="KD238" i="46"/>
  <c r="CT238" i="46"/>
  <c r="IT238" i="46"/>
  <c r="BJ238" i="46"/>
  <c r="HG238" i="46"/>
  <c r="W238" i="46"/>
  <c r="FW238" i="46"/>
  <c r="EJ238" i="46"/>
  <c r="AC252" i="46"/>
  <c r="BA252" i="46"/>
  <c r="BY252" i="46"/>
  <c r="CW252" i="46"/>
  <c r="DU252" i="46"/>
  <c r="ES252" i="46"/>
  <c r="FQ252" i="46"/>
  <c r="GO252" i="46"/>
  <c r="HM252" i="46"/>
  <c r="IK252" i="46"/>
  <c r="JI252" i="46"/>
  <c r="KG252" i="46"/>
  <c r="W252" i="46"/>
  <c r="AX252" i="46"/>
  <c r="CB252" i="46"/>
  <c r="DC252" i="46"/>
  <c r="ED252" i="46"/>
  <c r="FE252" i="46"/>
  <c r="GF252" i="46"/>
  <c r="HG252" i="46"/>
  <c r="IH252" i="46"/>
  <c r="JL252" i="46"/>
  <c r="KM252" i="46"/>
  <c r="Z252" i="46"/>
  <c r="BD252" i="46"/>
  <c r="CE252" i="46"/>
  <c r="DF252" i="46"/>
  <c r="EG252" i="46"/>
  <c r="FH252" i="46"/>
  <c r="GI252" i="46"/>
  <c r="HJ252" i="46"/>
  <c r="IN252" i="46"/>
  <c r="JO252" i="46"/>
  <c r="KP252" i="46"/>
  <c r="AF252" i="46"/>
  <c r="BG252" i="46"/>
  <c r="CH252" i="46"/>
  <c r="DI252" i="46"/>
  <c r="EJ252" i="46"/>
  <c r="FK252" i="46"/>
  <c r="GL252" i="46"/>
  <c r="HP252" i="46"/>
  <c r="IQ252" i="46"/>
  <c r="JR252" i="46"/>
  <c r="KS252" i="46"/>
  <c r="AI252" i="46"/>
  <c r="BJ252" i="46"/>
  <c r="CK252" i="46"/>
  <c r="DL252" i="46"/>
  <c r="EM252" i="46"/>
  <c r="FN252" i="46"/>
  <c r="GR252" i="46"/>
  <c r="HS252" i="46"/>
  <c r="IT252" i="46"/>
  <c r="JU252" i="46"/>
  <c r="KV252" i="46"/>
  <c r="AL252" i="46"/>
  <c r="BM252" i="46"/>
  <c r="CN252" i="46"/>
  <c r="DO252" i="46"/>
  <c r="EP252" i="46"/>
  <c r="FT252" i="46"/>
  <c r="GU252" i="46"/>
  <c r="HV252" i="46"/>
  <c r="IW252" i="46"/>
  <c r="JX252" i="46"/>
  <c r="KY252" i="46"/>
  <c r="BS252" i="46"/>
  <c r="EV252" i="46"/>
  <c r="HD252" i="46"/>
  <c r="KD252" i="46"/>
  <c r="BV252" i="46"/>
  <c r="EY252" i="46"/>
  <c r="HY252" i="46"/>
  <c r="KJ252" i="46"/>
  <c r="JF252" i="46"/>
  <c r="EA252" i="46"/>
  <c r="CQ252" i="46"/>
  <c r="FB252" i="46"/>
  <c r="IB252" i="46"/>
  <c r="LB252" i="46"/>
  <c r="CT252" i="46"/>
  <c r="FW252" i="46"/>
  <c r="IE252" i="46"/>
  <c r="LE252" i="46"/>
  <c r="DX252" i="46"/>
  <c r="BP252" i="46"/>
  <c r="AO252" i="46"/>
  <c r="CZ252" i="46"/>
  <c r="FZ252" i="46"/>
  <c r="IZ252" i="46"/>
  <c r="GX252" i="46"/>
  <c r="KA252" i="46"/>
  <c r="AR252" i="46"/>
  <c r="DR252" i="46"/>
  <c r="GC252" i="46"/>
  <c r="JC252" i="46"/>
  <c r="AU252" i="46"/>
  <c r="HA252" i="46"/>
  <c r="AR230" i="46"/>
  <c r="KP230" i="46"/>
  <c r="GU234" i="46"/>
  <c r="JX234" i="46"/>
  <c r="W230" i="46"/>
  <c r="BM230" i="46"/>
  <c r="EM230" i="46"/>
  <c r="EY230" i="46"/>
  <c r="AL230" i="46"/>
  <c r="DL230" i="46"/>
  <c r="CH230" i="46"/>
  <c r="JX230" i="46"/>
  <c r="HP230" i="46"/>
  <c r="AF230" i="46"/>
  <c r="JI230" i="46"/>
  <c r="BY230" i="46"/>
  <c r="LB230" i="46"/>
  <c r="DR230" i="46"/>
  <c r="FE234" i="46"/>
  <c r="JI234" i="46"/>
  <c r="CW234" i="46"/>
  <c r="JU234" i="46"/>
  <c r="DF234" i="46"/>
  <c r="IQ234" i="46"/>
  <c r="GI234" i="46"/>
  <c r="CH234" i="46"/>
  <c r="GF234" i="46"/>
  <c r="HP238" i="46"/>
  <c r="AF238" i="46"/>
  <c r="ES238" i="46"/>
  <c r="JF238" i="46"/>
  <c r="BV238" i="46"/>
  <c r="HV238" i="46"/>
  <c r="AL238" i="46"/>
  <c r="GI238" i="46"/>
  <c r="EY238" i="46"/>
  <c r="KV238" i="46"/>
  <c r="DL238" i="46"/>
  <c r="Z230" i="46"/>
  <c r="IW230" i="46"/>
  <c r="CQ230" i="46"/>
  <c r="HY230" i="46"/>
  <c r="FK230" i="46"/>
  <c r="JR230" i="46"/>
  <c r="BG230" i="46"/>
  <c r="GF230" i="46"/>
  <c r="GR230" i="46"/>
  <c r="IK230" i="46"/>
  <c r="BA230" i="46"/>
  <c r="KD230" i="46"/>
  <c r="CT230" i="46"/>
  <c r="BP234" i="46"/>
  <c r="EV234" i="46"/>
  <c r="IB234" i="46"/>
  <c r="FT234" i="46"/>
  <c r="KD234" i="46"/>
  <c r="BG234" i="46"/>
  <c r="EP234" i="46"/>
  <c r="GC238" i="46"/>
  <c r="GR238" i="46"/>
  <c r="LE238" i="46"/>
  <c r="DU238" i="46"/>
  <c r="IH238" i="46"/>
  <c r="AX238" i="46"/>
  <c r="GX238" i="46"/>
  <c r="FK238" i="46"/>
  <c r="EA238" i="46"/>
  <c r="JX238" i="46"/>
  <c r="CN238" i="46"/>
  <c r="AF234" i="46"/>
  <c r="ED230" i="46"/>
  <c r="FB230" i="46"/>
  <c r="IQ230" i="46"/>
  <c r="CN230" i="46"/>
  <c r="GI230" i="46"/>
  <c r="FT230" i="46"/>
  <c r="HM230" i="46"/>
  <c r="AC230" i="46"/>
  <c r="JF230" i="46"/>
  <c r="BV230" i="46"/>
  <c r="LE234" i="46"/>
  <c r="CT234" i="46"/>
  <c r="KM234" i="46"/>
  <c r="AL234" i="46"/>
  <c r="GX234" i="46"/>
  <c r="CZ234" i="46"/>
  <c r="KP234" i="46"/>
  <c r="DO234" i="46"/>
  <c r="FT238" i="46"/>
  <c r="KG238" i="46"/>
  <c r="CW238" i="46"/>
  <c r="HJ238" i="46"/>
  <c r="Z238" i="46"/>
  <c r="FZ238" i="46"/>
  <c r="EM238" i="46"/>
  <c r="KM238" i="46"/>
  <c r="DC238" i="46"/>
  <c r="IZ238" i="46"/>
  <c r="BP238" i="46"/>
  <c r="AF240" i="46"/>
  <c r="BD240" i="46"/>
  <c r="CB240" i="46"/>
  <c r="CZ240" i="46"/>
  <c r="DX240" i="46"/>
  <c r="EV240" i="46"/>
  <c r="FT240" i="46"/>
  <c r="GR240" i="46"/>
  <c r="HP240" i="46"/>
  <c r="IN240" i="46"/>
  <c r="JL240" i="46"/>
  <c r="KJ240" i="46"/>
  <c r="W241" i="46"/>
  <c r="AU241" i="46"/>
  <c r="BS241" i="46"/>
  <c r="CQ241" i="46"/>
  <c r="DO241" i="46"/>
  <c r="EM241" i="46"/>
  <c r="FK241" i="46"/>
  <c r="GI241" i="46"/>
  <c r="HG241" i="46"/>
  <c r="IE241" i="46"/>
  <c r="JC241" i="46"/>
  <c r="KA241" i="46"/>
  <c r="KY241" i="46"/>
  <c r="AI240" i="46"/>
  <c r="BG240" i="46"/>
  <c r="CE240" i="46"/>
  <c r="DC240" i="46"/>
  <c r="EA240" i="46"/>
  <c r="EY240" i="46"/>
  <c r="FW240" i="46"/>
  <c r="GU240" i="46"/>
  <c r="HS240" i="46"/>
  <c r="IQ240" i="46"/>
  <c r="JO240" i="46"/>
  <c r="KM240" i="46"/>
  <c r="Z241" i="46"/>
  <c r="AX241" i="46"/>
  <c r="BV241" i="46"/>
  <c r="CT241" i="46"/>
  <c r="DR241" i="46"/>
  <c r="EP241" i="46"/>
  <c r="FN241" i="46"/>
  <c r="GL241" i="46"/>
  <c r="HJ241" i="46"/>
  <c r="IH241" i="46"/>
  <c r="JF241" i="46"/>
  <c r="KD241" i="46"/>
  <c r="LB241" i="46"/>
  <c r="AL240" i="46"/>
  <c r="BJ240" i="46"/>
  <c r="CH240" i="46"/>
  <c r="DF240" i="46"/>
  <c r="ED240" i="46"/>
  <c r="FB240" i="46"/>
  <c r="FZ240" i="46"/>
  <c r="GX240" i="46"/>
  <c r="HV240" i="46"/>
  <c r="IT240" i="46"/>
  <c r="JR240" i="46"/>
  <c r="KP240" i="46"/>
  <c r="AC241" i="46"/>
  <c r="BA241" i="46"/>
  <c r="BY241" i="46"/>
  <c r="CW241" i="46"/>
  <c r="DU241" i="46"/>
  <c r="ES241" i="46"/>
  <c r="FQ241" i="46"/>
  <c r="GO241" i="46"/>
  <c r="HM241" i="46"/>
  <c r="IK241" i="46"/>
  <c r="JI241" i="46"/>
  <c r="KG241" i="46"/>
  <c r="LE241" i="46"/>
  <c r="AO240" i="46"/>
  <c r="BM240" i="46"/>
  <c r="CK240" i="46"/>
  <c r="DI240" i="46"/>
  <c r="EG240" i="46"/>
  <c r="FE240" i="46"/>
  <c r="GC240" i="46"/>
  <c r="HA240" i="46"/>
  <c r="HY240" i="46"/>
  <c r="IW240" i="46"/>
  <c r="JU240" i="46"/>
  <c r="KS240" i="46"/>
  <c r="AF241" i="46"/>
  <c r="BD241" i="46"/>
  <c r="CB241" i="46"/>
  <c r="CZ241" i="46"/>
  <c r="DX241" i="46"/>
  <c r="EV241" i="46"/>
  <c r="FT241" i="46"/>
  <c r="GR241" i="46"/>
  <c r="HP241" i="46"/>
  <c r="IN241" i="46"/>
  <c r="JL241" i="46"/>
  <c r="KJ241" i="46"/>
  <c r="AR240" i="46"/>
  <c r="BP240" i="46"/>
  <c r="CN240" i="46"/>
  <c r="DL240" i="46"/>
  <c r="EJ240" i="46"/>
  <c r="FH240" i="46"/>
  <c r="GF240" i="46"/>
  <c r="HD240" i="46"/>
  <c r="IB240" i="46"/>
  <c r="IZ240" i="46"/>
  <c r="JX240" i="46"/>
  <c r="KV240" i="46"/>
  <c r="AI241" i="46"/>
  <c r="BG241" i="46"/>
  <c r="CE241" i="46"/>
  <c r="DC241" i="46"/>
  <c r="EA241" i="46"/>
  <c r="EY241" i="46"/>
  <c r="FW241" i="46"/>
  <c r="GU241" i="46"/>
  <c r="HS241" i="46"/>
  <c r="IQ241" i="46"/>
  <c r="JO241" i="46"/>
  <c r="KM241" i="46"/>
  <c r="AC240" i="46"/>
  <c r="CT240" i="46"/>
  <c r="FK240" i="46"/>
  <c r="HM240" i="46"/>
  <c r="KD240" i="46"/>
  <c r="BP241" i="46"/>
  <c r="EG241" i="46"/>
  <c r="GX241" i="46"/>
  <c r="IZ241" i="46"/>
  <c r="AU240" i="46"/>
  <c r="CW240" i="46"/>
  <c r="FN240" i="46"/>
  <c r="IE240" i="46"/>
  <c r="KG240" i="46"/>
  <c r="CH241" i="46"/>
  <c r="EJ241" i="46"/>
  <c r="HA241" i="46"/>
  <c r="JR241" i="46"/>
  <c r="AX240" i="46"/>
  <c r="DO240" i="46"/>
  <c r="FQ240" i="46"/>
  <c r="IH240" i="46"/>
  <c r="KY240" i="46"/>
  <c r="CK241" i="46"/>
  <c r="FB241" i="46"/>
  <c r="HD241" i="46"/>
  <c r="JU241" i="46"/>
  <c r="BA240" i="46"/>
  <c r="DR240" i="46"/>
  <c r="GI240" i="46"/>
  <c r="IK240" i="46"/>
  <c r="LB240" i="46"/>
  <c r="AL241" i="46"/>
  <c r="CN241" i="46"/>
  <c r="FE241" i="46"/>
  <c r="HV241" i="46"/>
  <c r="JX241" i="46"/>
  <c r="BS240" i="46"/>
  <c r="DU240" i="46"/>
  <c r="GL240" i="46"/>
  <c r="JC240" i="46"/>
  <c r="LE240" i="46"/>
  <c r="AO241" i="46"/>
  <c r="DF241" i="46"/>
  <c r="FH241" i="46"/>
  <c r="HY241" i="46"/>
  <c r="KP241" i="46"/>
  <c r="BV240" i="46"/>
  <c r="EM240" i="46"/>
  <c r="GO240" i="46"/>
  <c r="JF240" i="46"/>
  <c r="AR241" i="46"/>
  <c r="DI241" i="46"/>
  <c r="FZ241" i="46"/>
  <c r="IB241" i="46"/>
  <c r="KS241" i="46"/>
  <c r="W240" i="46"/>
  <c r="BY240" i="46"/>
  <c r="EP240" i="46"/>
  <c r="HG240" i="46"/>
  <c r="JI240" i="46"/>
  <c r="BJ241" i="46"/>
  <c r="DL241" i="46"/>
  <c r="GC241" i="46"/>
  <c r="IT241" i="46"/>
  <c r="KV241" i="46"/>
  <c r="KA240" i="46"/>
  <c r="GF241" i="46"/>
  <c r="Z240" i="46"/>
  <c r="BM241" i="46"/>
  <c r="CQ240" i="46"/>
  <c r="ED241" i="46"/>
  <c r="ES240" i="46"/>
  <c r="HJ240" i="46"/>
  <c r="IW241" i="46"/>
  <c r="AL251" i="46"/>
  <c r="BJ251" i="46"/>
  <c r="CH251" i="46"/>
  <c r="DF251" i="46"/>
  <c r="ED251" i="46"/>
  <c r="FB251" i="46"/>
  <c r="FZ251" i="46"/>
  <c r="GX251" i="46"/>
  <c r="HV251" i="46"/>
  <c r="IT251" i="46"/>
  <c r="JR251" i="46"/>
  <c r="KP251" i="46"/>
  <c r="AO251" i="46"/>
  <c r="BP251" i="46"/>
  <c r="CQ251" i="46"/>
  <c r="DR251" i="46"/>
  <c r="ES251" i="46"/>
  <c r="FT251" i="46"/>
  <c r="GU251" i="46"/>
  <c r="HY251" i="46"/>
  <c r="IZ251" i="46"/>
  <c r="KA251" i="46"/>
  <c r="LB251" i="46"/>
  <c r="AR251" i="46"/>
  <c r="BS251" i="46"/>
  <c r="CT251" i="46"/>
  <c r="DU251" i="46"/>
  <c r="EV251" i="46"/>
  <c r="FW251" i="46"/>
  <c r="HA251" i="46"/>
  <c r="IB251" i="46"/>
  <c r="JC251" i="46"/>
  <c r="KD251" i="46"/>
  <c r="LE251" i="46"/>
  <c r="AU251" i="46"/>
  <c r="BV251" i="46"/>
  <c r="CW251" i="46"/>
  <c r="DX251" i="46"/>
  <c r="EY251" i="46"/>
  <c r="GC251" i="46"/>
  <c r="HD251" i="46"/>
  <c r="IE251" i="46"/>
  <c r="JF251" i="46"/>
  <c r="KG251" i="46"/>
  <c r="W251" i="46"/>
  <c r="AX251" i="46"/>
  <c r="BY251" i="46"/>
  <c r="CZ251" i="46"/>
  <c r="EA251" i="46"/>
  <c r="FE251" i="46"/>
  <c r="GF251" i="46"/>
  <c r="HG251" i="46"/>
  <c r="IH251" i="46"/>
  <c r="JI251" i="46"/>
  <c r="KJ251" i="46"/>
  <c r="Z251" i="46"/>
  <c r="BA251" i="46"/>
  <c r="CB251" i="46"/>
  <c r="DC251" i="46"/>
  <c r="EG251" i="46"/>
  <c r="FH251" i="46"/>
  <c r="GI251" i="46"/>
  <c r="HJ251" i="46"/>
  <c r="IK251" i="46"/>
  <c r="JL251" i="46"/>
  <c r="KM251" i="46"/>
  <c r="AC251" i="46"/>
  <c r="BD251" i="46"/>
  <c r="CE251" i="46"/>
  <c r="DI251" i="46"/>
  <c r="EJ251" i="46"/>
  <c r="FK251" i="46"/>
  <c r="GL251" i="46"/>
  <c r="HM251" i="46"/>
  <c r="IN251" i="46"/>
  <c r="JO251" i="46"/>
  <c r="KS251" i="46"/>
  <c r="AF251" i="46"/>
  <c r="BG251" i="46"/>
  <c r="CK251" i="46"/>
  <c r="DL251" i="46"/>
  <c r="EM251" i="46"/>
  <c r="FN251" i="46"/>
  <c r="GO251" i="46"/>
  <c r="HP251" i="46"/>
  <c r="IQ251" i="46"/>
  <c r="JU251" i="46"/>
  <c r="KV251" i="46"/>
  <c r="AI251" i="46"/>
  <c r="IW251" i="46"/>
  <c r="BM251" i="46"/>
  <c r="JX251" i="46"/>
  <c r="GR251" i="46"/>
  <c r="CN251" i="46"/>
  <c r="KY251" i="46"/>
  <c r="DO251" i="46"/>
  <c r="HS251" i="46"/>
  <c r="EP251" i="46"/>
  <c r="FQ251" i="46"/>
  <c r="AU230" i="46"/>
  <c r="EG230" i="46"/>
  <c r="GU230" i="46"/>
  <c r="KM230" i="46"/>
  <c r="BP230" i="46"/>
  <c r="EA230" i="46"/>
  <c r="IB230" i="46"/>
  <c r="AO230" i="46"/>
  <c r="KS230" i="46"/>
  <c r="EV230" i="46"/>
  <c r="GO230" i="46"/>
  <c r="IH230" i="46"/>
  <c r="AX230" i="46"/>
  <c r="KG234" i="46"/>
  <c r="GC234" i="46"/>
  <c r="AO234" i="46"/>
  <c r="CK234" i="46"/>
  <c r="HS234" i="46"/>
  <c r="DC234" i="46"/>
  <c r="FH234" i="46"/>
  <c r="BV234" i="46"/>
  <c r="IN234" i="46"/>
  <c r="IZ234" i="46"/>
  <c r="CN234" i="46"/>
  <c r="HA238" i="46"/>
  <c r="EV238" i="46"/>
  <c r="JI238" i="46"/>
  <c r="BY238" i="46"/>
  <c r="GL238" i="46"/>
  <c r="FB238" i="46"/>
  <c r="KY238" i="46"/>
  <c r="DO238" i="46"/>
  <c r="JO238" i="46"/>
  <c r="CE238" i="46"/>
  <c r="IB238" i="46"/>
  <c r="AR238" i="46"/>
  <c r="S3" i="47"/>
  <c r="R2" i="47"/>
  <c r="T252" i="46"/>
  <c r="T238" i="46"/>
  <c r="M238" i="46"/>
  <c r="O3" i="47" s="1"/>
  <c r="T251" i="46"/>
  <c r="S2" i="47"/>
  <c r="R3" i="47"/>
  <c r="T234" i="46"/>
  <c r="M230" i="46"/>
  <c r="M3" i="47" s="1"/>
  <c r="T230" i="46"/>
  <c r="T247" i="46"/>
  <c r="T248" i="46" s="1"/>
  <c r="L5" i="51"/>
  <c r="AG150" i="3"/>
  <c r="AJ155" i="3" s="1"/>
  <c r="M250" i="46"/>
  <c r="BA21" i="45"/>
  <c r="T240" i="46"/>
  <c r="T241" i="46"/>
  <c r="F88" i="48" a="1"/>
  <c r="F88" i="48" s="1"/>
  <c r="E89" i="48"/>
  <c r="C6" i="48" l="1" a="1"/>
  <c r="C6" i="48" s="1"/>
  <c r="B6" i="48" s="1"/>
  <c r="G3" i="48" s="1" a="1"/>
  <c r="G3" i="48" s="1"/>
  <c r="B6" i="50" a="1"/>
  <c r="B6" i="50" s="1"/>
  <c r="H3" i="50" s="1" a="1"/>
  <c r="H3" i="50" s="1"/>
  <c r="G2" i="48" a="1"/>
  <c r="R67" i="48" s="1"/>
  <c r="AO65" i="51"/>
  <c r="AO52" i="51"/>
  <c r="AO55" i="51"/>
  <c r="AO62" i="51"/>
  <c r="AO59" i="51"/>
  <c r="AO56" i="51"/>
  <c r="AO66" i="51"/>
  <c r="AO46" i="51"/>
  <c r="AO57" i="51"/>
  <c r="AO50" i="51"/>
  <c r="AO63" i="51"/>
  <c r="AO54" i="51"/>
  <c r="AO47" i="51"/>
  <c r="AO61" i="51"/>
  <c r="AG35" i="51" a="1"/>
  <c r="AO43" i="51" s="1"/>
  <c r="AO51" i="51"/>
  <c r="AO49" i="51"/>
  <c r="AO58" i="51"/>
  <c r="AO53" i="51"/>
  <c r="AO64" i="51"/>
  <c r="AO60" i="51"/>
  <c r="AO48" i="51"/>
  <c r="KA242" i="46"/>
  <c r="JF242" i="46"/>
  <c r="EM242" i="46"/>
  <c r="DU242" i="46"/>
  <c r="BO47" i="45"/>
  <c r="BO18" i="45"/>
  <c r="BO11" i="45"/>
  <c r="BO20" i="45"/>
  <c r="BO26" i="45"/>
  <c r="BO14" i="45"/>
  <c r="BO33" i="45"/>
  <c r="BO24" i="45"/>
  <c r="BO5" i="45"/>
  <c r="BO36" i="45"/>
  <c r="BO38" i="45"/>
  <c r="BO15" i="45"/>
  <c r="BO22" i="45"/>
  <c r="BO28" i="45"/>
  <c r="BO45" i="45"/>
  <c r="BO31" i="45"/>
  <c r="BO29" i="45"/>
  <c r="BO23" i="45"/>
  <c r="BO50" i="45"/>
  <c r="BO40" i="45"/>
  <c r="BO21" i="45"/>
  <c r="BO41" i="45"/>
  <c r="BO6" i="45"/>
  <c r="BO42" i="45"/>
  <c r="BO19" i="45"/>
  <c r="BO13" i="45"/>
  <c r="BO10" i="45"/>
  <c r="BO30" i="45"/>
  <c r="BO34" i="45"/>
  <c r="BO39" i="45"/>
  <c r="BO32" i="45"/>
  <c r="BO27" i="45"/>
  <c r="BO25" i="45"/>
  <c r="BO16" i="45"/>
  <c r="BO43" i="45"/>
  <c r="BO12" i="45"/>
  <c r="BO35" i="45"/>
  <c r="BO7" i="45"/>
  <c r="BO37" i="45"/>
  <c r="BO9" i="45"/>
  <c r="BO44" i="45"/>
  <c r="BO51" i="45"/>
  <c r="BO17" i="45"/>
  <c r="BO48" i="45"/>
  <c r="BO8" i="45"/>
  <c r="BO49" i="45"/>
  <c r="BO46" i="45"/>
  <c r="BO4" i="45"/>
  <c r="GI242" i="46"/>
  <c r="W242" i="46"/>
  <c r="FK242" i="46"/>
  <c r="DX242" i="46"/>
  <c r="IH242" i="46"/>
  <c r="GU242" i="46"/>
  <c r="LE242" i="46"/>
  <c r="IK242" i="46"/>
  <c r="AC242" i="46"/>
  <c r="AX242" i="46"/>
  <c r="BY242" i="46"/>
  <c r="KY242" i="46"/>
  <c r="JL242" i="46"/>
  <c r="CB242" i="46"/>
  <c r="DO242" i="46"/>
  <c r="EY242" i="46"/>
  <c r="GL242" i="46"/>
  <c r="JI242" i="46"/>
  <c r="FQ242" i="46"/>
  <c r="CT242" i="46"/>
  <c r="KJ242" i="46"/>
  <c r="CZ242" i="46"/>
  <c r="CW242" i="46"/>
  <c r="FW242" i="46"/>
  <c r="HJ242" i="46"/>
  <c r="Z242" i="46"/>
  <c r="KG242" i="46"/>
  <c r="HY242" i="46"/>
  <c r="AO242" i="46"/>
  <c r="FB242" i="46"/>
  <c r="LB242" i="46"/>
  <c r="FN242" i="46"/>
  <c r="FH242" i="46"/>
  <c r="IW242" i="46"/>
  <c r="FZ242" i="46"/>
  <c r="KV242" i="46"/>
  <c r="DL242" i="46"/>
  <c r="IN242" i="46"/>
  <c r="BD242" i="46"/>
  <c r="EA242" i="46"/>
  <c r="CN242" i="46"/>
  <c r="GC242" i="46"/>
  <c r="DF242" i="46"/>
  <c r="CQ242" i="46"/>
  <c r="BA242" i="46"/>
  <c r="BM242" i="46"/>
  <c r="EJ242" i="46"/>
  <c r="JC242" i="46"/>
  <c r="AU242" i="46"/>
  <c r="HA242" i="46"/>
  <c r="ED242" i="46"/>
  <c r="DR242" i="46"/>
  <c r="JX242" i="46"/>
  <c r="HP242" i="46"/>
  <c r="AF242" i="46"/>
  <c r="KP242" i="46"/>
  <c r="GO242" i="46"/>
  <c r="KM242" i="46"/>
  <c r="DC242" i="46"/>
  <c r="IZ242" i="46"/>
  <c r="BP242" i="46"/>
  <c r="GR242" i="46"/>
  <c r="FE242" i="46"/>
  <c r="JR242" i="46"/>
  <c r="CH242" i="46"/>
  <c r="HG242" i="46"/>
  <c r="BS242" i="46"/>
  <c r="KD242" i="46"/>
  <c r="JO242" i="46"/>
  <c r="CE242" i="46"/>
  <c r="IB242" i="46"/>
  <c r="AR242" i="46"/>
  <c r="FT242" i="46"/>
  <c r="EG242" i="46"/>
  <c r="IT242" i="46"/>
  <c r="BJ242" i="46"/>
  <c r="W250" i="46"/>
  <c r="W259" i="46" s="1"/>
  <c r="AU250" i="46"/>
  <c r="AU259" i="46" s="1"/>
  <c r="BS250" i="46"/>
  <c r="BS259" i="46" s="1"/>
  <c r="CQ250" i="46"/>
  <c r="CQ259" i="46" s="1"/>
  <c r="DO250" i="46"/>
  <c r="DO259" i="46" s="1"/>
  <c r="EM250" i="46"/>
  <c r="EM259" i="46" s="1"/>
  <c r="FK250" i="46"/>
  <c r="FK259" i="46" s="1"/>
  <c r="GI250" i="46"/>
  <c r="GI259" i="46" s="1"/>
  <c r="HG250" i="46"/>
  <c r="HG259" i="46" s="1"/>
  <c r="IE250" i="46"/>
  <c r="IE259" i="46" s="1"/>
  <c r="JC250" i="46"/>
  <c r="JC259" i="46" s="1"/>
  <c r="KA250" i="46"/>
  <c r="KA259" i="46" s="1"/>
  <c r="KY250" i="46"/>
  <c r="KY259" i="46" s="1"/>
  <c r="AC250" i="46"/>
  <c r="AC259" i="46" s="1"/>
  <c r="BD250" i="46"/>
  <c r="BD259" i="46" s="1"/>
  <c r="CE250" i="46"/>
  <c r="CE259" i="46" s="1"/>
  <c r="DF250" i="46"/>
  <c r="DF259" i="46" s="1"/>
  <c r="EG250" i="46"/>
  <c r="EG259" i="46" s="1"/>
  <c r="FH250" i="46"/>
  <c r="FH259" i="46" s="1"/>
  <c r="GL250" i="46"/>
  <c r="GL259" i="46" s="1"/>
  <c r="HM250" i="46"/>
  <c r="HM259" i="46" s="1"/>
  <c r="IN250" i="46"/>
  <c r="IN259" i="46" s="1"/>
  <c r="JO250" i="46"/>
  <c r="JO259" i="46" s="1"/>
  <c r="KP250" i="46"/>
  <c r="KP259" i="46" s="1"/>
  <c r="AF250" i="46"/>
  <c r="AF259" i="46" s="1"/>
  <c r="BG250" i="46"/>
  <c r="BG259" i="46" s="1"/>
  <c r="CH250" i="46"/>
  <c r="CH259" i="46" s="1"/>
  <c r="DI250" i="46"/>
  <c r="DI259" i="46" s="1"/>
  <c r="EJ250" i="46"/>
  <c r="EJ259" i="46" s="1"/>
  <c r="FN250" i="46"/>
  <c r="FN259" i="46" s="1"/>
  <c r="GO250" i="46"/>
  <c r="GO259" i="46" s="1"/>
  <c r="HP250" i="46"/>
  <c r="HP259" i="46" s="1"/>
  <c r="IQ250" i="46"/>
  <c r="IQ259" i="46" s="1"/>
  <c r="JR250" i="46"/>
  <c r="JR259" i="46" s="1"/>
  <c r="KS250" i="46"/>
  <c r="KS259" i="46" s="1"/>
  <c r="AI250" i="46"/>
  <c r="AI259" i="46" s="1"/>
  <c r="BJ250" i="46"/>
  <c r="BJ259" i="46" s="1"/>
  <c r="CK250" i="46"/>
  <c r="CK259" i="46" s="1"/>
  <c r="DL250" i="46"/>
  <c r="DL259" i="46" s="1"/>
  <c r="EP250" i="46"/>
  <c r="EP259" i="46" s="1"/>
  <c r="FQ250" i="46"/>
  <c r="FQ259" i="46" s="1"/>
  <c r="GR250" i="46"/>
  <c r="GR259" i="46" s="1"/>
  <c r="HS250" i="46"/>
  <c r="HS259" i="46" s="1"/>
  <c r="IT250" i="46"/>
  <c r="IT259" i="46" s="1"/>
  <c r="JU250" i="46"/>
  <c r="JU259" i="46" s="1"/>
  <c r="KV250" i="46"/>
  <c r="KV259" i="46" s="1"/>
  <c r="AL250" i="46"/>
  <c r="AL259" i="46" s="1"/>
  <c r="BM250" i="46"/>
  <c r="BM259" i="46" s="1"/>
  <c r="CN250" i="46"/>
  <c r="CN259" i="46" s="1"/>
  <c r="DR250" i="46"/>
  <c r="DR259" i="46" s="1"/>
  <c r="ES250" i="46"/>
  <c r="ES259" i="46" s="1"/>
  <c r="FT250" i="46"/>
  <c r="FT259" i="46" s="1"/>
  <c r="GU250" i="46"/>
  <c r="GU259" i="46" s="1"/>
  <c r="HV250" i="46"/>
  <c r="HV259" i="46" s="1"/>
  <c r="IW250" i="46"/>
  <c r="IW259" i="46" s="1"/>
  <c r="JX250" i="46"/>
  <c r="JX259" i="46" s="1"/>
  <c r="LB250" i="46"/>
  <c r="LB259" i="46" s="1"/>
  <c r="AO250" i="46"/>
  <c r="AO259" i="46" s="1"/>
  <c r="BP250" i="46"/>
  <c r="BP259" i="46" s="1"/>
  <c r="CT250" i="46"/>
  <c r="CT259" i="46" s="1"/>
  <c r="DU250" i="46"/>
  <c r="DU259" i="46" s="1"/>
  <c r="EV250" i="46"/>
  <c r="EV259" i="46" s="1"/>
  <c r="FW250" i="46"/>
  <c r="FW259" i="46" s="1"/>
  <c r="GX250" i="46"/>
  <c r="GX259" i="46" s="1"/>
  <c r="HY250" i="46"/>
  <c r="HY259" i="46" s="1"/>
  <c r="IZ250" i="46"/>
  <c r="IZ259" i="46" s="1"/>
  <c r="KD250" i="46"/>
  <c r="KD259" i="46" s="1"/>
  <c r="LE250" i="46"/>
  <c r="LE259" i="46" s="1"/>
  <c r="AR250" i="46"/>
  <c r="AR259" i="46" s="1"/>
  <c r="BV250" i="46"/>
  <c r="BV259" i="46" s="1"/>
  <c r="CW250" i="46"/>
  <c r="CW259" i="46" s="1"/>
  <c r="DX250" i="46"/>
  <c r="DX259" i="46" s="1"/>
  <c r="EY250" i="46"/>
  <c r="EY259" i="46" s="1"/>
  <c r="FZ250" i="46"/>
  <c r="FZ259" i="46" s="1"/>
  <c r="HA250" i="46"/>
  <c r="HA259" i="46" s="1"/>
  <c r="IB250" i="46"/>
  <c r="IB259" i="46" s="1"/>
  <c r="JF250" i="46"/>
  <c r="JF259" i="46" s="1"/>
  <c r="KG250" i="46"/>
  <c r="KG259" i="46" s="1"/>
  <c r="AX250" i="46"/>
  <c r="AX259" i="46" s="1"/>
  <c r="BY250" i="46"/>
  <c r="BY259" i="46" s="1"/>
  <c r="CZ250" i="46"/>
  <c r="CY266" i="46" s="1"/>
  <c r="CY264" i="46" s="1"/>
  <c r="EA250" i="46"/>
  <c r="EA259" i="46" s="1"/>
  <c r="FB250" i="46"/>
  <c r="FB259" i="46" s="1"/>
  <c r="GC250" i="46"/>
  <c r="GC259" i="46" s="1"/>
  <c r="HD250" i="46"/>
  <c r="HD259" i="46" s="1"/>
  <c r="IH250" i="46"/>
  <c r="IH259" i="46" s="1"/>
  <c r="JI250" i="46"/>
  <c r="JI259" i="46" s="1"/>
  <c r="KJ250" i="46"/>
  <c r="KJ259" i="46" s="1"/>
  <c r="HJ250" i="46"/>
  <c r="HJ259" i="46" s="1"/>
  <c r="Z250" i="46"/>
  <c r="Z259" i="46" s="1"/>
  <c r="IK250" i="46"/>
  <c r="IK259" i="46" s="1"/>
  <c r="BA250" i="46"/>
  <c r="BA259" i="46" s="1"/>
  <c r="JL250" i="46"/>
  <c r="JL259" i="46" s="1"/>
  <c r="FE250" i="46"/>
  <c r="FE259" i="46" s="1"/>
  <c r="CB250" i="46"/>
  <c r="CB259" i="46" s="1"/>
  <c r="KM250" i="46"/>
  <c r="KM259" i="46" s="1"/>
  <c r="GF250" i="46"/>
  <c r="GF259" i="46" s="1"/>
  <c r="DC250" i="46"/>
  <c r="DC259" i="46" s="1"/>
  <c r="ED250" i="46"/>
  <c r="ED259" i="46" s="1"/>
  <c r="ES242" i="46"/>
  <c r="EP242" i="46"/>
  <c r="BV242" i="46"/>
  <c r="HM242" i="46"/>
  <c r="IQ242" i="46"/>
  <c r="BG242" i="46"/>
  <c r="HD242" i="46"/>
  <c r="EV242" i="46"/>
  <c r="KS242" i="46"/>
  <c r="DI242" i="46"/>
  <c r="HV242" i="46"/>
  <c r="AL242" i="46"/>
  <c r="IE242" i="46"/>
  <c r="HS242" i="46"/>
  <c r="AI242" i="46"/>
  <c r="GF242" i="46"/>
  <c r="JU242" i="46"/>
  <c r="CK242" i="46"/>
  <c r="GX242" i="46"/>
  <c r="R37" i="51"/>
  <c r="R41" i="51"/>
  <c r="R44" i="51"/>
  <c r="R52" i="51"/>
  <c r="R29" i="51"/>
  <c r="R28" i="51"/>
  <c r="R26" i="51"/>
  <c r="R54" i="51"/>
  <c r="R23" i="51"/>
  <c r="R8" i="51"/>
  <c r="R14" i="51"/>
  <c r="R48" i="51"/>
  <c r="R27" i="51"/>
  <c r="R32" i="51"/>
  <c r="R31" i="51"/>
  <c r="R15" i="51"/>
  <c r="R13" i="51"/>
  <c r="R16" i="51"/>
  <c r="R34" i="51"/>
  <c r="R17" i="51"/>
  <c r="R22" i="51"/>
  <c r="R25" i="51"/>
  <c r="R53" i="51"/>
  <c r="R24" i="51"/>
  <c r="R38" i="51"/>
  <c r="R30" i="51"/>
  <c r="R9" i="51"/>
  <c r="R46" i="51"/>
  <c r="R51" i="51"/>
  <c r="R55" i="51"/>
  <c r="R39" i="51"/>
  <c r="R18" i="51"/>
  <c r="R19" i="51"/>
  <c r="R49" i="51"/>
  <c r="R45" i="51"/>
  <c r="R40" i="51"/>
  <c r="R50" i="51"/>
  <c r="R42" i="51"/>
  <c r="R10" i="51"/>
  <c r="R43" i="51"/>
  <c r="R36" i="51"/>
  <c r="R35" i="51"/>
  <c r="R21" i="51"/>
  <c r="R11" i="51"/>
  <c r="R20" i="51"/>
  <c r="R12" i="51"/>
  <c r="R33" i="51"/>
  <c r="R47" i="51"/>
  <c r="S24" i="51"/>
  <c r="S23" i="51"/>
  <c r="S49" i="51"/>
  <c r="S41" i="51"/>
  <c r="S34" i="51"/>
  <c r="S27" i="51"/>
  <c r="S46" i="51"/>
  <c r="S53" i="51"/>
  <c r="S35" i="51"/>
  <c r="S40" i="51"/>
  <c r="S21" i="51"/>
  <c r="S45" i="51"/>
  <c r="S10" i="51"/>
  <c r="S26" i="51"/>
  <c r="S30" i="51"/>
  <c r="S50" i="51"/>
  <c r="S9" i="51"/>
  <c r="S18" i="51"/>
  <c r="S16" i="51"/>
  <c r="S29" i="51"/>
  <c r="S52" i="51"/>
  <c r="S44" i="51"/>
  <c r="S36" i="51"/>
  <c r="S19" i="51"/>
  <c r="S38" i="51"/>
  <c r="S32" i="51"/>
  <c r="S33" i="51"/>
  <c r="S13" i="51"/>
  <c r="S20" i="51"/>
  <c r="S28" i="51"/>
  <c r="S17" i="51"/>
  <c r="S37" i="51"/>
  <c r="S43" i="51"/>
  <c r="S31" i="51"/>
  <c r="S12" i="51"/>
  <c r="S47" i="51"/>
  <c r="S54" i="51"/>
  <c r="S51" i="51"/>
  <c r="S25" i="51"/>
  <c r="S15" i="51"/>
  <c r="S55" i="51"/>
  <c r="S14" i="51"/>
  <c r="S42" i="51"/>
  <c r="S11" i="51"/>
  <c r="S48" i="51"/>
  <c r="S22" i="51"/>
  <c r="S39" i="51"/>
  <c r="S8" i="51"/>
  <c r="AJ151" i="3"/>
  <c r="T250" i="46"/>
  <c r="S266" i="46" s="1"/>
  <c r="S264" i="46" s="1"/>
  <c r="CZ259" i="46"/>
  <c r="T242" i="46"/>
  <c r="M242" i="46"/>
  <c r="P3" i="47" s="1"/>
  <c r="E90" i="48"/>
  <c r="F89" i="48" a="1"/>
  <c r="F89" i="48" s="1"/>
  <c r="P88" i="48"/>
  <c r="V88" i="48"/>
  <c r="H88" i="48"/>
  <c r="S88" i="48"/>
  <c r="M88" i="48"/>
  <c r="Q88" i="48"/>
  <c r="T88" i="48"/>
  <c r="W88" i="48"/>
  <c r="AA88" i="48"/>
  <c r="N88" i="48"/>
  <c r="AL88" i="48"/>
  <c r="AJ88" i="48"/>
  <c r="AB88" i="48"/>
  <c r="AG88" i="48"/>
  <c r="L88" i="48"/>
  <c r="J64" i="48" l="1"/>
  <c r="W71" i="48"/>
  <c r="AI81" i="48"/>
  <c r="G2" i="48"/>
  <c r="G16" i="48" s="1"/>
  <c r="L83" i="48"/>
  <c r="AC66" i="48"/>
  <c r="U7" i="48"/>
  <c r="JN266" i="46"/>
  <c r="JN264" i="46" s="1"/>
  <c r="V83" i="48"/>
  <c r="DW266" i="46"/>
  <c r="DW264" i="46" s="1"/>
  <c r="FJ266" i="46"/>
  <c r="FJ264" i="46" s="1"/>
  <c r="DT266" i="46"/>
  <c r="DT264" i="46" s="1"/>
  <c r="AN266" i="46"/>
  <c r="AN264" i="46" s="1"/>
  <c r="CG266" i="46"/>
  <c r="CG264" i="46" s="1"/>
  <c r="DE266" i="46"/>
  <c r="DE264" i="46" s="1"/>
  <c r="EX266" i="46"/>
  <c r="EX264" i="46" s="1"/>
  <c r="DQ266" i="46"/>
  <c r="DQ264" i="46" s="1"/>
  <c r="EO266" i="46"/>
  <c r="EO264" i="46" s="1"/>
  <c r="GB266" i="46"/>
  <c r="GB264" i="46" s="1"/>
  <c r="GH266" i="46"/>
  <c r="GH264" i="46" s="1"/>
  <c r="IM266" i="46"/>
  <c r="IM264" i="46" s="1"/>
  <c r="JB266" i="46"/>
  <c r="JB264" i="46" s="1"/>
  <c r="BR266" i="46"/>
  <c r="BR264" i="46" s="1"/>
  <c r="AJ73" i="48"/>
  <c r="KC266" i="46"/>
  <c r="KC264" i="46" s="1"/>
  <c r="LA266" i="46"/>
  <c r="LA264" i="46" s="1"/>
  <c r="HX266" i="46"/>
  <c r="HX264" i="46" s="1"/>
  <c r="JQ266" i="46"/>
  <c r="JQ264" i="46" s="1"/>
  <c r="CJ266" i="46"/>
  <c r="CJ264" i="46" s="1"/>
  <c r="EC266" i="46"/>
  <c r="EC264" i="46" s="1"/>
  <c r="AE266" i="46"/>
  <c r="AE264" i="46" s="1"/>
  <c r="FV266" i="46"/>
  <c r="FV264" i="46" s="1"/>
  <c r="AT266" i="46"/>
  <c r="AT264" i="46" s="1"/>
  <c r="HR266" i="46"/>
  <c r="HR264" i="46" s="1"/>
  <c r="IP266" i="46"/>
  <c r="IP264" i="46" s="1"/>
  <c r="AJ60" i="48"/>
  <c r="JH266" i="46"/>
  <c r="JH264" i="46" s="1"/>
  <c r="AQ266" i="46"/>
  <c r="AQ264" i="46" s="1"/>
  <c r="BL266" i="46"/>
  <c r="BL264" i="46" s="1"/>
  <c r="JT266" i="46"/>
  <c r="JT264" i="46" s="1"/>
  <c r="DH266" i="46"/>
  <c r="DH264" i="46" s="1"/>
  <c r="HO266" i="46"/>
  <c r="HO264" i="46" s="1"/>
  <c r="EF266" i="46"/>
  <c r="EF264" i="46" s="1"/>
  <c r="GN266" i="46"/>
  <c r="GN264" i="46" s="1"/>
  <c r="GE266" i="46"/>
  <c r="GE264" i="46" s="1"/>
  <c r="AZ266" i="46"/>
  <c r="AZ264" i="46" s="1"/>
  <c r="DN266" i="46"/>
  <c r="DN264" i="46" s="1"/>
  <c r="AB61" i="48"/>
  <c r="M67" i="48"/>
  <c r="AW266" i="46"/>
  <c r="AW264" i="46" s="1"/>
  <c r="KI266" i="46"/>
  <c r="KI264" i="46" s="1"/>
  <c r="IA266" i="46"/>
  <c r="IA264" i="46" s="1"/>
  <c r="IV266" i="46"/>
  <c r="IV264" i="46" s="1"/>
  <c r="CM266" i="46"/>
  <c r="CM264" i="46" s="1"/>
  <c r="KR266" i="46"/>
  <c r="KR264" i="46" s="1"/>
  <c r="GT266" i="46"/>
  <c r="GT264" i="46" s="1"/>
  <c r="HI266" i="46"/>
  <c r="HI264" i="46" s="1"/>
  <c r="AK266" i="46"/>
  <c r="AK264" i="46" s="1"/>
  <c r="IJ266" i="46"/>
  <c r="IJ264" i="46" s="1"/>
  <c r="HF266" i="46"/>
  <c r="HF264" i="46" s="1"/>
  <c r="IG266" i="46"/>
  <c r="IG264" i="46" s="1"/>
  <c r="CS266" i="46"/>
  <c r="CS264" i="46" s="1"/>
  <c r="FP266" i="46"/>
  <c r="FP264" i="46" s="1"/>
  <c r="CD266" i="46"/>
  <c r="CD264" i="46" s="1"/>
  <c r="EL266" i="46"/>
  <c r="EL264" i="46" s="1"/>
  <c r="IY266" i="46"/>
  <c r="IY264" i="46" s="1"/>
  <c r="JW266" i="46"/>
  <c r="JW264" i="46" s="1"/>
  <c r="DK266" i="46"/>
  <c r="DK264" i="46" s="1"/>
  <c r="FY266" i="46"/>
  <c r="FY264" i="46" s="1"/>
  <c r="KF266" i="46"/>
  <c r="KF264" i="46" s="1"/>
  <c r="FM266" i="46"/>
  <c r="FM264" i="46" s="1"/>
  <c r="HU266" i="46"/>
  <c r="HU264" i="46" s="1"/>
  <c r="CP266" i="46"/>
  <c r="CP264" i="46" s="1"/>
  <c r="KX266" i="46"/>
  <c r="KX264" i="46" s="1"/>
  <c r="ER266" i="46"/>
  <c r="ER264" i="46" s="1"/>
  <c r="JZ266" i="46"/>
  <c r="JZ264" i="46" s="1"/>
  <c r="LD266" i="46"/>
  <c r="LD264" i="46" s="1"/>
  <c r="KU266" i="46"/>
  <c r="KU264" i="46" s="1"/>
  <c r="FD266" i="46"/>
  <c r="FD264" i="46" s="1"/>
  <c r="BC266" i="46"/>
  <c r="BC264" i="46" s="1"/>
  <c r="FA266" i="46"/>
  <c r="FA264" i="46" s="1"/>
  <c r="BF266" i="46"/>
  <c r="BF264" i="46" s="1"/>
  <c r="HC266" i="46"/>
  <c r="HC264" i="46" s="1"/>
  <c r="HL266" i="46"/>
  <c r="HL264" i="46" s="1"/>
  <c r="CA266" i="46"/>
  <c r="CA264" i="46" s="1"/>
  <c r="BI266" i="46"/>
  <c r="BI264" i="46" s="1"/>
  <c r="DB266" i="46"/>
  <c r="DB264" i="46" s="1"/>
  <c r="EU266" i="46"/>
  <c r="EU264" i="46" s="1"/>
  <c r="CV266" i="46"/>
  <c r="CV264" i="46" s="1"/>
  <c r="GQ266" i="46"/>
  <c r="GQ264" i="46" s="1"/>
  <c r="FG266" i="46"/>
  <c r="FG264" i="46" s="1"/>
  <c r="AH266" i="46"/>
  <c r="AH264" i="46" s="1"/>
  <c r="ID266" i="46"/>
  <c r="ID264" i="46" s="1"/>
  <c r="GZ266" i="46"/>
  <c r="GZ264" i="46" s="1"/>
  <c r="BU266" i="46"/>
  <c r="BU264" i="46" s="1"/>
  <c r="JE266" i="46"/>
  <c r="JE264" i="46" s="1"/>
  <c r="JK266" i="46"/>
  <c r="JK264" i="46" s="1"/>
  <c r="IS266" i="46"/>
  <c r="IS264" i="46" s="1"/>
  <c r="KL266" i="46"/>
  <c r="KL264" i="46" s="1"/>
  <c r="DZ266" i="46"/>
  <c r="DZ264" i="46" s="1"/>
  <c r="FS266" i="46"/>
  <c r="FS264" i="46" s="1"/>
  <c r="EI266" i="46"/>
  <c r="EI264" i="46" s="1"/>
  <c r="KO266" i="46"/>
  <c r="KO264" i="46" s="1"/>
  <c r="GW266" i="46"/>
  <c r="GW264" i="46" s="1"/>
  <c r="Y266" i="46"/>
  <c r="Y264" i="46" s="1"/>
  <c r="BO266" i="46"/>
  <c r="BO264" i="46" s="1"/>
  <c r="GK266" i="46"/>
  <c r="GK264" i="46" s="1"/>
  <c r="AB266" i="46"/>
  <c r="AB264" i="46" s="1"/>
  <c r="BX266" i="46"/>
  <c r="BX264" i="46" s="1"/>
  <c r="X83" i="48"/>
  <c r="I63" i="48"/>
  <c r="H78" i="48"/>
  <c r="H42" i="48"/>
  <c r="H51" i="48"/>
  <c r="M86" i="48"/>
  <c r="N68" i="48"/>
  <c r="AF69" i="48"/>
  <c r="AI67" i="48"/>
  <c r="T76" i="48"/>
  <c r="G87" i="48"/>
  <c r="G66" i="48"/>
  <c r="G19" i="48"/>
  <c r="G14" i="48"/>
  <c r="G80" i="48"/>
  <c r="G57" i="48"/>
  <c r="G79" i="48"/>
  <c r="G6" i="48"/>
  <c r="G76" i="48"/>
  <c r="G13" i="48"/>
  <c r="G15" i="48"/>
  <c r="G59" i="48"/>
  <c r="G12" i="48"/>
  <c r="G31" i="48"/>
  <c r="G36" i="48"/>
  <c r="G50" i="48"/>
  <c r="G84" i="48"/>
  <c r="G85" i="48"/>
  <c r="G39" i="48"/>
  <c r="G54" i="48"/>
  <c r="G10" i="48"/>
  <c r="G77" i="48"/>
  <c r="G27" i="48"/>
  <c r="G53" i="48"/>
  <c r="G73" i="48"/>
  <c r="G81" i="48"/>
  <c r="G86" i="48"/>
  <c r="G42" i="48"/>
  <c r="G70" i="48"/>
  <c r="G32" i="48"/>
  <c r="G5" i="48"/>
  <c r="G26" i="48"/>
  <c r="G17" i="48"/>
  <c r="G9" i="48"/>
  <c r="G7" i="48"/>
  <c r="G28" i="48"/>
  <c r="G74" i="48"/>
  <c r="G33" i="48"/>
  <c r="G46" i="48"/>
  <c r="G4" i="48"/>
  <c r="G47" i="48"/>
  <c r="G60" i="48"/>
  <c r="G49" i="48"/>
  <c r="G72" i="48"/>
  <c r="G21" i="48"/>
  <c r="G44" i="48"/>
  <c r="G69" i="48"/>
  <c r="G78" i="48"/>
  <c r="G43" i="48"/>
  <c r="G41" i="48"/>
  <c r="G11" i="48"/>
  <c r="G62" i="48"/>
  <c r="G34" i="48"/>
  <c r="G67" i="48"/>
  <c r="G68" i="48"/>
  <c r="G65" i="48"/>
  <c r="G38" i="48"/>
  <c r="G83" i="48"/>
  <c r="G8" i="48"/>
  <c r="G71" i="48"/>
  <c r="G61" i="48"/>
  <c r="G35" i="48"/>
  <c r="G37" i="48"/>
  <c r="G52" i="48"/>
  <c r="G30" i="48"/>
  <c r="G24" i="48"/>
  <c r="G25" i="48"/>
  <c r="G51" i="48"/>
  <c r="G56" i="48"/>
  <c r="G64" i="48"/>
  <c r="AI63" i="48"/>
  <c r="AJ85" i="48"/>
  <c r="AE8" i="48"/>
  <c r="W66" i="48"/>
  <c r="Q61" i="48"/>
  <c r="N58" i="48"/>
  <c r="Z75" i="48"/>
  <c r="G63" i="48"/>
  <c r="I74" i="48"/>
  <c r="AG81" i="48"/>
  <c r="AK76" i="48"/>
  <c r="AC77" i="48"/>
  <c r="AJ87" i="48"/>
  <c r="AC81" i="48"/>
  <c r="R64" i="48"/>
  <c r="P6" i="48"/>
  <c r="V86" i="48"/>
  <c r="AD7" i="48"/>
  <c r="AB81" i="48"/>
  <c r="I70" i="48"/>
  <c r="Y65" i="48"/>
  <c r="U66" i="48"/>
  <c r="I85" i="48"/>
  <c r="H79" i="48"/>
  <c r="W78" i="48"/>
  <c r="Q66" i="48"/>
  <c r="S6" i="48"/>
  <c r="I65" i="48"/>
  <c r="AL87" i="48"/>
  <c r="S8" i="48"/>
  <c r="V70" i="48"/>
  <c r="AI73" i="48"/>
  <c r="S60" i="48"/>
  <c r="X61" i="48"/>
  <c r="L61" i="48"/>
  <c r="W63" i="48"/>
  <c r="AI7" i="48"/>
  <c r="U71" i="48"/>
  <c r="AE74" i="48"/>
  <c r="AC70" i="48"/>
  <c r="O79" i="48"/>
  <c r="AD81" i="48"/>
  <c r="X75" i="48"/>
  <c r="J8" i="48"/>
  <c r="R69" i="48"/>
  <c r="AL63" i="48"/>
  <c r="H69" i="48"/>
  <c r="Z82" i="48"/>
  <c r="AH62" i="48"/>
  <c r="AK79" i="48"/>
  <c r="I59" i="48"/>
  <c r="AE83" i="48"/>
  <c r="AJ74" i="48"/>
  <c r="V78" i="48"/>
  <c r="O66" i="48"/>
  <c r="AD77" i="48"/>
  <c r="AD75" i="48"/>
  <c r="M66" i="48"/>
  <c r="M80" i="48"/>
  <c r="AH68" i="48"/>
  <c r="S59" i="48"/>
  <c r="Y67" i="48"/>
  <c r="Z73" i="48"/>
  <c r="P80" i="48"/>
  <c r="AH75" i="48"/>
  <c r="T77" i="48"/>
  <c r="AD80" i="48"/>
  <c r="H7" i="48"/>
  <c r="Y84" i="48"/>
  <c r="AB85" i="48"/>
  <c r="AK81" i="48"/>
  <c r="AI64" i="48"/>
  <c r="K66" i="48"/>
  <c r="K77" i="48"/>
  <c r="P75" i="48"/>
  <c r="Q75" i="48"/>
  <c r="T82" i="48"/>
  <c r="AK5" i="48"/>
  <c r="H22" i="48"/>
  <c r="AB74" i="48"/>
  <c r="U83" i="48"/>
  <c r="K64" i="48"/>
  <c r="AD71" i="48"/>
  <c r="AH82" i="48"/>
  <c r="AE67" i="48"/>
  <c r="R61" i="48"/>
  <c r="AB59" i="48"/>
  <c r="N82" i="48"/>
  <c r="V75" i="48"/>
  <c r="H71" i="48"/>
  <c r="S77" i="48"/>
  <c r="V84" i="48"/>
  <c r="AC79" i="48"/>
  <c r="R70" i="48"/>
  <c r="H77" i="48"/>
  <c r="AB76" i="48"/>
  <c r="J67" i="48"/>
  <c r="AB5" i="48"/>
  <c r="I81" i="48"/>
  <c r="U4" i="48"/>
  <c r="S5" i="48"/>
  <c r="K87" i="48"/>
  <c r="H50" i="48"/>
  <c r="AJ4" i="48"/>
  <c r="AE77" i="48"/>
  <c r="T63" i="48"/>
  <c r="M79" i="48"/>
  <c r="O78" i="48"/>
  <c r="AD70" i="48"/>
  <c r="R66" i="48"/>
  <c r="Z86" i="48"/>
  <c r="M5" i="48"/>
  <c r="U76" i="48"/>
  <c r="X4" i="48"/>
  <c r="AG7" i="48"/>
  <c r="AA65" i="48"/>
  <c r="I77" i="48"/>
  <c r="Y76" i="48"/>
  <c r="U62" i="48"/>
  <c r="Q67" i="48"/>
  <c r="J76" i="48"/>
  <c r="S7" i="48"/>
  <c r="AC76" i="48"/>
  <c r="AF74" i="48"/>
  <c r="R74" i="48"/>
  <c r="AG68" i="48"/>
  <c r="AJ70" i="48"/>
  <c r="H43" i="48"/>
  <c r="K7" i="48"/>
  <c r="Y66" i="48"/>
  <c r="AJ83" i="48"/>
  <c r="H46" i="48"/>
  <c r="AG69" i="48"/>
  <c r="AK66" i="48"/>
  <c r="N62" i="48"/>
  <c r="AJ62" i="48"/>
  <c r="AE81" i="48"/>
  <c r="AL59" i="48"/>
  <c r="L78" i="48"/>
  <c r="R59" i="48"/>
  <c r="U59" i="48"/>
  <c r="H37" i="48"/>
  <c r="P74" i="48"/>
  <c r="U82" i="48"/>
  <c r="AJ81" i="48"/>
  <c r="R62" i="48"/>
  <c r="L76" i="48"/>
  <c r="AL67" i="48"/>
  <c r="W61" i="48"/>
  <c r="AK82" i="48"/>
  <c r="Q70" i="48"/>
  <c r="Z76" i="48"/>
  <c r="H56" i="48"/>
  <c r="AG75" i="48"/>
  <c r="Q62" i="48"/>
  <c r="AD58" i="48"/>
  <c r="AC62" i="48"/>
  <c r="AB68" i="48"/>
  <c r="AH74" i="48"/>
  <c r="Z74" i="48"/>
  <c r="AB70" i="48"/>
  <c r="AJ76" i="48"/>
  <c r="AC5" i="48"/>
  <c r="AK75" i="48"/>
  <c r="U77" i="48"/>
  <c r="AI83" i="48"/>
  <c r="R60" i="48"/>
  <c r="O64" i="48"/>
  <c r="O76" i="48"/>
  <c r="Y64" i="48"/>
  <c r="AL65" i="48"/>
  <c r="AL84" i="48"/>
  <c r="P59" i="48"/>
  <c r="V7" i="48"/>
  <c r="V4" i="48"/>
  <c r="X82" i="48"/>
  <c r="Z61" i="48"/>
  <c r="AA59" i="48"/>
  <c r="AG63" i="48"/>
  <c r="L67" i="48"/>
  <c r="N76" i="48"/>
  <c r="H20" i="48"/>
  <c r="AC86" i="48"/>
  <c r="AF80" i="48"/>
  <c r="AF7" i="48"/>
  <c r="W4" i="48"/>
  <c r="AL86" i="48"/>
  <c r="AF62" i="48"/>
  <c r="AA77" i="48"/>
  <c r="J70" i="48"/>
  <c r="AG85" i="48"/>
  <c r="J86" i="48"/>
  <c r="J62" i="48"/>
  <c r="AH84" i="48"/>
  <c r="W68" i="48"/>
  <c r="Z62" i="48"/>
  <c r="V79" i="48"/>
  <c r="AC84" i="48"/>
  <c r="H5" i="48"/>
  <c r="AH80" i="48"/>
  <c r="AI74" i="48"/>
  <c r="AF73" i="48"/>
  <c r="H75" i="48"/>
  <c r="AJ72" i="48"/>
  <c r="J82" i="48"/>
  <c r="R65" i="48"/>
  <c r="P58" i="48"/>
  <c r="Z77" i="48"/>
  <c r="Q74" i="48"/>
  <c r="K78" i="48"/>
  <c r="W69" i="48"/>
  <c r="AE75" i="48"/>
  <c r="H54" i="48"/>
  <c r="J59" i="48"/>
  <c r="P76" i="48"/>
  <c r="AH83" i="48"/>
  <c r="X58" i="48"/>
  <c r="N71" i="48"/>
  <c r="T62" i="48"/>
  <c r="AH67" i="48"/>
  <c r="AL69" i="48"/>
  <c r="AE82" i="48"/>
  <c r="M73" i="48"/>
  <c r="H45" i="48"/>
  <c r="W65" i="48"/>
  <c r="AH79" i="48"/>
  <c r="AK65" i="48"/>
  <c r="AI78" i="48"/>
  <c r="T66" i="48"/>
  <c r="O61" i="48"/>
  <c r="U75" i="48"/>
  <c r="X67" i="48"/>
  <c r="Y62" i="48"/>
  <c r="H59" i="48"/>
  <c r="AE68" i="48"/>
  <c r="Z80" i="48"/>
  <c r="S79" i="48"/>
  <c r="AH81" i="48"/>
  <c r="AL77" i="48"/>
  <c r="R82" i="48"/>
  <c r="N77" i="48"/>
  <c r="AI69" i="48"/>
  <c r="T75" i="48"/>
  <c r="O7" i="48"/>
  <c r="AK4" i="48"/>
  <c r="O8" i="48"/>
  <c r="H21" i="48"/>
  <c r="X71" i="48"/>
  <c r="AD85" i="48"/>
  <c r="U58" i="48"/>
  <c r="AA63" i="48"/>
  <c r="V77" i="48"/>
  <c r="M76" i="48"/>
  <c r="R68" i="48"/>
  <c r="Z71" i="48"/>
  <c r="K76" i="48"/>
  <c r="AJ6" i="48"/>
  <c r="AI59" i="48"/>
  <c r="S87" i="48"/>
  <c r="W8" i="48"/>
  <c r="AA61" i="48"/>
  <c r="AK69" i="48"/>
  <c r="I83" i="48"/>
  <c r="L68" i="48"/>
  <c r="AE70" i="48"/>
  <c r="I62" i="48"/>
  <c r="I87" i="48"/>
  <c r="AA71" i="48"/>
  <c r="AF86" i="48"/>
  <c r="AH7" i="48"/>
  <c r="AJ7" i="48"/>
  <c r="AK60" i="48"/>
  <c r="AG82" i="48"/>
  <c r="I73" i="48"/>
  <c r="Q83" i="48"/>
  <c r="O75" i="48"/>
  <c r="H18" i="48"/>
  <c r="AE59" i="48"/>
  <c r="M74" i="48"/>
  <c r="O73" i="48"/>
  <c r="L73" i="48"/>
  <c r="W64" i="48"/>
  <c r="J78" i="48"/>
  <c r="H26" i="48"/>
  <c r="AF65" i="48"/>
  <c r="AH65" i="48"/>
  <c r="P82" i="48"/>
  <c r="H23" i="48"/>
  <c r="I80" i="48"/>
  <c r="AA7" i="48"/>
  <c r="AL79" i="48"/>
  <c r="AB58" i="48"/>
  <c r="V82" i="48"/>
  <c r="AG73" i="48"/>
  <c r="Z65" i="48"/>
  <c r="Q84" i="48"/>
  <c r="AC80" i="48"/>
  <c r="H82" i="48"/>
  <c r="L62" i="48"/>
  <c r="AG76" i="48"/>
  <c r="AC60" i="48"/>
  <c r="I58" i="48"/>
  <c r="V59" i="48"/>
  <c r="J71" i="48"/>
  <c r="W67" i="48"/>
  <c r="AE62" i="48"/>
  <c r="X66" i="48"/>
  <c r="AD73" i="48"/>
  <c r="I86" i="48"/>
  <c r="AH72" i="48"/>
  <c r="J66" i="48"/>
  <c r="AA58" i="48"/>
  <c r="S66" i="48"/>
  <c r="J75" i="48"/>
  <c r="L75" i="48"/>
  <c r="L80" i="48"/>
  <c r="L86" i="48"/>
  <c r="AA75" i="48"/>
  <c r="H67" i="48"/>
  <c r="U84" i="48"/>
  <c r="Y85" i="48"/>
  <c r="X63" i="48"/>
  <c r="T64" i="48"/>
  <c r="M71" i="48"/>
  <c r="M70" i="48"/>
  <c r="L69" i="48"/>
  <c r="AC63" i="48"/>
  <c r="AD60" i="48"/>
  <c r="T4" i="48"/>
  <c r="H83" i="48"/>
  <c r="W75" i="48"/>
  <c r="L4" i="48"/>
  <c r="L64" i="48"/>
  <c r="AD66" i="48"/>
  <c r="J58" i="48"/>
  <c r="H70" i="48"/>
  <c r="AJ75" i="48"/>
  <c r="AI79" i="48"/>
  <c r="N7" i="48"/>
  <c r="Q64" i="48"/>
  <c r="H55" i="48"/>
  <c r="AL7" i="48"/>
  <c r="AE66" i="48"/>
  <c r="Y60" i="48"/>
  <c r="AC59" i="48"/>
  <c r="AH64" i="48"/>
  <c r="O63" i="48"/>
  <c r="AI80" i="48"/>
  <c r="H24" i="48"/>
  <c r="Y80" i="48"/>
  <c r="T86" i="48"/>
  <c r="AB80" i="48"/>
  <c r="X65" i="48"/>
  <c r="N83" i="48"/>
  <c r="K63" i="48"/>
  <c r="W7" i="48"/>
  <c r="AF71" i="48"/>
  <c r="K70" i="48"/>
  <c r="H72" i="48"/>
  <c r="M77" i="48"/>
  <c r="T69" i="48"/>
  <c r="AF85" i="48"/>
  <c r="AH61" i="48"/>
  <c r="AL83" i="48"/>
  <c r="O60" i="48"/>
  <c r="AF77" i="48"/>
  <c r="L71" i="48"/>
  <c r="AF64" i="48"/>
  <c r="Z84" i="48"/>
  <c r="H27" i="48"/>
  <c r="N86" i="48"/>
  <c r="W85" i="48"/>
  <c r="AC68" i="48"/>
  <c r="K79" i="48"/>
  <c r="AF75" i="48"/>
  <c r="V74" i="48"/>
  <c r="AG86" i="48"/>
  <c r="O80" i="48"/>
  <c r="V67" i="48"/>
  <c r="H14" i="48"/>
  <c r="AA68" i="48"/>
  <c r="Z69" i="48"/>
  <c r="O68" i="48"/>
  <c r="J79" i="48"/>
  <c r="AG74" i="48"/>
  <c r="P62" i="48"/>
  <c r="V69" i="48"/>
  <c r="AC75" i="48"/>
  <c r="R63" i="48"/>
  <c r="AA6" i="48"/>
  <c r="H64" i="48"/>
  <c r="K69" i="48"/>
  <c r="L85" i="48"/>
  <c r="Y79" i="48"/>
  <c r="AI76" i="48"/>
  <c r="R71" i="48"/>
  <c r="J77" i="48"/>
  <c r="V66" i="48"/>
  <c r="AB78" i="48"/>
  <c r="AJ71" i="48"/>
  <c r="Q8" i="48"/>
  <c r="AE6" i="48"/>
  <c r="J87" i="48"/>
  <c r="H8" i="48"/>
  <c r="AB66" i="48"/>
  <c r="AG79" i="48"/>
  <c r="AH58" i="48"/>
  <c r="I69" i="48"/>
  <c r="L72" i="48"/>
  <c r="AI77" i="48"/>
  <c r="T61" i="48"/>
  <c r="AG77" i="48"/>
  <c r="Y74" i="48"/>
  <c r="AL4" i="48"/>
  <c r="J85" i="48"/>
  <c r="AG78" i="48"/>
  <c r="AC69" i="48"/>
  <c r="N84" i="48"/>
  <c r="L60" i="48"/>
  <c r="AK85" i="48"/>
  <c r="H68" i="48"/>
  <c r="P66" i="48"/>
  <c r="AI85" i="48"/>
  <c r="AE5" i="48"/>
  <c r="AJ80" i="48"/>
  <c r="V87" i="48"/>
  <c r="J4" i="48"/>
  <c r="N66" i="48"/>
  <c r="K82" i="48"/>
  <c r="M69" i="48"/>
  <c r="I76" i="48"/>
  <c r="AF59" i="48"/>
  <c r="AJ65" i="48"/>
  <c r="T85" i="48"/>
  <c r="AG62" i="48"/>
  <c r="P68" i="48"/>
  <c r="AB82" i="48"/>
  <c r="AD61" i="48"/>
  <c r="K58" i="48"/>
  <c r="R5" i="48"/>
  <c r="H86" i="48"/>
  <c r="M68" i="48"/>
  <c r="P61" i="48"/>
  <c r="AK67" i="48"/>
  <c r="H47" i="48"/>
  <c r="T83" i="48"/>
  <c r="T74" i="48"/>
  <c r="U68" i="48"/>
  <c r="H84" i="48"/>
  <c r="R83" i="48"/>
  <c r="Z66" i="48"/>
  <c r="N78" i="48"/>
  <c r="H29" i="48"/>
  <c r="AF60" i="48"/>
  <c r="Q77" i="48"/>
  <c r="X74" i="48"/>
  <c r="AB4" i="48"/>
  <c r="AB7" i="48"/>
  <c r="H58" i="48"/>
  <c r="Z72" i="48"/>
  <c r="Y81" i="48"/>
  <c r="T71" i="48"/>
  <c r="I72" i="48"/>
  <c r="O74" i="48"/>
  <c r="Q82" i="48"/>
  <c r="J84" i="48"/>
  <c r="AF8" i="48"/>
  <c r="AK7" i="48"/>
  <c r="AI6" i="48"/>
  <c r="AH6" i="48"/>
  <c r="O70" i="48"/>
  <c r="AK68" i="48"/>
  <c r="AB63" i="48"/>
  <c r="O5" i="48"/>
  <c r="P7" i="48"/>
  <c r="AK61" i="48"/>
  <c r="Y72" i="48"/>
  <c r="AJ58" i="48"/>
  <c r="AI86" i="48"/>
  <c r="Z87" i="48"/>
  <c r="X5" i="48"/>
  <c r="AH71" i="48"/>
  <c r="I82" i="48"/>
  <c r="AC73" i="48"/>
  <c r="AK70" i="48"/>
  <c r="AE63" i="48"/>
  <c r="P72" i="48"/>
  <c r="H6" i="48"/>
  <c r="AB86" i="48"/>
  <c r="R77" i="48"/>
  <c r="AB73" i="48"/>
  <c r="AA85" i="48"/>
  <c r="S64" i="48"/>
  <c r="L81" i="48"/>
  <c r="AE58" i="48"/>
  <c r="S68" i="48"/>
  <c r="AK74" i="48"/>
  <c r="Q72" i="48"/>
  <c r="H81" i="48"/>
  <c r="AH76" i="48"/>
  <c r="V72" i="48"/>
  <c r="R85" i="48"/>
  <c r="K81" i="48"/>
  <c r="AD79" i="48"/>
  <c r="S58" i="48"/>
  <c r="Z88" i="48"/>
  <c r="K88" i="48"/>
  <c r="I88" i="48"/>
  <c r="N60" i="48"/>
  <c r="Y70" i="48"/>
  <c r="Z67" i="48"/>
  <c r="M60" i="48"/>
  <c r="AI58" i="48"/>
  <c r="AC4" i="48"/>
  <c r="H28" i="48"/>
  <c r="O85" i="48"/>
  <c r="AE64" i="48"/>
  <c r="AE60" i="48"/>
  <c r="H57" i="48"/>
  <c r="AA83" i="48"/>
  <c r="R76" i="48"/>
  <c r="AL80" i="48"/>
  <c r="H36" i="48"/>
  <c r="R81" i="48"/>
  <c r="X73" i="48"/>
  <c r="N74" i="48"/>
  <c r="H53" i="48"/>
  <c r="Z81" i="48"/>
  <c r="U70" i="48"/>
  <c r="N69" i="48"/>
  <c r="O4" i="48"/>
  <c r="Z5" i="48"/>
  <c r="H63" i="48"/>
  <c r="U74" i="48"/>
  <c r="AG59" i="48"/>
  <c r="Q71" i="48"/>
  <c r="K62" i="48"/>
  <c r="J63" i="48"/>
  <c r="I66" i="48"/>
  <c r="Z68" i="48"/>
  <c r="Z8" i="48"/>
  <c r="I5" i="48"/>
  <c r="W6" i="48"/>
  <c r="V5" i="48"/>
  <c r="U63" i="48"/>
  <c r="AK77" i="48"/>
  <c r="H34" i="48"/>
  <c r="Y7" i="48"/>
  <c r="AJ8" i="48"/>
  <c r="Q80" i="48"/>
  <c r="AK72" i="48"/>
  <c r="J83" i="48"/>
  <c r="AE72" i="48"/>
  <c r="AG4" i="48"/>
  <c r="X6" i="48"/>
  <c r="I78" i="48"/>
  <c r="K75" i="48"/>
  <c r="N73" i="48"/>
  <c r="AJ66" i="48"/>
  <c r="AF83" i="48"/>
  <c r="AE73" i="48"/>
  <c r="H62" i="48"/>
  <c r="S86" i="48"/>
  <c r="AB72" i="48"/>
  <c r="T67" i="48"/>
  <c r="N81" i="48"/>
  <c r="W81" i="48"/>
  <c r="AF61" i="48"/>
  <c r="P60" i="48"/>
  <c r="M65" i="48"/>
  <c r="V62" i="48"/>
  <c r="H48" i="48"/>
  <c r="H80" i="48"/>
  <c r="I68" i="48"/>
  <c r="M63" i="48"/>
  <c r="V85" i="48"/>
  <c r="L79" i="48"/>
  <c r="S83" i="48"/>
  <c r="Q58" i="48"/>
  <c r="AB6" i="48"/>
  <c r="AE87" i="48"/>
  <c r="AH86" i="48"/>
  <c r="H41" i="48"/>
  <c r="AG71" i="48"/>
  <c r="W59" i="48"/>
  <c r="J69" i="48"/>
  <c r="H76" i="48"/>
  <c r="W83" i="48"/>
  <c r="AB75" i="48"/>
  <c r="AH63" i="48"/>
  <c r="H9" i="48"/>
  <c r="O62" i="48"/>
  <c r="AB84" i="48"/>
  <c r="U67" i="48"/>
  <c r="AH59" i="48"/>
  <c r="I79" i="48"/>
  <c r="AH73" i="48"/>
  <c r="AI62" i="48"/>
  <c r="AC74" i="48"/>
  <c r="N64" i="48"/>
  <c r="S75" i="48"/>
  <c r="AG70" i="48"/>
  <c r="N4" i="48"/>
  <c r="Z7" i="48"/>
  <c r="AK86" i="48"/>
  <c r="AF68" i="48"/>
  <c r="AA79" i="48"/>
  <c r="AI71" i="48"/>
  <c r="J72" i="48"/>
  <c r="J73" i="48"/>
  <c r="U86" i="48"/>
  <c r="AK6" i="48"/>
  <c r="AB8" i="48"/>
  <c r="H87" i="48"/>
  <c r="Y4" i="48"/>
  <c r="AL5" i="48"/>
  <c r="S80" i="48"/>
  <c r="AE79" i="48"/>
  <c r="N87" i="48"/>
  <c r="L7" i="48"/>
  <c r="AH8" i="48"/>
  <c r="M62" i="48"/>
  <c r="U73" i="48"/>
  <c r="Q59" i="48"/>
  <c r="X84" i="48"/>
  <c r="Q7" i="48"/>
  <c r="AI8" i="48"/>
  <c r="Y82" i="48"/>
  <c r="T80" i="48"/>
  <c r="U80" i="48"/>
  <c r="AF79" i="48"/>
  <c r="AK83" i="48"/>
  <c r="S71" i="48"/>
  <c r="H13" i="48"/>
  <c r="I64" i="48"/>
  <c r="I67" i="48"/>
  <c r="L84" i="48"/>
  <c r="N63" i="48"/>
  <c r="L59" i="48"/>
  <c r="Y83" i="48"/>
  <c r="O86" i="48"/>
  <c r="W76" i="48"/>
  <c r="I61" i="48"/>
  <c r="H16" i="48"/>
  <c r="H60" i="48"/>
  <c r="AK78" i="48"/>
  <c r="T70" i="48"/>
  <c r="M85" i="48"/>
  <c r="T59" i="48"/>
  <c r="U79" i="48"/>
  <c r="P81" i="48"/>
  <c r="L6" i="48"/>
  <c r="V71" i="48"/>
  <c r="O77" i="48"/>
  <c r="O67" i="48"/>
  <c r="S85" i="48"/>
  <c r="P73" i="48"/>
  <c r="X86" i="48"/>
  <c r="T81" i="48"/>
  <c r="AH70" i="48"/>
  <c r="Q68" i="48"/>
  <c r="AJ69" i="48"/>
  <c r="X69" i="48"/>
  <c r="Q78" i="48"/>
  <c r="Y73" i="48"/>
  <c r="AB67" i="48"/>
  <c r="J81" i="48"/>
  <c r="AL73" i="48"/>
  <c r="AF66" i="48"/>
  <c r="Y71" i="48"/>
  <c r="N79" i="48"/>
  <c r="AA76" i="48"/>
  <c r="AH77" i="48"/>
  <c r="R7" i="48"/>
  <c r="AK87" i="48"/>
  <c r="AL74" i="48"/>
  <c r="AA69" i="48"/>
  <c r="T60" i="48"/>
  <c r="AE61" i="48"/>
  <c r="AA80" i="48"/>
  <c r="P70" i="48"/>
  <c r="AB77" i="48"/>
  <c r="AH4" i="48"/>
  <c r="J5" i="48"/>
  <c r="AA87" i="48"/>
  <c r="I8" i="48"/>
  <c r="V8" i="48"/>
  <c r="AL78" i="48"/>
  <c r="AD83" i="48"/>
  <c r="Y87" i="48"/>
  <c r="U6" i="48"/>
  <c r="O6" i="48"/>
  <c r="AE65" i="48"/>
  <c r="AB64" i="48"/>
  <c r="Q81" i="48"/>
  <c r="H49" i="48"/>
  <c r="T8" i="48"/>
  <c r="L5" i="48"/>
  <c r="AL70" i="48"/>
  <c r="R80" i="48"/>
  <c r="X59" i="48"/>
  <c r="I71" i="48"/>
  <c r="Q85" i="48"/>
  <c r="H12" i="48"/>
  <c r="H61" i="48"/>
  <c r="W72" i="48"/>
  <c r="K71" i="48"/>
  <c r="AF63" i="48"/>
  <c r="T79" i="48"/>
  <c r="M83" i="48"/>
  <c r="AI66" i="48"/>
  <c r="AG72" i="48"/>
  <c r="AJ68" i="48"/>
  <c r="P71" i="48"/>
  <c r="H40" i="48"/>
  <c r="K86" i="48"/>
  <c r="T78" i="48"/>
  <c r="AD63" i="48"/>
  <c r="AL85" i="48"/>
  <c r="AB65" i="48"/>
  <c r="W58" i="48"/>
  <c r="AG60" i="48"/>
  <c r="Q63" i="48"/>
  <c r="H38" i="48"/>
  <c r="M59" i="48"/>
  <c r="L8" i="48"/>
  <c r="AB71" i="48"/>
  <c r="AK84" i="48"/>
  <c r="S78" i="48"/>
  <c r="J68" i="48"/>
  <c r="U81" i="48"/>
  <c r="J65" i="48"/>
  <c r="AE69" i="48"/>
  <c r="AA84" i="48"/>
  <c r="AC61" i="48"/>
  <c r="U69" i="48"/>
  <c r="S76" i="48"/>
  <c r="AE71" i="48"/>
  <c r="X79" i="48"/>
  <c r="S67" i="48"/>
  <c r="S62" i="48"/>
  <c r="W74" i="48"/>
  <c r="AA86" i="48"/>
  <c r="AI65" i="48"/>
  <c r="S72" i="48"/>
  <c r="P8" i="48"/>
  <c r="X87" i="48"/>
  <c r="X80" i="48"/>
  <c r="Z85" i="48"/>
  <c r="AJ79" i="48"/>
  <c r="M72" i="48"/>
  <c r="N65" i="48"/>
  <c r="I60" i="48"/>
  <c r="X78" i="48"/>
  <c r="AC8" i="48"/>
  <c r="X8" i="48"/>
  <c r="O87" i="48"/>
  <c r="W5" i="48"/>
  <c r="Z4" i="48"/>
  <c r="V64" i="48"/>
  <c r="Q60" i="48"/>
  <c r="W87" i="48"/>
  <c r="T7" i="48"/>
  <c r="AD8" i="48"/>
  <c r="X70" i="48"/>
  <c r="AJ84" i="48"/>
  <c r="S81" i="48"/>
  <c r="H11" i="48"/>
  <c r="AG6" i="48"/>
  <c r="K4" i="48"/>
  <c r="AK64" i="48"/>
  <c r="Y63" i="48"/>
  <c r="AK63" i="48"/>
  <c r="AL68" i="48"/>
  <c r="U78" i="48"/>
  <c r="H31" i="48"/>
  <c r="H33" i="48"/>
  <c r="AG66" i="48"/>
  <c r="V60" i="48"/>
  <c r="K59" i="48"/>
  <c r="Z64" i="48"/>
  <c r="Z58" i="48"/>
  <c r="W79" i="48"/>
  <c r="AI75" i="48"/>
  <c r="AD72" i="48"/>
  <c r="K61" i="48"/>
  <c r="H74" i="48"/>
  <c r="M84" i="48"/>
  <c r="AF78" i="48"/>
  <c r="X68" i="48"/>
  <c r="AJ59" i="48"/>
  <c r="L58" i="48"/>
  <c r="AH69" i="48"/>
  <c r="J61" i="48"/>
  <c r="P83" i="48"/>
  <c r="P4" i="48"/>
  <c r="AK62" i="48"/>
  <c r="S82" i="48"/>
  <c r="K65" i="48"/>
  <c r="H85" i="48"/>
  <c r="AE86" i="48"/>
  <c r="AA70" i="48"/>
  <c r="Z79" i="48"/>
  <c r="K67" i="48"/>
  <c r="O71" i="48"/>
  <c r="S73" i="48"/>
  <c r="AL58" i="48"/>
  <c r="S61" i="48"/>
  <c r="T84" i="48"/>
  <c r="P69" i="48"/>
  <c r="N72" i="48"/>
  <c r="Y78" i="48"/>
  <c r="M8" i="48"/>
  <c r="P85" i="48"/>
  <c r="P84" i="48"/>
  <c r="W73" i="48"/>
  <c r="R4" i="48"/>
  <c r="I6" i="48"/>
  <c r="H52" i="48"/>
  <c r="AI82" i="48"/>
  <c r="V63" i="48"/>
  <c r="AJ61" i="48"/>
  <c r="O59" i="48"/>
  <c r="AJ86" i="48"/>
  <c r="K74" i="48"/>
  <c r="Z78" i="48"/>
  <c r="T5" i="48"/>
  <c r="AA5" i="48"/>
  <c r="U5" i="48"/>
  <c r="AD87" i="48"/>
  <c r="AE4" i="48"/>
  <c r="V68" i="48"/>
  <c r="M78" i="48"/>
  <c r="AA4" i="48"/>
  <c r="AH87" i="48"/>
  <c r="I4" i="48"/>
  <c r="Q73" i="48"/>
  <c r="T65" i="48"/>
  <c r="AG84" i="48"/>
  <c r="R87" i="48"/>
  <c r="N6" i="48"/>
  <c r="Q65" i="48"/>
  <c r="AC72" i="48"/>
  <c r="AD64" i="48"/>
  <c r="AL66" i="48"/>
  <c r="Y58" i="48"/>
  <c r="AK59" i="48"/>
  <c r="H66" i="48"/>
  <c r="H19" i="48"/>
  <c r="H4" i="48"/>
  <c r="V76" i="48"/>
  <c r="AC82" i="48"/>
  <c r="AH85" i="48"/>
  <c r="AJ67" i="48"/>
  <c r="P79" i="48"/>
  <c r="AB79" i="48"/>
  <c r="N59" i="48"/>
  <c r="Q69" i="48"/>
  <c r="AA78" i="48"/>
  <c r="H39" i="48"/>
  <c r="X62" i="48"/>
  <c r="J80" i="48"/>
  <c r="X64" i="48"/>
  <c r="Z83" i="48"/>
  <c r="AC83" i="48"/>
  <c r="AL81" i="48"/>
  <c r="AH88" i="48"/>
  <c r="Y88" i="48"/>
  <c r="AE88" i="48"/>
  <c r="AD88" i="48"/>
  <c r="AF76" i="48"/>
  <c r="T72" i="48"/>
  <c r="AB60" i="48"/>
  <c r="P86" i="48"/>
  <c r="AI68" i="48"/>
  <c r="T87" i="48"/>
  <c r="M58" i="48"/>
  <c r="Y68" i="48"/>
  <c r="AJ63" i="48"/>
  <c r="U60" i="48"/>
  <c r="U65" i="48"/>
  <c r="U85" i="48"/>
  <c r="AD74" i="48"/>
  <c r="R75" i="48"/>
  <c r="AD65" i="48"/>
  <c r="X85" i="48"/>
  <c r="O69" i="48"/>
  <c r="AG80" i="48"/>
  <c r="AA8" i="48"/>
  <c r="Q79" i="48"/>
  <c r="J74" i="48"/>
  <c r="K72" i="48"/>
  <c r="X7" i="48"/>
  <c r="AD6" i="48"/>
  <c r="H30" i="48"/>
  <c r="V65" i="48"/>
  <c r="W70" i="48"/>
  <c r="V81" i="48"/>
  <c r="AA82" i="48"/>
  <c r="W84" i="48"/>
  <c r="AF67" i="48"/>
  <c r="AI72" i="48"/>
  <c r="AG8" i="48"/>
  <c r="AF5" i="48"/>
  <c r="U8" i="48"/>
  <c r="M6" i="48"/>
  <c r="M75" i="48"/>
  <c r="I75" i="48"/>
  <c r="Y77" i="48"/>
  <c r="Q6" i="48"/>
  <c r="AB87" i="48"/>
  <c r="R73" i="48"/>
  <c r="M82" i="48"/>
  <c r="AG83" i="48"/>
  <c r="AL61" i="48"/>
  <c r="Q87" i="48"/>
  <c r="J6" i="48"/>
  <c r="S84" i="48"/>
  <c r="AB62" i="48"/>
  <c r="AF82" i="48"/>
  <c r="AJ78" i="48"/>
  <c r="R58" i="48"/>
  <c r="Y86" i="48"/>
  <c r="H10" i="48"/>
  <c r="H15" i="48"/>
  <c r="T73" i="48"/>
  <c r="AG64" i="48"/>
  <c r="K85" i="48"/>
  <c r="AF58" i="48"/>
  <c r="L63" i="48"/>
  <c r="O83" i="48"/>
  <c r="Y61" i="48"/>
  <c r="AF84" i="48"/>
  <c r="AD62" i="48"/>
  <c r="H25" i="48"/>
  <c r="L65" i="48"/>
  <c r="W77" i="48"/>
  <c r="AI61" i="48"/>
  <c r="P64" i="48"/>
  <c r="U61" i="48"/>
  <c r="K83" i="48"/>
  <c r="G88" i="48"/>
  <c r="U88" i="48"/>
  <c r="AC88" i="48"/>
  <c r="AK88" i="48"/>
  <c r="G82" i="48"/>
  <c r="V73" i="48"/>
  <c r="Z59" i="48"/>
  <c r="R78" i="48"/>
  <c r="K6" i="48"/>
  <c r="AH5" i="48"/>
  <c r="X76" i="48"/>
  <c r="AL76" i="48"/>
  <c r="N67" i="48"/>
  <c r="AL82" i="48"/>
  <c r="O88" i="48"/>
  <c r="J88" i="48"/>
  <c r="X88" i="48"/>
  <c r="R88" i="48"/>
  <c r="AI88" i="48"/>
  <c r="AF88" i="48"/>
  <c r="G55" i="48"/>
  <c r="P65" i="48"/>
  <c r="AE85" i="48"/>
  <c r="N75" i="48"/>
  <c r="Y5" i="48"/>
  <c r="J7" i="48"/>
  <c r="AG87" i="48"/>
  <c r="S74" i="48"/>
  <c r="AB83" i="48"/>
  <c r="T6" i="48"/>
  <c r="G20" i="48"/>
  <c r="H65" i="48"/>
  <c r="AB69" i="48"/>
  <c r="AA74" i="48"/>
  <c r="L87" i="48"/>
  <c r="AC67" i="48"/>
  <c r="AD5" i="48"/>
  <c r="AH66" i="48"/>
  <c r="T68" i="48"/>
  <c r="AG67" i="48"/>
  <c r="L82" i="48"/>
  <c r="W86" i="48"/>
  <c r="AD86" i="48"/>
  <c r="P77" i="48"/>
  <c r="M7" i="48"/>
  <c r="AA81" i="48"/>
  <c r="U72" i="48"/>
  <c r="AA62" i="48"/>
  <c r="R84" i="48"/>
  <c r="V80" i="48"/>
  <c r="AE78" i="48"/>
  <c r="M81" i="48"/>
  <c r="M64" i="48"/>
  <c r="AK73" i="48"/>
  <c r="AD84" i="48"/>
  <c r="K5" i="48"/>
  <c r="S69" i="48"/>
  <c r="Z6" i="48"/>
  <c r="Y75" i="48"/>
  <c r="AJ77" i="48"/>
  <c r="AA73" i="48"/>
  <c r="AC65" i="48"/>
  <c r="R86" i="48"/>
  <c r="AF81" i="48"/>
  <c r="P78" i="48"/>
  <c r="W82" i="48"/>
  <c r="AF72" i="48"/>
  <c r="M4" i="48"/>
  <c r="T58" i="48"/>
  <c r="AJ64" i="48"/>
  <c r="AD68" i="48"/>
  <c r="AA64" i="48"/>
  <c r="S65" i="48"/>
  <c r="S4" i="48"/>
  <c r="AG5" i="48"/>
  <c r="AL75" i="48"/>
  <c r="M87" i="48"/>
  <c r="K80" i="48"/>
  <c r="O65" i="48"/>
  <c r="X72" i="48"/>
  <c r="AH78" i="48"/>
  <c r="AD78" i="48"/>
  <c r="J60" i="48"/>
  <c r="AL72" i="48"/>
  <c r="AC71" i="48"/>
  <c r="AC85" i="48"/>
  <c r="AC64" i="48"/>
  <c r="AK71" i="48"/>
  <c r="Y8" i="48"/>
  <c r="N5" i="48"/>
  <c r="U64" i="48"/>
  <c r="Q4" i="48"/>
  <c r="P87" i="48"/>
  <c r="O72" i="48"/>
  <c r="V61" i="48"/>
  <c r="K68" i="48"/>
  <c r="AI60" i="48"/>
  <c r="AC78" i="48"/>
  <c r="K73" i="48"/>
  <c r="X77" i="48"/>
  <c r="W80" i="48"/>
  <c r="W60" i="48"/>
  <c r="R72" i="48"/>
  <c r="AL8" i="48"/>
  <c r="V6" i="48"/>
  <c r="AE84" i="48"/>
  <c r="R8" i="48"/>
  <c r="AE80" i="48"/>
  <c r="L66" i="48"/>
  <c r="S63" i="48"/>
  <c r="I7" i="48"/>
  <c r="AD76" i="48"/>
  <c r="AH60" i="48"/>
  <c r="L74" i="48"/>
  <c r="AK8" i="48"/>
  <c r="Y69" i="48"/>
  <c r="U87" i="48"/>
  <c r="N85" i="48"/>
  <c r="L77" i="48"/>
  <c r="Z70" i="48"/>
  <c r="AC6" i="48"/>
  <c r="AA60" i="48"/>
  <c r="R79" i="48"/>
  <c r="Q76" i="48"/>
  <c r="Y6" i="48"/>
  <c r="O82" i="48"/>
  <c r="Z63" i="48"/>
  <c r="AE7" i="48"/>
  <c r="Y59" i="48"/>
  <c r="AG61" i="48"/>
  <c r="O84" i="48"/>
  <c r="AJ5" i="48"/>
  <c r="AG65" i="48"/>
  <c r="AI84" i="48"/>
  <c r="H32" i="48"/>
  <c r="AL6" i="48"/>
  <c r="AL62" i="48"/>
  <c r="AI87" i="48"/>
  <c r="Q86" i="48"/>
  <c r="AL60" i="48"/>
  <c r="N80" i="48"/>
  <c r="P63" i="48"/>
  <c r="AI70" i="48"/>
  <c r="P67" i="48"/>
  <c r="AK58" i="48"/>
  <c r="AI5" i="48"/>
  <c r="AC7" i="48"/>
  <c r="AD59" i="48"/>
  <c r="H73" i="48"/>
  <c r="R6" i="48"/>
  <c r="N61" i="48"/>
  <c r="AD67" i="48"/>
  <c r="Z60" i="48"/>
  <c r="K8" i="48"/>
  <c r="H17" i="48"/>
  <c r="K60" i="48"/>
  <c r="AC58" i="48"/>
  <c r="X60" i="48"/>
  <c r="AF6" i="48"/>
  <c r="P5" i="48"/>
  <c r="AC87" i="48"/>
  <c r="AL64" i="48"/>
  <c r="AF87" i="48"/>
  <c r="AK80" i="48"/>
  <c r="AF4" i="48"/>
  <c r="I84" i="48"/>
  <c r="K84" i="48"/>
  <c r="AD82" i="48"/>
  <c r="N8" i="48"/>
  <c r="AL71" i="48"/>
  <c r="L70" i="48"/>
  <c r="AD69" i="48"/>
  <c r="Q5" i="48"/>
  <c r="O81" i="48"/>
  <c r="W62" i="48"/>
  <c r="AE76" i="48"/>
  <c r="H44" i="48"/>
  <c r="AA67" i="48"/>
  <c r="S70" i="48"/>
  <c r="AJ82" i="48"/>
  <c r="H35" i="48"/>
  <c r="O58" i="48"/>
  <c r="N70" i="48"/>
  <c r="M61" i="48"/>
  <c r="AF70" i="48"/>
  <c r="X81" i="48"/>
  <c r="AA72" i="48"/>
  <c r="AA66" i="48"/>
  <c r="AD4" i="48"/>
  <c r="AI4" i="48"/>
  <c r="AO42" i="51"/>
  <c r="AO38" i="51"/>
  <c r="AO36" i="51"/>
  <c r="AO41" i="51"/>
  <c r="AO39" i="51"/>
  <c r="AO40" i="51"/>
  <c r="AO37" i="51"/>
  <c r="AO45" i="51"/>
  <c r="AG35" i="51"/>
  <c r="AO35" i="51" s="1"/>
  <c r="AO44" i="51"/>
  <c r="BL11" i="45"/>
  <c r="BK11" i="45" s="1"/>
  <c r="BJ11" i="45" s="1"/>
  <c r="BI11" i="45" s="1"/>
  <c r="BH11" i="45" s="1"/>
  <c r="BL19" i="45"/>
  <c r="BK19" i="45" s="1"/>
  <c r="BJ19" i="45" s="1"/>
  <c r="BI19" i="45" s="1"/>
  <c r="BH19" i="45" s="1"/>
  <c r="BL38" i="45"/>
  <c r="BK38" i="45" s="1"/>
  <c r="BJ38" i="45" s="1"/>
  <c r="BI38" i="45" s="1"/>
  <c r="BH38" i="45" s="1"/>
  <c r="BL49" i="45"/>
  <c r="BK49" i="45" s="1"/>
  <c r="BJ49" i="45" s="1"/>
  <c r="BI49" i="45" s="1"/>
  <c r="BH49" i="45" s="1"/>
  <c r="BL27" i="45"/>
  <c r="BK27" i="45" s="1"/>
  <c r="BJ27" i="45" s="1"/>
  <c r="BI27" i="45" s="1"/>
  <c r="BH27" i="45" s="1"/>
  <c r="BL8" i="45"/>
  <c r="BK8" i="45" s="1"/>
  <c r="BJ8" i="45" s="1"/>
  <c r="BI8" i="45" s="1"/>
  <c r="BH8" i="45" s="1"/>
  <c r="BL46" i="45"/>
  <c r="BK46" i="45" s="1"/>
  <c r="BJ46" i="45" s="1"/>
  <c r="BI46" i="45" s="1"/>
  <c r="BH46" i="45" s="1"/>
  <c r="BL25" i="45"/>
  <c r="BK25" i="45" s="1"/>
  <c r="BJ25" i="45" s="1"/>
  <c r="BI25" i="45" s="1"/>
  <c r="BH25" i="45" s="1"/>
  <c r="BL10" i="45"/>
  <c r="BK10" i="45" s="1"/>
  <c r="BJ10" i="45" s="1"/>
  <c r="BI10" i="45" s="1"/>
  <c r="BH10" i="45" s="1"/>
  <c r="BL50" i="45"/>
  <c r="BK50" i="45" s="1"/>
  <c r="BJ50" i="45" s="1"/>
  <c r="BI50" i="45" s="1"/>
  <c r="BH50" i="45" s="1"/>
  <c r="BL47" i="45"/>
  <c r="BK47" i="45" s="1"/>
  <c r="BJ47" i="45" s="1"/>
  <c r="BI47" i="45" s="1"/>
  <c r="BH47" i="45" s="1"/>
  <c r="Y4" i="46"/>
  <c r="Y2" i="46" s="1"/>
  <c r="BL32" i="45"/>
  <c r="BK32" i="45" s="1"/>
  <c r="BJ32" i="45" s="1"/>
  <c r="BI32" i="45" s="1"/>
  <c r="BH32" i="45" s="1"/>
  <c r="BL42" i="45"/>
  <c r="BK42" i="45" s="1"/>
  <c r="BJ42" i="45" s="1"/>
  <c r="BI42" i="45" s="1"/>
  <c r="BH42" i="45" s="1"/>
  <c r="BL36" i="45"/>
  <c r="BK36" i="45" s="1"/>
  <c r="BJ36" i="45" s="1"/>
  <c r="BI36" i="45" s="1"/>
  <c r="BH36" i="45" s="1"/>
  <c r="BL22" i="45"/>
  <c r="BK22" i="45" s="1"/>
  <c r="BJ22" i="45" s="1"/>
  <c r="BI22" i="45" s="1"/>
  <c r="BH22" i="45" s="1"/>
  <c r="BL33" i="45"/>
  <c r="BK33" i="45" s="1"/>
  <c r="BJ33" i="45" s="1"/>
  <c r="BI33" i="45" s="1"/>
  <c r="BH33" i="45" s="1"/>
  <c r="BL35" i="45"/>
  <c r="BK35" i="45" s="1"/>
  <c r="BJ35" i="45" s="1"/>
  <c r="BI35" i="45" s="1"/>
  <c r="BH35" i="45" s="1"/>
  <c r="BL34" i="45"/>
  <c r="BK34" i="45" s="1"/>
  <c r="BJ34" i="45" s="1"/>
  <c r="BI34" i="45" s="1"/>
  <c r="BH34" i="45" s="1"/>
  <c r="BL6" i="45"/>
  <c r="BK6" i="45" s="1"/>
  <c r="BJ6" i="45" s="1"/>
  <c r="BI6" i="45" s="1"/>
  <c r="BH6" i="45" s="1"/>
  <c r="BL29" i="45"/>
  <c r="BK29" i="45" s="1"/>
  <c r="BJ29" i="45" s="1"/>
  <c r="BI29" i="45" s="1"/>
  <c r="BH29" i="45" s="1"/>
  <c r="BL5" i="45"/>
  <c r="BK5" i="45" s="1"/>
  <c r="BJ5" i="45" s="1"/>
  <c r="BI5" i="45" s="1"/>
  <c r="BH5" i="45" s="1"/>
  <c r="BL26" i="45"/>
  <c r="BK26" i="45" s="1"/>
  <c r="BJ26" i="45" s="1"/>
  <c r="BI26" i="45" s="1"/>
  <c r="BH26" i="45" s="1"/>
  <c r="BL23" i="45"/>
  <c r="BK23" i="45" s="1"/>
  <c r="BJ23" i="45" s="1"/>
  <c r="BI23" i="45" s="1"/>
  <c r="BH23" i="45" s="1"/>
  <c r="BL18" i="45"/>
  <c r="BK18" i="45" s="1"/>
  <c r="BJ18" i="45" s="1"/>
  <c r="BI18" i="45" s="1"/>
  <c r="BH18" i="45" s="1"/>
  <c r="BL44" i="45"/>
  <c r="BK44" i="45" s="1"/>
  <c r="BJ44" i="45" s="1"/>
  <c r="BI44" i="45" s="1"/>
  <c r="BH44" i="45" s="1"/>
  <c r="BL43" i="45"/>
  <c r="BK43" i="45" s="1"/>
  <c r="BJ43" i="45" s="1"/>
  <c r="BI43" i="45" s="1"/>
  <c r="BH43" i="45" s="1"/>
  <c r="BL21" i="45"/>
  <c r="BK21" i="45" s="1"/>
  <c r="BJ21" i="45" s="1"/>
  <c r="BI21" i="45" s="1"/>
  <c r="BH21" i="45" s="1"/>
  <c r="BL45" i="45"/>
  <c r="BK45" i="45" s="1"/>
  <c r="BJ45" i="45" s="1"/>
  <c r="BI45" i="45" s="1"/>
  <c r="BH45" i="45" s="1"/>
  <c r="BL48" i="45"/>
  <c r="BK48" i="45" s="1"/>
  <c r="BJ48" i="45" s="1"/>
  <c r="BI48" i="45" s="1"/>
  <c r="BH48" i="45" s="1"/>
  <c r="BL17" i="45"/>
  <c r="BK17" i="45" s="1"/>
  <c r="BJ17" i="45" s="1"/>
  <c r="BI17" i="45" s="1"/>
  <c r="BH17" i="45" s="1"/>
  <c r="BL9" i="45"/>
  <c r="BK9" i="45" s="1"/>
  <c r="BJ9" i="45" s="1"/>
  <c r="BI9" i="45" s="1"/>
  <c r="BH9" i="45" s="1"/>
  <c r="BL16" i="45"/>
  <c r="BK16" i="45" s="1"/>
  <c r="BJ16" i="45" s="1"/>
  <c r="BI16" i="45" s="1"/>
  <c r="BH16" i="45" s="1"/>
  <c r="BL30" i="45"/>
  <c r="BK30" i="45" s="1"/>
  <c r="BJ30" i="45" s="1"/>
  <c r="BI30" i="45" s="1"/>
  <c r="BH30" i="45" s="1"/>
  <c r="BL40" i="45"/>
  <c r="BK40" i="45" s="1"/>
  <c r="BJ40" i="45" s="1"/>
  <c r="BI40" i="45" s="1"/>
  <c r="BH40" i="45" s="1"/>
  <c r="BL28" i="45"/>
  <c r="BK28" i="45" s="1"/>
  <c r="BJ28" i="45" s="1"/>
  <c r="BI28" i="45" s="1"/>
  <c r="BH28" i="45" s="1"/>
  <c r="BL24" i="45"/>
  <c r="BK24" i="45" s="1"/>
  <c r="BJ24" i="45" s="1"/>
  <c r="BI24" i="45" s="1"/>
  <c r="BH24" i="45" s="1"/>
  <c r="BL20" i="45"/>
  <c r="BK20" i="45" s="1"/>
  <c r="BJ20" i="45" s="1"/>
  <c r="BI20" i="45" s="1"/>
  <c r="BH20" i="45" s="1"/>
  <c r="BL14" i="45"/>
  <c r="BK14" i="45" s="1"/>
  <c r="BJ14" i="45" s="1"/>
  <c r="BI14" i="45" s="1"/>
  <c r="BH14" i="45" s="1"/>
  <c r="BL51" i="45"/>
  <c r="BK51" i="45" s="1"/>
  <c r="BJ51" i="45" s="1"/>
  <c r="BI51" i="45" s="1"/>
  <c r="BH51" i="45" s="1"/>
  <c r="BL12" i="45"/>
  <c r="BK12" i="45" s="1"/>
  <c r="BJ12" i="45" s="1"/>
  <c r="BI12" i="45" s="1"/>
  <c r="BH12" i="45" s="1"/>
  <c r="BL41" i="45"/>
  <c r="BK41" i="45" s="1"/>
  <c r="BJ41" i="45" s="1"/>
  <c r="BI41" i="45" s="1"/>
  <c r="BH41" i="45" s="1"/>
  <c r="BL31" i="45"/>
  <c r="BK31" i="45" s="1"/>
  <c r="BJ31" i="45" s="1"/>
  <c r="BI31" i="45" s="1"/>
  <c r="BH31" i="45" s="1"/>
  <c r="BL7" i="45"/>
  <c r="BK7" i="45" s="1"/>
  <c r="BJ7" i="45" s="1"/>
  <c r="BI7" i="45" s="1"/>
  <c r="BH7" i="45" s="1"/>
  <c r="BL39" i="45"/>
  <c r="BK39" i="45" s="1"/>
  <c r="BJ39" i="45" s="1"/>
  <c r="BI39" i="45" s="1"/>
  <c r="BH39" i="45" s="1"/>
  <c r="BL13" i="45"/>
  <c r="BK13" i="45" s="1"/>
  <c r="BJ13" i="45" s="1"/>
  <c r="BI13" i="45" s="1"/>
  <c r="BH13" i="45" s="1"/>
  <c r="BL15" i="45"/>
  <c r="BK15" i="45" s="1"/>
  <c r="BJ15" i="45" s="1"/>
  <c r="BI15" i="45" s="1"/>
  <c r="BH15" i="45" s="1"/>
  <c r="BL4" i="45"/>
  <c r="BK4" i="45" s="1"/>
  <c r="BJ4" i="45" s="1"/>
  <c r="BI4" i="45" s="1"/>
  <c r="BH4" i="45" s="1"/>
  <c r="BL37" i="45"/>
  <c r="BK37" i="45" s="1"/>
  <c r="BJ37" i="45" s="1"/>
  <c r="BI37" i="45" s="1"/>
  <c r="BH37" i="45" s="1"/>
  <c r="AB4" i="46"/>
  <c r="AB2" i="46" s="1"/>
  <c r="JN4" i="46"/>
  <c r="JN2" i="46" s="1"/>
  <c r="EU4" i="46"/>
  <c r="EU2" i="46" s="1"/>
  <c r="AG58" i="48"/>
  <c r="AC28" i="48"/>
  <c r="N29" i="48"/>
  <c r="AF20" i="48"/>
  <c r="K19" i="48"/>
  <c r="Q19" i="48"/>
  <c r="AK20" i="48"/>
  <c r="AL15" i="48"/>
  <c r="AA29" i="48"/>
  <c r="AK29" i="48"/>
  <c r="AA20" i="48"/>
  <c r="AA31" i="48"/>
  <c r="AD47" i="48"/>
  <c r="O28" i="48"/>
  <c r="W47" i="48"/>
  <c r="T47" i="48"/>
  <c r="AB51" i="48"/>
  <c r="R54" i="48"/>
  <c r="AJ46" i="48"/>
  <c r="AJ38" i="48"/>
  <c r="AB36" i="48"/>
  <c r="AF54" i="48"/>
  <c r="AK26" i="48"/>
  <c r="AD21" i="48"/>
  <c r="AI9" i="48"/>
  <c r="AF11" i="48"/>
  <c r="AI19" i="48"/>
  <c r="K27" i="48"/>
  <c r="AC23" i="48"/>
  <c r="AB13" i="48"/>
  <c r="AK23" i="48"/>
  <c r="AI14" i="48"/>
  <c r="I41" i="48"/>
  <c r="P32" i="48"/>
  <c r="N41" i="48"/>
  <c r="AE41" i="48"/>
  <c r="S48" i="48"/>
  <c r="AJ48" i="48"/>
  <c r="AB41" i="48"/>
  <c r="Q32" i="48"/>
  <c r="N33" i="48"/>
  <c r="V48" i="48"/>
  <c r="AA9" i="48"/>
  <c r="X16" i="48"/>
  <c r="AD24" i="48"/>
  <c r="P29" i="48"/>
  <c r="P19" i="48"/>
  <c r="L25" i="48"/>
  <c r="Y12" i="48"/>
  <c r="AF25" i="48"/>
  <c r="W13" i="48"/>
  <c r="AL9" i="48"/>
  <c r="I25" i="48"/>
  <c r="AD13" i="48"/>
  <c r="AE38" i="48"/>
  <c r="S57" i="48"/>
  <c r="O37" i="48"/>
  <c r="AC49" i="48"/>
  <c r="AA51" i="48"/>
  <c r="I17" i="48"/>
  <c r="AH28" i="48"/>
  <c r="R23" i="48"/>
  <c r="V16" i="48"/>
  <c r="AI12" i="48"/>
  <c r="AH15" i="48"/>
  <c r="R29" i="48"/>
  <c r="M23" i="48"/>
  <c r="AK17" i="48"/>
  <c r="O38" i="48"/>
  <c r="AC47" i="48"/>
  <c r="AK42" i="48"/>
  <c r="AL22" i="48"/>
  <c r="AE47" i="48"/>
  <c r="M44" i="48"/>
  <c r="I32" i="48"/>
  <c r="W28" i="48"/>
  <c r="AH17" i="48"/>
  <c r="W18" i="48"/>
  <c r="S19" i="48"/>
  <c r="AL24" i="48"/>
  <c r="R13" i="48"/>
  <c r="AD28" i="48"/>
  <c r="Z21" i="48"/>
  <c r="J18" i="48"/>
  <c r="AH23" i="48"/>
  <c r="K9" i="48"/>
  <c r="AC35" i="48"/>
  <c r="S50" i="48"/>
  <c r="AD36" i="48"/>
  <c r="X25" i="48"/>
  <c r="W40" i="48"/>
  <c r="L40" i="48"/>
  <c r="Q21" i="48"/>
  <c r="AG27" i="48"/>
  <c r="AL14" i="48"/>
  <c r="AD25" i="48"/>
  <c r="V24" i="48"/>
  <c r="K31" i="48"/>
  <c r="O11" i="48"/>
  <c r="S12" i="48"/>
  <c r="S24" i="48"/>
  <c r="AC20" i="48"/>
  <c r="M26" i="48"/>
  <c r="AG41" i="48"/>
  <c r="Z51" i="48"/>
  <c r="AC48" i="48"/>
  <c r="AA48" i="48"/>
  <c r="S46" i="48"/>
  <c r="Y46" i="48"/>
  <c r="J54" i="48"/>
  <c r="AC56" i="48"/>
  <c r="AL31" i="48"/>
  <c r="O27" i="48"/>
  <c r="Y27" i="48"/>
  <c r="AD31" i="48"/>
  <c r="L28" i="48"/>
  <c r="K25" i="48"/>
  <c r="R26" i="48"/>
  <c r="X10" i="48"/>
  <c r="I27" i="48"/>
  <c r="T9" i="48"/>
  <c r="S38" i="48"/>
  <c r="N46" i="48"/>
  <c r="I43" i="48"/>
  <c r="R45" i="48"/>
  <c r="K41" i="48"/>
  <c r="AA40" i="48"/>
  <c r="J55" i="48"/>
  <c r="AB57" i="48"/>
  <c r="Z9" i="48"/>
  <c r="R21" i="48"/>
  <c r="M17" i="48"/>
  <c r="S23" i="48"/>
  <c r="AL21" i="48"/>
  <c r="AA11" i="48"/>
  <c r="Y14" i="48"/>
  <c r="R28" i="48"/>
  <c r="T17" i="48"/>
  <c r="AC19" i="48"/>
  <c r="T16" i="48"/>
  <c r="O12" i="48"/>
  <c r="AC22" i="48"/>
  <c r="AF10" i="48"/>
  <c r="AE21" i="48"/>
  <c r="AF24" i="48"/>
  <c r="AF28" i="48"/>
  <c r="P26" i="48"/>
  <c r="J12" i="48"/>
  <c r="AL39" i="48"/>
  <c r="AL45" i="48"/>
  <c r="AE29" i="48"/>
  <c r="R46" i="48"/>
  <c r="AC33" i="48"/>
  <c r="X50" i="48"/>
  <c r="M30" i="48"/>
  <c r="Y24" i="48"/>
  <c r="O19" i="48"/>
  <c r="P27" i="48"/>
  <c r="AL27" i="48"/>
  <c r="P10" i="48"/>
  <c r="Y19" i="48"/>
  <c r="I10" i="48"/>
  <c r="AI13" i="48"/>
  <c r="J9" i="48"/>
  <c r="J34" i="48"/>
  <c r="L35" i="48"/>
  <c r="AH45" i="48"/>
  <c r="S41" i="48"/>
  <c r="W20" i="48"/>
  <c r="Z47" i="48"/>
  <c r="X49" i="48"/>
  <c r="S10" i="48"/>
  <c r="W21" i="48"/>
  <c r="N14" i="48"/>
  <c r="W24" i="48"/>
  <c r="K29" i="48"/>
  <c r="U11" i="48"/>
  <c r="V22" i="48"/>
  <c r="M27" i="48"/>
  <c r="R20" i="48"/>
  <c r="AK22" i="48"/>
  <c r="AL32" i="48"/>
  <c r="W52" i="48"/>
  <c r="AJ36" i="48"/>
  <c r="R36" i="48"/>
  <c r="AC57" i="48"/>
  <c r="AA46" i="48"/>
  <c r="AB35" i="48"/>
  <c r="V49" i="48"/>
  <c r="AE53" i="48"/>
  <c r="I45" i="48"/>
  <c r="AK15" i="48"/>
  <c r="U31" i="48"/>
  <c r="AI30" i="48"/>
  <c r="J17" i="48"/>
  <c r="N24" i="48"/>
  <c r="AB11" i="48"/>
  <c r="AF26" i="48"/>
  <c r="AD10" i="48"/>
  <c r="M29" i="48"/>
  <c r="U24" i="48"/>
  <c r="L27" i="48"/>
  <c r="Q53" i="48"/>
  <c r="J41" i="48"/>
  <c r="V58" i="48"/>
  <c r="AC42" i="48"/>
  <c r="AE42" i="48"/>
  <c r="AH56" i="48"/>
  <c r="AK30" i="48"/>
  <c r="I23" i="48"/>
  <c r="AF16" i="48"/>
  <c r="U19" i="48"/>
  <c r="AH27" i="48"/>
  <c r="N27" i="48"/>
  <c r="U22" i="48"/>
  <c r="AE28" i="48"/>
  <c r="R19" i="48"/>
  <c r="N13" i="48"/>
  <c r="X44" i="48"/>
  <c r="U44" i="48"/>
  <c r="T53" i="48"/>
  <c r="Q44" i="48"/>
  <c r="AE57" i="48"/>
  <c r="V44" i="48"/>
  <c r="AJ32" i="48"/>
  <c r="T57" i="48"/>
  <c r="X57" i="48"/>
  <c r="S21" i="48"/>
  <c r="X15" i="48"/>
  <c r="Q18" i="48"/>
  <c r="AJ11" i="48"/>
  <c r="AH10" i="48"/>
  <c r="AB30" i="48"/>
  <c r="V10" i="48"/>
  <c r="AB19" i="48"/>
  <c r="J30" i="48"/>
  <c r="V36" i="48"/>
  <c r="T52" i="48"/>
  <c r="K44" i="48"/>
  <c r="T40" i="48"/>
  <c r="K40" i="48"/>
  <c r="V35" i="48"/>
  <c r="AE45" i="48"/>
  <c r="P34" i="48"/>
  <c r="AE22" i="48"/>
  <c r="AA21" i="48"/>
  <c r="O22" i="48"/>
  <c r="AF18" i="48"/>
  <c r="S30" i="48"/>
  <c r="AD9" i="48"/>
  <c r="AJ19" i="48"/>
  <c r="AJ21" i="48"/>
  <c r="U26" i="48"/>
  <c r="N26" i="48"/>
  <c r="Y33" i="48"/>
  <c r="P46" i="48"/>
  <c r="AA35" i="48"/>
  <c r="T34" i="48"/>
  <c r="Z42" i="48"/>
  <c r="M35" i="48"/>
  <c r="Y9" i="48"/>
  <c r="P45" i="48"/>
  <c r="AJ16" i="48"/>
  <c r="AI11" i="48"/>
  <c r="AJ28" i="48"/>
  <c r="L16" i="48"/>
  <c r="AC10" i="48"/>
  <c r="AD19" i="48"/>
  <c r="W14" i="48"/>
  <c r="Z22" i="48"/>
  <c r="N20" i="48"/>
  <c r="T15" i="48"/>
  <c r="O40" i="48"/>
  <c r="N32" i="48"/>
  <c r="Q48" i="48"/>
  <c r="AK21" i="48"/>
  <c r="AI22" i="48"/>
  <c r="P17" i="48"/>
  <c r="L29" i="48"/>
  <c r="X28" i="48"/>
  <c r="AD12" i="48"/>
  <c r="P24" i="48"/>
  <c r="M15" i="48"/>
  <c r="AH16" i="48"/>
  <c r="U37" i="48"/>
  <c r="N43" i="48"/>
  <c r="S40" i="48"/>
  <c r="AJ51" i="48"/>
  <c r="L51" i="48"/>
  <c r="AI40" i="48"/>
  <c r="U50" i="48"/>
  <c r="AI54" i="48"/>
  <c r="R11" i="48"/>
  <c r="AG30" i="48"/>
  <c r="Q13" i="48"/>
  <c r="J16" i="48"/>
  <c r="P18" i="48"/>
  <c r="AJ17" i="48"/>
  <c r="K20" i="48"/>
  <c r="AG23" i="48"/>
  <c r="AE14" i="48"/>
  <c r="O17" i="48"/>
  <c r="Y31" i="48"/>
  <c r="O54" i="48"/>
  <c r="AH35" i="48"/>
  <c r="X45" i="48"/>
  <c r="AB47" i="48"/>
  <c r="AG37" i="48"/>
  <c r="M45" i="48"/>
  <c r="Z26" i="48"/>
  <c r="Y18" i="48"/>
  <c r="R27" i="48"/>
  <c r="AH20" i="48"/>
  <c r="K11" i="48"/>
  <c r="O21" i="48"/>
  <c r="AH11" i="48"/>
  <c r="O26" i="48"/>
  <c r="AI20" i="48"/>
  <c r="AE17" i="48"/>
  <c r="AH51" i="48"/>
  <c r="K52" i="48"/>
  <c r="X42" i="48"/>
  <c r="AL36" i="48"/>
  <c r="AA41" i="48"/>
  <c r="W41" i="48"/>
  <c r="P31" i="48"/>
  <c r="S28" i="48"/>
  <c r="V31" i="48"/>
  <c r="I16" i="48"/>
  <c r="AC24" i="48"/>
  <c r="J24" i="48"/>
  <c r="L9" i="48"/>
  <c r="P30" i="48"/>
  <c r="AG15" i="48"/>
  <c r="Z27" i="48"/>
  <c r="AD15" i="48"/>
  <c r="M50" i="48"/>
  <c r="Y40" i="48"/>
  <c r="AG36" i="48"/>
  <c r="V32" i="48"/>
  <c r="N45" i="48"/>
  <c r="Q34" i="48"/>
  <c r="S36" i="48"/>
  <c r="AE50" i="48"/>
  <c r="Z17" i="48"/>
  <c r="AJ25" i="48"/>
  <c r="X14" i="48"/>
  <c r="M9" i="48"/>
  <c r="W11" i="48"/>
  <c r="W10" i="48"/>
  <c r="X9" i="48"/>
  <c r="Z40" i="48"/>
  <c r="AD35" i="48"/>
  <c r="AB49" i="48"/>
  <c r="P42" i="48"/>
  <c r="Y53" i="48"/>
  <c r="W34" i="48"/>
  <c r="Y47" i="48"/>
  <c r="K53" i="48"/>
  <c r="N36" i="48"/>
  <c r="AE33" i="48"/>
  <c r="Q24" i="48"/>
  <c r="AA18" i="48"/>
  <c r="T10" i="48"/>
  <c r="AG19" i="48"/>
  <c r="M21" i="48"/>
  <c r="N17" i="48"/>
  <c r="P13" i="48"/>
  <c r="Z11" i="48"/>
  <c r="M39" i="48"/>
  <c r="AK41" i="48"/>
  <c r="AK49" i="48"/>
  <c r="I39" i="48"/>
  <c r="S39" i="48"/>
  <c r="N49" i="48"/>
  <c r="AE24" i="48"/>
  <c r="AA16" i="48"/>
  <c r="V30" i="48"/>
  <c r="AI24" i="48"/>
  <c r="Y26" i="48"/>
  <c r="AL16" i="48"/>
  <c r="AE13" i="48"/>
  <c r="K21" i="48"/>
  <c r="AJ13" i="48"/>
  <c r="AI23" i="48"/>
  <c r="Q33" i="48"/>
  <c r="Z55" i="48"/>
  <c r="AI33" i="48"/>
  <c r="AI34" i="48"/>
  <c r="Z44" i="48"/>
  <c r="T13" i="48"/>
  <c r="W9" i="48"/>
  <c r="Q26" i="48"/>
  <c r="L23" i="48"/>
  <c r="N22" i="48"/>
  <c r="X17" i="48"/>
  <c r="AA14" i="48"/>
  <c r="AA23" i="48"/>
  <c r="AL28" i="48"/>
  <c r="P25" i="48"/>
  <c r="K22" i="48"/>
  <c r="AK36" i="48"/>
  <c r="Y11" i="48"/>
  <c r="AE52" i="48"/>
  <c r="M55" i="48"/>
  <c r="Q46" i="48"/>
  <c r="S52" i="48"/>
  <c r="T55" i="48"/>
  <c r="J35" i="48"/>
  <c r="J11" i="48"/>
  <c r="AG13" i="48"/>
  <c r="U18" i="48"/>
  <c r="AK28" i="48"/>
  <c r="R16" i="48"/>
  <c r="Y23" i="48"/>
  <c r="S9" i="48"/>
  <c r="Z20" i="48"/>
  <c r="M13" i="48"/>
  <c r="X31" i="48"/>
  <c r="Y49" i="48"/>
  <c r="Y44" i="48"/>
  <c r="AF43" i="48"/>
  <c r="U46" i="48"/>
  <c r="AF42" i="48"/>
  <c r="AE37" i="48"/>
  <c r="AF48" i="48"/>
  <c r="P28" i="48"/>
  <c r="AF47" i="48"/>
  <c r="V13" i="48"/>
  <c r="AD18" i="48"/>
  <c r="X21" i="48"/>
  <c r="M25" i="48"/>
  <c r="AA17" i="48"/>
  <c r="AE26" i="48"/>
  <c r="AI27" i="48"/>
  <c r="AH30" i="48"/>
  <c r="AG14" i="48"/>
  <c r="AG20" i="48"/>
  <c r="AE23" i="48"/>
  <c r="AB48" i="48"/>
  <c r="P43" i="48"/>
  <c r="T35" i="48"/>
  <c r="R41" i="48"/>
  <c r="S37" i="48"/>
  <c r="AH37" i="48"/>
  <c r="AE31" i="48"/>
  <c r="K43" i="48"/>
  <c r="AG45" i="48"/>
  <c r="L41" i="48"/>
  <c r="AB26" i="48"/>
  <c r="AI16" i="48"/>
  <c r="AD23" i="48"/>
  <c r="AC15" i="48"/>
  <c r="AB14" i="48"/>
  <c r="L10" i="48"/>
  <c r="J21" i="48"/>
  <c r="Y17" i="48"/>
  <c r="M20" i="48"/>
  <c r="S29" i="48"/>
  <c r="P11" i="48"/>
  <c r="J53" i="48"/>
  <c r="AC55" i="48"/>
  <c r="M52" i="48"/>
  <c r="AG39" i="48"/>
  <c r="Z56" i="48"/>
  <c r="P39" i="48"/>
  <c r="P14" i="48"/>
  <c r="AL25" i="48"/>
  <c r="X19" i="48"/>
  <c r="I21" i="48"/>
  <c r="X26" i="48"/>
  <c r="AC17" i="48"/>
  <c r="AC26" i="48"/>
  <c r="AE20" i="48"/>
  <c r="AB25" i="48"/>
  <c r="K26" i="48"/>
  <c r="AJ27" i="48"/>
  <c r="AG40" i="48"/>
  <c r="T32" i="48"/>
  <c r="AA32" i="48"/>
  <c r="AD46" i="48"/>
  <c r="Y22" i="48"/>
  <c r="R14" i="48"/>
  <c r="V21" i="48"/>
  <c r="J26" i="48"/>
  <c r="I30" i="48"/>
  <c r="W30" i="48"/>
  <c r="AL12" i="48"/>
  <c r="S17" i="48"/>
  <c r="I14" i="48"/>
  <c r="AL23" i="48"/>
  <c r="AI10" i="48"/>
  <c r="Z34" i="48"/>
  <c r="V11" i="48"/>
  <c r="S42" i="48"/>
  <c r="O45" i="48"/>
  <c r="AD55" i="48"/>
  <c r="Z13" i="48"/>
  <c r="AF51" i="48"/>
  <c r="J25" i="48"/>
  <c r="AI29" i="48"/>
  <c r="AF12" i="48"/>
  <c r="R15" i="48"/>
  <c r="AG18" i="48"/>
  <c r="M10" i="48"/>
  <c r="Y15" i="48"/>
  <c r="W17" i="48"/>
  <c r="Q31" i="48"/>
  <c r="AA55" i="48"/>
  <c r="AE43" i="48"/>
  <c r="AC36" i="48"/>
  <c r="K18" i="48"/>
  <c r="J40" i="48"/>
  <c r="AJ52" i="48"/>
  <c r="AI48" i="48"/>
  <c r="S56" i="48"/>
  <c r="Z53" i="48"/>
  <c r="AG9" i="48"/>
  <c r="AC13" i="48"/>
  <c r="AL18" i="48"/>
  <c r="I11" i="48"/>
  <c r="AG11" i="48"/>
  <c r="AB9" i="48"/>
  <c r="V29" i="48"/>
  <c r="J48" i="48"/>
  <c r="T49" i="48"/>
  <c r="AD41" i="48"/>
  <c r="AB31" i="48"/>
  <c r="AF39" i="48"/>
  <c r="S34" i="48"/>
  <c r="L49" i="48"/>
  <c r="AD42" i="48"/>
  <c r="Q10" i="48"/>
  <c r="Q14" i="48"/>
  <c r="I15" i="48"/>
  <c r="S22" i="48"/>
  <c r="T24" i="48"/>
  <c r="Q27" i="48"/>
  <c r="U13" i="48"/>
  <c r="M24" i="48"/>
  <c r="AJ29" i="48"/>
  <c r="V23" i="48"/>
  <c r="AK39" i="48"/>
  <c r="Q45" i="48"/>
  <c r="Y10" i="48"/>
  <c r="L17" i="48"/>
  <c r="AG24" i="48"/>
  <c r="Z14" i="48"/>
  <c r="K28" i="48"/>
  <c r="AG22" i="48"/>
  <c r="Q17" i="48"/>
  <c r="AD17" i="48"/>
  <c r="V26" i="48"/>
  <c r="I28" i="48"/>
  <c r="V53" i="48"/>
  <c r="AF41" i="48"/>
  <c r="K56" i="48"/>
  <c r="U41" i="48"/>
  <c r="Y29" i="48"/>
  <c r="Z48" i="48"/>
  <c r="J47" i="48"/>
  <c r="S27" i="48"/>
  <c r="S14" i="48"/>
  <c r="W16" i="48"/>
  <c r="AK25" i="48"/>
  <c r="K23" i="48"/>
  <c r="AE12" i="48"/>
  <c r="Y13" i="48"/>
  <c r="R24" i="48"/>
  <c r="K10" i="48"/>
  <c r="O48" i="48"/>
  <c r="M36" i="48"/>
  <c r="O35" i="48"/>
  <c r="J28" i="48"/>
  <c r="Z43" i="48"/>
  <c r="AJ41" i="48"/>
  <c r="AH13" i="48"/>
  <c r="AF14" i="48"/>
  <c r="AB27" i="48"/>
  <c r="K24" i="48"/>
  <c r="AJ18" i="48"/>
  <c r="R9" i="48"/>
  <c r="AF13" i="48"/>
  <c r="P21" i="48"/>
  <c r="L15" i="48"/>
  <c r="AG21" i="48"/>
  <c r="Y43" i="48"/>
  <c r="AB34" i="48"/>
  <c r="AA54" i="48"/>
  <c r="AG44" i="48"/>
  <c r="AC32" i="48"/>
  <c r="N34" i="48"/>
  <c r="V51" i="48"/>
  <c r="Q37" i="48"/>
  <c r="AK40" i="48"/>
  <c r="W22" i="48"/>
  <c r="AJ31" i="48"/>
  <c r="AK18" i="48"/>
  <c r="Y30" i="48"/>
  <c r="I26" i="48"/>
  <c r="AA15" i="48"/>
  <c r="P23" i="48"/>
  <c r="P49" i="48"/>
  <c r="T46" i="48"/>
  <c r="AD33" i="48"/>
  <c r="AI21" i="48"/>
  <c r="Q43" i="48"/>
  <c r="V52" i="48"/>
  <c r="R44" i="48"/>
  <c r="Q55" i="48"/>
  <c r="AB16" i="48"/>
  <c r="AH19" i="48"/>
  <c r="AD11" i="48"/>
  <c r="O30" i="48"/>
  <c r="AB10" i="48"/>
  <c r="U29" i="48"/>
  <c r="O24" i="48"/>
  <c r="U20" i="48"/>
  <c r="Z15" i="48"/>
  <c r="AF23" i="48"/>
  <c r="L32" i="48"/>
  <c r="AL46" i="48"/>
  <c r="AI46" i="48"/>
  <c r="I36" i="48"/>
  <c r="L43" i="48"/>
  <c r="AH50" i="48"/>
  <c r="L45" i="48"/>
  <c r="AE46" i="48"/>
  <c r="S51" i="48"/>
  <c r="T56" i="48"/>
  <c r="L19" i="48"/>
  <c r="X23" i="48"/>
  <c r="S31" i="48"/>
  <c r="AK10" i="48"/>
  <c r="T18" i="48"/>
  <c r="T19" i="48"/>
  <c r="AG10" i="48"/>
  <c r="T21" i="48"/>
  <c r="AK9" i="48"/>
  <c r="AC18" i="48"/>
  <c r="AH14" i="48"/>
  <c r="K51" i="48"/>
  <c r="M38" i="48"/>
  <c r="AD37" i="48"/>
  <c r="R40" i="48"/>
  <c r="AH42" i="48"/>
  <c r="X48" i="48"/>
  <c r="I29" i="48"/>
  <c r="U28" i="48"/>
  <c r="L14" i="48"/>
  <c r="AF21" i="48"/>
  <c r="X13" i="48"/>
  <c r="Z23" i="48"/>
  <c r="P9" i="48"/>
  <c r="AB22" i="48"/>
  <c r="K17" i="48"/>
  <c r="AG26" i="48"/>
  <c r="AL10" i="48"/>
  <c r="AG46" i="48"/>
  <c r="AE35" i="48"/>
  <c r="Z31" i="48"/>
  <c r="AL35" i="48"/>
  <c r="AJ37" i="48"/>
  <c r="U43" i="48"/>
  <c r="AK19" i="48"/>
  <c r="AE30" i="48"/>
  <c r="AL20" i="48"/>
  <c r="I19" i="48"/>
  <c r="AJ15" i="48"/>
  <c r="U10" i="48"/>
  <c r="AD29" i="48"/>
  <c r="W25" i="48"/>
  <c r="X22" i="48"/>
  <c r="AF15" i="48"/>
  <c r="V57" i="48"/>
  <c r="N42" i="48"/>
  <c r="AH40" i="48"/>
  <c r="AI44" i="48"/>
  <c r="AE25" i="48"/>
  <c r="AJ14" i="48"/>
  <c r="M22" i="48"/>
  <c r="T12" i="48"/>
  <c r="Z28" i="48"/>
  <c r="Q11" i="48"/>
  <c r="AD16" i="48"/>
  <c r="Z18" i="48"/>
  <c r="AH12" i="48"/>
  <c r="R30" i="48"/>
  <c r="AB52" i="48"/>
  <c r="Q39" i="48"/>
  <c r="T45" i="48"/>
  <c r="AJ40" i="48"/>
  <c r="AD38" i="48"/>
  <c r="Q36" i="48"/>
  <c r="AF34" i="48"/>
  <c r="M43" i="48"/>
  <c r="J44" i="48"/>
  <c r="W55" i="48"/>
  <c r="I24" i="48"/>
  <c r="J22" i="48"/>
  <c r="J27" i="48"/>
  <c r="M28" i="48"/>
  <c r="AJ9" i="48"/>
  <c r="AB24" i="48"/>
  <c r="AB17" i="48"/>
  <c r="L18" i="48"/>
  <c r="U17" i="48"/>
  <c r="AC21" i="48"/>
  <c r="AH39" i="48"/>
  <c r="L34" i="48"/>
  <c r="V54" i="48"/>
  <c r="Y55" i="48"/>
  <c r="AK33" i="48"/>
  <c r="N53" i="48"/>
  <c r="AL53" i="48"/>
  <c r="AL40" i="48"/>
  <c r="S35" i="48"/>
  <c r="V9" i="48"/>
  <c r="AL30" i="48"/>
  <c r="U25" i="48"/>
  <c r="AL17" i="48"/>
  <c r="AA25" i="48"/>
  <c r="AC14" i="48"/>
  <c r="V27" i="48"/>
  <c r="AA13" i="48"/>
  <c r="AB15" i="48"/>
  <c r="AJ26" i="48"/>
  <c r="N18" i="48"/>
  <c r="AJ42" i="48"/>
  <c r="AH53" i="48"/>
  <c r="O52" i="48"/>
  <c r="U47" i="48"/>
  <c r="AL38" i="48"/>
  <c r="P35" i="48"/>
  <c r="Z19" i="48"/>
  <c r="V20" i="48"/>
  <c r="AC11" i="48"/>
  <c r="K12" i="48"/>
  <c r="T30" i="48"/>
  <c r="R10" i="48"/>
  <c r="M11" i="48"/>
  <c r="AE27" i="48"/>
  <c r="S15" i="48"/>
  <c r="K45" i="48"/>
  <c r="I47" i="48"/>
  <c r="AC52" i="48"/>
  <c r="AK47" i="48"/>
  <c r="AH36" i="48"/>
  <c r="AI53" i="48"/>
  <c r="P36" i="48"/>
  <c r="AA39" i="48"/>
  <c r="L11" i="48"/>
  <c r="N15" i="48"/>
  <c r="AK24" i="48"/>
  <c r="AC16" i="48"/>
  <c r="P15" i="48"/>
  <c r="P16" i="48"/>
  <c r="AE15" i="48"/>
  <c r="U21" i="48"/>
  <c r="AK43" i="48"/>
  <c r="T29" i="48"/>
  <c r="R33" i="48"/>
  <c r="AA42" i="48"/>
  <c r="P38" i="48"/>
  <c r="K32" i="48"/>
  <c r="M37" i="48"/>
  <c r="V38" i="48"/>
  <c r="Y16" i="48"/>
  <c r="J43" i="48"/>
  <c r="T44" i="48"/>
  <c r="X20" i="48"/>
  <c r="U14" i="48"/>
  <c r="S16" i="48"/>
  <c r="U23" i="48"/>
  <c r="AK12" i="48"/>
  <c r="O14" i="48"/>
  <c r="V28" i="48"/>
  <c r="U30" i="48"/>
  <c r="M18" i="48"/>
  <c r="K14" i="48"/>
  <c r="AC27" i="48"/>
  <c r="Q49" i="48"/>
  <c r="AL41" i="48"/>
  <c r="V43" i="48"/>
  <c r="AB33" i="48"/>
  <c r="X38" i="48"/>
  <c r="R52" i="48"/>
  <c r="L54" i="48"/>
  <c r="O41" i="48"/>
  <c r="J46" i="48"/>
  <c r="AH57" i="48"/>
  <c r="O18" i="48"/>
  <c r="J29" i="48"/>
  <c r="W26" i="48"/>
  <c r="AF27" i="48"/>
  <c r="AJ20" i="48"/>
  <c r="AH18" i="48"/>
  <c r="Z12" i="48"/>
  <c r="T22" i="48"/>
  <c r="J14" i="48"/>
  <c r="AH25" i="48"/>
  <c r="AI25" i="48"/>
  <c r="S44" i="48"/>
  <c r="Q35" i="48"/>
  <c r="AK57" i="48"/>
  <c r="AK51" i="48"/>
  <c r="W29" i="48"/>
  <c r="AF55" i="48"/>
  <c r="AJ55" i="48"/>
  <c r="AE36" i="48"/>
  <c r="R35" i="48"/>
  <c r="AC9" i="48"/>
  <c r="M12" i="48"/>
  <c r="N23" i="48"/>
  <c r="N9" i="48"/>
  <c r="U27" i="48"/>
  <c r="R12" i="48"/>
  <c r="AH26" i="48"/>
  <c r="X11" i="48"/>
  <c r="M14" i="48"/>
  <c r="V18" i="48"/>
  <c r="Q15" i="48"/>
  <c r="AA27" i="48"/>
  <c r="AD26" i="48"/>
  <c r="W27" i="48"/>
  <c r="AF17" i="48"/>
  <c r="L20" i="48"/>
  <c r="P33" i="48"/>
  <c r="U34" i="48"/>
  <c r="K39" i="48"/>
  <c r="AH31" i="48"/>
  <c r="V47" i="48"/>
  <c r="U39" i="48"/>
  <c r="AB39" i="48"/>
  <c r="W12" i="48"/>
  <c r="Z24" i="48"/>
  <c r="J10" i="48"/>
  <c r="T23" i="48"/>
  <c r="T11" i="48"/>
  <c r="AG29" i="48"/>
  <c r="J20" i="48"/>
  <c r="K16" i="48"/>
  <c r="V15" i="48"/>
  <c r="AG28" i="48"/>
  <c r="AI50" i="48"/>
  <c r="AI51" i="48"/>
  <c r="T39" i="48"/>
  <c r="M34" i="48"/>
  <c r="AK16" i="48"/>
  <c r="J45" i="48"/>
  <c r="AG34" i="48"/>
  <c r="L33" i="48"/>
  <c r="J42" i="48"/>
  <c r="AA19" i="48"/>
  <c r="AF30" i="48"/>
  <c r="P20" i="48"/>
  <c r="N21" i="48"/>
  <c r="Q20" i="48"/>
  <c r="O25" i="48"/>
  <c r="J15" i="48"/>
  <c r="I20" i="48"/>
  <c r="S13" i="48"/>
  <c r="J33" i="48"/>
  <c r="X24" i="48"/>
  <c r="AL56" i="48"/>
  <c r="AD56" i="48"/>
  <c r="AL50" i="48"/>
  <c r="X47" i="48"/>
  <c r="R49" i="48"/>
  <c r="N54" i="48"/>
  <c r="L52" i="48"/>
  <c r="Z25" i="48"/>
  <c r="T20" i="48"/>
  <c r="Q16" i="48"/>
  <c r="AJ10" i="48"/>
  <c r="AA10" i="48"/>
  <c r="O23" i="48"/>
  <c r="O13" i="48"/>
  <c r="X27" i="48"/>
  <c r="AC30" i="48"/>
  <c r="AL29" i="48"/>
  <c r="S18" i="48"/>
  <c r="X39" i="48"/>
  <c r="AG12" i="48"/>
  <c r="AE16" i="48"/>
  <c r="AB28" i="48"/>
  <c r="AK54" i="48"/>
  <c r="X34" i="48"/>
  <c r="AE32" i="48"/>
  <c r="N12" i="48"/>
  <c r="T26" i="48"/>
  <c r="Q25" i="48"/>
  <c r="AL26" i="48"/>
  <c r="Q30" i="48"/>
  <c r="I12" i="48"/>
  <c r="L12" i="48"/>
  <c r="Y20" i="48"/>
  <c r="N19" i="48"/>
  <c r="L22" i="48"/>
  <c r="AE10" i="48"/>
  <c r="Z50" i="48"/>
  <c r="AF36" i="48"/>
  <c r="N25" i="48"/>
  <c r="AF37" i="48"/>
  <c r="AK31" i="48"/>
  <c r="Z54" i="48"/>
  <c r="Y57" i="48"/>
  <c r="U42" i="48"/>
  <c r="P50" i="48"/>
  <c r="AI18" i="48"/>
  <c r="J23" i="48"/>
  <c r="AA22" i="48"/>
  <c r="AH22" i="48"/>
  <c r="AA24" i="48"/>
  <c r="N30" i="48"/>
  <c r="L21" i="48"/>
  <c r="AD20" i="48"/>
  <c r="L38" i="48"/>
  <c r="V25" i="48"/>
  <c r="T50" i="48"/>
  <c r="T33" i="48"/>
  <c r="J32" i="48"/>
  <c r="P51" i="48"/>
  <c r="AB32" i="48"/>
  <c r="AA33" i="48"/>
  <c r="U51" i="48"/>
  <c r="AG32" i="48"/>
  <c r="AF38" i="48"/>
  <c r="M41" i="48"/>
  <c r="AE18" i="48"/>
  <c r="AD27" i="48"/>
  <c r="V14" i="48"/>
  <c r="T14" i="48"/>
  <c r="AC12" i="48"/>
  <c r="N28" i="48"/>
  <c r="AF9" i="48"/>
  <c r="AB18" i="48"/>
  <c r="AL44" i="48"/>
  <c r="L50" i="48"/>
  <c r="X51" i="48"/>
  <c r="AC46" i="48"/>
  <c r="AK50" i="48"/>
  <c r="O15" i="48"/>
  <c r="V42" i="48"/>
  <c r="N51" i="48"/>
  <c r="X12" i="48"/>
  <c r="AC29" i="48"/>
  <c r="AI28" i="48"/>
  <c r="V17" i="48"/>
  <c r="AE9" i="48"/>
  <c r="AG25" i="48"/>
  <c r="AA26" i="48"/>
  <c r="R25" i="48"/>
  <c r="AB23" i="48"/>
  <c r="AG16" i="48"/>
  <c r="P22" i="48"/>
  <c r="AK14" i="48"/>
  <c r="S26" i="48"/>
  <c r="W23" i="48"/>
  <c r="J19" i="48"/>
  <c r="U15" i="48"/>
  <c r="Z30" i="48"/>
  <c r="W15" i="48"/>
  <c r="Q56" i="48"/>
  <c r="AG33" i="48"/>
  <c r="R22" i="48"/>
  <c r="AE56" i="48"/>
  <c r="W35" i="48"/>
  <c r="AL48" i="48"/>
  <c r="AJ23" i="48"/>
  <c r="AI38" i="48"/>
  <c r="U9" i="48"/>
  <c r="L26" i="48"/>
  <c r="P12" i="48"/>
  <c r="V12" i="48"/>
  <c r="Z29" i="48"/>
  <c r="L24" i="48"/>
  <c r="O20" i="48"/>
  <c r="Y28" i="48"/>
  <c r="N57" i="48"/>
  <c r="AC50" i="48"/>
  <c r="AL43" i="48"/>
  <c r="S55" i="48"/>
  <c r="T43" i="48"/>
  <c r="X30" i="48"/>
  <c r="S33" i="48"/>
  <c r="I38" i="48"/>
  <c r="AJ12" i="48"/>
  <c r="I22" i="48"/>
  <c r="M19" i="48"/>
  <c r="R17" i="48"/>
  <c r="J13" i="48"/>
  <c r="AF19" i="48"/>
  <c r="AD22" i="48"/>
  <c r="AF29" i="48"/>
  <c r="AI26" i="48"/>
  <c r="S20" i="48"/>
  <c r="AL11" i="48"/>
  <c r="AC45" i="48"/>
  <c r="M46" i="48"/>
  <c r="AL37" i="48"/>
  <c r="AE51" i="48"/>
  <c r="V39" i="48"/>
  <c r="AE39" i="48"/>
  <c r="M31" i="48"/>
  <c r="AD50" i="48"/>
  <c r="AH24" i="48"/>
  <c r="AL13" i="48"/>
  <c r="AK27" i="48"/>
  <c r="I13" i="48"/>
  <c r="AJ22" i="48"/>
  <c r="O9" i="48"/>
  <c r="AK11" i="48"/>
  <c r="AH9" i="48"/>
  <c r="K13" i="48"/>
  <c r="AD30" i="48"/>
  <c r="AA28" i="48"/>
  <c r="K38" i="48"/>
  <c r="M51" i="48"/>
  <c r="I49" i="48"/>
  <c r="Q38" i="48"/>
  <c r="AI49" i="48"/>
  <c r="W31" i="48"/>
  <c r="I48" i="48"/>
  <c r="S54" i="48"/>
  <c r="N11" i="48"/>
  <c r="U16" i="48"/>
  <c r="U12" i="48"/>
  <c r="N16" i="48"/>
  <c r="R18" i="48"/>
  <c r="M16" i="48"/>
  <c r="AE19" i="48"/>
  <c r="AB21" i="48"/>
  <c r="O16" i="48"/>
  <c r="X29" i="48"/>
  <c r="AI15" i="48"/>
  <c r="AI47" i="48"/>
  <c r="Y34" i="48"/>
  <c r="R31" i="48"/>
  <c r="J51" i="48"/>
  <c r="AH49" i="48"/>
  <c r="AD51" i="48"/>
  <c r="M33" i="48"/>
  <c r="R47" i="48"/>
  <c r="AD39" i="48"/>
  <c r="AH48" i="48"/>
  <c r="S25" i="48"/>
  <c r="AI17" i="48"/>
  <c r="W19" i="48"/>
  <c r="S11" i="48"/>
  <c r="O10" i="48"/>
  <c r="I9" i="48"/>
  <c r="T27" i="48"/>
  <c r="AD14" i="48"/>
  <c r="Q12" i="48"/>
  <c r="AG47" i="48"/>
  <c r="AF31" i="48"/>
  <c r="AB20" i="48"/>
  <c r="U32" i="48"/>
  <c r="O47" i="48"/>
  <c r="O36" i="48"/>
  <c r="W45" i="48"/>
  <c r="O29" i="48"/>
  <c r="Q9" i="48"/>
  <c r="I18" i="48"/>
  <c r="Q28" i="48"/>
  <c r="L13" i="48"/>
  <c r="Q22" i="48"/>
  <c r="Y21" i="48"/>
  <c r="AK13" i="48"/>
  <c r="AJ24" i="48"/>
  <c r="AA12" i="48"/>
  <c r="AC25" i="48"/>
  <c r="M56" i="48"/>
  <c r="R48" i="48"/>
  <c r="AD40" i="48"/>
  <c r="T25" i="48"/>
  <c r="Q42" i="48"/>
  <c r="K15" i="48"/>
  <c r="AH29" i="48"/>
  <c r="AE11" i="48"/>
  <c r="Z16" i="48"/>
  <c r="AL19" i="48"/>
  <c r="T28" i="48"/>
  <c r="AB12" i="48"/>
  <c r="X18" i="48"/>
  <c r="AG17" i="48"/>
  <c r="Z10" i="48"/>
  <c r="AF57" i="48"/>
  <c r="AI52" i="48"/>
  <c r="AK52" i="48"/>
  <c r="N37" i="48"/>
  <c r="AK45" i="48"/>
  <c r="O57" i="48"/>
  <c r="X37" i="48"/>
  <c r="K34" i="48"/>
  <c r="AC34" i="48"/>
  <c r="AF49" i="48"/>
  <c r="AB40" i="48"/>
  <c r="AJ56" i="48"/>
  <c r="W33" i="48"/>
  <c r="AH33" i="48"/>
  <c r="K37" i="48"/>
  <c r="V56" i="48"/>
  <c r="AJ45" i="48"/>
  <c r="AA45" i="48"/>
  <c r="Y39" i="48"/>
  <c r="AC39" i="48"/>
  <c r="AH41" i="48"/>
  <c r="AG35" i="48"/>
  <c r="AF50" i="48"/>
  <c r="S49" i="48"/>
  <c r="AG43" i="48"/>
  <c r="AD49" i="48"/>
  <c r="N50" i="48"/>
  <c r="L39" i="48"/>
  <c r="O39" i="48"/>
  <c r="I56" i="48"/>
  <c r="M47" i="48"/>
  <c r="L42" i="48"/>
  <c r="I35" i="48"/>
  <c r="AA57" i="48"/>
  <c r="L44" i="48"/>
  <c r="V41" i="48"/>
  <c r="W43" i="48"/>
  <c r="AG55" i="48"/>
  <c r="AD54" i="48"/>
  <c r="AK37" i="48"/>
  <c r="AL34" i="48"/>
  <c r="W39" i="48"/>
  <c r="AI42" i="48"/>
  <c r="X46" i="48"/>
  <c r="Y50" i="48"/>
  <c r="K48" i="48"/>
  <c r="AF22" i="48"/>
  <c r="K46" i="48"/>
  <c r="J50" i="48"/>
  <c r="P44" i="48"/>
  <c r="AA30" i="48"/>
  <c r="AE55" i="48"/>
  <c r="AG31" i="48"/>
  <c r="AA53" i="48"/>
  <c r="Q54" i="48"/>
  <c r="AH47" i="48"/>
  <c r="AK32" i="48"/>
  <c r="AA34" i="48"/>
  <c r="L31" i="48"/>
  <c r="S32" i="48"/>
  <c r="Z35" i="48"/>
  <c r="L56" i="48"/>
  <c r="K42" i="48"/>
  <c r="AA49" i="48"/>
  <c r="AJ33" i="48"/>
  <c r="I31" i="48"/>
  <c r="J36" i="48"/>
  <c r="O43" i="48"/>
  <c r="Z33" i="48"/>
  <c r="R56" i="48"/>
  <c r="M53" i="48"/>
  <c r="AJ43" i="48"/>
  <c r="R39" i="48"/>
  <c r="Q47" i="48"/>
  <c r="AH54" i="48"/>
  <c r="V55" i="48"/>
  <c r="AK56" i="48"/>
  <c r="U55" i="48"/>
  <c r="AG49" i="48"/>
  <c r="AH34" i="48"/>
  <c r="I53" i="48"/>
  <c r="AL51" i="48"/>
  <c r="Q40" i="48"/>
  <c r="W37" i="48"/>
  <c r="O33" i="48"/>
  <c r="I40" i="48"/>
  <c r="AD32" i="48"/>
  <c r="Q52" i="48"/>
  <c r="P53" i="48"/>
  <c r="AF53" i="48"/>
  <c r="N31" i="48"/>
  <c r="W56" i="48"/>
  <c r="I57" i="48"/>
  <c r="AC40" i="48"/>
  <c r="AC37" i="48"/>
  <c r="N10" i="48"/>
  <c r="AC38" i="48"/>
  <c r="P48" i="48"/>
  <c r="AG38" i="48"/>
  <c r="P52" i="48"/>
  <c r="O50" i="48"/>
  <c r="AL52" i="48"/>
  <c r="AG51" i="48"/>
  <c r="N56" i="48"/>
  <c r="Z36" i="48"/>
  <c r="AH46" i="48"/>
  <c r="O55" i="48"/>
  <c r="O51" i="48"/>
  <c r="AJ50" i="48"/>
  <c r="R42" i="48"/>
  <c r="V19" i="48"/>
  <c r="AI36" i="48"/>
  <c r="AK46" i="48"/>
  <c r="O32" i="48"/>
  <c r="R57" i="48"/>
  <c r="AG57" i="48"/>
  <c r="AI32" i="48"/>
  <c r="AK53" i="48"/>
  <c r="I42" i="48"/>
  <c r="AB42" i="48"/>
  <c r="L36" i="48"/>
  <c r="V50" i="48"/>
  <c r="AG48" i="48"/>
  <c r="AF56" i="48"/>
  <c r="AD48" i="48"/>
  <c r="Y42" i="48"/>
  <c r="U36" i="48"/>
  <c r="AB43" i="48"/>
  <c r="U57" i="48"/>
  <c r="V34" i="48"/>
  <c r="K33" i="48"/>
  <c r="M57" i="48"/>
  <c r="W50" i="48"/>
  <c r="AF45" i="48"/>
  <c r="AL49" i="48"/>
  <c r="N35" i="48"/>
  <c r="T41" i="48"/>
  <c r="T37" i="48"/>
  <c r="AC51" i="48"/>
  <c r="AG50" i="48"/>
  <c r="J57" i="48"/>
  <c r="X52" i="48"/>
  <c r="AI41" i="48"/>
  <c r="R43" i="48"/>
  <c r="I34" i="48"/>
  <c r="K30" i="48"/>
  <c r="W51" i="48"/>
  <c r="N52" i="48"/>
  <c r="X40" i="48"/>
  <c r="U54" i="48"/>
  <c r="AD45" i="48"/>
  <c r="P41" i="48"/>
  <c r="P55" i="48"/>
  <c r="Y45" i="48"/>
  <c r="R51" i="48"/>
  <c r="AA43" i="48"/>
  <c r="AA50" i="48"/>
  <c r="L37" i="48"/>
  <c r="K50" i="48"/>
  <c r="Q51" i="48"/>
  <c r="AE49" i="48"/>
  <c r="AK48" i="48"/>
  <c r="W57" i="48"/>
  <c r="Y52" i="48"/>
  <c r="AF40" i="48"/>
  <c r="K35" i="48"/>
  <c r="W36" i="48"/>
  <c r="AA36" i="48"/>
  <c r="R55" i="48"/>
  <c r="V40" i="48"/>
  <c r="U45" i="48"/>
  <c r="M32" i="48"/>
  <c r="AL55" i="48"/>
  <c r="AL42" i="48"/>
  <c r="U53" i="48"/>
  <c r="J39" i="48"/>
  <c r="AJ53" i="48"/>
  <c r="K57" i="48"/>
  <c r="AE48" i="48"/>
  <c r="U52" i="48"/>
  <c r="K36" i="48"/>
  <c r="AL54" i="48"/>
  <c r="N48" i="48"/>
  <c r="AB45" i="48"/>
  <c r="AD57" i="48"/>
  <c r="AH43" i="48"/>
  <c r="AI57" i="48"/>
  <c r="AC31" i="48"/>
  <c r="Q29" i="48"/>
  <c r="AJ39" i="48"/>
  <c r="J31" i="48"/>
  <c r="AG56" i="48"/>
  <c r="AH21" i="48"/>
  <c r="AG54" i="48"/>
  <c r="Y54" i="48"/>
  <c r="AC43" i="48"/>
  <c r="P37" i="48"/>
  <c r="X53" i="48"/>
  <c r="O34" i="48"/>
  <c r="V33" i="48"/>
  <c r="AH52" i="48"/>
  <c r="AD52" i="48"/>
  <c r="AE40" i="48"/>
  <c r="K49" i="48"/>
  <c r="AE54" i="48"/>
  <c r="K55" i="48"/>
  <c r="AK34" i="48"/>
  <c r="X54" i="48"/>
  <c r="T36" i="48"/>
  <c r="S43" i="48"/>
  <c r="W42" i="48"/>
  <c r="W38" i="48"/>
  <c r="AL33" i="48"/>
  <c r="S53" i="48"/>
  <c r="I55" i="48"/>
  <c r="I51" i="48"/>
  <c r="Y38" i="48"/>
  <c r="AJ49" i="48"/>
  <c r="AJ57" i="48"/>
  <c r="Y37" i="48"/>
  <c r="Y36" i="48"/>
  <c r="AD34" i="48"/>
  <c r="N55" i="48"/>
  <c r="AJ47" i="48"/>
  <c r="AA52" i="48"/>
  <c r="W48" i="48"/>
  <c r="AH55" i="48"/>
  <c r="AF33" i="48"/>
  <c r="AK55" i="48"/>
  <c r="U40" i="48"/>
  <c r="AE44" i="48"/>
  <c r="N40" i="48"/>
  <c r="AH32" i="48"/>
  <c r="R37" i="48"/>
  <c r="Q50" i="48"/>
  <c r="R32" i="48"/>
  <c r="AA44" i="48"/>
  <c r="AJ44" i="48"/>
  <c r="J38" i="48"/>
  <c r="AC44" i="48"/>
  <c r="AD43" i="48"/>
  <c r="N38" i="48"/>
  <c r="X32" i="48"/>
  <c r="AI31" i="48"/>
  <c r="Z37" i="48"/>
  <c r="AB46" i="48"/>
  <c r="I52" i="48"/>
  <c r="Y51" i="48"/>
  <c r="P56" i="48"/>
  <c r="W46" i="48"/>
  <c r="U48" i="48"/>
  <c r="X56" i="48"/>
  <c r="X43" i="48"/>
  <c r="W32" i="48"/>
  <c r="AG52" i="48"/>
  <c r="Y48" i="48"/>
  <c r="X36" i="48"/>
  <c r="W44" i="48"/>
  <c r="T38" i="48"/>
  <c r="AD44" i="48"/>
  <c r="Y56" i="48"/>
  <c r="U56" i="48"/>
  <c r="L46" i="48"/>
  <c r="T48" i="48"/>
  <c r="AI35" i="48"/>
  <c r="AC54" i="48"/>
  <c r="M48" i="48"/>
  <c r="S45" i="48"/>
  <c r="L53" i="48"/>
  <c r="O56" i="48"/>
  <c r="AB53" i="48"/>
  <c r="AF32" i="48"/>
  <c r="AI45" i="48"/>
  <c r="O46" i="48"/>
  <c r="V46" i="48"/>
  <c r="AB56" i="48"/>
  <c r="AK35" i="48"/>
  <c r="U33" i="48"/>
  <c r="R38" i="48"/>
  <c r="O42" i="48"/>
  <c r="AI55" i="48"/>
  <c r="AB55" i="48"/>
  <c r="L55" i="48"/>
  <c r="W54" i="48"/>
  <c r="O44" i="48"/>
  <c r="U35" i="48"/>
  <c r="V37" i="48"/>
  <c r="X35" i="48"/>
  <c r="Z32" i="48"/>
  <c r="Y35" i="48"/>
  <c r="U49" i="48"/>
  <c r="Q23" i="48"/>
  <c r="O53" i="48"/>
  <c r="O31" i="48"/>
  <c r="V45" i="48"/>
  <c r="I37" i="48"/>
  <c r="Z45" i="48"/>
  <c r="AH44" i="48"/>
  <c r="AG42" i="48"/>
  <c r="L48" i="48"/>
  <c r="P54" i="48"/>
  <c r="Z57" i="48"/>
  <c r="P40" i="48"/>
  <c r="T31" i="48"/>
  <c r="I44" i="48"/>
  <c r="AC41" i="48"/>
  <c r="AF52" i="48"/>
  <c r="Z52" i="48"/>
  <c r="M49" i="48"/>
  <c r="AB44" i="48"/>
  <c r="T51" i="48"/>
  <c r="M40" i="48"/>
  <c r="AF35" i="48"/>
  <c r="L30" i="48"/>
  <c r="AB38" i="48"/>
  <c r="Y32" i="48"/>
  <c r="K47" i="48"/>
  <c r="Z46" i="48"/>
  <c r="N39" i="48"/>
  <c r="N44" i="48"/>
  <c r="AF44" i="48"/>
  <c r="AB54" i="48"/>
  <c r="M54" i="48"/>
  <c r="R53" i="48"/>
  <c r="X33" i="48"/>
  <c r="U38" i="48"/>
  <c r="I46" i="48"/>
  <c r="AA47" i="48"/>
  <c r="AL47" i="48"/>
  <c r="AK44" i="48"/>
  <c r="AI56" i="48"/>
  <c r="P57" i="48"/>
  <c r="I54" i="48"/>
  <c r="Z49" i="48"/>
  <c r="AB37" i="48"/>
  <c r="R34" i="48"/>
  <c r="Q41" i="48"/>
  <c r="AJ34" i="48"/>
  <c r="J37" i="48"/>
  <c r="AG53" i="48"/>
  <c r="AL57" i="48"/>
  <c r="AJ54" i="48"/>
  <c r="Z39" i="48"/>
  <c r="AH38" i="48"/>
  <c r="AK38" i="48"/>
  <c r="J56" i="48"/>
  <c r="AC53" i="48"/>
  <c r="N47" i="48"/>
  <c r="M42" i="48"/>
  <c r="Y41" i="48"/>
  <c r="J49" i="48"/>
  <c r="AJ30" i="48"/>
  <c r="K54" i="48"/>
  <c r="I50" i="48"/>
  <c r="AI39" i="48"/>
  <c r="AD53" i="48"/>
  <c r="X41" i="48"/>
  <c r="AE34" i="48"/>
  <c r="Z38" i="48"/>
  <c r="L57" i="48"/>
  <c r="AB29" i="48"/>
  <c r="J52" i="48"/>
  <c r="W49" i="48"/>
  <c r="Q57" i="48"/>
  <c r="X55" i="48"/>
  <c r="AA38" i="48"/>
  <c r="T42" i="48"/>
  <c r="AF46" i="48"/>
  <c r="AA56" i="48"/>
  <c r="O49" i="48"/>
  <c r="R50" i="48"/>
  <c r="AB50" i="48"/>
  <c r="P47" i="48"/>
  <c r="Y25" i="48"/>
  <c r="AI37" i="48"/>
  <c r="AI43" i="48"/>
  <c r="Z41" i="48"/>
  <c r="AJ35" i="48"/>
  <c r="W53" i="48"/>
  <c r="AA37" i="48"/>
  <c r="I33" i="48"/>
  <c r="T54" i="48"/>
  <c r="S47" i="48"/>
  <c r="L47" i="48"/>
  <c r="ID4" i="46"/>
  <c r="ID2" i="46" s="1"/>
  <c r="IY4" i="46"/>
  <c r="IY2" i="46" s="1"/>
  <c r="HI4" i="46"/>
  <c r="HI2" i="46" s="1"/>
  <c r="GN4" i="46"/>
  <c r="GN2" i="46" s="1"/>
  <c r="IA4" i="46"/>
  <c r="IA2" i="46" s="1"/>
  <c r="IG4" i="46"/>
  <c r="IG2" i="46" s="1"/>
  <c r="DZ4" i="46"/>
  <c r="DZ2" i="46" s="1"/>
  <c r="CP4" i="46"/>
  <c r="CP2" i="46" s="1"/>
  <c r="HO4" i="46"/>
  <c r="HO2" i="46" s="1"/>
  <c r="FP4" i="46"/>
  <c r="FP2" i="46" s="1"/>
  <c r="CA4" i="46"/>
  <c r="CA2" i="46" s="1"/>
  <c r="FA4" i="46"/>
  <c r="FA2" i="46" s="1"/>
  <c r="BX4" i="46"/>
  <c r="BX2" i="46" s="1"/>
  <c r="BU4" i="46"/>
  <c r="BU2" i="46" s="1"/>
  <c r="DK4" i="46"/>
  <c r="DK2" i="46" s="1"/>
  <c r="EL4" i="46"/>
  <c r="EL2" i="46" s="1"/>
  <c r="GH4" i="46"/>
  <c r="GH2" i="46" s="1"/>
  <c r="LD4" i="46"/>
  <c r="LD2" i="46" s="1"/>
  <c r="GZ4" i="46"/>
  <c r="GZ2" i="46" s="1"/>
  <c r="EO4" i="46"/>
  <c r="EO2" i="46" s="1"/>
  <c r="GW4" i="46"/>
  <c r="GW2" i="46" s="1"/>
  <c r="AE4" i="46"/>
  <c r="AE2" i="46" s="1"/>
  <c r="HX4" i="46"/>
  <c r="HX2" i="46" s="1"/>
  <c r="JT4" i="46"/>
  <c r="JT2" i="46" s="1"/>
  <c r="JW4" i="46"/>
  <c r="JW2" i="46" s="1"/>
  <c r="CS4" i="46"/>
  <c r="CS2" i="46" s="1"/>
  <c r="HF4" i="46"/>
  <c r="HF2" i="46" s="1"/>
  <c r="IP4" i="46"/>
  <c r="IP2" i="46" s="1"/>
  <c r="BR4" i="46"/>
  <c r="BR2" i="46" s="1"/>
  <c r="IV4" i="46"/>
  <c r="IV2" i="46" s="1"/>
  <c r="IS4" i="46"/>
  <c r="IS2" i="46" s="1"/>
  <c r="FM4" i="46"/>
  <c r="FM2" i="46" s="1"/>
  <c r="ER4" i="46"/>
  <c r="ER2" i="46" s="1"/>
  <c r="GE4" i="46"/>
  <c r="GE2" i="46" s="1"/>
  <c r="EX4" i="46"/>
  <c r="EX2" i="46" s="1"/>
  <c r="KO4" i="46"/>
  <c r="KO2" i="46" s="1"/>
  <c r="JE4" i="46"/>
  <c r="JE2" i="46" s="1"/>
  <c r="JB4" i="46"/>
  <c r="JB2" i="46" s="1"/>
  <c r="LA4" i="46"/>
  <c r="LA2" i="46" s="1"/>
  <c r="HL4" i="46"/>
  <c r="HL2" i="46" s="1"/>
  <c r="AN4" i="46"/>
  <c r="AN2" i="46" s="1"/>
  <c r="FV4" i="46"/>
  <c r="FV2" i="46" s="1"/>
  <c r="FG4" i="46"/>
  <c r="FG2" i="46" s="1"/>
  <c r="DQ4" i="46"/>
  <c r="DQ2" i="46" s="1"/>
  <c r="BF4" i="46"/>
  <c r="BF2" i="46" s="1"/>
  <c r="EC4" i="46"/>
  <c r="EC2" i="46" s="1"/>
  <c r="AZ4" i="46"/>
  <c r="AZ2" i="46" s="1"/>
  <c r="JQ4" i="46"/>
  <c r="JQ2" i="46" s="1"/>
  <c r="DB4" i="46"/>
  <c r="DB2" i="46" s="1"/>
  <c r="DW4" i="46"/>
  <c r="DW2" i="46" s="1"/>
  <c r="DN4" i="46"/>
  <c r="DN2" i="46" s="1"/>
  <c r="HU4" i="46"/>
  <c r="HU2" i="46" s="1"/>
  <c r="BC4" i="46"/>
  <c r="BC2" i="46" s="1"/>
  <c r="CD4" i="46"/>
  <c r="CD2" i="46" s="1"/>
  <c r="IM4" i="46"/>
  <c r="IM2" i="46" s="1"/>
  <c r="JK4" i="46"/>
  <c r="JK2" i="46" s="1"/>
  <c r="FD4" i="46"/>
  <c r="FD2" i="46" s="1"/>
  <c r="JZ4" i="46"/>
  <c r="JZ2" i="46" s="1"/>
  <c r="EF4" i="46"/>
  <c r="EF2" i="46" s="1"/>
  <c r="HC4" i="46"/>
  <c r="HC2" i="46" s="1"/>
  <c r="AQ4" i="46"/>
  <c r="AQ2" i="46" s="1"/>
  <c r="KX4" i="46"/>
  <c r="KX2" i="46" s="1"/>
  <c r="DE4" i="46"/>
  <c r="DE2" i="46" s="1"/>
  <c r="FJ4" i="46"/>
  <c r="FJ2" i="46" s="1"/>
  <c r="KF4" i="46"/>
  <c r="KF2" i="46" s="1"/>
  <c r="KR4" i="46"/>
  <c r="KR2" i="46" s="1"/>
  <c r="AW4" i="46"/>
  <c r="AW2" i="46" s="1"/>
  <c r="CJ4" i="46"/>
  <c r="CJ2" i="46" s="1"/>
  <c r="JH4" i="46"/>
  <c r="JH2" i="46" s="1"/>
  <c r="CM4" i="46"/>
  <c r="CM2" i="46" s="1"/>
  <c r="HR4" i="46"/>
  <c r="HR2" i="46" s="1"/>
  <c r="AH4" i="46"/>
  <c r="AH2" i="46" s="1"/>
  <c r="KL4" i="46"/>
  <c r="KL2" i="46" s="1"/>
  <c r="DH4" i="46"/>
  <c r="DH2" i="46" s="1"/>
  <c r="KU4" i="46"/>
  <c r="KU2" i="46" s="1"/>
  <c r="KI4" i="46"/>
  <c r="KI2" i="46" s="1"/>
  <c r="GQ4" i="46"/>
  <c r="GQ2" i="46" s="1"/>
  <c r="AK4" i="46"/>
  <c r="GK4" i="46"/>
  <c r="CV4" i="46"/>
  <c r="CY4" i="46"/>
  <c r="GB4" i="46"/>
  <c r="IJ4" i="46"/>
  <c r="FY4" i="46"/>
  <c r="DT4" i="46"/>
  <c r="EI4" i="46"/>
  <c r="BO4" i="46"/>
  <c r="BL4" i="46"/>
  <c r="GT4" i="46"/>
  <c r="BI4" i="46"/>
  <c r="AT4" i="46"/>
  <c r="T28" i="51"/>
  <c r="Q28" i="51" s="1"/>
  <c r="P28" i="51" s="1"/>
  <c r="O28" i="51" s="1"/>
  <c r="N28" i="51" s="1"/>
  <c r="M28" i="51" s="1"/>
  <c r="V28" i="51" s="1"/>
  <c r="T53" i="51"/>
  <c r="Q53" i="51" s="1"/>
  <c r="P53" i="51" s="1"/>
  <c r="O53" i="51" s="1"/>
  <c r="N53" i="51" s="1"/>
  <c r="M53" i="51" s="1"/>
  <c r="V53" i="51" s="1"/>
  <c r="T10" i="51"/>
  <c r="Q10" i="51" s="1"/>
  <c r="P10" i="51" s="1"/>
  <c r="O10" i="51" s="1"/>
  <c r="N10" i="51" s="1"/>
  <c r="M10" i="51" s="1"/>
  <c r="V10" i="51" s="1"/>
  <c r="T34" i="51"/>
  <c r="Q34" i="51" s="1"/>
  <c r="P34" i="51" s="1"/>
  <c r="O34" i="51" s="1"/>
  <c r="N34" i="51" s="1"/>
  <c r="M34" i="51" s="1"/>
  <c r="V34" i="51" s="1"/>
  <c r="T50" i="51"/>
  <c r="Q50" i="51" s="1"/>
  <c r="P50" i="51" s="1"/>
  <c r="O50" i="51" s="1"/>
  <c r="N50" i="51" s="1"/>
  <c r="M50" i="51" s="1"/>
  <c r="V50" i="51" s="1"/>
  <c r="T22" i="51"/>
  <c r="Q22" i="51" s="1"/>
  <c r="P22" i="51" s="1"/>
  <c r="O22" i="51" s="1"/>
  <c r="N22" i="51" s="1"/>
  <c r="M22" i="51" s="1"/>
  <c r="V22" i="51" s="1"/>
  <c r="T51" i="51"/>
  <c r="Q51" i="51" s="1"/>
  <c r="P51" i="51" s="1"/>
  <c r="O51" i="51" s="1"/>
  <c r="N51" i="51" s="1"/>
  <c r="M51" i="51" s="1"/>
  <c r="V51" i="51" s="1"/>
  <c r="T42" i="51"/>
  <c r="Q42" i="51" s="1"/>
  <c r="P42" i="51" s="1"/>
  <c r="O42" i="51" s="1"/>
  <c r="N42" i="51" s="1"/>
  <c r="M42" i="51" s="1"/>
  <c r="V42" i="51" s="1"/>
  <c r="T46" i="51"/>
  <c r="Q46" i="51" s="1"/>
  <c r="P46" i="51" s="1"/>
  <c r="O46" i="51" s="1"/>
  <c r="N46" i="51" s="1"/>
  <c r="M46" i="51" s="1"/>
  <c r="V46" i="51" s="1"/>
  <c r="T29" i="51"/>
  <c r="Q29" i="51" s="1"/>
  <c r="P29" i="51" s="1"/>
  <c r="O29" i="51" s="1"/>
  <c r="N29" i="51" s="1"/>
  <c r="M29" i="51" s="1"/>
  <c r="V29" i="51" s="1"/>
  <c r="T20" i="51"/>
  <c r="Q20" i="51" s="1"/>
  <c r="P20" i="51" s="1"/>
  <c r="O20" i="51" s="1"/>
  <c r="N20" i="51" s="1"/>
  <c r="M20" i="51" s="1"/>
  <c r="V20" i="51" s="1"/>
  <c r="T31" i="51"/>
  <c r="Q31" i="51" s="1"/>
  <c r="P31" i="51" s="1"/>
  <c r="O31" i="51" s="1"/>
  <c r="N31" i="51" s="1"/>
  <c r="M31" i="51" s="1"/>
  <c r="V31" i="51" s="1"/>
  <c r="T45" i="51"/>
  <c r="Q45" i="51" s="1"/>
  <c r="P45" i="51" s="1"/>
  <c r="O45" i="51" s="1"/>
  <c r="N45" i="51" s="1"/>
  <c r="M45" i="51" s="1"/>
  <c r="V45" i="51" s="1"/>
  <c r="T35" i="51"/>
  <c r="Q35" i="51" s="1"/>
  <c r="P35" i="51" s="1"/>
  <c r="O35" i="51" s="1"/>
  <c r="N35" i="51" s="1"/>
  <c r="M35" i="51" s="1"/>
  <c r="V35" i="51" s="1"/>
  <c r="T8" i="51"/>
  <c r="Q8" i="51" s="1"/>
  <c r="P8" i="51" s="1"/>
  <c r="O8" i="51" s="1"/>
  <c r="N8" i="51" s="1"/>
  <c r="M8" i="51" s="1"/>
  <c r="V8" i="51" s="1"/>
  <c r="T33" i="51"/>
  <c r="Q33" i="51" s="1"/>
  <c r="P33" i="51" s="1"/>
  <c r="O33" i="51" s="1"/>
  <c r="N33" i="51" s="1"/>
  <c r="M33" i="51" s="1"/>
  <c r="V33" i="51" s="1"/>
  <c r="T19" i="51"/>
  <c r="Q19" i="51" s="1"/>
  <c r="P19" i="51" s="1"/>
  <c r="O19" i="51" s="1"/>
  <c r="N19" i="51" s="1"/>
  <c r="M19" i="51" s="1"/>
  <c r="V19" i="51" s="1"/>
  <c r="T14" i="51"/>
  <c r="Q14" i="51" s="1"/>
  <c r="P14" i="51" s="1"/>
  <c r="O14" i="51" s="1"/>
  <c r="N14" i="51" s="1"/>
  <c r="M14" i="51" s="1"/>
  <c r="V14" i="51" s="1"/>
  <c r="T30" i="51"/>
  <c r="Q30" i="51" s="1"/>
  <c r="P30" i="51" s="1"/>
  <c r="O30" i="51" s="1"/>
  <c r="N30" i="51" s="1"/>
  <c r="M30" i="51" s="1"/>
  <c r="V30" i="51" s="1"/>
  <c r="T259" i="46"/>
  <c r="S4" i="46" s="1"/>
  <c r="T15" i="51"/>
  <c r="Q15" i="51" s="1"/>
  <c r="P15" i="51" s="1"/>
  <c r="O15" i="51" s="1"/>
  <c r="N15" i="51" s="1"/>
  <c r="M15" i="51" s="1"/>
  <c r="V15" i="51" s="1"/>
  <c r="T43" i="51"/>
  <c r="Q43" i="51" s="1"/>
  <c r="P43" i="51" s="1"/>
  <c r="O43" i="51" s="1"/>
  <c r="N43" i="51" s="1"/>
  <c r="M43" i="51" s="1"/>
  <c r="V43" i="51" s="1"/>
  <c r="T9" i="51"/>
  <c r="Q9" i="51" s="1"/>
  <c r="P9" i="51" s="1"/>
  <c r="O9" i="51" s="1"/>
  <c r="N9" i="51" s="1"/>
  <c r="M9" i="51" s="1"/>
  <c r="V9" i="51" s="1"/>
  <c r="T24" i="51"/>
  <c r="Q24" i="51" s="1"/>
  <c r="P24" i="51" s="1"/>
  <c r="O24" i="51" s="1"/>
  <c r="N24" i="51" s="1"/>
  <c r="M24" i="51" s="1"/>
  <c r="V24" i="51" s="1"/>
  <c r="T26" i="51"/>
  <c r="Q26" i="51" s="1"/>
  <c r="P26" i="51" s="1"/>
  <c r="O26" i="51" s="1"/>
  <c r="N26" i="51" s="1"/>
  <c r="M26" i="51" s="1"/>
  <c r="V26" i="51" s="1"/>
  <c r="T55" i="51"/>
  <c r="Q55" i="51" s="1"/>
  <c r="P55" i="51" s="1"/>
  <c r="O55" i="51" s="1"/>
  <c r="N55" i="51" s="1"/>
  <c r="M55" i="51" s="1"/>
  <c r="V55" i="51" s="1"/>
  <c r="T49" i="51"/>
  <c r="Q49" i="51" s="1"/>
  <c r="P49" i="51" s="1"/>
  <c r="O49" i="51" s="1"/>
  <c r="N49" i="51" s="1"/>
  <c r="M49" i="51" s="1"/>
  <c r="V49" i="51" s="1"/>
  <c r="T32" i="51"/>
  <c r="Q32" i="51" s="1"/>
  <c r="P32" i="51" s="1"/>
  <c r="O32" i="51" s="1"/>
  <c r="N32" i="51" s="1"/>
  <c r="M32" i="51" s="1"/>
  <c r="V32" i="51" s="1"/>
  <c r="T38" i="51"/>
  <c r="Q38" i="51" s="1"/>
  <c r="P38" i="51" s="1"/>
  <c r="O38" i="51" s="1"/>
  <c r="N38" i="51" s="1"/>
  <c r="M38" i="51" s="1"/>
  <c r="V38" i="51" s="1"/>
  <c r="T16" i="51"/>
  <c r="Q16" i="51" s="1"/>
  <c r="P16" i="51" s="1"/>
  <c r="O16" i="51" s="1"/>
  <c r="N16" i="51" s="1"/>
  <c r="M16" i="51" s="1"/>
  <c r="V16" i="51" s="1"/>
  <c r="T12" i="51"/>
  <c r="Q12" i="51" s="1"/>
  <c r="P12" i="51" s="1"/>
  <c r="O12" i="51" s="1"/>
  <c r="N12" i="51" s="1"/>
  <c r="M12" i="51" s="1"/>
  <c r="V12" i="51" s="1"/>
  <c r="T13" i="51"/>
  <c r="Q13" i="51" s="1"/>
  <c r="P13" i="51" s="1"/>
  <c r="O13" i="51" s="1"/>
  <c r="N13" i="51" s="1"/>
  <c r="M13" i="51" s="1"/>
  <c r="V13" i="51" s="1"/>
  <c r="T18" i="51"/>
  <c r="Q18" i="51" s="1"/>
  <c r="P18" i="51" s="1"/>
  <c r="O18" i="51" s="1"/>
  <c r="N18" i="51" s="1"/>
  <c r="M18" i="51" s="1"/>
  <c r="V18" i="51" s="1"/>
  <c r="T52" i="51"/>
  <c r="Q52" i="51" s="1"/>
  <c r="P52" i="51" s="1"/>
  <c r="O52" i="51" s="1"/>
  <c r="N52" i="51" s="1"/>
  <c r="M52" i="51" s="1"/>
  <c r="V52" i="51" s="1"/>
  <c r="T36" i="51"/>
  <c r="Q36" i="51" s="1"/>
  <c r="P36" i="51" s="1"/>
  <c r="O36" i="51" s="1"/>
  <c r="N36" i="51" s="1"/>
  <c r="M36" i="51" s="1"/>
  <c r="V36" i="51" s="1"/>
  <c r="T40" i="51"/>
  <c r="Q40" i="51" s="1"/>
  <c r="P40" i="51" s="1"/>
  <c r="O40" i="51" s="1"/>
  <c r="N40" i="51" s="1"/>
  <c r="M40" i="51" s="1"/>
  <c r="V40" i="51" s="1"/>
  <c r="T27" i="51"/>
  <c r="Q27" i="51" s="1"/>
  <c r="P27" i="51" s="1"/>
  <c r="O27" i="51" s="1"/>
  <c r="N27" i="51" s="1"/>
  <c r="M27" i="51" s="1"/>
  <c r="V27" i="51" s="1"/>
  <c r="T41" i="51"/>
  <c r="Q41" i="51" s="1"/>
  <c r="P41" i="51" s="1"/>
  <c r="O41" i="51" s="1"/>
  <c r="N41" i="51" s="1"/>
  <c r="M41" i="51" s="1"/>
  <c r="V41" i="51" s="1"/>
  <c r="T17" i="51"/>
  <c r="Q17" i="51" s="1"/>
  <c r="P17" i="51" s="1"/>
  <c r="O17" i="51" s="1"/>
  <c r="N17" i="51" s="1"/>
  <c r="M17" i="51" s="1"/>
  <c r="V17" i="51" s="1"/>
  <c r="T47" i="51"/>
  <c r="Q47" i="51" s="1"/>
  <c r="P47" i="51" s="1"/>
  <c r="O47" i="51" s="1"/>
  <c r="N47" i="51" s="1"/>
  <c r="M47" i="51" s="1"/>
  <c r="V47" i="51" s="1"/>
  <c r="T37" i="51"/>
  <c r="Q37" i="51" s="1"/>
  <c r="P37" i="51" s="1"/>
  <c r="O37" i="51" s="1"/>
  <c r="N37" i="51" s="1"/>
  <c r="M37" i="51" s="1"/>
  <c r="V37" i="51" s="1"/>
  <c r="T48" i="51"/>
  <c r="Q48" i="51" s="1"/>
  <c r="P48" i="51" s="1"/>
  <c r="O48" i="51" s="1"/>
  <c r="N48" i="51" s="1"/>
  <c r="M48" i="51" s="1"/>
  <c r="V48" i="51" s="1"/>
  <c r="T44" i="51"/>
  <c r="Q44" i="51" s="1"/>
  <c r="P44" i="51" s="1"/>
  <c r="O44" i="51" s="1"/>
  <c r="N44" i="51" s="1"/>
  <c r="M44" i="51" s="1"/>
  <c r="V44" i="51" s="1"/>
  <c r="T21" i="51"/>
  <c r="Q21" i="51" s="1"/>
  <c r="P21" i="51" s="1"/>
  <c r="O21" i="51" s="1"/>
  <c r="N21" i="51" s="1"/>
  <c r="M21" i="51" s="1"/>
  <c r="V21" i="51" s="1"/>
  <c r="T25" i="51"/>
  <c r="Q25" i="51" s="1"/>
  <c r="P25" i="51" s="1"/>
  <c r="O25" i="51" s="1"/>
  <c r="N25" i="51" s="1"/>
  <c r="M25" i="51" s="1"/>
  <c r="V25" i="51" s="1"/>
  <c r="T23" i="51"/>
  <c r="Q23" i="51" s="1"/>
  <c r="P23" i="51" s="1"/>
  <c r="O23" i="51" s="1"/>
  <c r="N23" i="51" s="1"/>
  <c r="M23" i="51" s="1"/>
  <c r="V23" i="51" s="1"/>
  <c r="T54" i="51"/>
  <c r="Q54" i="51" s="1"/>
  <c r="P54" i="51" s="1"/>
  <c r="O54" i="51" s="1"/>
  <c r="N54" i="51" s="1"/>
  <c r="M54" i="51" s="1"/>
  <c r="V54" i="51" s="1"/>
  <c r="T11" i="51"/>
  <c r="Q11" i="51" s="1"/>
  <c r="P11" i="51" s="1"/>
  <c r="O11" i="51" s="1"/>
  <c r="N11" i="51" s="1"/>
  <c r="M11" i="51" s="1"/>
  <c r="V11" i="51" s="1"/>
  <c r="T39" i="51"/>
  <c r="Q39" i="51" s="1"/>
  <c r="P39" i="51" s="1"/>
  <c r="O39" i="51" s="1"/>
  <c r="N39" i="51" s="1"/>
  <c r="M39" i="51" s="1"/>
  <c r="V39" i="51" s="1"/>
  <c r="FS4" i="46"/>
  <c r="KC4" i="46"/>
  <c r="CG4" i="46"/>
  <c r="W89" i="48"/>
  <c r="M89" i="48"/>
  <c r="X89" i="48"/>
  <c r="AJ89" i="48"/>
  <c r="S89" i="48"/>
  <c r="AE89" i="48"/>
  <c r="AK89" i="48"/>
  <c r="V89" i="48"/>
  <c r="Y89" i="48"/>
  <c r="AC89" i="48"/>
  <c r="R89" i="48"/>
  <c r="P89" i="48"/>
  <c r="U89" i="48"/>
  <c r="I89" i="48"/>
  <c r="AL89" i="48"/>
  <c r="AB89" i="48"/>
  <c r="AA89" i="48"/>
  <c r="L89" i="48"/>
  <c r="O89" i="48"/>
  <c r="K89" i="48"/>
  <c r="H89" i="48"/>
  <c r="Z89" i="48"/>
  <c r="AG89" i="48"/>
  <c r="AF89" i="48"/>
  <c r="Q89" i="48"/>
  <c r="AI89" i="48"/>
  <c r="AH89" i="48"/>
  <c r="AD89" i="48"/>
  <c r="T89" i="48"/>
  <c r="J89" i="48"/>
  <c r="N89" i="48"/>
  <c r="G89" i="48"/>
  <c r="F90" i="48" a="1"/>
  <c r="F90" i="48" s="1"/>
  <c r="E91" i="48"/>
  <c r="G18" i="48" l="1"/>
  <c r="G75" i="48"/>
  <c r="G40" i="48"/>
  <c r="G48" i="48"/>
  <c r="G23" i="48"/>
  <c r="G22" i="48"/>
  <c r="G29" i="48"/>
  <c r="G58" i="48"/>
  <c r="G45" i="48"/>
  <c r="AP35" i="51"/>
  <c r="S2" i="46"/>
  <c r="FY2" i="46"/>
  <c r="GK2" i="46"/>
  <c r="AK2" i="46"/>
  <c r="BI2" i="46"/>
  <c r="CG2" i="46"/>
  <c r="AT2" i="46"/>
  <c r="GT2" i="46"/>
  <c r="BL2" i="46"/>
  <c r="KC2" i="46"/>
  <c r="BO2" i="46"/>
  <c r="IJ2" i="46"/>
  <c r="EI2" i="46"/>
  <c r="CY2" i="46"/>
  <c r="DT2" i="46"/>
  <c r="CV2" i="46"/>
  <c r="FS2" i="46"/>
  <c r="GB2" i="46"/>
  <c r="F91" i="48" a="1"/>
  <c r="F91" i="48" s="1"/>
  <c r="E92" i="48"/>
  <c r="AE90" i="48"/>
  <c r="AJ90" i="48"/>
  <c r="AL90" i="48"/>
  <c r="AF90" i="48"/>
  <c r="L90" i="48"/>
  <c r="P90" i="48"/>
  <c r="AH90" i="48"/>
  <c r="I90" i="48"/>
  <c r="T90" i="48"/>
  <c r="J90" i="48"/>
  <c r="Q90" i="48"/>
  <c r="O90" i="48"/>
  <c r="AD90" i="48"/>
  <c r="N90" i="48"/>
  <c r="U90" i="48"/>
  <c r="K90" i="48"/>
  <c r="AB90" i="48"/>
  <c r="AK90" i="48"/>
  <c r="R90" i="48"/>
  <c r="X90" i="48"/>
  <c r="AC90" i="48"/>
  <c r="Y90" i="48"/>
  <c r="AG90" i="48"/>
  <c r="S90" i="48"/>
  <c r="W90" i="48"/>
  <c r="M90" i="48"/>
  <c r="AA90" i="48"/>
  <c r="Z90" i="48"/>
  <c r="V90" i="48"/>
  <c r="H90" i="48"/>
  <c r="AI90" i="48"/>
  <c r="G90" i="48"/>
  <c r="F92" i="48" l="1" a="1"/>
  <c r="F92" i="48" s="1"/>
  <c r="E93" i="48"/>
  <c r="AD91" i="48"/>
  <c r="AH91" i="48"/>
  <c r="AA91" i="48"/>
  <c r="M91" i="48"/>
  <c r="AI91" i="48"/>
  <c r="AC91" i="48"/>
  <c r="Y91" i="48"/>
  <c r="AE91" i="48"/>
  <c r="Z91" i="48"/>
  <c r="O91" i="48"/>
  <c r="AK91" i="48"/>
  <c r="AL91" i="48"/>
  <c r="W91" i="48"/>
  <c r="U91" i="48"/>
  <c r="R91" i="48"/>
  <c r="V91" i="48"/>
  <c r="J91" i="48"/>
  <c r="H91" i="48"/>
  <c r="AJ91" i="48"/>
  <c r="K91" i="48"/>
  <c r="X91" i="48"/>
  <c r="I91" i="48"/>
  <c r="AB91" i="48"/>
  <c r="N91" i="48"/>
  <c r="AG91" i="48"/>
  <c r="P91" i="48"/>
  <c r="Q91" i="48"/>
  <c r="L91" i="48"/>
  <c r="AF91" i="48"/>
  <c r="T91" i="48"/>
  <c r="S91" i="48"/>
  <c r="G91" i="48"/>
  <c r="F93" i="48" l="1" a="1"/>
  <c r="F93" i="48" s="1"/>
  <c r="E94" i="48"/>
  <c r="AF92" i="48"/>
  <c r="T92" i="48"/>
  <c r="AD92" i="48"/>
  <c r="P92" i="48"/>
  <c r="N92" i="48"/>
  <c r="R92" i="48"/>
  <c r="AI92" i="48"/>
  <c r="L92" i="48"/>
  <c r="J92" i="48"/>
  <c r="Z92" i="48"/>
  <c r="AL92" i="48"/>
  <c r="Q92" i="48"/>
  <c r="AJ92" i="48"/>
  <c r="S92" i="48"/>
  <c r="M92" i="48"/>
  <c r="W92" i="48"/>
  <c r="H92" i="48"/>
  <c r="AG92" i="48"/>
  <c r="Y92" i="48"/>
  <c r="X92" i="48"/>
  <c r="AK92" i="48"/>
  <c r="U92" i="48"/>
  <c r="AA92" i="48"/>
  <c r="AH92" i="48"/>
  <c r="O92" i="48"/>
  <c r="AE92" i="48"/>
  <c r="K92" i="48"/>
  <c r="V92" i="48"/>
  <c r="AB92" i="48"/>
  <c r="I92" i="48"/>
  <c r="AC92" i="48"/>
  <c r="G92" i="48"/>
  <c r="F94" i="48" l="1" a="1"/>
  <c r="F94" i="48" s="1"/>
  <c r="E95" i="48"/>
  <c r="O93" i="48"/>
  <c r="W93" i="48"/>
  <c r="X93" i="48"/>
  <c r="J93" i="48"/>
  <c r="AA93" i="48"/>
  <c r="AE93" i="48"/>
  <c r="AB93" i="48"/>
  <c r="AG93" i="48"/>
  <c r="H93" i="48"/>
  <c r="L93" i="48"/>
  <c r="Y93" i="48"/>
  <c r="P93" i="48"/>
  <c r="I93" i="48"/>
  <c r="AD93" i="48"/>
  <c r="AL93" i="48"/>
  <c r="K93" i="48"/>
  <c r="V93" i="48"/>
  <c r="T93" i="48"/>
  <c r="S93" i="48"/>
  <c r="Q93" i="48"/>
  <c r="N93" i="48"/>
  <c r="AF93" i="48"/>
  <c r="AI93" i="48"/>
  <c r="M93" i="48"/>
  <c r="R93" i="48"/>
  <c r="U93" i="48"/>
  <c r="Z93" i="48"/>
  <c r="AC93" i="48"/>
  <c r="AK93" i="48"/>
  <c r="AJ93" i="48"/>
  <c r="AH93" i="48"/>
  <c r="G93" i="48"/>
  <c r="E96" i="48" l="1"/>
  <c r="F95" i="48" a="1"/>
  <c r="F95" i="48" s="1"/>
  <c r="AI94" i="48"/>
  <c r="O94" i="48"/>
  <c r="J94" i="48"/>
  <c r="U94" i="48"/>
  <c r="AD94" i="48"/>
  <c r="AH94" i="48"/>
  <c r="Q94" i="48"/>
  <c r="N94" i="48"/>
  <c r="X94" i="48"/>
  <c r="L94" i="48"/>
  <c r="M94" i="48"/>
  <c r="AK94" i="48"/>
  <c r="Y94" i="48"/>
  <c r="R94" i="48"/>
  <c r="AJ94" i="48"/>
  <c r="AF94" i="48"/>
  <c r="V94" i="48"/>
  <c r="AA94" i="48"/>
  <c r="W94" i="48"/>
  <c r="S94" i="48"/>
  <c r="T94" i="48"/>
  <c r="AL94" i="48"/>
  <c r="H94" i="48"/>
  <c r="Z94" i="48"/>
  <c r="AC94" i="48"/>
  <c r="AE94" i="48"/>
  <c r="P94" i="48"/>
  <c r="AB94" i="48"/>
  <c r="I94" i="48"/>
  <c r="K94" i="48"/>
  <c r="AG94" i="48"/>
  <c r="G94" i="48"/>
  <c r="AA95" i="48" l="1"/>
  <c r="V95" i="48"/>
  <c r="P95" i="48"/>
  <c r="S95" i="48"/>
  <c r="AC95" i="48"/>
  <c r="R95" i="48"/>
  <c r="AH95" i="48"/>
  <c r="AD95" i="48"/>
  <c r="T95" i="48"/>
  <c r="K95" i="48"/>
  <c r="AK95" i="48"/>
  <c r="AI95" i="48"/>
  <c r="AF95" i="48"/>
  <c r="AG95" i="48"/>
  <c r="H95" i="48"/>
  <c r="M95" i="48"/>
  <c r="L95" i="48"/>
  <c r="U95" i="48"/>
  <c r="J95" i="48"/>
  <c r="Z95" i="48"/>
  <c r="AJ95" i="48"/>
  <c r="N95" i="48"/>
  <c r="AL95" i="48"/>
  <c r="AB95" i="48"/>
  <c r="Y95" i="48"/>
  <c r="Q95" i="48"/>
  <c r="W95" i="48"/>
  <c r="I95" i="48"/>
  <c r="O95" i="48"/>
  <c r="AE95" i="48"/>
  <c r="X95" i="48"/>
  <c r="G95" i="48"/>
  <c r="E97" i="48"/>
  <c r="F96" i="48" a="1"/>
  <c r="F96" i="48" s="1"/>
  <c r="S96" i="48" l="1"/>
  <c r="V96" i="48"/>
  <c r="Z96" i="48"/>
  <c r="M96" i="48"/>
  <c r="K96" i="48"/>
  <c r="U96" i="48"/>
  <c r="T96" i="48"/>
  <c r="Q96" i="48"/>
  <c r="O96" i="48"/>
  <c r="AI96" i="48"/>
  <c r="AF96" i="48"/>
  <c r="I96" i="48"/>
  <c r="Y96" i="48"/>
  <c r="AD96" i="48"/>
  <c r="L96" i="48"/>
  <c r="AA96" i="48"/>
  <c r="R96" i="48"/>
  <c r="AH96" i="48"/>
  <c r="AE96" i="48"/>
  <c r="AB96" i="48"/>
  <c r="J96" i="48"/>
  <c r="AC96" i="48"/>
  <c r="N96" i="48"/>
  <c r="AG96" i="48"/>
  <c r="AL96" i="48"/>
  <c r="AJ96" i="48"/>
  <c r="H96" i="48"/>
  <c r="W96" i="48"/>
  <c r="P96" i="48"/>
  <c r="AK96" i="48"/>
  <c r="X96" i="48"/>
  <c r="G96" i="48"/>
  <c r="E98" i="48"/>
  <c r="F97" i="48" a="1"/>
  <c r="F97" i="48" s="1"/>
  <c r="W97" i="48" l="1"/>
  <c r="AL97" i="48"/>
  <c r="AH97" i="48"/>
  <c r="M97" i="48"/>
  <c r="R97" i="48"/>
  <c r="AE97" i="48"/>
  <c r="K97" i="48"/>
  <c r="V97" i="48"/>
  <c r="AI97" i="48"/>
  <c r="AF97" i="48"/>
  <c r="Z97" i="48"/>
  <c r="Y97" i="48"/>
  <c r="U97" i="48"/>
  <c r="AK97" i="48"/>
  <c r="X97" i="48"/>
  <c r="L97" i="48"/>
  <c r="O97" i="48"/>
  <c r="AJ97" i="48"/>
  <c r="T97" i="48"/>
  <c r="S97" i="48"/>
  <c r="J97" i="48"/>
  <c r="N97" i="48"/>
  <c r="H97" i="48"/>
  <c r="P97" i="48"/>
  <c r="AD97" i="48"/>
  <c r="AB97" i="48"/>
  <c r="I97" i="48"/>
  <c r="AC97" i="48"/>
  <c r="AG97" i="48"/>
  <c r="AA97" i="48"/>
  <c r="Q97" i="48"/>
  <c r="G97" i="48"/>
  <c r="E99" i="48"/>
  <c r="F98" i="48" a="1"/>
  <c r="F98" i="48" s="1"/>
  <c r="AD98" i="48" l="1"/>
  <c r="Y98" i="48"/>
  <c r="AC98" i="48"/>
  <c r="I98" i="48"/>
  <c r="K98" i="48"/>
  <c r="AE98" i="48"/>
  <c r="U98" i="48"/>
  <c r="AG98" i="48"/>
  <c r="AA98" i="48"/>
  <c r="AF98" i="48"/>
  <c r="J98" i="48"/>
  <c r="N98" i="48"/>
  <c r="AI98" i="48"/>
  <c r="AL98" i="48"/>
  <c r="AJ98" i="48"/>
  <c r="M98" i="48"/>
  <c r="AB98" i="48"/>
  <c r="Q98" i="48"/>
  <c r="S98" i="48"/>
  <c r="H98" i="48"/>
  <c r="Z98" i="48"/>
  <c r="AK98" i="48"/>
  <c r="W98" i="48"/>
  <c r="R98" i="48"/>
  <c r="P98" i="48"/>
  <c r="O98" i="48"/>
  <c r="X98" i="48"/>
  <c r="AH98" i="48"/>
  <c r="V98" i="48"/>
  <c r="T98" i="48"/>
  <c r="L98" i="48"/>
  <c r="G98" i="48"/>
  <c r="F99" i="48" a="1"/>
  <c r="F99" i="48" s="1"/>
  <c r="E100" i="48"/>
  <c r="E101" i="48" l="1"/>
  <c r="F100" i="48" a="1"/>
  <c r="F100" i="48" s="1"/>
  <c r="K99" i="48"/>
  <c r="M99" i="48"/>
  <c r="Y99" i="48"/>
  <c r="R99" i="48"/>
  <c r="I99" i="48"/>
  <c r="AH99" i="48"/>
  <c r="AL99" i="48"/>
  <c r="S99" i="48"/>
  <c r="AD99" i="48"/>
  <c r="AJ99" i="48"/>
  <c r="U99" i="48"/>
  <c r="AC99" i="48"/>
  <c r="AE99" i="48"/>
  <c r="AI99" i="48"/>
  <c r="T99" i="48"/>
  <c r="J99" i="48"/>
  <c r="AB99" i="48"/>
  <c r="P99" i="48"/>
  <c r="N99" i="48"/>
  <c r="O99" i="48"/>
  <c r="AF99" i="48"/>
  <c r="X99" i="48"/>
  <c r="Q99" i="48"/>
  <c r="V99" i="48"/>
  <c r="AA99" i="48"/>
  <c r="W99" i="48"/>
  <c r="L99" i="48"/>
  <c r="H99" i="48"/>
  <c r="AK99" i="48"/>
  <c r="Z99" i="48"/>
  <c r="AG99" i="48"/>
  <c r="G99" i="48"/>
  <c r="H100" i="48" l="1"/>
  <c r="AE100" i="48"/>
  <c r="AA100" i="48"/>
  <c r="AG100" i="48"/>
  <c r="L100" i="48"/>
  <c r="AH100" i="48"/>
  <c r="K100" i="48"/>
  <c r="AF100" i="48"/>
  <c r="R100" i="48"/>
  <c r="AL100" i="48"/>
  <c r="AC100" i="48"/>
  <c r="V100" i="48"/>
  <c r="AJ100" i="48"/>
  <c r="Z100" i="48"/>
  <c r="W100" i="48"/>
  <c r="J100" i="48"/>
  <c r="P100" i="48"/>
  <c r="M100" i="48"/>
  <c r="N100" i="48"/>
  <c r="AK100" i="48"/>
  <c r="Q100" i="48"/>
  <c r="T100" i="48"/>
  <c r="I100" i="48"/>
  <c r="U100" i="48"/>
  <c r="O100" i="48"/>
  <c r="AD100" i="48"/>
  <c r="X100" i="48"/>
  <c r="AI100" i="48"/>
  <c r="AB100" i="48"/>
  <c r="Y100" i="48"/>
  <c r="S100" i="48"/>
  <c r="G100" i="48"/>
  <c r="E102" i="48"/>
  <c r="F101" i="48" a="1"/>
  <c r="F101" i="48" s="1"/>
  <c r="AC101" i="48" l="1"/>
  <c r="N101" i="48"/>
  <c r="W101" i="48"/>
  <c r="AH101" i="48"/>
  <c r="AL101" i="48"/>
  <c r="K101" i="48"/>
  <c r="AE101" i="48"/>
  <c r="Z101" i="48"/>
  <c r="S101" i="48"/>
  <c r="H101" i="48"/>
  <c r="X101" i="48"/>
  <c r="AD101" i="48"/>
  <c r="AI101" i="48"/>
  <c r="Y101" i="48"/>
  <c r="R101" i="48"/>
  <c r="O101" i="48"/>
  <c r="AB101" i="48"/>
  <c r="T101" i="48"/>
  <c r="AF101" i="48"/>
  <c r="P101" i="48"/>
  <c r="M101" i="48"/>
  <c r="U101" i="48"/>
  <c r="I101" i="48"/>
  <c r="AJ101" i="48"/>
  <c r="AK101" i="48"/>
  <c r="V101" i="48"/>
  <c r="L101" i="48"/>
  <c r="AA101" i="48"/>
  <c r="J101" i="48"/>
  <c r="AG101" i="48"/>
  <c r="Q101" i="48"/>
  <c r="G101" i="48"/>
  <c r="E103" i="48"/>
  <c r="F102" i="48" a="1"/>
  <c r="F102" i="48" s="1"/>
  <c r="AD102" i="48" l="1"/>
  <c r="O102" i="48"/>
  <c r="V102" i="48"/>
  <c r="U102" i="48"/>
  <c r="AC102" i="48"/>
  <c r="AJ102" i="48"/>
  <c r="M102" i="48"/>
  <c r="K102" i="48"/>
  <c r="J102" i="48"/>
  <c r="AK102" i="48"/>
  <c r="W102" i="48"/>
  <c r="AH102" i="48"/>
  <c r="AL102" i="48"/>
  <c r="H102" i="48"/>
  <c r="Z102" i="48"/>
  <c r="T102" i="48"/>
  <c r="N102" i="48"/>
  <c r="L102" i="48"/>
  <c r="I102" i="48"/>
  <c r="AI102" i="48"/>
  <c r="Q102" i="48"/>
  <c r="Y102" i="48"/>
  <c r="X102" i="48"/>
  <c r="AE102" i="48"/>
  <c r="AF102" i="48"/>
  <c r="S102" i="48"/>
  <c r="AG102" i="48"/>
  <c r="R102" i="48"/>
  <c r="P102" i="48"/>
  <c r="AA102" i="48"/>
  <c r="AB102" i="48"/>
  <c r="G102" i="48"/>
  <c r="F103" i="48" a="1"/>
  <c r="F103" i="48" s="1"/>
  <c r="AD103" i="48" l="1"/>
  <c r="H103" i="48"/>
  <c r="P103" i="48"/>
  <c r="W103" i="48"/>
  <c r="U103" i="48"/>
  <c r="R103" i="48"/>
  <c r="AF103" i="48"/>
  <c r="X103" i="48"/>
  <c r="AJ103" i="48"/>
  <c r="Z103" i="48"/>
  <c r="AI103" i="48"/>
  <c r="AK103" i="48"/>
  <c r="N103" i="48"/>
  <c r="O103" i="48"/>
  <c r="L103" i="48"/>
  <c r="T103" i="48"/>
  <c r="Q103" i="48"/>
  <c r="K103" i="48"/>
  <c r="I103" i="48"/>
  <c r="Y103" i="48"/>
  <c r="AB103" i="48"/>
  <c r="M103" i="48"/>
  <c r="AG103" i="48"/>
  <c r="J103" i="48"/>
  <c r="AA103" i="48"/>
  <c r="AC103" i="48"/>
  <c r="AE103" i="48"/>
  <c r="AH103" i="48"/>
  <c r="V103" i="48"/>
  <c r="AL103" i="48"/>
  <c r="S103" i="48"/>
  <c r="G103" i="48"/>
  <c r="AJ35" i="51" l="1" a="1"/>
  <c r="AJ35" i="51" s="1"/>
  <c r="AI35" i="51" a="1"/>
  <c r="AI35" i="51" s="1"/>
  <c r="Y35" i="51" a="1"/>
  <c r="Y35" i="51" s="1"/>
  <c r="Z35" i="51" s="1" a="1"/>
  <c r="Z35" i="51" s="1"/>
  <c r="X35" i="51" a="1"/>
  <c r="X35" i="51" s="1"/>
  <c r="AH35" i="51" l="1" a="1"/>
  <c r="AH35" i="51" s="1"/>
  <c r="Z33" i="51" a="1"/>
  <c r="Z33" i="51" s="1"/>
  <c r="W35" i="51" a="1"/>
  <c r="W35" i="51" s="1"/>
  <c r="E35" i="51" l="1"/>
  <c r="E36" i="51"/>
  <c r="E37" i="51"/>
  <c r="H8" i="51" a="1"/>
  <c r="H8" i="51" s="1"/>
  <c r="F37" i="51" l="1"/>
  <c r="D34" i="51"/>
  <c r="AA35" i="51" a="1"/>
  <c r="AA35" i="51" s="1"/>
  <c r="AC35" i="51" s="1" a="1"/>
  <c r="AC35" i="51" s="1"/>
  <c r="AB35" i="51" a="1"/>
  <c r="AB35" i="51" s="1"/>
  <c r="K8" i="51" a="1"/>
  <c r="K8" i="51" s="1"/>
  <c r="J8" i="51" a="1"/>
  <c r="J8" i="51" s="1"/>
  <c r="F35" i="51"/>
  <c r="F36" i="51"/>
  <c r="W42" i="46"/>
  <c r="V266" i="46" s="1"/>
  <c r="IP265" i="46" l="1"/>
  <c r="FP265" i="46"/>
  <c r="CV265" i="46"/>
  <c r="DW265" i="46"/>
  <c r="AK265" i="46"/>
  <c r="GK265" i="46"/>
  <c r="LD265" i="46"/>
  <c r="CY265" i="46"/>
  <c r="CS265" i="46"/>
  <c r="EL265" i="46"/>
  <c r="KR265" i="46"/>
  <c r="DK265" i="46"/>
  <c r="CP265" i="46"/>
  <c r="BC265" i="46"/>
  <c r="CA265" i="46"/>
  <c r="AZ265" i="46"/>
  <c r="GZ265" i="46"/>
  <c r="KI265" i="46"/>
  <c r="ID265" i="46"/>
  <c r="IM265" i="46"/>
  <c r="HX265" i="46"/>
  <c r="EF265" i="46"/>
  <c r="EO265" i="46"/>
  <c r="FA265" i="46"/>
  <c r="FJ265" i="46"/>
  <c r="DZ265" i="46"/>
  <c r="FG265" i="46"/>
  <c r="FY265" i="46"/>
  <c r="BR265" i="46"/>
  <c r="BO265" i="46"/>
  <c r="AH265" i="46"/>
  <c r="AB265" i="46"/>
  <c r="KX265" i="46"/>
  <c r="AQ265" i="46"/>
  <c r="FS265" i="46"/>
  <c r="HF265" i="46"/>
  <c r="CG265" i="46"/>
  <c r="KO265" i="46"/>
  <c r="GQ265" i="46"/>
  <c r="HR265" i="46"/>
  <c r="IS265" i="46"/>
  <c r="AW265" i="46"/>
  <c r="IY265" i="46"/>
  <c r="DN265" i="46"/>
  <c r="HU265" i="46"/>
  <c r="HL265" i="46"/>
  <c r="JK265" i="46"/>
  <c r="JH265" i="46"/>
  <c r="DT265" i="46"/>
  <c r="FM265" i="46"/>
  <c r="S265" i="46"/>
  <c r="FV265" i="46"/>
  <c r="HO265" i="46"/>
  <c r="BL265" i="46"/>
  <c r="GN265" i="46"/>
  <c r="GT265" i="46"/>
  <c r="ER265" i="46"/>
  <c r="JZ265" i="46"/>
  <c r="BF265" i="46"/>
  <c r="BX265" i="46"/>
  <c r="AN265" i="46"/>
  <c r="HC265" i="46"/>
  <c r="BU265" i="46"/>
  <c r="BI265" i="46"/>
  <c r="KF265" i="46"/>
  <c r="CJ265" i="46"/>
  <c r="IJ265" i="46"/>
  <c r="V265" i="46"/>
  <c r="GB265" i="46"/>
  <c r="JW265" i="46"/>
  <c r="DE265" i="46"/>
  <c r="GW265" i="46"/>
  <c r="EC265" i="46"/>
  <c r="IG265" i="46"/>
  <c r="FD265" i="46"/>
  <c r="GE265" i="46"/>
  <c r="EU265" i="46"/>
  <c r="CM265" i="46"/>
  <c r="JQ265" i="46"/>
  <c r="JB265" i="46"/>
  <c r="EX265" i="46"/>
  <c r="JT265" i="46"/>
  <c r="EI265" i="46"/>
  <c r="AE265" i="46"/>
  <c r="KL265" i="46"/>
  <c r="HI265" i="46"/>
  <c r="JE265" i="46"/>
  <c r="GH265" i="46"/>
  <c r="LA265" i="46"/>
  <c r="DQ265" i="46"/>
  <c r="JN265" i="46"/>
  <c r="CD265" i="46"/>
  <c r="V264" i="46"/>
  <c r="DH265" i="46"/>
  <c r="DB265" i="46"/>
  <c r="AT265" i="46"/>
  <c r="Y265" i="46"/>
  <c r="KU265" i="46"/>
  <c r="IA265" i="46"/>
  <c r="IV265" i="46"/>
  <c r="KC265" i="46"/>
  <c r="W78" i="46"/>
  <c r="V4" i="46" s="1"/>
  <c r="LD263" i="46" l="1"/>
  <c r="DZ263" i="46"/>
  <c r="KL263" i="46"/>
  <c r="EU263" i="46"/>
  <c r="HF263" i="46"/>
  <c r="DK263" i="46"/>
  <c r="S263" i="46"/>
  <c r="DW263" i="46"/>
  <c r="HX263" i="46"/>
  <c r="GK263" i="46"/>
  <c r="CG263" i="46"/>
  <c r="CA263" i="46"/>
  <c r="FJ263" i="46"/>
  <c r="IV263" i="46"/>
  <c r="ID263" i="46"/>
  <c r="AE263" i="46"/>
  <c r="HU263" i="46"/>
  <c r="AN263" i="46"/>
  <c r="BO263" i="46"/>
  <c r="GW263" i="46"/>
  <c r="KU263" i="46"/>
  <c r="CD263" i="46"/>
  <c r="IA263" i="46"/>
  <c r="DH263" i="46"/>
  <c r="BC263" i="46"/>
  <c r="EC263" i="46"/>
  <c r="CM263" i="46"/>
  <c r="KI263" i="46"/>
  <c r="BR263" i="46"/>
  <c r="IY263" i="46"/>
  <c r="FS263" i="46"/>
  <c r="FG263" i="46"/>
  <c r="FM263" i="46"/>
  <c r="Y263" i="46"/>
  <c r="HI263" i="46"/>
  <c r="HL263" i="46"/>
  <c r="HC263" i="46"/>
  <c r="AH263" i="46"/>
  <c r="GQ263" i="46"/>
  <c r="GE263" i="46"/>
  <c r="JN263" i="46"/>
  <c r="EI263" i="46"/>
  <c r="BI263" i="46"/>
  <c r="DQ263" i="46"/>
  <c r="EX263" i="46"/>
  <c r="JQ263" i="46"/>
  <c r="IS263" i="46"/>
  <c r="KR263" i="46"/>
  <c r="CJ263" i="46"/>
  <c r="GZ263" i="46"/>
  <c r="EL263" i="46"/>
  <c r="DE263" i="46"/>
  <c r="DN263" i="46"/>
  <c r="AQ263" i="46"/>
  <c r="GN263" i="46"/>
  <c r="HR263" i="46"/>
  <c r="LA263" i="46"/>
  <c r="CS263" i="46"/>
  <c r="JH263" i="46"/>
  <c r="AT263" i="46"/>
  <c r="FY263" i="46"/>
  <c r="AW263" i="46"/>
  <c r="BX263" i="46"/>
  <c r="GT263" i="46"/>
  <c r="IG263" i="46"/>
  <c r="KF263" i="46"/>
  <c r="KX263" i="46"/>
  <c r="JW263" i="46"/>
  <c r="FA263" i="46"/>
  <c r="AB263" i="46"/>
  <c r="BL263" i="46"/>
  <c r="IJ263" i="46"/>
  <c r="DB263" i="46"/>
  <c r="JT263" i="46"/>
  <c r="CV263" i="46"/>
  <c r="AZ263" i="46"/>
  <c r="CY263" i="46"/>
  <c r="FD263" i="46"/>
  <c r="JE263" i="46"/>
  <c r="GB263" i="46"/>
  <c r="KO263" i="46"/>
  <c r="CP263" i="46"/>
  <c r="KC263" i="46"/>
  <c r="JK263" i="46"/>
  <c r="EF263" i="46"/>
  <c r="FV263" i="46"/>
  <c r="IP263" i="46"/>
  <c r="GH263" i="46"/>
  <c r="JB263" i="46"/>
  <c r="FP263" i="46"/>
  <c r="ER263" i="46"/>
  <c r="V263" i="46"/>
  <c r="IM263" i="46"/>
  <c r="JZ263" i="46"/>
  <c r="HO263" i="46"/>
  <c r="AK263" i="46"/>
  <c r="BU263" i="46"/>
  <c r="DT263" i="46"/>
  <c r="EO263" i="46"/>
  <c r="BF263" i="46"/>
  <c r="BU3" i="46"/>
  <c r="IM3" i="46"/>
  <c r="EI3" i="46"/>
  <c r="KF3" i="46"/>
  <c r="HC3" i="46"/>
  <c r="Y3" i="46"/>
  <c r="DH3" i="46"/>
  <c r="IA3" i="46"/>
  <c r="CS3" i="46"/>
  <c r="GK3" i="46"/>
  <c r="JB3" i="46"/>
  <c r="AQ3" i="46"/>
  <c r="AZ3" i="46"/>
  <c r="BI3" i="46"/>
  <c r="KU3" i="46"/>
  <c r="GE3" i="46"/>
  <c r="DZ3" i="46"/>
  <c r="DN3" i="46"/>
  <c r="JK3" i="46"/>
  <c r="FS3" i="46"/>
  <c r="BO3" i="46"/>
  <c r="BR3" i="46"/>
  <c r="KR3" i="46"/>
  <c r="HU3" i="46"/>
  <c r="EC3" i="46"/>
  <c r="AB3" i="46"/>
  <c r="AH3" i="46"/>
  <c r="AN3" i="46"/>
  <c r="JW3" i="46"/>
  <c r="IY3" i="46"/>
  <c r="LD3" i="46"/>
  <c r="DE3" i="46"/>
  <c r="CV3" i="46"/>
  <c r="CA3" i="46"/>
  <c r="KL3" i="46"/>
  <c r="KI3" i="46"/>
  <c r="AK3" i="46"/>
  <c r="JE3" i="46"/>
  <c r="KX3" i="46"/>
  <c r="FY3" i="46"/>
  <c r="S3" i="46"/>
  <c r="FG3" i="46"/>
  <c r="IP3" i="46"/>
  <c r="CY3" i="46"/>
  <c r="DK3" i="46"/>
  <c r="FP3" i="46"/>
  <c r="CP3" i="46"/>
  <c r="KO3" i="46"/>
  <c r="GT3" i="46"/>
  <c r="ER3" i="46"/>
  <c r="FJ3" i="46"/>
  <c r="FM3" i="46"/>
  <c r="HR3" i="46"/>
  <c r="CG3" i="46"/>
  <c r="DT3" i="46"/>
  <c r="IJ3" i="46"/>
  <c r="ID3" i="46"/>
  <c r="GN3" i="46"/>
  <c r="HL3" i="46"/>
  <c r="CJ3" i="46"/>
  <c r="JN3" i="46"/>
  <c r="JQ3" i="46"/>
  <c r="DB3" i="46"/>
  <c r="GB3" i="46"/>
  <c r="HO3" i="46"/>
  <c r="IG3" i="46"/>
  <c r="BL3" i="46"/>
  <c r="AE3" i="46"/>
  <c r="DQ3" i="46"/>
  <c r="FA3" i="46"/>
  <c r="JZ3" i="46"/>
  <c r="EX3" i="46"/>
  <c r="CD3" i="46"/>
  <c r="LA3" i="46"/>
  <c r="GQ3" i="46"/>
  <c r="CM3" i="46"/>
  <c r="EL3" i="46"/>
  <c r="BX3" i="46"/>
  <c r="HI3" i="46"/>
  <c r="DW3" i="46"/>
  <c r="HF3" i="46"/>
  <c r="FD3" i="46"/>
  <c r="JT3" i="46"/>
  <c r="IV3" i="46"/>
  <c r="EU3" i="46"/>
  <c r="EO3" i="46"/>
  <c r="AW3" i="46"/>
  <c r="IS3" i="46"/>
  <c r="V3" i="46"/>
  <c r="GZ3" i="46"/>
  <c r="BC3" i="46"/>
  <c r="EF3" i="46"/>
  <c r="GW3" i="46"/>
  <c r="FV3" i="46"/>
  <c r="AT3" i="46"/>
  <c r="KC3" i="46"/>
  <c r="HX3" i="46"/>
  <c r="GH3" i="46"/>
  <c r="V2" i="46"/>
  <c r="BF3" i="46"/>
  <c r="JH3" i="46"/>
  <c r="F42" i="50" l="1"/>
  <c r="E73" i="50"/>
  <c r="E8" i="50"/>
  <c r="E71" i="50"/>
  <c r="E70" i="50"/>
  <c r="E69" i="50"/>
  <c r="E67" i="50"/>
  <c r="F97" i="50"/>
  <c r="F32" i="50"/>
  <c r="G46" i="50"/>
  <c r="E95" i="50"/>
  <c r="E30" i="50"/>
  <c r="F60" i="50"/>
  <c r="G99" i="50"/>
  <c r="G61" i="50"/>
  <c r="E27" i="50"/>
  <c r="F57" i="50"/>
  <c r="E88" i="50"/>
  <c r="G88" i="50"/>
  <c r="G36" i="50"/>
  <c r="E100" i="50"/>
  <c r="G74" i="50"/>
  <c r="E79" i="50"/>
  <c r="E84" i="50"/>
  <c r="G50" i="50"/>
  <c r="G76" i="50"/>
  <c r="E55" i="50"/>
  <c r="E16" i="50"/>
  <c r="G82" i="50"/>
  <c r="E21" i="50"/>
  <c r="E51" i="50"/>
  <c r="E76" i="50"/>
  <c r="G35" i="50"/>
  <c r="F22" i="50"/>
  <c r="E45" i="50"/>
  <c r="G90" i="50"/>
  <c r="F81" i="50"/>
  <c r="F75" i="50"/>
  <c r="F10" i="50"/>
  <c r="E41" i="50"/>
  <c r="G77" i="50"/>
  <c r="E39" i="50"/>
  <c r="E38" i="50"/>
  <c r="E37" i="50"/>
  <c r="E35" i="50"/>
  <c r="F65" i="50"/>
  <c r="E96" i="50"/>
  <c r="G25" i="50"/>
  <c r="E63" i="50"/>
  <c r="F93" i="50"/>
  <c r="F28" i="50"/>
  <c r="G42" i="50"/>
  <c r="G79" i="50"/>
  <c r="F90" i="50"/>
  <c r="F25" i="50"/>
  <c r="E56" i="50"/>
  <c r="G71" i="50"/>
  <c r="F55" i="50"/>
  <c r="E36" i="50"/>
  <c r="E19" i="50"/>
  <c r="F86" i="50"/>
  <c r="E20" i="50"/>
  <c r="G95" i="50"/>
  <c r="G28" i="50"/>
  <c r="F82" i="50"/>
  <c r="G11" i="50"/>
  <c r="G17" i="50"/>
  <c r="F46" i="50"/>
  <c r="F78" i="50"/>
  <c r="E12" i="50"/>
  <c r="F52" i="50"/>
  <c r="F44" i="50"/>
  <c r="F68" i="50"/>
  <c r="G14" i="50"/>
  <c r="E48" i="50"/>
  <c r="F43" i="50"/>
  <c r="E74" i="50"/>
  <c r="E9" i="50"/>
  <c r="G4" i="50"/>
  <c r="E7" i="50"/>
  <c r="E6" i="50"/>
  <c r="E5" i="50"/>
  <c r="F98" i="50"/>
  <c r="F33" i="50"/>
  <c r="E64" i="50"/>
  <c r="G80" i="50"/>
  <c r="E31" i="50"/>
  <c r="F61" i="50"/>
  <c r="E92" i="50"/>
  <c r="G83" i="50"/>
  <c r="G41" i="50"/>
  <c r="F58" i="50"/>
  <c r="E89" i="50"/>
  <c r="E24" i="50"/>
  <c r="G27" i="50"/>
  <c r="E83" i="50"/>
  <c r="G78" i="50"/>
  <c r="E54" i="50"/>
  <c r="F14" i="50"/>
  <c r="G30" i="50"/>
  <c r="F15" i="50"/>
  <c r="F77" i="50"/>
  <c r="E18" i="50"/>
  <c r="G54" i="50"/>
  <c r="G12" i="50"/>
  <c r="G22" i="50"/>
  <c r="E86" i="50"/>
  <c r="G70" i="50"/>
  <c r="E52" i="50"/>
  <c r="G102" i="50"/>
  <c r="F4" i="50"/>
  <c r="G81" i="50"/>
  <c r="G34" i="50"/>
  <c r="F11" i="50"/>
  <c r="E42" i="50"/>
  <c r="F72" i="50"/>
  <c r="F103" i="50"/>
  <c r="F102" i="50"/>
  <c r="F101" i="50"/>
  <c r="F100" i="50"/>
  <c r="F66" i="50"/>
  <c r="E97" i="50"/>
  <c r="E32" i="50"/>
  <c r="G67" i="50"/>
  <c r="F94" i="50"/>
  <c r="F29" i="50"/>
  <c r="E60" i="50"/>
  <c r="G29" i="50"/>
  <c r="F91" i="50"/>
  <c r="F26" i="50"/>
  <c r="E57" i="50"/>
  <c r="G73" i="50"/>
  <c r="G68" i="50"/>
  <c r="F18" i="50"/>
  <c r="G91" i="50"/>
  <c r="F48" i="50"/>
  <c r="E22" i="50"/>
  <c r="G9" i="50"/>
  <c r="F13" i="50"/>
  <c r="E13" i="50"/>
  <c r="F45" i="50"/>
  <c r="G44" i="50"/>
  <c r="F87" i="50"/>
  <c r="G72" i="50"/>
  <c r="E14" i="50"/>
  <c r="G69" i="50"/>
  <c r="G55" i="50"/>
  <c r="F19" i="50"/>
  <c r="E68" i="50"/>
  <c r="G43" i="50"/>
  <c r="G18" i="50"/>
  <c r="E75" i="50"/>
  <c r="E10" i="50"/>
  <c r="F40" i="50"/>
  <c r="F71" i="50"/>
  <c r="F70" i="50"/>
  <c r="F69" i="50"/>
  <c r="F99" i="50"/>
  <c r="F34" i="50"/>
  <c r="E65" i="50"/>
  <c r="G7" i="50"/>
  <c r="G85" i="50"/>
  <c r="F62" i="50"/>
  <c r="E93" i="50"/>
  <c r="E28" i="50"/>
  <c r="G97" i="50"/>
  <c r="F59" i="50"/>
  <c r="E90" i="50"/>
  <c r="E25" i="50"/>
  <c r="G8" i="50"/>
  <c r="G13" i="50"/>
  <c r="E46" i="50"/>
  <c r="G63" i="50"/>
  <c r="E87" i="50"/>
  <c r="F49" i="50"/>
  <c r="G15" i="50"/>
  <c r="G39" i="50"/>
  <c r="E44" i="50"/>
  <c r="E53" i="50"/>
  <c r="G5" i="50"/>
  <c r="E23" i="50"/>
  <c r="F79" i="50"/>
  <c r="F21" i="50"/>
  <c r="G23" i="50"/>
  <c r="G89" i="50"/>
  <c r="E47" i="50"/>
  <c r="E4" i="50"/>
  <c r="G32" i="50"/>
  <c r="G26" i="50"/>
  <c r="E43" i="50"/>
  <c r="F73" i="50"/>
  <c r="F8" i="50"/>
  <c r="F39" i="50"/>
  <c r="F38" i="50"/>
  <c r="F37" i="50"/>
  <c r="F67" i="50"/>
  <c r="E98" i="50"/>
  <c r="E33" i="50"/>
  <c r="G92" i="50"/>
  <c r="F95" i="50"/>
  <c r="F30" i="50"/>
  <c r="E61" i="50"/>
  <c r="G20" i="50"/>
  <c r="G48" i="50"/>
  <c r="F27" i="50"/>
  <c r="E58" i="50"/>
  <c r="F88" i="50"/>
  <c r="G65" i="50"/>
  <c r="G45" i="50"/>
  <c r="F53" i="50"/>
  <c r="G37" i="50"/>
  <c r="E50" i="50"/>
  <c r="E77" i="50"/>
  <c r="G57" i="50"/>
  <c r="E17" i="50"/>
  <c r="G64" i="50"/>
  <c r="F80" i="50"/>
  <c r="G51" i="50"/>
  <c r="F50" i="50"/>
  <c r="E15" i="50"/>
  <c r="E49" i="50"/>
  <c r="G62" i="50"/>
  <c r="F83" i="50"/>
  <c r="F54" i="50"/>
  <c r="G84" i="50"/>
  <c r="G98" i="50"/>
  <c r="E11" i="50"/>
  <c r="F41" i="50"/>
  <c r="E72" i="50"/>
  <c r="F7" i="50"/>
  <c r="F6" i="50"/>
  <c r="F5" i="50"/>
  <c r="F35" i="50"/>
  <c r="E66" i="50"/>
  <c r="F96" i="50"/>
  <c r="G53" i="50"/>
  <c r="F63" i="50"/>
  <c r="E94" i="50"/>
  <c r="E29" i="50"/>
  <c r="G52" i="50"/>
  <c r="G24" i="50"/>
  <c r="E91" i="50"/>
  <c r="E26" i="50"/>
  <c r="F56" i="50"/>
  <c r="G87" i="50"/>
  <c r="G10" i="50"/>
  <c r="E81" i="50"/>
  <c r="G21" i="50"/>
  <c r="G94" i="50"/>
  <c r="F84" i="50"/>
  <c r="G31" i="50"/>
  <c r="G100" i="50"/>
  <c r="G59" i="50"/>
  <c r="F16" i="50"/>
  <c r="G58" i="50"/>
  <c r="E78" i="50"/>
  <c r="E85" i="50"/>
  <c r="F76" i="50"/>
  <c r="G40" i="50"/>
  <c r="G75" i="50"/>
  <c r="E82" i="50"/>
  <c r="G60" i="50"/>
  <c r="G16" i="50"/>
  <c r="F74" i="50"/>
  <c r="F9" i="50"/>
  <c r="E40" i="50"/>
  <c r="E103" i="50"/>
  <c r="E102" i="50"/>
  <c r="E101" i="50"/>
  <c r="E99" i="50"/>
  <c r="E34" i="50"/>
  <c r="F64" i="50"/>
  <c r="G47" i="50"/>
  <c r="F31" i="50"/>
  <c r="E62" i="50"/>
  <c r="F92" i="50"/>
  <c r="G66" i="50"/>
  <c r="G86" i="50"/>
  <c r="E59" i="50"/>
  <c r="F89" i="50"/>
  <c r="F24" i="50"/>
  <c r="G101" i="50"/>
  <c r="G56" i="50"/>
  <c r="F36" i="50"/>
  <c r="G6" i="50"/>
  <c r="F51" i="50"/>
  <c r="F20" i="50"/>
  <c r="G38" i="50"/>
  <c r="G19" i="50"/>
  <c r="F47" i="50"/>
  <c r="E80" i="50"/>
  <c r="G93" i="50"/>
  <c r="F85" i="50"/>
  <c r="F23" i="50"/>
  <c r="F12" i="50"/>
  <c r="G33" i="50"/>
  <c r="G49" i="50"/>
  <c r="F17" i="50"/>
  <c r="G103" i="50"/>
  <c r="G96" i="50"/>
  <c r="GE1" i="46"/>
  <c r="AK1" i="46"/>
  <c r="DN1" i="46"/>
  <c r="DE1" i="46"/>
  <c r="FM1" i="46"/>
  <c r="JZ1" i="46"/>
  <c r="CJ1" i="46"/>
  <c r="LD1" i="46"/>
  <c r="Y1" i="46"/>
  <c r="IM1" i="46"/>
  <c r="JW1" i="46"/>
  <c r="IY1" i="46"/>
  <c r="BO1" i="46"/>
  <c r="DW1" i="46"/>
  <c r="CP1" i="46"/>
  <c r="GK1" i="46"/>
  <c r="IG1" i="46"/>
  <c r="ID1" i="46"/>
  <c r="AN1" i="46"/>
  <c r="DK1" i="46"/>
  <c r="KR1" i="46"/>
  <c r="FA1" i="46"/>
  <c r="GQ1" i="46"/>
  <c r="KI1" i="46"/>
  <c r="EL1" i="46"/>
  <c r="EC1" i="46"/>
  <c r="AT1" i="46"/>
  <c r="EX1" i="46"/>
  <c r="FS1" i="46"/>
  <c r="CA1" i="46"/>
  <c r="KF1" i="46"/>
  <c r="JT1" i="46"/>
  <c r="JB1" i="46"/>
  <c r="BX1" i="46"/>
  <c r="IP1" i="46"/>
  <c r="GW1" i="46"/>
  <c r="BI1" i="46"/>
  <c r="BR1" i="46"/>
  <c r="IS1" i="46"/>
  <c r="FV1" i="46"/>
  <c r="GB1" i="46"/>
  <c r="FJ1" i="46"/>
  <c r="HX1" i="46"/>
  <c r="CY1" i="46"/>
  <c r="GH1" i="46"/>
  <c r="BC1" i="46"/>
  <c r="JN1" i="46"/>
  <c r="HO1" i="46"/>
  <c r="DT1" i="46"/>
  <c r="CD1" i="46"/>
  <c r="DQ1" i="46"/>
  <c r="HR1" i="46"/>
  <c r="GZ1" i="46"/>
  <c r="HC1" i="46"/>
  <c r="GT1" i="46"/>
  <c r="KC1" i="46"/>
  <c r="KL1" i="46"/>
  <c r="FG1" i="46"/>
  <c r="DZ1" i="46"/>
  <c r="AZ1" i="46"/>
  <c r="JK1" i="46"/>
  <c r="EO1" i="46"/>
  <c r="AH1" i="46"/>
  <c r="S1" i="46"/>
  <c r="JH1" i="46"/>
  <c r="BU1" i="46"/>
  <c r="IV1" i="46"/>
  <c r="IA1" i="46"/>
  <c r="FP1" i="46"/>
  <c r="V1" i="46"/>
  <c r="AW1" i="46"/>
  <c r="DH1" i="46"/>
  <c r="HI1" i="46"/>
  <c r="EU1" i="46"/>
  <c r="FD1" i="46"/>
  <c r="JE1" i="46"/>
  <c r="AB1" i="46"/>
  <c r="DB1" i="46"/>
  <c r="EF1" i="46"/>
  <c r="AE1" i="46"/>
  <c r="GN1" i="46"/>
  <c r="BL1" i="46"/>
  <c r="HU1" i="46"/>
  <c r="KX1" i="46"/>
  <c r="BF1" i="46"/>
  <c r="JQ1" i="46"/>
  <c r="HL1" i="46"/>
  <c r="KU1" i="46"/>
  <c r="EI1" i="46"/>
  <c r="HF1" i="46"/>
  <c r="CV1" i="46"/>
  <c r="CM1" i="46"/>
  <c r="KO1" i="46"/>
  <c r="IJ1" i="46"/>
  <c r="ER1" i="46"/>
  <c r="FY1" i="46"/>
  <c r="AQ1" i="46"/>
  <c r="CG1" i="46"/>
  <c r="LA1" i="46"/>
  <c r="CS1" i="46"/>
  <c r="E16" i="51" l="1"/>
  <c r="F16" i="51" s="1"/>
  <c r="E15" i="51"/>
  <c r="F15" i="51" s="1"/>
  <c r="E17" i="51"/>
  <c r="E14" i="51"/>
  <c r="F14" i="51" s="1"/>
  <c r="E13" i="51"/>
  <c r="F13" i="51" s="1"/>
  <c r="H5" i="47" a="1"/>
  <c r="H5" i="47" s="1"/>
  <c r="R14" i="47" a="1"/>
  <c r="R14" i="47" s="1"/>
  <c r="M5" i="47" a="1"/>
  <c r="M5" i="47" s="1"/>
  <c r="K10" i="47" a="1"/>
  <c r="K10" i="47" s="1"/>
  <c r="G5" i="47" a="1"/>
  <c r="G5" i="47" s="1"/>
  <c r="O7" i="47" a="1"/>
  <c r="O7" i="47" s="1"/>
  <c r="H16" i="47" a="1"/>
  <c r="H16" i="47" s="1"/>
  <c r="P8" i="47" a="1"/>
  <c r="P8" i="47" s="1"/>
  <c r="J13" i="47" a="1"/>
  <c r="J13" i="47" s="1"/>
  <c r="N6" i="47" a="1"/>
  <c r="N6" i="47" s="1"/>
  <c r="S14" i="47" a="1"/>
  <c r="S14" i="47" s="1"/>
  <c r="M81" i="47" a="1"/>
  <c r="M81" i="47" s="1"/>
  <c r="M14" i="47" a="1"/>
  <c r="M14" i="47" s="1"/>
  <c r="M13" i="47" a="1"/>
  <c r="M13" i="47" s="1"/>
  <c r="Q10" i="47" a="1"/>
  <c r="Q10" i="47" s="1"/>
  <c r="F5" i="47" a="1"/>
  <c r="F5" i="47" s="1"/>
  <c r="O11" i="47" a="1"/>
  <c r="O11" i="47" s="1"/>
  <c r="Q15" i="47" a="1"/>
  <c r="Q15" i="47" s="1"/>
  <c r="R13" i="47" a="1"/>
  <c r="R13" i="47" s="1"/>
  <c r="S13" i="47" a="1"/>
  <c r="S13" i="47" s="1"/>
  <c r="P13" i="47" a="1"/>
  <c r="P13" i="47" s="1"/>
  <c r="K7" i="47" a="1"/>
  <c r="K7" i="47" s="1"/>
  <c r="K5" i="47" a="1"/>
  <c r="K5" i="47" s="1"/>
  <c r="E5" i="47" a="1"/>
  <c r="E5" i="47" s="1"/>
  <c r="E7" i="47" a="1"/>
  <c r="E7" i="47" s="1"/>
  <c r="Q8" i="47" a="1"/>
  <c r="Q8" i="47" s="1"/>
  <c r="Q7" i="47" a="1"/>
  <c r="Q7" i="47" s="1"/>
  <c r="J5" i="47" a="1"/>
  <c r="J5" i="47" s="1"/>
  <c r="P15" i="47" a="1"/>
  <c r="P15" i="47" s="1"/>
  <c r="M6" i="47" a="1"/>
  <c r="M6" i="47" s="1"/>
  <c r="D5" i="47"/>
  <c r="Q35" i="47" a="1"/>
  <c r="Q35" i="47" s="1"/>
  <c r="P83" i="47" a="1"/>
  <c r="P83" i="47" s="1"/>
  <c r="O5" i="47" a="1"/>
  <c r="O5" i="47" s="1"/>
  <c r="R16" i="47" a="1"/>
  <c r="R16" i="47" s="1"/>
  <c r="L5" i="47" a="1"/>
  <c r="L5" i="47" s="1"/>
  <c r="M7" i="47" a="1"/>
  <c r="M7" i="47" s="1"/>
  <c r="N12" i="47" a="1"/>
  <c r="N12" i="47" s="1"/>
  <c r="L13" i="47" a="1"/>
  <c r="L13" i="47" s="1"/>
  <c r="Q5" i="47" a="1"/>
  <c r="Q5" i="47" s="1"/>
  <c r="N10" i="47" a="1"/>
  <c r="N10" i="47" s="1"/>
  <c r="S6" i="47" a="1"/>
  <c r="S6" i="47" s="1"/>
  <c r="I5" i="47" a="1"/>
  <c r="I5" i="47" s="1"/>
  <c r="I7" i="47" a="1"/>
  <c r="I7" i="47" s="1"/>
  <c r="O92" i="47" a="1"/>
  <c r="O92" i="47" s="1"/>
  <c r="R15" i="47" a="1"/>
  <c r="R15" i="47" s="1"/>
  <c r="M8" i="47" a="1"/>
  <c r="M8" i="47" s="1"/>
  <c r="B5" i="47"/>
  <c r="J12" i="47" a="1"/>
  <c r="J12" i="47" s="1"/>
  <c r="K16" i="47" a="1"/>
  <c r="K16" i="47" s="1"/>
  <c r="R6" i="47" a="1"/>
  <c r="R6" i="47" s="1"/>
  <c r="R5" i="47" a="1"/>
  <c r="R5" i="47" s="1"/>
  <c r="Q12" i="47" a="1"/>
  <c r="Q12" i="47" s="1"/>
  <c r="S5" i="47" a="1"/>
  <c r="S5" i="47" s="1"/>
  <c r="Q45" i="47" a="1"/>
  <c r="Q45" i="47" s="1"/>
  <c r="R8" i="47" a="1"/>
  <c r="R8" i="47" s="1"/>
  <c r="L14" i="47" a="1"/>
  <c r="L14" i="47" s="1"/>
  <c r="L10" i="47" a="1"/>
  <c r="L10" i="47" s="1"/>
  <c r="S15" i="47" a="1"/>
  <c r="S15" i="47" s="1"/>
  <c r="S8" i="47" a="1"/>
  <c r="S8" i="47" s="1"/>
  <c r="R12" i="47" a="1"/>
  <c r="R12" i="47" s="1"/>
  <c r="P5" i="47" a="1"/>
  <c r="P5" i="47" s="1"/>
  <c r="N7" i="47" a="1"/>
  <c r="N7" i="47" s="1"/>
  <c r="J6" i="47" a="1"/>
  <c r="J6" i="47" s="1"/>
  <c r="R96" i="47" a="1"/>
  <c r="R96" i="47" s="1"/>
  <c r="S7" i="47" a="1"/>
  <c r="S7" i="47" s="1"/>
  <c r="P7" i="47" a="1"/>
  <c r="P7" i="47" s="1"/>
  <c r="N14" i="47" a="1"/>
  <c r="N14" i="47" s="1"/>
  <c r="O13" i="47" a="1"/>
  <c r="O13" i="47" s="1"/>
  <c r="L12" i="47" a="1"/>
  <c r="L12" i="47" s="1"/>
  <c r="H6" i="47" a="1"/>
  <c r="H6" i="47" s="1"/>
  <c r="D6" i="47"/>
  <c r="C5" i="47"/>
  <c r="J15" i="47" a="1"/>
  <c r="J15" i="47" s="1"/>
  <c r="N16" i="47" a="1"/>
  <c r="N16" i="47" s="1"/>
  <c r="S16" i="47" a="1"/>
  <c r="S16" i="47" s="1"/>
  <c r="K11" i="47" a="1"/>
  <c r="K11" i="47" s="1"/>
  <c r="J11" i="47" a="1"/>
  <c r="J11" i="47" s="1"/>
  <c r="L7" i="47" a="1"/>
  <c r="L7" i="47" s="1"/>
  <c r="K12" i="47" a="1"/>
  <c r="K12" i="47" s="1"/>
  <c r="R7" i="47" a="1"/>
  <c r="R7" i="47" s="1"/>
  <c r="N5" i="47" a="1"/>
  <c r="N5" i="47" s="1"/>
  <c r="M62" i="47" a="1"/>
  <c r="M62" i="47" s="1"/>
  <c r="J98" i="47" a="1"/>
  <c r="J98" i="47" s="1"/>
  <c r="P39" i="47" a="1"/>
  <c r="P39" i="47" s="1"/>
  <c r="Q51" i="47" a="1"/>
  <c r="Q51" i="47" s="1"/>
  <c r="N20" i="47" a="1"/>
  <c r="N20" i="47" s="1"/>
  <c r="J85" i="47" a="1"/>
  <c r="J85" i="47" s="1"/>
  <c r="Q27" i="47" a="1"/>
  <c r="Q27" i="47" s="1"/>
  <c r="S63" i="47" a="1"/>
  <c r="S63" i="47" s="1"/>
  <c r="Q56" i="47" a="1"/>
  <c r="Q56" i="47" s="1"/>
  <c r="J53" i="47" a="1"/>
  <c r="J53" i="47" s="1"/>
  <c r="J92" i="47" a="1"/>
  <c r="J92" i="47" s="1"/>
  <c r="R53" i="47" a="1"/>
  <c r="R53" i="47" s="1"/>
  <c r="J90" i="47" a="1"/>
  <c r="J90" i="47" s="1"/>
  <c r="L40" i="47" a="1"/>
  <c r="L40" i="47" s="1"/>
  <c r="R59" i="47" a="1"/>
  <c r="R59" i="47" s="1"/>
  <c r="J76" i="47" a="1"/>
  <c r="J76" i="47" s="1"/>
  <c r="J77" i="47" a="1"/>
  <c r="J77" i="47" s="1"/>
  <c r="L84" i="47" a="1"/>
  <c r="L84" i="47" s="1"/>
  <c r="S64" i="47" a="1"/>
  <c r="S64" i="47" s="1"/>
  <c r="J57" i="47" a="1"/>
  <c r="J57" i="47" s="1"/>
  <c r="R37" i="47" a="1"/>
  <c r="R37" i="47" s="1"/>
  <c r="S29" i="47" a="1"/>
  <c r="S29" i="47" s="1"/>
  <c r="K31" i="47" a="1"/>
  <c r="K31" i="47" s="1"/>
  <c r="Q47" i="47" a="1"/>
  <c r="Q47" i="47" s="1"/>
  <c r="E31" i="47" a="1"/>
  <c r="E31" i="47" s="1"/>
  <c r="S89" i="47" a="1"/>
  <c r="S89" i="47" s="1"/>
  <c r="P92" i="47" a="1"/>
  <c r="P92" i="47" s="1"/>
  <c r="M21" i="47" a="1"/>
  <c r="M21" i="47" s="1"/>
  <c r="O24" i="47" a="1"/>
  <c r="O24" i="47" s="1"/>
  <c r="S39" i="47" a="1"/>
  <c r="S39" i="47" s="1"/>
  <c r="I64" i="47" a="1"/>
  <c r="I64" i="47" s="1"/>
  <c r="Q85" i="47" a="1"/>
  <c r="Q85" i="47" s="1"/>
  <c r="N18" i="47" a="1"/>
  <c r="N18" i="47" s="1"/>
  <c r="M70" i="47" a="1"/>
  <c r="M70" i="47" s="1"/>
  <c r="L45" i="47" a="1"/>
  <c r="L45" i="47" s="1"/>
  <c r="M32" i="47" a="1"/>
  <c r="M32" i="47" s="1"/>
  <c r="P95" i="47" a="1"/>
  <c r="P95" i="47" s="1"/>
  <c r="K40" i="47" a="1"/>
  <c r="K40" i="47" s="1"/>
  <c r="N67" i="47" a="1"/>
  <c r="N67" i="47" s="1"/>
  <c r="N43" i="47" a="1"/>
  <c r="N43" i="47" s="1"/>
  <c r="P101" i="47" a="1"/>
  <c r="P101" i="47" s="1"/>
  <c r="J27" i="47" a="1"/>
  <c r="J27" i="47" s="1"/>
  <c r="L26" i="47" a="1"/>
  <c r="L26" i="47" s="1"/>
  <c r="R64" i="47" a="1"/>
  <c r="R64" i="47" s="1"/>
  <c r="Q57" i="47" a="1"/>
  <c r="Q57" i="47" s="1"/>
  <c r="M85" i="47" a="1"/>
  <c r="M85" i="47" s="1"/>
  <c r="K20" i="47" a="1"/>
  <c r="K20" i="47" s="1"/>
  <c r="L23" i="47" a="1"/>
  <c r="L23" i="47" s="1"/>
  <c r="N53" i="47" a="1"/>
  <c r="N53" i="47" s="1"/>
  <c r="E24" i="47" a="1"/>
  <c r="E24" i="47" s="1"/>
  <c r="K81" i="47" a="1"/>
  <c r="K81" i="47" s="1"/>
  <c r="R41" i="47" a="1"/>
  <c r="R41" i="47" s="1"/>
  <c r="J19" i="47" a="1"/>
  <c r="J19" i="47" s="1"/>
  <c r="N96" i="47" a="1"/>
  <c r="N96" i="47" s="1"/>
  <c r="R94" i="47" a="1"/>
  <c r="R94" i="47" s="1"/>
  <c r="N76" i="47" a="1"/>
  <c r="N76" i="47" s="1"/>
  <c r="L99" i="47" a="1"/>
  <c r="L99" i="47" s="1"/>
  <c r="R60" i="47" a="1"/>
  <c r="R60" i="47" s="1"/>
  <c r="O45" i="47" a="1"/>
  <c r="O45" i="47" s="1"/>
  <c r="R76" i="47" a="1"/>
  <c r="R76" i="47" s="1"/>
  <c r="N79" i="47" a="1"/>
  <c r="N79" i="47" s="1"/>
  <c r="J33" i="47" a="1"/>
  <c r="J33" i="47" s="1"/>
  <c r="L37" i="47" a="1"/>
  <c r="L37" i="47" s="1"/>
  <c r="N24" i="47" a="1"/>
  <c r="N24" i="47" s="1"/>
  <c r="P31" i="47" a="1"/>
  <c r="P31" i="47" s="1"/>
  <c r="J95" i="47" a="1"/>
  <c r="J95" i="47" s="1"/>
  <c r="K93" i="47" a="1"/>
  <c r="K93" i="47" s="1"/>
  <c r="R23" i="47" a="1"/>
  <c r="R23" i="47" s="1"/>
  <c r="E18" i="47" a="1"/>
  <c r="E18" i="47" s="1"/>
  <c r="J48" i="47" a="1"/>
  <c r="J48" i="47" s="1"/>
  <c r="Q22" i="47" a="1"/>
  <c r="Q22" i="47" s="1"/>
  <c r="L28" i="47" a="1"/>
  <c r="L28" i="47" s="1"/>
  <c r="N44" i="47" a="1"/>
  <c r="N44" i="47" s="1"/>
  <c r="P99" i="47" a="1"/>
  <c r="P99" i="47" s="1"/>
  <c r="Q60" i="47" a="1"/>
  <c r="Q60" i="47" s="1"/>
  <c r="J82" i="47" a="1"/>
  <c r="J82" i="47" s="1"/>
  <c r="P69" i="47" a="1"/>
  <c r="P69" i="47" s="1"/>
  <c r="K27" i="47" a="1"/>
  <c r="K27" i="47" s="1"/>
  <c r="J72" i="47" a="1"/>
  <c r="J72" i="47" s="1"/>
  <c r="M63" i="47" a="1"/>
  <c r="M63" i="47" s="1"/>
  <c r="J38" i="47" a="1"/>
  <c r="J38" i="47" s="1"/>
  <c r="L20" i="47" a="1"/>
  <c r="L20" i="47" s="1"/>
  <c r="O35" i="47" a="1"/>
  <c r="O35" i="47" s="1"/>
  <c r="K44" i="47" a="1"/>
  <c r="K44" i="47" s="1"/>
  <c r="K85" i="47" a="1"/>
  <c r="K85" i="47" s="1"/>
  <c r="O86" i="47" a="1"/>
  <c r="O86" i="47" s="1"/>
  <c r="S36" i="47" a="1"/>
  <c r="S36" i="47" s="1"/>
  <c r="M22" i="47" a="1"/>
  <c r="M22" i="47" s="1"/>
  <c r="N100" i="47" a="1"/>
  <c r="N100" i="47" s="1"/>
  <c r="P41" i="47" a="1"/>
  <c r="P41" i="47" s="1"/>
  <c r="S40" i="47" a="1"/>
  <c r="S40" i="47" s="1"/>
  <c r="P54" i="47" a="1"/>
  <c r="P54" i="47" s="1"/>
  <c r="Q67" i="47" a="1"/>
  <c r="Q67" i="47" s="1"/>
  <c r="S96" i="47" a="1"/>
  <c r="S96" i="47" s="1"/>
  <c r="P37" i="47" a="1"/>
  <c r="P37" i="47" s="1"/>
  <c r="R18" i="47" a="1"/>
  <c r="R18" i="47" s="1"/>
  <c r="J58" i="47" a="1"/>
  <c r="J58" i="47" s="1"/>
  <c r="M43" i="47" a="1"/>
  <c r="M43" i="47" s="1"/>
  <c r="R19" i="47" a="1"/>
  <c r="R19" i="47" s="1"/>
  <c r="P21" i="47" a="1"/>
  <c r="P21" i="47" s="1"/>
  <c r="H45" i="47" a="1"/>
  <c r="H45" i="47" s="1"/>
  <c r="K18" i="47" a="1"/>
  <c r="K18" i="47" s="1"/>
  <c r="Q31" i="47" a="1"/>
  <c r="Q31" i="47" s="1"/>
  <c r="Q18" i="47" a="1"/>
  <c r="Q18" i="47" s="1"/>
  <c r="Q29" i="47" a="1"/>
  <c r="Q29" i="47" s="1"/>
  <c r="N22" i="47" a="1"/>
  <c r="N22" i="47" s="1"/>
  <c r="S61" i="47" a="1"/>
  <c r="S61" i="47" s="1"/>
  <c r="H50" i="47" a="1"/>
  <c r="H50" i="47" s="1"/>
  <c r="L68" i="47" a="1"/>
  <c r="L68" i="47" s="1"/>
  <c r="P47" i="47" a="1"/>
  <c r="P47" i="47" s="1"/>
  <c r="N45" i="47" a="1"/>
  <c r="N45" i="47" s="1"/>
  <c r="P97" i="47" a="1"/>
  <c r="P97" i="47" s="1"/>
  <c r="J44" i="47" a="1"/>
  <c r="J44" i="47" s="1"/>
  <c r="O21" i="47" a="1"/>
  <c r="O21" i="47" s="1"/>
  <c r="J67" i="47" a="1"/>
  <c r="J67" i="47" s="1"/>
  <c r="O79" i="47" a="1"/>
  <c r="O79" i="47" s="1"/>
  <c r="L103" i="47" a="1"/>
  <c r="L103" i="47" s="1"/>
  <c r="N30" i="47" a="1"/>
  <c r="N30" i="47" s="1"/>
  <c r="Q77" i="47" a="1"/>
  <c r="Q77" i="47" s="1"/>
  <c r="O27" i="47" a="1"/>
  <c r="O27" i="47" s="1"/>
  <c r="O55" i="47" a="1"/>
  <c r="O55" i="47" s="1"/>
  <c r="L27" i="47" a="1"/>
  <c r="L27" i="47" s="1"/>
  <c r="K67" i="47" a="1"/>
  <c r="K67" i="47" s="1"/>
  <c r="N60" i="47" a="1"/>
  <c r="N60" i="47" s="1"/>
  <c r="K75" i="47" a="1"/>
  <c r="K75" i="47" s="1"/>
  <c r="S79" i="47" a="1"/>
  <c r="S79" i="47" s="1"/>
  <c r="P28" i="47" a="1"/>
  <c r="P28" i="47" s="1"/>
  <c r="R29" i="47" a="1"/>
  <c r="R29" i="47" s="1"/>
  <c r="L64" i="47" a="1"/>
  <c r="L64" i="47" s="1"/>
  <c r="Q76" i="47" a="1"/>
  <c r="Q76" i="47" s="1"/>
  <c r="L30" i="47" a="1"/>
  <c r="L30" i="47" s="1"/>
  <c r="M33" i="47" a="1"/>
  <c r="M33" i="47" s="1"/>
  <c r="R33" i="47" a="1"/>
  <c r="R33" i="47" s="1"/>
  <c r="M74" i="47" a="1"/>
  <c r="M74" i="47" s="1"/>
  <c r="I99" i="47" a="1"/>
  <c r="I99" i="47" s="1"/>
  <c r="S24" i="47" a="1"/>
  <c r="S24" i="47" s="1"/>
  <c r="S48" i="47" a="1"/>
  <c r="S48" i="47" s="1"/>
  <c r="I46" i="47" a="1"/>
  <c r="I46" i="47" s="1"/>
  <c r="L58" i="47" a="1"/>
  <c r="L58" i="47" s="1"/>
  <c r="M60" i="47" a="1"/>
  <c r="M60" i="47" s="1"/>
  <c r="Q61" i="47" a="1"/>
  <c r="Q61" i="47" s="1"/>
  <c r="L62" i="47" a="1"/>
  <c r="L62" i="47" s="1"/>
  <c r="S68" i="47" a="1"/>
  <c r="S68" i="47" s="1"/>
  <c r="N32" i="47" a="1"/>
  <c r="N32" i="47" s="1"/>
  <c r="L52" i="47" a="1"/>
  <c r="L52" i="47" s="1"/>
  <c r="L76" i="47" a="1"/>
  <c r="L76" i="47" s="1"/>
  <c r="O97" i="47" a="1"/>
  <c r="O97" i="47" s="1"/>
  <c r="P35" i="47" a="1"/>
  <c r="P35" i="47" s="1"/>
  <c r="S31" i="47" a="1"/>
  <c r="S31" i="47" s="1"/>
  <c r="M26" i="47" a="1"/>
  <c r="M26" i="47" s="1"/>
  <c r="F26" i="47" a="1"/>
  <c r="F26" i="47" s="1"/>
  <c r="P36" i="47" a="1"/>
  <c r="P36" i="47" s="1"/>
  <c r="P19" i="47" a="1"/>
  <c r="P19" i="47" s="1"/>
  <c r="J62" i="47" a="1"/>
  <c r="J62" i="47" s="1"/>
  <c r="K46" i="47" a="1"/>
  <c r="K46" i="47" s="1"/>
  <c r="N85" i="47" a="1"/>
  <c r="N85" i="47" s="1"/>
  <c r="S52" i="47" a="1"/>
  <c r="S52" i="47" s="1"/>
  <c r="Q42" i="47" a="1"/>
  <c r="Q42" i="47" s="1"/>
  <c r="Q72" i="47" a="1"/>
  <c r="Q72" i="47" s="1"/>
  <c r="L102" i="47" a="1"/>
  <c r="L102" i="47" s="1"/>
  <c r="P102" i="47" a="1"/>
  <c r="P102" i="47" s="1"/>
  <c r="K99" i="47" a="1"/>
  <c r="K99" i="47" s="1"/>
  <c r="S19" i="47" a="1"/>
  <c r="S19" i="47" s="1"/>
  <c r="K34" i="47" a="1"/>
  <c r="K34" i="47" s="1"/>
  <c r="Q94" i="47" a="1"/>
  <c r="Q94" i="47" s="1"/>
  <c r="Q55" i="47" a="1"/>
  <c r="Q55" i="47" s="1"/>
  <c r="J75" i="47" a="1"/>
  <c r="J75" i="47" s="1"/>
  <c r="N28" i="47" a="1"/>
  <c r="N28" i="47" s="1"/>
  <c r="R56" i="47" a="1"/>
  <c r="R56" i="47" s="1"/>
  <c r="K35" i="47" a="1"/>
  <c r="K35" i="47" s="1"/>
  <c r="J69" i="47" a="1"/>
  <c r="J69" i="47" s="1"/>
  <c r="S44" i="47" a="1"/>
  <c r="S44" i="47" s="1"/>
  <c r="P23" i="47" a="1"/>
  <c r="P23" i="47" s="1"/>
  <c r="O71" i="47" a="1"/>
  <c r="O71" i="47" s="1"/>
  <c r="S88" i="47" a="1"/>
  <c r="S88" i="47" s="1"/>
  <c r="I80" i="47" a="1"/>
  <c r="I80" i="47" s="1"/>
  <c r="M76" i="47" a="1"/>
  <c r="M76" i="47" s="1"/>
  <c r="R22" i="47" a="1"/>
  <c r="R22" i="47" s="1"/>
  <c r="K88" i="47" a="1"/>
  <c r="K88" i="47" s="1"/>
  <c r="K30" i="47" a="1"/>
  <c r="K30" i="47" s="1"/>
  <c r="O77" i="47" a="1"/>
  <c r="O77" i="47" s="1"/>
  <c r="R27" i="47" a="1"/>
  <c r="R27" i="47" s="1"/>
  <c r="M100" i="47" a="1"/>
  <c r="M100" i="47" s="1"/>
  <c r="L33" i="47" a="1"/>
  <c r="L33" i="47" s="1"/>
  <c r="S101" i="47" a="1"/>
  <c r="S101" i="47" s="1"/>
  <c r="P74" i="47" a="1"/>
  <c r="P74" i="47" s="1"/>
  <c r="M23" i="47" a="1"/>
  <c r="M23" i="47" s="1"/>
  <c r="K92" i="47" a="1"/>
  <c r="K92" i="47" s="1"/>
  <c r="Q78" i="47" a="1"/>
  <c r="Q78" i="47" s="1"/>
  <c r="L42" i="47" a="1"/>
  <c r="L42" i="47" s="1"/>
  <c r="O47" i="47" a="1"/>
  <c r="O47" i="47" s="1"/>
  <c r="P57" i="47" a="1"/>
  <c r="P57" i="47" s="1"/>
  <c r="N71" i="47" a="1"/>
  <c r="N71" i="47" s="1"/>
  <c r="N94" i="47" a="1"/>
  <c r="N94" i="47" s="1"/>
  <c r="K55" i="47" a="1"/>
  <c r="K55" i="47" s="1"/>
  <c r="O103" i="47" a="1"/>
  <c r="O103" i="47" s="1"/>
  <c r="P96" i="47" a="1"/>
  <c r="P96" i="47" s="1"/>
  <c r="M39" i="47" a="1"/>
  <c r="M39" i="47" s="1"/>
  <c r="K74" i="47" a="1"/>
  <c r="K74" i="47" s="1"/>
  <c r="J20" i="47" a="1"/>
  <c r="J20" i="47" s="1"/>
  <c r="M38" i="47" a="1"/>
  <c r="M38" i="47" s="1"/>
  <c r="O44" i="47" a="1"/>
  <c r="O44" i="47" s="1"/>
  <c r="S32" i="47" a="1"/>
  <c r="S32" i="47" s="1"/>
  <c r="K77" i="47" a="1"/>
  <c r="K77" i="47" s="1"/>
  <c r="I91" i="47" a="1"/>
  <c r="I91" i="47" s="1"/>
  <c r="R71" i="47" a="1"/>
  <c r="R71" i="47" s="1"/>
  <c r="S57" i="47" a="1"/>
  <c r="S57" i="47" s="1"/>
  <c r="K101" i="47" a="1"/>
  <c r="K101" i="47" s="1"/>
  <c r="K91" i="47" a="1"/>
  <c r="K91" i="47" s="1"/>
  <c r="J102" i="47" a="1"/>
  <c r="J102" i="47" s="1"/>
  <c r="P26" i="47" a="1"/>
  <c r="P26" i="47" s="1"/>
  <c r="N46" i="47" a="1"/>
  <c r="N46" i="47" s="1"/>
  <c r="G48" i="47" a="1"/>
  <c r="G48" i="47" s="1"/>
  <c r="K58" i="47" a="1"/>
  <c r="K58" i="47" s="1"/>
  <c r="L48" i="47" a="1"/>
  <c r="L48" i="47" s="1"/>
  <c r="Q38" i="47" a="1"/>
  <c r="Q38" i="47" s="1"/>
  <c r="R20" i="47" a="1"/>
  <c r="R20" i="47" s="1"/>
  <c r="P71" i="47" a="1"/>
  <c r="P71" i="47" s="1"/>
  <c r="L51" i="47" a="1"/>
  <c r="L51" i="47" s="1"/>
  <c r="J64" i="47" a="1"/>
  <c r="J64" i="47" s="1"/>
  <c r="S56" i="47" a="1"/>
  <c r="S56" i="47" s="1"/>
  <c r="P46" i="47" a="1"/>
  <c r="P46" i="47" s="1"/>
  <c r="Q86" i="47" a="1"/>
  <c r="Q86" i="47" s="1"/>
  <c r="H76" i="47" a="1"/>
  <c r="H76" i="47" s="1"/>
  <c r="M65" i="47" a="1"/>
  <c r="M65" i="47" s="1"/>
  <c r="R42" i="47" a="1"/>
  <c r="R42" i="47" s="1"/>
  <c r="L92" i="47" a="1"/>
  <c r="L92" i="47" s="1"/>
  <c r="S81" i="47" a="1"/>
  <c r="S81" i="47" s="1"/>
  <c r="M87" i="47" a="1"/>
  <c r="M87" i="47" s="1"/>
  <c r="N51" i="47" a="1"/>
  <c r="N51" i="47" s="1"/>
  <c r="R92" i="47" a="1"/>
  <c r="R92" i="47" s="1"/>
  <c r="M27" i="47" a="1"/>
  <c r="M27" i="47" s="1"/>
  <c r="O76" i="47" a="1"/>
  <c r="O76" i="47" s="1"/>
  <c r="Q50" i="47" a="1"/>
  <c r="Q50" i="47" s="1"/>
  <c r="J30" i="47" a="1"/>
  <c r="J30" i="47" s="1"/>
  <c r="L17" i="47" a="1"/>
  <c r="L17" i="47" s="1"/>
  <c r="N59" i="47" a="1"/>
  <c r="N59" i="47" s="1"/>
  <c r="J70" i="47" a="1"/>
  <c r="J70" i="47" s="1"/>
  <c r="P67" i="47" a="1"/>
  <c r="P67" i="47" s="1"/>
  <c r="P80" i="47" a="1"/>
  <c r="P80" i="47" s="1"/>
  <c r="N69" i="47" a="1"/>
  <c r="N69" i="47" s="1"/>
  <c r="I45" i="47" a="1"/>
  <c r="I45" i="47" s="1"/>
  <c r="O32" i="47" a="1"/>
  <c r="O32" i="47" s="1"/>
  <c r="R97" i="47" a="1"/>
  <c r="R97" i="47" s="1"/>
  <c r="S86" i="47" a="1"/>
  <c r="S86" i="47" s="1"/>
  <c r="M24" i="47" a="1"/>
  <c r="M24" i="47" s="1"/>
  <c r="S65" i="47" a="1"/>
  <c r="S65" i="47" s="1"/>
  <c r="I26" i="47" a="1"/>
  <c r="I26" i="47" s="1"/>
  <c r="K25" i="47" a="1"/>
  <c r="K25" i="47" s="1"/>
  <c r="O59" i="47" a="1"/>
  <c r="O59" i="47" s="1"/>
  <c r="N78" i="47" a="1"/>
  <c r="N78" i="47" s="1"/>
  <c r="S77" i="47" a="1"/>
  <c r="S77" i="47" s="1"/>
  <c r="J42" i="47" a="1"/>
  <c r="J42" i="47" s="1"/>
  <c r="M31" i="47" a="1"/>
  <c r="M31" i="47" s="1"/>
  <c r="K96" i="47" a="1"/>
  <c r="K96" i="47" s="1"/>
  <c r="J86" i="47" a="1"/>
  <c r="J86" i="47" s="1"/>
  <c r="S91" i="47" a="1"/>
  <c r="S91" i="47" s="1"/>
  <c r="K80" i="47" a="1"/>
  <c r="K80" i="47" s="1"/>
  <c r="O69" i="47" a="1"/>
  <c r="O69" i="47" s="1"/>
  <c r="R89" i="47" a="1"/>
  <c r="R89" i="47" s="1"/>
  <c r="O18" i="47" a="1"/>
  <c r="O18" i="47" s="1"/>
  <c r="R98" i="47" a="1"/>
  <c r="R98" i="47" s="1"/>
  <c r="N65" i="47" a="1"/>
  <c r="N65" i="47" s="1"/>
  <c r="K65" i="47" a="1"/>
  <c r="K65" i="47" s="1"/>
  <c r="M59" i="47" a="1"/>
  <c r="M59" i="47" s="1"/>
  <c r="K73" i="47" a="1"/>
  <c r="K73" i="47" s="1"/>
  <c r="M66" i="47" a="1"/>
  <c r="M66" i="47" s="1"/>
  <c r="J55" i="47" a="1"/>
  <c r="J55" i="47" s="1"/>
  <c r="L47" i="47" a="1"/>
  <c r="L47" i="47" s="1"/>
  <c r="R61" i="47" a="1"/>
  <c r="R61" i="47" s="1"/>
  <c r="S38" i="47" a="1"/>
  <c r="S38" i="47" s="1"/>
  <c r="O34" i="47" a="1"/>
  <c r="O34" i="47" s="1"/>
  <c r="K37" i="47" a="1"/>
  <c r="K37" i="47" s="1"/>
  <c r="J17" i="47" a="1"/>
  <c r="J17" i="47" s="1"/>
  <c r="J100" i="47" a="1"/>
  <c r="J100" i="47" s="1"/>
  <c r="O49" i="47" a="1"/>
  <c r="O49" i="47" s="1"/>
  <c r="N93" i="47" a="1"/>
  <c r="N93" i="47" s="1"/>
  <c r="K94" i="47" a="1"/>
  <c r="K94" i="47" s="1"/>
  <c r="H25" i="47" a="1"/>
  <c r="H25" i="47" s="1"/>
  <c r="N42" i="47" a="1"/>
  <c r="N42" i="47" s="1"/>
  <c r="H48" i="47" a="1"/>
  <c r="H48" i="47" s="1"/>
  <c r="L57" i="47" a="1"/>
  <c r="L57" i="47" s="1"/>
  <c r="J88" i="47" a="1"/>
  <c r="J88" i="47" s="1"/>
  <c r="K97" i="47" a="1"/>
  <c r="K97" i="47" s="1"/>
  <c r="R99" i="47" a="1"/>
  <c r="R99" i="47" s="1"/>
  <c r="S84" i="47" a="1"/>
  <c r="S84" i="47" s="1"/>
  <c r="M47" i="47" a="1"/>
  <c r="M47" i="47" s="1"/>
  <c r="H103" i="47" a="1"/>
  <c r="H103" i="47" s="1"/>
  <c r="K102" i="47" a="1"/>
  <c r="K102" i="47" s="1"/>
  <c r="K33" i="47" a="1"/>
  <c r="K33" i="47" s="1"/>
  <c r="R73" i="47" a="1"/>
  <c r="R73" i="47" s="1"/>
  <c r="J66" i="47" a="1"/>
  <c r="J66" i="47" s="1"/>
  <c r="F68" i="47" a="1"/>
  <c r="F68" i="47" s="1"/>
  <c r="N90" i="47" a="1"/>
  <c r="N90" i="47" s="1"/>
  <c r="R104" i="47" a="1"/>
  <c r="R104" i="47" s="1"/>
  <c r="S21" i="47" a="1"/>
  <c r="S21" i="47" s="1"/>
  <c r="M80" i="47" a="1"/>
  <c r="M80" i="47" s="1"/>
  <c r="N70" i="47" a="1"/>
  <c r="N70" i="47" s="1"/>
  <c r="N19" i="47" a="1"/>
  <c r="N19" i="47" s="1"/>
  <c r="N33" i="47" a="1"/>
  <c r="N33" i="47" s="1"/>
  <c r="M94" i="47" a="1"/>
  <c r="M94" i="47" s="1"/>
  <c r="N47" i="47" a="1"/>
  <c r="N47" i="47" s="1"/>
  <c r="K51" i="47" a="1"/>
  <c r="K51" i="47" s="1"/>
  <c r="L71" i="47" a="1"/>
  <c r="L71" i="47" s="1"/>
  <c r="P82" i="47" a="1"/>
  <c r="P82" i="47" s="1"/>
  <c r="Q66" i="47" a="1"/>
  <c r="Q66" i="47" s="1"/>
  <c r="Q33" i="47" a="1"/>
  <c r="Q33" i="47" s="1"/>
  <c r="P48" i="47" a="1"/>
  <c r="P48" i="47" s="1"/>
  <c r="S66" i="47" a="1"/>
  <c r="S66" i="47" s="1"/>
  <c r="N82" i="47" a="1"/>
  <c r="N82" i="47" s="1"/>
  <c r="S90" i="47" a="1"/>
  <c r="S90" i="47" s="1"/>
  <c r="K45" i="47" a="1"/>
  <c r="K45" i="47" s="1"/>
  <c r="L65" i="47" a="1"/>
  <c r="L65" i="47" s="1"/>
  <c r="O28" i="47" a="1"/>
  <c r="O28" i="47" s="1"/>
  <c r="M93" i="47" a="1"/>
  <c r="M93" i="47" s="1"/>
  <c r="S33" i="47" a="1"/>
  <c r="S33" i="47" s="1"/>
  <c r="Q84" i="47" a="1"/>
  <c r="Q84" i="47" s="1"/>
  <c r="R58" i="47" a="1"/>
  <c r="R58" i="47" s="1"/>
  <c r="N34" i="47" a="1"/>
  <c r="N34" i="47" s="1"/>
  <c r="Q99" i="47" a="1"/>
  <c r="Q99" i="47" s="1"/>
  <c r="S49" i="47" a="1"/>
  <c r="S49" i="47" s="1"/>
  <c r="K64" i="47" a="1"/>
  <c r="K64" i="47" s="1"/>
  <c r="K79" i="47" a="1"/>
  <c r="K79" i="47" s="1"/>
  <c r="K62" i="47" a="1"/>
  <c r="K62" i="47" s="1"/>
  <c r="N56" i="47" a="1"/>
  <c r="N56" i="47" s="1"/>
  <c r="E97" i="47" a="1"/>
  <c r="E97" i="47" s="1"/>
  <c r="J46" i="47" a="1"/>
  <c r="J46" i="47" s="1"/>
  <c r="J52" i="47" a="1"/>
  <c r="J52" i="47" s="1"/>
  <c r="P25" i="47" a="1"/>
  <c r="P25" i="47" s="1"/>
  <c r="O30" i="47" a="1"/>
  <c r="O30" i="47" s="1"/>
  <c r="Q19" i="47" a="1"/>
  <c r="Q19" i="47" s="1"/>
  <c r="O33" i="47" a="1"/>
  <c r="O33" i="47" s="1"/>
  <c r="Q21" i="47" a="1"/>
  <c r="Q21" i="47" s="1"/>
  <c r="O104" i="47" a="1"/>
  <c r="O104" i="47" s="1"/>
  <c r="L39" i="47" a="1"/>
  <c r="L39" i="47" s="1"/>
  <c r="S100" i="47" a="1"/>
  <c r="S100" i="47" s="1"/>
  <c r="R17" i="47" a="1"/>
  <c r="R17" i="47" s="1"/>
  <c r="M20" i="47" a="1"/>
  <c r="M20" i="47" s="1"/>
  <c r="N58" i="47" a="1"/>
  <c r="N58" i="47" s="1"/>
  <c r="N17" i="47" a="1"/>
  <c r="N17" i="47" s="1"/>
  <c r="M88" i="47" a="1"/>
  <c r="M88" i="47" s="1"/>
  <c r="O54" i="47" a="1"/>
  <c r="O54" i="47" s="1"/>
  <c r="J83" i="47" a="1"/>
  <c r="J83" i="47" s="1"/>
  <c r="R40" i="47" a="1"/>
  <c r="R40" i="47" s="1"/>
  <c r="J40" i="47" a="1"/>
  <c r="J40" i="47" s="1"/>
  <c r="Q20" i="47" a="1"/>
  <c r="Q20" i="47" s="1"/>
  <c r="S87" i="47" a="1"/>
  <c r="S87" i="47" s="1"/>
  <c r="Q65" i="47" a="1"/>
  <c r="Q65" i="47" s="1"/>
  <c r="G71" i="47" a="1"/>
  <c r="G71" i="47" s="1"/>
  <c r="J39" i="47" a="1"/>
  <c r="J39" i="47" s="1"/>
  <c r="L25" i="47" a="1"/>
  <c r="L25" i="47" s="1"/>
  <c r="O90" i="47" a="1"/>
  <c r="O90" i="47" s="1"/>
  <c r="R51" i="47" a="1"/>
  <c r="R51" i="47" s="1"/>
  <c r="K103" i="47" a="1"/>
  <c r="K103" i="47" s="1"/>
  <c r="S97" i="47" a="1"/>
  <c r="S97" i="47" s="1"/>
  <c r="O87" i="47" a="1"/>
  <c r="O87" i="47" s="1"/>
  <c r="S75" i="47" a="1"/>
  <c r="S75" i="47" s="1"/>
  <c r="J24" i="47" a="1"/>
  <c r="J24" i="47" s="1"/>
  <c r="P43" i="47" a="1"/>
  <c r="P43" i="47" s="1"/>
  <c r="I55" i="47" a="1"/>
  <c r="I55" i="47" s="1"/>
  <c r="Q40" i="47" a="1"/>
  <c r="Q40" i="47" s="1"/>
  <c r="K29" i="47" a="1"/>
  <c r="K29" i="47" s="1"/>
  <c r="M50" i="47" a="1"/>
  <c r="M50" i="47" s="1"/>
  <c r="I104" i="47" a="1"/>
  <c r="I104" i="47" s="1"/>
  <c r="J68" i="47" a="1"/>
  <c r="J68" i="47" s="1"/>
  <c r="L24" i="47" a="1"/>
  <c r="L24" i="47" s="1"/>
  <c r="M82" i="47" a="1"/>
  <c r="M82" i="47" s="1"/>
  <c r="Q71" i="47" a="1"/>
  <c r="Q71" i="47" s="1"/>
  <c r="L87" i="47" a="1"/>
  <c r="L87" i="47" s="1"/>
  <c r="S83" i="47" a="1"/>
  <c r="S83" i="47" s="1"/>
  <c r="O65" i="47" a="1"/>
  <c r="O65" i="47" s="1"/>
  <c r="J51" i="47" a="1"/>
  <c r="J51" i="47" s="1"/>
  <c r="R80" i="47" a="1"/>
  <c r="R80" i="47" s="1"/>
  <c r="M46" i="47" a="1"/>
  <c r="M46" i="47" s="1"/>
  <c r="O41" i="47" a="1"/>
  <c r="O41" i="47" s="1"/>
  <c r="Q58" i="47" a="1"/>
  <c r="Q58" i="47" s="1"/>
  <c r="Q88" i="47" a="1"/>
  <c r="Q88" i="47" s="1"/>
  <c r="Q26" i="47" a="1"/>
  <c r="Q26" i="47" s="1"/>
  <c r="R70" i="47" a="1"/>
  <c r="R70" i="47" s="1"/>
  <c r="J21" i="47" a="1"/>
  <c r="J21" i="47" s="1"/>
  <c r="L22" i="47" a="1"/>
  <c r="L22" i="47" s="1"/>
  <c r="S42" i="47" a="1"/>
  <c r="S42" i="47" s="1"/>
  <c r="L18" i="47" a="1"/>
  <c r="L18" i="47" s="1"/>
  <c r="R52" i="47" a="1"/>
  <c r="R52" i="47" s="1"/>
  <c r="O43" i="47" a="1"/>
  <c r="O43" i="47" s="1"/>
  <c r="Q23" i="47" a="1"/>
  <c r="Q23" i="47" s="1"/>
  <c r="R25" i="47" a="1"/>
  <c r="R25" i="47" s="1"/>
  <c r="M42" i="47" a="1"/>
  <c r="M42" i="47" s="1"/>
  <c r="J59" i="47" a="1"/>
  <c r="J59" i="47" s="1"/>
  <c r="M103" i="47" a="1"/>
  <c r="M103" i="47" s="1"/>
  <c r="F62" i="47" a="1"/>
  <c r="F62" i="47" s="1"/>
  <c r="Q14" i="47" a="1"/>
  <c r="Q14" i="47" s="1"/>
  <c r="K38" i="47" a="1"/>
  <c r="K38" i="47" s="1"/>
  <c r="H17" i="47" a="1"/>
  <c r="H17" i="47" s="1"/>
  <c r="P98" i="47" a="1"/>
  <c r="P98" i="47" s="1"/>
  <c r="H26" i="47" a="1"/>
  <c r="H26" i="47" s="1"/>
  <c r="O20" i="47" a="1"/>
  <c r="O20" i="47" s="1"/>
  <c r="M19" i="47" a="1"/>
  <c r="M19" i="47" s="1"/>
  <c r="S20" i="47" a="1"/>
  <c r="S20" i="47" s="1"/>
  <c r="K26" i="47" a="1"/>
  <c r="K26" i="47" s="1"/>
  <c r="O17" i="47" a="1"/>
  <c r="O17" i="47" s="1"/>
  <c r="L35" i="47" a="1"/>
  <c r="L35" i="47" s="1"/>
  <c r="I8" i="47" a="1"/>
  <c r="I8" i="47" s="1"/>
  <c r="O82" i="47" a="1"/>
  <c r="O82" i="47" s="1"/>
  <c r="P90" i="47" a="1"/>
  <c r="P90" i="47" s="1"/>
  <c r="M97" i="47" a="1"/>
  <c r="M97" i="47" s="1"/>
  <c r="K86" i="47" a="1"/>
  <c r="K86" i="47" s="1"/>
  <c r="P34" i="47" a="1"/>
  <c r="P34" i="47" s="1"/>
  <c r="S104" i="47" a="1"/>
  <c r="S104" i="47" s="1"/>
  <c r="Q103" i="47" a="1"/>
  <c r="Q103" i="47" s="1"/>
  <c r="I36" i="47" a="1"/>
  <c r="I36" i="47" s="1"/>
  <c r="S95" i="47" a="1"/>
  <c r="S95" i="47" s="1"/>
  <c r="F65" i="47" a="1"/>
  <c r="F65" i="47" s="1"/>
  <c r="M89" i="47" a="1"/>
  <c r="M89" i="47" s="1"/>
  <c r="M102" i="47" a="1"/>
  <c r="M102" i="47" s="1"/>
  <c r="N68" i="47" a="1"/>
  <c r="N68" i="47" s="1"/>
  <c r="J71" i="47" a="1"/>
  <c r="J71" i="47" s="1"/>
  <c r="R62" i="47" a="1"/>
  <c r="R62" i="47" s="1"/>
  <c r="R86" i="47" a="1"/>
  <c r="R86" i="47" s="1"/>
  <c r="K83" i="47" a="1"/>
  <c r="K83" i="47" s="1"/>
  <c r="Q91" i="47" a="1"/>
  <c r="Q91" i="47" s="1"/>
  <c r="Q52" i="47" a="1"/>
  <c r="Q52" i="47" s="1"/>
  <c r="H38" i="47" a="1"/>
  <c r="H38" i="47" s="1"/>
  <c r="K50" i="47" a="1"/>
  <c r="K50" i="47" s="1"/>
  <c r="N72" i="47" a="1"/>
  <c r="N72" i="47" s="1"/>
  <c r="L93" i="47" a="1"/>
  <c r="L93" i="47" s="1"/>
  <c r="O48" i="47" a="1"/>
  <c r="O48" i="47" s="1"/>
  <c r="Q34" i="47" a="1"/>
  <c r="Q34" i="47" s="1"/>
  <c r="Q64" i="47" a="1"/>
  <c r="Q64" i="47" s="1"/>
  <c r="O58" i="47" a="1"/>
  <c r="O58" i="47" s="1"/>
  <c r="R79" i="47" a="1"/>
  <c r="R79" i="47" s="1"/>
  <c r="F90" i="47" a="1"/>
  <c r="F90" i="47" s="1"/>
  <c r="O56" i="47" a="1"/>
  <c r="O56" i="47" s="1"/>
  <c r="P55" i="47" a="1"/>
  <c r="P55" i="47" s="1"/>
  <c r="R84" i="47" a="1"/>
  <c r="R84" i="47" s="1"/>
  <c r="S58" i="47" a="1"/>
  <c r="S58" i="47" s="1"/>
  <c r="S92" i="47" a="1"/>
  <c r="S92" i="47" s="1"/>
  <c r="F87" i="47" a="1"/>
  <c r="F87" i="47" s="1"/>
  <c r="K43" i="47" a="1"/>
  <c r="K43" i="47" s="1"/>
  <c r="N98" i="47" a="1"/>
  <c r="N98" i="47" s="1"/>
  <c r="L6" i="47" a="1"/>
  <c r="L6" i="47" s="1"/>
  <c r="J8" i="47" a="1"/>
  <c r="J8" i="47" s="1"/>
  <c r="K8" i="47" a="1"/>
  <c r="K8" i="47" s="1"/>
  <c r="E8" i="47" a="1"/>
  <c r="E8" i="47" s="1"/>
  <c r="O102" i="47" a="1"/>
  <c r="O102" i="47" s="1"/>
  <c r="P104" i="47" a="1"/>
  <c r="P104" i="47" s="1"/>
  <c r="R63" i="47" a="1"/>
  <c r="R63" i="47" s="1"/>
  <c r="R82" i="47" a="1"/>
  <c r="R82" i="47" s="1"/>
  <c r="K68" i="47" a="1"/>
  <c r="K68" i="47" s="1"/>
  <c r="R66" i="47" a="1"/>
  <c r="R66" i="47" s="1"/>
  <c r="O93" i="47" a="1"/>
  <c r="O93" i="47" s="1"/>
  <c r="S59" i="47" a="1"/>
  <c r="S59" i="47" s="1"/>
  <c r="O42" i="47" a="1"/>
  <c r="O42" i="47" s="1"/>
  <c r="N80" i="47" a="1"/>
  <c r="N80" i="47" s="1"/>
  <c r="M35" i="47" a="1"/>
  <c r="M35" i="47" s="1"/>
  <c r="P103" i="47" a="1"/>
  <c r="P103" i="47" s="1"/>
  <c r="L36" i="47" a="1"/>
  <c r="L36" i="47" s="1"/>
  <c r="R101" i="47" a="1"/>
  <c r="R101" i="47" s="1"/>
  <c r="L66" i="47" a="1"/>
  <c r="L66" i="47" s="1"/>
  <c r="K57" i="47" a="1"/>
  <c r="K57" i="47" s="1"/>
  <c r="M61" i="47" a="1"/>
  <c r="M61" i="47" s="1"/>
  <c r="J78" i="47" a="1"/>
  <c r="J78" i="47" s="1"/>
  <c r="J50" i="47" a="1"/>
  <c r="J50" i="47" s="1"/>
  <c r="P76" i="47" a="1"/>
  <c r="P76" i="47" s="1"/>
  <c r="R44" i="47" a="1"/>
  <c r="R44" i="47" s="1"/>
  <c r="Q80" i="47" a="1"/>
  <c r="Q80" i="47" s="1"/>
  <c r="I58" i="47" a="1"/>
  <c r="I58" i="47" s="1"/>
  <c r="J97" i="47" a="1"/>
  <c r="J97" i="47" s="1"/>
  <c r="L8" i="47" a="1"/>
  <c r="L8" i="47" s="1"/>
  <c r="M25" i="47" a="1"/>
  <c r="M25" i="47" s="1"/>
  <c r="Q6" i="47" a="1"/>
  <c r="Q6" i="47" s="1"/>
  <c r="O61" i="47" a="1"/>
  <c r="O61" i="47" s="1"/>
  <c r="P30" i="47" a="1"/>
  <c r="P30" i="47" s="1"/>
  <c r="F6" i="47" a="1"/>
  <c r="F6" i="47" s="1"/>
  <c r="B6" i="47"/>
  <c r="H8" i="47" a="1"/>
  <c r="H8" i="47" s="1"/>
  <c r="L81" i="47" a="1"/>
  <c r="L81" i="47" s="1"/>
  <c r="P51" i="47" a="1"/>
  <c r="P51" i="47" s="1"/>
  <c r="F78" i="47" a="1"/>
  <c r="F78" i="47" s="1"/>
  <c r="L85" i="47" a="1"/>
  <c r="L85" i="47" s="1"/>
  <c r="F98" i="47" a="1"/>
  <c r="F98" i="47" s="1"/>
  <c r="Q87" i="47" a="1"/>
  <c r="Q87" i="47" s="1"/>
  <c r="S85" i="47" a="1"/>
  <c r="S85" i="47" s="1"/>
  <c r="M53" i="47" a="1"/>
  <c r="M53" i="47" s="1"/>
  <c r="O98" i="47" a="1"/>
  <c r="O98" i="47" s="1"/>
  <c r="H75" i="47" a="1"/>
  <c r="H75" i="47" s="1"/>
  <c r="G6" i="47" a="1"/>
  <c r="G6" i="47" s="1"/>
  <c r="G7" i="47" a="1"/>
  <c r="G7" i="47" s="1"/>
  <c r="B7" i="47"/>
  <c r="O6" i="47" a="1"/>
  <c r="O6" i="47" s="1"/>
  <c r="D8" i="47"/>
  <c r="C8" i="47"/>
  <c r="P87" i="47" a="1"/>
  <c r="P87" i="47" s="1"/>
  <c r="N86" i="47" a="1"/>
  <c r="N86" i="47" s="1"/>
  <c r="E92" i="47" a="1"/>
  <c r="E92" i="47" s="1"/>
  <c r="O62" i="47" a="1"/>
  <c r="O62" i="47" s="1"/>
  <c r="S72" i="47" a="1"/>
  <c r="S72" i="47" s="1"/>
  <c r="C67" i="47"/>
  <c r="S73" i="47" a="1"/>
  <c r="S73" i="47" s="1"/>
  <c r="S76" i="47" a="1"/>
  <c r="S76" i="47" s="1"/>
  <c r="R91" i="47" a="1"/>
  <c r="R91" i="47" s="1"/>
  <c r="L59" i="47" a="1"/>
  <c r="L59" i="47" s="1"/>
  <c r="J35" i="47" a="1"/>
  <c r="J35" i="47" s="1"/>
  <c r="Q39" i="47" a="1"/>
  <c r="Q39" i="47" s="1"/>
  <c r="Q93" i="47" a="1"/>
  <c r="Q93" i="47" s="1"/>
  <c r="R100" i="47" a="1"/>
  <c r="R100" i="47" s="1"/>
  <c r="N81" i="47" a="1"/>
  <c r="N81" i="47" s="1"/>
  <c r="Q44" i="47" a="1"/>
  <c r="Q44" i="47" s="1"/>
  <c r="L75" i="47" a="1"/>
  <c r="L75" i="47" s="1"/>
  <c r="S74" i="47" a="1"/>
  <c r="S74" i="47" s="1"/>
  <c r="L49" i="47" a="1"/>
  <c r="L49" i="47" s="1"/>
  <c r="K60" i="47" a="1"/>
  <c r="K60" i="47" s="1"/>
  <c r="H65" i="47" a="1"/>
  <c r="H65" i="47" s="1"/>
  <c r="M44" i="47" a="1"/>
  <c r="M44" i="47" s="1"/>
  <c r="O81" i="47" a="1"/>
  <c r="O81" i="47" s="1"/>
  <c r="S80" i="47" a="1"/>
  <c r="S80" i="47" s="1"/>
  <c r="M54" i="47" a="1"/>
  <c r="M54" i="47" s="1"/>
  <c r="O67" i="47" a="1"/>
  <c r="O67" i="47" s="1"/>
  <c r="N83" i="47" a="1"/>
  <c r="N83" i="47" s="1"/>
  <c r="S78" i="47" a="1"/>
  <c r="S78" i="47" s="1"/>
  <c r="Q53" i="47" a="1"/>
  <c r="Q53" i="47" s="1"/>
  <c r="Q24" i="47" a="1"/>
  <c r="Q24" i="47" s="1"/>
  <c r="L72" i="47" a="1"/>
  <c r="L72" i="47" s="1"/>
  <c r="O70" i="47" a="1"/>
  <c r="O70" i="47" s="1"/>
  <c r="S27" i="47" a="1"/>
  <c r="S27" i="47" s="1"/>
  <c r="K36" i="47" a="1"/>
  <c r="K36" i="47" s="1"/>
  <c r="O25" i="47" a="1"/>
  <c r="O25" i="47" s="1"/>
  <c r="K84" i="47" a="1"/>
  <c r="K84" i="47" s="1"/>
  <c r="N8" i="47" a="1"/>
  <c r="N8" i="47" s="1"/>
  <c r="K6" i="47" a="1"/>
  <c r="K6" i="47" s="1"/>
  <c r="I6" i="47" a="1"/>
  <c r="I6" i="47" s="1"/>
  <c r="I10" i="47" a="1"/>
  <c r="I10" i="47" s="1"/>
  <c r="E6" i="47" a="1"/>
  <c r="E6" i="47" s="1"/>
  <c r="D7" i="47"/>
  <c r="C7" i="47"/>
  <c r="F7" i="47" a="1"/>
  <c r="F7" i="47" s="1"/>
  <c r="S82" i="47" a="1"/>
  <c r="S82" i="47" s="1"/>
  <c r="P62" i="47" a="1"/>
  <c r="P62" i="47" s="1"/>
  <c r="Q89" i="47" a="1"/>
  <c r="Q89" i="47" s="1"/>
  <c r="K53" i="47" a="1"/>
  <c r="K53" i="47" s="1"/>
  <c r="L56" i="47" a="1"/>
  <c r="L56" i="47" s="1"/>
  <c r="O52" i="47" a="1"/>
  <c r="O52" i="47" s="1"/>
  <c r="P65" i="47" a="1"/>
  <c r="P65" i="47" s="1"/>
  <c r="R74" i="47" a="1"/>
  <c r="R74" i="47" s="1"/>
  <c r="M72" i="47" a="1"/>
  <c r="M72" i="47" s="1"/>
  <c r="J81" i="47" a="1"/>
  <c r="J81" i="47" s="1"/>
  <c r="Q74" i="47" a="1"/>
  <c r="Q74" i="47" s="1"/>
  <c r="P78" i="47" a="1"/>
  <c r="P78" i="47" s="1"/>
  <c r="H89" i="47" a="1"/>
  <c r="H89" i="47" s="1"/>
  <c r="O80" i="47" a="1"/>
  <c r="O80" i="47" s="1"/>
  <c r="S34" i="47" a="1"/>
  <c r="S34" i="47" s="1"/>
  <c r="O88" i="47" a="1"/>
  <c r="O88" i="47" s="1"/>
  <c r="N39" i="47" a="1"/>
  <c r="N39" i="47" s="1"/>
  <c r="L95" i="47" a="1"/>
  <c r="L95" i="47" s="1"/>
  <c r="M10" i="47" a="1"/>
  <c r="M10" i="47" s="1"/>
  <c r="H34" i="47" a="1"/>
  <c r="H34" i="47" s="1"/>
  <c r="L67" i="47" a="1"/>
  <c r="L67" i="47" s="1"/>
  <c r="P6" i="47" a="1"/>
  <c r="P6" i="47" s="1"/>
  <c r="J7" i="47" a="1"/>
  <c r="J7" i="47" s="1"/>
  <c r="B10" i="47"/>
  <c r="B8" i="47"/>
  <c r="C6" i="47"/>
  <c r="F8" i="47" a="1"/>
  <c r="F8" i="47" s="1"/>
  <c r="K41" i="47" a="1"/>
  <c r="K41" i="47" s="1"/>
  <c r="I76" i="47" a="1"/>
  <c r="I76" i="47" s="1"/>
  <c r="O53" i="47" a="1"/>
  <c r="O53" i="47" s="1"/>
  <c r="L38" i="47" a="1"/>
  <c r="L38" i="47" s="1"/>
  <c r="L69" i="47" a="1"/>
  <c r="L69" i="47" s="1"/>
  <c r="O68" i="47" a="1"/>
  <c r="O68" i="47" s="1"/>
  <c r="M78" i="47" a="1"/>
  <c r="M78" i="47" s="1"/>
  <c r="S98" i="47" a="1"/>
  <c r="S98" i="47" s="1"/>
  <c r="O85" i="47" a="1"/>
  <c r="O85" i="47" s="1"/>
  <c r="H95" i="47" a="1"/>
  <c r="H95" i="47" s="1"/>
  <c r="O84" i="47" a="1"/>
  <c r="O84" i="47" s="1"/>
  <c r="H101" i="47" a="1"/>
  <c r="H101" i="47" s="1"/>
  <c r="N89" i="47" a="1"/>
  <c r="N89" i="47" s="1"/>
  <c r="O36" i="47" a="1"/>
  <c r="O36" i="47" s="1"/>
  <c r="Q43" i="47" a="1"/>
  <c r="Q43" i="47" s="1"/>
  <c r="P50" i="47" a="1"/>
  <c r="P50" i="47" s="1"/>
  <c r="R32" i="47" a="1"/>
  <c r="R32" i="47" s="1"/>
  <c r="O8" i="47" a="1"/>
  <c r="O8" i="47" s="1"/>
  <c r="G8" i="47" a="1"/>
  <c r="G8" i="47" s="1"/>
  <c r="H7" i="47" a="1"/>
  <c r="H7" i="47" s="1"/>
  <c r="N9" i="47" a="1"/>
  <c r="N9" i="47" s="1"/>
  <c r="H14" i="47" a="1"/>
  <c r="H14" i="47" s="1"/>
  <c r="B102" i="47"/>
  <c r="F19" i="47" a="1"/>
  <c r="F19" i="47" s="1"/>
  <c r="B73" i="47"/>
  <c r="F10" i="47" a="1"/>
  <c r="F10" i="47" s="1"/>
  <c r="C74" i="47"/>
  <c r="B92" i="47"/>
  <c r="E43" i="47" a="1"/>
  <c r="E43" i="47" s="1"/>
  <c r="D27" i="47"/>
  <c r="D52" i="47"/>
  <c r="D14" i="47"/>
  <c r="B19" i="47"/>
  <c r="D38" i="47"/>
  <c r="D23" i="47"/>
  <c r="D59" i="47"/>
  <c r="B43" i="47"/>
  <c r="G100" i="47" a="1"/>
  <c r="G100" i="47" s="1"/>
  <c r="E30" i="47" a="1"/>
  <c r="E30" i="47" s="1"/>
  <c r="F95" i="47" a="1"/>
  <c r="F95" i="47" s="1"/>
  <c r="G70" i="47" a="1"/>
  <c r="G70" i="47" s="1"/>
  <c r="O9" i="47" a="1"/>
  <c r="O9" i="47" s="1"/>
  <c r="G23" i="47" a="1"/>
  <c r="G23" i="47" s="1"/>
  <c r="C102" i="47"/>
  <c r="C9" i="47"/>
  <c r="E58" i="47" a="1"/>
  <c r="E58" i="47" s="1"/>
  <c r="I43" i="47" a="1"/>
  <c r="I43" i="47" s="1"/>
  <c r="F46" i="47" a="1"/>
  <c r="F46" i="47" s="1"/>
  <c r="C21" i="47"/>
  <c r="B26" i="47"/>
  <c r="B90" i="47"/>
  <c r="D88" i="47"/>
  <c r="B9" i="47"/>
  <c r="E82" i="47" a="1"/>
  <c r="E82" i="47" s="1"/>
  <c r="F58" i="47" a="1"/>
  <c r="F58" i="47" s="1"/>
  <c r="B79" i="47"/>
  <c r="G83" i="47" a="1"/>
  <c r="G83" i="47" s="1"/>
  <c r="G54" i="47" a="1"/>
  <c r="G54" i="47" s="1"/>
  <c r="G18" i="47" a="1"/>
  <c r="G18" i="47" s="1"/>
  <c r="B13" i="47"/>
  <c r="B30" i="47"/>
  <c r="E9" i="47" a="1"/>
  <c r="E9" i="47" s="1"/>
  <c r="G79" i="47" a="1"/>
  <c r="G79" i="47" s="1"/>
  <c r="D22" i="47"/>
  <c r="B53" i="47"/>
  <c r="G69" i="47" a="1"/>
  <c r="G69" i="47" s="1"/>
  <c r="E41" i="47" a="1"/>
  <c r="E41" i="47" s="1"/>
  <c r="F9" i="47" a="1"/>
  <c r="F9" i="47" s="1"/>
  <c r="E14" i="47" a="1"/>
  <c r="E14" i="47" s="1"/>
  <c r="E59" i="47" a="1"/>
  <c r="E59" i="47" s="1"/>
  <c r="D89" i="47"/>
  <c r="C80" i="47"/>
  <c r="B86" i="47"/>
  <c r="F37" i="47" a="1"/>
  <c r="F37" i="47" s="1"/>
  <c r="B16" i="47"/>
  <c r="G67" i="47" a="1"/>
  <c r="G67" i="47" s="1"/>
  <c r="F72" i="47" a="1"/>
  <c r="F72" i="47" s="1"/>
  <c r="C72" i="47"/>
  <c r="B44" i="47"/>
  <c r="B101" i="47"/>
  <c r="E104" i="47" a="1"/>
  <c r="E104" i="47" s="1"/>
  <c r="I47" i="47" a="1"/>
  <c r="I47" i="47" s="1"/>
  <c r="E72" i="47" a="1"/>
  <c r="E72" i="47" s="1"/>
  <c r="B22" i="47"/>
  <c r="B21" i="47"/>
  <c r="F43" i="47" a="1"/>
  <c r="F43" i="47" s="1"/>
  <c r="G99" i="47" a="1"/>
  <c r="G99" i="47" s="1"/>
  <c r="D74" i="47"/>
  <c r="D43" i="47"/>
  <c r="G72" i="47" a="1"/>
  <c r="G72" i="47" s="1"/>
  <c r="D25" i="47"/>
  <c r="H59" i="47" a="1"/>
  <c r="H59" i="47" s="1"/>
  <c r="F21" i="47" a="1"/>
  <c r="F21" i="47" s="1"/>
  <c r="F48" i="47" a="1"/>
  <c r="F48" i="47" s="1"/>
  <c r="G75" i="47" a="1"/>
  <c r="G75" i="47" s="1"/>
  <c r="B29" i="47"/>
  <c r="D37" i="47"/>
  <c r="F35" i="47" a="1"/>
  <c r="F35" i="47" s="1"/>
  <c r="O31" i="47" a="1"/>
  <c r="O31" i="47" s="1"/>
  <c r="E65" i="47" a="1"/>
  <c r="E65" i="47" s="1"/>
  <c r="E81" i="47" a="1"/>
  <c r="E81" i="47" s="1"/>
  <c r="B72" i="47"/>
  <c r="H20" i="47" a="1"/>
  <c r="H20" i="47" s="1"/>
  <c r="B14" i="47"/>
  <c r="I30" i="47" a="1"/>
  <c r="I30" i="47" s="1"/>
  <c r="H19" i="47" a="1"/>
  <c r="H19" i="47" s="1"/>
  <c r="P9" i="47" a="1"/>
  <c r="P9" i="47" s="1"/>
  <c r="H70" i="47" a="1"/>
  <c r="H70" i="47" s="1"/>
  <c r="C12" i="47"/>
  <c r="C15" i="47"/>
  <c r="D31" i="47"/>
  <c r="G103" i="47" a="1"/>
  <c r="G103" i="47" s="1"/>
  <c r="E85" i="47" a="1"/>
  <c r="E85" i="47" s="1"/>
  <c r="D76" i="47"/>
  <c r="E71" i="47" a="1"/>
  <c r="E71" i="47" s="1"/>
  <c r="I65" i="47" a="1"/>
  <c r="I65" i="47" s="1"/>
  <c r="C61" i="47"/>
  <c r="E36" i="47" a="1"/>
  <c r="E36" i="47" s="1"/>
  <c r="D60" i="47"/>
  <c r="G9" i="47" a="1"/>
  <c r="G9" i="47" s="1"/>
  <c r="G22" i="47" a="1"/>
  <c r="G22" i="47" s="1"/>
  <c r="I9" i="47" a="1"/>
  <c r="I9" i="47" s="1"/>
  <c r="D77" i="47"/>
  <c r="C62" i="47"/>
  <c r="F33" i="47" a="1"/>
  <c r="F33" i="47" s="1"/>
  <c r="C86" i="47"/>
  <c r="F71" i="47" a="1"/>
  <c r="F71" i="47" s="1"/>
  <c r="C45" i="47"/>
  <c r="C101" i="47"/>
  <c r="B27" i="47"/>
  <c r="H96" i="47" a="1"/>
  <c r="H96" i="47" s="1"/>
  <c r="Q9" i="47" a="1"/>
  <c r="Q9" i="47" s="1"/>
  <c r="H85" i="47" a="1"/>
  <c r="H85" i="47" s="1"/>
  <c r="D54" i="47"/>
  <c r="H93" i="47" a="1"/>
  <c r="H93" i="47" s="1"/>
  <c r="C75" i="47"/>
  <c r="G68" i="47" a="1"/>
  <c r="G68" i="47" s="1"/>
  <c r="I96" i="47" a="1"/>
  <c r="I96" i="47" s="1"/>
  <c r="E28" i="47" a="1"/>
  <c r="E28" i="47" s="1"/>
  <c r="D104" i="47"/>
  <c r="B62" i="47"/>
  <c r="F56" i="47" a="1"/>
  <c r="F56" i="47" s="1"/>
  <c r="L9" i="47" a="1"/>
  <c r="L9" i="47" s="1"/>
  <c r="F103" i="47" a="1"/>
  <c r="F103" i="47" s="1"/>
  <c r="C71" i="47"/>
  <c r="B49" i="47"/>
  <c r="D10" i="47"/>
  <c r="D86" i="47"/>
  <c r="B67" i="47"/>
  <c r="C24" i="47"/>
  <c r="C69" i="47"/>
  <c r="E61" i="47" a="1"/>
  <c r="E61" i="47" s="1"/>
  <c r="G76" i="47" a="1"/>
  <c r="G76" i="47" s="1"/>
  <c r="D78" i="47"/>
  <c r="B95" i="47"/>
  <c r="D96" i="47"/>
  <c r="G56" i="47" a="1"/>
  <c r="G56" i="47" s="1"/>
  <c r="D83" i="47"/>
  <c r="C73" i="47"/>
  <c r="I13" i="47" a="1"/>
  <c r="I13" i="47" s="1"/>
  <c r="E73" i="47" a="1"/>
  <c r="E73" i="47" s="1"/>
  <c r="B83" i="47"/>
  <c r="R38" i="47" a="1"/>
  <c r="R38" i="47" s="1"/>
  <c r="G14" i="47" a="1"/>
  <c r="G14" i="47" s="1"/>
  <c r="D12" i="47"/>
  <c r="B42" i="47"/>
  <c r="C89" i="47"/>
  <c r="F11" i="47" a="1"/>
  <c r="F11" i="47" s="1"/>
  <c r="G53" i="47" a="1"/>
  <c r="G53" i="47" s="1"/>
  <c r="I84" i="47" a="1"/>
  <c r="I84" i="47" s="1"/>
  <c r="G33" i="47" a="1"/>
  <c r="G33" i="47" s="1"/>
  <c r="E39" i="47" a="1"/>
  <c r="E39" i="47" s="1"/>
  <c r="E60" i="47" a="1"/>
  <c r="E60" i="47" s="1"/>
  <c r="E99" i="47" a="1"/>
  <c r="E99" i="47" s="1"/>
  <c r="D103" i="47"/>
  <c r="F22" i="47" a="1"/>
  <c r="F22" i="47" s="1"/>
  <c r="E86" i="47" a="1"/>
  <c r="E86" i="47" s="1"/>
  <c r="E62" i="47" a="1"/>
  <c r="E62" i="47" s="1"/>
  <c r="C84" i="47"/>
  <c r="H82" i="47" a="1"/>
  <c r="H82" i="47" s="1"/>
  <c r="F91" i="47" a="1"/>
  <c r="F91" i="47" s="1"/>
  <c r="M69" i="47" a="1"/>
  <c r="M69" i="47" s="1"/>
  <c r="E74" i="47" a="1"/>
  <c r="E74" i="47" s="1"/>
  <c r="I48" i="47" a="1"/>
  <c r="I48" i="47" s="1"/>
  <c r="F81" i="47" a="1"/>
  <c r="F81" i="47" s="1"/>
  <c r="O38" i="47" a="1"/>
  <c r="O38" i="47" s="1"/>
  <c r="G26" i="47" a="1"/>
  <c r="G26" i="47" s="1"/>
  <c r="G80" i="47" a="1"/>
  <c r="G80" i="47" s="1"/>
  <c r="H43" i="47" a="1"/>
  <c r="H43" i="47" s="1"/>
  <c r="B25" i="47"/>
  <c r="F55" i="47" a="1"/>
  <c r="F55" i="47" s="1"/>
  <c r="F51" i="47" a="1"/>
  <c r="F51" i="47" s="1"/>
  <c r="J87" i="47" a="1"/>
  <c r="J87" i="47" s="1"/>
  <c r="B36" i="47"/>
  <c r="O26" i="47" a="1"/>
  <c r="O26" i="47" s="1"/>
  <c r="H88" i="47" a="1"/>
  <c r="H88" i="47" s="1"/>
  <c r="H60" i="47" a="1"/>
  <c r="H60" i="47" s="1"/>
  <c r="I67" i="47" a="1"/>
  <c r="I67" i="47" s="1"/>
  <c r="C68" i="47"/>
  <c r="B85" i="47"/>
  <c r="B47" i="47"/>
  <c r="E70" i="47" a="1"/>
  <c r="E70" i="47" s="1"/>
  <c r="B45" i="47"/>
  <c r="F31" i="47" a="1"/>
  <c r="F31" i="47" s="1"/>
  <c r="C18" i="47"/>
  <c r="C95" i="47"/>
  <c r="M9" i="47" a="1"/>
  <c r="M9" i="47" s="1"/>
  <c r="D84" i="47"/>
  <c r="F36" i="47" a="1"/>
  <c r="F36" i="47" s="1"/>
  <c r="I95" i="47" a="1"/>
  <c r="I95" i="47" s="1"/>
  <c r="F25" i="47" a="1"/>
  <c r="F25" i="47" s="1"/>
  <c r="M58" i="47" a="1"/>
  <c r="M58" i="47" s="1"/>
  <c r="D11" i="47"/>
  <c r="D32" i="47"/>
  <c r="I17" i="47" a="1"/>
  <c r="I17" i="47" s="1"/>
  <c r="G55" i="47" a="1"/>
  <c r="G55" i="47" s="1"/>
  <c r="D55" i="47"/>
  <c r="C53" i="47"/>
  <c r="E29" i="47" a="1"/>
  <c r="E29" i="47" s="1"/>
  <c r="S9" i="47" a="1"/>
  <c r="S9" i="47" s="1"/>
  <c r="E66" i="47" a="1"/>
  <c r="E66" i="47" s="1"/>
  <c r="E98" i="47" a="1"/>
  <c r="E98" i="47" s="1"/>
  <c r="H99" i="47" a="1"/>
  <c r="H99" i="47" s="1"/>
  <c r="B78" i="47"/>
  <c r="C91" i="47"/>
  <c r="G50" i="47" a="1"/>
  <c r="G50" i="47" s="1"/>
  <c r="F89" i="47" a="1"/>
  <c r="F89" i="47" s="1"/>
  <c r="D36" i="47"/>
  <c r="D16" i="47"/>
  <c r="B31" i="47"/>
  <c r="F57" i="47" a="1"/>
  <c r="F57" i="47" s="1"/>
  <c r="D19" i="47"/>
  <c r="I75" i="47" a="1"/>
  <c r="I75" i="47" s="1"/>
  <c r="H97" i="47" a="1"/>
  <c r="H97" i="47" s="1"/>
  <c r="C98" i="47"/>
  <c r="C22" i="47"/>
  <c r="I78" i="47" a="1"/>
  <c r="I78" i="47" s="1"/>
  <c r="G60" i="47" a="1"/>
  <c r="G60" i="47" s="1"/>
  <c r="E37" i="47" a="1"/>
  <c r="E37" i="47" s="1"/>
  <c r="G21" i="47" a="1"/>
  <c r="G21" i="47" s="1"/>
  <c r="B104" i="47"/>
  <c r="E102" i="47" a="1"/>
  <c r="E102" i="47" s="1"/>
  <c r="C90" i="47"/>
  <c r="I73" i="47" a="1"/>
  <c r="I73" i="47" s="1"/>
  <c r="H31" i="47" a="1"/>
  <c r="H31" i="47" s="1"/>
  <c r="E84" i="47" a="1"/>
  <c r="E84" i="47" s="1"/>
  <c r="G78" i="47" a="1"/>
  <c r="G78" i="47" s="1"/>
  <c r="B76" i="47"/>
  <c r="B96" i="47"/>
  <c r="D45" i="47"/>
  <c r="C88" i="47"/>
  <c r="D34" i="47"/>
  <c r="C52" i="47"/>
  <c r="D15" i="47"/>
  <c r="G85" i="47" a="1"/>
  <c r="G85" i="47" s="1"/>
  <c r="B103" i="47"/>
  <c r="R9" i="47" a="1"/>
  <c r="R9" i="47" s="1"/>
  <c r="I93" i="47" a="1"/>
  <c r="I93" i="47" s="1"/>
  <c r="C11" i="47"/>
  <c r="B54" i="47"/>
  <c r="H9" i="47" a="1"/>
  <c r="H9" i="47" s="1"/>
  <c r="F88" i="47" a="1"/>
  <c r="F88" i="47" s="1"/>
  <c r="E96" i="47" a="1"/>
  <c r="E96" i="47" s="1"/>
  <c r="I56" i="47" a="1"/>
  <c r="I56" i="47" s="1"/>
  <c r="F16" i="47" a="1"/>
  <c r="F16" i="47" s="1"/>
  <c r="D30" i="47"/>
  <c r="I74" i="47" a="1"/>
  <c r="I74" i="47" s="1"/>
  <c r="D39" i="47"/>
  <c r="M104" i="47" a="1"/>
  <c r="M104" i="47" s="1"/>
  <c r="B88" i="47"/>
  <c r="E42" i="47" a="1"/>
  <c r="E42" i="47" s="1"/>
  <c r="B55" i="47"/>
  <c r="D98" i="47"/>
  <c r="C83" i="47"/>
  <c r="E53" i="47" a="1"/>
  <c r="E53" i="47" s="1"/>
  <c r="B66" i="47"/>
  <c r="H90" i="47" a="1"/>
  <c r="H90" i="47" s="1"/>
  <c r="B50" i="47"/>
  <c r="I33" i="47" a="1"/>
  <c r="I33" i="47" s="1"/>
  <c r="D26" i="47"/>
  <c r="B69" i="47"/>
  <c r="B99" i="47"/>
  <c r="B77" i="47"/>
  <c r="F92" i="47" a="1"/>
  <c r="F92" i="47" s="1"/>
  <c r="E79" i="47" a="1"/>
  <c r="E79" i="47" s="1"/>
  <c r="B94" i="47"/>
  <c r="G29" i="47" a="1"/>
  <c r="G29" i="47" s="1"/>
  <c r="B81" i="47"/>
  <c r="C31" i="47"/>
  <c r="B37" i="47"/>
  <c r="E77" i="47" a="1"/>
  <c r="E77" i="47" s="1"/>
  <c r="F32" i="47" a="1"/>
  <c r="F32" i="47" s="1"/>
  <c r="C41" i="47"/>
  <c r="C36" i="47"/>
  <c r="B64" i="47"/>
  <c r="E56" i="47" a="1"/>
  <c r="E56" i="47" s="1"/>
  <c r="E51" i="47" a="1"/>
  <c r="E51" i="47" s="1"/>
  <c r="E68" i="47" a="1"/>
  <c r="E68" i="47" s="1"/>
  <c r="B74" i="47"/>
  <c r="B39" i="47"/>
  <c r="H44" i="47" a="1"/>
  <c r="H44" i="47" s="1"/>
  <c r="E40" i="47" a="1"/>
  <c r="E40" i="47" s="1"/>
  <c r="I28" i="47" a="1"/>
  <c r="I28" i="47" s="1"/>
  <c r="E11" i="47" a="1"/>
  <c r="E11" i="47" s="1"/>
  <c r="F82" i="47" a="1"/>
  <c r="F82" i="47" s="1"/>
  <c r="C96" i="47"/>
  <c r="G61" i="47" a="1"/>
  <c r="G61" i="47" s="1"/>
  <c r="H39" i="47" a="1"/>
  <c r="H39" i="47" s="1"/>
  <c r="C10" i="47"/>
  <c r="I97" i="47" a="1"/>
  <c r="I97" i="47" s="1"/>
  <c r="D56" i="47"/>
  <c r="D79" i="47"/>
  <c r="E47" i="47" a="1"/>
  <c r="E47" i="47" s="1"/>
  <c r="F50" i="47" a="1"/>
  <c r="F50" i="47" s="1"/>
  <c r="H61" i="47" a="1"/>
  <c r="H61" i="47" s="1"/>
  <c r="F20" i="47" a="1"/>
  <c r="F20" i="47" s="1"/>
  <c r="B59" i="47"/>
  <c r="F70" i="47" a="1"/>
  <c r="F70" i="47" s="1"/>
  <c r="C32" i="47"/>
  <c r="K52" i="47" a="1"/>
  <c r="K52" i="47" s="1"/>
  <c r="F85" i="47" a="1"/>
  <c r="F85" i="47" s="1"/>
  <c r="F100" i="47" a="1"/>
  <c r="F100" i="47" s="1"/>
  <c r="E101" i="47" a="1"/>
  <c r="E101" i="47" s="1"/>
  <c r="G66" i="47" a="1"/>
  <c r="G66" i="47" s="1"/>
  <c r="E22" i="47" a="1"/>
  <c r="E22" i="47" s="1"/>
  <c r="F39" i="47" a="1"/>
  <c r="F39" i="47" s="1"/>
  <c r="B34" i="47"/>
  <c r="G11" i="47" a="1"/>
  <c r="G11" i="47" s="1"/>
  <c r="D28" i="47"/>
  <c r="D24" i="47"/>
  <c r="H12" i="47" a="1"/>
  <c r="H12" i="47" s="1"/>
  <c r="I20" i="47" a="1"/>
  <c r="I20" i="47" s="1"/>
  <c r="O10" i="47" a="1"/>
  <c r="O10" i="47" s="1"/>
  <c r="E94" i="47" a="1"/>
  <c r="E94" i="47" s="1"/>
  <c r="E100" i="47" a="1"/>
  <c r="E100" i="47" s="1"/>
  <c r="E12" i="47" a="1"/>
  <c r="E12" i="47" s="1"/>
  <c r="C20" i="47"/>
  <c r="G19" i="47" a="1"/>
  <c r="G19" i="47" s="1"/>
  <c r="K21" i="47" a="1"/>
  <c r="K21" i="47" s="1"/>
  <c r="R50" i="47" a="1"/>
  <c r="R50" i="47" s="1"/>
  <c r="E21" i="47" a="1"/>
  <c r="E21" i="47" s="1"/>
  <c r="F24" i="47" a="1"/>
  <c r="F24" i="47" s="1"/>
  <c r="H46" i="47" a="1"/>
  <c r="H46" i="47" s="1"/>
  <c r="G86" i="47" a="1"/>
  <c r="G86" i="47" s="1"/>
  <c r="P79" i="47" a="1"/>
  <c r="P79" i="47" s="1"/>
  <c r="N66" i="47" a="1"/>
  <c r="N66" i="47" s="1"/>
  <c r="J16" i="47" a="1"/>
  <c r="J16" i="47" s="1"/>
  <c r="S23" i="47" a="1"/>
  <c r="S23" i="47" s="1"/>
  <c r="F61" i="47" a="1"/>
  <c r="F61" i="47" s="1"/>
  <c r="C48" i="47"/>
  <c r="K9" i="47" a="1"/>
  <c r="K9" i="47" s="1"/>
  <c r="F77" i="47" a="1"/>
  <c r="F77" i="47" s="1"/>
  <c r="D90" i="47"/>
  <c r="B98" i="47"/>
  <c r="D47" i="47"/>
  <c r="D20" i="47"/>
  <c r="G98" i="47" a="1"/>
  <c r="G98" i="47" s="1"/>
  <c r="E15" i="47" a="1"/>
  <c r="E15" i="47" s="1"/>
  <c r="D49" i="47"/>
  <c r="F99" i="47" a="1"/>
  <c r="F99" i="47" s="1"/>
  <c r="N54" i="47" a="1"/>
  <c r="N54" i="47" s="1"/>
  <c r="E67" i="47" a="1"/>
  <c r="E67" i="47" s="1"/>
  <c r="C35" i="47"/>
  <c r="F28" i="47" a="1"/>
  <c r="F28" i="47" s="1"/>
  <c r="D68" i="47"/>
  <c r="F96" i="47" a="1"/>
  <c r="F96" i="47" s="1"/>
  <c r="O50" i="47" a="1"/>
  <c r="O50" i="47" s="1"/>
  <c r="E75" i="47" a="1"/>
  <c r="E75" i="47" s="1"/>
  <c r="H40" i="47" a="1"/>
  <c r="H40" i="47" s="1"/>
  <c r="B71" i="47"/>
  <c r="Q16" i="47" a="1"/>
  <c r="Q16" i="47" s="1"/>
  <c r="S37" i="47" a="1"/>
  <c r="S37" i="47" s="1"/>
  <c r="G59" i="47" a="1"/>
  <c r="G59" i="47" s="1"/>
  <c r="F49" i="47" a="1"/>
  <c r="F49" i="47" s="1"/>
  <c r="D82" i="47"/>
  <c r="N84" i="47" a="1"/>
  <c r="N84" i="47" s="1"/>
  <c r="P63" i="47" a="1"/>
  <c r="P63" i="47" s="1"/>
  <c r="F66" i="47" a="1"/>
  <c r="F66" i="47" s="1"/>
  <c r="J93" i="47" a="1"/>
  <c r="J93" i="47" s="1"/>
  <c r="R39" i="47" a="1"/>
  <c r="R39" i="47" s="1"/>
  <c r="N50" i="47" a="1"/>
  <c r="N50" i="47" s="1"/>
  <c r="D63" i="47"/>
  <c r="C78" i="47"/>
  <c r="H72" i="47" a="1"/>
  <c r="H72" i="47" s="1"/>
  <c r="C76" i="47"/>
  <c r="I34" i="47" a="1"/>
  <c r="I34" i="47" s="1"/>
  <c r="C14" i="47"/>
  <c r="D40" i="47"/>
  <c r="B35" i="47"/>
  <c r="I25" i="47" a="1"/>
  <c r="I25" i="47" s="1"/>
  <c r="H24" i="47" a="1"/>
  <c r="H24" i="47" s="1"/>
  <c r="Q79" i="47" a="1"/>
  <c r="Q79" i="47" s="1"/>
  <c r="D81" i="47"/>
  <c r="C63" i="47"/>
  <c r="I71" i="47" a="1"/>
  <c r="I71" i="47" s="1"/>
  <c r="I90" i="47" a="1"/>
  <c r="I90" i="47" s="1"/>
  <c r="C50" i="47"/>
  <c r="B20" i="47"/>
  <c r="G30" i="47" a="1"/>
  <c r="G30" i="47" s="1"/>
  <c r="I68" i="47" a="1"/>
  <c r="I68" i="47" s="1"/>
  <c r="I15" i="47" a="1"/>
  <c r="I15" i="47" s="1"/>
  <c r="F67" i="47" a="1"/>
  <c r="F67" i="47" s="1"/>
  <c r="B52" i="47"/>
  <c r="B80" i="47"/>
  <c r="I83" i="47" a="1"/>
  <c r="I83" i="47" s="1"/>
  <c r="H68" i="47" a="1"/>
  <c r="H68" i="47" s="1"/>
  <c r="G52" i="47" a="1"/>
  <c r="G52" i="47" s="1"/>
  <c r="F42" i="47" a="1"/>
  <c r="F42" i="47" s="1"/>
  <c r="D94" i="47"/>
  <c r="G45" i="47" a="1"/>
  <c r="G45" i="47" s="1"/>
  <c r="E49" i="47" a="1"/>
  <c r="E49" i="47" s="1"/>
  <c r="I52" i="47" a="1"/>
  <c r="I52" i="47" s="1"/>
  <c r="C40" i="47"/>
  <c r="D93" i="47"/>
  <c r="C37" i="47"/>
  <c r="C26" i="47"/>
  <c r="C28" i="47"/>
  <c r="I21" i="47" a="1"/>
  <c r="I21" i="47" s="1"/>
  <c r="C54" i="47"/>
  <c r="G87" i="47" a="1"/>
  <c r="G87" i="47" s="1"/>
  <c r="C103" i="47"/>
  <c r="I32" i="47" a="1"/>
  <c r="I32" i="47" s="1"/>
  <c r="D64" i="47"/>
  <c r="E83" i="47" a="1"/>
  <c r="E83" i="47" s="1"/>
  <c r="H41" i="47" a="1"/>
  <c r="H41" i="47" s="1"/>
  <c r="N37" i="47" a="1"/>
  <c r="N37" i="47" s="1"/>
  <c r="D97" i="47"/>
  <c r="I31" i="47" a="1"/>
  <c r="I31" i="47" s="1"/>
  <c r="G49" i="47" a="1"/>
  <c r="G49" i="47" s="1"/>
  <c r="H33" i="47" a="1"/>
  <c r="H33" i="47" s="1"/>
  <c r="D62" i="47"/>
  <c r="H36" i="47" a="1"/>
  <c r="H36" i="47" s="1"/>
  <c r="E13" i="47" a="1"/>
  <c r="E13" i="47" s="1"/>
  <c r="H63" i="47" a="1"/>
  <c r="H63" i="47" s="1"/>
  <c r="G39" i="47" a="1"/>
  <c r="G39" i="47" s="1"/>
  <c r="N88" i="47" a="1"/>
  <c r="N88" i="47" s="1"/>
  <c r="G74" i="47" a="1"/>
  <c r="G74" i="47" s="1"/>
  <c r="G15" i="47" a="1"/>
  <c r="G15" i="47" s="1"/>
  <c r="I16" i="47" a="1"/>
  <c r="I16" i="47" s="1"/>
  <c r="D75" i="47"/>
  <c r="G95" i="47" a="1"/>
  <c r="G95" i="47" s="1"/>
  <c r="O64" i="47" a="1"/>
  <c r="O64" i="47" s="1"/>
  <c r="G82" i="47" a="1"/>
  <c r="G82" i="47" s="1"/>
  <c r="K48" i="47" a="1"/>
  <c r="K48" i="47" s="1"/>
  <c r="C59" i="47"/>
  <c r="C34" i="47"/>
  <c r="F80" i="47" a="1"/>
  <c r="F80" i="47" s="1"/>
  <c r="C82" i="47"/>
  <c r="C66" i="47"/>
  <c r="F84" i="47" a="1"/>
  <c r="F84" i="47" s="1"/>
  <c r="G57" i="47" a="1"/>
  <c r="G57" i="47" s="1"/>
  <c r="F40" i="47" a="1"/>
  <c r="F40" i="47" s="1"/>
  <c r="L61" i="47" a="1"/>
  <c r="L61" i="47" s="1"/>
  <c r="G90" i="47" a="1"/>
  <c r="G90" i="47" s="1"/>
  <c r="C51" i="47"/>
  <c r="D50" i="47"/>
  <c r="D99" i="47"/>
  <c r="E16" i="47" a="1"/>
  <c r="E16" i="47" s="1"/>
  <c r="B32" i="47"/>
  <c r="C64" i="47"/>
  <c r="I38" i="47" a="1"/>
  <c r="I38" i="47" s="1"/>
  <c r="I24" i="47" a="1"/>
  <c r="I24" i="47" s="1"/>
  <c r="E46" i="47" a="1"/>
  <c r="E46" i="47" s="1"/>
  <c r="C42" i="47"/>
  <c r="D87" i="47"/>
  <c r="B48" i="47"/>
  <c r="I49" i="47" a="1"/>
  <c r="I49" i="47" s="1"/>
  <c r="G38" i="47" a="1"/>
  <c r="G38" i="47" s="1"/>
  <c r="E23" i="47" a="1"/>
  <c r="E23" i="47" s="1"/>
  <c r="P18" i="47" a="1"/>
  <c r="P18" i="47" s="1"/>
  <c r="M64" i="47" a="1"/>
  <c r="M64" i="47" s="1"/>
  <c r="D53" i="47"/>
  <c r="F47" i="47" a="1"/>
  <c r="F47" i="47" s="1"/>
  <c r="J9" i="47" a="1"/>
  <c r="J9" i="47" s="1"/>
  <c r="F86" i="47" a="1"/>
  <c r="F86" i="47" s="1"/>
  <c r="I29" i="47" a="1"/>
  <c r="I29" i="47" s="1"/>
  <c r="I69" i="47" a="1"/>
  <c r="I69" i="47" s="1"/>
  <c r="C60" i="47"/>
  <c r="D80" i="47"/>
  <c r="F44" i="47" a="1"/>
  <c r="F44" i="47" s="1"/>
  <c r="G12" i="47" a="1"/>
  <c r="G12" i="47" s="1"/>
  <c r="F15" i="47" a="1"/>
  <c r="F15" i="47" s="1"/>
  <c r="F93" i="47" a="1"/>
  <c r="F93" i="47" s="1"/>
  <c r="G88" i="47" a="1"/>
  <c r="G88" i="47" s="1"/>
  <c r="I35" i="47" a="1"/>
  <c r="I35" i="47" s="1"/>
  <c r="F73" i="47" a="1"/>
  <c r="F73" i="47" s="1"/>
  <c r="E89" i="47" a="1"/>
  <c r="E89" i="47" s="1"/>
  <c r="G62" i="47" a="1"/>
  <c r="G62" i="47" s="1"/>
  <c r="I57" i="47" a="1"/>
  <c r="I57" i="47" s="1"/>
  <c r="H18" i="47" a="1"/>
  <c r="H18" i="47" s="1"/>
  <c r="B33" i="47"/>
  <c r="B51" i="47"/>
  <c r="I59" i="47" a="1"/>
  <c r="I59" i="47" s="1"/>
  <c r="H104" i="47" a="1"/>
  <c r="H104" i="47" s="1"/>
  <c r="E19" i="47" a="1"/>
  <c r="E19" i="47" s="1"/>
  <c r="C13" i="47"/>
  <c r="F75" i="47" a="1"/>
  <c r="F75" i="47" s="1"/>
  <c r="E95" i="47" a="1"/>
  <c r="E95" i="47" s="1"/>
  <c r="I101" i="47" a="1"/>
  <c r="I101" i="47" s="1"/>
  <c r="C46" i="47"/>
  <c r="C25" i="47"/>
  <c r="G31" i="47" a="1"/>
  <c r="G31" i="47" s="1"/>
  <c r="R35" i="47" a="1"/>
  <c r="R35" i="47" s="1"/>
  <c r="D9" i="47"/>
  <c r="C16" i="47"/>
  <c r="G25" i="47" a="1"/>
  <c r="G25" i="47" s="1"/>
  <c r="D66" i="47"/>
  <c r="M56" i="47" a="1"/>
  <c r="M56" i="47" s="1"/>
  <c r="G44" i="47" a="1"/>
  <c r="G44" i="47" s="1"/>
  <c r="I41" i="47" a="1"/>
  <c r="I41" i="47" s="1"/>
  <c r="D102" i="47"/>
  <c r="B61" i="47"/>
  <c r="B23" i="47"/>
  <c r="K28" i="47" a="1"/>
  <c r="K28" i="47" s="1"/>
  <c r="C77" i="47"/>
  <c r="F64" i="47" a="1"/>
  <c r="F64" i="47" s="1"/>
  <c r="H87" i="47" a="1"/>
  <c r="H87" i="47" s="1"/>
  <c r="G17" i="47" a="1"/>
  <c r="G17" i="47" s="1"/>
  <c r="I19" i="47" a="1"/>
  <c r="I19" i="47" s="1"/>
  <c r="H58" i="47" a="1"/>
  <c r="H58" i="47" s="1"/>
  <c r="B75" i="47"/>
  <c r="I60" i="47" a="1"/>
  <c r="I60" i="47" s="1"/>
  <c r="G81" i="47" a="1"/>
  <c r="G81" i="47" s="1"/>
  <c r="E69" i="47" a="1"/>
  <c r="E69" i="47" s="1"/>
  <c r="K90" i="47" a="1"/>
  <c r="K90" i="47" s="1"/>
  <c r="B91" i="47"/>
  <c r="G63" i="47" a="1"/>
  <c r="G63" i="47" s="1"/>
  <c r="D101" i="47"/>
  <c r="G20" i="47" a="1"/>
  <c r="G20" i="47" s="1"/>
  <c r="B12" i="47"/>
  <c r="G24" i="47" a="1"/>
  <c r="G24" i="47" s="1"/>
  <c r="I86" i="47" a="1"/>
  <c r="I86" i="47" s="1"/>
  <c r="C56" i="47"/>
  <c r="F76" i="47" a="1"/>
  <c r="F76" i="47" s="1"/>
  <c r="L98" i="47" a="1"/>
  <c r="L98" i="47" s="1"/>
  <c r="Q69" i="47" a="1"/>
  <c r="Q69" i="47" s="1"/>
  <c r="C58" i="47"/>
  <c r="G43" i="47" a="1"/>
  <c r="G43" i="47" s="1"/>
  <c r="F38" i="47" a="1"/>
  <c r="F38" i="47" s="1"/>
  <c r="D91" i="47"/>
  <c r="R45" i="47" a="1"/>
  <c r="R45" i="47" s="1"/>
  <c r="S12" i="47" a="1"/>
  <c r="S12" i="47" s="1"/>
  <c r="E33" i="47" a="1"/>
  <c r="E33" i="47" s="1"/>
  <c r="E55" i="47" a="1"/>
  <c r="E55" i="47" s="1"/>
  <c r="C27" i="47"/>
  <c r="L29" i="47" a="1"/>
  <c r="L29" i="47" s="1"/>
  <c r="I98" i="47" a="1"/>
  <c r="I98" i="47" s="1"/>
  <c r="N27" i="47" a="1"/>
  <c r="N27" i="47" s="1"/>
  <c r="F94" i="47" a="1"/>
  <c r="F94" i="47" s="1"/>
  <c r="E76" i="47" a="1"/>
  <c r="E76" i="47" s="1"/>
  <c r="E64" i="47" a="1"/>
  <c r="E64" i="47" s="1"/>
  <c r="M73" i="47" a="1"/>
  <c r="M73" i="47" s="1"/>
  <c r="O60" i="47" a="1"/>
  <c r="O60" i="47" s="1"/>
  <c r="P11" i="47" a="1"/>
  <c r="P11" i="47" s="1"/>
  <c r="D71" i="47"/>
  <c r="B65" i="47"/>
  <c r="I12" i="47" a="1"/>
  <c r="I12" i="47" s="1"/>
  <c r="M92" i="47" a="1"/>
  <c r="M92" i="47" s="1"/>
  <c r="I23" i="47" a="1"/>
  <c r="I23" i="47" s="1"/>
  <c r="H66" i="47" a="1"/>
  <c r="H66" i="47" s="1"/>
  <c r="L34" i="47" a="1"/>
  <c r="L34" i="47" s="1"/>
  <c r="R103" i="47" a="1"/>
  <c r="R103" i="47" s="1"/>
  <c r="M28" i="47" a="1"/>
  <c r="M28" i="47" s="1"/>
  <c r="I54" i="47" a="1"/>
  <c r="I54" i="47" s="1"/>
  <c r="D72" i="47"/>
  <c r="M55" i="47" a="1"/>
  <c r="M55" i="47" s="1"/>
  <c r="B68" i="47"/>
  <c r="P61" i="47" a="1"/>
  <c r="P61" i="47" s="1"/>
  <c r="C81" i="47"/>
  <c r="C85" i="47"/>
  <c r="D21" i="47"/>
  <c r="D95" i="47"/>
  <c r="K19" i="47" a="1"/>
  <c r="K19" i="47" s="1"/>
  <c r="I77" i="47" a="1"/>
  <c r="I77" i="47" s="1"/>
  <c r="L90" i="47" a="1"/>
  <c r="L90" i="47" s="1"/>
  <c r="R93" i="47" a="1"/>
  <c r="R93" i="47" s="1"/>
  <c r="C97" i="47"/>
  <c r="N74" i="47" a="1"/>
  <c r="N74" i="47" s="1"/>
  <c r="E34" i="47" a="1"/>
  <c r="E34" i="47" s="1"/>
  <c r="K15" i="47" a="1"/>
  <c r="K15" i="47" s="1"/>
  <c r="G37" i="47" a="1"/>
  <c r="G37" i="47" s="1"/>
  <c r="D73" i="47"/>
  <c r="M75" i="47" a="1"/>
  <c r="M75" i="47" s="1"/>
  <c r="R28" i="47" a="1"/>
  <c r="R28" i="47" s="1"/>
  <c r="M29" i="47" a="1"/>
  <c r="M29" i="47" s="1"/>
  <c r="B56" i="47"/>
  <c r="H100" i="47" a="1"/>
  <c r="H100" i="47" s="1"/>
  <c r="I22" i="47" a="1"/>
  <c r="I22" i="47" s="1"/>
  <c r="F34" i="47" a="1"/>
  <c r="F34" i="47" s="1"/>
  <c r="F101" i="47" a="1"/>
  <c r="F101" i="47" s="1"/>
  <c r="N48" i="47" a="1"/>
  <c r="N48" i="47" s="1"/>
  <c r="F29" i="47" a="1"/>
  <c r="F29" i="47" s="1"/>
  <c r="L16" i="47" a="1"/>
  <c r="L16" i="47" s="1"/>
  <c r="D51" i="47"/>
  <c r="C104" i="47"/>
  <c r="K47" i="47" a="1"/>
  <c r="K47" i="47" s="1"/>
  <c r="B70" i="47"/>
  <c r="I100" i="47" a="1"/>
  <c r="I100" i="47" s="1"/>
  <c r="E63" i="47" a="1"/>
  <c r="E63" i="47" s="1"/>
  <c r="H22" i="47" a="1"/>
  <c r="H22" i="47" s="1"/>
  <c r="L63" i="47" a="1"/>
  <c r="L63" i="47" s="1"/>
  <c r="I72" i="47" a="1"/>
  <c r="I72" i="47" s="1"/>
  <c r="N35" i="47" a="1"/>
  <c r="N35" i="47" s="1"/>
  <c r="N25" i="47" a="1"/>
  <c r="N25" i="47" s="1"/>
  <c r="D92" i="47"/>
  <c r="O16" i="47" a="1"/>
  <c r="O16" i="47" s="1"/>
  <c r="S18" i="47" a="1"/>
  <c r="S18" i="47" s="1"/>
  <c r="H28" i="47" a="1"/>
  <c r="H28" i="47" s="1"/>
  <c r="P68" i="47" a="1"/>
  <c r="P68" i="47" s="1"/>
  <c r="H84" i="47" a="1"/>
  <c r="H84" i="47" s="1"/>
  <c r="R26" i="47" a="1"/>
  <c r="R26" i="47" s="1"/>
  <c r="P73" i="47" a="1"/>
  <c r="P73" i="47" s="1"/>
  <c r="P24" i="47" a="1"/>
  <c r="P24" i="47" s="1"/>
  <c r="P45" i="47" a="1"/>
  <c r="P45" i="47" s="1"/>
  <c r="G34" i="47" a="1"/>
  <c r="G34" i="47" s="1"/>
  <c r="R87" i="47" a="1"/>
  <c r="R87" i="47" s="1"/>
  <c r="L50" i="47" a="1"/>
  <c r="L50" i="47" s="1"/>
  <c r="I63" i="47" a="1"/>
  <c r="I63" i="47" s="1"/>
  <c r="C49" i="47"/>
  <c r="D17" i="47"/>
  <c r="S41" i="47" a="1"/>
  <c r="S41" i="47" s="1"/>
  <c r="G89" i="47" a="1"/>
  <c r="G89" i="47" s="1"/>
  <c r="G13" i="47" a="1"/>
  <c r="G13" i="47" s="1"/>
  <c r="I88" i="47" a="1"/>
  <c r="I88" i="47" s="1"/>
  <c r="H64" i="47" a="1"/>
  <c r="H64" i="47" s="1"/>
  <c r="H73" i="47" a="1"/>
  <c r="H73" i="47" s="1"/>
  <c r="N104" i="47" a="1"/>
  <c r="N104" i="47" s="1"/>
  <c r="P22" i="47" a="1"/>
  <c r="P22" i="47" s="1"/>
  <c r="R36" i="47" a="1"/>
  <c r="R36" i="47" s="1"/>
  <c r="L55" i="47" a="1"/>
  <c r="L55" i="47" s="1"/>
  <c r="L89" i="47" a="1"/>
  <c r="L89" i="47" s="1"/>
  <c r="O40" i="47" a="1"/>
  <c r="O40" i="47" s="1"/>
  <c r="D29" i="47"/>
  <c r="C93" i="47"/>
  <c r="J74" i="47" a="1"/>
  <c r="J74" i="47" s="1"/>
  <c r="D58" i="47"/>
  <c r="C44" i="47"/>
  <c r="P42" i="47" a="1"/>
  <c r="P42" i="47" s="1"/>
  <c r="S46" i="47" a="1"/>
  <c r="S46" i="47" s="1"/>
  <c r="C65" i="47"/>
  <c r="N64" i="47" a="1"/>
  <c r="N64" i="47" s="1"/>
  <c r="Q11" i="47" a="1"/>
  <c r="Q11" i="47" s="1"/>
  <c r="I89" i="47" a="1"/>
  <c r="I89" i="47" s="1"/>
  <c r="M16" i="47" a="1"/>
  <c r="M16" i="47" s="1"/>
  <c r="H92" i="47" a="1"/>
  <c r="H92" i="47" s="1"/>
  <c r="F30" i="47" a="1"/>
  <c r="F30" i="47" s="1"/>
  <c r="S47" i="47" a="1"/>
  <c r="S47" i="47" s="1"/>
  <c r="H21" i="47" a="1"/>
  <c r="H21" i="47" s="1"/>
  <c r="Q37" i="47" a="1"/>
  <c r="Q37" i="47" s="1"/>
  <c r="E50" i="47" a="1"/>
  <c r="E50" i="47" s="1"/>
  <c r="J43" i="47" a="1"/>
  <c r="J43" i="47" s="1"/>
  <c r="G40" i="47" a="1"/>
  <c r="G40" i="47" s="1"/>
  <c r="J34" i="47" a="1"/>
  <c r="J34" i="47" s="1"/>
  <c r="E25" i="47" a="1"/>
  <c r="E25" i="47" s="1"/>
  <c r="I50" i="47" a="1"/>
  <c r="I50" i="47" s="1"/>
  <c r="J23" i="47" a="1"/>
  <c r="J23" i="47" s="1"/>
  <c r="L15" i="47" a="1"/>
  <c r="L15" i="47" s="1"/>
  <c r="H11" i="47" a="1"/>
  <c r="H11" i="47" s="1"/>
  <c r="H83" i="47" a="1"/>
  <c r="H83" i="47" s="1"/>
  <c r="B84" i="47"/>
  <c r="D35" i="47"/>
  <c r="M84" i="47" a="1"/>
  <c r="M84" i="47" s="1"/>
  <c r="C29" i="47"/>
  <c r="C94" i="47"/>
  <c r="D100" i="47"/>
  <c r="D41" i="47"/>
  <c r="I40" i="47" a="1"/>
  <c r="I40" i="47" s="1"/>
  <c r="Q54" i="47" a="1"/>
  <c r="Q54" i="47" s="1"/>
  <c r="B63" i="47"/>
  <c r="P86" i="47" a="1"/>
  <c r="P86" i="47" s="1"/>
  <c r="K39" i="47" a="1"/>
  <c r="K39" i="47" s="1"/>
  <c r="Q92" i="47" a="1"/>
  <c r="Q92" i="47" s="1"/>
  <c r="B89" i="47"/>
  <c r="R85" i="47" a="1"/>
  <c r="R85" i="47" s="1"/>
  <c r="Q13" i="47" a="1"/>
  <c r="Q13" i="47" s="1"/>
  <c r="S71" i="47" a="1"/>
  <c r="S71" i="47" s="1"/>
  <c r="E90" i="47" a="1"/>
  <c r="E90" i="47" s="1"/>
  <c r="N13" i="47" a="1"/>
  <c r="N13" i="47" s="1"/>
  <c r="G91" i="47" a="1"/>
  <c r="G91" i="47" s="1"/>
  <c r="E44" i="47" a="1"/>
  <c r="E44" i="47" s="1"/>
  <c r="G97" i="47" a="1"/>
  <c r="G97" i="47" s="1"/>
  <c r="L80" i="47" a="1"/>
  <c r="L80" i="47" s="1"/>
  <c r="F60" i="47" a="1"/>
  <c r="F60" i="47" s="1"/>
  <c r="K66" i="47" a="1"/>
  <c r="K66" i="47" s="1"/>
  <c r="H52" i="47" a="1"/>
  <c r="H52" i="47" s="1"/>
  <c r="D18" i="47"/>
  <c r="E17" i="47" a="1"/>
  <c r="E17" i="47" s="1"/>
  <c r="F69" i="47" a="1"/>
  <c r="F69" i="47" s="1"/>
  <c r="J103" i="47" a="1"/>
  <c r="J103" i="47" s="1"/>
  <c r="F74" i="47" a="1"/>
  <c r="F74" i="47" s="1"/>
  <c r="L82" i="47" a="1"/>
  <c r="L82" i="47" s="1"/>
  <c r="O57" i="47" a="1"/>
  <c r="O57" i="47" s="1"/>
  <c r="I92" i="47" a="1"/>
  <c r="I92" i="47" s="1"/>
  <c r="L44" i="47" a="1"/>
  <c r="L44" i="47" s="1"/>
  <c r="G77" i="47" a="1"/>
  <c r="G77" i="47" s="1"/>
  <c r="G41" i="47" a="1"/>
  <c r="G41" i="47" s="1"/>
  <c r="H35" i="47" a="1"/>
  <c r="H35" i="47" s="1"/>
  <c r="L31" i="47" a="1"/>
  <c r="L31" i="47" s="1"/>
  <c r="G101" i="47" a="1"/>
  <c r="G101" i="47" s="1"/>
  <c r="M91" i="47" a="1"/>
  <c r="M91" i="47" s="1"/>
  <c r="M41" i="47" a="1"/>
  <c r="M41" i="47" s="1"/>
  <c r="I42" i="47" a="1"/>
  <c r="I42" i="47" s="1"/>
  <c r="M79" i="47" a="1"/>
  <c r="M79" i="47" s="1"/>
  <c r="N26" i="47" a="1"/>
  <c r="N26" i="47" s="1"/>
  <c r="B28" i="47"/>
  <c r="P27" i="47" a="1"/>
  <c r="P27" i="47" s="1"/>
  <c r="M98" i="47" a="1"/>
  <c r="M98" i="47" s="1"/>
  <c r="N57" i="47" a="1"/>
  <c r="N57" i="47" s="1"/>
  <c r="Q41" i="47" a="1"/>
  <c r="Q41" i="47" s="1"/>
  <c r="E87" i="47" a="1"/>
  <c r="E87" i="47" s="1"/>
  <c r="F27" i="47" a="1"/>
  <c r="F27" i="47" s="1"/>
  <c r="G42" i="47" a="1"/>
  <c r="G42" i="47" s="1"/>
  <c r="G96" i="47" a="1"/>
  <c r="G96" i="47" s="1"/>
  <c r="K69" i="47" a="1"/>
  <c r="K69" i="47" s="1"/>
  <c r="G51" i="47" a="1"/>
  <c r="G51" i="47" s="1"/>
  <c r="G94" i="47" a="1"/>
  <c r="G94" i="47" s="1"/>
  <c r="D44" i="47"/>
  <c r="E88" i="47" a="1"/>
  <c r="E88" i="47" s="1"/>
  <c r="F18" i="47" a="1"/>
  <c r="F18" i="47" s="1"/>
  <c r="D61" i="47"/>
  <c r="D13" i="47"/>
  <c r="H51" i="47" a="1"/>
  <c r="H51" i="47" s="1"/>
  <c r="Q28" i="47" a="1"/>
  <c r="Q28" i="47" s="1"/>
  <c r="B18" i="47"/>
  <c r="M48" i="47" a="1"/>
  <c r="M48" i="47" s="1"/>
  <c r="P33" i="47" a="1"/>
  <c r="P33" i="47" s="1"/>
  <c r="G58" i="47" a="1"/>
  <c r="G58" i="47" s="1"/>
  <c r="H81" i="47" a="1"/>
  <c r="H81" i="47" s="1"/>
  <c r="R46" i="47" a="1"/>
  <c r="R46" i="47" s="1"/>
  <c r="M71" i="47" a="1"/>
  <c r="M71" i="47" s="1"/>
  <c r="R67" i="47" a="1"/>
  <c r="R67" i="47" s="1"/>
  <c r="R54" i="47" a="1"/>
  <c r="R54" i="47" s="1"/>
  <c r="I103" i="47" a="1"/>
  <c r="I103" i="47" s="1"/>
  <c r="B24" i="47"/>
  <c r="Q90" i="47" a="1"/>
  <c r="Q90" i="47" s="1"/>
  <c r="J91" i="47" a="1"/>
  <c r="J91" i="47" s="1"/>
  <c r="N52" i="47" a="1"/>
  <c r="N52" i="47" s="1"/>
  <c r="L96" i="47" a="1"/>
  <c r="L96" i="47" s="1"/>
  <c r="G84" i="47" a="1"/>
  <c r="G84" i="47" s="1"/>
  <c r="Q36" i="47" a="1"/>
  <c r="Q36" i="47" s="1"/>
  <c r="K76" i="47" a="1"/>
  <c r="K76" i="47" s="1"/>
  <c r="F97" i="47" a="1"/>
  <c r="F97" i="47" s="1"/>
  <c r="P52" i="47" a="1"/>
  <c r="P52" i="47" s="1"/>
  <c r="L91" i="47" a="1"/>
  <c r="L91" i="47" s="1"/>
  <c r="L83" i="47" a="1"/>
  <c r="L83" i="47" s="1"/>
  <c r="M95" i="47" a="1"/>
  <c r="M95" i="47" s="1"/>
  <c r="J56" i="47" a="1"/>
  <c r="J56" i="47" s="1"/>
  <c r="E78" i="47" a="1"/>
  <c r="E78" i="47" s="1"/>
  <c r="F45" i="47" a="1"/>
  <c r="F45" i="47" s="1"/>
  <c r="B57" i="47"/>
  <c r="D85" i="47"/>
  <c r="L78" i="47" a="1"/>
  <c r="L78" i="47" s="1"/>
  <c r="P14" i="47" a="1"/>
  <c r="P14" i="47" s="1"/>
  <c r="F104" i="47" a="1"/>
  <c r="F104" i="47" s="1"/>
  <c r="H62" i="47" a="1"/>
  <c r="H62" i="47" s="1"/>
  <c r="H69" i="47" a="1"/>
  <c r="H69" i="47" s="1"/>
  <c r="B41" i="47"/>
  <c r="I87" i="47" a="1"/>
  <c r="I87" i="47" s="1"/>
  <c r="C87" i="47"/>
  <c r="H86" i="47" a="1"/>
  <c r="H86" i="47" s="1"/>
  <c r="K22" i="47" a="1"/>
  <c r="K22" i="47" s="1"/>
  <c r="L46" i="47" a="1"/>
  <c r="L46" i="47" s="1"/>
  <c r="J61" i="47" a="1"/>
  <c r="J61" i="47" s="1"/>
  <c r="B60" i="47"/>
  <c r="M51" i="47" a="1"/>
  <c r="M51" i="47" s="1"/>
  <c r="I82" i="47" a="1"/>
  <c r="I82" i="47" s="1"/>
  <c r="K100" i="47" a="1"/>
  <c r="K100" i="47" s="1"/>
  <c r="R10" i="47" a="1"/>
  <c r="R10" i="47" s="1"/>
  <c r="F59" i="47" a="1"/>
  <c r="F59" i="47" s="1"/>
  <c r="P66" i="47" a="1"/>
  <c r="P66" i="47" s="1"/>
  <c r="N62" i="47" a="1"/>
  <c r="N62" i="47" s="1"/>
  <c r="B58" i="47"/>
  <c r="G28" i="47" a="1"/>
  <c r="G28" i="47" s="1"/>
  <c r="C55" i="47"/>
  <c r="F17" i="47" a="1"/>
  <c r="F17" i="47" s="1"/>
  <c r="R21" i="47" a="1"/>
  <c r="R21" i="47" s="1"/>
  <c r="I39" i="47" a="1"/>
  <c r="I39" i="47" s="1"/>
  <c r="I79" i="47" a="1"/>
  <c r="I79" i="47" s="1"/>
  <c r="C33" i="47"/>
  <c r="I62" i="47" a="1"/>
  <c r="I62" i="47" s="1"/>
  <c r="J36" i="47" a="1"/>
  <c r="J36" i="47" s="1"/>
  <c r="M40" i="47" a="1"/>
  <c r="M40" i="47" s="1"/>
  <c r="O91" i="47" a="1"/>
  <c r="O91" i="47" s="1"/>
  <c r="R57" i="47" a="1"/>
  <c r="R57" i="47" s="1"/>
  <c r="P58" i="47" a="1"/>
  <c r="P58" i="47" s="1"/>
  <c r="R30" i="47" a="1"/>
  <c r="R30" i="47" s="1"/>
  <c r="C57" i="47"/>
  <c r="C23" i="47"/>
  <c r="H42" i="47" a="1"/>
  <c r="H42" i="47" s="1"/>
  <c r="N87" i="47" a="1"/>
  <c r="N87" i="47" s="1"/>
  <c r="F83" i="47" a="1"/>
  <c r="F83" i="47" s="1"/>
  <c r="S51" i="47" a="1"/>
  <c r="S51" i="47" s="1"/>
  <c r="L101" i="47" a="1"/>
  <c r="L101" i="47" s="1"/>
  <c r="L74" i="47" a="1"/>
  <c r="L74" i="47" s="1"/>
  <c r="M96" i="47" a="1"/>
  <c r="M96" i="47" s="1"/>
  <c r="S25" i="47" a="1"/>
  <c r="S25" i="47" s="1"/>
  <c r="C39" i="47"/>
  <c r="F53" i="47" a="1"/>
  <c r="F53" i="47" s="1"/>
  <c r="B11" i="47"/>
  <c r="L88" i="47" a="1"/>
  <c r="L88" i="47" s="1"/>
  <c r="H30" i="47" a="1"/>
  <c r="H30" i="47" s="1"/>
  <c r="E38" i="47" a="1"/>
  <c r="E38" i="47" s="1"/>
  <c r="D33" i="47"/>
  <c r="C19" i="47"/>
  <c r="R68" i="47" a="1"/>
  <c r="R68" i="47" s="1"/>
  <c r="N40" i="47" a="1"/>
  <c r="N40" i="47" s="1"/>
  <c r="P70" i="47" a="1"/>
  <c r="P70" i="47" s="1"/>
  <c r="M57" i="47" a="1"/>
  <c r="M57" i="47" s="1"/>
  <c r="C17" i="47"/>
  <c r="O39" i="47" a="1"/>
  <c r="O39" i="47" s="1"/>
  <c r="E27" i="47" a="1"/>
  <c r="E27" i="47" s="1"/>
  <c r="L19" i="47" a="1"/>
  <c r="L19" i="47" s="1"/>
  <c r="I61" i="47" a="1"/>
  <c r="I61" i="47" s="1"/>
  <c r="G46" i="47" a="1"/>
  <c r="G46" i="47" s="1"/>
  <c r="O72" i="47" a="1"/>
  <c r="O72" i="47" s="1"/>
  <c r="H71" i="47" a="1"/>
  <c r="H71" i="47" s="1"/>
  <c r="G64" i="47" a="1"/>
  <c r="G64" i="47" s="1"/>
  <c r="H56" i="47" a="1"/>
  <c r="H56" i="47" s="1"/>
  <c r="E54" i="47" a="1"/>
  <c r="E54" i="47" s="1"/>
  <c r="L41" i="47" a="1"/>
  <c r="L41" i="47" s="1"/>
  <c r="J18" i="47" a="1"/>
  <c r="J18" i="47" s="1"/>
  <c r="R65" i="47" a="1"/>
  <c r="R65" i="47" s="1"/>
  <c r="S69" i="47" a="1"/>
  <c r="S69" i="47" s="1"/>
  <c r="O15" i="47" a="1"/>
  <c r="O15" i="47" s="1"/>
  <c r="D70" i="47"/>
  <c r="F41" i="47" a="1"/>
  <c r="F41" i="47" s="1"/>
  <c r="O75" i="47" a="1"/>
  <c r="O75" i="47" s="1"/>
  <c r="R77" i="47" a="1"/>
  <c r="R77" i="47" s="1"/>
  <c r="B100" i="47"/>
  <c r="C99" i="47"/>
  <c r="M15" i="47" a="1"/>
  <c r="M15" i="47" s="1"/>
  <c r="O12" i="47" a="1"/>
  <c r="O12" i="47" s="1"/>
  <c r="Q98" i="47" a="1"/>
  <c r="Q98" i="47" s="1"/>
  <c r="Q102" i="47" a="1"/>
  <c r="Q102" i="47" s="1"/>
  <c r="I53" i="47" a="1"/>
  <c r="I53" i="47" s="1"/>
  <c r="Q100" i="47" a="1"/>
  <c r="Q100" i="47" s="1"/>
  <c r="K82" i="47" a="1"/>
  <c r="K82" i="47" s="1"/>
  <c r="E35" i="47" a="1"/>
  <c r="E35" i="47" s="1"/>
  <c r="H27" i="47" a="1"/>
  <c r="H27" i="47" s="1"/>
  <c r="Q49" i="47" a="1"/>
  <c r="Q49" i="47" s="1"/>
  <c r="B40" i="47"/>
  <c r="E91" i="47" a="1"/>
  <c r="E91" i="47" s="1"/>
  <c r="D67" i="47"/>
  <c r="H10" i="47" a="1"/>
  <c r="H10" i="47" s="1"/>
  <c r="P77" i="47" a="1"/>
  <c r="P77" i="47" s="1"/>
  <c r="B46" i="47"/>
  <c r="B82" i="47"/>
  <c r="R88" i="47" a="1"/>
  <c r="R88" i="47" s="1"/>
  <c r="G36" i="47" a="1"/>
  <c r="G36" i="47" s="1"/>
  <c r="N75" i="47" a="1"/>
  <c r="N75" i="47" s="1"/>
  <c r="I66" i="47" a="1"/>
  <c r="I66" i="47" s="1"/>
  <c r="G104" i="47" a="1"/>
  <c r="G104" i="47" s="1"/>
  <c r="G92" i="47" a="1"/>
  <c r="G92" i="47" s="1"/>
  <c r="K72" i="47" a="1"/>
  <c r="K72" i="47" s="1"/>
  <c r="Q46" i="47" a="1"/>
  <c r="Q46" i="47" s="1"/>
  <c r="N11" i="47" a="1"/>
  <c r="N11" i="47" s="1"/>
  <c r="L54" i="47" a="1"/>
  <c r="L54" i="47" s="1"/>
  <c r="I11" i="47" a="1"/>
  <c r="I11" i="47" s="1"/>
  <c r="N41" i="47" a="1"/>
  <c r="N41" i="47" s="1"/>
  <c r="Q81" i="47" a="1"/>
  <c r="Q81" i="47" s="1"/>
  <c r="K95" i="47" a="1"/>
  <c r="K95" i="47" s="1"/>
  <c r="O101" i="47" a="1"/>
  <c r="O101" i="47" s="1"/>
  <c r="S60" i="47" a="1"/>
  <c r="S60" i="47" s="1"/>
  <c r="S67" i="47" a="1"/>
  <c r="S67" i="47" s="1"/>
  <c r="G65" i="47" a="1"/>
  <c r="G65" i="47" s="1"/>
  <c r="H37" i="47" a="1"/>
  <c r="H37" i="47" s="1"/>
  <c r="H80" i="47" a="1"/>
  <c r="H80" i="47" s="1"/>
  <c r="B38" i="47"/>
  <c r="K59" i="47" a="1"/>
  <c r="K59" i="47" s="1"/>
  <c r="I70" i="47" a="1"/>
  <c r="I70" i="47" s="1"/>
  <c r="L97" i="47" a="1"/>
  <c r="L97" i="47" s="1"/>
  <c r="N49" i="47" a="1"/>
  <c r="N49" i="47" s="1"/>
  <c r="C92" i="47"/>
  <c r="R55" i="47" a="1"/>
  <c r="R55" i="47" s="1"/>
  <c r="P93" i="47" a="1"/>
  <c r="P93" i="47" s="1"/>
  <c r="K89" i="47" a="1"/>
  <c r="K89" i="47" s="1"/>
  <c r="C79" i="47"/>
  <c r="P17" i="47" a="1"/>
  <c r="P17" i="47" s="1"/>
  <c r="L43" i="47" a="1"/>
  <c r="L43" i="47" s="1"/>
  <c r="R34" i="47" a="1"/>
  <c r="R34" i="47" s="1"/>
  <c r="M90" i="47" a="1"/>
  <c r="M90" i="47" s="1"/>
  <c r="O23" i="47" a="1"/>
  <c r="O23" i="47" s="1"/>
  <c r="R72" i="47" a="1"/>
  <c r="R72" i="47" s="1"/>
  <c r="P64" i="47" a="1"/>
  <c r="P64" i="47" s="1"/>
  <c r="G73" i="47" a="1"/>
  <c r="G73" i="47" s="1"/>
  <c r="Q75" i="47" a="1"/>
  <c r="Q75" i="47" s="1"/>
  <c r="O100" i="47" a="1"/>
  <c r="O100" i="47" s="1"/>
  <c r="P10" i="47" a="1"/>
  <c r="P10" i="47" s="1"/>
  <c r="P85" i="47" a="1"/>
  <c r="P85" i="47" s="1"/>
  <c r="C30" i="47"/>
  <c r="H98" i="47" a="1"/>
  <c r="H98" i="47" s="1"/>
  <c r="M68" i="47" a="1"/>
  <c r="M68" i="47" s="1"/>
  <c r="K42" i="47" a="1"/>
  <c r="K42" i="47" s="1"/>
  <c r="E48" i="47" a="1"/>
  <c r="E48" i="47" s="1"/>
  <c r="P49" i="47" a="1"/>
  <c r="P49" i="47" s="1"/>
  <c r="N91" i="47" a="1"/>
  <c r="N91" i="47" s="1"/>
  <c r="M18" i="47" a="1"/>
  <c r="M18" i="47" s="1"/>
  <c r="I81" i="47" a="1"/>
  <c r="I81" i="47" s="1"/>
  <c r="Q83" i="47" a="1"/>
  <c r="Q83" i="47" s="1"/>
  <c r="P56" i="47" a="1"/>
  <c r="P56" i="47" s="1"/>
  <c r="R48" i="47" a="1"/>
  <c r="R48" i="47" s="1"/>
  <c r="R81" i="47" a="1"/>
  <c r="R81" i="47" s="1"/>
  <c r="B97" i="47"/>
  <c r="N23" i="47" a="1"/>
  <c r="N23" i="47" s="1"/>
  <c r="M37" i="47" a="1"/>
  <c r="M37" i="47" s="1"/>
  <c r="S99" i="47" a="1"/>
  <c r="S99" i="47" s="1"/>
  <c r="N63" i="47" a="1"/>
  <c r="N63" i="47" s="1"/>
  <c r="H78" i="47" a="1"/>
  <c r="H78" i="47" s="1"/>
  <c r="P91" i="47" a="1"/>
  <c r="P91" i="47" s="1"/>
  <c r="F54" i="47" a="1"/>
  <c r="F54" i="47" s="1"/>
  <c r="B87" i="47"/>
  <c r="S50" i="47" a="1"/>
  <c r="S50" i="47" s="1"/>
  <c r="K14" i="47" a="1"/>
  <c r="K14" i="47" s="1"/>
  <c r="J54" i="47" a="1"/>
  <c r="J54" i="47" s="1"/>
  <c r="Q48" i="47" a="1"/>
  <c r="Q48" i="47" s="1"/>
  <c r="N102" i="47" a="1"/>
  <c r="N102" i="47" s="1"/>
  <c r="F12" i="47" a="1"/>
  <c r="F12" i="47" s="1"/>
  <c r="L104" i="47" a="1"/>
  <c r="L104" i="47" s="1"/>
  <c r="I94" i="47" a="1"/>
  <c r="I94" i="47" s="1"/>
  <c r="H94" i="47" a="1"/>
  <c r="H94" i="47" s="1"/>
  <c r="N21" i="47" a="1"/>
  <c r="N21" i="47" s="1"/>
  <c r="M17" i="47" a="1"/>
  <c r="M17" i="47" s="1"/>
  <c r="D65" i="47"/>
  <c r="S10" i="47" a="1"/>
  <c r="S10" i="47" s="1"/>
  <c r="H29" i="47" a="1"/>
  <c r="H29" i="47" s="1"/>
  <c r="J63" i="47" a="1"/>
  <c r="J63" i="47" s="1"/>
  <c r="S93" i="47" a="1"/>
  <c r="S93" i="47" s="1"/>
  <c r="Q101" i="47" a="1"/>
  <c r="Q101" i="47" s="1"/>
  <c r="S35" i="47" a="1"/>
  <c r="S35" i="47" s="1"/>
  <c r="K17" i="47" a="1"/>
  <c r="K17" i="47" s="1"/>
  <c r="G27" i="47" a="1"/>
  <c r="G27" i="47" s="1"/>
  <c r="S94" i="47" a="1"/>
  <c r="S94" i="47" s="1"/>
  <c r="P94" i="47" a="1"/>
  <c r="P94" i="47" s="1"/>
  <c r="F102" i="47" a="1"/>
  <c r="F102" i="47" s="1"/>
  <c r="C47" i="47"/>
  <c r="M49" i="47" a="1"/>
  <c r="M49" i="47" s="1"/>
  <c r="F52" i="47" a="1"/>
  <c r="F52" i="47" s="1"/>
  <c r="S11" i="47" a="1"/>
  <c r="S11" i="47" s="1"/>
  <c r="D69" i="47"/>
  <c r="G16" i="47" a="1"/>
  <c r="G16" i="47" s="1"/>
  <c r="R75" i="47" a="1"/>
  <c r="R75" i="47" s="1"/>
  <c r="P16" i="47" a="1"/>
  <c r="P16" i="47" s="1"/>
  <c r="S54" i="47" a="1"/>
  <c r="S54" i="47" s="1"/>
  <c r="G35" i="47" a="1"/>
  <c r="G35" i="47" s="1"/>
  <c r="M86" i="47" a="1"/>
  <c r="M86" i="47" s="1"/>
  <c r="K87" i="47" a="1"/>
  <c r="K87" i="47" s="1"/>
  <c r="O22" i="47" a="1"/>
  <c r="O22" i="47" s="1"/>
  <c r="K23" i="47" a="1"/>
  <c r="K23" i="47" s="1"/>
  <c r="O29" i="47" a="1"/>
  <c r="O29" i="47" s="1"/>
  <c r="J99" i="47" a="1"/>
  <c r="J99" i="47" s="1"/>
  <c r="K49" i="47" a="1"/>
  <c r="K49" i="47" s="1"/>
  <c r="B93" i="47"/>
  <c r="E57" i="47" a="1"/>
  <c r="E57" i="47" s="1"/>
  <c r="J73" i="47" a="1"/>
  <c r="J73" i="47" s="1"/>
  <c r="Q97" i="47" a="1"/>
  <c r="Q97" i="47" s="1"/>
  <c r="E93" i="47" a="1"/>
  <c r="E93" i="47" s="1"/>
  <c r="C100" i="47"/>
  <c r="R49" i="47" a="1"/>
  <c r="R49" i="47" s="1"/>
  <c r="F23" i="47" a="1"/>
  <c r="F23" i="47" s="1"/>
  <c r="L77" i="47" a="1"/>
  <c r="L77" i="47" s="1"/>
  <c r="I44" i="47" a="1"/>
  <c r="I44" i="47" s="1"/>
  <c r="S26" i="47" a="1"/>
  <c r="S26" i="47" s="1"/>
  <c r="E26" i="47" a="1"/>
  <c r="E26" i="47" s="1"/>
  <c r="P53" i="47" a="1"/>
  <c r="P53" i="47" s="1"/>
  <c r="S28" i="47" a="1"/>
  <c r="S28" i="47" s="1"/>
  <c r="O94" i="47" a="1"/>
  <c r="O94" i="47" s="1"/>
  <c r="J49" i="47" a="1"/>
  <c r="J49" i="47" s="1"/>
  <c r="J79" i="47" a="1"/>
  <c r="J79" i="47" s="1"/>
  <c r="P38" i="47" a="1"/>
  <c r="P38" i="47" s="1"/>
  <c r="F13" i="47" a="1"/>
  <c r="F13" i="47" s="1"/>
  <c r="L73" i="47" a="1"/>
  <c r="L73" i="47" s="1"/>
  <c r="H67" i="47" a="1"/>
  <c r="H67" i="47" s="1"/>
  <c r="N38" i="47" a="1"/>
  <c r="N38" i="47" s="1"/>
  <c r="I14" i="47" a="1"/>
  <c r="I14" i="47" s="1"/>
  <c r="O96" i="47" a="1"/>
  <c r="O96" i="47" s="1"/>
  <c r="O83" i="47" a="1"/>
  <c r="O83" i="47" s="1"/>
  <c r="M101" i="47" a="1"/>
  <c r="M101" i="47" s="1"/>
  <c r="O19" i="47" a="1"/>
  <c r="O19" i="47" s="1"/>
  <c r="S55" i="47" a="1"/>
  <c r="S55" i="47" s="1"/>
  <c r="O37" i="47" a="1"/>
  <c r="O37" i="47" s="1"/>
  <c r="H53" i="47" a="1"/>
  <c r="H53" i="47" s="1"/>
  <c r="C43" i="47"/>
  <c r="N15" i="47" a="1"/>
  <c r="N15" i="47" s="1"/>
  <c r="Q104" i="47" a="1"/>
  <c r="Q104" i="47" s="1"/>
  <c r="M34" i="47" a="1"/>
  <c r="M34" i="47" s="1"/>
  <c r="Q70" i="47" a="1"/>
  <c r="Q70" i="47" s="1"/>
  <c r="N55" i="47" a="1"/>
  <c r="N55" i="47" s="1"/>
  <c r="K24" i="47" a="1"/>
  <c r="K24" i="47" s="1"/>
  <c r="R95" i="47" a="1"/>
  <c r="R95" i="47" s="1"/>
  <c r="H15" i="47" a="1"/>
  <c r="H15" i="47" s="1"/>
  <c r="J32" i="47" a="1"/>
  <c r="J32" i="47" s="1"/>
  <c r="H57" i="47" a="1"/>
  <c r="H57" i="47" s="1"/>
  <c r="I27" i="47" a="1"/>
  <c r="I27" i="47" s="1"/>
  <c r="H55" i="47" a="1"/>
  <c r="H55" i="47" s="1"/>
  <c r="M77" i="47" a="1"/>
  <c r="M77" i="47" s="1"/>
  <c r="O89" i="47" a="1"/>
  <c r="O89" i="47" s="1"/>
  <c r="K61" i="47" a="1"/>
  <c r="K61" i="47" s="1"/>
  <c r="G32" i="47" a="1"/>
  <c r="G32" i="47" s="1"/>
  <c r="D48" i="47"/>
  <c r="H47" i="47" a="1"/>
  <c r="H47" i="47" s="1"/>
  <c r="H13" i="47" a="1"/>
  <c r="H13" i="47" s="1"/>
  <c r="K71" i="47" a="1"/>
  <c r="K71" i="47" s="1"/>
  <c r="H91" i="47" a="1"/>
  <c r="H91" i="47" s="1"/>
  <c r="R90" i="47" a="1"/>
  <c r="R90" i="47" s="1"/>
  <c r="Q63" i="47" a="1"/>
  <c r="Q63" i="47" s="1"/>
  <c r="P59" i="47" a="1"/>
  <c r="P59" i="47" s="1"/>
  <c r="Q17" i="47" a="1"/>
  <c r="Q17" i="47" s="1"/>
  <c r="J84" i="47" a="1"/>
  <c r="J84" i="47" s="1"/>
  <c r="N31" i="47" a="1"/>
  <c r="N31" i="47" s="1"/>
  <c r="I102" i="47" a="1"/>
  <c r="I102" i="47" s="1"/>
  <c r="M99" i="47" a="1"/>
  <c r="M99" i="47" s="1"/>
  <c r="K54" i="47" a="1"/>
  <c r="K54" i="47" s="1"/>
  <c r="M67" i="47" a="1"/>
  <c r="M67" i="47" s="1"/>
  <c r="S30" i="47" a="1"/>
  <c r="S30" i="47" s="1"/>
  <c r="H74" i="47" a="1"/>
  <c r="H74" i="47" s="1"/>
  <c r="O95" i="47" a="1"/>
  <c r="O95" i="47" s="1"/>
  <c r="D57" i="47"/>
  <c r="O78" i="47" a="1"/>
  <c r="O78" i="47" s="1"/>
  <c r="Q59" i="47" a="1"/>
  <c r="Q59" i="47" s="1"/>
  <c r="E32" i="47" a="1"/>
  <c r="E32" i="47" s="1"/>
  <c r="H77" i="47" a="1"/>
  <c r="H77" i="47" s="1"/>
  <c r="E80" i="47" a="1"/>
  <c r="E80" i="47" s="1"/>
  <c r="N29" i="47" a="1"/>
  <c r="N29" i="47" s="1"/>
  <c r="J37" i="47" a="1"/>
  <c r="J37" i="47" s="1"/>
  <c r="O73" i="47" a="1"/>
  <c r="O73" i="47" s="1"/>
  <c r="J10" i="47" a="1"/>
  <c r="J10" i="47" s="1"/>
  <c r="R31" i="47" a="1"/>
  <c r="R31" i="47" s="1"/>
  <c r="Q25" i="47" a="1"/>
  <c r="Q25" i="47" s="1"/>
  <c r="K56" i="47" a="1"/>
  <c r="K56" i="47" s="1"/>
  <c r="L60" i="47" a="1"/>
  <c r="L60" i="47" s="1"/>
  <c r="Q73" i="47" a="1"/>
  <c r="Q73" i="47" s="1"/>
  <c r="S53" i="47" a="1"/>
  <c r="S53" i="47" s="1"/>
  <c r="L53" i="47" a="1"/>
  <c r="L53" i="47" s="1"/>
  <c r="R102" i="47" a="1"/>
  <c r="R102" i="47" s="1"/>
  <c r="K63" i="47" a="1"/>
  <c r="K63" i="47" s="1"/>
  <c r="E103" i="47" a="1"/>
  <c r="E103" i="47" s="1"/>
  <c r="G102" i="47" a="1"/>
  <c r="G102" i="47" s="1"/>
  <c r="E20" i="47" a="1"/>
  <c r="E20" i="47" s="1"/>
  <c r="S102" i="47" a="1"/>
  <c r="S102" i="47" s="1"/>
  <c r="J26" i="47" a="1"/>
  <c r="J26" i="47" s="1"/>
  <c r="N95" i="47" a="1"/>
  <c r="N95" i="47" s="1"/>
  <c r="O66" i="47" a="1"/>
  <c r="O66" i="47" s="1"/>
  <c r="H79" i="47" a="1"/>
  <c r="H79" i="47" s="1"/>
  <c r="F14" i="47" a="1"/>
  <c r="F14" i="47" s="1"/>
  <c r="P40" i="47" a="1"/>
  <c r="P40" i="47" s="1"/>
  <c r="K13" i="47" a="1"/>
  <c r="K13" i="47" s="1"/>
  <c r="D46" i="47"/>
  <c r="S103" i="47" a="1"/>
  <c r="S103" i="47" s="1"/>
  <c r="O63" i="47" a="1"/>
  <c r="O63" i="47" s="1"/>
  <c r="K98" i="47" a="1"/>
  <c r="K98" i="47" s="1"/>
  <c r="J25" i="47" a="1"/>
  <c r="J25" i="47" s="1"/>
  <c r="G10" i="47" a="1"/>
  <c r="G10" i="47" s="1"/>
  <c r="M83" i="47" a="1"/>
  <c r="M83" i="47" s="1"/>
  <c r="L21" i="47" a="1"/>
  <c r="L21" i="47" s="1"/>
  <c r="P75" i="47" a="1"/>
  <c r="P75" i="47" s="1"/>
  <c r="N36" i="47" a="1"/>
  <c r="N36" i="47" s="1"/>
  <c r="M36" i="47" a="1"/>
  <c r="M36" i="47" s="1"/>
  <c r="M30" i="47" a="1"/>
  <c r="M30" i="47" s="1"/>
  <c r="N77" i="47" a="1"/>
  <c r="N77" i="47" s="1"/>
  <c r="P60" i="47" a="1"/>
  <c r="P60" i="47" s="1"/>
  <c r="M12" i="47" a="1"/>
  <c r="M12" i="47" s="1"/>
  <c r="S62" i="47" a="1"/>
  <c r="S62" i="47" s="1"/>
  <c r="M11" i="47" a="1"/>
  <c r="M11" i="47" s="1"/>
  <c r="J41" i="47" a="1"/>
  <c r="J41" i="47" s="1"/>
  <c r="H102" i="47" a="1"/>
  <c r="H102" i="47" s="1"/>
  <c r="J101" i="47" a="1"/>
  <c r="J101" i="47" s="1"/>
  <c r="R24" i="47" a="1"/>
  <c r="R24" i="47" s="1"/>
  <c r="O99" i="47" a="1"/>
  <c r="O99" i="47" s="1"/>
  <c r="P32" i="47" a="1"/>
  <c r="P32" i="47" s="1"/>
  <c r="I37" i="47" a="1"/>
  <c r="I37" i="47" s="1"/>
  <c r="B17" i="47"/>
  <c r="I85" i="47" a="1"/>
  <c r="I85" i="47" s="1"/>
  <c r="J96" i="47" a="1"/>
  <c r="J96" i="47" s="1"/>
  <c r="L79" i="47" a="1"/>
  <c r="L79" i="47" s="1"/>
  <c r="P81" i="47" a="1"/>
  <c r="P81" i="47" s="1"/>
  <c r="P84" i="47" a="1"/>
  <c r="P84" i="47" s="1"/>
  <c r="H49" i="47" a="1"/>
  <c r="H49" i="47" s="1"/>
  <c r="H23" i="47" a="1"/>
  <c r="H23" i="47" s="1"/>
  <c r="K78" i="47" a="1"/>
  <c r="K78" i="47" s="1"/>
  <c r="L11" i="47" a="1"/>
  <c r="L11" i="47" s="1"/>
  <c r="S70" i="47" a="1"/>
  <c r="S70" i="47" s="1"/>
  <c r="L32" i="47" a="1"/>
  <c r="L32" i="47" s="1"/>
  <c r="C38" i="47"/>
  <c r="K104" i="47" a="1"/>
  <c r="K104" i="47" s="1"/>
  <c r="J94" i="47" a="1"/>
  <c r="J94" i="47" s="1"/>
  <c r="S43" i="47" a="1"/>
  <c r="S43" i="47" s="1"/>
  <c r="I18" i="47" a="1"/>
  <c r="I18" i="47" s="1"/>
  <c r="P44" i="47" a="1"/>
  <c r="P44" i="47" s="1"/>
  <c r="J28" i="47" a="1"/>
  <c r="J28" i="47" s="1"/>
  <c r="Q95" i="47" a="1"/>
  <c r="Q95" i="47" s="1"/>
  <c r="Q62" i="47" a="1"/>
  <c r="Q62" i="47" s="1"/>
  <c r="L94" i="47" a="1"/>
  <c r="L94" i="47" s="1"/>
  <c r="J89" i="47" a="1"/>
  <c r="J89" i="47" s="1"/>
  <c r="H32" i="47" a="1"/>
  <c r="H32" i="47" s="1"/>
  <c r="R78" i="47" a="1"/>
  <c r="R78" i="47" s="1"/>
  <c r="R83" i="47" a="1"/>
  <c r="R83" i="47" s="1"/>
  <c r="P29" i="47" a="1"/>
  <c r="P29" i="47" s="1"/>
  <c r="C70" i="47"/>
  <c r="Q82" i="47" a="1"/>
  <c r="Q82" i="47" s="1"/>
  <c r="M52" i="47" a="1"/>
  <c r="M52" i="47" s="1"/>
  <c r="N99" i="47" a="1"/>
  <c r="N99" i="47" s="1"/>
  <c r="K70" i="47" a="1"/>
  <c r="K70" i="47" s="1"/>
  <c r="S17" i="47" a="1"/>
  <c r="S17" i="47" s="1"/>
  <c r="S22" i="47" a="1"/>
  <c r="S22" i="47" s="1"/>
  <c r="B15" i="47"/>
  <c r="J80" i="47" a="1"/>
  <c r="J80" i="47" s="1"/>
  <c r="N103" i="47" a="1"/>
  <c r="N103" i="47" s="1"/>
  <c r="Q68" i="47" a="1"/>
  <c r="Q68" i="47" s="1"/>
  <c r="R11" i="47" a="1"/>
  <c r="R11" i="47" s="1"/>
  <c r="J60" i="47" a="1"/>
  <c r="J60" i="47" s="1"/>
  <c r="H54" i="47" a="1"/>
  <c r="H54" i="47" s="1"/>
  <c r="N73" i="47" a="1"/>
  <c r="N73" i="47" s="1"/>
  <c r="J104" i="47" a="1"/>
  <c r="J104" i="47" s="1"/>
  <c r="F79" i="47" a="1"/>
  <c r="F79" i="47" s="1"/>
  <c r="J14" i="47" a="1"/>
  <c r="J14" i="47" s="1"/>
  <c r="J31" i="47" a="1"/>
  <c r="J31" i="47" s="1"/>
  <c r="L100" i="47" a="1"/>
  <c r="L100" i="47" s="1"/>
  <c r="P72" i="47" a="1"/>
  <c r="P72" i="47" s="1"/>
  <c r="G93" i="47" a="1"/>
  <c r="G93" i="47" s="1"/>
  <c r="P88" i="47" a="1"/>
  <c r="P88" i="47" s="1"/>
  <c r="J29" i="47" a="1"/>
  <c r="J29" i="47" s="1"/>
  <c r="J65" i="47" a="1"/>
  <c r="J65" i="47" s="1"/>
  <c r="O74" i="47" a="1"/>
  <c r="O74" i="47" s="1"/>
  <c r="K32" i="47" a="1"/>
  <c r="K32" i="47" s="1"/>
  <c r="M45" i="47" a="1"/>
  <c r="M45" i="47" s="1"/>
  <c r="R69" i="47" a="1"/>
  <c r="R69" i="47" s="1"/>
  <c r="J47" i="47" a="1"/>
  <c r="J47" i="47" s="1"/>
  <c r="G47" i="47" a="1"/>
  <c r="G47" i="47" s="1"/>
  <c r="R43" i="47" a="1"/>
  <c r="R43" i="47" s="1"/>
  <c r="O51" i="47" a="1"/>
  <c r="O51" i="47" s="1"/>
  <c r="P100" i="47" a="1"/>
  <c r="P100" i="47" s="1"/>
  <c r="P20" i="47" a="1"/>
  <c r="P20" i="47" s="1"/>
  <c r="N97" i="47" a="1"/>
  <c r="N97" i="47" s="1"/>
  <c r="R47" i="47" a="1"/>
  <c r="R47" i="47" s="1"/>
  <c r="L86" i="47" a="1"/>
  <c r="L86" i="47" s="1"/>
  <c r="I51" i="47" a="1"/>
  <c r="I51" i="47" s="1"/>
  <c r="N61" i="47" a="1"/>
  <c r="N61" i="47" s="1"/>
  <c r="P12" i="47" a="1"/>
  <c r="P12" i="47" s="1"/>
  <c r="E45" i="47" a="1"/>
  <c r="E45" i="47" s="1"/>
  <c r="Q96" i="47" a="1"/>
  <c r="Q96" i="47" s="1"/>
  <c r="D42" i="47"/>
  <c r="Q30" i="47" a="1"/>
  <c r="Q30" i="47" s="1"/>
  <c r="O46" i="47" a="1"/>
  <c r="O46" i="47" s="1"/>
  <c r="Q32" i="47" a="1"/>
  <c r="Q32" i="47" s="1"/>
  <c r="J22" i="47" a="1"/>
  <c r="J22" i="47" s="1"/>
  <c r="E52" i="47" a="1"/>
  <c r="E52" i="47" s="1"/>
  <c r="O14" i="47" a="1"/>
  <c r="O14" i="47" s="1"/>
  <c r="J45" i="47" a="1"/>
  <c r="J45" i="47" s="1"/>
  <c r="N92" i="47" a="1"/>
  <c r="N92" i="47" s="1"/>
  <c r="P89" i="47" a="1"/>
  <c r="P89" i="47" s="1"/>
  <c r="N101" i="47" a="1"/>
  <c r="N101" i="47" s="1"/>
  <c r="L70" i="47" a="1"/>
  <c r="L70" i="47" s="1"/>
  <c r="F63" i="47" a="1"/>
  <c r="F63" i="47" s="1"/>
  <c r="S45" i="47" a="1"/>
  <c r="S45" i="47" s="1"/>
  <c r="E10" i="47" a="1"/>
  <c r="E10" i="47" s="1"/>
  <c r="AI36" i="50"/>
  <c r="AF36" i="50"/>
  <c r="T36" i="50"/>
  <c r="U36" i="50"/>
  <c r="AB36" i="50"/>
  <c r="AK36" i="50"/>
  <c r="AL36" i="50"/>
  <c r="AD36" i="50"/>
  <c r="AA36" i="50"/>
  <c r="AH36" i="50"/>
  <c r="H36" i="50"/>
  <c r="W36" i="50"/>
  <c r="V36" i="50"/>
  <c r="K36" i="50"/>
  <c r="J36" i="50"/>
  <c r="AG36" i="50"/>
  <c r="S36" i="50"/>
  <c r="AE36" i="50"/>
  <c r="AC36" i="50"/>
  <c r="AJ36" i="50"/>
  <c r="P36" i="50"/>
  <c r="L36" i="50"/>
  <c r="Q36" i="50"/>
  <c r="Z36" i="50"/>
  <c r="M36" i="50"/>
  <c r="O36" i="50"/>
  <c r="Y36" i="50"/>
  <c r="X36" i="50"/>
  <c r="R36" i="50"/>
  <c r="AM36" i="50"/>
  <c r="N36" i="50"/>
  <c r="I36" i="50"/>
  <c r="X45" i="50"/>
  <c r="W45" i="50"/>
  <c r="U45" i="50"/>
  <c r="AB45" i="50"/>
  <c r="AK45" i="50"/>
  <c r="S45" i="50"/>
  <c r="AH45" i="50"/>
  <c r="N45" i="50"/>
  <c r="O45" i="50"/>
  <c r="AJ45" i="50"/>
  <c r="R45" i="50"/>
  <c r="V45" i="50"/>
  <c r="AE45" i="50"/>
  <c r="AM45" i="50"/>
  <c r="AF45" i="50"/>
  <c r="Q45" i="50"/>
  <c r="AG45" i="50"/>
  <c r="AI45" i="50"/>
  <c r="AC45" i="50"/>
  <c r="AL45" i="50"/>
  <c r="AD45" i="50"/>
  <c r="K45" i="50"/>
  <c r="Y45" i="50"/>
  <c r="L45" i="50"/>
  <c r="J45" i="50"/>
  <c r="P45" i="50"/>
  <c r="Z45" i="50"/>
  <c r="H45" i="50"/>
  <c r="T45" i="50"/>
  <c r="M45" i="50"/>
  <c r="I45" i="50"/>
  <c r="AA45" i="50"/>
  <c r="L24" i="50"/>
  <c r="S24" i="50"/>
  <c r="P24" i="50"/>
  <c r="AA24" i="50"/>
  <c r="AK24" i="50"/>
  <c r="T24" i="50"/>
  <c r="H24" i="50"/>
  <c r="AD24" i="50"/>
  <c r="Q24" i="50"/>
  <c r="AL24" i="50"/>
  <c r="AI24" i="50"/>
  <c r="W24" i="50"/>
  <c r="AF24" i="50"/>
  <c r="X24" i="50"/>
  <c r="K24" i="50"/>
  <c r="AE24" i="50"/>
  <c r="R24" i="50"/>
  <c r="U24" i="50"/>
  <c r="AH24" i="50"/>
  <c r="V24" i="50"/>
  <c r="AC24" i="50"/>
  <c r="J24" i="50"/>
  <c r="AB24" i="50"/>
  <c r="AJ24" i="50"/>
  <c r="O24" i="50"/>
  <c r="N24" i="50"/>
  <c r="AM24" i="50"/>
  <c r="Y24" i="50"/>
  <c r="AG24" i="50"/>
  <c r="M24" i="50"/>
  <c r="I24" i="50"/>
  <c r="Z24" i="50"/>
  <c r="AD25" i="50"/>
  <c r="AI25" i="50"/>
  <c r="T25" i="50"/>
  <c r="X25" i="50"/>
  <c r="Y25" i="50"/>
  <c r="AB25" i="50"/>
  <c r="AE25" i="50"/>
  <c r="O25" i="50"/>
  <c r="I25" i="50"/>
  <c r="AA25" i="50"/>
  <c r="M25" i="50"/>
  <c r="R25" i="50"/>
  <c r="H25" i="50"/>
  <c r="AM25" i="50"/>
  <c r="AG25" i="50"/>
  <c r="AL25" i="50"/>
  <c r="AF25" i="50"/>
  <c r="U25" i="50"/>
  <c r="Z25" i="50"/>
  <c r="Q25" i="50"/>
  <c r="N25" i="50"/>
  <c r="W25" i="50"/>
  <c r="S25" i="50"/>
  <c r="J25" i="50"/>
  <c r="AC25" i="50"/>
  <c r="P25" i="50"/>
  <c r="K25" i="50"/>
  <c r="L25" i="50"/>
  <c r="AK25" i="50"/>
  <c r="V25" i="50"/>
  <c r="AJ25" i="50"/>
  <c r="AH25" i="50"/>
  <c r="O102" i="50"/>
  <c r="T102" i="50"/>
  <c r="AA102" i="50"/>
  <c r="AD102" i="50"/>
  <c r="W102" i="50"/>
  <c r="AB102" i="50"/>
  <c r="U102" i="50"/>
  <c r="Z102" i="50"/>
  <c r="J102" i="50"/>
  <c r="Q102" i="50"/>
  <c r="K102" i="50"/>
  <c r="L102" i="50"/>
  <c r="AM102" i="50"/>
  <c r="Y102" i="50"/>
  <c r="AC102" i="50"/>
  <c r="AK102" i="50"/>
  <c r="R102" i="50"/>
  <c r="N102" i="50"/>
  <c r="M102" i="50"/>
  <c r="I102" i="50"/>
  <c r="V102" i="50"/>
  <c r="AH102" i="50"/>
  <c r="P102" i="50"/>
  <c r="AI102" i="50"/>
  <c r="AE102" i="50"/>
  <c r="H102" i="50"/>
  <c r="X102" i="50"/>
  <c r="AL102" i="50"/>
  <c r="AF102" i="50"/>
  <c r="AG102" i="50"/>
  <c r="AJ102" i="50"/>
  <c r="S102" i="50"/>
  <c r="R55" i="50"/>
  <c r="AL55" i="50"/>
  <c r="AM55" i="50"/>
  <c r="Y55" i="50"/>
  <c r="M55" i="50"/>
  <c r="W55" i="50"/>
  <c r="H55" i="50"/>
  <c r="P55" i="50"/>
  <c r="Z55" i="50"/>
  <c r="AK55" i="50"/>
  <c r="N55" i="50"/>
  <c r="S55" i="50"/>
  <c r="AI55" i="50"/>
  <c r="AB55" i="50"/>
  <c r="K55" i="50"/>
  <c r="AF55" i="50"/>
  <c r="V55" i="50"/>
  <c r="J55" i="50"/>
  <c r="X55" i="50"/>
  <c r="L55" i="50"/>
  <c r="T55" i="50"/>
  <c r="AC55" i="50"/>
  <c r="I55" i="50"/>
  <c r="AD55" i="50"/>
  <c r="AH55" i="50"/>
  <c r="AE55" i="50"/>
  <c r="Q55" i="50"/>
  <c r="U55" i="50"/>
  <c r="AJ55" i="50"/>
  <c r="AA55" i="50"/>
  <c r="O55" i="50"/>
  <c r="AG55" i="50"/>
  <c r="AB23" i="50"/>
  <c r="AK23" i="50"/>
  <c r="AD23" i="50"/>
  <c r="AF23" i="50"/>
  <c r="P23" i="50"/>
  <c r="W23" i="50"/>
  <c r="AH23" i="50"/>
  <c r="L23" i="50"/>
  <c r="J23" i="50"/>
  <c r="O23" i="50"/>
  <c r="Q23" i="50"/>
  <c r="V23" i="50"/>
  <c r="AI23" i="50"/>
  <c r="AL23" i="50"/>
  <c r="R23" i="50"/>
  <c r="AG23" i="50"/>
  <c r="N23" i="50"/>
  <c r="Z23" i="50"/>
  <c r="M23" i="50"/>
  <c r="AM23" i="50"/>
  <c r="U23" i="50"/>
  <c r="AJ23" i="50"/>
  <c r="X23" i="50"/>
  <c r="K23" i="50"/>
  <c r="S23" i="50"/>
  <c r="H23" i="50"/>
  <c r="AA23" i="50"/>
  <c r="Y23" i="50"/>
  <c r="AE23" i="50"/>
  <c r="AC23" i="50"/>
  <c r="T23" i="50"/>
  <c r="I23" i="50"/>
  <c r="AM80" i="50"/>
  <c r="AL80" i="50"/>
  <c r="V80" i="50"/>
  <c r="W80" i="50"/>
  <c r="K80" i="50"/>
  <c r="Q80" i="50"/>
  <c r="AG80" i="50"/>
  <c r="AJ80" i="50"/>
  <c r="X80" i="50"/>
  <c r="M80" i="50"/>
  <c r="N80" i="50"/>
  <c r="U80" i="50"/>
  <c r="J80" i="50"/>
  <c r="AH80" i="50"/>
  <c r="AC80" i="50"/>
  <c r="L80" i="50"/>
  <c r="AE80" i="50"/>
  <c r="AB80" i="50"/>
  <c r="T80" i="50"/>
  <c r="Y80" i="50"/>
  <c r="H80" i="50"/>
  <c r="AI80" i="50"/>
  <c r="AK80" i="50"/>
  <c r="S80" i="50"/>
  <c r="AA80" i="50"/>
  <c r="AD80" i="50"/>
  <c r="R80" i="50"/>
  <c r="O80" i="50"/>
  <c r="AF80" i="50"/>
  <c r="I80" i="50"/>
  <c r="P80" i="50"/>
  <c r="Z80" i="50"/>
  <c r="I88" i="50"/>
  <c r="M88" i="50"/>
  <c r="AM88" i="50"/>
  <c r="Y88" i="50"/>
  <c r="U88" i="50"/>
  <c r="Q88" i="50"/>
  <c r="AD88" i="50"/>
  <c r="W88" i="50"/>
  <c r="AE88" i="50"/>
  <c r="AL88" i="50"/>
  <c r="J88" i="50"/>
  <c r="AC88" i="50"/>
  <c r="AF88" i="50"/>
  <c r="AA88" i="50"/>
  <c r="AK88" i="50"/>
  <c r="O88" i="50"/>
  <c r="K88" i="50"/>
  <c r="L88" i="50"/>
  <c r="AI88" i="50"/>
  <c r="Z88" i="50"/>
  <c r="R88" i="50"/>
  <c r="AB88" i="50"/>
  <c r="AJ88" i="50"/>
  <c r="S88" i="50"/>
  <c r="X88" i="50"/>
  <c r="N88" i="50"/>
  <c r="AH88" i="50"/>
  <c r="V88" i="50"/>
  <c r="T88" i="50"/>
  <c r="P88" i="50"/>
  <c r="H88" i="50"/>
  <c r="AG88" i="50"/>
  <c r="AG86" i="50"/>
  <c r="AA86" i="50"/>
  <c r="N86" i="50"/>
  <c r="H86" i="50"/>
  <c r="AF86" i="50"/>
  <c r="U86" i="50"/>
  <c r="O86" i="50"/>
  <c r="AE86" i="50"/>
  <c r="M86" i="50"/>
  <c r="V86" i="50"/>
  <c r="L86" i="50"/>
  <c r="Z86" i="50"/>
  <c r="AK86" i="50"/>
  <c r="AJ86" i="50"/>
  <c r="AC86" i="50"/>
  <c r="W86" i="50"/>
  <c r="X86" i="50"/>
  <c r="AH86" i="50"/>
  <c r="Y86" i="50"/>
  <c r="T86" i="50"/>
  <c r="AM86" i="50"/>
  <c r="AI86" i="50"/>
  <c r="R86" i="50"/>
  <c r="P86" i="50"/>
  <c r="AD86" i="50"/>
  <c r="J86" i="50"/>
  <c r="S86" i="50"/>
  <c r="AL86" i="50"/>
  <c r="Q86" i="50"/>
  <c r="I86" i="50"/>
  <c r="AB86" i="50"/>
  <c r="K86" i="50"/>
  <c r="AG101" i="50"/>
  <c r="M101" i="50"/>
  <c r="S101" i="50"/>
  <c r="I101" i="50"/>
  <c r="AC101" i="50"/>
  <c r="O101" i="50"/>
  <c r="AK101" i="50"/>
  <c r="K101" i="50"/>
  <c r="Q101" i="50"/>
  <c r="AL101" i="50"/>
  <c r="AI101" i="50"/>
  <c r="AH101" i="50"/>
  <c r="X101" i="50"/>
  <c r="J101" i="50"/>
  <c r="T101" i="50"/>
  <c r="H101" i="50"/>
  <c r="AA101" i="50"/>
  <c r="AD101" i="50"/>
  <c r="AF101" i="50"/>
  <c r="Z101" i="50"/>
  <c r="AJ101" i="50"/>
  <c r="R101" i="50"/>
  <c r="P101" i="50"/>
  <c r="Y101" i="50"/>
  <c r="V101" i="50"/>
  <c r="N101" i="50"/>
  <c r="W101" i="50"/>
  <c r="AM101" i="50"/>
  <c r="U101" i="50"/>
  <c r="L101" i="50"/>
  <c r="AB101" i="50"/>
  <c r="AE101" i="50"/>
  <c r="AF9" i="50"/>
  <c r="J9" i="50"/>
  <c r="M9" i="50"/>
  <c r="N9" i="50"/>
  <c r="S9" i="50"/>
  <c r="Z9" i="50"/>
  <c r="I9" i="50"/>
  <c r="K9" i="50"/>
  <c r="AJ9" i="50"/>
  <c r="U9" i="50"/>
  <c r="O9" i="50"/>
  <c r="L9" i="50"/>
  <c r="AE9" i="50"/>
  <c r="AL9" i="50"/>
  <c r="AI9" i="50"/>
  <c r="AD9" i="50"/>
  <c r="T9" i="50"/>
  <c r="AC9" i="50"/>
  <c r="AM9" i="50"/>
  <c r="AA9" i="50"/>
  <c r="Y9" i="50"/>
  <c r="H9" i="50"/>
  <c r="X9" i="50"/>
  <c r="AB9" i="50"/>
  <c r="R9" i="50"/>
  <c r="V9" i="50"/>
  <c r="Q9" i="50"/>
  <c r="AH9" i="50"/>
  <c r="P9" i="50"/>
  <c r="AG9" i="50"/>
  <c r="W9" i="50"/>
  <c r="AK9" i="50"/>
  <c r="Z76" i="50"/>
  <c r="AH76" i="50"/>
  <c r="J76" i="50"/>
  <c r="X76" i="50"/>
  <c r="AC76" i="50"/>
  <c r="M76" i="50"/>
  <c r="AB76" i="50"/>
  <c r="Q76" i="50"/>
  <c r="AK76" i="50"/>
  <c r="O76" i="50"/>
  <c r="S76" i="50"/>
  <c r="N76" i="50"/>
  <c r="I76" i="50"/>
  <c r="AG76" i="50"/>
  <c r="P76" i="50"/>
  <c r="AF76" i="50"/>
  <c r="AL76" i="50"/>
  <c r="AJ76" i="50"/>
  <c r="AI76" i="50"/>
  <c r="L76" i="50"/>
  <c r="K76" i="50"/>
  <c r="V76" i="50"/>
  <c r="Y76" i="50"/>
  <c r="U76" i="50"/>
  <c r="AE76" i="50"/>
  <c r="AA76" i="50"/>
  <c r="AM76" i="50"/>
  <c r="AD76" i="50"/>
  <c r="W76" i="50"/>
  <c r="H76" i="50"/>
  <c r="R76" i="50"/>
  <c r="T76" i="50"/>
  <c r="T32" i="50"/>
  <c r="J32" i="50"/>
  <c r="L32" i="50"/>
  <c r="AG32" i="50"/>
  <c r="AB32" i="50"/>
  <c r="AC32" i="50"/>
  <c r="P32" i="50"/>
  <c r="V32" i="50"/>
  <c r="N32" i="50"/>
  <c r="O32" i="50"/>
  <c r="I32" i="50"/>
  <c r="X32" i="50"/>
  <c r="K32" i="50"/>
  <c r="Y32" i="50"/>
  <c r="AE32" i="50"/>
  <c r="AL32" i="50"/>
  <c r="AH32" i="50"/>
  <c r="Z32" i="50"/>
  <c r="Q32" i="50"/>
  <c r="M32" i="50"/>
  <c r="AK32" i="50"/>
  <c r="U32" i="50"/>
  <c r="H32" i="50"/>
  <c r="AI32" i="50"/>
  <c r="AM32" i="50"/>
  <c r="AJ32" i="50"/>
  <c r="AD32" i="50"/>
  <c r="AA32" i="50"/>
  <c r="AF32" i="50"/>
  <c r="S32" i="50"/>
  <c r="W32" i="50"/>
  <c r="R32" i="50"/>
  <c r="Q20" i="50"/>
  <c r="T20" i="50"/>
  <c r="AA20" i="50"/>
  <c r="R20" i="50"/>
  <c r="U20" i="50"/>
  <c r="Z20" i="50"/>
  <c r="AM20" i="50"/>
  <c r="AF20" i="50"/>
  <c r="M20" i="50"/>
  <c r="AE20" i="50"/>
  <c r="AL20" i="50"/>
  <c r="AI20" i="50"/>
  <c r="L20" i="50"/>
  <c r="H20" i="50"/>
  <c r="AJ20" i="50"/>
  <c r="AK20" i="50"/>
  <c r="J20" i="50"/>
  <c r="P20" i="50"/>
  <c r="O20" i="50"/>
  <c r="V20" i="50"/>
  <c r="W20" i="50"/>
  <c r="AC20" i="50"/>
  <c r="Y20" i="50"/>
  <c r="N20" i="50"/>
  <c r="AH20" i="50"/>
  <c r="AD20" i="50"/>
  <c r="AG20" i="50"/>
  <c r="X20" i="50"/>
  <c r="I20" i="50"/>
  <c r="K20" i="50"/>
  <c r="S20" i="50"/>
  <c r="AB20" i="50"/>
  <c r="R81" i="50"/>
  <c r="AB81" i="50"/>
  <c r="AL81" i="50"/>
  <c r="W81" i="50"/>
  <c r="AG81" i="50"/>
  <c r="AC81" i="50"/>
  <c r="AJ81" i="50"/>
  <c r="Y81" i="50"/>
  <c r="AK81" i="50"/>
  <c r="S81" i="50"/>
  <c r="AH81" i="50"/>
  <c r="AA81" i="50"/>
  <c r="I81" i="50"/>
  <c r="Q81" i="50"/>
  <c r="J81" i="50"/>
  <c r="X81" i="50"/>
  <c r="M81" i="50"/>
  <c r="N81" i="50"/>
  <c r="AM81" i="50"/>
  <c r="AE81" i="50"/>
  <c r="K81" i="50"/>
  <c r="T81" i="50"/>
  <c r="AI81" i="50"/>
  <c r="AD81" i="50"/>
  <c r="H81" i="50"/>
  <c r="Z81" i="50"/>
  <c r="P81" i="50"/>
  <c r="V81" i="50"/>
  <c r="L81" i="50"/>
  <c r="O81" i="50"/>
  <c r="U81" i="50"/>
  <c r="AF81" i="50"/>
  <c r="Y49" i="50"/>
  <c r="H49" i="50"/>
  <c r="O49" i="50"/>
  <c r="T49" i="50"/>
  <c r="P49" i="50"/>
  <c r="AC49" i="50"/>
  <c r="AL49" i="50"/>
  <c r="R49" i="50"/>
  <c r="N49" i="50"/>
  <c r="U49" i="50"/>
  <c r="Z49" i="50"/>
  <c r="AJ49" i="50"/>
  <c r="V49" i="50"/>
  <c r="AK49" i="50"/>
  <c r="X49" i="50"/>
  <c r="Q49" i="50"/>
  <c r="AI49" i="50"/>
  <c r="AF49" i="50"/>
  <c r="AA49" i="50"/>
  <c r="AB49" i="50"/>
  <c r="AE49" i="50"/>
  <c r="W49" i="50"/>
  <c r="AD49" i="50"/>
  <c r="J49" i="50"/>
  <c r="AG49" i="50"/>
  <c r="I49" i="50"/>
  <c r="M49" i="50"/>
  <c r="AH49" i="50"/>
  <c r="L49" i="50"/>
  <c r="AM49" i="50"/>
  <c r="K49" i="50"/>
  <c r="S49" i="50"/>
  <c r="Q57" i="50"/>
  <c r="M57" i="50"/>
  <c r="R57" i="50"/>
  <c r="Z57" i="50"/>
  <c r="AJ57" i="50"/>
  <c r="H57" i="50"/>
  <c r="O57" i="50"/>
  <c r="W57" i="50"/>
  <c r="AH57" i="50"/>
  <c r="AF57" i="50"/>
  <c r="AL57" i="50"/>
  <c r="AI57" i="50"/>
  <c r="N57" i="50"/>
  <c r="AA57" i="50"/>
  <c r="AG57" i="50"/>
  <c r="AD57" i="50"/>
  <c r="I57" i="50"/>
  <c r="L57" i="50"/>
  <c r="AM57" i="50"/>
  <c r="AK57" i="50"/>
  <c r="AC57" i="50"/>
  <c r="U57" i="50"/>
  <c r="K57" i="50"/>
  <c r="AB57" i="50"/>
  <c r="J57" i="50"/>
  <c r="P57" i="50"/>
  <c r="X57" i="50"/>
  <c r="Y57" i="50"/>
  <c r="S57" i="50"/>
  <c r="V57" i="50"/>
  <c r="AE57" i="50"/>
  <c r="T57" i="50"/>
  <c r="AB34" i="50"/>
  <c r="AH34" i="50"/>
  <c r="T34" i="50"/>
  <c r="N34" i="50"/>
  <c r="AF34" i="50"/>
  <c r="AK34" i="50"/>
  <c r="Y34" i="50"/>
  <c r="L34" i="50"/>
  <c r="M34" i="50"/>
  <c r="I34" i="50"/>
  <c r="V34" i="50"/>
  <c r="W34" i="50"/>
  <c r="U34" i="50"/>
  <c r="AG34" i="50"/>
  <c r="Z34" i="50"/>
  <c r="S34" i="50"/>
  <c r="K34" i="50"/>
  <c r="AA34" i="50"/>
  <c r="AL34" i="50"/>
  <c r="X34" i="50"/>
  <c r="J34" i="50"/>
  <c r="AI34" i="50"/>
  <c r="Q34" i="50"/>
  <c r="R34" i="50"/>
  <c r="AD34" i="50"/>
  <c r="P34" i="50"/>
  <c r="AJ34" i="50"/>
  <c r="AM34" i="50"/>
  <c r="O34" i="50"/>
  <c r="H34" i="50"/>
  <c r="AE34" i="50"/>
  <c r="AC34" i="50"/>
  <c r="Z46" i="50"/>
  <c r="Q46" i="50"/>
  <c r="P46" i="50"/>
  <c r="U46" i="50"/>
  <c r="L46" i="50"/>
  <c r="AA46" i="50"/>
  <c r="AF46" i="50"/>
  <c r="I46" i="50"/>
  <c r="K46" i="50"/>
  <c r="T46" i="50"/>
  <c r="AK46" i="50"/>
  <c r="AM46" i="50"/>
  <c r="AL46" i="50"/>
  <c r="H46" i="50"/>
  <c r="AH46" i="50"/>
  <c r="W46" i="50"/>
  <c r="AD46" i="50"/>
  <c r="V46" i="50"/>
  <c r="N46" i="50"/>
  <c r="M46" i="50"/>
  <c r="AB46" i="50"/>
  <c r="Y46" i="50"/>
  <c r="AE46" i="50"/>
  <c r="AJ46" i="50"/>
  <c r="X46" i="50"/>
  <c r="R46" i="50"/>
  <c r="AC46" i="50"/>
  <c r="S46" i="50"/>
  <c r="O46" i="50"/>
  <c r="J46" i="50"/>
  <c r="AI46" i="50"/>
  <c r="AG46" i="50"/>
  <c r="X40" i="50"/>
  <c r="S40" i="50"/>
  <c r="L40" i="50"/>
  <c r="AF40" i="50"/>
  <c r="I40" i="50"/>
  <c r="AK40" i="50"/>
  <c r="AL40" i="50"/>
  <c r="AD40" i="50"/>
  <c r="AC40" i="50"/>
  <c r="T40" i="50"/>
  <c r="V40" i="50"/>
  <c r="AA40" i="50"/>
  <c r="AH40" i="50"/>
  <c r="M40" i="50"/>
  <c r="Y40" i="50"/>
  <c r="AM40" i="50"/>
  <c r="K40" i="50"/>
  <c r="H40" i="50"/>
  <c r="AB40" i="50"/>
  <c r="Z40" i="50"/>
  <c r="AJ40" i="50"/>
  <c r="AE40" i="50"/>
  <c r="P40" i="50"/>
  <c r="AG40" i="50"/>
  <c r="N40" i="50"/>
  <c r="U40" i="50"/>
  <c r="R40" i="50"/>
  <c r="W40" i="50"/>
  <c r="J40" i="50"/>
  <c r="O40" i="50"/>
  <c r="Q40" i="50"/>
  <c r="AI40" i="50"/>
  <c r="U62" i="50"/>
  <c r="AJ62" i="50"/>
  <c r="AE62" i="50"/>
  <c r="AF62" i="50"/>
  <c r="AM62" i="50"/>
  <c r="N62" i="50"/>
  <c r="H62" i="50"/>
  <c r="O62" i="50"/>
  <c r="P62" i="50"/>
  <c r="K62" i="50"/>
  <c r="M62" i="50"/>
  <c r="AH62" i="50"/>
  <c r="W62" i="50"/>
  <c r="T62" i="50"/>
  <c r="R62" i="50"/>
  <c r="AD62" i="50"/>
  <c r="AK62" i="50"/>
  <c r="L62" i="50"/>
  <c r="AI62" i="50"/>
  <c r="AA62" i="50"/>
  <c r="J62" i="50"/>
  <c r="AG62" i="50"/>
  <c r="X62" i="50"/>
  <c r="I62" i="50"/>
  <c r="Y62" i="50"/>
  <c r="Z62" i="50"/>
  <c r="AL62" i="50"/>
  <c r="Q62" i="50"/>
  <c r="V62" i="50"/>
  <c r="S62" i="50"/>
  <c r="AC62" i="50"/>
  <c r="AB62" i="50"/>
  <c r="I94" i="50"/>
  <c r="R94" i="50"/>
  <c r="H94" i="50"/>
  <c r="T94" i="50"/>
  <c r="J94" i="50"/>
  <c r="AK94" i="50"/>
  <c r="X94" i="50"/>
  <c r="AH94" i="50"/>
  <c r="AE94" i="50"/>
  <c r="AD94" i="50"/>
  <c r="AJ94" i="50"/>
  <c r="AG94" i="50"/>
  <c r="AF94" i="50"/>
  <c r="V94" i="50"/>
  <c r="P94" i="50"/>
  <c r="AC94" i="50"/>
  <c r="S94" i="50"/>
  <c r="AL94" i="50"/>
  <c r="AI94" i="50"/>
  <c r="L94" i="50"/>
  <c r="AB94" i="50"/>
  <c r="Y94" i="50"/>
  <c r="U94" i="50"/>
  <c r="O94" i="50"/>
  <c r="Z94" i="50"/>
  <c r="Q94" i="50"/>
  <c r="W94" i="50"/>
  <c r="AA94" i="50"/>
  <c r="K94" i="50"/>
  <c r="AM94" i="50"/>
  <c r="N94" i="50"/>
  <c r="M94" i="50"/>
  <c r="K31" i="50"/>
  <c r="Z31" i="50"/>
  <c r="L31" i="50"/>
  <c r="H31" i="50"/>
  <c r="AH31" i="50"/>
  <c r="U31" i="50"/>
  <c r="AE31" i="50"/>
  <c r="T31" i="50"/>
  <c r="AI31" i="50"/>
  <c r="X31" i="50"/>
  <c r="AK31" i="50"/>
  <c r="AJ31" i="50"/>
  <c r="AG31" i="50"/>
  <c r="O31" i="50"/>
  <c r="AF31" i="50"/>
  <c r="Y31" i="50"/>
  <c r="N31" i="50"/>
  <c r="R31" i="50"/>
  <c r="I31" i="50"/>
  <c r="W31" i="50"/>
  <c r="M31" i="50"/>
  <c r="AD31" i="50"/>
  <c r="AA31" i="50"/>
  <c r="AC31" i="50"/>
  <c r="P31" i="50"/>
  <c r="S31" i="50"/>
  <c r="AL31" i="50"/>
  <c r="AB31" i="50"/>
  <c r="V31" i="50"/>
  <c r="Q31" i="50"/>
  <c r="AM31" i="50"/>
  <c r="J31" i="50"/>
  <c r="S39" i="50"/>
  <c r="V39" i="50"/>
  <c r="AF39" i="50"/>
  <c r="AJ39" i="50"/>
  <c r="H39" i="50"/>
  <c r="K39" i="50"/>
  <c r="P39" i="50"/>
  <c r="AD39" i="50"/>
  <c r="R39" i="50"/>
  <c r="T39" i="50"/>
  <c r="J39" i="50"/>
  <c r="AK39" i="50"/>
  <c r="I39" i="50"/>
  <c r="U39" i="50"/>
  <c r="AC39" i="50"/>
  <c r="AG39" i="50"/>
  <c r="AA39" i="50"/>
  <c r="X39" i="50"/>
  <c r="AH39" i="50"/>
  <c r="Z39" i="50"/>
  <c r="M39" i="50"/>
  <c r="AL39" i="50"/>
  <c r="Y39" i="50"/>
  <c r="W39" i="50"/>
  <c r="O39" i="50"/>
  <c r="Q39" i="50"/>
  <c r="L39" i="50"/>
  <c r="AM39" i="50"/>
  <c r="AI39" i="50"/>
  <c r="AE39" i="50"/>
  <c r="N39" i="50"/>
  <c r="AB39" i="50"/>
  <c r="S7" i="50"/>
  <c r="V7" i="50"/>
  <c r="I7" i="50"/>
  <c r="Q7" i="50"/>
  <c r="Y7" i="50"/>
  <c r="AI7" i="50"/>
  <c r="P7" i="50"/>
  <c r="AD7" i="50"/>
  <c r="AE7" i="50"/>
  <c r="AJ7" i="50"/>
  <c r="M7" i="50"/>
  <c r="AM7" i="50"/>
  <c r="X7" i="50"/>
  <c r="U7" i="50"/>
  <c r="AG7" i="50"/>
  <c r="AA7" i="50"/>
  <c r="K7" i="50"/>
  <c r="AL7" i="50"/>
  <c r="O7" i="50"/>
  <c r="Z7" i="50"/>
  <c r="AH7" i="50"/>
  <c r="H7" i="50"/>
  <c r="R7" i="50"/>
  <c r="T7" i="50"/>
  <c r="AB7" i="50"/>
  <c r="AK7" i="50"/>
  <c r="W7" i="50"/>
  <c r="AF7" i="50"/>
  <c r="AC7" i="50"/>
  <c r="L7" i="50"/>
  <c r="N7" i="50"/>
  <c r="J7" i="50"/>
  <c r="AF83" i="50"/>
  <c r="N83" i="50"/>
  <c r="AL83" i="50"/>
  <c r="AD83" i="50"/>
  <c r="X83" i="50"/>
  <c r="R83" i="50"/>
  <c r="Q83" i="50"/>
  <c r="K83" i="50"/>
  <c r="AI83" i="50"/>
  <c r="I83" i="50"/>
  <c r="AH83" i="50"/>
  <c r="M83" i="50"/>
  <c r="AM83" i="50"/>
  <c r="AG83" i="50"/>
  <c r="T83" i="50"/>
  <c r="L83" i="50"/>
  <c r="H83" i="50"/>
  <c r="Y83" i="50"/>
  <c r="AB83" i="50"/>
  <c r="U83" i="50"/>
  <c r="AA83" i="50"/>
  <c r="P83" i="50"/>
  <c r="AK83" i="50"/>
  <c r="O83" i="50"/>
  <c r="Z83" i="50"/>
  <c r="J83" i="50"/>
  <c r="V83" i="50"/>
  <c r="W83" i="50"/>
  <c r="S83" i="50"/>
  <c r="AE83" i="50"/>
  <c r="AC83" i="50"/>
  <c r="AJ83" i="50"/>
  <c r="AC47" i="50"/>
  <c r="K47" i="50"/>
  <c r="AI47" i="50"/>
  <c r="AJ47" i="50"/>
  <c r="AH47" i="50"/>
  <c r="X47" i="50"/>
  <c r="Q47" i="50"/>
  <c r="Z47" i="50"/>
  <c r="O47" i="50"/>
  <c r="AA47" i="50"/>
  <c r="R47" i="50"/>
  <c r="T47" i="50"/>
  <c r="M47" i="50"/>
  <c r="AE47" i="50"/>
  <c r="AB47" i="50"/>
  <c r="AG47" i="50"/>
  <c r="W47" i="50"/>
  <c r="U47" i="50"/>
  <c r="AF47" i="50"/>
  <c r="P47" i="50"/>
  <c r="AK47" i="50"/>
  <c r="V47" i="50"/>
  <c r="AD47" i="50"/>
  <c r="N47" i="50"/>
  <c r="Y47" i="50"/>
  <c r="I47" i="50"/>
  <c r="H47" i="50"/>
  <c r="S47" i="50"/>
  <c r="J47" i="50"/>
  <c r="AM47" i="50"/>
  <c r="L47" i="50"/>
  <c r="AL47" i="50"/>
  <c r="AF60" i="50"/>
  <c r="O60" i="50"/>
  <c r="R60" i="50"/>
  <c r="AC60" i="50"/>
  <c r="S60" i="50"/>
  <c r="AH60" i="50"/>
  <c r="AE60" i="50"/>
  <c r="U60" i="50"/>
  <c r="W60" i="50"/>
  <c r="AA60" i="50"/>
  <c r="AG60" i="50"/>
  <c r="AD60" i="50"/>
  <c r="Q60" i="50"/>
  <c r="X60" i="50"/>
  <c r="N60" i="50"/>
  <c r="T60" i="50"/>
  <c r="AJ60" i="50"/>
  <c r="L60" i="50"/>
  <c r="AB60" i="50"/>
  <c r="M60" i="50"/>
  <c r="Y60" i="50"/>
  <c r="V60" i="50"/>
  <c r="AK60" i="50"/>
  <c r="K60" i="50"/>
  <c r="H60" i="50"/>
  <c r="AL60" i="50"/>
  <c r="P60" i="50"/>
  <c r="AM60" i="50"/>
  <c r="J60" i="50"/>
  <c r="I60" i="50"/>
  <c r="AI60" i="50"/>
  <c r="Z60" i="50"/>
  <c r="AF18" i="50"/>
  <c r="K18" i="50"/>
  <c r="H18" i="50"/>
  <c r="N18" i="50"/>
  <c r="AM18" i="50"/>
  <c r="AH18" i="50"/>
  <c r="AL18" i="50"/>
  <c r="Z18" i="50"/>
  <c r="I18" i="50"/>
  <c r="V18" i="50"/>
  <c r="X18" i="50"/>
  <c r="L18" i="50"/>
  <c r="W18" i="50"/>
  <c r="R18" i="50"/>
  <c r="AC18" i="50"/>
  <c r="Y18" i="50"/>
  <c r="AG18" i="50"/>
  <c r="AE18" i="50"/>
  <c r="O18" i="50"/>
  <c r="AA18" i="50"/>
  <c r="AI18" i="50"/>
  <c r="AJ18" i="50"/>
  <c r="AD18" i="50"/>
  <c r="U18" i="50"/>
  <c r="AK18" i="50"/>
  <c r="S18" i="50"/>
  <c r="Q18" i="50"/>
  <c r="T18" i="50"/>
  <c r="J18" i="50"/>
  <c r="AB18" i="50"/>
  <c r="M18" i="50"/>
  <c r="P18" i="50"/>
  <c r="Y17" i="50"/>
  <c r="AM17" i="50"/>
  <c r="P17" i="50"/>
  <c r="I17" i="50"/>
  <c r="AA17" i="50"/>
  <c r="Q17" i="50"/>
  <c r="M17" i="50"/>
  <c r="AC17" i="50"/>
  <c r="AB17" i="50"/>
  <c r="AJ17" i="50"/>
  <c r="R17" i="50"/>
  <c r="K17" i="50"/>
  <c r="AF17" i="50"/>
  <c r="H17" i="50"/>
  <c r="U17" i="50"/>
  <c r="J17" i="50"/>
  <c r="S17" i="50"/>
  <c r="T17" i="50"/>
  <c r="AI17" i="50"/>
  <c r="AH17" i="50"/>
  <c r="AK17" i="50"/>
  <c r="AD17" i="50"/>
  <c r="Z17" i="50"/>
  <c r="W17" i="50"/>
  <c r="V17" i="50"/>
  <c r="AE17" i="50"/>
  <c r="AL17" i="50"/>
  <c r="O17" i="50"/>
  <c r="L17" i="50"/>
  <c r="N17" i="50"/>
  <c r="AG17" i="50"/>
  <c r="X17" i="50"/>
  <c r="Q30" i="50"/>
  <c r="J30" i="50"/>
  <c r="AJ30" i="50"/>
  <c r="M30" i="50"/>
  <c r="AH30" i="50"/>
  <c r="O30" i="50"/>
  <c r="T30" i="50"/>
  <c r="AK30" i="50"/>
  <c r="V30" i="50"/>
  <c r="AM30" i="50"/>
  <c r="P30" i="50"/>
  <c r="AF30" i="50"/>
  <c r="Z30" i="50"/>
  <c r="AD30" i="50"/>
  <c r="X30" i="50"/>
  <c r="U30" i="50"/>
  <c r="AA30" i="50"/>
  <c r="I30" i="50"/>
  <c r="N30" i="50"/>
  <c r="W30" i="50"/>
  <c r="H30" i="50"/>
  <c r="AB30" i="50"/>
  <c r="R30" i="50"/>
  <c r="AG30" i="50"/>
  <c r="AC30" i="50"/>
  <c r="K30" i="50"/>
  <c r="L30" i="50"/>
  <c r="Y30" i="50"/>
  <c r="AL30" i="50"/>
  <c r="AI30" i="50"/>
  <c r="S30" i="50"/>
  <c r="AE30" i="50"/>
  <c r="Z64" i="50"/>
  <c r="AM64" i="50"/>
  <c r="U64" i="50"/>
  <c r="L64" i="50"/>
  <c r="J64" i="50"/>
  <c r="N64" i="50"/>
  <c r="X64" i="50"/>
  <c r="AH64" i="50"/>
  <c r="AL64" i="50"/>
  <c r="AI64" i="50"/>
  <c r="S64" i="50"/>
  <c r="AD64" i="50"/>
  <c r="Y64" i="50"/>
  <c r="AK64" i="50"/>
  <c r="W64" i="50"/>
  <c r="AE64" i="50"/>
  <c r="R64" i="50"/>
  <c r="I64" i="50"/>
  <c r="H64" i="50"/>
  <c r="K64" i="50"/>
  <c r="O64" i="50"/>
  <c r="AB64" i="50"/>
  <c r="M64" i="50"/>
  <c r="P64" i="50"/>
  <c r="Q64" i="50"/>
  <c r="AG64" i="50"/>
  <c r="V64" i="50"/>
  <c r="T64" i="50"/>
  <c r="AF64" i="50"/>
  <c r="AA64" i="50"/>
  <c r="AJ64" i="50"/>
  <c r="AC64" i="50"/>
  <c r="T10" i="50"/>
  <c r="P10" i="50"/>
  <c r="AK10" i="50"/>
  <c r="N10" i="50"/>
  <c r="K10" i="50"/>
  <c r="AE10" i="50"/>
  <c r="Q10" i="50"/>
  <c r="R10" i="50"/>
  <c r="AH10" i="50"/>
  <c r="H10" i="50"/>
  <c r="V10" i="50"/>
  <c r="Z10" i="50"/>
  <c r="AC10" i="50"/>
  <c r="AD10" i="50"/>
  <c r="S10" i="50"/>
  <c r="AB10" i="50"/>
  <c r="X10" i="50"/>
  <c r="U10" i="50"/>
  <c r="L10" i="50"/>
  <c r="AG10" i="50"/>
  <c r="AF10" i="50"/>
  <c r="AL10" i="50"/>
  <c r="J10" i="50"/>
  <c r="AM10" i="50"/>
  <c r="AJ10" i="50"/>
  <c r="W10" i="50"/>
  <c r="I10" i="50"/>
  <c r="Y10" i="50"/>
  <c r="AA10" i="50"/>
  <c r="O10" i="50"/>
  <c r="M10" i="50"/>
  <c r="AI10" i="50"/>
  <c r="Y98" i="50"/>
  <c r="W98" i="50"/>
  <c r="T98" i="50"/>
  <c r="O98" i="50"/>
  <c r="P98" i="50"/>
  <c r="M98" i="50"/>
  <c r="AB98" i="50"/>
  <c r="L98" i="50"/>
  <c r="AK98" i="50"/>
  <c r="AJ98" i="50"/>
  <c r="Q98" i="50"/>
  <c r="AH98" i="50"/>
  <c r="U98" i="50"/>
  <c r="AF98" i="50"/>
  <c r="AL98" i="50"/>
  <c r="S98" i="50"/>
  <c r="R98" i="50"/>
  <c r="AG98" i="50"/>
  <c r="AC98" i="50"/>
  <c r="AM98" i="50"/>
  <c r="H98" i="50"/>
  <c r="V98" i="50"/>
  <c r="I98" i="50"/>
  <c r="AI98" i="50"/>
  <c r="X98" i="50"/>
  <c r="AE98" i="50"/>
  <c r="AA98" i="50"/>
  <c r="AD98" i="50"/>
  <c r="J98" i="50"/>
  <c r="N98" i="50"/>
  <c r="K98" i="50"/>
  <c r="Z98" i="50"/>
  <c r="U91" i="50"/>
  <c r="Q91" i="50"/>
  <c r="X91" i="50"/>
  <c r="M91" i="50"/>
  <c r="J91" i="50"/>
  <c r="N91" i="50"/>
  <c r="AJ91" i="50"/>
  <c r="W91" i="50"/>
  <c r="P91" i="50"/>
  <c r="AI91" i="50"/>
  <c r="AC91" i="50"/>
  <c r="AG91" i="50"/>
  <c r="K91" i="50"/>
  <c r="I91" i="50"/>
  <c r="O91" i="50"/>
  <c r="AK91" i="50"/>
  <c r="T91" i="50"/>
  <c r="Y91" i="50"/>
  <c r="H91" i="50"/>
  <c r="Z91" i="50"/>
  <c r="AH91" i="50"/>
  <c r="R91" i="50"/>
  <c r="AF91" i="50"/>
  <c r="AD91" i="50"/>
  <c r="AB91" i="50"/>
  <c r="L91" i="50"/>
  <c r="AL91" i="50"/>
  <c r="S91" i="50"/>
  <c r="AA91" i="50"/>
  <c r="V91" i="50"/>
  <c r="AM91" i="50"/>
  <c r="AE91" i="50"/>
  <c r="AI58" i="50"/>
  <c r="V58" i="50"/>
  <c r="AM58" i="50"/>
  <c r="Q58" i="50"/>
  <c r="O58" i="50"/>
  <c r="J58" i="50"/>
  <c r="AB58" i="50"/>
  <c r="AF58" i="50"/>
  <c r="Y58" i="50"/>
  <c r="Z58" i="50"/>
  <c r="X58" i="50"/>
  <c r="P58" i="50"/>
  <c r="W58" i="50"/>
  <c r="AH58" i="50"/>
  <c r="AD58" i="50"/>
  <c r="K58" i="50"/>
  <c r="N58" i="50"/>
  <c r="AL58" i="50"/>
  <c r="AE58" i="50"/>
  <c r="R58" i="50"/>
  <c r="AA58" i="50"/>
  <c r="L58" i="50"/>
  <c r="I58" i="50"/>
  <c r="M58" i="50"/>
  <c r="H58" i="50"/>
  <c r="AK58" i="50"/>
  <c r="AG58" i="50"/>
  <c r="U58" i="50"/>
  <c r="AJ58" i="50"/>
  <c r="S58" i="50"/>
  <c r="AC58" i="50"/>
  <c r="T58" i="50"/>
  <c r="AB61" i="50"/>
  <c r="AA61" i="50"/>
  <c r="AI61" i="50"/>
  <c r="W61" i="50"/>
  <c r="Y61" i="50"/>
  <c r="U61" i="50"/>
  <c r="T61" i="50"/>
  <c r="AG61" i="50"/>
  <c r="R61" i="50"/>
  <c r="AL61" i="50"/>
  <c r="Z61" i="50"/>
  <c r="M61" i="50"/>
  <c r="I61" i="50"/>
  <c r="V61" i="50"/>
  <c r="AD61" i="50"/>
  <c r="X61" i="50"/>
  <c r="AH61" i="50"/>
  <c r="Q61" i="50"/>
  <c r="N61" i="50"/>
  <c r="AF61" i="50"/>
  <c r="L61" i="50"/>
  <c r="P61" i="50"/>
  <c r="AE61" i="50"/>
  <c r="O61" i="50"/>
  <c r="AK61" i="50"/>
  <c r="AJ61" i="50"/>
  <c r="H61" i="50"/>
  <c r="J61" i="50"/>
  <c r="K61" i="50"/>
  <c r="AC61" i="50"/>
  <c r="AM61" i="50"/>
  <c r="S61" i="50"/>
  <c r="R29" i="50"/>
  <c r="W29" i="50"/>
  <c r="AH29" i="50"/>
  <c r="Z29" i="50"/>
  <c r="AE29" i="50"/>
  <c r="AA29" i="50"/>
  <c r="U29" i="50"/>
  <c r="K29" i="50"/>
  <c r="AJ29" i="50"/>
  <c r="N29" i="50"/>
  <c r="T29" i="50"/>
  <c r="AI29" i="50"/>
  <c r="O29" i="50"/>
  <c r="I29" i="50"/>
  <c r="M29" i="50"/>
  <c r="AL29" i="50"/>
  <c r="AF29" i="50"/>
  <c r="X29" i="50"/>
  <c r="AB29" i="50"/>
  <c r="AK29" i="50"/>
  <c r="Y29" i="50"/>
  <c r="S29" i="50"/>
  <c r="AM29" i="50"/>
  <c r="L29" i="50"/>
  <c r="H29" i="50"/>
  <c r="P29" i="50"/>
  <c r="V29" i="50"/>
  <c r="AD29" i="50"/>
  <c r="AC29" i="50"/>
  <c r="J29" i="50"/>
  <c r="AG29" i="50"/>
  <c r="Q29" i="50"/>
  <c r="AG92" i="50"/>
  <c r="AB92" i="50"/>
  <c r="AM92" i="50"/>
  <c r="AI92" i="50"/>
  <c r="X92" i="50"/>
  <c r="M92" i="50"/>
  <c r="P92" i="50"/>
  <c r="K92" i="50"/>
  <c r="Y92" i="50"/>
  <c r="J92" i="50"/>
  <c r="Q92" i="50"/>
  <c r="AC92" i="50"/>
  <c r="N92" i="50"/>
  <c r="W92" i="50"/>
  <c r="O92" i="50"/>
  <c r="T92" i="50"/>
  <c r="AH92" i="50"/>
  <c r="AJ92" i="50"/>
  <c r="AL92" i="50"/>
  <c r="U92" i="50"/>
  <c r="V92" i="50"/>
  <c r="AF92" i="50"/>
  <c r="AE92" i="50"/>
  <c r="Z92" i="50"/>
  <c r="H92" i="50"/>
  <c r="L92" i="50"/>
  <c r="S92" i="50"/>
  <c r="I92" i="50"/>
  <c r="AA92" i="50"/>
  <c r="AK92" i="50"/>
  <c r="R92" i="50"/>
  <c r="AD92" i="50"/>
  <c r="L82" i="50"/>
  <c r="AM82" i="50"/>
  <c r="P82" i="50"/>
  <c r="S82" i="50"/>
  <c r="Q82" i="50"/>
  <c r="AL82" i="50"/>
  <c r="AG82" i="50"/>
  <c r="AH82" i="50"/>
  <c r="K82" i="50"/>
  <c r="O82" i="50"/>
  <c r="AB82" i="50"/>
  <c r="M82" i="50"/>
  <c r="AK82" i="50"/>
  <c r="N82" i="50"/>
  <c r="V82" i="50"/>
  <c r="AD82" i="50"/>
  <c r="X82" i="50"/>
  <c r="AA82" i="50"/>
  <c r="AC82" i="50"/>
  <c r="AJ82" i="50"/>
  <c r="Y82" i="50"/>
  <c r="I82" i="50"/>
  <c r="AF82" i="50"/>
  <c r="U82" i="50"/>
  <c r="AE82" i="50"/>
  <c r="R82" i="50"/>
  <c r="J82" i="50"/>
  <c r="W82" i="50"/>
  <c r="T82" i="50"/>
  <c r="AI82" i="50"/>
  <c r="H82" i="50"/>
  <c r="Z82" i="50"/>
  <c r="P74" i="50"/>
  <c r="O74" i="50"/>
  <c r="AI74" i="50"/>
  <c r="K74" i="50"/>
  <c r="AJ74" i="50"/>
  <c r="AC74" i="50"/>
  <c r="Y74" i="50"/>
  <c r="Z74" i="50"/>
  <c r="S74" i="50"/>
  <c r="T74" i="50"/>
  <c r="AA74" i="50"/>
  <c r="AL74" i="50"/>
  <c r="AK74" i="50"/>
  <c r="J74" i="50"/>
  <c r="H74" i="50"/>
  <c r="M74" i="50"/>
  <c r="L74" i="50"/>
  <c r="AG74" i="50"/>
  <c r="AM74" i="50"/>
  <c r="W74" i="50"/>
  <c r="AD74" i="50"/>
  <c r="AB74" i="50"/>
  <c r="Q74" i="50"/>
  <c r="AH74" i="50"/>
  <c r="U74" i="50"/>
  <c r="V74" i="50"/>
  <c r="I74" i="50"/>
  <c r="X74" i="50"/>
  <c r="N74" i="50"/>
  <c r="R74" i="50"/>
  <c r="AE74" i="50"/>
  <c r="AF74" i="50"/>
  <c r="M28" i="50"/>
  <c r="AJ28" i="50"/>
  <c r="S28" i="50"/>
  <c r="W28" i="50"/>
  <c r="Q28" i="50"/>
  <c r="AH28" i="50"/>
  <c r="AI28" i="50"/>
  <c r="AM28" i="50"/>
  <c r="AL28" i="50"/>
  <c r="AE28" i="50"/>
  <c r="AG28" i="50"/>
  <c r="K28" i="50"/>
  <c r="AD28" i="50"/>
  <c r="X28" i="50"/>
  <c r="Y28" i="50"/>
  <c r="P28" i="50"/>
  <c r="AK28" i="50"/>
  <c r="L28" i="50"/>
  <c r="H28" i="50"/>
  <c r="I28" i="50"/>
  <c r="AB28" i="50"/>
  <c r="AF28" i="50"/>
  <c r="N28" i="50"/>
  <c r="J28" i="50"/>
  <c r="T28" i="50"/>
  <c r="V28" i="50"/>
  <c r="AA28" i="50"/>
  <c r="Z28" i="50"/>
  <c r="O28" i="50"/>
  <c r="R28" i="50"/>
  <c r="AC28" i="50"/>
  <c r="U28" i="50"/>
  <c r="U71" i="50"/>
  <c r="K71" i="50"/>
  <c r="AH71" i="50"/>
  <c r="R71" i="50"/>
  <c r="AM71" i="50"/>
  <c r="AK71" i="50"/>
  <c r="N71" i="50"/>
  <c r="S71" i="50"/>
  <c r="V71" i="50"/>
  <c r="Z71" i="50"/>
  <c r="J71" i="50"/>
  <c r="T71" i="50"/>
  <c r="AG71" i="50"/>
  <c r="AD71" i="50"/>
  <c r="L71" i="50"/>
  <c r="M71" i="50"/>
  <c r="O71" i="50"/>
  <c r="AF71" i="50"/>
  <c r="AE71" i="50"/>
  <c r="AL71" i="50"/>
  <c r="W71" i="50"/>
  <c r="AJ71" i="50"/>
  <c r="P71" i="50"/>
  <c r="Y71" i="50"/>
  <c r="H71" i="50"/>
  <c r="Q71" i="50"/>
  <c r="AB71" i="50"/>
  <c r="AC71" i="50"/>
  <c r="X71" i="50"/>
  <c r="AA71" i="50"/>
  <c r="I71" i="50"/>
  <c r="AI71" i="50"/>
  <c r="AC69" i="50"/>
  <c r="Z69" i="50"/>
  <c r="K69" i="50"/>
  <c r="T69" i="50"/>
  <c r="X69" i="50"/>
  <c r="W69" i="50"/>
  <c r="H69" i="50"/>
  <c r="AB69" i="50"/>
  <c r="I69" i="50"/>
  <c r="AF69" i="50"/>
  <c r="AL69" i="50"/>
  <c r="AH69" i="50"/>
  <c r="S69" i="50"/>
  <c r="AM69" i="50"/>
  <c r="AA69" i="50"/>
  <c r="AD69" i="50"/>
  <c r="AJ69" i="50"/>
  <c r="P69" i="50"/>
  <c r="AK69" i="50"/>
  <c r="U69" i="50"/>
  <c r="L69" i="50"/>
  <c r="O69" i="50"/>
  <c r="M69" i="50"/>
  <c r="R69" i="50"/>
  <c r="AE69" i="50"/>
  <c r="Q69" i="50"/>
  <c r="V69" i="50"/>
  <c r="AI69" i="50"/>
  <c r="Y69" i="50"/>
  <c r="J69" i="50"/>
  <c r="N69" i="50"/>
  <c r="AG69" i="50"/>
  <c r="Z8" i="50"/>
  <c r="O8" i="50"/>
  <c r="AI8" i="50"/>
  <c r="AL8" i="50"/>
  <c r="Q8" i="50"/>
  <c r="R8" i="50"/>
  <c r="AM8" i="50"/>
  <c r="S8" i="50"/>
  <c r="L8" i="50"/>
  <c r="P8" i="50"/>
  <c r="Y8" i="50"/>
  <c r="AF8" i="50"/>
  <c r="I8" i="50"/>
  <c r="AA8" i="50"/>
  <c r="AK8" i="50"/>
  <c r="W8" i="50"/>
  <c r="J8" i="50"/>
  <c r="AC8" i="50"/>
  <c r="AG8" i="50"/>
  <c r="AH8" i="50"/>
  <c r="AJ8" i="50"/>
  <c r="X8" i="50"/>
  <c r="K8" i="50"/>
  <c r="AB8" i="50"/>
  <c r="U8" i="50"/>
  <c r="H8" i="50"/>
  <c r="AD8" i="50"/>
  <c r="M8" i="50"/>
  <c r="N8" i="50"/>
  <c r="T8" i="50"/>
  <c r="AE8" i="50"/>
  <c r="V8" i="50"/>
  <c r="AK33" i="50"/>
  <c r="L33" i="50"/>
  <c r="AI33" i="50"/>
  <c r="AH33" i="50"/>
  <c r="P33" i="50"/>
  <c r="K33" i="50"/>
  <c r="O33" i="50"/>
  <c r="M33" i="50"/>
  <c r="U33" i="50"/>
  <c r="X33" i="50"/>
  <c r="W33" i="50"/>
  <c r="AJ33" i="50"/>
  <c r="AD33" i="50"/>
  <c r="I33" i="50"/>
  <c r="AE33" i="50"/>
  <c r="R33" i="50"/>
  <c r="Q33" i="50"/>
  <c r="Z33" i="50"/>
  <c r="AA33" i="50"/>
  <c r="AM33" i="50"/>
  <c r="AC33" i="50"/>
  <c r="Y33" i="50"/>
  <c r="T33" i="50"/>
  <c r="S33" i="50"/>
  <c r="AB33" i="50"/>
  <c r="J33" i="50"/>
  <c r="AG33" i="50"/>
  <c r="N33" i="50"/>
  <c r="AF33" i="50"/>
  <c r="V33" i="50"/>
  <c r="AL33" i="50"/>
  <c r="H33" i="50"/>
  <c r="R53" i="50"/>
  <c r="M53" i="50"/>
  <c r="Z53" i="50"/>
  <c r="AH53" i="50"/>
  <c r="AG53" i="50"/>
  <c r="AA53" i="50"/>
  <c r="AE53" i="50"/>
  <c r="AC53" i="50"/>
  <c r="I53" i="50"/>
  <c r="AF53" i="50"/>
  <c r="AM53" i="50"/>
  <c r="T53" i="50"/>
  <c r="Y53" i="50"/>
  <c r="Q53" i="50"/>
  <c r="J53" i="50"/>
  <c r="AI53" i="50"/>
  <c r="S53" i="50"/>
  <c r="AB53" i="50"/>
  <c r="K53" i="50"/>
  <c r="AK53" i="50"/>
  <c r="P53" i="50"/>
  <c r="X53" i="50"/>
  <c r="AL53" i="50"/>
  <c r="H53" i="50"/>
  <c r="W53" i="50"/>
  <c r="AJ53" i="50"/>
  <c r="L53" i="50"/>
  <c r="AD53" i="50"/>
  <c r="V53" i="50"/>
  <c r="U53" i="50"/>
  <c r="N53" i="50"/>
  <c r="O53" i="50"/>
  <c r="AM56" i="50"/>
  <c r="AA56" i="50"/>
  <c r="AD56" i="50"/>
  <c r="Y56" i="50"/>
  <c r="AJ56" i="50"/>
  <c r="V56" i="50"/>
  <c r="P56" i="50"/>
  <c r="M56" i="50"/>
  <c r="H56" i="50"/>
  <c r="Q56" i="50"/>
  <c r="AC56" i="50"/>
  <c r="U56" i="50"/>
  <c r="AI56" i="50"/>
  <c r="T56" i="50"/>
  <c r="AL56" i="50"/>
  <c r="O56" i="50"/>
  <c r="I56" i="50"/>
  <c r="R56" i="50"/>
  <c r="AE56" i="50"/>
  <c r="N56" i="50"/>
  <c r="X56" i="50"/>
  <c r="Z56" i="50"/>
  <c r="S56" i="50"/>
  <c r="AK56" i="50"/>
  <c r="W56" i="50"/>
  <c r="K56" i="50"/>
  <c r="AH56" i="50"/>
  <c r="AG56" i="50"/>
  <c r="AB56" i="50"/>
  <c r="L56" i="50"/>
  <c r="J56" i="50"/>
  <c r="AF56" i="50"/>
  <c r="I90" i="50"/>
  <c r="AH90" i="50"/>
  <c r="AF90" i="50"/>
  <c r="M90" i="50"/>
  <c r="K90" i="50"/>
  <c r="AC90" i="50"/>
  <c r="AI90" i="50"/>
  <c r="L90" i="50"/>
  <c r="AM90" i="50"/>
  <c r="T90" i="50"/>
  <c r="H90" i="50"/>
  <c r="AK90" i="50"/>
  <c r="N90" i="50"/>
  <c r="J90" i="50"/>
  <c r="AG90" i="50"/>
  <c r="R90" i="50"/>
  <c r="Z90" i="50"/>
  <c r="AB90" i="50"/>
  <c r="X90" i="50"/>
  <c r="S90" i="50"/>
  <c r="AA90" i="50"/>
  <c r="AD90" i="50"/>
  <c r="U90" i="50"/>
  <c r="Q90" i="50"/>
  <c r="Y90" i="50"/>
  <c r="P90" i="50"/>
  <c r="AE90" i="50"/>
  <c r="O90" i="50"/>
  <c r="W90" i="50"/>
  <c r="AJ90" i="50"/>
  <c r="AL90" i="50"/>
  <c r="V90" i="50"/>
  <c r="AG63" i="50"/>
  <c r="O63" i="50"/>
  <c r="V63" i="50"/>
  <c r="Z63" i="50"/>
  <c r="W63" i="50"/>
  <c r="AB63" i="50"/>
  <c r="AK63" i="50"/>
  <c r="AF63" i="50"/>
  <c r="AC63" i="50"/>
  <c r="AM63" i="50"/>
  <c r="S63" i="50"/>
  <c r="Y63" i="50"/>
  <c r="T63" i="50"/>
  <c r="AE63" i="50"/>
  <c r="N63" i="50"/>
  <c r="M63" i="50"/>
  <c r="AA63" i="50"/>
  <c r="U63" i="50"/>
  <c r="I63" i="50"/>
  <c r="X63" i="50"/>
  <c r="L63" i="50"/>
  <c r="AD63" i="50"/>
  <c r="AL63" i="50"/>
  <c r="K63" i="50"/>
  <c r="AH63" i="50"/>
  <c r="P63" i="50"/>
  <c r="AJ63" i="50"/>
  <c r="AI63" i="50"/>
  <c r="H63" i="50"/>
  <c r="R63" i="50"/>
  <c r="J63" i="50"/>
  <c r="Q63" i="50"/>
  <c r="AB37" i="50"/>
  <c r="AH37" i="50"/>
  <c r="O37" i="50"/>
  <c r="I37" i="50"/>
  <c r="J37" i="50"/>
  <c r="V37" i="50"/>
  <c r="P37" i="50"/>
  <c r="AC37" i="50"/>
  <c r="Q37" i="50"/>
  <c r="AK37" i="50"/>
  <c r="X37" i="50"/>
  <c r="K37" i="50"/>
  <c r="AF37" i="50"/>
  <c r="AL37" i="50"/>
  <c r="Z37" i="50"/>
  <c r="AI37" i="50"/>
  <c r="R37" i="50"/>
  <c r="H37" i="50"/>
  <c r="U37" i="50"/>
  <c r="AA37" i="50"/>
  <c r="AD37" i="50"/>
  <c r="T37" i="50"/>
  <c r="S37" i="50"/>
  <c r="AE37" i="50"/>
  <c r="N37" i="50"/>
  <c r="L37" i="50"/>
  <c r="W37" i="50"/>
  <c r="AJ37" i="50"/>
  <c r="AM37" i="50"/>
  <c r="M37" i="50"/>
  <c r="AG37" i="50"/>
  <c r="Y37" i="50"/>
  <c r="AL103" i="50"/>
  <c r="Y103" i="50"/>
  <c r="J103" i="50"/>
  <c r="N103" i="50"/>
  <c r="AJ103" i="50"/>
  <c r="U103" i="50"/>
  <c r="AB103" i="50"/>
  <c r="W103" i="50"/>
  <c r="S103" i="50"/>
  <c r="H103" i="50"/>
  <c r="AM103" i="50"/>
  <c r="AA103" i="50"/>
  <c r="I103" i="50"/>
  <c r="V103" i="50"/>
  <c r="P103" i="50"/>
  <c r="AE103" i="50"/>
  <c r="T103" i="50"/>
  <c r="L103" i="50"/>
  <c r="AH103" i="50"/>
  <c r="K103" i="50"/>
  <c r="X103" i="50"/>
  <c r="Z103" i="50"/>
  <c r="AC103" i="50"/>
  <c r="Q103" i="50"/>
  <c r="AF103" i="50"/>
  <c r="R103" i="50"/>
  <c r="AG103" i="50"/>
  <c r="AD103" i="50"/>
  <c r="AK103" i="50"/>
  <c r="M103" i="50"/>
  <c r="AI103" i="50"/>
  <c r="O103" i="50"/>
  <c r="V6" i="50"/>
  <c r="M6" i="50"/>
  <c r="S6" i="50"/>
  <c r="AM6" i="50"/>
  <c r="J6" i="50"/>
  <c r="I6" i="50"/>
  <c r="K6" i="50"/>
  <c r="AH6" i="50"/>
  <c r="T6" i="50"/>
  <c r="AB6" i="50"/>
  <c r="L6" i="50"/>
  <c r="AF6" i="50"/>
  <c r="AG6" i="50"/>
  <c r="AI6" i="50"/>
  <c r="W6" i="50"/>
  <c r="AJ6" i="50"/>
  <c r="AK6" i="50"/>
  <c r="Y6" i="50"/>
  <c r="H6" i="50"/>
  <c r="R6" i="50"/>
  <c r="Q6" i="50"/>
  <c r="N6" i="50"/>
  <c r="O6" i="50"/>
  <c r="AC6" i="50"/>
  <c r="U6" i="50"/>
  <c r="AL6" i="50"/>
  <c r="AE6" i="50"/>
  <c r="Z6" i="50"/>
  <c r="AD6" i="50"/>
  <c r="X6" i="50"/>
  <c r="AA6" i="50"/>
  <c r="P6" i="50"/>
  <c r="AM95" i="50"/>
  <c r="R95" i="50"/>
  <c r="X95" i="50"/>
  <c r="Q95" i="50"/>
  <c r="L95" i="50"/>
  <c r="AB95" i="50"/>
  <c r="H95" i="50"/>
  <c r="S95" i="50"/>
  <c r="M95" i="50"/>
  <c r="W95" i="50"/>
  <c r="AL95" i="50"/>
  <c r="K95" i="50"/>
  <c r="I95" i="50"/>
  <c r="AG95" i="50"/>
  <c r="J95" i="50"/>
  <c r="T95" i="50"/>
  <c r="Y95" i="50"/>
  <c r="AF95" i="50"/>
  <c r="N95" i="50"/>
  <c r="Z95" i="50"/>
  <c r="AE95" i="50"/>
  <c r="AJ95" i="50"/>
  <c r="V95" i="50"/>
  <c r="O95" i="50"/>
  <c r="AI95" i="50"/>
  <c r="AH95" i="50"/>
  <c r="U95" i="50"/>
  <c r="AA95" i="50"/>
  <c r="AK95" i="50"/>
  <c r="P95" i="50"/>
  <c r="AC95" i="50"/>
  <c r="AD95" i="50"/>
  <c r="Z42" i="50"/>
  <c r="R42" i="50"/>
  <c r="AB42" i="50"/>
  <c r="M42" i="50"/>
  <c r="AH42" i="50"/>
  <c r="AA42" i="50"/>
  <c r="Y42" i="50"/>
  <c r="U42" i="50"/>
  <c r="N42" i="50"/>
  <c r="AC42" i="50"/>
  <c r="AL42" i="50"/>
  <c r="AI42" i="50"/>
  <c r="H42" i="50"/>
  <c r="X42" i="50"/>
  <c r="AE42" i="50"/>
  <c r="AD42" i="50"/>
  <c r="I42" i="50"/>
  <c r="O42" i="50"/>
  <c r="Q42" i="50"/>
  <c r="V42" i="50"/>
  <c r="AK42" i="50"/>
  <c r="K42" i="50"/>
  <c r="J42" i="50"/>
  <c r="AJ42" i="50"/>
  <c r="AM42" i="50"/>
  <c r="P42" i="50"/>
  <c r="AF42" i="50"/>
  <c r="W42" i="50"/>
  <c r="S42" i="50"/>
  <c r="T42" i="50"/>
  <c r="AG42" i="50"/>
  <c r="L42" i="50"/>
  <c r="AE54" i="50"/>
  <c r="P54" i="50"/>
  <c r="Q54" i="50"/>
  <c r="Y54" i="50"/>
  <c r="U54" i="50"/>
  <c r="H54" i="50"/>
  <c r="T54" i="50"/>
  <c r="I54" i="50"/>
  <c r="AD54" i="50"/>
  <c r="N54" i="50"/>
  <c r="X54" i="50"/>
  <c r="O54" i="50"/>
  <c r="AF54" i="50"/>
  <c r="AA54" i="50"/>
  <c r="AL54" i="50"/>
  <c r="M54" i="50"/>
  <c r="W54" i="50"/>
  <c r="AM54" i="50"/>
  <c r="AC54" i="50"/>
  <c r="AI54" i="50"/>
  <c r="K54" i="50"/>
  <c r="L54" i="50"/>
  <c r="AJ54" i="50"/>
  <c r="AB54" i="50"/>
  <c r="J54" i="50"/>
  <c r="R54" i="50"/>
  <c r="AG54" i="50"/>
  <c r="AK54" i="50"/>
  <c r="V54" i="50"/>
  <c r="S54" i="50"/>
  <c r="Z54" i="50"/>
  <c r="AH54" i="50"/>
  <c r="AI73" i="50"/>
  <c r="P73" i="50"/>
  <c r="R73" i="50"/>
  <c r="J73" i="50"/>
  <c r="AD73" i="50"/>
  <c r="I73" i="50"/>
  <c r="AH73" i="50"/>
  <c r="S73" i="50"/>
  <c r="Q73" i="50"/>
  <c r="H73" i="50"/>
  <c r="AJ73" i="50"/>
  <c r="X73" i="50"/>
  <c r="AA73" i="50"/>
  <c r="AB73" i="50"/>
  <c r="AE73" i="50"/>
  <c r="Y73" i="50"/>
  <c r="AL73" i="50"/>
  <c r="V73" i="50"/>
  <c r="N73" i="50"/>
  <c r="AF73" i="50"/>
  <c r="AK73" i="50"/>
  <c r="K73" i="50"/>
  <c r="W73" i="50"/>
  <c r="U73" i="50"/>
  <c r="T73" i="50"/>
  <c r="AM73" i="50"/>
  <c r="AC73" i="50"/>
  <c r="Z73" i="50"/>
  <c r="O73" i="50"/>
  <c r="M73" i="50"/>
  <c r="AG73" i="50"/>
  <c r="L73" i="50"/>
  <c r="Y99" i="50"/>
  <c r="X99" i="50"/>
  <c r="K99" i="50"/>
  <c r="AA99" i="50"/>
  <c r="AL99" i="50"/>
  <c r="R99" i="50"/>
  <c r="AC99" i="50"/>
  <c r="J99" i="50"/>
  <c r="V99" i="50"/>
  <c r="Q99" i="50"/>
  <c r="AB99" i="50"/>
  <c r="Z99" i="50"/>
  <c r="AJ99" i="50"/>
  <c r="AH99" i="50"/>
  <c r="AD99" i="50"/>
  <c r="M99" i="50"/>
  <c r="P99" i="50"/>
  <c r="AM99" i="50"/>
  <c r="AK99" i="50"/>
  <c r="L99" i="50"/>
  <c r="O99" i="50"/>
  <c r="T99" i="50"/>
  <c r="N99" i="50"/>
  <c r="U99" i="50"/>
  <c r="S99" i="50"/>
  <c r="W99" i="50"/>
  <c r="I99" i="50"/>
  <c r="AE99" i="50"/>
  <c r="AI99" i="50"/>
  <c r="AG99" i="50"/>
  <c r="H99" i="50"/>
  <c r="AF99" i="50"/>
  <c r="P19" i="50"/>
  <c r="S19" i="50"/>
  <c r="AA19" i="50"/>
  <c r="I19" i="50"/>
  <c r="J19" i="50"/>
  <c r="AC19" i="50"/>
  <c r="AE19" i="50"/>
  <c r="H19" i="50"/>
  <c r="U19" i="50"/>
  <c r="AF19" i="50"/>
  <c r="T19" i="50"/>
  <c r="W19" i="50"/>
  <c r="Q19" i="50"/>
  <c r="V19" i="50"/>
  <c r="Z19" i="50"/>
  <c r="AI19" i="50"/>
  <c r="Y19" i="50"/>
  <c r="AL19" i="50"/>
  <c r="AM19" i="50"/>
  <c r="AB19" i="50"/>
  <c r="L19" i="50"/>
  <c r="N19" i="50"/>
  <c r="AG19" i="50"/>
  <c r="M19" i="50"/>
  <c r="X19" i="50"/>
  <c r="K19" i="50"/>
  <c r="R19" i="50"/>
  <c r="O19" i="50"/>
  <c r="AJ19" i="50"/>
  <c r="AD19" i="50"/>
  <c r="AK19" i="50"/>
  <c r="AH19" i="50"/>
  <c r="AF89" i="50"/>
  <c r="Q89" i="50"/>
  <c r="AJ89" i="50"/>
  <c r="Y89" i="50"/>
  <c r="AA89" i="50"/>
  <c r="L89" i="50"/>
  <c r="S89" i="50"/>
  <c r="AC89" i="50"/>
  <c r="J89" i="50"/>
  <c r="AK89" i="50"/>
  <c r="T89" i="50"/>
  <c r="U89" i="50"/>
  <c r="W89" i="50"/>
  <c r="N89" i="50"/>
  <c r="AG89" i="50"/>
  <c r="V89" i="50"/>
  <c r="Z89" i="50"/>
  <c r="I89" i="50"/>
  <c r="AL89" i="50"/>
  <c r="AH89" i="50"/>
  <c r="AB89" i="50"/>
  <c r="H89" i="50"/>
  <c r="AE89" i="50"/>
  <c r="AM89" i="50"/>
  <c r="P89" i="50"/>
  <c r="AD89" i="50"/>
  <c r="M89" i="50"/>
  <c r="X89" i="50"/>
  <c r="AI89" i="50"/>
  <c r="O89" i="50"/>
  <c r="R89" i="50"/>
  <c r="K89" i="50"/>
  <c r="T67" i="50"/>
  <c r="O67" i="50"/>
  <c r="N67" i="50"/>
  <c r="AA67" i="50"/>
  <c r="AG67" i="50"/>
  <c r="P67" i="50"/>
  <c r="L67" i="50"/>
  <c r="AE67" i="50"/>
  <c r="Q67" i="50"/>
  <c r="AJ67" i="50"/>
  <c r="AC67" i="50"/>
  <c r="AD67" i="50"/>
  <c r="R67" i="50"/>
  <c r="J67" i="50"/>
  <c r="M67" i="50"/>
  <c r="X67" i="50"/>
  <c r="U67" i="50"/>
  <c r="H67" i="50"/>
  <c r="K67" i="50"/>
  <c r="AM67" i="50"/>
  <c r="AI67" i="50"/>
  <c r="S67" i="50"/>
  <c r="I67" i="50"/>
  <c r="W67" i="50"/>
  <c r="V67" i="50"/>
  <c r="AK67" i="50"/>
  <c r="AH67" i="50"/>
  <c r="Y67" i="50"/>
  <c r="AF67" i="50"/>
  <c r="AL67" i="50"/>
  <c r="AB67" i="50"/>
  <c r="Z67" i="50"/>
  <c r="AB12" i="50"/>
  <c r="O12" i="50"/>
  <c r="P12" i="50"/>
  <c r="AE12" i="50"/>
  <c r="R12" i="50"/>
  <c r="L12" i="50"/>
  <c r="AF12" i="50"/>
  <c r="U12" i="50"/>
  <c r="AM12" i="50"/>
  <c r="M12" i="50"/>
  <c r="N12" i="50"/>
  <c r="I12" i="50"/>
  <c r="AD12" i="50"/>
  <c r="V12" i="50"/>
  <c r="AA12" i="50"/>
  <c r="H12" i="50"/>
  <c r="AJ12" i="50"/>
  <c r="AK12" i="50"/>
  <c r="Y12" i="50"/>
  <c r="AL12" i="50"/>
  <c r="AG12" i="50"/>
  <c r="S12" i="50"/>
  <c r="X12" i="50"/>
  <c r="T12" i="50"/>
  <c r="Z12" i="50"/>
  <c r="AC12" i="50"/>
  <c r="W12" i="50"/>
  <c r="K12" i="50"/>
  <c r="AH12" i="50"/>
  <c r="J12" i="50"/>
  <c r="Q12" i="50"/>
  <c r="AI12" i="50"/>
  <c r="Z50" i="50"/>
  <c r="AL50" i="50"/>
  <c r="R50" i="50"/>
  <c r="I50" i="50"/>
  <c r="N50" i="50"/>
  <c r="H50" i="50"/>
  <c r="AK50" i="50"/>
  <c r="P50" i="50"/>
  <c r="AD50" i="50"/>
  <c r="T50" i="50"/>
  <c r="O50" i="50"/>
  <c r="X50" i="50"/>
  <c r="AI50" i="50"/>
  <c r="S50" i="50"/>
  <c r="W50" i="50"/>
  <c r="U50" i="50"/>
  <c r="AE50" i="50"/>
  <c r="AA50" i="50"/>
  <c r="K50" i="50"/>
  <c r="L50" i="50"/>
  <c r="AM50" i="50"/>
  <c r="M50" i="50"/>
  <c r="AJ50" i="50"/>
  <c r="AH50" i="50"/>
  <c r="J50" i="50"/>
  <c r="Q50" i="50"/>
  <c r="V50" i="50"/>
  <c r="AG50" i="50"/>
  <c r="AC50" i="50"/>
  <c r="AB50" i="50"/>
  <c r="Y50" i="50"/>
  <c r="AF50" i="50"/>
  <c r="N72" i="50"/>
  <c r="AB72" i="50"/>
  <c r="M72" i="50"/>
  <c r="AI72" i="50"/>
  <c r="W72" i="50"/>
  <c r="K72" i="50"/>
  <c r="AL72" i="50"/>
  <c r="I72" i="50"/>
  <c r="AH72" i="50"/>
  <c r="AG72" i="50"/>
  <c r="AK72" i="50"/>
  <c r="AC72" i="50"/>
  <c r="J72" i="50"/>
  <c r="H72" i="50"/>
  <c r="X72" i="50"/>
  <c r="V72" i="50"/>
  <c r="AM72" i="50"/>
  <c r="Z72" i="50"/>
  <c r="R72" i="50"/>
  <c r="P72" i="50"/>
  <c r="AA72" i="50"/>
  <c r="Q72" i="50"/>
  <c r="Y72" i="50"/>
  <c r="O72" i="50"/>
  <c r="U72" i="50"/>
  <c r="AD72" i="50"/>
  <c r="L72" i="50"/>
  <c r="T72" i="50"/>
  <c r="AF72" i="50"/>
  <c r="AE72" i="50"/>
  <c r="S72" i="50"/>
  <c r="AJ72" i="50"/>
  <c r="AL38" i="50"/>
  <c r="J38" i="50"/>
  <c r="L38" i="50"/>
  <c r="AF38" i="50"/>
  <c r="V38" i="50"/>
  <c r="AD38" i="50"/>
  <c r="AE38" i="50"/>
  <c r="K38" i="50"/>
  <c r="W38" i="50"/>
  <c r="AC38" i="50"/>
  <c r="AA38" i="50"/>
  <c r="AJ38" i="50"/>
  <c r="Z38" i="50"/>
  <c r="T38" i="50"/>
  <c r="AI38" i="50"/>
  <c r="N38" i="50"/>
  <c r="AM38" i="50"/>
  <c r="S38" i="50"/>
  <c r="I38" i="50"/>
  <c r="AH38" i="50"/>
  <c r="Q38" i="50"/>
  <c r="AB38" i="50"/>
  <c r="M38" i="50"/>
  <c r="H38" i="50"/>
  <c r="R38" i="50"/>
  <c r="X38" i="50"/>
  <c r="P38" i="50"/>
  <c r="Y38" i="50"/>
  <c r="AK38" i="50"/>
  <c r="U38" i="50"/>
  <c r="AG38" i="50"/>
  <c r="O38" i="50"/>
  <c r="AC14" i="50"/>
  <c r="AE14" i="50"/>
  <c r="N14" i="50"/>
  <c r="J14" i="50"/>
  <c r="Q14" i="50"/>
  <c r="AJ14" i="50"/>
  <c r="L14" i="50"/>
  <c r="AG14" i="50"/>
  <c r="S14" i="50"/>
  <c r="AK14" i="50"/>
  <c r="AB14" i="50"/>
  <c r="AM14" i="50"/>
  <c r="Z14" i="50"/>
  <c r="AL14" i="50"/>
  <c r="I14" i="50"/>
  <c r="Y14" i="50"/>
  <c r="W14" i="50"/>
  <c r="P14" i="50"/>
  <c r="AH14" i="50"/>
  <c r="M14" i="50"/>
  <c r="AI14" i="50"/>
  <c r="AA14" i="50"/>
  <c r="AF14" i="50"/>
  <c r="T14" i="50"/>
  <c r="X14" i="50"/>
  <c r="H14" i="50"/>
  <c r="K14" i="50"/>
  <c r="U14" i="50"/>
  <c r="V14" i="50"/>
  <c r="AD14" i="50"/>
  <c r="R14" i="50"/>
  <c r="O14" i="50"/>
  <c r="O68" i="50"/>
  <c r="W68" i="50"/>
  <c r="AG68" i="50"/>
  <c r="AD68" i="50"/>
  <c r="P68" i="50"/>
  <c r="I68" i="50"/>
  <c r="Z68" i="50"/>
  <c r="AA68" i="50"/>
  <c r="M68" i="50"/>
  <c r="N68" i="50"/>
  <c r="K68" i="50"/>
  <c r="L68" i="50"/>
  <c r="S68" i="50"/>
  <c r="AJ68" i="50"/>
  <c r="T68" i="50"/>
  <c r="Y68" i="50"/>
  <c r="U68" i="50"/>
  <c r="AK68" i="50"/>
  <c r="AB68" i="50"/>
  <c r="Q68" i="50"/>
  <c r="R68" i="50"/>
  <c r="X68" i="50"/>
  <c r="AM68" i="50"/>
  <c r="H68" i="50"/>
  <c r="AF68" i="50"/>
  <c r="AI68" i="50"/>
  <c r="AH68" i="50"/>
  <c r="AC68" i="50"/>
  <c r="J68" i="50"/>
  <c r="AE68" i="50"/>
  <c r="V68" i="50"/>
  <c r="AL68" i="50"/>
  <c r="J70" i="50"/>
  <c r="AC70" i="50"/>
  <c r="K70" i="50"/>
  <c r="Y70" i="50"/>
  <c r="P70" i="50"/>
  <c r="T70" i="50"/>
  <c r="R70" i="50"/>
  <c r="S70" i="50"/>
  <c r="X70" i="50"/>
  <c r="L70" i="50"/>
  <c r="AG70" i="50"/>
  <c r="V70" i="50"/>
  <c r="AE70" i="50"/>
  <c r="Z70" i="50"/>
  <c r="Q70" i="50"/>
  <c r="N70" i="50"/>
  <c r="AB70" i="50"/>
  <c r="AK70" i="50"/>
  <c r="AH70" i="50"/>
  <c r="H70" i="50"/>
  <c r="U70" i="50"/>
  <c r="I70" i="50"/>
  <c r="M70" i="50"/>
  <c r="AF70" i="50"/>
  <c r="AA70" i="50"/>
  <c r="AM70" i="50"/>
  <c r="AJ70" i="50"/>
  <c r="O70" i="50"/>
  <c r="AI70" i="50"/>
  <c r="AL70" i="50"/>
  <c r="W70" i="50"/>
  <c r="AD70" i="50"/>
  <c r="AI59" i="50"/>
  <c r="J59" i="50"/>
  <c r="AD59" i="50"/>
  <c r="AM59" i="50"/>
  <c r="AA59" i="50"/>
  <c r="AC59" i="50"/>
  <c r="AF59" i="50"/>
  <c r="AG59" i="50"/>
  <c r="AK59" i="50"/>
  <c r="AL59" i="50"/>
  <c r="AJ59" i="50"/>
  <c r="L59" i="50"/>
  <c r="H59" i="50"/>
  <c r="W59" i="50"/>
  <c r="S59" i="50"/>
  <c r="T59" i="50"/>
  <c r="V59" i="50"/>
  <c r="X59" i="50"/>
  <c r="I59" i="50"/>
  <c r="Y59" i="50"/>
  <c r="O59" i="50"/>
  <c r="R59" i="50"/>
  <c r="P59" i="50"/>
  <c r="AH59" i="50"/>
  <c r="U59" i="50"/>
  <c r="Z59" i="50"/>
  <c r="M59" i="50"/>
  <c r="Q59" i="50"/>
  <c r="N59" i="50"/>
  <c r="AE59" i="50"/>
  <c r="AB59" i="50"/>
  <c r="K59" i="50"/>
  <c r="O96" i="50"/>
  <c r="V96" i="50"/>
  <c r="AA96" i="50"/>
  <c r="AH96" i="50"/>
  <c r="P96" i="50"/>
  <c r="AF96" i="50"/>
  <c r="T96" i="50"/>
  <c r="X96" i="50"/>
  <c r="S96" i="50"/>
  <c r="W96" i="50"/>
  <c r="AE96" i="50"/>
  <c r="U96" i="50"/>
  <c r="H96" i="50"/>
  <c r="AJ96" i="50"/>
  <c r="Q96" i="50"/>
  <c r="L96" i="50"/>
  <c r="M96" i="50"/>
  <c r="AG96" i="50"/>
  <c r="Z96" i="50"/>
  <c r="Y96" i="50"/>
  <c r="R96" i="50"/>
  <c r="K96" i="50"/>
  <c r="I96" i="50"/>
  <c r="AK96" i="50"/>
  <c r="N96" i="50"/>
  <c r="J96" i="50"/>
  <c r="AL96" i="50"/>
  <c r="AI96" i="50"/>
  <c r="AC96" i="50"/>
  <c r="AM96" i="50"/>
  <c r="AB96" i="50"/>
  <c r="AD96" i="50"/>
  <c r="AG4" i="50"/>
  <c r="R4" i="50"/>
  <c r="L4" i="50"/>
  <c r="AL4" i="50"/>
  <c r="AK4" i="50"/>
  <c r="V4" i="50"/>
  <c r="Q4" i="50"/>
  <c r="X4" i="50"/>
  <c r="P4" i="50"/>
  <c r="S4" i="50"/>
  <c r="T4" i="50"/>
  <c r="Z4" i="50"/>
  <c r="W4" i="50"/>
  <c r="AJ4" i="50"/>
  <c r="I4" i="50"/>
  <c r="M4" i="50"/>
  <c r="U4" i="50"/>
  <c r="K4" i="50"/>
  <c r="Y4" i="50"/>
  <c r="AM4" i="50"/>
  <c r="AI4" i="50"/>
  <c r="J4" i="50"/>
  <c r="N4" i="50"/>
  <c r="AC4" i="50"/>
  <c r="O4" i="50"/>
  <c r="AB4" i="50"/>
  <c r="H4" i="50"/>
  <c r="AH4" i="50"/>
  <c r="AF4" i="50"/>
  <c r="AE4" i="50"/>
  <c r="AA4" i="50"/>
  <c r="AD4" i="50"/>
  <c r="AA22" i="50"/>
  <c r="AI22" i="50"/>
  <c r="AH22" i="50"/>
  <c r="P22" i="50"/>
  <c r="S22" i="50"/>
  <c r="AK22" i="50"/>
  <c r="J22" i="50"/>
  <c r="T22" i="50"/>
  <c r="N22" i="50"/>
  <c r="H22" i="50"/>
  <c r="AJ22" i="50"/>
  <c r="AB22" i="50"/>
  <c r="Z22" i="50"/>
  <c r="O22" i="50"/>
  <c r="M22" i="50"/>
  <c r="AL22" i="50"/>
  <c r="AF22" i="50"/>
  <c r="V22" i="50"/>
  <c r="AD22" i="50"/>
  <c r="X22" i="50"/>
  <c r="Q22" i="50"/>
  <c r="AE22" i="50"/>
  <c r="AG22" i="50"/>
  <c r="W22" i="50"/>
  <c r="U22" i="50"/>
  <c r="I22" i="50"/>
  <c r="L22" i="50"/>
  <c r="AM22" i="50"/>
  <c r="K22" i="50"/>
  <c r="AC22" i="50"/>
  <c r="Y22" i="50"/>
  <c r="R22" i="50"/>
  <c r="R43" i="50"/>
  <c r="X43" i="50"/>
  <c r="K43" i="50"/>
  <c r="Z43" i="50"/>
  <c r="AH43" i="50"/>
  <c r="H43" i="50"/>
  <c r="AM43" i="50"/>
  <c r="Q43" i="50"/>
  <c r="AG43" i="50"/>
  <c r="AA43" i="50"/>
  <c r="AJ43" i="50"/>
  <c r="AE43" i="50"/>
  <c r="U43" i="50"/>
  <c r="AD43" i="50"/>
  <c r="M43" i="50"/>
  <c r="T43" i="50"/>
  <c r="V43" i="50"/>
  <c r="AK43" i="50"/>
  <c r="AL43" i="50"/>
  <c r="Y43" i="50"/>
  <c r="L43" i="50"/>
  <c r="J43" i="50"/>
  <c r="P43" i="50"/>
  <c r="S43" i="50"/>
  <c r="AB43" i="50"/>
  <c r="W43" i="50"/>
  <c r="N43" i="50"/>
  <c r="AC43" i="50"/>
  <c r="AI43" i="50"/>
  <c r="O43" i="50"/>
  <c r="I43" i="50"/>
  <c r="AF43" i="50"/>
  <c r="Q52" i="50"/>
  <c r="AL52" i="50"/>
  <c r="L52" i="50"/>
  <c r="K52" i="50"/>
  <c r="W52" i="50"/>
  <c r="M52" i="50"/>
  <c r="V52" i="50"/>
  <c r="AG52" i="50"/>
  <c r="N52" i="50"/>
  <c r="AJ52" i="50"/>
  <c r="P52" i="50"/>
  <c r="T52" i="50"/>
  <c r="S52" i="50"/>
  <c r="H52" i="50"/>
  <c r="O52" i="50"/>
  <c r="AA52" i="50"/>
  <c r="AC52" i="50"/>
  <c r="U52" i="50"/>
  <c r="Z52" i="50"/>
  <c r="AK52" i="50"/>
  <c r="AM52" i="50"/>
  <c r="Y52" i="50"/>
  <c r="X52" i="50"/>
  <c r="I52" i="50"/>
  <c r="AB52" i="50"/>
  <c r="AI52" i="50"/>
  <c r="AE52" i="50"/>
  <c r="AD52" i="50"/>
  <c r="AF52" i="50"/>
  <c r="AH52" i="50"/>
  <c r="J52" i="50"/>
  <c r="R52" i="50"/>
  <c r="X16" i="50"/>
  <c r="Y16" i="50"/>
  <c r="U16" i="50"/>
  <c r="AL16" i="50"/>
  <c r="AA16" i="50"/>
  <c r="AI16" i="50"/>
  <c r="S16" i="50"/>
  <c r="AC16" i="50"/>
  <c r="AD16" i="50"/>
  <c r="N16" i="50"/>
  <c r="H16" i="50"/>
  <c r="K16" i="50"/>
  <c r="AG16" i="50"/>
  <c r="Z16" i="50"/>
  <c r="P16" i="50"/>
  <c r="AK16" i="50"/>
  <c r="W16" i="50"/>
  <c r="Q16" i="50"/>
  <c r="AE16" i="50"/>
  <c r="AM16" i="50"/>
  <c r="I16" i="50"/>
  <c r="AH16" i="50"/>
  <c r="L16" i="50"/>
  <c r="O16" i="50"/>
  <c r="AF16" i="50"/>
  <c r="M16" i="50"/>
  <c r="T16" i="50"/>
  <c r="J16" i="50"/>
  <c r="R16" i="50"/>
  <c r="AB16" i="50"/>
  <c r="AJ16" i="50"/>
  <c r="V16" i="50"/>
  <c r="AF48" i="50"/>
  <c r="AE48" i="50"/>
  <c r="R48" i="50"/>
  <c r="AI48" i="50"/>
  <c r="L48" i="50"/>
  <c r="AH48" i="50"/>
  <c r="AA48" i="50"/>
  <c r="O48" i="50"/>
  <c r="X48" i="50"/>
  <c r="H48" i="50"/>
  <c r="I48" i="50"/>
  <c r="N48" i="50"/>
  <c r="V48" i="50"/>
  <c r="Q48" i="50"/>
  <c r="Y48" i="50"/>
  <c r="AC48" i="50"/>
  <c r="AL48" i="50"/>
  <c r="AM48" i="50"/>
  <c r="AD48" i="50"/>
  <c r="AK48" i="50"/>
  <c r="P48" i="50"/>
  <c r="K48" i="50"/>
  <c r="J48" i="50"/>
  <c r="M48" i="50"/>
  <c r="U48" i="50"/>
  <c r="AJ48" i="50"/>
  <c r="S48" i="50"/>
  <c r="AG48" i="50"/>
  <c r="W48" i="50"/>
  <c r="T48" i="50"/>
  <c r="Z48" i="50"/>
  <c r="AB48" i="50"/>
  <c r="Q15" i="50"/>
  <c r="AH15" i="50"/>
  <c r="P15" i="50"/>
  <c r="S15" i="50"/>
  <c r="I15" i="50"/>
  <c r="Z15" i="50"/>
  <c r="M15" i="50"/>
  <c r="AA15" i="50"/>
  <c r="AC15" i="50"/>
  <c r="H15" i="50"/>
  <c r="AF15" i="50"/>
  <c r="AE15" i="50"/>
  <c r="X15" i="50"/>
  <c r="N15" i="50"/>
  <c r="L15" i="50"/>
  <c r="AK15" i="50"/>
  <c r="O15" i="50"/>
  <c r="AM15" i="50"/>
  <c r="K15" i="50"/>
  <c r="U15" i="50"/>
  <c r="V15" i="50"/>
  <c r="AJ15" i="50"/>
  <c r="R15" i="50"/>
  <c r="AG15" i="50"/>
  <c r="W15" i="50"/>
  <c r="Y15" i="50"/>
  <c r="T15" i="50"/>
  <c r="AD15" i="50"/>
  <c r="J15" i="50"/>
  <c r="AL15" i="50"/>
  <c r="AB15" i="50"/>
  <c r="AI15" i="50"/>
  <c r="S77" i="50"/>
  <c r="N77" i="50"/>
  <c r="V77" i="50"/>
  <c r="M77" i="50"/>
  <c r="AF77" i="50"/>
  <c r="I77" i="50"/>
  <c r="AL77" i="50"/>
  <c r="K77" i="50"/>
  <c r="AC77" i="50"/>
  <c r="O77" i="50"/>
  <c r="AE77" i="50"/>
  <c r="H77" i="50"/>
  <c r="AM77" i="50"/>
  <c r="AG77" i="50"/>
  <c r="Q77" i="50"/>
  <c r="W77" i="50"/>
  <c r="P77" i="50"/>
  <c r="AD77" i="50"/>
  <c r="AK77" i="50"/>
  <c r="AJ77" i="50"/>
  <c r="AH77" i="50"/>
  <c r="U77" i="50"/>
  <c r="AI77" i="50"/>
  <c r="AB77" i="50"/>
  <c r="T77" i="50"/>
  <c r="X77" i="50"/>
  <c r="Y77" i="50"/>
  <c r="AA77" i="50"/>
  <c r="J77" i="50"/>
  <c r="R77" i="50"/>
  <c r="L77" i="50"/>
  <c r="Z77" i="50"/>
  <c r="AK65" i="50"/>
  <c r="AA65" i="50"/>
  <c r="T65" i="50"/>
  <c r="AB65" i="50"/>
  <c r="U65" i="50"/>
  <c r="AD65" i="50"/>
  <c r="H65" i="50"/>
  <c r="P65" i="50"/>
  <c r="X65" i="50"/>
  <c r="R65" i="50"/>
  <c r="AE65" i="50"/>
  <c r="AJ65" i="50"/>
  <c r="I65" i="50"/>
  <c r="M65" i="50"/>
  <c r="Y65" i="50"/>
  <c r="AC65" i="50"/>
  <c r="S65" i="50"/>
  <c r="AH65" i="50"/>
  <c r="AL65" i="50"/>
  <c r="J65" i="50"/>
  <c r="AF65" i="50"/>
  <c r="W65" i="50"/>
  <c r="V65" i="50"/>
  <c r="Z65" i="50"/>
  <c r="O65" i="50"/>
  <c r="AM65" i="50"/>
  <c r="AI65" i="50"/>
  <c r="L65" i="50"/>
  <c r="K65" i="50"/>
  <c r="Q65" i="50"/>
  <c r="N65" i="50"/>
  <c r="AG65" i="50"/>
  <c r="I27" i="50"/>
  <c r="H27" i="50"/>
  <c r="J27" i="50"/>
  <c r="AC27" i="50"/>
  <c r="AM27" i="50"/>
  <c r="O27" i="50"/>
  <c r="AD27" i="50"/>
  <c r="R27" i="50"/>
  <c r="Z27" i="50"/>
  <c r="S27" i="50"/>
  <c r="Y27" i="50"/>
  <c r="X27" i="50"/>
  <c r="AH27" i="50"/>
  <c r="L27" i="50"/>
  <c r="AJ27" i="50"/>
  <c r="AL27" i="50"/>
  <c r="V27" i="50"/>
  <c r="AE27" i="50"/>
  <c r="P27" i="50"/>
  <c r="AF27" i="50"/>
  <c r="K27" i="50"/>
  <c r="AI27" i="50"/>
  <c r="N27" i="50"/>
  <c r="AB27" i="50"/>
  <c r="AA27" i="50"/>
  <c r="U27" i="50"/>
  <c r="Q27" i="50"/>
  <c r="W27" i="50"/>
  <c r="AK27" i="50"/>
  <c r="M27" i="50"/>
  <c r="T27" i="50"/>
  <c r="AG27" i="50"/>
  <c r="S84" i="50"/>
  <c r="V84" i="50"/>
  <c r="AI84" i="50"/>
  <c r="J84" i="50"/>
  <c r="Q84" i="50"/>
  <c r="AF84" i="50"/>
  <c r="M84" i="50"/>
  <c r="Z84" i="50"/>
  <c r="K84" i="50"/>
  <c r="AK84" i="50"/>
  <c r="AA84" i="50"/>
  <c r="Y84" i="50"/>
  <c r="AD84" i="50"/>
  <c r="H84" i="50"/>
  <c r="AE84" i="50"/>
  <c r="U84" i="50"/>
  <c r="AH84" i="50"/>
  <c r="AC84" i="50"/>
  <c r="W84" i="50"/>
  <c r="AL84" i="50"/>
  <c r="AG84" i="50"/>
  <c r="AJ84" i="50"/>
  <c r="L84" i="50"/>
  <c r="P84" i="50"/>
  <c r="AM84" i="50"/>
  <c r="R84" i="50"/>
  <c r="T84" i="50"/>
  <c r="N84" i="50"/>
  <c r="AB84" i="50"/>
  <c r="I84" i="50"/>
  <c r="O84" i="50"/>
  <c r="X84" i="50"/>
  <c r="Q93" i="50"/>
  <c r="O93" i="50"/>
  <c r="AF93" i="50"/>
  <c r="M93" i="50"/>
  <c r="K93" i="50"/>
  <c r="S93" i="50"/>
  <c r="Z93" i="50"/>
  <c r="R93" i="50"/>
  <c r="AH93" i="50"/>
  <c r="J93" i="50"/>
  <c r="W93" i="50"/>
  <c r="AK93" i="50"/>
  <c r="AM93" i="50"/>
  <c r="AE93" i="50"/>
  <c r="AB93" i="50"/>
  <c r="AL93" i="50"/>
  <c r="AG93" i="50"/>
  <c r="AI93" i="50"/>
  <c r="AC93" i="50"/>
  <c r="N93" i="50"/>
  <c r="V93" i="50"/>
  <c r="AD93" i="50"/>
  <c r="T93" i="50"/>
  <c r="P93" i="50"/>
  <c r="Y93" i="50"/>
  <c r="L93" i="50"/>
  <c r="AJ93" i="50"/>
  <c r="AA93" i="50"/>
  <c r="X93" i="50"/>
  <c r="U93" i="50"/>
  <c r="H93" i="50"/>
  <c r="I93" i="50"/>
  <c r="R44" i="50"/>
  <c r="AI44" i="50"/>
  <c r="M44" i="50"/>
  <c r="AG44" i="50"/>
  <c r="Y44" i="50"/>
  <c r="AD44" i="50"/>
  <c r="AA44" i="50"/>
  <c r="L44" i="50"/>
  <c r="Z44" i="50"/>
  <c r="AK44" i="50"/>
  <c r="AM44" i="50"/>
  <c r="Q44" i="50"/>
  <c r="AH44" i="50"/>
  <c r="AL44" i="50"/>
  <c r="AC44" i="50"/>
  <c r="AF44" i="50"/>
  <c r="P44" i="50"/>
  <c r="T44" i="50"/>
  <c r="O44" i="50"/>
  <c r="V44" i="50"/>
  <c r="AJ44" i="50"/>
  <c r="AB44" i="50"/>
  <c r="U44" i="50"/>
  <c r="AE44" i="50"/>
  <c r="I44" i="50"/>
  <c r="W44" i="50"/>
  <c r="N44" i="50"/>
  <c r="X44" i="50"/>
  <c r="J44" i="50"/>
  <c r="K44" i="50"/>
  <c r="S44" i="50"/>
  <c r="H44" i="50"/>
  <c r="AC79" i="50"/>
  <c r="P79" i="50"/>
  <c r="U79" i="50"/>
  <c r="AG79" i="50"/>
  <c r="I79" i="50"/>
  <c r="N79" i="50"/>
  <c r="K79" i="50"/>
  <c r="Q79" i="50"/>
  <c r="M79" i="50"/>
  <c r="AI79" i="50"/>
  <c r="S79" i="50"/>
  <c r="AA79" i="50"/>
  <c r="H79" i="50"/>
  <c r="AL79" i="50"/>
  <c r="R79" i="50"/>
  <c r="L79" i="50"/>
  <c r="O79" i="50"/>
  <c r="AK79" i="50"/>
  <c r="X79" i="50"/>
  <c r="W79" i="50"/>
  <c r="V79" i="50"/>
  <c r="AJ79" i="50"/>
  <c r="Y79" i="50"/>
  <c r="AE79" i="50"/>
  <c r="AF79" i="50"/>
  <c r="AD79" i="50"/>
  <c r="J79" i="50"/>
  <c r="AM79" i="50"/>
  <c r="AB79" i="50"/>
  <c r="T79" i="50"/>
  <c r="Z79" i="50"/>
  <c r="AH79" i="50"/>
  <c r="V5" i="50"/>
  <c r="S5" i="50"/>
  <c r="T5" i="50"/>
  <c r="AA5" i="50"/>
  <c r="N5" i="50"/>
  <c r="Y5" i="50"/>
  <c r="AL5" i="50"/>
  <c r="AH5" i="50"/>
  <c r="AG5" i="50"/>
  <c r="AM5" i="50"/>
  <c r="AF5" i="50"/>
  <c r="AE5" i="50"/>
  <c r="O5" i="50"/>
  <c r="AC5" i="50"/>
  <c r="Z5" i="50"/>
  <c r="AI5" i="50"/>
  <c r="AK5" i="50"/>
  <c r="I5" i="50"/>
  <c r="J5" i="50"/>
  <c r="U5" i="50"/>
  <c r="K5" i="50"/>
  <c r="M5" i="50"/>
  <c r="AD5" i="50"/>
  <c r="L5" i="50"/>
  <c r="W5" i="50"/>
  <c r="H5" i="50"/>
  <c r="X5" i="50"/>
  <c r="Q5" i="50"/>
  <c r="P5" i="50"/>
  <c r="R5" i="50"/>
  <c r="AJ5" i="50"/>
  <c r="AB5" i="50"/>
  <c r="AG51" i="50"/>
  <c r="S51" i="50"/>
  <c r="AJ51" i="50"/>
  <c r="AI51" i="50"/>
  <c r="N51" i="50"/>
  <c r="AL51" i="50"/>
  <c r="J51" i="50"/>
  <c r="H51" i="50"/>
  <c r="X51" i="50"/>
  <c r="Z51" i="50"/>
  <c r="AB51" i="50"/>
  <c r="P51" i="50"/>
  <c r="AE51" i="50"/>
  <c r="Q51" i="50"/>
  <c r="AD51" i="50"/>
  <c r="V51" i="50"/>
  <c r="AC51" i="50"/>
  <c r="L51" i="50"/>
  <c r="R51" i="50"/>
  <c r="AK51" i="50"/>
  <c r="AM51" i="50"/>
  <c r="T51" i="50"/>
  <c r="AA51" i="50"/>
  <c r="O51" i="50"/>
  <c r="AF51" i="50"/>
  <c r="Y51" i="50"/>
  <c r="M51" i="50"/>
  <c r="W51" i="50"/>
  <c r="AH51" i="50"/>
  <c r="K51" i="50"/>
  <c r="U51" i="50"/>
  <c r="I51" i="50"/>
  <c r="AL11" i="50"/>
  <c r="S11" i="50"/>
  <c r="AM11" i="50"/>
  <c r="AB11" i="50"/>
  <c r="L11" i="50"/>
  <c r="X11" i="50"/>
  <c r="P11" i="50"/>
  <c r="AA11" i="50"/>
  <c r="W11" i="50"/>
  <c r="V11" i="50"/>
  <c r="T11" i="50"/>
  <c r="U11" i="50"/>
  <c r="AF11" i="50"/>
  <c r="Y11" i="50"/>
  <c r="K11" i="50"/>
  <c r="N11" i="50"/>
  <c r="AD11" i="50"/>
  <c r="J11" i="50"/>
  <c r="I11" i="50"/>
  <c r="M11" i="50"/>
  <c r="R11" i="50"/>
  <c r="AK11" i="50"/>
  <c r="AH11" i="50"/>
  <c r="O11" i="50"/>
  <c r="AG11" i="50"/>
  <c r="Z11" i="50"/>
  <c r="AJ11" i="50"/>
  <c r="AE11" i="50"/>
  <c r="AI11" i="50"/>
  <c r="H11" i="50"/>
  <c r="AC11" i="50"/>
  <c r="Q11" i="50"/>
  <c r="J75" i="50"/>
  <c r="O75" i="50"/>
  <c r="AL75" i="50"/>
  <c r="Y75" i="50"/>
  <c r="AA75" i="50"/>
  <c r="M75" i="50"/>
  <c r="AK75" i="50"/>
  <c r="L75" i="50"/>
  <c r="S75" i="50"/>
  <c r="AG75" i="50"/>
  <c r="N75" i="50"/>
  <c r="R75" i="50"/>
  <c r="H75" i="50"/>
  <c r="AM75" i="50"/>
  <c r="AC75" i="50"/>
  <c r="W75" i="50"/>
  <c r="P75" i="50"/>
  <c r="I75" i="50"/>
  <c r="V75" i="50"/>
  <c r="AF75" i="50"/>
  <c r="AB75" i="50"/>
  <c r="Z75" i="50"/>
  <c r="AD75" i="50"/>
  <c r="Q75" i="50"/>
  <c r="U75" i="50"/>
  <c r="K75" i="50"/>
  <c r="AI75" i="50"/>
  <c r="AH75" i="50"/>
  <c r="AJ75" i="50"/>
  <c r="AE75" i="50"/>
  <c r="X75" i="50"/>
  <c r="T75" i="50"/>
  <c r="M87" i="50"/>
  <c r="S87" i="50"/>
  <c r="W87" i="50"/>
  <c r="AD87" i="50"/>
  <c r="T87" i="50"/>
  <c r="AL87" i="50"/>
  <c r="K87" i="50"/>
  <c r="AK87" i="50"/>
  <c r="J87" i="50"/>
  <c r="I87" i="50"/>
  <c r="Z87" i="50"/>
  <c r="P87" i="50"/>
  <c r="AB87" i="50"/>
  <c r="R87" i="50"/>
  <c r="AI87" i="50"/>
  <c r="AG87" i="50"/>
  <c r="AC87" i="50"/>
  <c r="AM87" i="50"/>
  <c r="Y87" i="50"/>
  <c r="O87" i="50"/>
  <c r="AA87" i="50"/>
  <c r="X87" i="50"/>
  <c r="L87" i="50"/>
  <c r="AH87" i="50"/>
  <c r="N87" i="50"/>
  <c r="AF87" i="50"/>
  <c r="AE87" i="50"/>
  <c r="H87" i="50"/>
  <c r="AJ87" i="50"/>
  <c r="Q87" i="50"/>
  <c r="V87" i="50"/>
  <c r="U87" i="50"/>
  <c r="P66" i="50"/>
  <c r="AA66" i="50"/>
  <c r="Y66" i="50"/>
  <c r="AE66" i="50"/>
  <c r="H66" i="50"/>
  <c r="AK66" i="50"/>
  <c r="I66" i="50"/>
  <c r="Z66" i="50"/>
  <c r="R66" i="50"/>
  <c r="AJ66" i="50"/>
  <c r="S66" i="50"/>
  <c r="X66" i="50"/>
  <c r="AB66" i="50"/>
  <c r="AD66" i="50"/>
  <c r="AH66" i="50"/>
  <c r="AG66" i="50"/>
  <c r="AC66" i="50"/>
  <c r="L66" i="50"/>
  <c r="T66" i="50"/>
  <c r="AI66" i="50"/>
  <c r="K66" i="50"/>
  <c r="W66" i="50"/>
  <c r="V66" i="50"/>
  <c r="O66" i="50"/>
  <c r="M66" i="50"/>
  <c r="AM66" i="50"/>
  <c r="N66" i="50"/>
  <c r="AL66" i="50"/>
  <c r="J66" i="50"/>
  <c r="U66" i="50"/>
  <c r="AF66" i="50"/>
  <c r="Q66" i="50"/>
  <c r="AE13" i="50"/>
  <c r="AB13" i="50"/>
  <c r="AJ13" i="50"/>
  <c r="AD13" i="50"/>
  <c r="J13" i="50"/>
  <c r="AH13" i="50"/>
  <c r="AC13" i="50"/>
  <c r="T13" i="50"/>
  <c r="AK13" i="50"/>
  <c r="H13" i="50"/>
  <c r="Z13" i="50"/>
  <c r="W13" i="50"/>
  <c r="Q13" i="50"/>
  <c r="N13" i="50"/>
  <c r="AF13" i="50"/>
  <c r="L13" i="50"/>
  <c r="AL13" i="50"/>
  <c r="I13" i="50"/>
  <c r="S13" i="50"/>
  <c r="R13" i="50"/>
  <c r="K13" i="50"/>
  <c r="Y13" i="50"/>
  <c r="AM13" i="50"/>
  <c r="AA13" i="50"/>
  <c r="P13" i="50"/>
  <c r="X13" i="50"/>
  <c r="V13" i="50"/>
  <c r="M13" i="50"/>
  <c r="U13" i="50"/>
  <c r="AI13" i="50"/>
  <c r="O13" i="50"/>
  <c r="AG13" i="50"/>
  <c r="W97" i="50"/>
  <c r="J97" i="50"/>
  <c r="AK97" i="50"/>
  <c r="P97" i="50"/>
  <c r="AC97" i="50"/>
  <c r="S97" i="50"/>
  <c r="AL97" i="50"/>
  <c r="U97" i="50"/>
  <c r="AF97" i="50"/>
  <c r="Y97" i="50"/>
  <c r="AA97" i="50"/>
  <c r="AI97" i="50"/>
  <c r="AJ97" i="50"/>
  <c r="O97" i="50"/>
  <c r="AH97" i="50"/>
  <c r="AD97" i="50"/>
  <c r="AB97" i="50"/>
  <c r="Z97" i="50"/>
  <c r="M97" i="50"/>
  <c r="L97" i="50"/>
  <c r="N97" i="50"/>
  <c r="I97" i="50"/>
  <c r="Q97" i="50"/>
  <c r="AM97" i="50"/>
  <c r="H97" i="50"/>
  <c r="R97" i="50"/>
  <c r="V97" i="50"/>
  <c r="K97" i="50"/>
  <c r="X97" i="50"/>
  <c r="AE97" i="50"/>
  <c r="AG97" i="50"/>
  <c r="T97" i="50"/>
  <c r="I26" i="50"/>
  <c r="AL26" i="50"/>
  <c r="W26" i="50"/>
  <c r="V26" i="50"/>
  <c r="J26" i="50"/>
  <c r="AH26" i="50"/>
  <c r="AD26" i="50"/>
  <c r="K26" i="50"/>
  <c r="N26" i="50"/>
  <c r="Q26" i="50"/>
  <c r="AE26" i="50"/>
  <c r="R26" i="50"/>
  <c r="AM26" i="50"/>
  <c r="Z26" i="50"/>
  <c r="AI26" i="50"/>
  <c r="AG26" i="50"/>
  <c r="U26" i="50"/>
  <c r="AB26" i="50"/>
  <c r="AK26" i="50"/>
  <c r="AA26" i="50"/>
  <c r="S26" i="50"/>
  <c r="L26" i="50"/>
  <c r="M26" i="50"/>
  <c r="P26" i="50"/>
  <c r="H26" i="50"/>
  <c r="T26" i="50"/>
  <c r="AJ26" i="50"/>
  <c r="Y26" i="50"/>
  <c r="O26" i="50"/>
  <c r="X26" i="50"/>
  <c r="AF26" i="50"/>
  <c r="AC26" i="50"/>
  <c r="AB85" i="50"/>
  <c r="Z85" i="50"/>
  <c r="AF85" i="50"/>
  <c r="U85" i="50"/>
  <c r="AG85" i="50"/>
  <c r="AM85" i="50"/>
  <c r="AE85" i="50"/>
  <c r="H85" i="50"/>
  <c r="AK85" i="50"/>
  <c r="Q85" i="50"/>
  <c r="S85" i="50"/>
  <c r="I85" i="50"/>
  <c r="N85" i="50"/>
  <c r="T85" i="50"/>
  <c r="P85" i="50"/>
  <c r="AH85" i="50"/>
  <c r="AL85" i="50"/>
  <c r="AA85" i="50"/>
  <c r="AI85" i="50"/>
  <c r="R85" i="50"/>
  <c r="L85" i="50"/>
  <c r="Y85" i="50"/>
  <c r="AJ85" i="50"/>
  <c r="V85" i="50"/>
  <c r="K85" i="50"/>
  <c r="X85" i="50"/>
  <c r="M85" i="50"/>
  <c r="AD85" i="50"/>
  <c r="O85" i="50"/>
  <c r="J85" i="50"/>
  <c r="AC85" i="50"/>
  <c r="W85" i="50"/>
  <c r="AM41" i="50"/>
  <c r="AF41" i="50"/>
  <c r="N41" i="50"/>
  <c r="U41" i="50"/>
  <c r="K41" i="50"/>
  <c r="Y41" i="50"/>
  <c r="Q41" i="50"/>
  <c r="AJ41" i="50"/>
  <c r="S41" i="50"/>
  <c r="AG41" i="50"/>
  <c r="L41" i="50"/>
  <c r="V41" i="50"/>
  <c r="AC41" i="50"/>
  <c r="AD41" i="50"/>
  <c r="AK41" i="50"/>
  <c r="Z41" i="50"/>
  <c r="AL41" i="50"/>
  <c r="X41" i="50"/>
  <c r="R41" i="50"/>
  <c r="AH41" i="50"/>
  <c r="J41" i="50"/>
  <c r="O41" i="50"/>
  <c r="AI41" i="50"/>
  <c r="M41" i="50"/>
  <c r="AE41" i="50"/>
  <c r="P41" i="50"/>
  <c r="H41" i="50"/>
  <c r="W41" i="50"/>
  <c r="AA41" i="50"/>
  <c r="AB41" i="50"/>
  <c r="T41" i="50"/>
  <c r="I41" i="50"/>
  <c r="AL35" i="50"/>
  <c r="AE35" i="50"/>
  <c r="U35" i="50"/>
  <c r="X35" i="50"/>
  <c r="K35" i="50"/>
  <c r="H35" i="50"/>
  <c r="AH35" i="50"/>
  <c r="Y35" i="50"/>
  <c r="AG35" i="50"/>
  <c r="N35" i="50"/>
  <c r="Q35" i="50"/>
  <c r="T35" i="50"/>
  <c r="S35" i="50"/>
  <c r="AK35" i="50"/>
  <c r="M35" i="50"/>
  <c r="W35" i="50"/>
  <c r="L35" i="50"/>
  <c r="AD35" i="50"/>
  <c r="I35" i="50"/>
  <c r="AI35" i="50"/>
  <c r="AJ35" i="50"/>
  <c r="AA35" i="50"/>
  <c r="AM35" i="50"/>
  <c r="AC35" i="50"/>
  <c r="P35" i="50"/>
  <c r="AB35" i="50"/>
  <c r="O35" i="50"/>
  <c r="R35" i="50"/>
  <c r="V35" i="50"/>
  <c r="Z35" i="50"/>
  <c r="AF35" i="50"/>
  <c r="J35" i="50"/>
  <c r="AA100" i="50"/>
  <c r="AM100" i="50"/>
  <c r="T100" i="50"/>
  <c r="N100" i="50"/>
  <c r="AB100" i="50"/>
  <c r="AH100" i="50"/>
  <c r="J100" i="50"/>
  <c r="S100" i="50"/>
  <c r="I100" i="50"/>
  <c r="P100" i="50"/>
  <c r="AK100" i="50"/>
  <c r="AF100" i="50"/>
  <c r="M100" i="50"/>
  <c r="O100" i="50"/>
  <c r="L100" i="50"/>
  <c r="V100" i="50"/>
  <c r="AC100" i="50"/>
  <c r="AG100" i="50"/>
  <c r="AD100" i="50"/>
  <c r="W100" i="50"/>
  <c r="R100" i="50"/>
  <c r="Y100" i="50"/>
  <c r="Q100" i="50"/>
  <c r="K100" i="50"/>
  <c r="AE100" i="50"/>
  <c r="AI100" i="50"/>
  <c r="AL100" i="50"/>
  <c r="Z100" i="50"/>
  <c r="H100" i="50"/>
  <c r="U100" i="50"/>
  <c r="AJ100" i="50"/>
  <c r="X100" i="50"/>
  <c r="Z78" i="50"/>
  <c r="Y78" i="50"/>
  <c r="AC78" i="50"/>
  <c r="AA78" i="50"/>
  <c r="X78" i="50"/>
  <c r="AG78" i="50"/>
  <c r="AL78" i="50"/>
  <c r="V78" i="50"/>
  <c r="K78" i="50"/>
  <c r="AK78" i="50"/>
  <c r="P78" i="50"/>
  <c r="R78" i="50"/>
  <c r="AM78" i="50"/>
  <c r="AH78" i="50"/>
  <c r="U78" i="50"/>
  <c r="T78" i="50"/>
  <c r="L78" i="50"/>
  <c r="I78" i="50"/>
  <c r="AI78" i="50"/>
  <c r="Q78" i="50"/>
  <c r="H78" i="50"/>
  <c r="AB78" i="50"/>
  <c r="AE78" i="50"/>
  <c r="N78" i="50"/>
  <c r="W78" i="50"/>
  <c r="AD78" i="50"/>
  <c r="J78" i="50"/>
  <c r="M78" i="50"/>
  <c r="S78" i="50"/>
  <c r="AJ78" i="50"/>
  <c r="AF78" i="50"/>
  <c r="O78" i="50"/>
  <c r="AL21" i="50"/>
  <c r="N21" i="50"/>
  <c r="K21" i="50"/>
  <c r="T21" i="50"/>
  <c r="O21" i="50"/>
  <c r="W21" i="50"/>
  <c r="AF21" i="50"/>
  <c r="X21" i="50"/>
  <c r="AG21" i="50"/>
  <c r="R21" i="50"/>
  <c r="AJ21" i="50"/>
  <c r="AK21" i="50"/>
  <c r="AE21" i="50"/>
  <c r="M21" i="50"/>
  <c r="L21" i="50"/>
  <c r="AA21" i="50"/>
  <c r="S21" i="50"/>
  <c r="Z21" i="50"/>
  <c r="Q21" i="50"/>
  <c r="U21" i="50"/>
  <c r="H21" i="50"/>
  <c r="I21" i="50"/>
  <c r="AM21" i="50"/>
  <c r="AB21" i="50"/>
  <c r="J21" i="50"/>
  <c r="AD21" i="50"/>
  <c r="AC21" i="50"/>
  <c r="V21" i="50"/>
  <c r="AH21" i="50"/>
  <c r="P21" i="50"/>
  <c r="Y21" i="50"/>
  <c r="AI21"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0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futureMetadata>
  <cellMetadata count="1">
    <bk>
      <rc t="1" v="0"/>
    </bk>
  </cellMetadata>
  <valueMetadata count="100">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valueMetadata>
</metadata>
</file>

<file path=xl/sharedStrings.xml><?xml version="1.0" encoding="utf-8"?>
<sst xmlns="http://schemas.openxmlformats.org/spreadsheetml/2006/main" count="20948" uniqueCount="3071">
  <si>
    <t>A</t>
  </si>
  <si>
    <t>B</t>
  </si>
  <si>
    <t>C</t>
  </si>
  <si>
    <t>E</t>
  </si>
  <si>
    <t>F</t>
  </si>
  <si>
    <t>J</t>
  </si>
  <si>
    <t>G</t>
  </si>
  <si>
    <t>P</t>
  </si>
  <si>
    <t>GF</t>
  </si>
  <si>
    <t>GC</t>
  </si>
  <si>
    <t>Fecha</t>
  </si>
  <si>
    <t>Rank</t>
  </si>
  <si>
    <t>FASE DE GRUPOS</t>
  </si>
  <si>
    <t>X</t>
  </si>
  <si>
    <t>Pos</t>
  </si>
  <si>
    <t>Casa</t>
  </si>
  <si>
    <t>Fuera</t>
  </si>
  <si>
    <t>Gol</t>
  </si>
  <si>
    <t>Campeón</t>
  </si>
  <si>
    <t>Subcampeón</t>
  </si>
  <si>
    <t>CUADRO DE HONOR</t>
  </si>
  <si>
    <t>Inicio</t>
  </si>
  <si>
    <t>¡EMPATE! Puedes seleccionar el orden de los empatados.</t>
  </si>
  <si>
    <t>Limitación de responsabilidad:</t>
  </si>
  <si>
    <t>Autor:</t>
  </si>
  <si>
    <t>Miguel Angel Tejero</t>
  </si>
  <si>
    <t>J1</t>
  </si>
  <si>
    <t>J2</t>
  </si>
  <si>
    <t>J3</t>
  </si>
  <si>
    <t>Hora</t>
  </si>
  <si>
    <t>NombreEquipo</t>
  </si>
  <si>
    <t>Jor.</t>
  </si>
  <si>
    <t>Pts</t>
  </si>
  <si>
    <t>GRUPOS</t>
  </si>
  <si>
    <t>1/4</t>
  </si>
  <si>
    <t>1/2</t>
  </si>
  <si>
    <t>Semifinales</t>
  </si>
  <si>
    <t>Final</t>
  </si>
  <si>
    <t>España</t>
  </si>
  <si>
    <t>GA</t>
  </si>
  <si>
    <t>GB</t>
  </si>
  <si>
    <t>SF</t>
  </si>
  <si>
    <t>Nombre</t>
  </si>
  <si>
    <t>¡No tocar nada, se rellena solo!</t>
  </si>
  <si>
    <t>POSICIÓN GRUPOS</t>
  </si>
  <si>
    <t>1º GRUPO A</t>
  </si>
  <si>
    <t>2º GRUPO A</t>
  </si>
  <si>
    <t>3º GRUPO A</t>
  </si>
  <si>
    <t>4º GRUPO A</t>
  </si>
  <si>
    <t>1º GRUPO B</t>
  </si>
  <si>
    <t>2º GRUPO B</t>
  </si>
  <si>
    <t>3º GRUPO B</t>
  </si>
  <si>
    <t>4º GRUPO B</t>
  </si>
  <si>
    <t>1º GRUPO C</t>
  </si>
  <si>
    <t>2º GRUPO C</t>
  </si>
  <si>
    <t>3º GRUPO C</t>
  </si>
  <si>
    <t>4º GRUPO C</t>
  </si>
  <si>
    <t>CLASIFICADOS PARA CUARTOS</t>
  </si>
  <si>
    <t>Cuartofinalista</t>
  </si>
  <si>
    <t>ENFRENTAMIENTOS CUARTOS</t>
  </si>
  <si>
    <t>CLASIFICADOS PARA SEMIFINALES</t>
  </si>
  <si>
    <t>Semifinalista</t>
  </si>
  <si>
    <t>ENFRENTAMIENTOS SEMIFINALES</t>
  </si>
  <si>
    <t>CLASIFICADOS PARA LA FINAL</t>
  </si>
  <si>
    <t>Finalista</t>
  </si>
  <si>
    <t>ENFRENTAMIENTO FINAL</t>
  </si>
  <si>
    <t>DG</t>
  </si>
  <si>
    <t>Mejores terceros</t>
  </si>
  <si>
    <t>Selección</t>
  </si>
  <si>
    <t>Cuartos de final</t>
  </si>
  <si>
    <t>PARTICIPANTE</t>
  </si>
  <si>
    <t>Grupo</t>
  </si>
  <si>
    <t>Este archivo está disponible sin garantía. El autor no es responsable del daño, inexactitud de los datos o pérdidas de ningún tipo causadas por el uso o mal uso del archivo. El uso de este archivo será bajo responsabilidad del usuario. No se facilitarán las contraseñas del archivo (tampoco se responderán a las solicitudes de las mismas). El archivo no contiene macros.  Se recomienda escanear el archivo descargado con algún antivirus de reputación. El archivo no se debe editar salvo en los lugares establecidos para ello (introducir los resultados, el nombre de los equipos). Las formulas, la protección y la estructura no debe ser modificada. El archivo no puede ser revendido a terceros y es de uso exclusivo para el usuario.</t>
  </si>
  <si>
    <t>D</t>
  </si>
  <si>
    <t>Francia</t>
  </si>
  <si>
    <t>Suiza</t>
  </si>
  <si>
    <t>Inglaterra</t>
  </si>
  <si>
    <t>Alemania</t>
  </si>
  <si>
    <t>Croacia</t>
  </si>
  <si>
    <t>Portugal</t>
  </si>
  <si>
    <t>Austria</t>
  </si>
  <si>
    <t>GD</t>
  </si>
  <si>
    <t>GE</t>
  </si>
  <si>
    <t>Orden</t>
  </si>
  <si>
    <t>V/F</t>
  </si>
  <si>
    <t>Por orden alfabetico</t>
  </si>
  <si>
    <t>Corresponde a los grupos…</t>
  </si>
  <si>
    <t>Octavos de final</t>
  </si>
  <si>
    <t>1/8</t>
  </si>
  <si>
    <t>3A</t>
  </si>
  <si>
    <t>3B</t>
  </si>
  <si>
    <t>3C</t>
  </si>
  <si>
    <t>3D</t>
  </si>
  <si>
    <t>3E</t>
  </si>
  <si>
    <t>3F</t>
  </si>
  <si>
    <t>CUARTOS</t>
  </si>
  <si>
    <t>1º GRUPO D</t>
  </si>
  <si>
    <t>2º GRUPO D</t>
  </si>
  <si>
    <t>3º GRUPO D</t>
  </si>
  <si>
    <t>4º GRUPO D</t>
  </si>
  <si>
    <t>1º GRUPO E</t>
  </si>
  <si>
    <t>2º GRUPO E</t>
  </si>
  <si>
    <t>3º GRUPO E</t>
  </si>
  <si>
    <t>4º GRUPO E</t>
  </si>
  <si>
    <t>1º GRUPO F</t>
  </si>
  <si>
    <t>2º GRUPO F</t>
  </si>
  <si>
    <t>3º GRUPO F</t>
  </si>
  <si>
    <t>4º GRUPO F</t>
  </si>
  <si>
    <t>CLASIFICADOS PARA OCTAVOS</t>
  </si>
  <si>
    <t>ENFRENTAMIENTOS OCTAVOS</t>
  </si>
  <si>
    <t>Bélgica</t>
  </si>
  <si>
    <t>Países Bajos</t>
  </si>
  <si>
    <t>A1</t>
  </si>
  <si>
    <t>B1</t>
  </si>
  <si>
    <t>C1</t>
  </si>
  <si>
    <t>D1</t>
  </si>
  <si>
    <t>E1</t>
  </si>
  <si>
    <t>F1</t>
  </si>
  <si>
    <t>A2</t>
  </si>
  <si>
    <t>B2</t>
  </si>
  <si>
    <t>C2</t>
  </si>
  <si>
    <t>D2</t>
  </si>
  <si>
    <t>E2</t>
  </si>
  <si>
    <t>F2</t>
  </si>
  <si>
    <t>A3</t>
  </si>
  <si>
    <t>B3</t>
  </si>
  <si>
    <t>C3</t>
  </si>
  <si>
    <t>D3</t>
  </si>
  <si>
    <t>E3</t>
  </si>
  <si>
    <t>F3</t>
  </si>
  <si>
    <t>Para el administrador de la porra</t>
  </si>
  <si>
    <t>EL ADMINISTRADOR DE LA PORRA SEGUIRÁ LAS INSTRUCCIONES DE AQUÍ ABAJO</t>
  </si>
  <si>
    <t>·Si haceis jornada a jornada seguir las instrucciones de cada jornada</t>
  </si>
  <si>
    <t>·Si haceis eliminatoria a eliminatoria seguir las instrucciones de cada eliminatoria.</t>
  </si>
  <si>
    <t>Escocia</t>
  </si>
  <si>
    <t>Noruega</t>
  </si>
  <si>
    <t>🇨🇭</t>
  </si>
  <si>
    <t>🇵🇹</t>
  </si>
  <si>
    <t>🇳🇱</t>
  </si>
  <si>
    <t>🏴󠁧󠁢󠁥󠁮󠁧󠁿</t>
  </si>
  <si>
    <t>🇧🇪</t>
  </si>
  <si>
    <t>🇫🇷</t>
  </si>
  <si>
    <t>🇪🇸</t>
  </si>
  <si>
    <t>🇭🇷</t>
  </si>
  <si>
    <t>🇩🇪</t>
  </si>
  <si>
    <t>🇦🇹</t>
  </si>
  <si>
    <t>🏴󠁧󠁢󠁳󠁣󠁴󠁿</t>
  </si>
  <si>
    <t>🇳🇴</t>
  </si>
  <si>
    <t>https://www.zeitverschiebung.net/es/country/vn</t>
  </si>
  <si>
    <t>UTC</t>
  </si>
  <si>
    <t>UTC -12</t>
  </si>
  <si>
    <t>UTC -11</t>
  </si>
  <si>
    <t>UTC -10</t>
  </si>
  <si>
    <t>UTC -9</t>
  </si>
  <si>
    <t>UTC -8</t>
  </si>
  <si>
    <t>UTC -7</t>
  </si>
  <si>
    <t>UTC -6</t>
  </si>
  <si>
    <t>UTC -5</t>
  </si>
  <si>
    <t>UTC -4</t>
  </si>
  <si>
    <t>UTC -3</t>
  </si>
  <si>
    <t>UTC -2</t>
  </si>
  <si>
    <t>UTC -1</t>
  </si>
  <si>
    <t>UTC +1</t>
  </si>
  <si>
    <t>UTC +2</t>
  </si>
  <si>
    <t>UTC +3</t>
  </si>
  <si>
    <t>UTC +4</t>
  </si>
  <si>
    <t>UTC +5</t>
  </si>
  <si>
    <t>UTC +6</t>
  </si>
  <si>
    <t>UTC +7</t>
  </si>
  <si>
    <t>UTC +8</t>
  </si>
  <si>
    <t>UTC +9</t>
  </si>
  <si>
    <t>UTC +10</t>
  </si>
  <si>
    <t>UTC +11</t>
  </si>
  <si>
    <t>UTC +12</t>
  </si>
  <si>
    <t>HOJA</t>
  </si>
  <si>
    <t>Introducir resultados</t>
  </si>
  <si>
    <t>Celda</t>
  </si>
  <si>
    <t>G4</t>
  </si>
  <si>
    <t>L5</t>
  </si>
  <si>
    <t>I1</t>
  </si>
  <si>
    <t>G3</t>
  </si>
  <si>
    <t>H3</t>
  </si>
  <si>
    <t>I3</t>
  </si>
  <si>
    <t>Hour</t>
  </si>
  <si>
    <t>Inglés</t>
  </si>
  <si>
    <t>R</t>
  </si>
  <si>
    <t>Home</t>
  </si>
  <si>
    <t>Introduce Results</t>
  </si>
  <si>
    <t>K3</t>
  </si>
  <si>
    <t>Goal</t>
  </si>
  <si>
    <t>N3</t>
  </si>
  <si>
    <t>Away</t>
  </si>
  <si>
    <t>Q3</t>
  </si>
  <si>
    <t>Group</t>
  </si>
  <si>
    <t>AB3</t>
  </si>
  <si>
    <t>E53</t>
  </si>
  <si>
    <t>E63</t>
  </si>
  <si>
    <t>E74</t>
  </si>
  <si>
    <t>E80</t>
  </si>
  <si>
    <t>E84</t>
  </si>
  <si>
    <t>I88</t>
  </si>
  <si>
    <t>E89</t>
  </si>
  <si>
    <t>E90</t>
  </si>
  <si>
    <t>E93</t>
  </si>
  <si>
    <t>E94</t>
  </si>
  <si>
    <t>I93</t>
  </si>
  <si>
    <t>I94</t>
  </si>
  <si>
    <t>E97</t>
  </si>
  <si>
    <t>I97</t>
  </si>
  <si>
    <t>R86</t>
  </si>
  <si>
    <t>S86</t>
  </si>
  <si>
    <t>R87</t>
  </si>
  <si>
    <t>S87</t>
  </si>
  <si>
    <t>Equipos</t>
  </si>
  <si>
    <t>B14</t>
  </si>
  <si>
    <t>B15</t>
  </si>
  <si>
    <t>Español</t>
  </si>
  <si>
    <t>Date</t>
  </si>
  <si>
    <t>Round of 16</t>
  </si>
  <si>
    <t>Quarterfinals</t>
  </si>
  <si>
    <t>Semifinals</t>
  </si>
  <si>
    <t>HONOR BOX</t>
  </si>
  <si>
    <t>Winner</t>
  </si>
  <si>
    <t>Runner-up</t>
  </si>
  <si>
    <t>IT'S A DRAW! Choose the order of the Nations to determine their rankings.</t>
  </si>
  <si>
    <t>Best third-placed</t>
  </si>
  <si>
    <t>Q5</t>
  </si>
  <si>
    <t>R5</t>
  </si>
  <si>
    <t>S5</t>
  </si>
  <si>
    <t>T5</t>
  </si>
  <si>
    <t>U5</t>
  </si>
  <si>
    <t>V5</t>
  </si>
  <si>
    <t>W5</t>
  </si>
  <si>
    <t>X5</t>
  </si>
  <si>
    <t>Y5</t>
  </si>
  <si>
    <t>Z5</t>
  </si>
  <si>
    <t>Nation</t>
  </si>
  <si>
    <t>W</t>
  </si>
  <si>
    <t>L</t>
  </si>
  <si>
    <t>C4</t>
  </si>
  <si>
    <t>E4</t>
  </si>
  <si>
    <t>E5</t>
  </si>
  <si>
    <t>E6</t>
  </si>
  <si>
    <t>E18</t>
  </si>
  <si>
    <t>E30</t>
  </si>
  <si>
    <t>E86</t>
  </si>
  <si>
    <t>E87</t>
  </si>
  <si>
    <t>E88</t>
  </si>
  <si>
    <t>E108</t>
  </si>
  <si>
    <t>E120</t>
  </si>
  <si>
    <t>E128</t>
  </si>
  <si>
    <t>E133</t>
  </si>
  <si>
    <t>D6</t>
  </si>
  <si>
    <t>D18</t>
  </si>
  <si>
    <t>D30</t>
  </si>
  <si>
    <t>B5</t>
  </si>
  <si>
    <t>B43</t>
  </si>
  <si>
    <t>B69</t>
  </si>
  <si>
    <t>B87</t>
  </si>
  <si>
    <t>B97</t>
  </si>
  <si>
    <t>B113</t>
  </si>
  <si>
    <t>B107</t>
  </si>
  <si>
    <t>B119</t>
  </si>
  <si>
    <t>B123</t>
  </si>
  <si>
    <t>B127</t>
  </si>
  <si>
    <t>B130</t>
  </si>
  <si>
    <t>For the administrator of the pool</t>
  </si>
  <si>
    <t>PLAYER</t>
  </si>
  <si>
    <t>Name</t>
  </si>
  <si>
    <t>PLAYER: DO NOT TOUCH, IT'S AUTOMATIC!</t>
  </si>
  <si>
    <t xml:space="preserve">THE POOL ADMINISTRATOR SHOULD FOLLOW THE INSTRUCTIONS BELOW				</t>
  </si>
  <si>
    <t>·If you play by Rounds, follow de instuctions of every round.</t>
  </si>
  <si>
    <t>·If you play de KO phase, round by round, follow the instructions of every KO round.</t>
  </si>
  <si>
    <t>R1</t>
  </si>
  <si>
    <t>R2</t>
  </si>
  <si>
    <t>R3</t>
  </si>
  <si>
    <t>GROUP STAGE</t>
  </si>
  <si>
    <t>GROUP POSITION</t>
  </si>
  <si>
    <t>QUALIFIED FOR ROUND OF 16</t>
  </si>
  <si>
    <t>ROUND OF 16</t>
  </si>
  <si>
    <t>QUARTER-FINALISTS</t>
  </si>
  <si>
    <t>QUARTERFINALS</t>
  </si>
  <si>
    <t>QUALIFIED FOR SEMIFINALS</t>
  </si>
  <si>
    <t>SEMIFINALS</t>
  </si>
  <si>
    <t>QUALIFIED FOR THE FINAL</t>
  </si>
  <si>
    <t>FINAL</t>
  </si>
  <si>
    <t>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t>
  </si>
  <si>
    <t>Author:</t>
  </si>
  <si>
    <t>Last version:</t>
  </si>
  <si>
    <t>Útima versión</t>
  </si>
  <si>
    <t>Switzerland</t>
  </si>
  <si>
    <t>Netherlands</t>
  </si>
  <si>
    <t>England</t>
  </si>
  <si>
    <t>Belgium</t>
  </si>
  <si>
    <t>France</t>
  </si>
  <si>
    <t>Spain</t>
  </si>
  <si>
    <t>Croatia</t>
  </si>
  <si>
    <t>Germany</t>
  </si>
  <si>
    <t>Scotland</t>
  </si>
  <si>
    <t>Norway</t>
  </si>
  <si>
    <t>K2</t>
  </si>
  <si>
    <t>K4</t>
  </si>
  <si>
    <t>K5</t>
  </si>
  <si>
    <t>K6</t>
  </si>
  <si>
    <t>K7</t>
  </si>
  <si>
    <t>K8</t>
  </si>
  <si>
    <t>K9</t>
  </si>
  <si>
    <t>K10</t>
  </si>
  <si>
    <t>K11</t>
  </si>
  <si>
    <t>K12</t>
  </si>
  <si>
    <t>K13</t>
  </si>
  <si>
    <t>K14</t>
  </si>
  <si>
    <t>K15</t>
  </si>
  <si>
    <t>K16</t>
  </si>
  <si>
    <t>K17</t>
  </si>
  <si>
    <t>K19</t>
  </si>
  <si>
    <t>K20</t>
  </si>
  <si>
    <t>K21</t>
  </si>
  <si>
    <t>K22</t>
  </si>
  <si>
    <t>K23</t>
  </si>
  <si>
    <t>K26</t>
  </si>
  <si>
    <t>K27</t>
  </si>
  <si>
    <t>K28</t>
  </si>
  <si>
    <t>K29</t>
  </si>
  <si>
    <t>K30</t>
  </si>
  <si>
    <t>K33</t>
  </si>
  <si>
    <t>K34</t>
  </si>
  <si>
    <t>K35</t>
  </si>
  <si>
    <t>K36</t>
  </si>
  <si>
    <t>K38</t>
  </si>
  <si>
    <t>K39</t>
  </si>
  <si>
    <t>K40</t>
  </si>
  <si>
    <t>K41</t>
  </si>
  <si>
    <t>K42</t>
  </si>
  <si>
    <t>K44</t>
  </si>
  <si>
    <t>K45</t>
  </si>
  <si>
    <t>K46</t>
  </si>
  <si>
    <t>K47</t>
  </si>
  <si>
    <t>K48</t>
  </si>
  <si>
    <t>K49</t>
  </si>
  <si>
    <t>K50</t>
  </si>
  <si>
    <t>K51</t>
  </si>
  <si>
    <t>K52</t>
  </si>
  <si>
    <t>K53</t>
  </si>
  <si>
    <t>K54</t>
  </si>
  <si>
    <t>K55</t>
  </si>
  <si>
    <t>K56</t>
  </si>
  <si>
    <t>F12</t>
  </si>
  <si>
    <t>English</t>
  </si>
  <si>
    <t>B7</t>
  </si>
  <si>
    <t>L11</t>
  </si>
  <si>
    <t>Disclaimer:</t>
  </si>
  <si>
    <t>UTC (Verano)</t>
  </si>
  <si>
    <t>Organizador</t>
  </si>
  <si>
    <t>Diferencia con organizador</t>
  </si>
  <si>
    <t>UTC +3:30</t>
  </si>
  <si>
    <t>UTC +4:30</t>
  </si>
  <si>
    <t>UTC +5:30</t>
  </si>
  <si>
    <t>UTC +5:45</t>
  </si>
  <si>
    <t>UTC +6:30</t>
  </si>
  <si>
    <t>UTC +9:30</t>
  </si>
  <si>
    <t>UTC +10:30</t>
  </si>
  <si>
    <t>UTC +12:45</t>
  </si>
  <si>
    <t>UTC +13</t>
  </si>
  <si>
    <t>UTC +14</t>
  </si>
  <si>
    <t>UTC -3:30</t>
  </si>
  <si>
    <t>Organizador:</t>
  </si>
  <si>
    <t>País</t>
  </si>
  <si>
    <t>Num</t>
  </si>
  <si>
    <t>+/-</t>
  </si>
  <si>
    <t>Dif  en horas</t>
  </si>
  <si>
    <t>UTC en horas</t>
  </si>
  <si>
    <t>en horas</t>
  </si>
  <si>
    <t>Horarios</t>
  </si>
  <si>
    <t>W2</t>
  </si>
  <si>
    <t>PAIS ORGANIZADOR (ESCRIBIR)</t>
  </si>
  <si>
    <t>Escribir el pais en idiomas</t>
  </si>
  <si>
    <t>1st GROUP A</t>
  </si>
  <si>
    <t>2nd GROUP A</t>
  </si>
  <si>
    <t>3rd GROUP A</t>
  </si>
  <si>
    <t>4th GROUP A</t>
  </si>
  <si>
    <t>1st GROUP B</t>
  </si>
  <si>
    <t>2nd GROUP B</t>
  </si>
  <si>
    <t>3rd GROUP B</t>
  </si>
  <si>
    <t>4th GROUP B</t>
  </si>
  <si>
    <t>1st GROUP C</t>
  </si>
  <si>
    <t>2nd GROUP C</t>
  </si>
  <si>
    <t>3rd GROUP C</t>
  </si>
  <si>
    <t>4th GROUP C</t>
  </si>
  <si>
    <t>1st GROUP D</t>
  </si>
  <si>
    <t>2nd GROUP D</t>
  </si>
  <si>
    <t>3rd GROUP D</t>
  </si>
  <si>
    <t>4th GROUP D</t>
  </si>
  <si>
    <t>1st GROUP E</t>
  </si>
  <si>
    <t>2nd GROUP E</t>
  </si>
  <si>
    <t>3rd GROUP E</t>
  </si>
  <si>
    <t>4th GROUP E</t>
  </si>
  <si>
    <t>1st GROUP F</t>
  </si>
  <si>
    <t>2nd GROUP F</t>
  </si>
  <si>
    <t>3rd GROUP F</t>
  </si>
  <si>
    <t>4th GROUP F</t>
  </si>
  <si>
    <t>8-Finalist</t>
  </si>
  <si>
    <t>Quarterfinalist</t>
  </si>
  <si>
    <t>Semifinalist</t>
  </si>
  <si>
    <t>Finalist</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</si>
  <si>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</si>
  <si>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</si>
  <si>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</si>
  <si>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</si>
  <si>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</si>
  <si>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</si>
  <si>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</si>
  <si>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</si>
  <si>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</si>
  <si>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</si>
  <si>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</si>
  <si>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</si>
  <si>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</si>
  <si>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</si>
  <si>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</si>
  <si>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</si>
  <si>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</si>
  <si>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</si>
  <si>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</si>
  <si>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</si>
  <si>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</si>
  <si>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</si>
  <si>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</si>
  <si>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</si>
  <si>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B70</t>
  </si>
  <si>
    <t>B98</t>
  </si>
  <si>
    <t>B114</t>
  </si>
  <si>
    <t>B124</t>
  </si>
  <si>
    <t>Pool</t>
  </si>
  <si>
    <t>L12</t>
  </si>
  <si>
    <t>3G</t>
  </si>
  <si>
    <t>3H</t>
  </si>
  <si>
    <t>H</t>
  </si>
  <si>
    <t>I</t>
  </si>
  <si>
    <t>K</t>
  </si>
  <si>
    <t>3I</t>
  </si>
  <si>
    <t>3J</t>
  </si>
  <si>
    <t>3K</t>
  </si>
  <si>
    <t>3L</t>
  </si>
  <si>
    <t>Los 8 mejores terceros son…</t>
  </si>
  <si>
    <t>ABCDEFGH</t>
  </si>
  <si>
    <t>ABCDEFGI</t>
  </si>
  <si>
    <t>ABCDEFGJ</t>
  </si>
  <si>
    <t>ABCDEFGK</t>
  </si>
  <si>
    <t>ABCDEFGL</t>
  </si>
  <si>
    <t>ABCDEFHI</t>
  </si>
  <si>
    <t>ABCDEFHJ</t>
  </si>
  <si>
    <t>ABCDEFHK</t>
  </si>
  <si>
    <t>ABCDEFHL</t>
  </si>
  <si>
    <t>ABCDEFIJ</t>
  </si>
  <si>
    <t>ABCDEFIK</t>
  </si>
  <si>
    <t>ABCDEFIL</t>
  </si>
  <si>
    <t>ABCDEFJK</t>
  </si>
  <si>
    <t>ABCDEFJL</t>
  </si>
  <si>
    <t>ABCDEFKL</t>
  </si>
  <si>
    <t>BCDEFGHI</t>
  </si>
  <si>
    <t>BCDEFGHJ</t>
  </si>
  <si>
    <t>BCDEFGHK</t>
  </si>
  <si>
    <t>BCDEFGHL</t>
  </si>
  <si>
    <t>BCDEFGIJ</t>
  </si>
  <si>
    <t>BCDEFGIK</t>
  </si>
  <si>
    <t>BCDEFGIL</t>
  </si>
  <si>
    <t>BCDEFGJK</t>
  </si>
  <si>
    <t>BCDEFGJL</t>
  </si>
  <si>
    <t>CDEFGHIJ</t>
  </si>
  <si>
    <t>CDEFGHIK</t>
  </si>
  <si>
    <t>CDEFGHIL</t>
  </si>
  <si>
    <t>CDEFGHJK</t>
  </si>
  <si>
    <t>CDEFGHJL</t>
  </si>
  <si>
    <t>CDEFGHKL</t>
  </si>
  <si>
    <t>BCDEFGKL</t>
  </si>
  <si>
    <t>DEFGHIJK</t>
  </si>
  <si>
    <t>DEFGHIJL</t>
  </si>
  <si>
    <t>DEFGHIKL</t>
  </si>
  <si>
    <t>EFGHIJKL</t>
  </si>
  <si>
    <t>WORLDCUP</t>
  </si>
  <si>
    <t>Dieciseisavos de final</t>
  </si>
  <si>
    <t>Round of 32</t>
  </si>
  <si>
    <t>1/16</t>
  </si>
  <si>
    <t>GG</t>
  </si>
  <si>
    <t>GH</t>
  </si>
  <si>
    <t>GI</t>
  </si>
  <si>
    <t>GJ</t>
  </si>
  <si>
    <t>GK</t>
  </si>
  <si>
    <t>GL</t>
  </si>
  <si>
    <t>DIECISEISAVOS</t>
  </si>
  <si>
    <t>3º y 4º puesto</t>
  </si>
  <si>
    <t>3rd-4th place</t>
  </si>
  <si>
    <t>3-4</t>
  </si>
  <si>
    <t>XXIII Mundial USA/MEX/CAN 2026</t>
  </si>
  <si>
    <t>XXIII World Cup USA/MEX/CAN 2026</t>
  </si>
  <si>
    <t>3º-4º puesto</t>
  </si>
  <si>
    <t>Estados Unidos</t>
  </si>
  <si>
    <t>United States</t>
  </si>
  <si>
    <t>Bota de Oro  (máximo goleador)</t>
  </si>
  <si>
    <t>Bota de Plata (2º máximo goleador)</t>
  </si>
  <si>
    <t>Bota de Bronce (3º máximo goleador)</t>
  </si>
  <si>
    <t>Balón de Oro  (mejor jugador)</t>
  </si>
  <si>
    <t>Balón de Plata (2º mejor jugador)</t>
  </si>
  <si>
    <t>Balón de Bronce (3º mejor jugador)</t>
  </si>
  <si>
    <t>Golden Boot  (Top Scorer)</t>
  </si>
  <si>
    <t>Silver Boot  (2nd Top Scorer)</t>
  </si>
  <si>
    <t>Bronze Boot (3rd Top Scorer)</t>
  </si>
  <si>
    <t>Golden Ball (Best Player)</t>
  </si>
  <si>
    <t>Silver Ball (2nd Best Player)</t>
  </si>
  <si>
    <t>G1</t>
  </si>
  <si>
    <t>G2</t>
  </si>
  <si>
    <t>H1</t>
  </si>
  <si>
    <t>H2</t>
  </si>
  <si>
    <t>I2</t>
  </si>
  <si>
    <t>K1</t>
  </si>
  <si>
    <t>1º GRUPO G</t>
  </si>
  <si>
    <t>2º GRUPO G</t>
  </si>
  <si>
    <t>3º GRUPO G</t>
  </si>
  <si>
    <t>4º GRUPO G</t>
  </si>
  <si>
    <t>1st GROUP G</t>
  </si>
  <si>
    <t>2nd GROUP G</t>
  </si>
  <si>
    <t>3rd GROUP G</t>
  </si>
  <si>
    <t>4th GROUP G</t>
  </si>
  <si>
    <t>1º GRUPO H</t>
  </si>
  <si>
    <t>2º GRUPO H</t>
  </si>
  <si>
    <t>3º GRUPO H</t>
  </si>
  <si>
    <t>4º GRUPO H</t>
  </si>
  <si>
    <t>1st GROUP H</t>
  </si>
  <si>
    <t>2nd GROUP H</t>
  </si>
  <si>
    <t>3rd GROUP H</t>
  </si>
  <si>
    <t>4th GROUP H</t>
  </si>
  <si>
    <t>1º GRUPO I</t>
  </si>
  <si>
    <t>2º GRUPO I</t>
  </si>
  <si>
    <t>3º GRUPO I</t>
  </si>
  <si>
    <t>4º GRUPO I</t>
  </si>
  <si>
    <t>1st GROUP I</t>
  </si>
  <si>
    <t>2nd GROUP I</t>
  </si>
  <si>
    <t>3rd GROUP I</t>
  </si>
  <si>
    <t>4th GROUP I</t>
  </si>
  <si>
    <t>1º GRUPO J</t>
  </si>
  <si>
    <t>2º GRUPO J</t>
  </si>
  <si>
    <t>3º GRUPO J</t>
  </si>
  <si>
    <t>4º GRUPO J</t>
  </si>
  <si>
    <t>1st GROUP J</t>
  </si>
  <si>
    <t>2nd GROUP J</t>
  </si>
  <si>
    <t>3rd GROUP J</t>
  </si>
  <si>
    <t>4th GROUP J</t>
  </si>
  <si>
    <t>1º GRUPO K</t>
  </si>
  <si>
    <t>2º GRUPO K</t>
  </si>
  <si>
    <t>3º GRUPO K</t>
  </si>
  <si>
    <t>4º GRUPO K</t>
  </si>
  <si>
    <t>1st GROUP K</t>
  </si>
  <si>
    <t>2nd GROUP K</t>
  </si>
  <si>
    <t>3rd GROUP K</t>
  </si>
  <si>
    <t>4th GROUP K</t>
  </si>
  <si>
    <t>1º GRUPO L</t>
  </si>
  <si>
    <t>2º GRUPO L</t>
  </si>
  <si>
    <t>3º GRUPO L</t>
  </si>
  <si>
    <t>4º GRUPO L</t>
  </si>
  <si>
    <t>1st GROUP L</t>
  </si>
  <si>
    <t>2nd GROUP L</t>
  </si>
  <si>
    <t>3rd GROUP L</t>
  </si>
  <si>
    <t>4th GROUP L</t>
  </si>
  <si>
    <t>CLASIFICADOS PARA DIECISEISAVOS</t>
  </si>
  <si>
    <t>QUALIFIED FOR ROUND OF 32</t>
  </si>
  <si>
    <t>Dieciseisavofinalista</t>
  </si>
  <si>
    <t>16-Finalist</t>
  </si>
  <si>
    <t>ENFRENTAMIENTOS DIECISEISAVOS</t>
  </si>
  <si>
    <t>ROUND OF 32</t>
  </si>
  <si>
    <t>CLASIFICADOS PARA EL 3º y 4º PUESTO</t>
  </si>
  <si>
    <t>QUALIFIED FOR 3rd-4th PLACE</t>
  </si>
  <si>
    <t>·For de round of 32 matches, copy from C164 to C197 and paste in the administrator template in "Paste Values Round of 32"</t>
  </si>
  <si>
    <t>·For the round of Quarterfinals matches, copy from C220 to C229 and paste in the administrator template in "Paste Values Quarterfinals"</t>
  </si>
  <si>
    <t>·For the round of 16 matches, copy from C200 to C217 and paste in the administrator template in "Paste Values Round of 16"</t>
  </si>
  <si>
    <t>·For the round of Semi-Finals matches, copy from C232 to C241 and paste in the administrator template in "Paste Values Semifinals"</t>
  </si>
  <si>
    <t>·For the Final and 3-4 place matches, copy from C244 to C252 and paste in the administrator template in "Paste Values Final"</t>
  </si>
  <si>
    <t>·Si haceis todas las eliminatorias de golpe, copiar de la C164 a la C252 y pegar valores en la plantilla de Administrador.</t>
  </si>
  <si>
    <t>ACDEFGHI</t>
  </si>
  <si>
    <t>ACDEFGHJ</t>
  </si>
  <si>
    <t>ACDEFGHK</t>
  </si>
  <si>
    <t>ACDEFGHL</t>
  </si>
  <si>
    <t>ACDEFGIJ</t>
  </si>
  <si>
    <t>ACDEFGIK</t>
  </si>
  <si>
    <t>ACDEFGIL</t>
  </si>
  <si>
    <t>ACDEFGJK</t>
  </si>
  <si>
    <t>ACDEFGJL</t>
  </si>
  <si>
    <t>ADEFGHIJ</t>
  </si>
  <si>
    <t>ADEFGHIK</t>
  </si>
  <si>
    <t>ADEFGHIL</t>
  </si>
  <si>
    <t>ADEFGHJK</t>
  </si>
  <si>
    <t>ADEFGHJL</t>
  </si>
  <si>
    <t>ADEFGHKL</t>
  </si>
  <si>
    <t>AEFGHIKL</t>
  </si>
  <si>
    <t>AEFGHIJK</t>
  </si>
  <si>
    <t>AEFGHIJL</t>
  </si>
  <si>
    <t>AFGHIJKL</t>
  </si>
  <si>
    <t>BDEFGHIJ</t>
  </si>
  <si>
    <t>BDEFGHIK</t>
  </si>
  <si>
    <t>BDEFGHIL</t>
  </si>
  <si>
    <t>BDEFGHJK</t>
  </si>
  <si>
    <t>BDEFGHJL</t>
  </si>
  <si>
    <t>BDEFGHKL</t>
  </si>
  <si>
    <t>BEFGHIJK</t>
  </si>
  <si>
    <t>BEFGHIJL</t>
  </si>
  <si>
    <t>BEFGHIKL</t>
  </si>
  <si>
    <t>BFGHIJKL</t>
  </si>
  <si>
    <t>CEFGHIJK</t>
  </si>
  <si>
    <t>CEFGHIJL</t>
  </si>
  <si>
    <t>CEFGHIKL</t>
  </si>
  <si>
    <t>CFGHIJKL</t>
  </si>
  <si>
    <t>DFGHIJKL</t>
  </si>
  <si>
    <t>PosF1</t>
  </si>
  <si>
    <t>PosF3</t>
  </si>
  <si>
    <t>PTS</t>
  </si>
  <si>
    <t>Empate1</t>
  </si>
  <si>
    <t>Empate2</t>
  </si>
  <si>
    <t>Posicion1</t>
  </si>
  <si>
    <t>Posicion2</t>
  </si>
  <si>
    <t>Posicion3</t>
  </si>
  <si>
    <t>Empate3</t>
  </si>
  <si>
    <t>Posicion4</t>
  </si>
  <si>
    <t>Empate4</t>
  </si>
  <si>
    <t>Posicion5</t>
  </si>
  <si>
    <t>Empate5</t>
  </si>
  <si>
    <t>Posicion6</t>
  </si>
  <si>
    <t>Empate6</t>
  </si>
  <si>
    <t>OrdenAlfa</t>
  </si>
  <si>
    <t>PosicionF1</t>
  </si>
  <si>
    <t>PosicionF2</t>
  </si>
  <si>
    <t>Criterio/Fila</t>
  </si>
  <si>
    <t>PosicionF3</t>
  </si>
  <si>
    <t>PGPart1</t>
  </si>
  <si>
    <t>PEPart1</t>
  </si>
  <si>
    <t>PPPart1</t>
  </si>
  <si>
    <t>PTSPart1</t>
  </si>
  <si>
    <t>Empate1L</t>
  </si>
  <si>
    <t>Empate1V</t>
  </si>
  <si>
    <t>Empate2L</t>
  </si>
  <si>
    <t>Empate2V</t>
  </si>
  <si>
    <t>GFPart1</t>
  </si>
  <si>
    <t>GCPart1</t>
  </si>
  <si>
    <t>DGPArt1</t>
  </si>
  <si>
    <t>Empate3L</t>
  </si>
  <si>
    <t>Empate3V</t>
  </si>
  <si>
    <t>1A</t>
  </si>
  <si>
    <t>2A</t>
  </si>
  <si>
    <t>4A</t>
  </si>
  <si>
    <t>1B</t>
  </si>
  <si>
    <t>2B</t>
  </si>
  <si>
    <t>4B</t>
  </si>
  <si>
    <t>1C</t>
  </si>
  <si>
    <t>POS</t>
  </si>
  <si>
    <t>CANT</t>
  </si>
  <si>
    <t>CONCAT</t>
  </si>
  <si>
    <t>DESEMPATE EN SELECTOR</t>
  </si>
  <si>
    <t>2C</t>
  </si>
  <si>
    <t>4C</t>
  </si>
  <si>
    <t>1D</t>
  </si>
  <si>
    <t>2D</t>
  </si>
  <si>
    <t>4D</t>
  </si>
  <si>
    <t>1E</t>
  </si>
  <si>
    <t>2E</t>
  </si>
  <si>
    <t>4E</t>
  </si>
  <si>
    <t>1F</t>
  </si>
  <si>
    <t>2F</t>
  </si>
  <si>
    <t>4F</t>
  </si>
  <si>
    <t>1G</t>
  </si>
  <si>
    <t>2G</t>
  </si>
  <si>
    <t>4G</t>
  </si>
  <si>
    <t>1H</t>
  </si>
  <si>
    <t>2H</t>
  </si>
  <si>
    <t>4H</t>
  </si>
  <si>
    <t>1I</t>
  </si>
  <si>
    <t>2I</t>
  </si>
  <si>
    <t>4I</t>
  </si>
  <si>
    <t>1J</t>
  </si>
  <si>
    <t>2J</t>
  </si>
  <si>
    <t>4J</t>
  </si>
  <si>
    <t>1K</t>
  </si>
  <si>
    <t>2K</t>
  </si>
  <si>
    <t>4K</t>
  </si>
  <si>
    <t>1L</t>
  </si>
  <si>
    <t>2L</t>
  </si>
  <si>
    <t>4L</t>
  </si>
  <si>
    <t>2A-2B</t>
  </si>
  <si>
    <t>1E-3ABCDF</t>
  </si>
  <si>
    <t>1F-2C</t>
  </si>
  <si>
    <t>1C-2F</t>
  </si>
  <si>
    <t>1I-3CDFGH</t>
  </si>
  <si>
    <t>2E-2I</t>
  </si>
  <si>
    <t>1A-3CEFHI</t>
  </si>
  <si>
    <t>1L-3EHIJK</t>
  </si>
  <si>
    <t>1D-3BEFIJ</t>
  </si>
  <si>
    <t>1G-3AEHIJ</t>
  </si>
  <si>
    <t>2K-2L</t>
  </si>
  <si>
    <t>1H-2J</t>
  </si>
  <si>
    <t>1B-3EFGIJ</t>
  </si>
  <si>
    <t>1J-2H</t>
  </si>
  <si>
    <t>1K-3DEIJL</t>
  </si>
  <si>
    <t>2D-2G</t>
  </si>
  <si>
    <t>W74-W77</t>
  </si>
  <si>
    <t>W73-W75</t>
  </si>
  <si>
    <t>W76-W78</t>
  </si>
  <si>
    <t>W79-W80</t>
  </si>
  <si>
    <t>W83-W84</t>
  </si>
  <si>
    <t>W81-W82</t>
  </si>
  <si>
    <t>W86-W88</t>
  </si>
  <si>
    <t>W85-W87</t>
  </si>
  <si>
    <t>W89-W90</t>
  </si>
  <si>
    <t>W93-W94</t>
  </si>
  <si>
    <t>W91-W92</t>
  </si>
  <si>
    <t>W95-W96</t>
  </si>
  <si>
    <t>W97-W98</t>
  </si>
  <si>
    <t>W99-W100</t>
  </si>
  <si>
    <t>L101-L102</t>
  </si>
  <si>
    <t>W101-W102</t>
  </si>
  <si>
    <t>#</t>
  </si>
  <si>
    <t>OCTAVOS</t>
  </si>
  <si>
    <t>GRUPO</t>
  </si>
  <si>
    <t>FECHA</t>
  </si>
  <si>
    <t>TOTAL</t>
  </si>
  <si>
    <t>3ABCDF</t>
  </si>
  <si>
    <t>3CDFGH</t>
  </si>
  <si>
    <t>3CEFHI</t>
  </si>
  <si>
    <t>3EHIJK</t>
  </si>
  <si>
    <t>3BEFIJ</t>
  </si>
  <si>
    <t>3AEHIJ</t>
  </si>
  <si>
    <t>3EFGIJ</t>
  </si>
  <si>
    <t>3DEIJL</t>
  </si>
  <si>
    <t>W74</t>
  </si>
  <si>
    <t>W77</t>
  </si>
  <si>
    <t>W73</t>
  </si>
  <si>
    <t>W75</t>
  </si>
  <si>
    <t>W76</t>
  </si>
  <si>
    <t>W78</t>
  </si>
  <si>
    <t>W79</t>
  </si>
  <si>
    <t>W80</t>
  </si>
  <si>
    <t>W83</t>
  </si>
  <si>
    <t>W84</t>
  </si>
  <si>
    <t>W81</t>
  </si>
  <si>
    <t>W82</t>
  </si>
  <si>
    <t>W86</t>
  </si>
  <si>
    <t>W88</t>
  </si>
  <si>
    <t>W85</t>
  </si>
  <si>
    <t>W87</t>
  </si>
  <si>
    <t>W89</t>
  </si>
  <si>
    <t>W90</t>
  </si>
  <si>
    <t>W93</t>
  </si>
  <si>
    <t>W94</t>
  </si>
  <si>
    <t>W91</t>
  </si>
  <si>
    <t>W92</t>
  </si>
  <si>
    <t>W95</t>
  </si>
  <si>
    <t>W96</t>
  </si>
  <si>
    <t>W97</t>
  </si>
  <si>
    <t>W98</t>
  </si>
  <si>
    <t>W99</t>
  </si>
  <si>
    <t>W100</t>
  </si>
  <si>
    <t>L101</t>
  </si>
  <si>
    <t>L102</t>
  </si>
  <si>
    <t>W101</t>
  </si>
  <si>
    <t>W102</t>
  </si>
  <si>
    <t>POSGRUPO</t>
  </si>
  <si>
    <t>PAIS</t>
  </si>
  <si>
    <t>ORDEN</t>
  </si>
  <si>
    <t>ABCEFHIL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</si>
  <si>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</si>
  <si>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</si>
  <si>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</si>
  <si>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</si>
  <si>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</si>
  <si>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</si>
  <si>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</si>
  <si>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</si>
  <si>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</si>
  <si>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</si>
  <si>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</si>
  <si>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</si>
  <si>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</si>
  <si>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</si>
  <si>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</si>
  <si>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</si>
  <si>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</si>
  <si>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</si>
  <si>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</si>
  <si>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</si>
  <si>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</si>
  <si>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</si>
  <si>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</si>
  <si>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</si>
  <si>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</si>
  <si>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</si>
  <si>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</si>
  <si>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</si>
  <si>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</si>
  <si>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</si>
  <si>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</si>
  <si>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</si>
  <si>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</si>
  <si>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</si>
  <si>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</si>
  <si>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</si>
  <si>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</si>
  <si>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</si>
  <si>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</si>
  <si>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</si>
  <si>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</si>
  <si>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</si>
  <si>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</si>
  <si>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</si>
  <si>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</si>
  <si>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</si>
  <si>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</si>
  <si>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</si>
  <si>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</si>
  <si>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</si>
  <si>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</si>
  <si>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</si>
  <si>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</si>
  <si>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</si>
  <si>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</si>
  <si>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</si>
  <si>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</si>
  <si>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</si>
  <si>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</si>
  <si>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</si>
  <si>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</si>
  <si>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</si>
  <si>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</si>
  <si>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</si>
  <si>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</si>
  <si>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</si>
  <si>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</si>
  <si>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</si>
  <si>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</si>
  <si>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</si>
  <si>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</si>
  <si>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</si>
  <si>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</si>
  <si>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</si>
  <si>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</si>
  <si>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</si>
  <si>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</si>
  <si>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</si>
  <si>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</si>
  <si>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</si>
  <si>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</si>
  <si>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</si>
  <si>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</si>
  <si>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</si>
  <si>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</si>
  <si>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</si>
  <si>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</si>
  <si>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</si>
  <si>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</si>
  <si>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</si>
  <si>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</si>
  <si>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</si>
  <si>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</si>
  <si>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</si>
  <si>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</si>
  <si>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</si>
  <si>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</si>
  <si>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</si>
  <si>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</si>
  <si>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</si>
  <si>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</si>
  <si>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</si>
  <si>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</si>
  <si>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</si>
  <si>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</si>
  <si>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</si>
  <si>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</si>
  <si>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</si>
  <si>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</si>
  <si>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</si>
  <si>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</si>
  <si>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</si>
  <si>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</si>
  <si>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</si>
  <si>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</si>
  <si>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</si>
  <si>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</si>
  <si>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</si>
  <si>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</si>
  <si>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</si>
  <si>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</si>
  <si>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</si>
  <si>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</si>
  <si>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</si>
  <si>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</si>
  <si>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</si>
  <si>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</si>
  <si>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</si>
  <si>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</si>
  <si>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</si>
  <si>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</si>
  <si>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</si>
  <si>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</si>
  <si>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</si>
  <si>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</si>
  <si>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</si>
  <si>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</si>
  <si>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</si>
  <si>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</si>
  <si>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</si>
  <si>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</si>
  <si>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</si>
  <si>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</si>
  <si>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</si>
  <si>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</si>
  <si>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</si>
  <si>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</si>
  <si>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</si>
  <si>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</si>
  <si>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</si>
  <si>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</si>
  <si>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</si>
  <si>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</si>
  <si>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</si>
  <si>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</si>
  <si>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</si>
  <si>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</si>
  <si>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</si>
  <si>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</si>
  <si>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</si>
  <si>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</si>
  <si>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</si>
  <si>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</si>
  <si>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</si>
  <si>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</si>
  <si>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</si>
  <si>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</si>
  <si>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</si>
  <si>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</si>
  <si>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</si>
  <si>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</si>
  <si>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</si>
  <si>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</si>
  <si>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</si>
  <si>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</si>
  <si>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</si>
  <si>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</si>
  <si>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</si>
  <si>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</si>
  <si>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</si>
  <si>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</si>
  <si>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</si>
  <si>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</si>
  <si>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</si>
  <si>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</si>
  <si>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</si>
  <si>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</si>
  <si>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</si>
  <si>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</si>
  <si>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</si>
  <si>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</si>
  <si>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</si>
  <si>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</si>
  <si>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</si>
  <si>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</si>
  <si>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</si>
  <si>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</si>
  <si>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</si>
  <si>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</si>
  <si>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</si>
  <si>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</si>
  <si>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</si>
  <si>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</si>
  <si>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</si>
  <si>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</si>
  <si>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</si>
  <si>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</si>
  <si>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</si>
  <si>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</si>
  <si>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</si>
  <si>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</si>
  <si>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</si>
  <si>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</si>
  <si>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</si>
  <si>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</si>
  <si>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</si>
  <si>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</si>
  <si>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</si>
  <si>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</si>
  <si>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</si>
  <si>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</si>
  <si>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</si>
  <si>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</si>
  <si>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</si>
  <si>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</si>
  <si>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</si>
  <si>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</si>
  <si>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</si>
  <si>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</si>
  <si>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</si>
  <si>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</si>
  <si>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</si>
  <si>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</si>
  <si>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</si>
  <si>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</si>
  <si>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</si>
  <si>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</si>
  <si>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</si>
  <si>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</si>
  <si>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</si>
  <si>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</si>
  <si>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</si>
  <si>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</si>
  <si>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</si>
  <si>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</si>
  <si>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</si>
  <si>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</si>
  <si>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</si>
  <si>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</si>
  <si>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</si>
  <si>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</si>
  <si>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</si>
  <si>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</si>
  <si>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</si>
  <si>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</si>
  <si>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</si>
  <si>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</si>
  <si>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</si>
  <si>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</si>
  <si>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</si>
  <si>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</si>
  <si>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</si>
  <si>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</si>
  <si>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</si>
  <si>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</si>
  <si>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</si>
  <si>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</si>
  <si>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</si>
  <si>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</si>
  <si>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</si>
  <si>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</si>
  <si>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</si>
  <si>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</si>
  <si>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</si>
  <si>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</si>
  <si>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</si>
  <si>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</si>
  <si>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</si>
  <si>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</si>
  <si>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</si>
  <si>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</si>
  <si>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</si>
  <si>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</si>
  <si>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</si>
  <si>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</si>
  <si>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</si>
  <si>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</si>
  <si>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</si>
  <si>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</si>
  <si>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</si>
  <si>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</si>
  <si>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AEFGHJKL</t>
  </si>
  <si>
    <t>AEFGIJKL</t>
  </si>
  <si>
    <t>AEFHIJKL</t>
  </si>
  <si>
    <t>AEGHIJKL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</si>
  <si>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</si>
  <si>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</si>
  <si>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</si>
  <si>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</si>
  <si>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</si>
  <si>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</si>
  <si>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</si>
  <si>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</si>
  <si>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</si>
  <si>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</si>
  <si>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</si>
  <si>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</si>
  <si>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</si>
  <si>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</si>
  <si>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</si>
  <si>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</si>
  <si>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</si>
  <si>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</si>
  <si>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</si>
  <si>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</si>
  <si>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</si>
  <si>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</si>
  <si>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</si>
  <si>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</si>
  <si>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</si>
  <si>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</si>
  <si>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</si>
  <si>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</si>
  <si>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</si>
  <si>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</si>
  <si>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</si>
  <si>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</si>
  <si>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</si>
  <si>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</si>
  <si>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</si>
  <si>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</si>
  <si>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</si>
  <si>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</si>
  <si>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</si>
  <si>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</si>
  <si>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</si>
  <si>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</si>
  <si>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</si>
  <si>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</si>
  <si>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</si>
  <si>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</si>
  <si>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</si>
  <si>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</si>
  <si>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</si>
  <si>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</si>
  <si>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</si>
  <si>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</si>
  <si>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</si>
  <si>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</si>
  <si>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</si>
  <si>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</si>
  <si>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</si>
  <si>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</si>
  <si>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</si>
  <si>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</si>
  <si>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</si>
  <si>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</si>
  <si>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</si>
  <si>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</si>
  <si>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</si>
  <si>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</si>
  <si>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</si>
  <si>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</si>
  <si>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</si>
  <si>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</si>
  <si>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</si>
  <si>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</si>
  <si>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</si>
  <si>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</si>
  <si>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</si>
  <si>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</si>
  <si>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</si>
  <si>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</si>
  <si>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</si>
  <si>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</si>
  <si>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</si>
  <si>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</si>
  <si>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</si>
  <si>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</si>
  <si>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</si>
  <si>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</si>
  <si>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</si>
  <si>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</si>
  <si>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</si>
  <si>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</si>
  <si>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</si>
  <si>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</si>
  <si>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</si>
  <si>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</si>
  <si>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</si>
  <si>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</si>
  <si>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BEFGHJKL</t>
  </si>
  <si>
    <t>BEFGIJKL</t>
  </si>
  <si>
    <t>BEFHIJKL</t>
  </si>
  <si>
    <t>BEGHIJKL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</si>
  <si>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</si>
  <si>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</si>
  <si>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</si>
  <si>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</si>
  <si>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</si>
  <si>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</si>
  <si>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</si>
  <si>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</si>
  <si>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</si>
  <si>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</si>
  <si>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</si>
  <si>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</si>
  <si>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</si>
  <si>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</si>
  <si>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</si>
  <si>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</si>
  <si>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</si>
  <si>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</si>
  <si>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</si>
  <si>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</si>
  <si>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</si>
  <si>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</si>
  <si>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CEFGHJKL</t>
  </si>
  <si>
    <t>CEFGIJKL</t>
  </si>
  <si>
    <t>CEFHIJKL</t>
  </si>
  <si>
    <t>CEGHIJKL</t>
  </si>
  <si>
    <t>DEFGHJKL</t>
  </si>
  <si>
    <t>DEFGIJKL</t>
  </si>
  <si>
    <t>DEFHIJKL</t>
  </si>
  <si>
    <t>DEGHIJKL</t>
  </si>
  <si>
    <t>PARTIDO</t>
  </si>
  <si>
    <t>LOCAL</t>
  </si>
  <si>
    <t>VISITANTE</t>
  </si>
  <si>
    <t>EL 34 y la FINAL van diferentes como cogen los equipos, van directos, sin formulas previas</t>
  </si>
  <si>
    <t>Numero Partidos disputados grupo</t>
  </si>
  <si>
    <t>L1</t>
  </si>
  <si>
    <t>L2</t>
  </si>
  <si>
    <t>L3</t>
  </si>
  <si>
    <t>WINNER</t>
  </si>
  <si>
    <t>GFPart2</t>
  </si>
  <si>
    <t>GCPart2</t>
  </si>
  <si>
    <t>DGPArt2</t>
  </si>
  <si>
    <t>PGPart2</t>
  </si>
  <si>
    <t>PEPart2</t>
  </si>
  <si>
    <t>PPPart2</t>
  </si>
  <si>
    <t>PTSPart2</t>
  </si>
  <si>
    <t>Posicion7</t>
  </si>
  <si>
    <t>Empate7</t>
  </si>
  <si>
    <t>Empate4L</t>
  </si>
  <si>
    <t>Empate4V</t>
  </si>
  <si>
    <t>Empate5L</t>
  </si>
  <si>
    <t>Empate5V</t>
  </si>
  <si>
    <t>Empate6L</t>
  </si>
  <si>
    <t>Empate6V</t>
  </si>
  <si>
    <t>Posicion8</t>
  </si>
  <si>
    <t>Empate8</t>
  </si>
  <si>
    <t>Posicion9</t>
  </si>
  <si>
    <t>Empate9</t>
  </si>
  <si>
    <t>Sí</t>
  </si>
  <si>
    <t>No</t>
  </si>
  <si>
    <t>Yes</t>
  </si>
  <si>
    <t>Z6</t>
  </si>
  <si>
    <t>Show the best third-placed teams before the group stage ends?</t>
  </si>
  <si>
    <t>A4</t>
  </si>
  <si>
    <t>B4</t>
  </si>
  <si>
    <t>D4</t>
  </si>
  <si>
    <t>F4</t>
  </si>
  <si>
    <t>H4</t>
  </si>
  <si>
    <t>I4</t>
  </si>
  <si>
    <t>J4</t>
  </si>
  <si>
    <t>L4</t>
  </si>
  <si>
    <t>Puntos penalizados</t>
  </si>
  <si>
    <t>Deducted Points</t>
  </si>
  <si>
    <t>3º puesto</t>
  </si>
  <si>
    <t>3rd place</t>
  </si>
  <si>
    <t>Pronóstica la ronda</t>
  </si>
  <si>
    <t>Predict the round</t>
  </si>
  <si>
    <t>Ronda</t>
  </si>
  <si>
    <t>Round</t>
  </si>
  <si>
    <t xml:space="preserve">·Si has rellenado todos y quieres hacer un cambio, </t>
  </si>
  <si>
    <t>·If you've filled everything out and want to make a change,</t>
  </si>
  <si>
    <t>Predictor</t>
  </si>
  <si>
    <t>Fase de grupos</t>
  </si>
  <si>
    <t>Group stage</t>
  </si>
  <si>
    <t>Predice la selección</t>
  </si>
  <si>
    <t>Predict nation</t>
  </si>
  <si>
    <t>·Selecciona para cada ronda el la selección o selecciones que crees que van a llegar hasta esa ronda.</t>
  </si>
  <si>
    <t xml:space="preserve"> borra las selecciones que quieras cambiar y podrás volver a elegirlas</t>
  </si>
  <si>
    <t>Rellenar antes del comienzo del Mundial</t>
  </si>
  <si>
    <t>Complete before World Cup begins</t>
  </si>
  <si>
    <t xml:space="preserve"> delete the nations you want to change and you can select them again.</t>
  </si>
  <si>
    <t>·Once you select a nation, it will no longer appear in the selector.</t>
  </si>
  <si>
    <t>·Select for each round the nation or nations that you think will reach that round.</t>
  </si>
  <si>
    <t>·Una vez elijas una selección, dejará de aparecer en la lista</t>
  </si>
  <si>
    <t>OrdenAlfa/Bombo</t>
  </si>
  <si>
    <t>Argentina</t>
  </si>
  <si>
    <t>Australia</t>
  </si>
  <si>
    <t>Brasil</t>
  </si>
  <si>
    <t>Canadá</t>
  </si>
  <si>
    <t>Corea del Sur</t>
  </si>
  <si>
    <t>Ecuador</t>
  </si>
  <si>
    <t>Irán</t>
  </si>
  <si>
    <t>Japón</t>
  </si>
  <si>
    <t>Jordania</t>
  </si>
  <si>
    <t>México</t>
  </si>
  <si>
    <t>Nueva Zelanda</t>
  </si>
  <si>
    <t>Uzbekistán</t>
  </si>
  <si>
    <t>Excel Liga Española 1ª División 2025-2026</t>
  </si>
  <si>
    <t>Excel Liga Española 2ª División 2025-2026</t>
  </si>
  <si>
    <t>Excel Premier League 2025-2026</t>
  </si>
  <si>
    <t>Excel Libertadores/Sudamericana 2026</t>
  </si>
  <si>
    <t>🇦🇷</t>
  </si>
  <si>
    <t>🇦🇺</t>
  </si>
  <si>
    <t>Brazil</t>
  </si>
  <si>
    <t>🇧🇷</t>
  </si>
  <si>
    <t>Canada</t>
  </si>
  <si>
    <t>🇨🇦</t>
  </si>
  <si>
    <t>South Korea</t>
  </si>
  <si>
    <t>🇰🇷</t>
  </si>
  <si>
    <t>🇪🇨</t>
  </si>
  <si>
    <t>🇺🇸</t>
  </si>
  <si>
    <t>Iran</t>
  </si>
  <si>
    <t>🇮🇷</t>
  </si>
  <si>
    <t>Japan</t>
  </si>
  <si>
    <t>🇯🇵</t>
  </si>
  <si>
    <t>Jordan</t>
  </si>
  <si>
    <t>🇯🇴</t>
  </si>
  <si>
    <t>Mexico</t>
  </si>
  <si>
    <t>🇲🇽</t>
  </si>
  <si>
    <t>New Zealand</t>
  </si>
  <si>
    <t>🇳🇿</t>
  </si>
  <si>
    <t>Uzbekistan</t>
  </si>
  <si>
    <t>🇺🇿</t>
  </si>
  <si>
    <t>EN 16 y en el 3ºy4º puesto son diferentes</t>
  </si>
  <si>
    <t>NO BORRAR ESTO EN 16S</t>
  </si>
  <si>
    <t>Octavofinalista</t>
  </si>
  <si>
    <t>Predictor Equipos</t>
  </si>
  <si>
    <t>Team Predictor</t>
  </si>
  <si>
    <t>Excel Champions League 2025-2026</t>
  </si>
  <si>
    <t>Whatsapp</t>
  </si>
  <si>
    <t>Telegram</t>
  </si>
  <si>
    <t>Mail</t>
  </si>
  <si>
    <t>in</t>
  </si>
  <si>
    <t xml:space="preserve"> </t>
  </si>
  <si>
    <t>Fixture</t>
  </si>
  <si>
    <t>Select timetable</t>
  </si>
  <si>
    <t>Selecciona horario</t>
  </si>
  <si>
    <t>Selecciona idioma</t>
  </si>
  <si>
    <t>Select languaje</t>
  </si>
  <si>
    <t>Cuadro de honor</t>
  </si>
  <si>
    <t>Honor box</t>
  </si>
  <si>
    <t>Donate</t>
  </si>
  <si>
    <t>Donar</t>
  </si>
  <si>
    <t>Help</t>
  </si>
  <si>
    <t>matejero.es</t>
  </si>
  <si>
    <t>matejero.com</t>
  </si>
  <si>
    <t>© Miguel Angel Tejero. 2026</t>
  </si>
  <si>
    <t>Uruguay</t>
  </si>
  <si>
    <t>Paraguay</t>
  </si>
  <si>
    <t>Colombia</t>
  </si>
  <si>
    <t>Marruecos</t>
  </si>
  <si>
    <t>Túnez</t>
  </si>
  <si>
    <t>🇺🇾</t>
  </si>
  <si>
    <t>🇵🇾</t>
  </si>
  <si>
    <t>🇨🇴</t>
  </si>
  <si>
    <t>Morocco</t>
  </si>
  <si>
    <t>🇲🇦</t>
  </si>
  <si>
    <t>Tunisia</t>
  </si>
  <si>
    <t>🇹🇳</t>
  </si>
  <si>
    <t xml:space="preserve">Best 3-placed groups: </t>
  </si>
  <si>
    <t xml:space="preserve">Grupos mejores 3ºs: </t>
  </si>
  <si>
    <t>Share:</t>
  </si>
  <si>
    <t>Original: matejero.es</t>
  </si>
  <si>
    <t>Instrucciones en video</t>
  </si>
  <si>
    <t>Video►Tutorial</t>
  </si>
  <si>
    <t>En Grupos por bombo, en terceros por orden alfa</t>
  </si>
  <si>
    <t>If you don't see flags in the WorldCup sheet, you can use the other file that came in the .zip file</t>
  </si>
  <si>
    <t>Si en la hoja WorldCup no ves las banderas, puedes usar el otro archivo que venia en el .zip</t>
  </si>
  <si>
    <t>FG</t>
  </si>
  <si>
    <t>3º</t>
  </si>
  <si>
    <t>2º</t>
  </si>
  <si>
    <t>1º</t>
  </si>
  <si>
    <t>Se usa en desempates el num</t>
  </si>
  <si>
    <t>Horarios!$P$3</t>
  </si>
  <si>
    <t>Bandera</t>
  </si>
  <si>
    <t xml:space="preserve">·If you play the whole tournament at once de golpe select from C5 to C308 and paste in the Administrator template.			</t>
  </si>
  <si>
    <t>·Si haceis toda la fase de grupos de golpe y las eliminatorias aparte, copiar primero de la C5 a la C161 y pegar valores en la plantilla de Administrador. Y también copiar y pegar valores de la C253 a la C308. En dieciseisavos seguir las instrucciones de abajo.</t>
  </si>
  <si>
    <t>·If you play the whole Group Stage at the begining and later the KO rounds select from C5 to C161 and paste in the Administrator template. Also copy and paste values form C253 to C308. For the round of 32 follow the instructions.</t>
  </si>
  <si>
    <t>·Para la primera jornada copiar de la C5 a la C29 y pega valores en la plantilla de administrador. ¡OJO! COPIAR TAMBIÉN de la C253 a la C308.</t>
  </si>
  <si>
    <t>·Para la segunda jornada copiar de la C30 a la C53 y pega valores en la plantilla de administrador.</t>
  </si>
  <si>
    <t>·Para la tercera jornada copiar de la C54 a la C161 y pega valores en la plantilla de administrador.</t>
  </si>
  <si>
    <t>·For the 1st Round copy from C5 to C29 an paste as values in the Administrator Pool. CAUTION. Also copy and paste values form C253 to C308.</t>
  </si>
  <si>
    <t>·For the 2nd Round copy from C30 to C53 an paste as values in the Administrator Pool.</t>
  </si>
  <si>
    <t>·For the 3rd Round copy from C54 to C161 an paste as values in the Administrator Pool.</t>
  </si>
  <si>
    <t>·If you play the KO rounds at once copy from C164 to C252 and paste in the Administrator template.</t>
  </si>
  <si>
    <t>·Para los dieciseisavos copiar de la C164 a la C197 y pega valores en la plantilla de administrador.</t>
  </si>
  <si>
    <t>·Para los octavos de final copiar de la C200 a la C217 y pega valores en la plantilla de administrador.</t>
  </si>
  <si>
    <t>·Para los cuartos de final copiar de la C220 a la C229 y pega valores en la plantilla de administrador.</t>
  </si>
  <si>
    <t>·Para las semifinales copiar de la C232 a la C241 y pega valores en la plantilla de administrador.</t>
  </si>
  <si>
    <t>·Para el 3º y 4º puesto y la Final copiar de la C244 a la C252 y pega valores en la plantilla de administrador.</t>
  </si>
  <si>
    <t>·Al inicio de la competición si se hace por fases copiar de la C253 a la C308 y pegarla al final del jugador en el archivo de administrador.</t>
  </si>
  <si>
    <t>·At the beginning of the competition, if it is done in phases, copy from C253 to C308 and paste it at the end of the player in the administrator file.</t>
  </si>
  <si>
    <t>·Si en tu grupo no vais a usar el predictor, puedes dejarlo sin rellenar</t>
  </si>
  <si>
    <t>·If you are not going to use the predictor in your group, you can leave it unfilled</t>
  </si>
  <si>
    <t>Option</t>
  </si>
  <si>
    <t>La clasificación de los mejores terceros aparece al final de la J1</t>
  </si>
  <si>
    <t>The ranking of the best third places appears at the end of J1</t>
  </si>
  <si>
    <t>TO DOWNLOAD, CLICK ON</t>
  </si>
  <si>
    <t>PARA DESCARGAR, CLICK EN</t>
  </si>
  <si>
    <t>File</t>
  </si>
  <si>
    <t>LOSERS</t>
  </si>
  <si>
    <t>·Copy from C261 to C308 and paste it in the administrator template in "Paste Values Predictor"</t>
  </si>
  <si>
    <t>·Copiar de la C261 a la C308 y pegar valores en el administrador donde el Predictor</t>
  </si>
  <si>
    <t>Nombrar del 1 al 48 (A 1 al 4, B: 5 al 8….</t>
  </si>
  <si>
    <t>ADMIN</t>
  </si>
  <si>
    <t>Selecciona el Nº de Jugadores</t>
  </si>
  <si>
    <t>↓↓ Resultados reales ↓↓</t>
  </si>
  <si>
    <t>↓↓ Results ↓↓</t>
  </si>
  <si>
    <t>C7</t>
  </si>
  <si>
    <t>D7</t>
  </si>
  <si>
    <t>Puntos</t>
  </si>
  <si>
    <t>Points</t>
  </si>
  <si>
    <t>C8</t>
  </si>
  <si>
    <t>C9</t>
  </si>
  <si>
    <t>GROUP STAGE - Goal Difference (with 1X2 correct)</t>
  </si>
  <si>
    <t>C10</t>
  </si>
  <si>
    <t>FASE DE GRUPOS - Resultado exacto</t>
  </si>
  <si>
    <t>GROUP STAGE - Exact result</t>
  </si>
  <si>
    <t>C11</t>
  </si>
  <si>
    <t>FASE DE GRUPOS - Posición exacta (1º)</t>
  </si>
  <si>
    <t>GROUP STAGE - Exact position  (1º)</t>
  </si>
  <si>
    <t>FASE DE GRUPOS - Posición exacta (2º)</t>
  </si>
  <si>
    <t>GROUP STAGE - Exact position  (2º)</t>
  </si>
  <si>
    <t>FASE DE GRUPOS - Posición exacta (3º)</t>
  </si>
  <si>
    <t>GROUP STAGE - Exact position  (3º)</t>
  </si>
  <si>
    <t>FASE DE GRUPOS - Posición exacta (4º)</t>
  </si>
  <si>
    <t>GROUP STAGE - Exact position  (4º)</t>
  </si>
  <si>
    <t>C15</t>
  </si>
  <si>
    <t>Equipo clasificado para OCTAVOS</t>
  </si>
  <si>
    <t>C16</t>
  </si>
  <si>
    <t>OCTAVOS - Signo 1X2  (local, empate, visitante)</t>
  </si>
  <si>
    <t>ROUND OF 16- 1X2* (home, draw, away)</t>
  </si>
  <si>
    <t>C17</t>
  </si>
  <si>
    <t>ROUND OF 16 - Goal Difference (with 1X2 correct)</t>
  </si>
  <si>
    <t>C18</t>
  </si>
  <si>
    <t>OCTAVOS - Resultado exacto</t>
  </si>
  <si>
    <t>C19</t>
  </si>
  <si>
    <t>Equipo clasificado para CUARTOS</t>
  </si>
  <si>
    <t>C20</t>
  </si>
  <si>
    <t>CUARTOS - Signo 1X2  (local, empate, visitante)</t>
  </si>
  <si>
    <t>QUARTERFINALS- 1X2* (home, draw, away)</t>
  </si>
  <si>
    <t>C21</t>
  </si>
  <si>
    <t>QUARTERFINALS - Goal Difference (with 1X2 correct)</t>
  </si>
  <si>
    <t>C22</t>
  </si>
  <si>
    <t>CUARTOS - Resultado exacto</t>
  </si>
  <si>
    <t>C23</t>
  </si>
  <si>
    <t>Equipo clasificado para SEMIFINALES</t>
  </si>
  <si>
    <t>C24</t>
  </si>
  <si>
    <t>SEMIFINALES - Signo 1X2  (local, empate, visitante)</t>
  </si>
  <si>
    <t>SEMIFINALS- 1X2* (home, draw, away)</t>
  </si>
  <si>
    <t>C25</t>
  </si>
  <si>
    <t>SEMIFINALS - Goal Difference (with 1X2 correct)</t>
  </si>
  <si>
    <t>C26</t>
  </si>
  <si>
    <t>SEMIFINALES - Resultado exacto</t>
  </si>
  <si>
    <t>SEMIFINALS - Exact Result</t>
  </si>
  <si>
    <t>C27</t>
  </si>
  <si>
    <t>C28</t>
  </si>
  <si>
    <t>FINAL - Signo 1X2  (local, empate, visitante)</t>
  </si>
  <si>
    <t>FINAL- 1X2* (home, draw, away)</t>
  </si>
  <si>
    <t>C29</t>
  </si>
  <si>
    <t>FINAL - Goal Difference (with 1X2 correct)</t>
  </si>
  <si>
    <t>C30</t>
  </si>
  <si>
    <t>FINAL - Resultado exacto</t>
  </si>
  <si>
    <t>FINAL - Exact Result</t>
  </si>
  <si>
    <t>C31</t>
  </si>
  <si>
    <t>C32</t>
  </si>
  <si>
    <t>C33</t>
  </si>
  <si>
    <t>Goleador del torneo</t>
  </si>
  <si>
    <t>C34</t>
  </si>
  <si>
    <t>Mejor jugador del torneo</t>
  </si>
  <si>
    <t>H7</t>
  </si>
  <si>
    <t>Group Stage</t>
  </si>
  <si>
    <t>H45</t>
  </si>
  <si>
    <t>Posición grupos</t>
  </si>
  <si>
    <t>Group Position</t>
  </si>
  <si>
    <t>H71</t>
  </si>
  <si>
    <t>Clasificados para Octavos de Final</t>
  </si>
  <si>
    <t>Qualified For Round Of 16</t>
  </si>
  <si>
    <t>Equipos/ADMIN</t>
  </si>
  <si>
    <t>H89</t>
  </si>
  <si>
    <t>Enfrentamientos Octavos de Final</t>
  </si>
  <si>
    <t>Round Of 16</t>
  </si>
  <si>
    <t>H99</t>
  </si>
  <si>
    <t>Clasificados para Cuartos de Final</t>
  </si>
  <si>
    <t>Quarter-Finalists</t>
  </si>
  <si>
    <t>H109</t>
  </si>
  <si>
    <t>Enfrentamientos Cuartos de Final</t>
  </si>
  <si>
    <t>H115</t>
  </si>
  <si>
    <t>Clasificados para Semifinales</t>
  </si>
  <si>
    <t>Qualified For Semifinals</t>
  </si>
  <si>
    <t>H121</t>
  </si>
  <si>
    <t>Enfrentamientos Semifinales</t>
  </si>
  <si>
    <t>H125</t>
  </si>
  <si>
    <t>Clasificados para la Final</t>
  </si>
  <si>
    <t>Qualified For The Final</t>
  </si>
  <si>
    <t>H129</t>
  </si>
  <si>
    <t>Partido Final</t>
  </si>
  <si>
    <t>H132</t>
  </si>
  <si>
    <t>Honor Box</t>
  </si>
  <si>
    <t>H133</t>
  </si>
  <si>
    <t>H134</t>
  </si>
  <si>
    <t>H135</t>
  </si>
  <si>
    <t>Top Scorer</t>
  </si>
  <si>
    <t>H136</t>
  </si>
  <si>
    <t>Best Tournament player</t>
  </si>
  <si>
    <t>Pegar Valores (J1)</t>
  </si>
  <si>
    <t>Paste Values (R1)</t>
  </si>
  <si>
    <t>Pegar Valores (J2)</t>
  </si>
  <si>
    <t>Paste Values (R2)</t>
  </si>
  <si>
    <t>Pegar Valores (J3)</t>
  </si>
  <si>
    <t>Paste Values (R3)</t>
  </si>
  <si>
    <t>Pegar Valores Octavos</t>
  </si>
  <si>
    <t>Paste Values Round of 16'</t>
  </si>
  <si>
    <t>Pegar valores Cuartos</t>
  </si>
  <si>
    <t>Paste Values Quarterfinals</t>
  </si>
  <si>
    <t>Pegar valores Semifinales</t>
  </si>
  <si>
    <t>Paste Values Semifinals</t>
  </si>
  <si>
    <t>H51</t>
  </si>
  <si>
    <t>H52</t>
  </si>
  <si>
    <t>H53</t>
  </si>
  <si>
    <t>H54</t>
  </si>
  <si>
    <t>H55</t>
  </si>
  <si>
    <t>H56</t>
  </si>
  <si>
    <t>H57</t>
  </si>
  <si>
    <t>H58</t>
  </si>
  <si>
    <t>H59</t>
  </si>
  <si>
    <t>H60</t>
  </si>
  <si>
    <t>H61</t>
  </si>
  <si>
    <t>H62</t>
  </si>
  <si>
    <t>H63</t>
  </si>
  <si>
    <t>H64</t>
  </si>
  <si>
    <t>H65</t>
  </si>
  <si>
    <t>H66</t>
  </si>
  <si>
    <t>H67</t>
  </si>
  <si>
    <t>H68</t>
  </si>
  <si>
    <t>H69</t>
  </si>
  <si>
    <t>H72</t>
  </si>
  <si>
    <t>H100</t>
  </si>
  <si>
    <t>H116</t>
  </si>
  <si>
    <t>H126</t>
  </si>
  <si>
    <t>F8</t>
  </si>
  <si>
    <t>F20</t>
  </si>
  <si>
    <t>F32</t>
  </si>
  <si>
    <t>C36</t>
  </si>
  <si>
    <t>C37</t>
  </si>
  <si>
    <t>Select the number of players:</t>
  </si>
  <si>
    <t>ROUND OF 16 - Exact Result</t>
  </si>
  <si>
    <t>Team Qualified for QUARTERFINALS</t>
  </si>
  <si>
    <t>QUARTERFINALS - Exact Result</t>
  </si>
  <si>
    <t>Nation Qualified for the FINAL</t>
  </si>
  <si>
    <t>CLASIFICADOS PARA PLAYOFFS</t>
  </si>
  <si>
    <t>QUALIFIED FOR PLAYOFFS</t>
  </si>
  <si>
    <t>CLASIFICADOS PARA OCTAVOS (Desde Fase Liga)</t>
  </si>
  <si>
    <t>QUALIFIED FOR ROUND OF 16 (From League Phase)</t>
  </si>
  <si>
    <t>CLASIFICADOS PARA OCTAVOS (DESDE PLAYOFFS)</t>
  </si>
  <si>
    <t>QUALIFIED FOR ROUND OF 16 (From Playoffs)</t>
  </si>
  <si>
    <t>Qualified for Quarterfinals</t>
  </si>
  <si>
    <t>Pegar valores Predictor</t>
  </si>
  <si>
    <t>Paste Predictor Values</t>
  </si>
  <si>
    <t>PREDICTOR - Campeón</t>
  </si>
  <si>
    <t>PREDICTOR - Winner</t>
  </si>
  <si>
    <t>PREDICTOR - Semifinales</t>
  </si>
  <si>
    <t>PREDICTOR - Semifinals</t>
  </si>
  <si>
    <t>PREDICTOR - Cuartos de final</t>
  </si>
  <si>
    <t>PREDICTOR - Quartefinals</t>
  </si>
  <si>
    <t>PREDICTOR - Octavos de final</t>
  </si>
  <si>
    <t>PREDICTOR - Round of 16</t>
  </si>
  <si>
    <t>PREDICTOR- Fase de Liga</t>
  </si>
  <si>
    <t>PREDICTOR - League Phase</t>
  </si>
  <si>
    <t>Equipo clasificado para DIECISEISAVOS</t>
  </si>
  <si>
    <t>DIECISEISAVOS - Resultado exacto</t>
  </si>
  <si>
    <t>DIECISEISAVOS - Signo 1X2 (local, empate, visitante)</t>
  </si>
  <si>
    <t>Equipo clasificado para FINAL</t>
  </si>
  <si>
    <t>Equipo clasificado para 3º y 4º puesto</t>
  </si>
  <si>
    <t>3ºy4º PUESTO - Signo 1X2  (local, empate, visitante)</t>
  </si>
  <si>
    <t>3ºy4º PUESTO - Resultado exacto</t>
  </si>
  <si>
    <t>ROUND OF 32 - 1X2* (home, draw, away)</t>
  </si>
  <si>
    <t>ROUND OF 32 - Goal Difference (with 1X2 correct)</t>
  </si>
  <si>
    <t>ROUND OF 32 - Exact Result</t>
  </si>
  <si>
    <t>Egipto</t>
  </si>
  <si>
    <t>Ghana</t>
  </si>
  <si>
    <t>Cabo Verde</t>
  </si>
  <si>
    <t>Egypt</t>
  </si>
  <si>
    <t>🇪🇬</t>
  </si>
  <si>
    <t>🇬🇭</t>
  </si>
  <si>
    <t>Cape Verde</t>
  </si>
  <si>
    <t>🇨🇻</t>
  </si>
  <si>
    <t>Argelia</t>
  </si>
  <si>
    <t>Algeria</t>
  </si>
  <si>
    <t>🇩🇿</t>
  </si>
  <si>
    <t>Nation Qualified for ROUND OF 16</t>
  </si>
  <si>
    <t>Nation Qualified for SEMIFINALS</t>
  </si>
  <si>
    <t>3-4 place - 1X2* (home, draw, away)</t>
  </si>
  <si>
    <t>3-4 place - Goal Difference (with 1X2 correct)</t>
  </si>
  <si>
    <t>3-4 place - Exact Result</t>
  </si>
  <si>
    <t>Golden Boot (Top Scorer)</t>
  </si>
  <si>
    <t>Silver Boot (2º Top scorer)</t>
  </si>
  <si>
    <t>Bronze Boot (3º Top scorer)</t>
  </si>
  <si>
    <t>Golden Ball  (Best player)</t>
  </si>
  <si>
    <t>Silver Ball (2nd Best player)</t>
  </si>
  <si>
    <t>Bronze Ball (3º Best player)</t>
  </si>
  <si>
    <t>Nation Qualified for ROUND OF 32</t>
  </si>
  <si>
    <t>PREDICTOR - Dieciseisavos de final</t>
  </si>
  <si>
    <t>PREDICTOR - Round of 32</t>
  </si>
  <si>
    <t>Versiones para más participantes</t>
  </si>
  <si>
    <t>Versions for more participants</t>
  </si>
  <si>
    <t>Max puntos partido</t>
  </si>
  <si>
    <t>Bonus</t>
  </si>
  <si>
    <t>PREDICTOR- 3º puesto</t>
  </si>
  <si>
    <t>PREDICTOR- 3rd place</t>
  </si>
  <si>
    <t>PREDICTOR - Subcampeón</t>
  </si>
  <si>
    <t>PREDICTOR - Runner-up</t>
  </si>
  <si>
    <t>Pegar Valores Dieciseisavos</t>
  </si>
  <si>
    <t>Paste Values Round of 32'</t>
  </si>
  <si>
    <t>Pegar valores 3º-4º puesto y Final</t>
  </si>
  <si>
    <t>Paste Values 3rd-4th place &amp; Final</t>
  </si>
  <si>
    <t>Pegar Valores Cuadro de Honor</t>
  </si>
  <si>
    <t>Paste Values Honor Box</t>
  </si>
  <si>
    <t>Clasificación</t>
  </si>
  <si>
    <t>En Objeto</t>
  </si>
  <si>
    <t>Jugador</t>
  </si>
  <si>
    <t>Player</t>
  </si>
  <si>
    <t>Puntos Totales</t>
  </si>
  <si>
    <t>Total points</t>
  </si>
  <si>
    <t>F. Grupos</t>
  </si>
  <si>
    <t>Pos. Grupos</t>
  </si>
  <si>
    <t>Equipos 1/8</t>
  </si>
  <si>
    <t>Partidos 1/8</t>
  </si>
  <si>
    <t>R16 Match-ups</t>
  </si>
  <si>
    <t>Equipos 1/4</t>
  </si>
  <si>
    <t>Partidos 1/4</t>
  </si>
  <si>
    <t>QF Match-ups</t>
  </si>
  <si>
    <t>Equipos 1/2</t>
  </si>
  <si>
    <t>Partidos 1/2</t>
  </si>
  <si>
    <t>SF Match-ups</t>
  </si>
  <si>
    <t>M3</t>
  </si>
  <si>
    <t>Equipos Final</t>
  </si>
  <si>
    <t>Final Match-up</t>
  </si>
  <si>
    <t>O3</t>
  </si>
  <si>
    <t>CLASIFICACIÓN MUNDIAL 2026</t>
  </si>
  <si>
    <t>STANDINGS WORLD CUP 2026</t>
  </si>
  <si>
    <t>Equipos 1/16</t>
  </si>
  <si>
    <t>Partidos 1/16</t>
  </si>
  <si>
    <t>R32 Match-ups</t>
  </si>
  <si>
    <t>Equipos 3-4</t>
  </si>
  <si>
    <t>3-4 Teams</t>
  </si>
  <si>
    <t>R32 Teams</t>
  </si>
  <si>
    <t>R16 Teams</t>
  </si>
  <si>
    <t>QF Teams</t>
  </si>
  <si>
    <t>SF Teams</t>
  </si>
  <si>
    <t>Final Teams</t>
  </si>
  <si>
    <t>Partido 3-4</t>
  </si>
  <si>
    <t>3-4 Match-up</t>
  </si>
  <si>
    <t xml:space="preserve">Cuadro de Honor </t>
  </si>
  <si>
    <t xml:space="preserve">Predictor </t>
  </si>
  <si>
    <t xml:space="preserve">Honor Box </t>
  </si>
  <si>
    <t xml:space="preserve">Group stage </t>
  </si>
  <si>
    <t>Group pos.</t>
  </si>
  <si>
    <t>3-4 &amp; Final</t>
  </si>
  <si>
    <t>Sudáfrica</t>
  </si>
  <si>
    <t>Catar</t>
  </si>
  <si>
    <t>Arabia Saudita</t>
  </si>
  <si>
    <t>Costa de Marfil</t>
  </si>
  <si>
    <t>Senegal</t>
  </si>
  <si>
    <t>South Africa</t>
  </si>
  <si>
    <t>🇿🇦</t>
  </si>
  <si>
    <t>Qatar</t>
  </si>
  <si>
    <t>🇶🇦</t>
  </si>
  <si>
    <t>Saudi Arabia</t>
  </si>
  <si>
    <t>🇸🇦</t>
  </si>
  <si>
    <t>Ivory Coast</t>
  </si>
  <si>
    <t>🇨🇮</t>
  </si>
  <si>
    <t>🇸🇳</t>
  </si>
  <si>
    <t>Selecciona fecha</t>
  </si>
  <si>
    <t>Referencia</t>
  </si>
  <si>
    <t>MAX KO</t>
  </si>
  <si>
    <t>Lista sin errores</t>
  </si>
  <si>
    <t>Validacion de datos</t>
  </si>
  <si>
    <t>Ref fecha</t>
  </si>
  <si>
    <t>Pronostico Diario</t>
  </si>
  <si>
    <t>Selecciona día:</t>
  </si>
  <si>
    <t>Select day:</t>
  </si>
  <si>
    <t>ClasificacionDiaria</t>
  </si>
  <si>
    <t>Puntos Día / Eliminatoria</t>
  </si>
  <si>
    <t>Points Day / Round</t>
  </si>
  <si>
    <t>Stats</t>
  </si>
  <si>
    <t xml:space="preserve">Puntos en juego </t>
  </si>
  <si>
    <t xml:space="preserve">Points at stake </t>
  </si>
  <si>
    <t xml:space="preserve">Máximo de puntos hasta </t>
  </si>
  <si>
    <t xml:space="preserve">Maximum points until </t>
  </si>
  <si>
    <t xml:space="preserve">Máximo de puntos incluido </t>
  </si>
  <si>
    <t xml:space="preserve">Maximum points including </t>
  </si>
  <si>
    <t xml:space="preserve">Quedan por repartir: </t>
  </si>
  <si>
    <t xml:space="preserve">Points left to be distributed: </t>
  </si>
  <si>
    <t>Puntos máximos totales a repartir hoy (Global):</t>
  </si>
  <si>
    <t>Total maximum points to be distributed today (Global):</t>
  </si>
  <si>
    <t>Puntos repartidos hoy (Global)</t>
  </si>
  <si>
    <t xml:space="preserve">Points distributed today (Global): </t>
  </si>
  <si>
    <t xml:space="preserve">¿Cúantos han acertado el máximo de puntos </t>
  </si>
  <si>
    <t xml:space="preserve">How many have scored the maximum points </t>
  </si>
  <si>
    <t xml:space="preserve">¿Cúantos se han llevado algún punto </t>
  </si>
  <si>
    <t xml:space="preserve">How many have scored any points </t>
  </si>
  <si>
    <t xml:space="preserve">¿Cúantos no han acertado nada </t>
  </si>
  <si>
    <t xml:space="preserve">How many have not scored anything </t>
  </si>
  <si>
    <t xml:space="preserve">Media de puntos sumados </t>
  </si>
  <si>
    <t xml:space="preserve">Average points scored </t>
  </si>
  <si>
    <t>Para que funcionen bien las estadísticas tienes que tener una de las últimas versiones de Excel (2021 en adelante), si no algunas de las funciones pueden dar error. No obstante esta hoja no es necesaria para el correcto funcionamiento de las demás partes del archivo.</t>
  </si>
  <si>
    <t>For the statistics to work properly, you need to have one of the latest versions of Excel (2021 onwards). Otherwise, some of the functions may return an error. However, this sheet is not necessary for the correct functioning of the other parts of the file.</t>
  </si>
  <si>
    <t>In order for the statistics to work properly, in the ADMIN sheet select the exact number of participants, otherwise some statistics may be incorrect.</t>
  </si>
  <si>
    <t>Dia seleccionado en "Daily Prediction"</t>
  </si>
  <si>
    <t>Day selected in "Daily Prediction"</t>
  </si>
  <si>
    <t>Resultados más pronósticados</t>
  </si>
  <si>
    <t>Top picks</t>
  </si>
  <si>
    <t>Resultado</t>
  </si>
  <si>
    <t>Result</t>
  </si>
  <si>
    <t>Nº de veces</t>
  </si>
  <si>
    <t>Count</t>
  </si>
  <si>
    <t>(No cuentan los resultados no predichos)*</t>
  </si>
  <si>
    <t>(Unpredicted results do not count).*</t>
  </si>
  <si>
    <t>*Si alguno de los participantes no ha predicho este resultado, no se cuenta ni en la tabla ni en el gráfico</t>
  </si>
  <si>
    <t>*If any of the participants have not predicted this result, it will not be counted in the table or the graph.</t>
  </si>
  <si>
    <t>Este gráfico de abajo solo aparece en los partidos de la fase de grupos</t>
  </si>
  <si>
    <t>This chart below only appears for matches in the group stage.</t>
  </si>
  <si>
    <t>Faltan</t>
  </si>
  <si>
    <t>There are</t>
  </si>
  <si>
    <t>Es el día</t>
  </si>
  <si>
    <t>It's World cup Day</t>
  </si>
  <si>
    <t>Quedan</t>
  </si>
  <si>
    <t>Only</t>
  </si>
  <si>
    <t>Se han marcado un total de</t>
  </si>
  <si>
    <t>A total of</t>
  </si>
  <si>
    <t>goles en el Mundial de Clubes sin contar tandas de penalti</t>
  </si>
  <si>
    <t>goals have been scored in Club World Cup, not including penalty shootouts.</t>
  </si>
  <si>
    <t>Espero que disfrutéis del Excel del Mundial de Clubes</t>
  </si>
  <si>
    <t>I hope you enjoy Club World Cup Excel sheet!</t>
  </si>
  <si>
    <t>DIARIA</t>
  </si>
  <si>
    <t>JERQ1</t>
  </si>
  <si>
    <t>JERQ2</t>
  </si>
  <si>
    <t>COL</t>
  </si>
  <si>
    <t>Nation Qualified for 3-4 place</t>
  </si>
  <si>
    <t>%</t>
  </si>
  <si>
    <t>DIA COMPET</t>
  </si>
  <si>
    <t>PUNTOS/DIA</t>
  </si>
  <si>
    <t>ACIERTO NORMAL OCTAVOS</t>
  </si>
  <si>
    <t>ACIERTO AL REVES OCTAVOS</t>
  </si>
  <si>
    <t>Ordenado x nº de veces (las 3columnas)</t>
  </si>
  <si>
    <t>Selección partido</t>
  </si>
  <si>
    <t>1x2</t>
  </si>
  <si>
    <t>con filtro</t>
  </si>
  <si>
    <t>Sin filtro de "no predicho)</t>
  </si>
  <si>
    <t>listado con filtro</t>
  </si>
  <si>
    <t>listado sin filtro</t>
  </si>
  <si>
    <t>DADOS LA VUELTA</t>
  </si>
  <si>
    <t>stats f5 dado la vuelta</t>
  </si>
  <si>
    <t>Ac</t>
  </si>
  <si>
    <t>Curazao</t>
  </si>
  <si>
    <t>Curaçao</t>
  </si>
  <si>
    <t>Haití</t>
  </si>
  <si>
    <t>Haiti</t>
  </si>
  <si>
    <t>Panamá</t>
  </si>
  <si>
    <t>Panama</t>
  </si>
  <si>
    <t>🇨🇼</t>
  </si>
  <si>
    <t>🇭🇹</t>
  </si>
  <si>
    <t>🇵🇦</t>
  </si>
  <si>
    <t>¿Hay equipos penalizados?</t>
  </si>
  <si>
    <t>Are there penalized teams?</t>
  </si>
  <si>
    <t>Esta versión es para un maximo de 5 participantes. Puedes descargar versiones para más participantes desde el enlace de abajo</t>
  </si>
  <si>
    <t>This version is for a maximum of 5 participants. You can download versions for more participants from the link below</t>
  </si>
  <si>
    <t>% Ajuste por desvío en Diferencia/Distancia de goles</t>
  </si>
  <si>
    <t>Escribe el jugador Bota de Oro</t>
  </si>
  <si>
    <t>Escribe el jugador Bota de Plata</t>
  </si>
  <si>
    <t>Escribe el jugador Bota de Bronce</t>
  </si>
  <si>
    <t>Escribe el jugador Balón de Oro</t>
  </si>
  <si>
    <t>Escribe el jugador Balón de Plata</t>
  </si>
  <si>
    <t>Escribe el jugador Balón de Bronce</t>
  </si>
  <si>
    <t>Write the Golden Boot player</t>
  </si>
  <si>
    <t>Bronze Ball (3rd Best Player))</t>
  </si>
  <si>
    <t>Write the Bronze Ball player</t>
  </si>
  <si>
    <t>Write the Silver Boot player</t>
  </si>
  <si>
    <t>Write the Bronze Boot player</t>
  </si>
  <si>
    <t>Write the Golden Ball player</t>
  </si>
  <si>
    <t>Write the Silver Ball player</t>
  </si>
  <si>
    <t>nuevas (Y)</t>
  </si>
  <si>
    <t>nuevas (Z)</t>
  </si>
  <si>
    <t>Emiratos Árabes Unidos</t>
  </si>
  <si>
    <t>United Arab Emirates</t>
  </si>
  <si>
    <t>Irak</t>
  </si>
  <si>
    <t>Iraq</t>
  </si>
  <si>
    <t>🇮🇶</t>
  </si>
  <si>
    <t>🇦🇪</t>
  </si>
  <si>
    <t>signoinv</t>
  </si>
  <si>
    <t>resultadoinv</t>
  </si>
  <si>
    <t>partidoinv</t>
  </si>
  <si>
    <t>Gol loinv</t>
  </si>
  <si>
    <t>golvisinv</t>
  </si>
  <si>
    <t>FASE DE GRUPOS - Diferencia/Distancia de goles (Con 1X2 acertado)</t>
  </si>
  <si>
    <t>DIECISEISAVOS - Diferencia/Distancia de goles (Con 1X2 acertado)</t>
  </si>
  <si>
    <t>OCTAVOS -Diferencia/Distancia de goles (Con 1X2 acertado)</t>
  </si>
  <si>
    <t>CUARTOS -Diferencia/Distancia de goles (Con 1X2 acertado)</t>
  </si>
  <si>
    <t>SEMIFINALES -Diferencia/Distancia de goles (Con 1X2 acertado)</t>
  </si>
  <si>
    <t>3ºy4º PUESTO - Diferencia/Distancia de goles (Con 1X2 acertado)</t>
  </si>
  <si>
    <t>FINAL - Diferencia/Distancia de goles (Con 1X2 acertado)</t>
  </si>
  <si>
    <t>Admin</t>
  </si>
  <si>
    <t>FASE DE GRUPOS - Signo 1X2 (local, empate, visitante)</t>
  </si>
  <si>
    <t>GROUP STAGE- 1X2 (home, draw, away)</t>
  </si>
  <si>
    <t>% Goal difference/distance desviation adjustment</t>
  </si>
  <si>
    <t>días para que acabe el Mundial 2026</t>
  </si>
  <si>
    <t>days left until the end of World Cup 2026</t>
  </si>
  <si>
    <t>del Mundial 2026</t>
  </si>
  <si>
    <t>días para que empiece el Mundial 2026</t>
  </si>
  <si>
    <t>1/8s</t>
  </si>
  <si>
    <t>1/16s</t>
  </si>
  <si>
    <t>1/4s</t>
  </si>
  <si>
    <t>1/2s</t>
  </si>
  <si>
    <t>days left until the 2026 World Cup starts</t>
  </si>
  <si>
    <t>Bolivia</t>
  </si>
  <si>
    <t>🇧🇴</t>
  </si>
  <si>
    <t>Surinam</t>
  </si>
  <si>
    <t>Suriname</t>
  </si>
  <si>
    <t>🇸🇷</t>
  </si>
  <si>
    <t>Select Nation</t>
  </si>
  <si>
    <t>ESP</t>
  </si>
  <si>
    <t>ENG</t>
  </si>
  <si>
    <t>Irán/Iran</t>
  </si>
  <si>
    <t>ID</t>
  </si>
  <si>
    <t>Emiratos Árabes Unidos/United Arab Emirates</t>
  </si>
  <si>
    <t>Bolivia/Bolivia</t>
  </si>
  <si>
    <t>Surinam/Suriname</t>
  </si>
  <si>
    <t>Otro/Other</t>
  </si>
  <si>
    <t>Emoji (mac)</t>
  </si>
  <si>
    <t>Flag image (Windows)</t>
  </si>
  <si>
    <t>Time (UTC)</t>
  </si>
  <si>
    <t>Write the nation</t>
  </si>
  <si>
    <t>Flag emoji (mac)</t>
  </si>
  <si>
    <t>Si Irán no participa en el mundial y le sustituye otra selección, selecciona el país sustituto en el desplegable. Si no aparece, elige 'Otro' e ingresa manualmente el nombre (español e inglés), su zona UTC y, opcionalmente, la imagen de su bandera.</t>
  </si>
  <si>
    <t>If Iran doesn't participate in the World Cup and is replaced by another team, select the substitute nation from the dropdown menu. If it doesn't appear, choose 'Other' and manually enter the name (Spanish and English), its UTC zone and, optionally, its flag image.</t>
  </si>
  <si>
    <t>Select Time (UTC)</t>
  </si>
  <si>
    <t>Normal</t>
  </si>
  <si>
    <t>No cuenta el partido contra el último</t>
  </si>
  <si>
    <t>Matches against the bottom team are excluded.</t>
  </si>
  <si>
    <t>Media por partido</t>
  </si>
  <si>
    <t>Average per match</t>
  </si>
  <si>
    <t>Selecciona criterio:</t>
  </si>
  <si>
    <t>Select criteria:</t>
  </si>
  <si>
    <t>Participa</t>
  </si>
  <si>
    <t>Pos0</t>
  </si>
  <si>
    <t>Empate0</t>
  </si>
  <si>
    <t>m</t>
  </si>
  <si>
    <t>a</t>
  </si>
  <si>
    <t>t</t>
  </si>
  <si>
    <t>e</t>
  </si>
  <si>
    <t>j</t>
  </si>
  <si>
    <t>r</t>
  </si>
  <si>
    <t>o</t>
  </si>
  <si>
    <t>https://matejero.es/puntuaciones-excel-mundial-2026/#%C2%BFQue_es_y_como_funciona_el_ajuste_por_desvio_en_diferenciadistancia_de_goles</t>
  </si>
  <si>
    <t>**¿Qué es esto y cómo funciona?</t>
  </si>
  <si>
    <t>**What it is and how it works?</t>
  </si>
  <si>
    <t>https://matejero.es/puntuaciones-excel-mundial-2026/</t>
  </si>
  <si>
    <t>Regla* (Click para ver la explicación)</t>
  </si>
  <si>
    <t>Rule* (Click for explanation)</t>
  </si>
  <si>
    <t>?</t>
  </si>
  <si>
    <t>https://matejero.es/puntuaciones-excel-mundial-2026/#%C2%BFQue_es_un_BONUS</t>
  </si>
  <si>
    <t>Suecia</t>
  </si>
  <si>
    <t>Sweden</t>
  </si>
  <si>
    <t>Turquía</t>
  </si>
  <si>
    <t>Turkey</t>
  </si>
  <si>
    <t>🇸🇪</t>
  </si>
  <si>
    <t>🇹🇷</t>
  </si>
  <si>
    <t>RD Congo</t>
  </si>
  <si>
    <t>DR Congo</t>
  </si>
  <si>
    <t>Bosnia y Herzegovina</t>
  </si>
  <si>
    <t>Bosnia and Herzegovina</t>
  </si>
  <si>
    <t>República Checa</t>
  </si>
  <si>
    <t>Czech Republic</t>
  </si>
  <si>
    <t>🇨🇩</t>
  </si>
  <si>
    <t>🇧🇦</t>
  </si>
  <si>
    <t>🇨🇿</t>
  </si>
  <si>
    <t>Escribe la selección</t>
  </si>
  <si>
    <t>· Select the language and time zone</t>
  </si>
  <si>
    <t>· Las eliminatorias se establecen de forma automática</t>
  </si>
  <si>
    <t>· Playoffs are set automatically</t>
  </si>
  <si>
    <t>· Rellena los resultados de las fases eliminatorias. En caso de empate, se abren dos celdas a los lados para poner el resultado de los penaltis</t>
  </si>
  <si>
    <t>· Fill in the results of the knockout stages. In the event of a tie, two cells are opened on the sides to introduce the result of the penalties</t>
  </si>
  <si>
    <t>· Las instrucciones de uso de esta hoja se encuentran en la misma hoja</t>
  </si>
  <si>
    <t>· The instructions for use of this sheet are on the same sheet</t>
  </si>
  <si>
    <t>Escribe el nombre del grupo</t>
  </si>
  <si>
    <t>Write the name of the group</t>
  </si>
  <si>
    <t>· Escribe el nombre del grupo de la porra/quiniela</t>
  </si>
  <si>
    <t>· Write the pool's group name</t>
  </si>
  <si>
    <t>https://matejero.es/download/excel-mundial-2026/</t>
  </si>
  <si>
    <t>https://matejero.com/download/excel-world-cup-2026/</t>
  </si>
  <si>
    <t>· El archivo de participante lo puedes descargar desde aquí</t>
  </si>
  <si>
    <t>· You can download the participant file frome here</t>
  </si>
  <si>
    <t>· En caso de empate en la posición de un grupo o en los mejores terceros, selcciona el orden de los empatados</t>
  </si>
  <si>
    <t>· In case of a tie in the position of a group or in the best third-placed teams, select the order of the drawed nations</t>
  </si>
  <si>
    <t>· Rellenar los mejores jugadores y los máximos goleadores</t>
  </si>
  <si>
    <t>· Fill in the best players and top scorers</t>
  </si>
  <si>
    <t>· Esta hoja sirve para administrar la porra/quiniela</t>
  </si>
  <si>
    <t>· This sheet is used to manage the tournament pool</t>
  </si>
  <si>
    <t>· First, set the points for each criterion and share the scoring with the participants</t>
  </si>
  <si>
    <t>· Aquí explicamos cada criterio de puntuación</t>
  </si>
  <si>
    <t>· Lo primero, establece la puntuación para cada criterio y comparte la puntuación con los participantes</t>
  </si>
  <si>
    <t>· Cuando empiece el mundial, rellena los cuadros grises con los resultados reales de la fase de grupos</t>
  </si>
  <si>
    <t>(Antes de empezar el mundial)</t>
  </si>
  <si>
    <t>(Before the World Cup starts)</t>
  </si>
  <si>
    <t>(Una vez ha empezado el mundial)</t>
  </si>
  <si>
    <t>(Once the World Cup has started)</t>
  </si>
  <si>
    <t>DailyPrediction</t>
  </si>
  <si>
    <t>· This sheet shows a view of all the results entered in the WORLDCUP sheet, nothing is filled in on this sheet</t>
  </si>
  <si>
    <t>· When the World Cup begins, fill in the gray boxes with the real group stage results</t>
  </si>
  <si>
    <t>· Once all picks are in, select the number of players on the ADMIN sheet</t>
  </si>
  <si>
    <t>· Once participants send their file, copy their picks from the 'Pool' tab into this ADMIN tab</t>
  </si>
  <si>
    <t>· Here’s an explanation of each scoring rule</t>
  </si>
  <si>
    <t>· Cuando los participantes te envíen su archivo, copia sus pronósticos de la hoja “Pool”, en esta hoja ADMIN</t>
  </si>
  <si>
    <t>· Cuando tengas todos los pronósticos, selecciona el número de jugadores en la hoja ADMIN</t>
  </si>
  <si>
    <t>· En esta hoja se muestran de un vistazo todos los resultados introducidos en la hoja WORLDCUP, en esta hoja no se rellena nada</t>
  </si>
  <si>
    <t>· Esta hoja permite filtrar los pronósticos por día de la fase de grupos o por eliminatoria.</t>
  </si>
  <si>
    <t>DailyClas</t>
  </si>
  <si>
    <t xml:space="preserve"> · Aquí puedes ver la clasificación del dia/ronda seleccionado en la hoja "DailyPredcition"</t>
  </si>
  <si>
    <t>· Here you can see the standings for the day/round selected on the "DailyPrediction" sheet</t>
  </si>
  <si>
    <t>· Use this sheet to filter predictions by group stage day or knockout round</t>
  </si>
  <si>
    <t>· En estas hoja podrás ver diferentes estadísticas generales y por partido</t>
  </si>
  <si>
    <t>· A version of Excel later than 2021 is required to view these correctly.</t>
  </si>
  <si>
    <t>· Para verlas correctamente necesitas una versión posterior a excel 2021</t>
  </si>
  <si>
    <t>· On this sheet, you can view various overall and per-game statistics.</t>
  </si>
  <si>
    <t xml:space="preserve">· En esta hoja puedes ver de un vistazo el cuadro del mundial </t>
  </si>
  <si>
    <t>· On this sheet, you can see the World Cup bracket at a glance</t>
  </si>
  <si>
    <t>· En esta hoja se puede ver la clasificación general según se vayan introduciendo los resultados de los partidos</t>
  </si>
  <si>
    <t>· The overall standings will be updated on this sheet as match results are entered</t>
  </si>
  <si>
    <t>NombreGrupo</t>
  </si>
  <si>
    <t>GroupName</t>
  </si>
  <si>
    <t>Esta esta solo en admin para calculo de fechas en prediccion y clas diaria</t>
  </si>
  <si>
    <t>Credits</t>
  </si>
  <si>
    <t>Group stage chart only</t>
  </si>
  <si>
    <t>Gráfico solo en fase de grupos</t>
  </si>
  <si>
    <t>Borrar</t>
  </si>
  <si>
    <t>home</t>
  </si>
  <si>
    <t>WORLD CUP IN PROGRESS</t>
  </si>
  <si>
    <t>MUNDIAL EN CURSO</t>
  </si>
  <si>
    <t>MUNDIAL FINALIZADO</t>
  </si>
  <si>
    <t>WORLD CUP FINISHED</t>
  </si>
  <si>
    <t>Todavía hay emoción</t>
  </si>
  <si>
    <t>The race is still on</t>
  </si>
  <si>
    <t>¿Quién habrá ganado?</t>
  </si>
  <si>
    <t>Who has won the pool?</t>
  </si>
  <si>
    <t>CLAS</t>
  </si>
  <si>
    <t>https://matejero.com/scoring-system-excel-world-cup-2026/</t>
  </si>
  <si>
    <t>· Selecciona el idioma en el que quieras hacer la porra y la zona horaria</t>
  </si>
  <si>
    <t>https://matejero.com/faq-world-cup-2026-excel-predictor/</t>
  </si>
  <si>
    <t>https://matejero.es/faq-porra-mundial-2026-excel/</t>
  </si>
  <si>
    <t>https://matejero.es/administrador-excel-mundial-2026/</t>
  </si>
  <si>
    <t>https://matejero.com/world-cup-excel-administrator-2026/</t>
  </si>
  <si>
    <t>Selecciona un partido de hoy:↗</t>
  </si>
  <si>
    <t>Select a match from today:↗</t>
  </si>
  <si>
    <t>Pegar Valores Nombre J</t>
  </si>
  <si>
    <t>Paste Values Name P</t>
  </si>
  <si>
    <t>None</t>
  </si>
  <si>
    <t>https://matejero.com/scoring-system-excel-world-cup-2026/#What_is_a_BONUS</t>
  </si>
  <si>
    <t>https://matejero.com/scoring-system-excel-world-cup-2026/#What_is_the_goal_differencedistance_deviation_adjustment_and_how_does_it_work</t>
  </si>
  <si>
    <t>COPIAR Y PEGAR FORMULAS A LA DERECHA DESDE EL 1</t>
  </si>
  <si>
    <t>Beta</t>
  </si>
  <si>
    <t>Para que calcule bien las estadísticas, en la hoja ADMIN selecciona el nº de participantes que sois exactamente, si no algunas estádísticas pueden ser incorrectas</t>
  </si>
  <si>
    <t>Stat</t>
  </si>
  <si>
    <t>List</t>
  </si>
  <si>
    <t>DESREF(Equipos!$Q$40;0;0;SUMAPRODUCTO((NO(ESERROR(Equipos!$Q$40:$Q$63)))*(Equipos!$Q$40:$Q$63&lt;&gt;"")))</t>
  </si>
  <si>
    <t>Sistema de puntuación</t>
  </si>
  <si>
    <t>Scoring system</t>
  </si>
  <si>
    <r>
      <t xml:space="preserve">·Si haceis todo el Mundial de golpe, </t>
    </r>
    <r>
      <rPr>
        <b/>
        <sz val="11"/>
        <color theme="0"/>
        <rFont val="Calibri"/>
        <family val="2"/>
        <scheme val="minor"/>
      </rPr>
      <t>incluido el predictor</t>
    </r>
    <r>
      <rPr>
        <sz val="11"/>
        <color theme="0"/>
        <rFont val="Calibri"/>
        <family val="2"/>
        <scheme val="minor"/>
      </rPr>
      <t xml:space="preserve">, copiar de la </t>
    </r>
    <r>
      <rPr>
        <b/>
        <sz val="11"/>
        <color theme="0"/>
        <rFont val="Calibri"/>
        <family val="2"/>
        <scheme val="minor"/>
      </rPr>
      <t xml:space="preserve">C5 a la C308 </t>
    </r>
    <r>
      <rPr>
        <sz val="11"/>
        <color theme="0"/>
        <rFont val="Calibri"/>
        <family val="2"/>
        <scheme val="minor"/>
      </rPr>
      <t>y pegar valores en la plantilla de Administrador.</t>
    </r>
  </si>
  <si>
    <t>México-Sudáfrica</t>
  </si>
  <si>
    <t>Excel World Cup 2026</t>
  </si>
  <si>
    <t>HK WK Poule</t>
  </si>
  <si>
    <t xml:space="preserve">Ruben Esseling </t>
  </si>
  <si>
    <t>1|3-2</t>
  </si>
  <si>
    <t>X|2-2</t>
  </si>
  <si>
    <t>1|4-1</t>
  </si>
  <si>
    <t>2|2-3</t>
  </si>
  <si>
    <t>1|4-0</t>
  </si>
  <si>
    <t>2|0-3</t>
  </si>
  <si>
    <t>1|3-1</t>
  </si>
  <si>
    <t>1|2-0</t>
  </si>
  <si>
    <t>2|1-4</t>
  </si>
  <si>
    <t>1|5-1</t>
  </si>
  <si>
    <t>2|1-2</t>
  </si>
  <si>
    <t>1|2-1</t>
  </si>
  <si>
    <t>2|1-3</t>
  </si>
  <si>
    <t>1|4-2</t>
  </si>
  <si>
    <t>X|1-1</t>
  </si>
  <si>
    <t>1|3-0</t>
  </si>
  <si>
    <t>1|1-0</t>
  </si>
  <si>
    <t>2|0-2</t>
  </si>
  <si>
    <t>2|2-5</t>
  </si>
  <si>
    <t>South Korea-Qatar·1|2-1</t>
  </si>
  <si>
    <t>Brazil-Sweden·1|4-1</t>
  </si>
  <si>
    <t>Germany-Japan·1|2-1</t>
  </si>
  <si>
    <t>Netherlands-Scotland·2|1-2</t>
  </si>
  <si>
    <t>Ecuador-France·2|2-3</t>
  </si>
  <si>
    <t>Senegal-Egypt·1|1-0</t>
  </si>
  <si>
    <t>Mexico-Ivory Coast·1|2-0</t>
  </si>
  <si>
    <t>England-Norway·1|2-1</t>
  </si>
  <si>
    <t>New Zealand-Czech Republic·1|1-0</t>
  </si>
  <si>
    <t>United States-Canada·1|2-1</t>
  </si>
  <si>
    <t>Spain-Jordan·1|3-0</t>
  </si>
  <si>
    <t>Uzbekistan-Ghana·1|2-1</t>
  </si>
  <si>
    <t>Switzerland-Algeria·1|2-0</t>
  </si>
  <si>
    <t>Australia-Belgium·2|1-2</t>
  </si>
  <si>
    <t>Argentina-Saudi Arabia·2|1-3</t>
  </si>
  <si>
    <t>Colombia-Panama·2|1-2</t>
  </si>
  <si>
    <t>South Korea-Scotland·1|2-1</t>
  </si>
  <si>
    <t>Germany-Senegal·1|4-3</t>
  </si>
  <si>
    <t>Brazil-France·1|3-2</t>
  </si>
  <si>
    <t>Mexico-England·2|1-2</t>
  </si>
  <si>
    <t>Uzbekistan-Spain·2|1-3</t>
  </si>
  <si>
    <t>United States-New Zealand·1|3-1</t>
  </si>
  <si>
    <t>Saudi Arabia-Belgium·2|1-2</t>
  </si>
  <si>
    <t>Switzerland-Panama·1|2-0</t>
  </si>
  <si>
    <t>Germany-South Korea·1|1-0</t>
  </si>
  <si>
    <t>Spain-United States·1|3-2</t>
  </si>
  <si>
    <t>Brazil-England·1|4-2</t>
  </si>
  <si>
    <t>Belgium-Switzerland·2|1-2</t>
  </si>
  <si>
    <t>Germany-Spain·2|3-4</t>
  </si>
  <si>
    <t>Brazil-Switzerland·2|1-2</t>
  </si>
  <si>
    <t>Germany-Brazil·2|1-3</t>
  </si>
  <si>
    <t>Spain-Switzerland·1|3-1</t>
  </si>
  <si>
    <t>harry kane</t>
  </si>
  <si>
    <t>Julian alvarez</t>
  </si>
  <si>
    <t>erling haaland</t>
  </si>
  <si>
    <t>vinicius junior</t>
  </si>
  <si>
    <t>lamine yamal</t>
  </si>
  <si>
    <t>Kasper Braamskamp</t>
  </si>
  <si>
    <t>2|0-1</t>
  </si>
  <si>
    <t>South Africa-Bosnia and Herzegovina·2|0-2</t>
  </si>
  <si>
    <t>Brazil-Sweden·1|2-1</t>
  </si>
  <si>
    <t>Germany-Scotland·1|3-0</t>
  </si>
  <si>
    <t>Netherlands-Morocco·1|3-1</t>
  </si>
  <si>
    <t>Ecuador-Norway·2|0-2</t>
  </si>
  <si>
    <t>France-Australia·1|2-0</t>
  </si>
  <si>
    <t>Mexico-Saudi Arabia·1|3-1</t>
  </si>
  <si>
    <t>Croatia-DR Congo·1|3-0</t>
  </si>
  <si>
    <t>Belgium-South Korea·X|2-2</t>
  </si>
  <si>
    <t>United States-Senegal·1|2-0</t>
  </si>
  <si>
    <t>Spain-Austria·1|3-2</t>
  </si>
  <si>
    <t>Portugal-England·X|2-2</t>
  </si>
  <si>
    <t>Switzerland-Japan·X|1-1</t>
  </si>
  <si>
    <t>Turkey-New Zealand·1|2-0</t>
  </si>
  <si>
    <t>Argentina-Uruguay·1|3-1</t>
  </si>
  <si>
    <t>Colombia-Ghana·2|1-2</t>
  </si>
  <si>
    <t>Bosnia and Herzegovina-Netherlands·2|0-2</t>
  </si>
  <si>
    <t>Germany-France·2|2-3</t>
  </si>
  <si>
    <t>Brazil-Norway·X|1-1</t>
  </si>
  <si>
    <t>Mexico-Croatia·2|2-3</t>
  </si>
  <si>
    <t>Portugal-Spain·2|2-3</t>
  </si>
  <si>
    <t>United States-Belgium·2|1-3</t>
  </si>
  <si>
    <t>Argentina-Turkey·1|2-0</t>
  </si>
  <si>
    <t>Switzerland-Ghana·1|3-1</t>
  </si>
  <si>
    <t>France-Netherlands·X|2-2</t>
  </si>
  <si>
    <t>Spain-Belgium·1|3-2</t>
  </si>
  <si>
    <t>Norway-Croatia·X|1-1</t>
  </si>
  <si>
    <t>Argentina-Switzerland·1|2-0</t>
  </si>
  <si>
    <t>Netherlands-Spain·1|2-1</t>
  </si>
  <si>
    <t>Croatia-Argentina·2|2-3</t>
  </si>
  <si>
    <t>Spain-Croatia·X|2-2</t>
  </si>
  <si>
    <t>Netherlands-Argentina·X|2-2</t>
  </si>
  <si>
    <t>Lamine Yamal</t>
  </si>
  <si>
    <t>Kylian Mbappé</t>
  </si>
  <si>
    <t>Cody Gakpo</t>
  </si>
  <si>
    <t>Erling Haaland</t>
  </si>
  <si>
    <t>Stefan Kempers</t>
  </si>
  <si>
    <t>Czech Republic-Canada·1|2-1</t>
  </si>
  <si>
    <t>Brazil-Japan·1|3-0</t>
  </si>
  <si>
    <t>Germany-Paraguay·1|2-1</t>
  </si>
  <si>
    <t>Netherlands-Morocco·1|2-0</t>
  </si>
  <si>
    <t>Ecuador-Norway·1|3-1</t>
  </si>
  <si>
    <t>France-Iran·2|1-2</t>
  </si>
  <si>
    <t>England-DR Congo·1|2-0</t>
  </si>
  <si>
    <t>Belgium-Cape Verde·1|2-1</t>
  </si>
  <si>
    <t>United States-Bosnia and Herzegovina·1|3-0</t>
  </si>
  <si>
    <t>Spain-Austria·2|0-1</t>
  </si>
  <si>
    <t>Colombia-Croatia·1|3-1</t>
  </si>
  <si>
    <t>Turkey-Egypt·1|2-1</t>
  </si>
  <si>
    <t>Argentina-Uruguay·1|2-0</t>
  </si>
  <si>
    <t>Portugal-Ghana·1|1-0</t>
  </si>
  <si>
    <t>Czech Republic-Netherlands·2|1-2</t>
  </si>
  <si>
    <t>Germany-Iran·2|1-2</t>
  </si>
  <si>
    <t>Brazil-Ecuador·1|2-1</t>
  </si>
  <si>
    <t>Colombia-Austria·2|0-2</t>
  </si>
  <si>
    <t>United States-Belgium·2|1-2</t>
  </si>
  <si>
    <t>Argentina-Turkey·2|0-2</t>
  </si>
  <si>
    <t>Switzerland-Portugal·2|0-2</t>
  </si>
  <si>
    <t>Iran-Netherlands·1|2-1</t>
  </si>
  <si>
    <t>Austria-Belgium·1|2-1</t>
  </si>
  <si>
    <t>Brazil-England·1|2-1</t>
  </si>
  <si>
    <t>Turkey-Portugal·2|1-2</t>
  </si>
  <si>
    <t>Iran-Austria·1|2-1</t>
  </si>
  <si>
    <t>Brazil-Portugal·1|2-1</t>
  </si>
  <si>
    <t>Austria-Portugal·1|2-1</t>
  </si>
  <si>
    <t>Iran-Brazil·1|2-1</t>
  </si>
  <si>
    <t>Harry Kane</t>
  </si>
  <si>
    <t>Vinícius Júnior</t>
  </si>
  <si>
    <t>Mart-Jan aan het Rot</t>
  </si>
  <si>
    <t>Mexico-Canada·X|1-1</t>
  </si>
  <si>
    <t>Brazil-Japan·1|3-1</t>
  </si>
  <si>
    <t>Germany-Scotland·1|2-1</t>
  </si>
  <si>
    <t>Netherlands-Morocco·1|2-1</t>
  </si>
  <si>
    <t>France-Iran·1|3-0</t>
  </si>
  <si>
    <t>South Korea-Ivory Coast·2|1-2</t>
  </si>
  <si>
    <t>England-Senegal·1|3-1</t>
  </si>
  <si>
    <t>Belgium-Czech Republic·1|2-1</t>
  </si>
  <si>
    <t>United States-Bosnia and Herzegovina·X|1-1</t>
  </si>
  <si>
    <t>Spain-Austria·1|3-1</t>
  </si>
  <si>
    <t>Colombia-Croatia·1|2-1</t>
  </si>
  <si>
    <t>Switzerland-Algeria·1|2-1</t>
  </si>
  <si>
    <t>Turkey-Egypt·1|1-0</t>
  </si>
  <si>
    <t>Argentina-Uruguay·1|3-2</t>
  </si>
  <si>
    <t>Portugal-Ghana·1|3-1</t>
  </si>
  <si>
    <t>Canada-Netherlands·2|1-2</t>
  </si>
  <si>
    <t>Germany-France·2|1-3</t>
  </si>
  <si>
    <t>Brazil-Norway·1|3-1</t>
  </si>
  <si>
    <t>Ivory Coast-England·2|0-2</t>
  </si>
  <si>
    <t>Colombia-Spain·2|0-2</t>
  </si>
  <si>
    <t>United States-Belgium·2|0-1</t>
  </si>
  <si>
    <t>Argentina-Turkey·1|3-1</t>
  </si>
  <si>
    <t>Switzerland-Portugal·2|0-1</t>
  </si>
  <si>
    <t>France-Netherlands·1|2-1</t>
  </si>
  <si>
    <t>Spain-Belgium·1|2-1</t>
  </si>
  <si>
    <t>Brazil-England·X|2-2</t>
  </si>
  <si>
    <t>Argentina-Portugal·1|2-1</t>
  </si>
  <si>
    <t>France-Spain·1|2-1</t>
  </si>
  <si>
    <t>Brazil-Argentina·2|1-2</t>
  </si>
  <si>
    <t>Spain-Brazil·1|2-1</t>
  </si>
  <si>
    <t>France-Argentina·1|2-1</t>
  </si>
  <si>
    <t>Mbappe</t>
  </si>
  <si>
    <t>Kane</t>
  </si>
  <si>
    <t>Alvarez</t>
  </si>
  <si>
    <t>Bruno Fernandes</t>
  </si>
  <si>
    <t>Julian Roes</t>
  </si>
  <si>
    <t>2|0-4</t>
  </si>
  <si>
    <t>South Korea-Canada·2|0-1</t>
  </si>
  <si>
    <t>Ecuador-Norway·2|0-1</t>
  </si>
  <si>
    <t>France-Japan·1|3-0</t>
  </si>
  <si>
    <t>Mexico-Saudi Arabia·1|2-0</t>
  </si>
  <si>
    <t>England-Senegal·1|2-0</t>
  </si>
  <si>
    <t>Belgium-Czech Republic·1|2-0</t>
  </si>
  <si>
    <t>United States-Ivory Coast·1|2-1</t>
  </si>
  <si>
    <t>Spain-Austria·1|2-0</t>
  </si>
  <si>
    <t>Colombia-Croatia·2|1-2</t>
  </si>
  <si>
    <t>Portugal-Ghana·1|2-0</t>
  </si>
  <si>
    <t>Germany-France·2|1-2</t>
  </si>
  <si>
    <t>Brazil-Norway·1|2-1</t>
  </si>
  <si>
    <t>Mexico-England·2|0-2</t>
  </si>
  <si>
    <t>Croatia-Spain·2|1-2</t>
  </si>
  <si>
    <t>Spain-Belgium·1|2-0</t>
  </si>
  <si>
    <t>Brazil-England·2|1-2</t>
  </si>
  <si>
    <t>Argentina-Portugal·2|0-1</t>
  </si>
  <si>
    <t>England-Portugal·2|1-2</t>
  </si>
  <si>
    <t>Spain-England·1|2-0</t>
  </si>
  <si>
    <t>France-Portugal·1|2-1</t>
  </si>
  <si>
    <t>Ousmane Dembélé</t>
  </si>
  <si>
    <t>Ruben van Wamelen</t>
  </si>
  <si>
    <t>1|7-0</t>
  </si>
  <si>
    <t>1|8-0</t>
  </si>
  <si>
    <t>2|0-5</t>
  </si>
  <si>
    <t>1|5-0</t>
  </si>
  <si>
    <t>X|0-0</t>
  </si>
  <si>
    <t>South Korea-Bosnia and Herzegovina·1|2-1</t>
  </si>
  <si>
    <t>Brazil-Sweden·1|3-1</t>
  </si>
  <si>
    <t>Germany-Australia·1|4-0</t>
  </si>
  <si>
    <t>Ecuador-Senegal·X|0-0</t>
  </si>
  <si>
    <t>France-Japan·1|2-0</t>
  </si>
  <si>
    <t>Mexico-Scotland·1|2-0</t>
  </si>
  <si>
    <t>England-DR Congo·1|3-1</t>
  </si>
  <si>
    <t>Belgium-Norway·1|2-1</t>
  </si>
  <si>
    <t>Turkey-Ivory Coast·2|0-1</t>
  </si>
  <si>
    <t>Spain-Algeria·1|3-0</t>
  </si>
  <si>
    <t>Colombia-Croatia·2|0-2</t>
  </si>
  <si>
    <t>Switzerland-Austria·2|1-2</t>
  </si>
  <si>
    <t>United States-Egypt·1|1-0</t>
  </si>
  <si>
    <t>Portugal-Ghana·1|3-0</t>
  </si>
  <si>
    <t>South Korea-Netherlands·2|0-2</t>
  </si>
  <si>
    <t>Germany-France·1|2-1</t>
  </si>
  <si>
    <t>Brazil-Ecuador·1|3-1</t>
  </si>
  <si>
    <t>Croatia-Spain·2|1-3</t>
  </si>
  <si>
    <t>Ivory Coast-Belgium·2|0-2</t>
  </si>
  <si>
    <t>Argentina-United States·1|4-0</t>
  </si>
  <si>
    <t>Austria-Portugal·2|0-2</t>
  </si>
  <si>
    <t>Germany-Netherlands·1|2-1</t>
  </si>
  <si>
    <t>Germany-Spain·2|0-1</t>
  </si>
  <si>
    <t>Germany-Portugal·2|1-2</t>
  </si>
  <si>
    <t>Spain-Brazil·1|1-0</t>
  </si>
  <si>
    <t>Kylian Mbappe</t>
  </si>
  <si>
    <t>Vinicius Junior</t>
  </si>
  <si>
    <t>Niels Tomesen</t>
  </si>
  <si>
    <t>Czech Republic-Switzerland·2|1-2</t>
  </si>
  <si>
    <t>Germany-Mexico·1|3-2</t>
  </si>
  <si>
    <t>Curaçao-Norway·2|0-1</t>
  </si>
  <si>
    <t>France-Japan·1|3-1</t>
  </si>
  <si>
    <t>South Korea-Ecuador·1|1-0</t>
  </si>
  <si>
    <t>England-Uzbekistan·1|2-0</t>
  </si>
  <si>
    <t>Belgium-Senegal·1|3-1</t>
  </si>
  <si>
    <t>United States-Qatar·1|1-0</t>
  </si>
  <si>
    <t>Spain-Austria·1|2-1</t>
  </si>
  <si>
    <t>Colombia-Croatia·2|0-1</t>
  </si>
  <si>
    <t>Canada-New Zealand·1|1-0</t>
  </si>
  <si>
    <t>Australia-Iran·1|2-0</t>
  </si>
  <si>
    <t>Argentina-Uruguay·1|2-1</t>
  </si>
  <si>
    <t>Portugal-Panama·1|2-1</t>
  </si>
  <si>
    <t>Switzerland-Netherlands·2|0-1</t>
  </si>
  <si>
    <t>Brazil-Norway·1|2-0</t>
  </si>
  <si>
    <t>South Korea-England·2|0-2</t>
  </si>
  <si>
    <t>Argentina-Australia·1|2-1</t>
  </si>
  <si>
    <t>Canada-Portugal·2|0-1</t>
  </si>
  <si>
    <t>Brazil-England·1|1-0</t>
  </si>
  <si>
    <t>France-Spain·1|3-1</t>
  </si>
  <si>
    <t>Brazil-Argentina·1|2-0</t>
  </si>
  <si>
    <t>Spain-Argentina·1|2-0</t>
  </si>
  <si>
    <t>France-Brazil·1|1-0</t>
  </si>
  <si>
    <t>ousmane dembélé</t>
  </si>
  <si>
    <t>Floris Boel</t>
  </si>
  <si>
    <t>South Korea-Switzerland·1|2-1</t>
  </si>
  <si>
    <t>Brazil-Netherlands·1|3-1</t>
  </si>
  <si>
    <t>Germany-Turkey·2|1-2</t>
  </si>
  <si>
    <t>Japan-Morocco·1|2-1</t>
  </si>
  <si>
    <t>Ivory Coast-Senegal·2|1-2</t>
  </si>
  <si>
    <t>France-Egypt·1|2-1</t>
  </si>
  <si>
    <t>Mexico-Ecuador·1|2-1</t>
  </si>
  <si>
    <t>Ghana-DR Congo·X|2-2</t>
  </si>
  <si>
    <t>Iran-Czech Republic·1|1-0</t>
  </si>
  <si>
    <t>Paraguay-Bosnia and Herzegovina·1|1-0</t>
  </si>
  <si>
    <t>Uruguay-Argentina·1|2-1</t>
  </si>
  <si>
    <t>Portugal-England·1|2-1</t>
  </si>
  <si>
    <t>Canada-Austria·1|2-1</t>
  </si>
  <si>
    <t>United States-Belgium·1|2-1</t>
  </si>
  <si>
    <t>Algeria-Spain·X|2-2</t>
  </si>
  <si>
    <t>Colombia-Croatia·1|2-0</t>
  </si>
  <si>
    <t>South Korea-Japan·X|2-2</t>
  </si>
  <si>
    <t>Turkey-France·X|2-2</t>
  </si>
  <si>
    <t>Brazil-Senegal·2|1-2</t>
  </si>
  <si>
    <t>Mexico-DR Congo·1|2-1</t>
  </si>
  <si>
    <t>Portugal-Uruguay·1|2-1</t>
  </si>
  <si>
    <t>Paraguay-Iran·1|1-0</t>
  </si>
  <si>
    <t>Algeria-United States·1|2-1</t>
  </si>
  <si>
    <t>Canada-Colombia·1|2-1</t>
  </si>
  <si>
    <t>Turkey-South Korea·2|1-2</t>
  </si>
  <si>
    <t>Portugal-Paraguay·2|0-1</t>
  </si>
  <si>
    <t>Senegal-Mexico·1|2-1</t>
  </si>
  <si>
    <t>Algeria-Canada·1|3-2</t>
  </si>
  <si>
    <t>South Korea-Paraguay·2|0-1</t>
  </si>
  <si>
    <t>Senegal-Algeria·1|2-1</t>
  </si>
  <si>
    <t>South Korea-Algeria·1|2-1</t>
  </si>
  <si>
    <t>Paraguay-Senegal·2|1-2</t>
  </si>
  <si>
    <t>Sadio Mané</t>
  </si>
  <si>
    <t>Son Heung-min</t>
  </si>
  <si>
    <t>Raúl Jiménez</t>
  </si>
  <si>
    <t>Kalidou Koulibaly</t>
  </si>
  <si>
    <t>Gustavo Gómez</t>
  </si>
  <si>
    <t>Michael de Graaf</t>
  </si>
  <si>
    <t>Germany-Australia·1|3-0</t>
  </si>
  <si>
    <t>Netherlands-Morocco·1|3-2</t>
  </si>
  <si>
    <t>Ecuador-Senegal·2|1-2</t>
  </si>
  <si>
    <t>France-Sweden·1|2-0</t>
  </si>
  <si>
    <t>Mexico-Scotland·1|1-0</t>
  </si>
  <si>
    <t>Croatia-Algeria·1|3-0</t>
  </si>
  <si>
    <t>Belgium-South Korea·1|2-0</t>
  </si>
  <si>
    <t>United States-Switzerland·1|2-1</t>
  </si>
  <si>
    <t>Colombia-England·2|1-3</t>
  </si>
  <si>
    <t>Bosnia and Herzegovina-New Zealand·1|1-0</t>
  </si>
  <si>
    <t>Czech Republic-Netherlands·2|1-3</t>
  </si>
  <si>
    <t>Brazil-Senegal·1|3-0</t>
  </si>
  <si>
    <t>Mexico-Croatia·2|1-2</t>
  </si>
  <si>
    <t>England-Spain·2|0-2</t>
  </si>
  <si>
    <t>Bosnia and Herzegovina-Portugal·2|1-3</t>
  </si>
  <si>
    <t>France-Netherlands·2|1-2</t>
  </si>
  <si>
    <t>Brazil-Croatia·1|3-2</t>
  </si>
  <si>
    <t>Netherlands-Spain·1|3-2</t>
  </si>
  <si>
    <t>Brazil-Argentina·1|3-2</t>
  </si>
  <si>
    <t>Spain-Argentina·1|2-1</t>
  </si>
  <si>
    <t>Netherlands-Brazil·1|3-1</t>
  </si>
  <si>
    <t>Malen</t>
  </si>
  <si>
    <t>Yamal</t>
  </si>
  <si>
    <t>Pedri</t>
  </si>
  <si>
    <t>Bellingham</t>
  </si>
  <si>
    <t>Niels Besselink</t>
  </si>
  <si>
    <t>Mexico-Canada·1|2-1</t>
  </si>
  <si>
    <t>Germany-Morocco·1|5-0</t>
  </si>
  <si>
    <t>Netherlands-Scotland·1|2-1</t>
  </si>
  <si>
    <t>Ecuador-Norway·2|1-2</t>
  </si>
  <si>
    <t>France-Sweden·1|3-2</t>
  </si>
  <si>
    <t>Czech Republic-Saudi Arabia·1|2-1</t>
  </si>
  <si>
    <t>Croatia-Curaçao·2|0-1</t>
  </si>
  <si>
    <t>Belgium-South Korea·1|1-0</t>
  </si>
  <si>
    <t>Paraguay-Bosnia and Herzegovina·2|0-1</t>
  </si>
  <si>
    <t>Portugal-Ghana·2|0-1</t>
  </si>
  <si>
    <t>Switzerland-Egypt·1|1-0</t>
  </si>
  <si>
    <t>Turkey-New Zealand·2|1-2</t>
  </si>
  <si>
    <t>DR Congo-England·2|1-2</t>
  </si>
  <si>
    <t>Mexico-Netherlands·2|1-2</t>
  </si>
  <si>
    <t>Czech Republic-Curaçao·1|2-0</t>
  </si>
  <si>
    <t>Ghana-Spain·2|0-2</t>
  </si>
  <si>
    <t>Bosnia and Herzegovina-Belgium·2|1-2</t>
  </si>
  <si>
    <t>Argentina-New Zealand·1|2-0</t>
  </si>
  <si>
    <t>Switzerland-England·1|1-0</t>
  </si>
  <si>
    <t>Brazil-Czech Republic·1|1-0</t>
  </si>
  <si>
    <t>Argentina-Switzerland·2|0-1</t>
  </si>
  <si>
    <t>France-Spain·1|3-2</t>
  </si>
  <si>
    <t>Brazil-Switzerland·1|2-1</t>
  </si>
  <si>
    <t>Spain-Switzerland·1|1-0</t>
  </si>
  <si>
    <t>France-Brazil·1|3-2</t>
  </si>
  <si>
    <t>Bart Olde Keizer</t>
  </si>
  <si>
    <t>1|6-0</t>
  </si>
  <si>
    <t>Czech Republic-Bosnia and Herzegovina·1|3-1</t>
  </si>
  <si>
    <t>Brazil-Netherlands·1|3-2</t>
  </si>
  <si>
    <t>Germany-South Korea·1|3-1</t>
  </si>
  <si>
    <t>Sweden-Morocco·2|1-2</t>
  </si>
  <si>
    <t>France-Scotland·1|3-1</t>
  </si>
  <si>
    <t>Mexico-Ivory Coast·1|2-1</t>
  </si>
  <si>
    <t>England-DR Congo·1|1-0</t>
  </si>
  <si>
    <t>Belgium-Norway·1|2-0</t>
  </si>
  <si>
    <t>Turkey-Switzerland·1|3-1</t>
  </si>
  <si>
    <t>Canada-Egypt·1|2-1</t>
  </si>
  <si>
    <t>United States-New Zealand·1|3-0</t>
  </si>
  <si>
    <t>Portugal-Croatia·1|3-2</t>
  </si>
  <si>
    <t>Czech Republic-Morocco·2|1-2</t>
  </si>
  <si>
    <t>Germany-France·1|1-0</t>
  </si>
  <si>
    <t>Brazil-Senegal·1|1-0</t>
  </si>
  <si>
    <t>Mexico-England·2|0-1</t>
  </si>
  <si>
    <t>Ghana-Spain·2|0-1</t>
  </si>
  <si>
    <t>Turkey-Belgium·1|1-0</t>
  </si>
  <si>
    <t>Argentina-United States·2|0-1</t>
  </si>
  <si>
    <t>Germany-Morocco·1|1-0</t>
  </si>
  <si>
    <t>Spain-Turkey·1|1-0</t>
  </si>
  <si>
    <t>United States-Portugal·1|1-0</t>
  </si>
  <si>
    <t>Germany-Spain·1|1-0</t>
  </si>
  <si>
    <t>England-United States·2|0-1</t>
  </si>
  <si>
    <t>Spain-England·2|0-1</t>
  </si>
  <si>
    <t>Germany-United States·2|0-1</t>
  </si>
  <si>
    <t>Michael Olise</t>
  </si>
  <si>
    <t>Twan Veldhuis</t>
  </si>
  <si>
    <t>Brazil-Japan·1|2-0</t>
  </si>
  <si>
    <t>Germany-Paraguay·1|2-0</t>
  </si>
  <si>
    <t>Turkey-Bosnia and Herzegovina·1|2-0</t>
  </si>
  <si>
    <t>Spain-Algeria·1|2-0</t>
  </si>
  <si>
    <t>Switzerland-Iran·1|2-0</t>
  </si>
  <si>
    <t>United States-Egypt·2|1-2</t>
  </si>
  <si>
    <t>Portugal-Ivory Coast·1|2-0</t>
  </si>
  <si>
    <t>Czech Republic-Netherlands·2|0-2</t>
  </si>
  <si>
    <t>Croatia-Spain·2|0-2</t>
  </si>
  <si>
    <t>Turkey-Belgium·2|1-2</t>
  </si>
  <si>
    <t>Argentina-Egypt·1|2-0</t>
  </si>
  <si>
    <t>Switzerland-Portugal·2|1-2</t>
  </si>
  <si>
    <t>France-Spain·2|1-2</t>
  </si>
  <si>
    <t>Brazil-Argentina·1|2-1</t>
  </si>
  <si>
    <t>Herald Hessing</t>
  </si>
  <si>
    <t>Czech Republic-Bosnia and Herzegovina·2|1-2</t>
  </si>
  <si>
    <t>Morocco-Netherlands·2|2-3</t>
  </si>
  <si>
    <t>Germany-Scotland·1|3-1</t>
  </si>
  <si>
    <t>Japan-Brazil·1|2-1</t>
  </si>
  <si>
    <t>Ecuador-Norway·2|1-3</t>
  </si>
  <si>
    <t>France-United States·1|3-1</t>
  </si>
  <si>
    <t>Mexico-Saudi Arabia·1|2-1</t>
  </si>
  <si>
    <t>England-Uzbekistan·1|3-1</t>
  </si>
  <si>
    <t>Belgium-South Korea·1|2-1</t>
  </si>
  <si>
    <t>Australia-Senegal·1|2-1</t>
  </si>
  <si>
    <t>Spain-Austria·1|4-2</t>
  </si>
  <si>
    <t>Switzerland-Ivory Coast·1|3-2</t>
  </si>
  <si>
    <t>Bosnia and Herzegovina-Japan·2|1-3</t>
  </si>
  <si>
    <t>Netherlands-Norway·1|2-1</t>
  </si>
  <si>
    <t>Colombia-Spain·2|1-3</t>
  </si>
  <si>
    <t>Argentina-Turkey·1|3-2</t>
  </si>
  <si>
    <t>Switzerland-Portugal·2|2-3</t>
  </si>
  <si>
    <t>France-Japan·1|2-1</t>
  </si>
  <si>
    <t>Spain-Belgium·1|3-1</t>
  </si>
  <si>
    <t>Netherlands-England·1|2-1</t>
  </si>
  <si>
    <t>France-Spain·2|2-3</t>
  </si>
  <si>
    <t>Netherlands-Argentina·1|3-2</t>
  </si>
  <si>
    <t>Spain-Netherlands·2|1-2</t>
  </si>
  <si>
    <t>Haaland</t>
  </si>
  <si>
    <t>Jurriën Timber</t>
  </si>
  <si>
    <t>Nico Williams</t>
  </si>
  <si>
    <t>Bart van Moorsel</t>
  </si>
  <si>
    <t>Mexico-Switzerland·1|1-0</t>
  </si>
  <si>
    <t>Germany-Morocco·1|2-0</t>
  </si>
  <si>
    <t>Czech Republic-Saudi Arabia·1|1-0</t>
  </si>
  <si>
    <t>England-Iraq·1|1-0</t>
  </si>
  <si>
    <t>Belgium-South Africa·1|1-0</t>
  </si>
  <si>
    <t>United States-Bosnia and Herzegovina·1|1-0</t>
  </si>
  <si>
    <t>Canada-Japan·2|0-1</t>
  </si>
  <si>
    <t>Turkey-Iran·1|1-0</t>
  </si>
  <si>
    <t>Mexico-Netherlands·2|0-1</t>
  </si>
  <si>
    <t>Germany-France·2|0-1</t>
  </si>
  <si>
    <t>Czech Republic-England·2|0-1</t>
  </si>
  <si>
    <t>Croatia-Spain·2|0-1</t>
  </si>
  <si>
    <t>Argentina-Turkey·1|1-0</t>
  </si>
  <si>
    <t>Japan-Portugal·2|0-1</t>
  </si>
  <si>
    <t>France-Spain·1|1-0</t>
  </si>
  <si>
    <t>Brazil-Portugal·1|1-0</t>
  </si>
  <si>
    <t>Spain-Portugal·1|1-0</t>
  </si>
  <si>
    <t>Goncalo Ramos</t>
  </si>
  <si>
    <t>Vitinha</t>
  </si>
  <si>
    <t>Joris Reinders</t>
  </si>
  <si>
    <t>X|3-3</t>
  </si>
  <si>
    <t>Mexico-Bosnia and Herzegovina·X|2-2</t>
  </si>
  <si>
    <t>Brazil-Japan·1|1-0</t>
  </si>
  <si>
    <t>Germany-Scotland·1|2-0</t>
  </si>
  <si>
    <t>Netherlands-Morocco·1|1-0</t>
  </si>
  <si>
    <t>Ecuador-France·2|0-3</t>
  </si>
  <si>
    <t>Norway-United States·1|2-0</t>
  </si>
  <si>
    <t>South Korea-Cape Verde·1|2-0</t>
  </si>
  <si>
    <t>England-Ivory Coast·1|1-0</t>
  </si>
  <si>
    <t>Egypt-South Africa·1|2-1</t>
  </si>
  <si>
    <t>Turkey-Algeria·1|3-0</t>
  </si>
  <si>
    <t>Colombia-Croatia·X|1-1</t>
  </si>
  <si>
    <t>Switzerland-Iran·1|1-0</t>
  </si>
  <si>
    <t>Argentina-Uruguay·1|3-0</t>
  </si>
  <si>
    <t>Portugal-Ghana·1|2-1</t>
  </si>
  <si>
    <t>Mexico-Netherlands·2|0-2</t>
  </si>
  <si>
    <t>Germany-Norway·1|2-0</t>
  </si>
  <si>
    <t>Brazil-France·2|1-3</t>
  </si>
  <si>
    <t>South Korea-England·2|1-2</t>
  </si>
  <si>
    <t>Croatia-Spain·2|1-4</t>
  </si>
  <si>
    <t>Turkey-Egypt·X|2-2</t>
  </si>
  <si>
    <t>Argentina-Belgium·1|1-0</t>
  </si>
  <si>
    <t>Germany-Netherlands·2|0-1</t>
  </si>
  <si>
    <t>Spain-Turkey·1|2-0</t>
  </si>
  <si>
    <t>France-England·1|1-0</t>
  </si>
  <si>
    <t>Argentina-Portugal·2|0-3</t>
  </si>
  <si>
    <t>Netherlands-Spain·2|1-3</t>
  </si>
  <si>
    <t>France-Portugal·2|0-1</t>
  </si>
  <si>
    <t>Netherlands-France·1|2-0</t>
  </si>
  <si>
    <t>Spain-Portugal·1|2-1</t>
  </si>
  <si>
    <t>Rafael Leau</t>
  </si>
  <si>
    <t>Gody Gakpo</t>
  </si>
  <si>
    <t xml:space="preserve">Lamine Yamal </t>
  </si>
  <si>
    <t>Desiree Doue</t>
  </si>
  <si>
    <t>Ryan Gravenbergh</t>
  </si>
  <si>
    <t>Jesper Schutten</t>
  </si>
  <si>
    <t>South Korea-Canada·2|1-2</t>
  </si>
  <si>
    <t>Brazil-Sweden·1|2-0</t>
  </si>
  <si>
    <t>France-Paraguay·1|3-0</t>
  </si>
  <si>
    <t>Mexico-Ivory Coast·2|1-2</t>
  </si>
  <si>
    <t>England-Senegal·1|2-1</t>
  </si>
  <si>
    <t>United States-Bosnia and Herzegovina·1|2-1</t>
  </si>
  <si>
    <t>Spain-Austria·1|3-0</t>
  </si>
  <si>
    <t>Canada-Netherlands·2|1-3</t>
  </si>
  <si>
    <t>Brazil-Norway·1|3-0</t>
  </si>
  <si>
    <t>Ivory Coast-England·2|1-2</t>
  </si>
  <si>
    <t>England-Argentina·2|1-2</t>
  </si>
  <si>
    <t>France-England·1|2-1</t>
  </si>
  <si>
    <t>kylian mpape</t>
  </si>
  <si>
    <t>julian alvares</t>
  </si>
  <si>
    <t>Albert Ros</t>
  </si>
  <si>
    <t>Czech Republic-Canada·1|2-0</t>
  </si>
  <si>
    <t>Germany-Paraguay·1|3-1</t>
  </si>
  <si>
    <t>Ecuador-Norway·1|1-0</t>
  </si>
  <si>
    <t>Mexico-Scotland·1|4-1</t>
  </si>
  <si>
    <t>England-Ivory Coast·1|2-1</t>
  </si>
  <si>
    <t>Egypt-South Korea·1|2-1</t>
  </si>
  <si>
    <t>Spain-Austria·1|4-1</t>
  </si>
  <si>
    <t>Portugal-Croatia·1|2-1</t>
  </si>
  <si>
    <t>Turkey-Belgium·1|2-1</t>
  </si>
  <si>
    <t>Argentina-Uruguay·1|1-0</t>
  </si>
  <si>
    <t>Colombia-Ghana·1|2-1</t>
  </si>
  <si>
    <t>Czech Republic-Netherlands·2|0-1</t>
  </si>
  <si>
    <t>Brazil-Ecuador·1|2-0</t>
  </si>
  <si>
    <t>Mexico-England·2|1-3</t>
  </si>
  <si>
    <t>Portugal-Spain·2|1-2</t>
  </si>
  <si>
    <t>United States-Egypt·1|2-1</t>
  </si>
  <si>
    <t>Switzerland-Colombia·1|1-0</t>
  </si>
  <si>
    <t>France-Netherlands·1|3-1</t>
  </si>
  <si>
    <t>Spain-United States·1|2-0</t>
  </si>
  <si>
    <t>England-Argentina·2|0-2</t>
  </si>
  <si>
    <t>Spain-England·1|3-1</t>
  </si>
  <si>
    <t>Messi</t>
  </si>
  <si>
    <t>Olise</t>
  </si>
  <si>
    <t>Timo Konniger</t>
  </si>
  <si>
    <t>Brazil-Sweden·1|1-0</t>
  </si>
  <si>
    <t>Netherlands-Scotland·1|3-1</t>
  </si>
  <si>
    <t>Ivory Coast-Norway·2|0-1</t>
  </si>
  <si>
    <t>Czech Republic-Ecuador·1|1-0</t>
  </si>
  <si>
    <t>Egypt-South Korea·X|1-1</t>
  </si>
  <si>
    <t>Turkey-Bosnia and Herzegovina·1|1-0</t>
  </si>
  <si>
    <t>Spain-Algeria·1|3-1</t>
  </si>
  <si>
    <t>Colombia-Croatia·2|0-3</t>
  </si>
  <si>
    <t>Switzerland-Austria·1|2-0</t>
  </si>
  <si>
    <t>Australia-Belgium·2|0-2</t>
  </si>
  <si>
    <t>Germany-France·2|0-2</t>
  </si>
  <si>
    <t>Brazil-Norway·1|1-0</t>
  </si>
  <si>
    <t>Czech Republic-England·2|1-3</t>
  </si>
  <si>
    <t>Turkey-South Korea·1|2-1</t>
  </si>
  <si>
    <t>Argentina-Belgium·1|3-0</t>
  </si>
  <si>
    <t>Switzerland-Portugal·2|1-3</t>
  </si>
  <si>
    <t>France-Netherlands·1|3-0</t>
  </si>
  <si>
    <t>Brazil-England·X|0-0</t>
  </si>
  <si>
    <t>Argentina-Portugal·2|1-2</t>
  </si>
  <si>
    <t>France-Spain·1|2-0</t>
  </si>
  <si>
    <t>England-Portugal·1|2-1</t>
  </si>
  <si>
    <t>France-England·2|0-2</t>
  </si>
  <si>
    <t>Álvarez</t>
  </si>
  <si>
    <t>Raphina</t>
  </si>
  <si>
    <t>Leon de Bok</t>
  </si>
  <si>
    <t>Mexico-Ivory Coast·1|1-0</t>
  </si>
  <si>
    <t>Belgium-Algeria·1|2-1</t>
  </si>
  <si>
    <t>Turkey-Senegal·1|2-1</t>
  </si>
  <si>
    <t>Switzerland-Egypt·1|2-0</t>
  </si>
  <si>
    <t>United States-Iran·1|2-0</t>
  </si>
  <si>
    <t>Argentina-United States·1|2-0</t>
  </si>
  <si>
    <t>France-Netherlands·1|2-0</t>
  </si>
  <si>
    <t>Dembele</t>
  </si>
  <si>
    <t>Tom Olde Keizer</t>
  </si>
  <si>
    <t>Czech Republic-Switzerland·2|0-1</t>
  </si>
  <si>
    <t>Germany-Paraguay·1|3-0</t>
  </si>
  <si>
    <t>Ivory Coast-Senegal·2|0-1</t>
  </si>
  <si>
    <t>Belgium-South Africa·1|2-0</t>
  </si>
  <si>
    <t>United States-Curaçao·1|1-0</t>
  </si>
  <si>
    <t>Portugal-Norway·1|3-1</t>
  </si>
  <si>
    <t>Brazil-Senegal·1|2-0</t>
  </si>
  <si>
    <t>Germany-Netherlands·1|2-0</t>
  </si>
  <si>
    <t>Germany-Spain·2|1-2</t>
  </si>
  <si>
    <t>Germany-Portugal·1|2-0</t>
  </si>
  <si>
    <t>Ronaldo</t>
  </si>
  <si>
    <t>Gavi</t>
  </si>
  <si>
    <t>Doue</t>
  </si>
  <si>
    <t>Niels Mulder</t>
  </si>
  <si>
    <t>South Africa-Bosnia and Herzegovina·1|2-0</t>
  </si>
  <si>
    <t>Germany-United States·1|3-1</t>
  </si>
  <si>
    <t>Netherlands-Morocco·2|0-2</t>
  </si>
  <si>
    <t>Ivory Coast-Senegal·1|1-0</t>
  </si>
  <si>
    <t>France-Sweden·1|3-1</t>
  </si>
  <si>
    <t>Mexico-Ecuador·1|1-0</t>
  </si>
  <si>
    <t>England-Norway·1|3-1</t>
  </si>
  <si>
    <t>Turkey-Algeria·2|1-2</t>
  </si>
  <si>
    <t>Switzerland-Egypt·1|2-1</t>
  </si>
  <si>
    <t>Paraguay-New Zealand·1|1-0</t>
  </si>
  <si>
    <t>South Africa-Morocco·2|0-2</t>
  </si>
  <si>
    <t>Brazil-Ivory Coast·1|2-1</t>
  </si>
  <si>
    <t>Algeria-Belgium·2|1-2</t>
  </si>
  <si>
    <t>Argentina-Paraguay·1|2-0</t>
  </si>
  <si>
    <t>France-Morocco·1|2-0</t>
  </si>
  <si>
    <t>Brazil-England·2|0-2</t>
  </si>
  <si>
    <t>England-Portugal·1|1-0</t>
  </si>
  <si>
    <t>Spain-England·1|2-1</t>
  </si>
  <si>
    <t>Niels Klein Gebbink</t>
  </si>
  <si>
    <t>Mexico-Canada·1|2-0</t>
  </si>
  <si>
    <t>Germany-Australia·1|2-0</t>
  </si>
  <si>
    <t>Ecuador-Norway·X|0-0</t>
  </si>
  <si>
    <t>South Korea-Curaçao·X|0-0</t>
  </si>
  <si>
    <t>Croatia-Senegal·1|2-0</t>
  </si>
  <si>
    <t>Belgium-Czech Republic·2|1-2</t>
  </si>
  <si>
    <t>Turkey-Qatar·1|1-0</t>
  </si>
  <si>
    <t>Spain-Austria·1|1-0</t>
  </si>
  <si>
    <t>Colombia-England·2|0-1</t>
  </si>
  <si>
    <t>Germany-France·X|2-2</t>
  </si>
  <si>
    <t>South Korea-Croatia·2|0-1</t>
  </si>
  <si>
    <t>England-Spain·2|1-2</t>
  </si>
  <si>
    <t>Turkey-Czech Republic·X|0-0</t>
  </si>
  <si>
    <t>Argentina-United States·1|1-0</t>
  </si>
  <si>
    <t>Spain-Czech Republic·1|2-0</t>
  </si>
  <si>
    <t>Brazil-Croatia·X|1-1</t>
  </si>
  <si>
    <t>Brazil-Portugal·2|0-1</t>
  </si>
  <si>
    <t>Cristiano Ronaldo</t>
  </si>
  <si>
    <t>Memphis Depay</t>
  </si>
  <si>
    <t>Neymar </t>
  </si>
  <si>
    <t>Martijn Pierik</t>
  </si>
  <si>
    <t>South Korea-Switzerland·2|1-2</t>
  </si>
  <si>
    <t>Brazil-Japan·1|2-1</t>
  </si>
  <si>
    <t>Ivory Coast-Norway·2|1-2</t>
  </si>
  <si>
    <t>United States-Bosnia and Herzegovina·1|2-0</t>
  </si>
  <si>
    <t>Colombia-Croatia·1|1-0</t>
  </si>
  <si>
    <t>Turkey-Iran·1|2-0</t>
  </si>
  <si>
    <t>Switzerland-Netherlands·2|1-2</t>
  </si>
  <si>
    <t>Canada-Portugal·2|1-3</t>
  </si>
  <si>
    <t>Brazil-England·2|0-1</t>
  </si>
  <si>
    <t>Argentina-Portugal·1|1-0</t>
  </si>
  <si>
    <t>England-Argentina·X|0-0</t>
  </si>
  <si>
    <t>Spain-England·2|1-2</t>
  </si>
  <si>
    <t>France-Argentina·1|2-0</t>
  </si>
  <si>
    <t>Jude Bellingham</t>
  </si>
  <si>
    <t>Alexis Mac Allister</t>
  </si>
  <si>
    <t>Tjarco van Loon</t>
  </si>
  <si>
    <t>Czech Republic-Canada·2|1-2</t>
  </si>
  <si>
    <t>Brazil-Japan·1|3-2</t>
  </si>
  <si>
    <t>Ecuador-United States·1|2-1</t>
  </si>
  <si>
    <t>Germany-Norway·1|2-1</t>
  </si>
  <si>
    <t>Mexico-Scotland·1|2-1</t>
  </si>
  <si>
    <t>England-DR Congo·1|2-1</t>
  </si>
  <si>
    <t>Belgium-South Africa·2|2-3</t>
  </si>
  <si>
    <t>Paraguay-Senegal·1|2-1</t>
  </si>
  <si>
    <t>Switzerland-Ivory Coast·2|1-2</t>
  </si>
  <si>
    <t>Turkey-New Zealand·1|3-2</t>
  </si>
  <si>
    <t>Ecuador-France·2|1-4</t>
  </si>
  <si>
    <t>Brazil-Germany·1|4-2</t>
  </si>
  <si>
    <t>Paraguay-South Africa·1|2-1</t>
  </si>
  <si>
    <t>Ivory Coast-Portugal·2|2-3</t>
  </si>
  <si>
    <t>France-Netherlands·2|2-3</t>
  </si>
  <si>
    <t>Spain-Paraguay·1|4-2</t>
  </si>
  <si>
    <t>Brazil-England·2|2-3</t>
  </si>
  <si>
    <t>Argentina-Portugal·1|3-2</t>
  </si>
  <si>
    <t>England-Argentina·1|2-1</t>
  </si>
  <si>
    <t>vinicius jr</t>
  </si>
  <si>
    <t>t.reinders</t>
  </si>
  <si>
    <t>Lamin Yamal</t>
  </si>
  <si>
    <t>c.Summerville</t>
  </si>
  <si>
    <t>Bart Veltmann</t>
  </si>
  <si>
    <t>2|2-4</t>
  </si>
  <si>
    <t>Brazil-Japan·2|2-3</t>
  </si>
  <si>
    <t>Netherlands-Morocco·X|1-1</t>
  </si>
  <si>
    <t>Ivory Coast-Norway·2|1-3</t>
  </si>
  <si>
    <t>France-Sweden·1|3-0</t>
  </si>
  <si>
    <t>South Korea-Scotland·X|1-1</t>
  </si>
  <si>
    <t>England-Ecuador·1|2-1</t>
  </si>
  <si>
    <t>Belgium-Austria·X|2-2</t>
  </si>
  <si>
    <t>Turkey-Bosnia and Herzegovina·1|2-1</t>
  </si>
  <si>
    <t>Mexico-Morocco·2|2-3</t>
  </si>
  <si>
    <t>Japan-Norway·X|2-2</t>
  </si>
  <si>
    <t>Scotland-England·2|1-3</t>
  </si>
  <si>
    <t>Colombia-Spain·2|2-4</t>
  </si>
  <si>
    <t>Spain-Turkey·1|2-1</t>
  </si>
  <si>
    <t>Norway-England·X|1-1</t>
  </si>
  <si>
    <t>Germany-Spain·X|1-1</t>
  </si>
  <si>
    <t>Germany-England·X|1-1</t>
  </si>
  <si>
    <t>Spain-Portugal·X|1-1</t>
  </si>
  <si>
    <t>Oryazabal</t>
  </si>
  <si>
    <t>Kai Havertz</t>
  </si>
  <si>
    <t>Turkey-Iran·1|2-1</t>
  </si>
  <si>
    <t>South Korea-Netherlands·2|1-2</t>
  </si>
  <si>
    <t>Brazil-Norway·2|0-1</t>
  </si>
  <si>
    <t>Mexico-England·1|1-0</t>
  </si>
  <si>
    <t>United States-Belgium·2|0-2</t>
  </si>
  <si>
    <t>Uruguay-Turkey·1|1-0</t>
  </si>
  <si>
    <t>Norway-Mexico·1|1-0</t>
  </si>
  <si>
    <t>Uruguay-Portugal·2|0-1</t>
  </si>
  <si>
    <t>Germany-Spain·2|0-2</t>
  </si>
  <si>
    <t>Norway-Portugal·2|1-2</t>
  </si>
  <si>
    <t>Germany-Norway·1|3-1</t>
  </si>
  <si>
    <t>Vinicius</t>
  </si>
  <si>
    <t>Petra Hemmer - Kleis</t>
  </si>
  <si>
    <t>France-Sweden·1|1-0</t>
  </si>
  <si>
    <t>England-Algeria·1|2-0</t>
  </si>
  <si>
    <t>Belgium-Czech Republic·1|1-0</t>
  </si>
  <si>
    <t>United States-Canada·1|2-0</t>
  </si>
  <si>
    <t>Argentina-Uruguay·2|1-2</t>
  </si>
  <si>
    <t>Patrick Bielderman</t>
  </si>
  <si>
    <t>Czech Republic-Qatar·1|3-0</t>
  </si>
  <si>
    <t>Germany-United States·1|2-1</t>
  </si>
  <si>
    <t>Ivory Coast-Senegal·X|0-0</t>
  </si>
  <si>
    <t>Norway-Netherlands·1|2-1</t>
  </si>
  <si>
    <t>Mexico-Scotland·1|3-1</t>
  </si>
  <si>
    <t>England-France·X|2-2</t>
  </si>
  <si>
    <t>Turkey-Bosnia and Herzegovina·1|3-0</t>
  </si>
  <si>
    <t>Colombia-Croatia·X|2-2</t>
  </si>
  <si>
    <t>Switzerland-Curaçao·1|4-0</t>
  </si>
  <si>
    <t>Australia-Belgium·2|1-3</t>
  </si>
  <si>
    <t>Argentina-Uruguay·X|2-2</t>
  </si>
  <si>
    <t>Czech Republic-Japan·2|0-2</t>
  </si>
  <si>
    <t>Brazil-Ivory Coast·1|3-0</t>
  </si>
  <si>
    <t>Turkey-Egypt·2|1-2</t>
  </si>
  <si>
    <t>Uruguay-Belgium·1|2-1</t>
  </si>
  <si>
    <t>Switzerland-Portugal·2|0-3</t>
  </si>
  <si>
    <t>Spain-Egypt·1|3-2</t>
  </si>
  <si>
    <t>Germany-Spain·X|2-2</t>
  </si>
  <si>
    <t>Germany-Brazil·2|0-1</t>
  </si>
  <si>
    <t>Leroy Sane</t>
  </si>
  <si>
    <t>Ferran Torres</t>
  </si>
  <si>
    <t>Wouter Schiphorst</t>
  </si>
  <si>
    <t>1|5-2</t>
  </si>
  <si>
    <t>2|1-5</t>
  </si>
  <si>
    <t>Czech Republic-Switzerland·1|2-0</t>
  </si>
  <si>
    <t>Germany-Turkey·1|3-1</t>
  </si>
  <si>
    <t>Netherlands-Scotland·1|4-1</t>
  </si>
  <si>
    <t>Curaçao-Senegal·2|0-3</t>
  </si>
  <si>
    <t>France-Sweden·1|4-1</t>
  </si>
  <si>
    <t>Mexico-Morocco·X|2-2</t>
  </si>
  <si>
    <t>Croatia-Uzbekistan·1|3-1</t>
  </si>
  <si>
    <t>Belgium-Austria·1|2-0</t>
  </si>
  <si>
    <t>Paraguay-Qatar·1|2-0</t>
  </si>
  <si>
    <t>Colombia-England·2|0-3</t>
  </si>
  <si>
    <t>Brazil-Senegal·1|4-1</t>
  </si>
  <si>
    <t>Mexico-Croatia·1|3-2</t>
  </si>
  <si>
    <t>Paraguay-Belgium·2|1-2</t>
  </si>
  <si>
    <t>Argentina-United States·1|4-2</t>
  </si>
  <si>
    <t>Germany-Netherlands·2|0-3</t>
  </si>
  <si>
    <t>Brazil-Mexico·X|2-2</t>
  </si>
  <si>
    <t>Argentina-Portugal·1|2-0</t>
  </si>
  <si>
    <t>Mexico-Argentina·2|0-1</t>
  </si>
  <si>
    <t>Spain-Mexico·1|3-1</t>
  </si>
  <si>
    <t>Netherlands-Argentina·1|3-1</t>
  </si>
  <si>
    <t>Donyell Malen</t>
  </si>
  <si>
    <t>Lionel Messi</t>
  </si>
  <si>
    <t>Dani Olmo</t>
  </si>
  <si>
    <t>Denzel Dufries</t>
  </si>
  <si>
    <t>Tom Westendorp</t>
  </si>
  <si>
    <t>Mexico-Bosnia and Herzegovina·1|2-1</t>
  </si>
  <si>
    <t>Morocco-Japan·2|1-2</t>
  </si>
  <si>
    <t>Ecuador-Haiti·1|3-0</t>
  </si>
  <si>
    <t>Netherlands-Brazil·1|2-1</t>
  </si>
  <si>
    <t>Germany-Senegal·1|3-1</t>
  </si>
  <si>
    <t>France-Paraguay·1|2-0</t>
  </si>
  <si>
    <t>South Africa-Cape Verde·2|1-2</t>
  </si>
  <si>
    <t>England-Norway·1|4-0</t>
  </si>
  <si>
    <t>Belgium-South Korea·2|1-2</t>
  </si>
  <si>
    <t>Australia-Switzerland·2|1-2</t>
  </si>
  <si>
    <t>Spain-Argentina·2|1-2</t>
  </si>
  <si>
    <t>Colombia-Ghana·1|2-0</t>
  </si>
  <si>
    <t>Qatar-Sweden·1|2-1</t>
  </si>
  <si>
    <t>Austria-Uruguay·2|1-2</t>
  </si>
  <si>
    <t>Portugal-Croatia·1|3-1</t>
  </si>
  <si>
    <t>Mexico-Netherlands·2|2-4</t>
  </si>
  <si>
    <t>Ecuador-France·2|1-3</t>
  </si>
  <si>
    <t>Japan-Germany·1|3-2</t>
  </si>
  <si>
    <t>Cape Verde-England·2|1-6</t>
  </si>
  <si>
    <t>Colombia-Argentina·2|2-3</t>
  </si>
  <si>
    <t>Switzerland-South Korea·2|2-3</t>
  </si>
  <si>
    <t>Uruguay-Turkey·1|4-2</t>
  </si>
  <si>
    <t>Qatar-Portugal·1|4-1</t>
  </si>
  <si>
    <t>France-Netherlands·2|1-3</t>
  </si>
  <si>
    <t>Argentina-South Korea·1|6-0</t>
  </si>
  <si>
    <t>Japan-England·2|1-4</t>
  </si>
  <si>
    <t>Uruguay-Qatar·1|2-0</t>
  </si>
  <si>
    <t>Netherlands-Argentina·1|2-1</t>
  </si>
  <si>
    <t>England-Uruguay·2|1-2</t>
  </si>
  <si>
    <t>Argentina-England·1|4-0</t>
  </si>
  <si>
    <t>Netherlands-Uruguay·1|2-0</t>
  </si>
  <si>
    <t>Jamal Musiala</t>
  </si>
  <si>
    <t xml:space="preserve">Jamal Musiala </t>
  </si>
  <si>
    <t xml:space="preserve">Harry Kane </t>
  </si>
  <si>
    <t xml:space="preserve">Ngolo Kanté </t>
  </si>
  <si>
    <t>Jurgen Wiegerinck</t>
  </si>
  <si>
    <t>1|6-1</t>
  </si>
  <si>
    <t>Czech Republic-Qatar·1|3-1</t>
  </si>
  <si>
    <t>Germany-United States·1|4-1</t>
  </si>
  <si>
    <t>Netherlands-Morocco·1|3-0</t>
  </si>
  <si>
    <t>Ivory Coast-Senegal·1|3-1</t>
  </si>
  <si>
    <t>Colombia-Croatia·2|1-3</t>
  </si>
  <si>
    <t>Switzerland-New Zealand·1|3-1</t>
  </si>
  <si>
    <t>Paraguay-Egypt·1|2-1</t>
  </si>
  <si>
    <t>Brazil-Ivory Coast·1|3-1</t>
  </si>
  <si>
    <t>Turkey-Belgium·2|0-3</t>
  </si>
  <si>
    <t>Argentina-Paraguay·1|4-1</t>
  </si>
  <si>
    <t>Argentina-Portugal·1|3-1</t>
  </si>
  <si>
    <t>France-Argentina·1|3-1</t>
  </si>
  <si>
    <t>Hobie Duijn</t>
  </si>
  <si>
    <t>Ecuador-Norway·X|1-1</t>
  </si>
  <si>
    <t>England-Senegal·X|0-0</t>
  </si>
  <si>
    <t>United States-Algeria·1|2-1</t>
  </si>
  <si>
    <t>Switzerland-Iran·1|2-1</t>
  </si>
  <si>
    <t>Turkey-Egypt·X|1-1</t>
  </si>
  <si>
    <t>Brazil-England·1|2-0</t>
  </si>
  <si>
    <t>France-Spain·X|1-1</t>
  </si>
  <si>
    <t>Brazil-Portugal·2|1-2</t>
  </si>
  <si>
    <t>France-Brazil·1|2-1</t>
  </si>
  <si>
    <t>Spain-Portugal·2|1-2</t>
  </si>
  <si>
    <t>Doku</t>
  </si>
  <si>
    <t>Luuk Walhof</t>
  </si>
  <si>
    <t>Czech Republic-Switzerland·X|1-1</t>
  </si>
  <si>
    <t>Brazil-Netherlands·1|2-1</t>
  </si>
  <si>
    <t>Germany-United States·1|3-0</t>
  </si>
  <si>
    <t>Japan-Morocco·X|2-2</t>
  </si>
  <si>
    <t>Mexico-Scotland·X|2-2</t>
  </si>
  <si>
    <t>England-Senegal·1|4-1</t>
  </si>
  <si>
    <t>Belgium-South Africa·X|1-1</t>
  </si>
  <si>
    <t>Australia-Bosnia and Herzegovina·1|1-0</t>
  </si>
  <si>
    <t>Spain-Algeria·1|2-1</t>
  </si>
  <si>
    <t>Canada-Austria·2|0-1</t>
  </si>
  <si>
    <t>Turkey-New Zealand·X|2-2</t>
  </si>
  <si>
    <t>Portugal-Ghana·1|4-2</t>
  </si>
  <si>
    <t>Switzerland-Japan·2|1-2</t>
  </si>
  <si>
    <t>Mexico-England·X|1-1</t>
  </si>
  <si>
    <t>Australia-Belgium·X|0-0</t>
  </si>
  <si>
    <t>Argentina-New Zealand·1|4-1</t>
  </si>
  <si>
    <t>Austria-Portugal·2|1-2</t>
  </si>
  <si>
    <t>France-Japan·1|4-2</t>
  </si>
  <si>
    <t>Brazil-Argentina·X|2-2</t>
  </si>
  <si>
    <t>Spain-Argentina·1|3-1</t>
  </si>
  <si>
    <t>France-Brazil·X|1-1</t>
  </si>
  <si>
    <t>Julian Alvarez</t>
  </si>
  <si>
    <t>Desire Doue</t>
  </si>
  <si>
    <t>Casemiro</t>
  </si>
  <si>
    <t>Stan Hofstra</t>
  </si>
  <si>
    <t>Germany-Turkey·1|4-2</t>
  </si>
  <si>
    <t>Netherlands-Scotland·1|3-2</t>
  </si>
  <si>
    <t>Ecuador-Norway·2|2-3</t>
  </si>
  <si>
    <t>Mexico-Morocco·1|1-0</t>
  </si>
  <si>
    <t>Belgium-South Korea·1|4-2</t>
  </si>
  <si>
    <t>Colombia-Croatia·2|2-3</t>
  </si>
  <si>
    <t>Switzerland-Ivory Coast·1|1-0</t>
  </si>
  <si>
    <t>Paraguay-Egypt·2|1-2</t>
  </si>
  <si>
    <t>Argentina-Egypt·1|4-1</t>
  </si>
  <si>
    <t>Argentina-Portugal·2|0-2</t>
  </si>
  <si>
    <t>France-Portugal·1|2-0</t>
  </si>
  <si>
    <t>Spain-Brazil·1|3-2</t>
  </si>
  <si>
    <t>Julián Alvarez</t>
  </si>
  <si>
    <t>Pien Breukers</t>
  </si>
  <si>
    <t>Germany-United States·1|2-0</t>
  </si>
  <si>
    <t>Senegal-Sweden·X|2-2</t>
  </si>
  <si>
    <t>Mexico-Scotland·2|1-3</t>
  </si>
  <si>
    <t>Belgium-Saudi Arabia·1|2-1</t>
  </si>
  <si>
    <t>Portugal-Panama·1|3-1</t>
  </si>
  <si>
    <t>Germany-Sweden·1|2-0</t>
  </si>
  <si>
    <t>Brazil-France·X|2-2</t>
  </si>
  <si>
    <t>Australia-Belgium·1|2-0</t>
  </si>
  <si>
    <t>Germany-Netherlands·1|3-1</t>
  </si>
  <si>
    <t>Spain-Australia·1|2-1</t>
  </si>
  <si>
    <t>France-England·2|1-2</t>
  </si>
  <si>
    <t>England-Argentina·2|0-1</t>
  </si>
  <si>
    <t>Germany-England·2|1-2</t>
  </si>
  <si>
    <t>Torres</t>
  </si>
  <si>
    <t>Martinez</t>
  </si>
  <si>
    <t>Marnix van der Molen</t>
  </si>
  <si>
    <t>South Korea-Canada·1|1-0</t>
  </si>
  <si>
    <t>Morocco-Sweden·1|2-1</t>
  </si>
  <si>
    <t>Germany-Turkey·1|2-0</t>
  </si>
  <si>
    <t>France-Japan·1|4-0</t>
  </si>
  <si>
    <t>Australia-Ivory Coast·1|2-0</t>
  </si>
  <si>
    <t>Morocco-Norway·2|1-2</t>
  </si>
  <si>
    <t>Norway-England·2|1-2</t>
  </si>
  <si>
    <t>France-England·1|2-0</t>
  </si>
  <si>
    <t>Lukaku</t>
  </si>
  <si>
    <t>Gakpo</t>
  </si>
  <si>
    <t>O. Dembele</t>
  </si>
  <si>
    <t>W. Zaire Emery</t>
  </si>
  <si>
    <t>J. Bellinham</t>
  </si>
  <si>
    <t>Dennis Molendijk</t>
  </si>
  <si>
    <t>Ivory Coast-Norway·X|1-1</t>
  </si>
  <si>
    <t>Paraguay-Ecuador·2|0-1</t>
  </si>
  <si>
    <t>Switzerland-Egypt·X|1-1</t>
  </si>
  <si>
    <t>United States-Iran·1|2-1</t>
  </si>
  <si>
    <t>Argentina-Uruguay·X|1-1</t>
  </si>
  <si>
    <t>Brazil-Norway·1|3-2</t>
  </si>
  <si>
    <t>Ecuador-Belgium·X|0-0</t>
  </si>
  <si>
    <t>Spain-Ecuador·1|2-0</t>
  </si>
  <si>
    <t>Argentina-Portugal·X|1-1</t>
  </si>
  <si>
    <t>France-Portugal·1|1-0</t>
  </si>
  <si>
    <t>Niek Oonk</t>
  </si>
  <si>
    <t>Czech Republic-Canada·2|0-1</t>
  </si>
  <si>
    <t>Morocco-Japan·1|2-0</t>
  </si>
  <si>
    <t>Netherlands-Brazil·1|1-0</t>
  </si>
  <si>
    <t>Ecuador-Senegal·1|1-0</t>
  </si>
  <si>
    <t>Mexico-Curaçao·1|1-0</t>
  </si>
  <si>
    <t>Belgium-Algeria·1|1-0</t>
  </si>
  <si>
    <t>Austria-Uruguay·1|1-0</t>
  </si>
  <si>
    <t>Canada-Netherlands·2|0-2</t>
  </si>
  <si>
    <t>Morocco-Ecuador·1|1-0</t>
  </si>
  <si>
    <t>United States-Belgium·1|1-0</t>
  </si>
  <si>
    <t>Austria-Turkey·1|2-1</t>
  </si>
  <si>
    <t>Morocco-England·2|0-1</t>
  </si>
  <si>
    <t>France-Spain·2|0-1</t>
  </si>
  <si>
    <t>England-Portugal·2|0-1</t>
  </si>
  <si>
    <t>Henriko Bakkenes</t>
  </si>
  <si>
    <t>France-Egypt·1|3-0</t>
  </si>
  <si>
    <t>Mexico-Ecuador·X|1-1</t>
  </si>
  <si>
    <t>Ecuador-England·2|0-2</t>
  </si>
  <si>
    <t xml:space="preserve">Esmee Pruim </t>
  </si>
  <si>
    <t>Germany-Sweden·1|4-1</t>
  </si>
  <si>
    <t>Mexico-Ecuador·2|1-2</t>
  </si>
  <si>
    <t>Ecuador-England·2|2-3</t>
  </si>
  <si>
    <t>Switzerland-Portugal·2|2-4</t>
  </si>
  <si>
    <t>Spain-Brazil·2|1-3</t>
  </si>
  <si>
    <t>France-Argentina·1|1-0</t>
  </si>
  <si>
    <t>Jordy Brouwer</t>
  </si>
  <si>
    <t>South Africa-Switzerland·X|2-2</t>
  </si>
  <si>
    <t>Brazil-Japan·1|4-1</t>
  </si>
  <si>
    <t>Ivory Coast-Senegal·1|4-1</t>
  </si>
  <si>
    <t>France-Paraguay·1|5-2</t>
  </si>
  <si>
    <t>Mexico-Uruguay·1|1-0</t>
  </si>
  <si>
    <t>England-Norway·1|2-0</t>
  </si>
  <si>
    <t>Egypt-Austria·X|1-1</t>
  </si>
  <si>
    <t>United States-Qatar·2|0-1</t>
  </si>
  <si>
    <t>Spain-Algeria·X|2-2</t>
  </si>
  <si>
    <t>Colombia-Ghana·2|0-1</t>
  </si>
  <si>
    <t>Bosnia and Herzegovina-Iran·2|0-1</t>
  </si>
  <si>
    <t>Argentina-Saudi Arabia·1|3-1</t>
  </si>
  <si>
    <t>Portugal-Curaçao·1|3-1</t>
  </si>
  <si>
    <t>South Africa-Netherlands·2|0-2</t>
  </si>
  <si>
    <t>Brazil-Ivory Coast·1|4-1</t>
  </si>
  <si>
    <t>Ghana-Spain·2|1-2</t>
  </si>
  <si>
    <t>Qatar-Egypt·2|1-3</t>
  </si>
  <si>
    <t>Iran-Portugal·2|0-3</t>
  </si>
  <si>
    <t>Germany-Netherlands·1|4-2</t>
  </si>
  <si>
    <t>Spain-Egypt·2|1-2</t>
  </si>
  <si>
    <t>Brazil-Mexico·1|3-1</t>
  </si>
  <si>
    <t>Germany-Egypt·1|3-0</t>
  </si>
  <si>
    <t>Egypt-Portugal·2|1-2</t>
  </si>
  <si>
    <t>Germany-Brazil·2|2-3</t>
  </si>
  <si>
    <t>wirtz</t>
  </si>
  <si>
    <t>vinicius</t>
  </si>
  <si>
    <t>mbappe</t>
  </si>
  <si>
    <t xml:space="preserve">olise </t>
  </si>
  <si>
    <t>Roel Westerveld</t>
  </si>
  <si>
    <t>Czech Republic-Canada·X|1-1</t>
  </si>
  <si>
    <t>Ecuador-Norway·1|2-1</t>
  </si>
  <si>
    <t>Portugal-Senegal·1|2-0</t>
  </si>
  <si>
    <t>Argentina-United States·1|2-1</t>
  </si>
  <si>
    <t>Martijn Nijmeijer</t>
  </si>
  <si>
    <t>Ecuador-Senegal·1|2-1</t>
  </si>
  <si>
    <t>England-Norway·1|3-0</t>
  </si>
  <si>
    <t>Turkey-Bosnia and Herzegovina·1|3-1</t>
  </si>
  <si>
    <t>United States-Egypt·X|1-1</t>
  </si>
  <si>
    <t>Canada-Morocco·2|1-2</t>
  </si>
  <si>
    <t>France-Morocco·1|2-1</t>
  </si>
  <si>
    <t>Brazil-England·X|1-1</t>
  </si>
  <si>
    <t>England-Portugal·X|1-1</t>
  </si>
  <si>
    <t>Mikel Oyarzabal</t>
  </si>
  <si>
    <t>Mandy Reijntjes</t>
  </si>
  <si>
    <t>South Korea-Canada·2|0-3</t>
  </si>
  <si>
    <t>Brazil-Japan·1|4-2</t>
  </si>
  <si>
    <t>Germany-Paraguay·1|4-1</t>
  </si>
  <si>
    <t>Ecuador-Norway·1|3-2</t>
  </si>
  <si>
    <t>France-Iran·1|4-0</t>
  </si>
  <si>
    <t>Mexico-Sweden·1|3-1</t>
  </si>
  <si>
    <t>Belgium-South Africa·1|4-0</t>
  </si>
  <si>
    <t>Colombia-Croatia·1|3-2</t>
  </si>
  <si>
    <t>Switzerland-Algeria·1|3-1</t>
  </si>
  <si>
    <t>Turkey-Egypt·1|3-2</t>
  </si>
  <si>
    <t>Argentina-Uruguay·1|4-3</t>
  </si>
  <si>
    <t>Portugal-Ghana·1|4-0</t>
  </si>
  <si>
    <t>Germany-France·2|3-4</t>
  </si>
  <si>
    <t>Mexico-England·2|1-4</t>
  </si>
  <si>
    <t>Switzerland-Portugal·2|3-4</t>
  </si>
  <si>
    <t>Neymar</t>
  </si>
  <si>
    <t>Evelien ten Thije</t>
  </si>
  <si>
    <t>England-Uzbekistan·1|3-0</t>
  </si>
  <si>
    <t>United States-Algeria·1|2-0</t>
  </si>
  <si>
    <t>Portugal-Norway·1|2-1</t>
  </si>
  <si>
    <t>United States-Belgium·X|1-1</t>
  </si>
  <si>
    <t>Argentina-Portugal·X|2-2</t>
  </si>
  <si>
    <t>Spain-Argentina·1|1-0</t>
  </si>
  <si>
    <t>Mikel Oyarabal</t>
  </si>
  <si>
    <t>Rita Vermeer</t>
  </si>
  <si>
    <t>South Korea-Switzerland·2|0-2</t>
  </si>
  <si>
    <t>Brazil-Netherlands·2|0-1</t>
  </si>
  <si>
    <t>Ecuador-Senegal·X|1-1</t>
  </si>
  <si>
    <t>England-DR Congo·1|3-0</t>
  </si>
  <si>
    <t>Belgium-Czech Republic·1|3-0</t>
  </si>
  <si>
    <t>United States-Algeria·1|1-0</t>
  </si>
  <si>
    <t>Canada-Iran·1|2-1</t>
  </si>
  <si>
    <t>Turkey-Egypt·1|2-0</t>
  </si>
  <si>
    <t>Portugal-Norway·2|1-2</t>
  </si>
  <si>
    <t>Switzerland-Morocco·X|2-2</t>
  </si>
  <si>
    <t>Netherlands-Senegal·1|3-1</t>
  </si>
  <si>
    <t>Uruguay-Turkey·1|2-0</t>
  </si>
  <si>
    <t>Canada-Norway·2|1-2</t>
  </si>
  <si>
    <t>Netherlands-England·2|1-2</t>
  </si>
  <si>
    <t>Uruguay-Norway·2|0-1</t>
  </si>
  <si>
    <t>England-Norway·1|1-0</t>
  </si>
  <si>
    <t>Spain-Norway·2|0-1</t>
  </si>
  <si>
    <t xml:space="preserve">oyarzabal </t>
  </si>
  <si>
    <t>haaland</t>
  </si>
  <si>
    <t>kane</t>
  </si>
  <si>
    <t xml:space="preserve">michal olise </t>
  </si>
  <si>
    <t xml:space="preserve">declan rice </t>
  </si>
  <si>
    <t>Niek Slots</t>
  </si>
  <si>
    <t>Switzerland-Algeria·1|1-0</t>
  </si>
  <si>
    <t>Spain-Portugal·1|2-0</t>
  </si>
  <si>
    <t>France-Brazil·1|3-1</t>
  </si>
  <si>
    <t>Bart Kok</t>
  </si>
  <si>
    <t>Czech Republic-Switzerland·1|2-1</t>
  </si>
  <si>
    <t>Mexico-Japan·2|1-2</t>
  </si>
  <si>
    <t>United States-Bosnia and Herzegovina·2|0-1</t>
  </si>
  <si>
    <t>Canada-Algeria·1|2-1</t>
  </si>
  <si>
    <t>Japan-England·2|1-3</t>
  </si>
  <si>
    <t>Bosnia and Herzegovina-South Korea·1|2-1</t>
  </si>
  <si>
    <t>Uruguay-Turkey·2|0-1</t>
  </si>
  <si>
    <t>Canada-Portugal·2|0-2</t>
  </si>
  <si>
    <t>Spain-Bosnia and Herzegovina·X|1-1</t>
  </si>
  <si>
    <t>France-Bosnia and Herzegovina·1|3-0</t>
  </si>
  <si>
    <t>Bosnia and Herzegovina-Portugal·2|0-2</t>
  </si>
  <si>
    <t>Ilonka Zwienenberg</t>
  </si>
  <si>
    <t>Germany-Morocco·X|1-1</t>
  </si>
  <si>
    <t>Curaçao-Norway·2|0-2</t>
  </si>
  <si>
    <t>United States-Qatar·1|2-1</t>
  </si>
  <si>
    <t>Switzerland-Iran·2|0-1</t>
  </si>
  <si>
    <t>Argentina-Cape Verde·1|2-0</t>
  </si>
  <si>
    <t>Portugal-Ghana·2|1-2</t>
  </si>
  <si>
    <t>Morocco-France·2|0-2</t>
  </si>
  <si>
    <t>Iran-Ghana·X|2-2</t>
  </si>
  <si>
    <t>Argentina-Iran·1|2-0</t>
  </si>
  <si>
    <t>Netherlands-England·1|1-0</t>
  </si>
  <si>
    <t>Depay</t>
  </si>
  <si>
    <t>Weghorst</t>
  </si>
  <si>
    <t>sebastiaan jansen</t>
  </si>
  <si>
    <t>Mexico-Switzerland·1|3-1</t>
  </si>
  <si>
    <t>Ivory Coast-Paraguay·1|1-0</t>
  </si>
  <si>
    <t>Germany-Norway·1|4-1</t>
  </si>
  <si>
    <t>South Korea-Scotland·1|2-0</t>
  </si>
  <si>
    <t>Belgium-Ecuador·1|2-1</t>
  </si>
  <si>
    <t>Canada-Algeria·1|2-0</t>
  </si>
  <si>
    <t>United States-Egypt·2|0-1</t>
  </si>
  <si>
    <t>Ivory Coast-France·2|1-3</t>
  </si>
  <si>
    <t>Brazil-Germany·X|2-2</t>
  </si>
  <si>
    <t>South Korea-England·2|0-3</t>
  </si>
  <si>
    <t>Colombia-Spain·2|1-2</t>
  </si>
  <si>
    <t>Turkey-Belgium·X|1-1</t>
  </si>
  <si>
    <t>Argentina-Egypt·1|2-1</t>
  </si>
  <si>
    <t>Canada-Portugal·2|1-2</t>
  </si>
  <si>
    <t>Germany-England·X|2-2</t>
  </si>
  <si>
    <t>yamal</t>
  </si>
  <si>
    <t>olise</t>
  </si>
  <si>
    <t>Laura Hospers</t>
  </si>
  <si>
    <t>Turkey-Algeria·1|1-0</t>
  </si>
  <si>
    <t>Brazil-Senegal·1|2-1</t>
  </si>
  <si>
    <t>Jose van Wijk</t>
  </si>
  <si>
    <t>France-Sweden·1|4-2</t>
  </si>
  <si>
    <t>England-Algeria·1|4-1</t>
  </si>
  <si>
    <t>Paraguay-Iran·2|0-2</t>
  </si>
  <si>
    <t>Portugal-Ghana·1|4-1</t>
  </si>
  <si>
    <t>Argentina-Iran·1|3-1</t>
  </si>
  <si>
    <t>France-England·1|3-2</t>
  </si>
  <si>
    <t>Marco Aaltink</t>
  </si>
  <si>
    <t>Czech Republic-Bosnia and Herzegovina·1|2-1</t>
  </si>
  <si>
    <t>Mexico-Ecuador·X|0-0</t>
  </si>
  <si>
    <t>Turkey-Canada·1|1-0</t>
  </si>
  <si>
    <t>Brazil-Portugal·X|1-1</t>
  </si>
  <si>
    <t>Spain-Brazil·X|1-1</t>
  </si>
  <si>
    <t>France-Portugal·X|1-1</t>
  </si>
  <si>
    <t>Ilker Esmer</t>
  </si>
  <si>
    <t>Mexico-Scotland·X|1-1</t>
  </si>
  <si>
    <t>Belgium-Algeria·1|2-0</t>
  </si>
  <si>
    <t>Turkey-Canada·1|2-1</t>
  </si>
  <si>
    <t>Brazil-Senegal·1|3-1</t>
  </si>
  <si>
    <t>Germany-Netherlands·2|1-2</t>
  </si>
  <si>
    <t>Netherlands-Spain·2|1-2</t>
  </si>
  <si>
    <t>Netherlands-Argentina·2|1-2</t>
  </si>
  <si>
    <t>Spain-Brazil·2|1-2</t>
  </si>
  <si>
    <t>Florian Boitelle</t>
  </si>
  <si>
    <t>South Korea-Switzerland·X|1-1</t>
  </si>
  <si>
    <t>Ivory Coast-Norway·2|0-2</t>
  </si>
  <si>
    <t>Mexico-Senegal·X|2-2</t>
  </si>
  <si>
    <t>Brazil-Norway·X|2-2</t>
  </si>
  <si>
    <t>Spain-Turkey·1|3-1</t>
  </si>
  <si>
    <t>Netherlands-England·1|3-1</t>
  </si>
  <si>
    <t>NB</t>
  </si>
  <si>
    <t>Chantal Wolbers</t>
  </si>
  <si>
    <t>France-United States·1|2-0</t>
  </si>
  <si>
    <t>Czech Republic-Ivory Coast·2|1-2</t>
  </si>
  <si>
    <t>Belgium-South Africa·1|3-1</t>
  </si>
  <si>
    <t>Paraguay-Switzerland·1|3-2</t>
  </si>
  <si>
    <t>Bosnia and Herzegovina-Austria·2|0-1</t>
  </si>
  <si>
    <t>Turkey-Iran·X|1-1</t>
  </si>
  <si>
    <t>Portugal-Ghana·1|3-2</t>
  </si>
  <si>
    <t>Mexico-Netherlands·2|1-3</t>
  </si>
  <si>
    <t>Paraguay-Belgium·1|2-1</t>
  </si>
  <si>
    <t>Austria-Portugal·2|1-3</t>
  </si>
  <si>
    <t>Spain-Paraguay·1|2-1</t>
  </si>
  <si>
    <t>France-Spain·2|1-3</t>
  </si>
  <si>
    <t>England-Portugal·1|2-0</t>
  </si>
  <si>
    <t>Mbappé</t>
  </si>
  <si>
    <t>Oyarzabal</t>
  </si>
  <si>
    <t>Luca Paloschi</t>
  </si>
  <si>
    <t>Czech Republic-Canada·1|1-0</t>
  </si>
  <si>
    <t>England-Senegal·2|1-2</t>
  </si>
  <si>
    <t>Portugal-Croatia·2|1-2</t>
  </si>
  <si>
    <t>Switzerland-Austria·X|1-1</t>
  </si>
  <si>
    <t>Australia-Egypt·2|1-2</t>
  </si>
  <si>
    <t>Mexico-Senegal·1|1-0</t>
  </si>
  <si>
    <t>Argentina-Egypt·1|3-1</t>
  </si>
  <si>
    <t>Austria-Colombia·2|1-2</t>
  </si>
  <si>
    <t>Brazil-Mexico·1|2-0</t>
  </si>
  <si>
    <t>Argentina-Colombia·1|1-0</t>
  </si>
  <si>
    <t>Harry kane</t>
  </si>
  <si>
    <t xml:space="preserve">Kylian Mbappe </t>
  </si>
  <si>
    <t xml:space="preserve">Desire Doue </t>
  </si>
  <si>
    <t>Micheal olise</t>
  </si>
  <si>
    <t>Sven Schlichter</t>
  </si>
  <si>
    <t>Germany-Australia·1|2-1</t>
  </si>
  <si>
    <t>France-Sweden·1|2-1</t>
  </si>
  <si>
    <t>United States-Canada·1|1-0</t>
  </si>
  <si>
    <t>Switzerland-New Zealand·1|2-0</t>
  </si>
  <si>
    <t>Portugal-Ivory Coast·1|1-0</t>
  </si>
  <si>
    <t>Argentina-Turkey·1|2-1</t>
  </si>
  <si>
    <t>Netherlands-Spain·1|1-0</t>
  </si>
  <si>
    <t>Spain-England·1|1-0</t>
  </si>
  <si>
    <t>Mbape</t>
  </si>
  <si>
    <t>Van Dijk</t>
  </si>
  <si>
    <t>Yan Diomande</t>
  </si>
  <si>
    <t>Nick van Soest</t>
  </si>
  <si>
    <t>United States-Ivory Coast·X|1-1</t>
  </si>
  <si>
    <t>Colombia-England·X|1-1</t>
  </si>
  <si>
    <t>Austria-Uruguay·X|1-1</t>
  </si>
  <si>
    <t>England-Spain·X|1-1</t>
  </si>
  <si>
    <t>Ivory Coast-Belgium·2|0-1</t>
  </si>
  <si>
    <t>Austria-Turkey·2|1-2</t>
  </si>
  <si>
    <t>Brazil-Croatia·1|3-1</t>
  </si>
  <si>
    <t>Turkey-Portugal·2|0-3</t>
  </si>
  <si>
    <t>Brazil-Portugal·1|2-0</t>
  </si>
  <si>
    <t>Spain-Portugal·X|2-2</t>
  </si>
  <si>
    <t>France-Brazil·1|2-0</t>
  </si>
  <si>
    <t>Vinicius Júnior</t>
  </si>
  <si>
    <t>Gabriel Magalhães</t>
  </si>
  <si>
    <t>Niek Pampiermole</t>
  </si>
  <si>
    <t>South Korea-Scotland·1|1-0</t>
  </si>
  <si>
    <t>England-Austria·1|3-1</t>
  </si>
  <si>
    <t>Belgium-South Africa·2|1-2</t>
  </si>
  <si>
    <t>Spain-Algeria·1|4-0</t>
  </si>
  <si>
    <t>Turkey-South Africa·2|1-2</t>
  </si>
  <si>
    <t>France-Netherlands·2|0-1</t>
  </si>
  <si>
    <t>Spain-South Africa·1|2-0</t>
  </si>
  <si>
    <t>Netherlands-Portugal·1|1-0</t>
  </si>
  <si>
    <t>Christiano Ronaldo</t>
  </si>
  <si>
    <t>Killian Mbappe</t>
  </si>
  <si>
    <t>Virgil van Dijk</t>
  </si>
  <si>
    <t>Bellingham / Haaland</t>
  </si>
  <si>
    <t>Rodri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</si>
</sst>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h:mm;@"/>
    <numFmt numFmtId="165" formatCode="&quot;&quot;;"/>
    <numFmt numFmtId="166" formatCode=";;;"/>
  </numFmts>
  <fonts count="10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1"/>
      <color theme="3"/>
      <name val="Calibri"/>
      <family val="2"/>
      <scheme val="minor"/>
    </font>
    <font>
      <u/>
      <sz val="11"/>
      <color theme="10"/>
      <name val="Calibri"/>
      <family val="2"/>
      <scheme val="minor"/>
    </font>
    <font>
      <u/>
      <sz val="11"/>
      <color theme="11"/>
      <name val="Calibri"/>
      <family val="2"/>
      <scheme val="minor"/>
    </font>
    <font>
      <sz val="11"/>
      <color rgb="FFFF0000"/>
      <name val="Calibri"/>
      <family val="2"/>
      <scheme val="minor"/>
    </font>
    <font>
      <sz val="11"/>
      <color theme="0"/>
      <name val="Calibri"/>
      <family val="2"/>
      <scheme val="minor"/>
    </font>
    <font>
      <b/>
      <sz val="11"/>
      <color theme="0"/>
      <name val="Calibri"/>
      <family val="2"/>
      <scheme val="minor"/>
    </font>
    <font>
      <b/>
      <sz val="11"/>
      <name val="Calibri"/>
      <family val="2"/>
      <scheme val="minor"/>
    </font>
    <font>
      <b/>
      <sz val="10"/>
      <name val="Calibri"/>
      <family val="2"/>
      <scheme val="minor"/>
    </font>
    <font>
      <sz val="11"/>
      <name val="Calibri"/>
      <family val="2"/>
      <scheme val="minor"/>
    </font>
    <font>
      <sz val="8"/>
      <name val="Calibri"/>
      <family val="2"/>
      <scheme val="minor"/>
    </font>
    <font>
      <sz val="8"/>
      <color theme="0"/>
      <name val="Calibri"/>
      <family val="2"/>
      <scheme val="minor"/>
    </font>
    <font>
      <b/>
      <sz val="10"/>
      <color theme="0"/>
      <name val="Calibri"/>
      <family val="2"/>
      <scheme val="minor"/>
    </font>
    <font>
      <b/>
      <sz val="36"/>
      <color theme="0"/>
      <name val="Calibri"/>
      <family val="2"/>
      <scheme val="minor"/>
    </font>
    <font>
      <b/>
      <sz val="8"/>
      <color theme="0"/>
      <name val="Calibri"/>
      <family val="2"/>
      <scheme val="minor"/>
    </font>
    <font>
      <b/>
      <sz val="11"/>
      <color rgb="FF0056A3"/>
      <name val="Calibri"/>
      <family val="2"/>
      <scheme val="minor"/>
    </font>
    <font>
      <sz val="8"/>
      <color rgb="FF0056A3"/>
      <name val="Calibri"/>
      <family val="2"/>
      <scheme val="minor"/>
    </font>
    <font>
      <b/>
      <sz val="10"/>
      <color rgb="FF0056A3"/>
      <name val="Calibri"/>
      <family val="2"/>
      <scheme val="minor"/>
    </font>
    <font>
      <b/>
      <sz val="14"/>
      <color theme="0"/>
      <name val="Calibri"/>
      <family val="2"/>
      <scheme val="minor"/>
    </font>
    <font>
      <sz val="10"/>
      <color theme="1"/>
      <name val="Calibri"/>
      <family val="2"/>
      <scheme val="minor"/>
    </font>
    <font>
      <sz val="11"/>
      <color theme="1"/>
      <name val="Calibri"/>
      <family val="2"/>
      <scheme val="minor"/>
    </font>
    <font>
      <b/>
      <sz val="11"/>
      <color rgb="FF0056A4"/>
      <name val="Calibri"/>
      <family val="2"/>
      <scheme val="minor"/>
    </font>
    <font>
      <b/>
      <sz val="14"/>
      <color rgb="FFFFFFFF"/>
      <name val="Calibri"/>
      <family val="2"/>
      <scheme val="minor"/>
    </font>
    <font>
      <sz val="10"/>
      <name val="Calibri"/>
      <family val="2"/>
      <scheme val="minor"/>
    </font>
    <font>
      <b/>
      <sz val="11"/>
      <color theme="1" tint="0.249977111117893"/>
      <name val="Calibri"/>
      <family val="2"/>
      <scheme val="minor"/>
    </font>
    <font>
      <b/>
      <sz val="10"/>
      <color theme="1" tint="0.249977111117893"/>
      <name val="Calibri"/>
      <family val="2"/>
      <scheme val="minor"/>
    </font>
    <font>
      <sz val="8"/>
      <color theme="1" tint="0.249977111117893"/>
      <name val="Calibri"/>
      <family val="2"/>
      <scheme val="minor"/>
    </font>
    <font>
      <b/>
      <sz val="18"/>
      <color theme="0"/>
      <name val="Calibri"/>
      <family val="2"/>
      <scheme val="minor"/>
    </font>
    <font>
      <b/>
      <sz val="20"/>
      <color theme="0"/>
      <name val="Calibri"/>
      <family val="2"/>
      <scheme val="minor"/>
    </font>
    <font>
      <b/>
      <sz val="16"/>
      <color theme="0"/>
      <name val="Calibri"/>
      <family val="2"/>
      <scheme val="minor"/>
    </font>
    <font>
      <sz val="11"/>
      <color theme="1"/>
      <name val="Arial"/>
      <family val="2"/>
    </font>
    <font>
      <u/>
      <sz val="11"/>
      <color theme="10"/>
      <name val="Arial"/>
      <family val="2"/>
    </font>
    <font>
      <sz val="14"/>
      <color theme="1" tint="0.249977111117893"/>
      <name val="Arial"/>
      <family val="2"/>
    </font>
    <font>
      <sz val="11"/>
      <color theme="0" tint="-0.34998626667073579"/>
      <name val="Arial"/>
      <family val="2"/>
    </font>
    <font>
      <sz val="11"/>
      <name val="Arial"/>
      <family val="2"/>
    </font>
    <font>
      <sz val="12"/>
      <name val="Arial"/>
      <family val="2"/>
    </font>
    <font>
      <sz val="11"/>
      <color theme="0"/>
      <name val="Arial"/>
      <family val="2"/>
    </font>
    <font>
      <b/>
      <sz val="12"/>
      <color theme="0"/>
      <name val="Arial"/>
      <family val="2"/>
    </font>
    <font>
      <sz val="11"/>
      <color rgb="FF828081"/>
      <name val="Arial"/>
      <family val="2"/>
    </font>
    <font>
      <b/>
      <sz val="16"/>
      <color rgb="FFFFFFFF"/>
      <name val="Arial"/>
      <family val="2"/>
    </font>
    <font>
      <sz val="11"/>
      <color rgb="FF1B4066"/>
      <name val="Arial"/>
      <family val="2"/>
    </font>
    <font>
      <sz val="14"/>
      <color rgb="FF1B4066"/>
      <name val="Arial"/>
      <family val="2"/>
    </font>
    <font>
      <sz val="10"/>
      <color rgb="FF1B4066"/>
      <name val="Calibri"/>
      <family val="2"/>
      <scheme val="minor"/>
    </font>
    <font>
      <sz val="11"/>
      <color rgb="FF1B4066"/>
      <name val="Calibri"/>
      <family val="2"/>
      <scheme val="minor"/>
    </font>
    <font>
      <b/>
      <sz val="11"/>
      <color rgb="FF1B4066"/>
      <name val="Calibri"/>
      <family val="2"/>
      <scheme val="minor"/>
    </font>
    <font>
      <b/>
      <sz val="11"/>
      <color rgb="FF1B4066"/>
      <name val="Cambria"/>
      <family val="1"/>
      <scheme val="major"/>
    </font>
    <font>
      <b/>
      <sz val="20"/>
      <color rgb="FF133461"/>
      <name val="Cambria"/>
      <family val="1"/>
      <scheme val="major"/>
    </font>
    <font>
      <sz val="10"/>
      <color rgb="FF828081"/>
      <name val="Arial"/>
      <family val="2"/>
    </font>
    <font>
      <b/>
      <sz val="11"/>
      <color theme="1" tint="0.249977111117893"/>
      <name val="Cambria"/>
      <family val="1"/>
      <scheme val="major"/>
    </font>
    <font>
      <b/>
      <sz val="10"/>
      <color rgb="FF1B4066"/>
      <name val="Cambria"/>
      <family val="1"/>
      <scheme val="major"/>
    </font>
    <font>
      <b/>
      <sz val="11"/>
      <color theme="0"/>
      <name val="Cambria"/>
      <family val="1"/>
      <scheme val="major"/>
    </font>
    <font>
      <b/>
      <sz val="11"/>
      <color rgb="FFEEEEEE"/>
      <name val="Calibri"/>
      <family val="2"/>
      <scheme val="minor"/>
    </font>
    <font>
      <sz val="11"/>
      <color rgb="FFEEEEEE"/>
      <name val="Calibri"/>
      <family val="2"/>
      <scheme val="minor"/>
    </font>
    <font>
      <b/>
      <sz val="10"/>
      <color rgb="FFEEEEEE"/>
      <name val="Calibri"/>
      <family val="2"/>
      <scheme val="minor"/>
    </font>
    <font>
      <sz val="10"/>
      <color rgb="FFEEEEEE"/>
      <name val="Calibri"/>
      <family val="2"/>
      <scheme val="minor"/>
    </font>
    <font>
      <u/>
      <sz val="11"/>
      <color rgb="FF1B4066"/>
      <name val="Calibri"/>
      <family val="2"/>
      <scheme val="minor"/>
    </font>
    <font>
      <sz val="11"/>
      <color rgb="FF003087"/>
      <name val="Arial"/>
      <family val="2"/>
    </font>
    <font>
      <sz val="11"/>
      <color theme="3"/>
      <name val="Calibri"/>
      <family val="2"/>
      <scheme val="minor"/>
    </font>
    <font>
      <sz val="14"/>
      <color rgb="FFFF0000"/>
      <name val="Arial"/>
      <family val="2"/>
    </font>
    <font>
      <sz val="20"/>
      <color rgb="FFFF0000"/>
      <name val="Arial"/>
      <family val="2"/>
    </font>
    <font>
      <sz val="26"/>
      <color rgb="FFFF0000"/>
      <name val="Arial"/>
      <family val="2"/>
    </font>
    <font>
      <sz val="48"/>
      <color rgb="FFFF0000"/>
      <name val="Arial"/>
      <family val="2"/>
    </font>
    <font>
      <sz val="14"/>
      <color rgb="FFEEEEEE"/>
      <name val="Arial"/>
      <family val="2"/>
    </font>
    <font>
      <u/>
      <sz val="11"/>
      <color theme="1"/>
      <name val="Arial"/>
      <family val="2"/>
    </font>
    <font>
      <b/>
      <sz val="14"/>
      <color theme="0"/>
      <name val="Arial"/>
      <family val="2"/>
    </font>
    <font>
      <b/>
      <sz val="11"/>
      <color rgb="FF58B771"/>
      <name val="Calibri"/>
      <family val="2"/>
      <scheme val="minor"/>
    </font>
    <font>
      <b/>
      <sz val="26"/>
      <color rgb="FF133461"/>
      <name val="Cambria"/>
      <family val="1"/>
      <scheme val="major"/>
    </font>
    <font>
      <sz val="14"/>
      <color rgb="FFEEEEEE"/>
      <name val="Calibri"/>
      <family val="2"/>
      <scheme val="minor"/>
    </font>
    <font>
      <b/>
      <sz val="16"/>
      <color rgb="FF1B4066"/>
      <name val="Calibri"/>
      <family val="2"/>
      <scheme val="minor"/>
    </font>
    <font>
      <b/>
      <sz val="36"/>
      <color rgb="FF1B4066"/>
      <name val="Cambria"/>
      <family val="1"/>
      <scheme val="major"/>
    </font>
    <font>
      <sz val="11"/>
      <color rgb="FFEEEEEE"/>
      <name val="Cambria"/>
      <family val="1"/>
      <scheme val="major"/>
    </font>
    <font>
      <sz val="11"/>
      <color rgb="FF1B4066"/>
      <name val="Cambria"/>
      <family val="1"/>
      <scheme val="major"/>
    </font>
    <font>
      <b/>
      <sz val="20"/>
      <color rgb="FF1B4066"/>
      <name val="Cambria"/>
      <family val="1"/>
      <scheme val="major"/>
    </font>
    <font>
      <b/>
      <sz val="16"/>
      <color rgb="FF1B4066"/>
      <name val="Cambria"/>
      <family val="1"/>
      <scheme val="major"/>
    </font>
    <font>
      <sz val="14"/>
      <color rgb="FF1B4066"/>
      <name val="Cambria"/>
      <family val="1"/>
      <scheme val="major"/>
    </font>
    <font>
      <sz val="12"/>
      <color rgb="FF1B4066"/>
      <name val="Cambria"/>
      <family val="1"/>
      <scheme val="major"/>
    </font>
    <font>
      <b/>
      <sz val="9"/>
      <color rgb="FF1B4066"/>
      <name val="Cambria"/>
      <family val="1"/>
      <scheme val="major"/>
    </font>
    <font>
      <i/>
      <sz val="9"/>
      <color rgb="FF1B4066"/>
      <name val="Cambria"/>
      <family val="1"/>
      <scheme val="major"/>
    </font>
    <font>
      <b/>
      <sz val="11"/>
      <color rgb="FFF2F4F6"/>
      <name val="Calibri"/>
      <family val="2"/>
      <scheme val="minor"/>
    </font>
    <font>
      <sz val="8"/>
      <color rgb="FFEEEEEE"/>
      <name val="Calibri"/>
      <family val="2"/>
      <scheme val="minor"/>
    </font>
    <font>
      <sz val="8"/>
      <color rgb="FF1B4066"/>
      <name val="Calibri"/>
      <family val="2"/>
      <scheme val="minor"/>
    </font>
    <font>
      <b/>
      <sz val="24"/>
      <color theme="0"/>
      <name val="Calibri"/>
      <family val="2"/>
      <scheme val="minor"/>
    </font>
    <font>
      <sz val="16"/>
      <color theme="0"/>
      <name val="Calibri"/>
      <family val="2"/>
      <scheme val="minor"/>
    </font>
    <font>
      <sz val="7"/>
      <color theme="1"/>
      <name val="Calibri"/>
      <family val="2"/>
      <scheme val="minor"/>
    </font>
    <font>
      <b/>
      <sz val="7"/>
      <color theme="1"/>
      <name val="Calibri"/>
      <family val="2"/>
      <scheme val="minor"/>
    </font>
    <font>
      <b/>
      <sz val="8"/>
      <color rgb="FFEEEEEE"/>
      <name val="Calibri"/>
      <family val="2"/>
      <scheme val="minor"/>
    </font>
    <font>
      <sz val="10"/>
      <color rgb="FF1B4066"/>
      <name val="Arial"/>
      <family val="2"/>
    </font>
    <font>
      <sz val="11"/>
      <name val="Calibri (Cuerpo)"/>
    </font>
    <font>
      <b/>
      <sz val="12"/>
      <color rgb="FF1B4066"/>
      <name val="Calibri"/>
      <family val="2"/>
      <scheme val="minor"/>
    </font>
    <font>
      <sz val="8"/>
      <color theme="1"/>
      <name val="Calibri"/>
      <family val="2"/>
      <scheme val="minor"/>
    </font>
    <font>
      <b/>
      <sz val="10"/>
      <color rgb="FF1B4066"/>
      <name val="Calibri"/>
      <family val="2"/>
      <scheme val="minor"/>
    </font>
    <font>
      <sz val="10"/>
      <color rgb="FFEEEEEE"/>
      <name val="Arial"/>
      <family val="2"/>
    </font>
    <font>
      <sz val="12"/>
      <color theme="0"/>
      <name val="Calibri"/>
      <family val="2"/>
      <scheme val="minor"/>
    </font>
    <font>
      <sz val="11"/>
      <color theme="0"/>
      <name val="Calibri (Cuerpo)"/>
    </font>
    <font>
      <sz val="12"/>
      <color theme="0"/>
      <name val="Calibri"/>
      <family val="2"/>
    </font>
    <font>
      <b/>
      <sz val="14"/>
      <color rgb="FF1B4066"/>
      <name val="Calibri"/>
      <family val="2"/>
      <scheme val="minor"/>
    </font>
    <font>
      <b/>
      <sz val="8"/>
      <name val="Calibri"/>
      <family val="2"/>
      <scheme val="minor"/>
    </font>
    <font>
      <sz val="9"/>
      <name val="Calibri"/>
      <family val="2"/>
      <scheme val="minor"/>
    </font>
    <font>
      <u/>
      <sz val="11"/>
      <color theme="3" tint="0.39997558519241921"/>
      <name val="Calibri"/>
      <family val="2"/>
      <scheme val="minor"/>
    </font>
    <font>
      <sz val="11"/>
      <color rgb="FFEEEEEE"/>
      <name val="Arial"/>
      <family val="2"/>
    </font>
    <font>
      <sz val="11"/>
      <color theme="0" tint="-0.249977111117893"/>
      <name val="Arial"/>
      <family val="2"/>
    </font>
    <font>
      <sz val="16"/>
      <color rgb="FFFF0000"/>
      <name val="Arial"/>
      <family val="2"/>
    </font>
    <font>
      <sz val="18"/>
      <color rgb="FFFF0000"/>
      <name val="Arial"/>
      <family val="2"/>
    </font>
    <font>
      <u/>
      <sz val="11"/>
      <color theme="0"/>
      <name val="Calibri"/>
      <family val="2"/>
      <scheme val="minor"/>
    </font>
    <font>
      <sz val="10"/>
      <color theme="0"/>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78BB69"/>
        <bgColor indexed="64"/>
      </patternFill>
    </fill>
    <fill>
      <patternFill patternType="solid">
        <fgColor rgb="FFF1E96B"/>
        <bgColor indexed="64"/>
      </patternFill>
    </fill>
    <fill>
      <patternFill patternType="solid">
        <fgColor rgb="FFE50009"/>
        <bgColor indexed="64"/>
      </patternFill>
    </fill>
    <fill>
      <patternFill patternType="solid">
        <fgColor rgb="FF2E5DA6"/>
        <bgColor indexed="64"/>
      </patternFill>
    </fill>
    <fill>
      <patternFill patternType="solid">
        <fgColor rgb="FFF27C0F"/>
        <bgColor indexed="64"/>
      </patternFill>
    </fill>
    <fill>
      <patternFill patternType="solid">
        <fgColor rgb="FF00684E"/>
        <bgColor indexed="64"/>
      </patternFill>
    </fill>
    <fill>
      <patternFill patternType="solid">
        <fgColor rgb="FFB9AFD2"/>
        <bgColor indexed="64"/>
      </patternFill>
    </fill>
    <fill>
      <patternFill patternType="solid">
        <fgColor rgb="FF6DBBB7"/>
        <bgColor indexed="64"/>
      </patternFill>
    </fill>
    <fill>
      <patternFill patternType="solid">
        <fgColor rgb="FF532C92"/>
        <bgColor indexed="64"/>
      </patternFill>
    </fill>
    <fill>
      <patternFill patternType="solid">
        <fgColor rgb="FFF6AB9E"/>
        <bgColor indexed="64"/>
      </patternFill>
    </fill>
    <fill>
      <patternFill patternType="solid">
        <fgColor rgb="FFEA3270"/>
        <bgColor indexed="64"/>
      </patternFill>
    </fill>
    <fill>
      <patternFill patternType="solid">
        <fgColor rgb="FF860020"/>
        <bgColor indexed="64"/>
      </patternFill>
    </fill>
    <fill>
      <patternFill patternType="solid">
        <fgColor rgb="FFEFB810"/>
        <bgColor indexed="64"/>
      </patternFill>
    </fill>
    <fill>
      <patternFill patternType="solid">
        <fgColor rgb="FFC0C0C0"/>
        <bgColor indexed="64"/>
      </patternFill>
    </fill>
    <fill>
      <patternFill patternType="solid">
        <fgColor rgb="FFCD7F32"/>
        <bgColor indexed="64"/>
      </patternFill>
    </fill>
    <fill>
      <patternFill patternType="solid">
        <fgColor rgb="FFBFBFBF"/>
        <bgColor indexed="64"/>
      </patternFill>
    </fill>
    <fill>
      <patternFill patternType="solid">
        <fgColor rgb="FFF2EB71"/>
        <bgColor indexed="64"/>
      </patternFill>
    </fill>
    <fill>
      <patternFill patternType="solid">
        <fgColor rgb="FFEE7701"/>
        <bgColor indexed="64"/>
      </patternFill>
    </fill>
    <fill>
      <patternFill patternType="solid">
        <fgColor rgb="FF65BBB0"/>
        <bgColor indexed="64"/>
      </patternFill>
    </fill>
    <fill>
      <patternFill patternType="solid">
        <fgColor rgb="FF0C9F14"/>
        <bgColor indexed="64"/>
      </patternFill>
    </fill>
    <fill>
      <patternFill patternType="solid">
        <fgColor rgb="FF33A9E8"/>
        <bgColor indexed="64"/>
      </patternFill>
    </fill>
    <fill>
      <patternFill patternType="solid">
        <fgColor rgb="FFE62125"/>
        <bgColor indexed="64"/>
      </patternFill>
    </fill>
    <fill>
      <patternFill patternType="solid">
        <fgColor theme="1"/>
        <bgColor indexed="64"/>
      </patternFill>
    </fill>
    <fill>
      <patternFill patternType="solid">
        <fgColor rgb="FF0077B5"/>
        <bgColor indexed="64"/>
      </patternFill>
    </fill>
    <fill>
      <patternFill patternType="solid">
        <fgColor rgb="FFEEEEEE"/>
        <bgColor indexed="64"/>
      </patternFill>
    </fill>
    <fill>
      <patternFill patternType="solid">
        <fgColor rgb="FF3E70A6"/>
        <bgColor indexed="64"/>
      </patternFill>
    </fill>
    <fill>
      <patternFill patternType="solid">
        <fgColor rgb="FFFFC7CE"/>
        <bgColor indexed="64"/>
      </patternFill>
    </fill>
    <fill>
      <patternFill patternType="solid">
        <fgColor rgb="FF0D6EFD"/>
        <bgColor indexed="64"/>
      </patternFill>
    </fill>
    <fill>
      <patternFill patternType="solid">
        <fgColor rgb="FFF8F9FA"/>
        <bgColor indexed="64"/>
      </patternFill>
    </fill>
    <fill>
      <patternFill patternType="solid">
        <fgColor rgb="FFD1E7DD"/>
        <bgColor indexed="64"/>
      </patternFill>
    </fill>
    <fill>
      <patternFill patternType="solid">
        <fgColor rgb="FFF2F4F6"/>
        <bgColor indexed="64"/>
      </patternFill>
    </fill>
    <fill>
      <patternFill patternType="solid">
        <fgColor rgb="FFF7F8F9"/>
        <bgColor indexed="64"/>
      </patternFill>
    </fill>
    <fill>
      <patternFill patternType="solid">
        <fgColor rgb="FFF0F1F3"/>
        <bgColor indexed="64"/>
      </patternFill>
    </fill>
    <fill>
      <patternFill patternType="solid">
        <fgColor rgb="FFE7E6E6"/>
        <bgColor indexed="64"/>
      </patternFill>
    </fill>
    <fill>
      <patternFill patternType="solid">
        <fgColor rgb="FFFFFFFF"/>
        <bgColor rgb="FF000000"/>
      </patternFill>
    </fill>
  </fills>
  <borders count="193">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style="thin">
        <color theme="0"/>
      </right>
      <top/>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right/>
      <top/>
      <bottom style="thin">
        <color rgb="FFCACACA"/>
      </bottom>
      <diagonal/>
    </border>
    <border>
      <left/>
      <right/>
      <top style="thin">
        <color rgb="FFCACACA"/>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medium">
        <color theme="0" tint="-0.249977111117893"/>
      </right>
      <top/>
      <bottom style="medium">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14999847407452621"/>
      </right>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mediumDashed">
        <color theme="0" tint="-0.34998626667073579"/>
      </bottom>
      <diagonal/>
    </border>
    <border>
      <left/>
      <right style="mediumDashed">
        <color theme="0" tint="-0.34998626667073579"/>
      </right>
      <top style="mediumDashed">
        <color theme="0" tint="-0.34998626667073579"/>
      </top>
      <bottom/>
      <diagonal/>
    </border>
    <border>
      <left/>
      <right style="mediumDashed">
        <color theme="0" tint="-0.34998626667073579"/>
      </right>
      <top/>
      <bottom/>
      <diagonal/>
    </border>
    <border>
      <left style="thin">
        <color theme="0" tint="-0.34998626667073579"/>
      </left>
      <right style="mediumDashed">
        <color theme="0" tint="-0.34998626667073579"/>
      </right>
      <top/>
      <bottom style="mediumDashed">
        <color theme="0" tint="-0.34998626667073579"/>
      </bottom>
      <diagonal/>
    </border>
    <border>
      <left style="mediumDashed">
        <color theme="0" tint="-0.34998626667073579"/>
      </left>
      <right style="thin">
        <color theme="0" tint="-0.34998626667073579"/>
      </right>
      <top/>
      <bottom style="mediumDashed">
        <color theme="0" tint="-0.34998626667073579"/>
      </bottom>
      <diagonal/>
    </border>
    <border>
      <left/>
      <right style="thin">
        <color theme="0" tint="-0.34998626667073579"/>
      </right>
      <top/>
      <bottom style="mediumDashed">
        <color theme="0" tint="-0.34998626667073579"/>
      </bottom>
      <diagonal/>
    </border>
    <border>
      <left style="thin">
        <color theme="0" tint="-0.34998626667073579"/>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style="thin">
        <color theme="0" tint="-0.34998626667073579"/>
      </left>
      <right style="mediumDashed">
        <color theme="0" tint="-0.34998626667073579"/>
      </right>
      <top style="mediumDashed">
        <color theme="0" tint="-0.34998626667073579"/>
      </top>
      <bottom/>
      <diagonal/>
    </border>
    <border>
      <left style="mediumDashed">
        <color rgb="FFA6A6A6"/>
      </left>
      <right/>
      <top style="mediumDashed">
        <color rgb="FFA6A6A6"/>
      </top>
      <bottom/>
      <diagonal/>
    </border>
    <border>
      <left/>
      <right/>
      <top style="mediumDashed">
        <color rgb="FFA6A6A6"/>
      </top>
      <bottom/>
      <diagonal/>
    </border>
    <border>
      <left/>
      <right style="mediumDashed">
        <color rgb="FFA6A6A6"/>
      </right>
      <top style="mediumDashed">
        <color rgb="FFA6A6A6"/>
      </top>
      <bottom/>
      <diagonal/>
    </border>
    <border>
      <left style="mediumDashed">
        <color rgb="FFA6A6A6"/>
      </left>
      <right/>
      <top/>
      <bottom/>
      <diagonal/>
    </border>
    <border>
      <left/>
      <right style="mediumDashed">
        <color rgb="FFA6A6A6"/>
      </right>
      <top/>
      <bottom/>
      <diagonal/>
    </border>
    <border>
      <left style="mediumDashed">
        <color rgb="FFA6A6A6"/>
      </left>
      <right/>
      <top/>
      <bottom style="mediumDashed">
        <color rgb="FFA6A6A6"/>
      </bottom>
      <diagonal/>
    </border>
    <border>
      <left/>
      <right/>
      <top/>
      <bottom style="mediumDashed">
        <color rgb="FFA6A6A6"/>
      </bottom>
      <diagonal/>
    </border>
    <border>
      <left/>
      <right style="mediumDashed">
        <color rgb="FFA6A6A6"/>
      </right>
      <top/>
      <bottom style="mediumDashed">
        <color rgb="FFA6A6A6"/>
      </bottom>
      <diagonal/>
    </border>
    <border>
      <left style="medium">
        <color theme="0"/>
      </left>
      <right style="medium">
        <color theme="0"/>
      </right>
      <top style="medium">
        <color theme="0"/>
      </top>
      <bottom style="medium">
        <color theme="0"/>
      </bottom>
      <diagonal/>
    </border>
    <border>
      <left style="thin">
        <color theme="0" tint="-0.249977111117893"/>
      </left>
      <right/>
      <top style="thin">
        <color theme="0" tint="-0.249977111117893"/>
      </top>
      <bottom/>
      <diagonal/>
    </border>
    <border>
      <left style="thin">
        <color theme="0" tint="-0.249977111117893"/>
      </left>
      <right/>
      <top/>
      <bottom/>
      <diagonal/>
    </border>
    <border>
      <left/>
      <right/>
      <top style="thin">
        <color theme="0" tint="-0.249977111117893"/>
      </top>
      <bottom/>
      <diagonal/>
    </border>
    <border>
      <left/>
      <right/>
      <top/>
      <bottom style="thin">
        <color theme="0" tint="-0.249977111117893"/>
      </bottom>
      <diagonal/>
    </border>
    <border>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style="thin">
        <color theme="0" tint="-0.249977111117893"/>
      </bottom>
      <diagonal/>
    </border>
    <border>
      <left style="thin">
        <color theme="0"/>
      </left>
      <right/>
      <top style="thin">
        <color theme="0"/>
      </top>
      <bottom style="thin">
        <color theme="0"/>
      </bottom>
      <diagonal/>
    </border>
    <border>
      <left style="hair">
        <color rgb="FFBFBFBF"/>
      </left>
      <right/>
      <top style="thin">
        <color theme="0"/>
      </top>
      <bottom style="thin">
        <color theme="0"/>
      </bottom>
      <diagonal/>
    </border>
    <border>
      <left style="thin">
        <color rgb="FF1B4066"/>
      </left>
      <right/>
      <top style="thin">
        <color rgb="FF1B4066"/>
      </top>
      <bottom/>
      <diagonal/>
    </border>
    <border>
      <left/>
      <right/>
      <top style="thin">
        <color rgb="FF1B4066"/>
      </top>
      <bottom/>
      <diagonal/>
    </border>
    <border>
      <left/>
      <right style="thin">
        <color rgb="FF1B4066"/>
      </right>
      <top style="thin">
        <color rgb="FF1B4066"/>
      </top>
      <bottom/>
      <diagonal/>
    </border>
    <border>
      <left style="thin">
        <color rgb="FF1B4066"/>
      </left>
      <right/>
      <top/>
      <bottom/>
      <diagonal/>
    </border>
    <border>
      <left/>
      <right style="thin">
        <color rgb="FF1B4066"/>
      </right>
      <top/>
      <bottom/>
      <diagonal/>
    </border>
    <border>
      <left style="thin">
        <color rgb="FF1B4066"/>
      </left>
      <right/>
      <top/>
      <bottom style="thin">
        <color rgb="FF1B4066"/>
      </bottom>
      <diagonal/>
    </border>
    <border>
      <left/>
      <right/>
      <top/>
      <bottom style="thin">
        <color rgb="FF1B4066"/>
      </bottom>
      <diagonal/>
    </border>
    <border>
      <left/>
      <right style="thin">
        <color rgb="FF1B4066"/>
      </right>
      <top/>
      <bottom style="thin">
        <color rgb="FF1B4066"/>
      </bottom>
      <diagonal/>
    </border>
    <border>
      <left style="thin">
        <color theme="0" tint="-0.249977111117893"/>
      </left>
      <right style="thin">
        <color theme="0" tint="-0.249977111117893"/>
      </right>
      <top/>
      <bottom/>
      <diagonal/>
    </border>
    <border>
      <left/>
      <right/>
      <top/>
      <bottom style="thin">
        <color theme="0" tint="-4.9989318521683403E-2"/>
      </bottom>
      <diagonal/>
    </border>
    <border>
      <left/>
      <right/>
      <top/>
      <bottom style="hair">
        <color rgb="FF1B4066"/>
      </bottom>
      <diagonal/>
    </border>
    <border>
      <left/>
      <right style="medium">
        <color rgb="FF2C4D73"/>
      </right>
      <top style="medium">
        <color theme="0"/>
      </top>
      <bottom style="medium">
        <color rgb="FF2C4D73"/>
      </bottom>
      <diagonal/>
    </border>
    <border>
      <left style="thin">
        <color rgb="FF3E70A6"/>
      </left>
      <right/>
      <top style="thin">
        <color rgb="FF3E70A6"/>
      </top>
      <bottom/>
      <diagonal/>
    </border>
    <border>
      <left style="medium">
        <color theme="0"/>
      </left>
      <right style="medium">
        <color theme="0" tint="-0.499984740745262"/>
      </right>
      <top style="medium">
        <color theme="0"/>
      </top>
      <bottom style="medium">
        <color theme="0" tint="-0.499984740745262"/>
      </bottom>
      <diagonal/>
    </border>
    <border>
      <left style="thin">
        <color theme="0" tint="-0.14999847407452621"/>
      </left>
      <right/>
      <top style="thin">
        <color theme="0" tint="-0.14999847407452621"/>
      </top>
      <bottom style="thin">
        <color rgb="FFF2F2F2"/>
      </bottom>
      <diagonal/>
    </border>
    <border>
      <left/>
      <right/>
      <top style="thin">
        <color theme="0" tint="-0.14999847407452621"/>
      </top>
      <bottom style="thin">
        <color rgb="FFF2F2F2"/>
      </bottom>
      <diagonal/>
    </border>
    <border>
      <left/>
      <right style="thin">
        <color theme="0" tint="-0.14999847407452621"/>
      </right>
      <top style="thin">
        <color theme="0" tint="-0.14999847407452621"/>
      </top>
      <bottom style="thin">
        <color rgb="FFF2F2F2"/>
      </bottom>
      <diagonal/>
    </border>
    <border>
      <left style="thin">
        <color theme="0" tint="-0.14999847407452621"/>
      </left>
      <right/>
      <top/>
      <bottom style="thin">
        <color rgb="FFF2F2F2"/>
      </bottom>
      <diagonal/>
    </border>
    <border>
      <left/>
      <right style="thin">
        <color theme="0" tint="-0.14999847407452621"/>
      </right>
      <top/>
      <bottom style="thin">
        <color theme="0" tint="-4.9989318521683403E-2"/>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right style="thin">
        <color rgb="FFE9E6E6"/>
      </right>
      <top/>
      <bottom style="thin">
        <color rgb="FFE8E6E6"/>
      </bottom>
      <diagonal/>
    </border>
    <border>
      <left/>
      <right/>
      <top/>
      <bottom style="thin">
        <color rgb="FFE8E6E6"/>
      </bottom>
      <diagonal/>
    </border>
    <border>
      <left/>
      <right style="thin">
        <color rgb="FFE9E6E6"/>
      </right>
      <top style="thin">
        <color rgb="FFE8E6E6"/>
      </top>
      <bottom style="thin">
        <color rgb="FFE8E6E6"/>
      </bottom>
      <diagonal/>
    </border>
    <border>
      <left/>
      <right/>
      <top/>
      <bottom style="medium">
        <color theme="0" tint="-0.14999847407452621"/>
      </bottom>
      <diagonal/>
    </border>
    <border>
      <left/>
      <right/>
      <top style="medium">
        <color theme="0" tint="-0.14999847407452621"/>
      </top>
      <bottom style="medium">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right/>
      <top style="thin">
        <color rgb="FFE8E6E6"/>
      </top>
      <bottom style="thin">
        <color rgb="FF1B4066"/>
      </bottom>
      <diagonal/>
    </border>
    <border>
      <left/>
      <right style="thin">
        <color rgb="FFE9E6E6"/>
      </right>
      <top style="thin">
        <color rgb="FFE8E6E6"/>
      </top>
      <bottom style="thin">
        <color rgb="FF1B4066"/>
      </bottom>
      <diagonal/>
    </border>
    <border>
      <left style="thin">
        <color rgb="FFE9E6E6"/>
      </left>
      <right style="thin">
        <color rgb="FFE9E6E6"/>
      </right>
      <top style="thin">
        <color rgb="FFE8E6E6"/>
      </top>
      <bottom style="thin">
        <color rgb="FF1B4066"/>
      </bottom>
      <diagonal/>
    </border>
    <border>
      <left/>
      <right style="thin">
        <color theme="0" tint="-0.14999847407452621"/>
      </right>
      <top style="thin">
        <color theme="0" tint="-0.14999847407452621"/>
      </top>
      <bottom style="thin">
        <color rgb="FF1B4066"/>
      </bottom>
      <diagonal/>
    </border>
    <border>
      <left style="thin">
        <color theme="0" tint="-0.14999847407452621"/>
      </left>
      <right/>
      <top style="thin">
        <color theme="0" tint="-0.14999847407452621"/>
      </top>
      <bottom style="thin">
        <color rgb="FF1B4066"/>
      </bottom>
      <diagonal/>
    </border>
    <border>
      <left/>
      <right style="thin">
        <color rgb="FFBFBFBF"/>
      </right>
      <top/>
      <bottom/>
      <diagonal/>
    </border>
    <border>
      <left style="thin">
        <color rgb="FFBFBFBF"/>
      </left>
      <right/>
      <top/>
      <bottom style="thin">
        <color rgb="FFBFBFBF"/>
      </bottom>
      <diagonal/>
    </border>
    <border>
      <left/>
      <right style="thin">
        <color rgb="FFBFBFBF"/>
      </right>
      <top/>
      <bottom style="thin">
        <color rgb="FFBFBFBF"/>
      </bottom>
      <diagonal/>
    </border>
    <border>
      <left/>
      <right style="thin">
        <color rgb="FFBFBFBF"/>
      </right>
      <top style="medium">
        <color theme="0" tint="-0.249977111117893"/>
      </top>
      <bottom/>
      <diagonal/>
    </border>
    <border>
      <left style="thin">
        <color theme="0" tint="-0.14999847407452621"/>
      </left>
      <right/>
      <top/>
      <bottom/>
      <diagonal/>
    </border>
    <border>
      <left style="medium">
        <color rgb="FFEEEEEE"/>
      </left>
      <right/>
      <top style="medium">
        <color rgb="FFEEEEEE"/>
      </top>
      <bottom style="medium">
        <color rgb="FFEEEEEE"/>
      </bottom>
      <diagonal/>
    </border>
    <border>
      <left/>
      <right/>
      <top style="medium">
        <color rgb="FFEEEEEE"/>
      </top>
      <bottom style="medium">
        <color rgb="FFEEEEEE"/>
      </bottom>
      <diagonal/>
    </border>
    <border>
      <left/>
      <right/>
      <top/>
      <bottom style="thick">
        <color theme="0"/>
      </bottom>
      <diagonal/>
    </border>
    <border>
      <left/>
      <right/>
      <top style="medium">
        <color rgb="FFEEEEEE"/>
      </top>
      <bottom/>
      <diagonal/>
    </border>
    <border>
      <left/>
      <right style="thin">
        <color rgb="FFE9E6E6"/>
      </right>
      <top/>
      <bottom/>
      <diagonal/>
    </border>
    <border>
      <left/>
      <right style="thin">
        <color rgb="FFE9E6E6"/>
      </right>
      <top style="thin">
        <color rgb="FFE8E6E6"/>
      </top>
      <bottom/>
      <diagonal/>
    </border>
    <border>
      <left/>
      <right/>
      <top style="thin">
        <color rgb="FFE8E6E6"/>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diagonal/>
    </border>
    <border>
      <left style="hair">
        <color rgb="FFDEE2E6"/>
      </left>
      <right/>
      <top style="hair">
        <color rgb="FFDEE2E6"/>
      </top>
      <bottom/>
      <diagonal/>
    </border>
    <border>
      <left/>
      <right/>
      <top style="hair">
        <color rgb="FFDEE2E6"/>
      </top>
      <bottom/>
      <diagonal/>
    </border>
    <border>
      <left/>
      <right style="hair">
        <color rgb="FFDEE2E6"/>
      </right>
      <top style="hair">
        <color rgb="FFDEE2E6"/>
      </top>
      <bottom/>
      <diagonal/>
    </border>
    <border>
      <left style="hair">
        <color rgb="FFDEE2E6"/>
      </left>
      <right/>
      <top/>
      <bottom/>
      <diagonal/>
    </border>
    <border>
      <left/>
      <right style="hair">
        <color rgb="FFDEE2E6"/>
      </right>
      <top/>
      <bottom/>
      <diagonal/>
    </border>
    <border>
      <left style="hair">
        <color rgb="FFDEE2E6"/>
      </left>
      <right/>
      <top/>
      <bottom style="hair">
        <color rgb="FFDEE2E6"/>
      </bottom>
      <diagonal/>
    </border>
    <border>
      <left/>
      <right/>
      <top/>
      <bottom style="hair">
        <color rgb="FFDEE2E6"/>
      </bottom>
      <diagonal/>
    </border>
    <border>
      <left/>
      <right style="hair">
        <color rgb="FFDEE2E6"/>
      </right>
      <top/>
      <bottom style="hair">
        <color rgb="FFDEE2E6"/>
      </bottom>
      <diagonal/>
    </border>
    <border>
      <left style="medium">
        <color rgb="FFD9DCE0"/>
      </left>
      <right/>
      <top style="medium">
        <color rgb="FFD9DCE0"/>
      </top>
      <bottom/>
      <diagonal/>
    </border>
    <border>
      <left style="medium">
        <color rgb="FFD9DCE0"/>
      </left>
      <right/>
      <top/>
      <bottom/>
      <diagonal/>
    </border>
    <border>
      <left/>
      <right style="medium">
        <color rgb="FFD9DCE0"/>
      </right>
      <top/>
      <bottom/>
      <diagonal/>
    </border>
    <border>
      <left style="medium">
        <color rgb="FFD9DCE0"/>
      </left>
      <right/>
      <top/>
      <bottom style="medium">
        <color rgb="FFD9DCE0"/>
      </bottom>
      <diagonal/>
    </border>
    <border>
      <left/>
      <right/>
      <top/>
      <bottom style="medium">
        <color rgb="FFD9DCE0"/>
      </bottom>
      <diagonal/>
    </border>
    <border>
      <left/>
      <right style="medium">
        <color rgb="FFD9DCE0"/>
      </right>
      <top/>
      <bottom style="medium">
        <color rgb="FFD9DCE0"/>
      </bottom>
      <diagonal/>
    </border>
    <border>
      <left style="medium">
        <color rgb="FFD9DCE0"/>
      </left>
      <right/>
      <top style="thin">
        <color theme="2"/>
      </top>
      <bottom/>
      <diagonal/>
    </border>
    <border>
      <left style="thin">
        <color rgb="FFF2F4F6"/>
      </left>
      <right/>
      <top/>
      <bottom/>
      <diagonal/>
    </border>
    <border>
      <left style="thin">
        <color rgb="FFF2F4F6"/>
      </left>
      <right/>
      <top/>
      <bottom style="thin">
        <color rgb="FFF2F4F6"/>
      </bottom>
      <diagonal/>
    </border>
    <border>
      <left/>
      <right/>
      <top/>
      <bottom style="thin">
        <color rgb="FFF2F4F6"/>
      </bottom>
      <diagonal/>
    </border>
    <border>
      <left style="medium">
        <color rgb="FFD9DCE0"/>
      </left>
      <right/>
      <top style="medium">
        <color rgb="FFD9DCE0"/>
      </top>
      <bottom style="medium">
        <color rgb="FFD9DCE0"/>
      </bottom>
      <diagonal/>
    </border>
    <border>
      <left/>
      <right/>
      <top style="medium">
        <color rgb="FFD9DCE0"/>
      </top>
      <bottom style="medium">
        <color rgb="FFD9DCE0"/>
      </bottom>
      <diagonal/>
    </border>
    <border>
      <left/>
      <right style="medium">
        <color rgb="FFD9DCE0"/>
      </right>
      <top style="medium">
        <color rgb="FFD9DCE0"/>
      </top>
      <bottom style="medium">
        <color rgb="FFD9DCE0"/>
      </bottom>
      <diagonal/>
    </border>
    <border>
      <left/>
      <right/>
      <top style="medium">
        <color rgb="FFD9DCE0"/>
      </top>
      <bottom style="thin">
        <color rgb="FFF2F2F2"/>
      </bottom>
      <diagonal/>
    </border>
    <border>
      <left/>
      <right style="medium">
        <color rgb="FFD9DCE0"/>
      </right>
      <top style="medium">
        <color rgb="FFD9DCE0"/>
      </top>
      <bottom style="thin">
        <color rgb="FFF2F2F2"/>
      </bottom>
      <diagonal/>
    </border>
    <border>
      <left/>
      <right style="medium">
        <color theme="0" tint="-0.249977111117893"/>
      </right>
      <top style="medium">
        <color theme="0" tint="-0.249977111117893"/>
      </top>
      <bottom/>
      <diagonal/>
    </border>
    <border>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medium">
        <color theme="0" tint="-0.249977111117893"/>
      </left>
      <right/>
      <top/>
      <bottom style="thin">
        <color rgb="FFCACACA"/>
      </bottom>
      <diagonal/>
    </border>
    <border>
      <left/>
      <right style="medium">
        <color theme="0" tint="-0.249977111117893"/>
      </right>
      <top/>
      <bottom style="thin">
        <color rgb="FFCACACA"/>
      </bottom>
      <diagonal/>
    </border>
    <border>
      <left style="medium">
        <color rgb="FFBFBFBF"/>
      </left>
      <right/>
      <top style="medium">
        <color rgb="FFBFBFBF"/>
      </top>
      <bottom style="thin">
        <color theme="2"/>
      </bottom>
      <diagonal/>
    </border>
    <border>
      <left/>
      <right style="medium">
        <color rgb="FFBFBFBF"/>
      </right>
      <top style="medium">
        <color rgb="FFBFBFBF"/>
      </top>
      <bottom style="thin">
        <color theme="2"/>
      </bottom>
      <diagonal/>
    </border>
    <border>
      <left style="medium">
        <color theme="0" tint="-0.249977111117893"/>
      </left>
      <right/>
      <top style="thin">
        <color rgb="FFCACACA"/>
      </top>
      <bottom/>
      <diagonal/>
    </border>
    <border>
      <left/>
      <right style="medium">
        <color theme="0" tint="-0.249977111117893"/>
      </right>
      <top style="thin">
        <color rgb="FFCACACA"/>
      </top>
      <bottom/>
      <diagonal/>
    </border>
    <border>
      <left style="medium">
        <color rgb="FFBFBFBF"/>
      </left>
      <right style="thin">
        <color rgb="FFBFBFBF"/>
      </right>
      <top style="thin">
        <color theme="2"/>
      </top>
      <bottom style="thin">
        <color theme="2"/>
      </bottom>
      <diagonal/>
    </border>
    <border>
      <left/>
      <right style="medium">
        <color rgb="FFBFBFBF"/>
      </right>
      <top style="thin">
        <color theme="2"/>
      </top>
      <bottom style="thin">
        <color theme="2"/>
      </bottom>
      <diagonal/>
    </border>
    <border>
      <left/>
      <right style="thin">
        <color theme="0" tint="-0.249977111117893"/>
      </right>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rgb="FFBFBFBF"/>
      </left>
      <right style="thin">
        <color rgb="FFBFBFBF"/>
      </right>
      <top style="thin">
        <color theme="2"/>
      </top>
      <bottom style="medium">
        <color rgb="FFBFBFBF"/>
      </bottom>
      <diagonal/>
    </border>
    <border>
      <left/>
      <right style="medium">
        <color rgb="FFBFBFBF"/>
      </right>
      <top style="thin">
        <color theme="2"/>
      </top>
      <bottom style="medium">
        <color rgb="FFBFBFBF"/>
      </bottom>
      <diagonal/>
    </border>
    <border>
      <left style="medium">
        <color rgb="FFA9A9A9"/>
      </left>
      <right/>
      <top style="thin">
        <color rgb="FFCACACA"/>
      </top>
      <bottom/>
      <diagonal/>
    </border>
    <border>
      <left/>
      <right style="medium">
        <color rgb="FFA9A9A9"/>
      </right>
      <top style="thin">
        <color rgb="FFCACACA"/>
      </top>
      <bottom/>
      <diagonal/>
    </border>
    <border>
      <left style="medium">
        <color rgb="FFA9A9A9"/>
      </left>
      <right/>
      <top/>
      <bottom/>
      <diagonal/>
    </border>
    <border>
      <left/>
      <right style="medium">
        <color rgb="FFA9A9A9"/>
      </right>
      <top/>
      <bottom/>
      <diagonal/>
    </border>
    <border>
      <left style="medium">
        <color rgb="FFA9A9A9"/>
      </left>
      <right/>
      <top/>
      <bottom style="medium">
        <color rgb="FFA9A9A9"/>
      </bottom>
      <diagonal/>
    </border>
    <border>
      <left/>
      <right/>
      <top/>
      <bottom style="medium">
        <color rgb="FFA9A9A9"/>
      </bottom>
      <diagonal/>
    </border>
    <border>
      <left/>
      <right style="medium">
        <color rgb="FFA9A9A9"/>
      </right>
      <top/>
      <bottom style="medium">
        <color rgb="FFA9A9A9"/>
      </bottom>
      <diagonal/>
    </border>
    <border>
      <left style="thin">
        <color theme="0"/>
      </left>
      <right/>
      <top/>
      <bottom/>
      <diagonal/>
    </border>
    <border>
      <left style="thin">
        <color theme="0" tint="-0.249977111117893"/>
      </left>
      <right style="thin">
        <color theme="0" tint="-0.249977111117893"/>
      </right>
      <top style="thin">
        <color theme="0" tint="-0.249977111117893"/>
      </top>
      <bottom style="medium">
        <color rgb="FFBFBFBF"/>
      </bottom>
      <diagonal/>
    </border>
    <border>
      <left style="medium">
        <color theme="0" tint="-0.249977111117893"/>
      </left>
      <right style="medium">
        <color theme="0" tint="-0.249977111117893"/>
      </right>
      <top/>
      <bottom/>
      <diagonal/>
    </border>
    <border>
      <left style="thin">
        <color theme="0"/>
      </left>
      <right style="thin">
        <color theme="0"/>
      </right>
      <top style="thin">
        <color theme="0"/>
      </top>
      <bottom/>
      <diagonal/>
    </border>
    <border>
      <left style="medium">
        <color theme="0" tint="-0.249977111117893"/>
      </left>
      <right style="medium">
        <color theme="0" tint="-0.249977111117893"/>
      </right>
      <top/>
      <bottom style="medium">
        <color theme="0" tint="-0.249977111117893"/>
      </bottom>
      <diagonal/>
    </border>
    <border>
      <left style="thin">
        <color theme="0"/>
      </left>
      <right style="thin">
        <color theme="0"/>
      </right>
      <top style="thin">
        <color theme="0"/>
      </top>
      <bottom style="medium">
        <color rgb="FFBFBFBF"/>
      </bottom>
      <diagonal/>
    </border>
    <border>
      <left/>
      <right style="medium">
        <color rgb="FFBFBFBF"/>
      </right>
      <top/>
      <bottom/>
      <diagonal/>
    </border>
    <border>
      <left/>
      <right style="thin">
        <color theme="0" tint="-0.14999847407452621"/>
      </right>
      <top/>
      <bottom style="medium">
        <color theme="0" tint="-0.249977111117893"/>
      </bottom>
      <diagonal/>
    </border>
    <border>
      <left/>
      <right style="medium">
        <color rgb="FFBFBFBF"/>
      </right>
      <top/>
      <bottom style="medium">
        <color theme="0" tint="-0.249977111117893"/>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style="medium">
        <color theme="0" tint="-0.249977111117893"/>
      </top>
      <bottom/>
      <diagonal/>
    </border>
    <border>
      <left/>
      <right style="medium">
        <color rgb="FFBFBFBF"/>
      </right>
      <top style="medium">
        <color theme="0" tint="-0.249977111117893"/>
      </top>
      <bottom/>
      <diagonal/>
    </border>
    <border>
      <left style="medium">
        <color rgb="FFBFBFBF"/>
      </left>
      <right style="medium">
        <color theme="0" tint="-0.249977111117893"/>
      </right>
      <top/>
      <bottom/>
      <diagonal/>
    </border>
    <border>
      <left style="medium">
        <color rgb="FFBFBFBF"/>
      </left>
      <right style="medium">
        <color theme="0" tint="-0.249977111117893"/>
      </right>
      <top/>
      <bottom style="medium">
        <color rgb="FFBFBFBF"/>
      </bottom>
      <diagonal/>
    </border>
    <border>
      <left/>
      <right/>
      <top/>
      <bottom style="medium">
        <color rgb="FFBFBFBF"/>
      </bottom>
      <diagonal/>
    </border>
    <border>
      <left/>
      <right style="thin">
        <color theme="0" tint="-0.14999847407452621"/>
      </right>
      <top/>
      <bottom style="medium">
        <color rgb="FFBFBFBF"/>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style="thin">
        <color theme="0" tint="-0.14999847407452621"/>
      </left>
      <right/>
      <top/>
      <bottom style="medium">
        <color rgb="FFBFBFBF"/>
      </bottom>
      <diagonal/>
    </border>
    <border>
      <left style="thin">
        <color theme="0"/>
      </left>
      <right style="thin">
        <color theme="0"/>
      </right>
      <top/>
      <bottom style="medium">
        <color rgb="FFBFBFBF"/>
      </bottom>
      <diagonal/>
    </border>
    <border>
      <left style="medium">
        <color rgb="FFBFBFBF"/>
      </left>
      <right/>
      <top/>
      <bottom/>
      <diagonal/>
    </border>
    <border>
      <left style="medium">
        <color rgb="FFBFBFBF"/>
      </left>
      <right/>
      <top/>
      <bottom style="medium">
        <color rgb="FFBFBFBF"/>
      </bottom>
      <diagonal/>
    </border>
    <border>
      <left/>
      <right/>
      <top style="thin">
        <color rgb="FFEEEEEE"/>
      </top>
      <bottom/>
      <diagonal/>
    </border>
    <border>
      <left style="thin">
        <color rgb="FFBEBEBE"/>
      </left>
      <right/>
      <top/>
      <bottom style="thin">
        <color rgb="FFBFBFBF"/>
      </bottom>
      <diagonal/>
    </border>
    <border>
      <left style="thin">
        <color rgb="FFBEBEBE"/>
      </left>
      <right/>
      <top/>
      <bottom/>
      <diagonal/>
    </border>
    <border>
      <left style="medium">
        <color rgb="FF1B4066"/>
      </left>
      <right style="medium">
        <color rgb="FF1B4066"/>
      </right>
      <top style="medium">
        <color rgb="FF1B4066"/>
      </top>
      <bottom style="medium">
        <color rgb="FF1B4066"/>
      </bottom>
      <diagonal/>
    </border>
    <border>
      <left style="thin">
        <color rgb="FF1B4066"/>
      </left>
      <right style="thin">
        <color rgb="FF1B4066"/>
      </right>
      <top style="thin">
        <color rgb="FF1B4066"/>
      </top>
      <bottom style="thin">
        <color rgb="FF1B4066"/>
      </bottom>
      <diagonal/>
    </border>
    <border>
      <left style="thin">
        <color rgb="FF1B4066"/>
      </left>
      <right/>
      <top style="thin">
        <color rgb="FF1B4066"/>
      </top>
      <bottom style="thin">
        <color rgb="FF1B4066"/>
      </bottom>
      <diagonal/>
    </border>
    <border>
      <left/>
      <right/>
      <top style="thin">
        <color rgb="FF1B4066"/>
      </top>
      <bottom style="thin">
        <color rgb="FF1B4066"/>
      </bottom>
      <diagonal/>
    </border>
    <border>
      <left/>
      <right style="thin">
        <color rgb="FF1B4066"/>
      </right>
      <top style="thin">
        <color rgb="FF1B4066"/>
      </top>
      <bottom style="thin">
        <color rgb="FF1B4066"/>
      </bottom>
      <diagonal/>
    </border>
    <border>
      <left/>
      <right style="thin">
        <color rgb="FFD9D9D9"/>
      </right>
      <top style="thin">
        <color rgb="FFD9D9D9"/>
      </top>
      <bottom style="thin">
        <color rgb="FFD9D9D9"/>
      </bottom>
      <diagonal/>
    </border>
    <border>
      <left/>
      <right style="thin">
        <color theme="0"/>
      </right>
      <top style="thin">
        <color theme="0"/>
      </top>
      <bottom style="thin">
        <color theme="0"/>
      </bottom>
      <diagonal/>
    </border>
  </borders>
  <cellStyleXfs count="98">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4" fillId="0" borderId="0"/>
    <xf numFmtId="0" fontId="3" fillId="0" borderId="0"/>
    <xf numFmtId="0" fontId="24" fillId="0" borderId="0"/>
    <xf numFmtId="0" fontId="2" fillId="0" borderId="0"/>
    <xf numFmtId="0" fontId="6" fillId="0" borderId="0" applyNumberFormat="0" applyFill="0" applyBorder="0" applyAlignment="0" applyProtection="0"/>
    <xf numFmtId="0" fontId="24" fillId="0" borderId="0"/>
    <xf numFmtId="0" fontId="1" fillId="0" borderId="0"/>
    <xf numFmtId="9" fontId="24" fillId="0" borderId="0" applyFont="0" applyFill="0" applyBorder="0" applyAlignment="0" applyProtection="0"/>
  </cellStyleXfs>
  <cellXfs count="865">
    <xf numFmtId="0" fontId="0" fillId="0" borderId="0" xfId="0"/>
    <xf numFmtId="0" fontId="0" fillId="0" borderId="0" xfId="0" applyProtection="1">
      <protection hidden="1"/>
    </xf>
    <xf numFmtId="0" fontId="0" fillId="0" borderId="0" xfId="0" applyAlignment="1" applyProtection="1">
      <alignment horizontal="center"/>
      <protection hidden="1"/>
    </xf>
    <xf numFmtId="0" fontId="24" fillId="2" borderId="0" xfId="90" applyFill="1"/>
    <xf numFmtId="0" fontId="24" fillId="0" borderId="0" xfId="90"/>
    <xf numFmtId="0" fontId="13" fillId="0" borderId="0" xfId="0" applyFont="1" applyProtection="1">
      <protection hidden="1"/>
    </xf>
    <xf numFmtId="0" fontId="0" fillId="0" borderId="0" xfId="0" applyAlignment="1">
      <alignment horizontal="center"/>
    </xf>
    <xf numFmtId="0" fontId="8" fillId="0" borderId="0" xfId="0" applyFont="1" applyProtection="1">
      <protection hidden="1"/>
    </xf>
    <xf numFmtId="0" fontId="9" fillId="0" borderId="0" xfId="0" applyFont="1" applyProtection="1">
      <protection hidden="1"/>
    </xf>
    <xf numFmtId="0" fontId="13" fillId="0" borderId="0" xfId="0" applyFont="1"/>
    <xf numFmtId="0" fontId="13" fillId="0" borderId="0" xfId="0" applyFont="1" applyAlignment="1">
      <alignment horizontal="center"/>
    </xf>
    <xf numFmtId="0" fontId="9" fillId="0" borderId="0" xfId="0" applyFont="1"/>
    <xf numFmtId="0" fontId="41" fillId="30" borderId="52" xfId="27" applyFont="1" applyFill="1" applyBorder="1" applyAlignment="1" applyProtection="1">
      <alignment horizontal="center" vertical="center"/>
      <protection hidden="1"/>
    </xf>
    <xf numFmtId="0" fontId="41" fillId="31" borderId="52" xfId="27" applyFont="1" applyFill="1" applyBorder="1" applyAlignment="1" applyProtection="1">
      <alignment horizontal="center" vertical="center"/>
      <protection hidden="1"/>
    </xf>
    <xf numFmtId="0" fontId="41" fillId="32" borderId="52" xfId="27" applyFont="1" applyFill="1" applyBorder="1" applyAlignment="1" applyProtection="1">
      <alignment horizontal="center" vertical="center"/>
      <protection hidden="1"/>
    </xf>
    <xf numFmtId="0" fontId="41" fillId="33" borderId="52" xfId="27" applyFont="1" applyFill="1" applyBorder="1" applyAlignment="1" applyProtection="1">
      <alignment horizontal="center" vertical="center"/>
      <protection hidden="1"/>
    </xf>
    <xf numFmtId="0" fontId="4" fillId="35" borderId="0" xfId="0" applyFont="1" applyFill="1" applyAlignment="1" applyProtection="1">
      <alignment vertical="center"/>
      <protection hidden="1"/>
    </xf>
    <xf numFmtId="0" fontId="0" fillId="35" borderId="0" xfId="0" applyFill="1"/>
    <xf numFmtId="0" fontId="55" fillId="35" borderId="0" xfId="0" applyFont="1" applyFill="1" applyProtection="1">
      <protection hidden="1"/>
    </xf>
    <xf numFmtId="0" fontId="56" fillId="35" borderId="0" xfId="0" applyFont="1" applyFill="1" applyProtection="1">
      <protection hidden="1"/>
    </xf>
    <xf numFmtId="0" fontId="56" fillId="0" borderId="0" xfId="0" applyFont="1" applyProtection="1">
      <protection hidden="1"/>
    </xf>
    <xf numFmtId="0" fontId="56" fillId="0" borderId="0" xfId="0" applyFont="1"/>
    <xf numFmtId="0" fontId="55" fillId="35" borderId="0" xfId="0" applyFont="1" applyFill="1" applyAlignment="1" applyProtection="1">
      <alignment horizontal="center"/>
      <protection hidden="1"/>
    </xf>
    <xf numFmtId="0" fontId="56" fillId="0" borderId="0" xfId="0" applyFont="1" applyAlignment="1">
      <alignment horizontal="center"/>
    </xf>
    <xf numFmtId="0" fontId="56" fillId="0" borderId="0" xfId="0" applyFont="1" applyAlignment="1" applyProtection="1">
      <alignment horizontal="center"/>
      <protection hidden="1"/>
    </xf>
    <xf numFmtId="0" fontId="56" fillId="35" borderId="0" xfId="0" applyFont="1" applyFill="1"/>
    <xf numFmtId="0" fontId="47" fillId="0" borderId="0" xfId="90" applyFont="1" applyProtection="1">
      <protection hidden="1"/>
    </xf>
    <xf numFmtId="0" fontId="47" fillId="0" borderId="0" xfId="90" applyFont="1"/>
    <xf numFmtId="0" fontId="47" fillId="0" borderId="0" xfId="90" applyFont="1" applyAlignment="1" applyProtection="1">
      <alignment vertical="top" wrapText="1"/>
      <protection hidden="1"/>
    </xf>
    <xf numFmtId="0" fontId="48" fillId="0" borderId="0" xfId="90" applyFont="1" applyAlignment="1" applyProtection="1">
      <alignment vertical="top"/>
      <protection hidden="1"/>
    </xf>
    <xf numFmtId="0" fontId="47" fillId="0" borderId="0" xfId="90" applyFont="1" applyAlignment="1" applyProtection="1">
      <alignment vertical="top"/>
      <protection hidden="1"/>
    </xf>
    <xf numFmtId="0" fontId="47" fillId="0" borderId="0" xfId="90" applyFont="1" applyAlignment="1" applyProtection="1">
      <alignment vertical="center" wrapText="1"/>
      <protection hidden="1"/>
    </xf>
    <xf numFmtId="0" fontId="47" fillId="0" borderId="0" xfId="90" applyFont="1" applyAlignment="1" applyProtection="1">
      <alignment vertical="center"/>
      <protection hidden="1"/>
    </xf>
    <xf numFmtId="0" fontId="47" fillId="0" borderId="0" xfId="27" applyFont="1" applyFill="1" applyProtection="1">
      <protection hidden="1"/>
    </xf>
    <xf numFmtId="0" fontId="47" fillId="0" borderId="0" xfId="27" applyFont="1" applyFill="1"/>
    <xf numFmtId="0" fontId="47" fillId="0" borderId="0" xfId="90" applyFont="1" applyAlignment="1">
      <alignment vertical="center"/>
    </xf>
    <xf numFmtId="0" fontId="49" fillId="0" borderId="0" xfId="90" applyFont="1" applyAlignment="1" applyProtection="1">
      <alignment vertical="top"/>
      <protection hidden="1"/>
    </xf>
    <xf numFmtId="0" fontId="6" fillId="0" borderId="25" xfId="27" applyFill="1" applyBorder="1" applyAlignment="1" applyProtection="1">
      <alignment horizontal="center" vertical="center"/>
      <protection hidden="1"/>
    </xf>
    <xf numFmtId="0" fontId="59" fillId="0" borderId="25" xfId="27" applyFont="1" applyFill="1" applyBorder="1" applyAlignment="1" applyProtection="1">
      <alignment horizontal="center" vertical="center"/>
      <protection hidden="1"/>
    </xf>
    <xf numFmtId="0" fontId="47" fillId="0" borderId="25" xfId="90" applyFont="1" applyBorder="1" applyAlignment="1" applyProtection="1">
      <alignment horizontal="center" vertical="center"/>
      <protection hidden="1"/>
    </xf>
    <xf numFmtId="0" fontId="45" fillId="2" borderId="75" xfId="0" applyFont="1" applyFill="1" applyBorder="1" applyAlignment="1" applyProtection="1">
      <alignment horizontal="left" vertical="center"/>
      <protection locked="0" hidden="1"/>
    </xf>
    <xf numFmtId="0" fontId="66" fillId="36" borderId="74" xfId="0" applyFont="1" applyFill="1" applyBorder="1" applyAlignment="1" applyProtection="1">
      <alignment horizontal="center" vertical="center"/>
      <protection hidden="1"/>
    </xf>
    <xf numFmtId="0" fontId="41" fillId="34" borderId="52" xfId="27" applyFont="1" applyFill="1" applyBorder="1" applyAlignment="1" applyProtection="1">
      <alignment horizontal="center" vertical="center"/>
      <protection hidden="1"/>
    </xf>
    <xf numFmtId="0" fontId="47" fillId="3" borderId="2" xfId="0" applyFont="1" applyFill="1" applyBorder="1" applyAlignment="1" applyProtection="1">
      <alignment horizontal="center" vertical="center"/>
      <protection locked="0" hidden="1"/>
    </xf>
    <xf numFmtId="0" fontId="47" fillId="2" borderId="99" xfId="0" applyFont="1" applyFill="1" applyBorder="1" applyAlignment="1" applyProtection="1">
      <alignment horizontal="center" vertical="center"/>
      <protection locked="0" hidden="1"/>
    </xf>
    <xf numFmtId="0" fontId="47" fillId="2" borderId="101" xfId="0" applyFont="1" applyFill="1" applyBorder="1" applyAlignment="1" applyProtection="1">
      <alignment horizontal="center" vertical="center"/>
      <protection locked="0" hidden="1"/>
    </xf>
    <xf numFmtId="0" fontId="46" fillId="0" borderId="100" xfId="0" applyFont="1" applyBorder="1" applyAlignment="1" applyProtection="1">
      <alignment horizontal="left" vertical="center"/>
      <protection hidden="1"/>
    </xf>
    <xf numFmtId="0" fontId="46" fillId="4" borderId="100" xfId="0" applyFont="1" applyFill="1" applyBorder="1" applyAlignment="1" applyProtection="1">
      <alignment horizontal="left" vertical="center"/>
      <protection hidden="1"/>
    </xf>
    <xf numFmtId="0" fontId="47" fillId="7" borderId="2" xfId="0" applyFont="1" applyFill="1" applyBorder="1" applyAlignment="1" applyProtection="1">
      <alignment horizontal="center" vertical="center"/>
      <protection locked="0" hidden="1"/>
    </xf>
    <xf numFmtId="0" fontId="13" fillId="35" borderId="0" xfId="93" applyFont="1" applyFill="1" applyProtection="1">
      <protection hidden="1"/>
    </xf>
    <xf numFmtId="0" fontId="47" fillId="35" borderId="0" xfId="93" applyFont="1" applyFill="1" applyProtection="1">
      <protection hidden="1"/>
    </xf>
    <xf numFmtId="0" fontId="72" fillId="35" borderId="0" xfId="93" applyFont="1" applyFill="1" applyAlignment="1" applyProtection="1">
      <alignment horizontal="center" vertical="center"/>
      <protection hidden="1"/>
    </xf>
    <xf numFmtId="0" fontId="49" fillId="35" borderId="0" xfId="95" applyFont="1" applyFill="1" applyProtection="1">
      <protection hidden="1"/>
    </xf>
    <xf numFmtId="0" fontId="47" fillId="0" borderId="85" xfId="96" applyFont="1" applyBorder="1" applyAlignment="1" applyProtection="1">
      <alignment horizontal="left" vertical="center"/>
      <protection hidden="1"/>
    </xf>
    <xf numFmtId="0" fontId="49" fillId="7" borderId="102" xfId="0" applyFont="1" applyFill="1" applyBorder="1" applyAlignment="1" applyProtection="1">
      <alignment horizontal="center" vertical="top"/>
      <protection hidden="1"/>
    </xf>
    <xf numFmtId="0" fontId="47" fillId="0" borderId="86" xfId="96" applyFont="1" applyBorder="1" applyAlignment="1" applyProtection="1">
      <alignment horizontal="left" vertical="center"/>
      <protection hidden="1"/>
    </xf>
    <xf numFmtId="0" fontId="47" fillId="0" borderId="87" xfId="96" applyFont="1" applyBorder="1" applyAlignment="1" applyProtection="1">
      <alignment horizontal="left" vertical="center"/>
      <protection hidden="1"/>
    </xf>
    <xf numFmtId="0" fontId="47" fillId="0" borderId="95" xfId="96" applyFont="1" applyBorder="1" applyAlignment="1" applyProtection="1">
      <alignment horizontal="left" vertical="center"/>
      <protection hidden="1"/>
    </xf>
    <xf numFmtId="0" fontId="47" fillId="0" borderId="96" xfId="96" applyFont="1" applyBorder="1" applyAlignment="1" applyProtection="1">
      <alignment horizontal="left" vertical="center"/>
      <protection hidden="1"/>
    </xf>
    <xf numFmtId="0" fontId="47" fillId="0" borderId="94" xfId="96" applyFont="1" applyBorder="1" applyAlignment="1" applyProtection="1">
      <alignment horizontal="left" vertical="center"/>
      <protection hidden="1"/>
    </xf>
    <xf numFmtId="0" fontId="47" fillId="35" borderId="0" xfId="95" applyFont="1" applyFill="1" applyProtection="1">
      <protection hidden="1"/>
    </xf>
    <xf numFmtId="0" fontId="47" fillId="0" borderId="0" xfId="0" applyFont="1" applyProtection="1">
      <protection hidden="1"/>
    </xf>
    <xf numFmtId="0" fontId="47" fillId="4" borderId="99" xfId="0" applyFont="1" applyFill="1" applyBorder="1" applyAlignment="1" applyProtection="1">
      <alignment horizontal="center" vertical="center"/>
      <protection locked="0" hidden="1"/>
    </xf>
    <xf numFmtId="0" fontId="47" fillId="4" borderId="101" xfId="0" applyFont="1" applyFill="1" applyBorder="1" applyAlignment="1" applyProtection="1">
      <alignment horizontal="center" vertical="center"/>
      <protection locked="0" hidden="1"/>
    </xf>
    <xf numFmtId="0" fontId="56" fillId="35" borderId="0" xfId="95" applyFont="1" applyFill="1" applyProtection="1">
      <protection hidden="1"/>
    </xf>
    <xf numFmtId="0" fontId="56" fillId="35" borderId="0" xfId="93" applyFont="1" applyFill="1" applyProtection="1">
      <protection hidden="1"/>
    </xf>
    <xf numFmtId="0" fontId="47" fillId="2" borderId="26" xfId="95" applyFont="1" applyFill="1" applyBorder="1" applyAlignment="1" applyProtection="1">
      <alignment vertical="center"/>
      <protection locked="0" hidden="1"/>
    </xf>
    <xf numFmtId="0" fontId="48" fillId="0" borderId="88" xfId="90" applyFont="1" applyBorder="1" applyAlignment="1" applyProtection="1">
      <alignment horizontal="center" vertical="center"/>
      <protection hidden="1"/>
    </xf>
    <xf numFmtId="0" fontId="47" fillId="0" borderId="88" xfId="90" applyFont="1" applyBorder="1" applyAlignment="1" applyProtection="1">
      <alignment horizontal="center" vertical="center"/>
      <protection hidden="1"/>
    </xf>
    <xf numFmtId="0" fontId="48" fillId="0" borderId="89" xfId="90" applyFont="1" applyBorder="1" applyAlignment="1" applyProtection="1">
      <alignment horizontal="center" vertical="center"/>
      <protection locked="0" hidden="1"/>
    </xf>
    <xf numFmtId="0" fontId="47" fillId="0" borderId="89" xfId="90" applyFont="1" applyBorder="1" applyAlignment="1" applyProtection="1">
      <alignment horizontal="center" vertical="center"/>
      <protection hidden="1"/>
    </xf>
    <xf numFmtId="0" fontId="47" fillId="35" borderId="0" xfId="93" applyFont="1" applyFill="1" applyAlignment="1" applyProtection="1">
      <alignment vertical="center"/>
      <protection hidden="1"/>
    </xf>
    <xf numFmtId="0" fontId="47" fillId="2" borderId="90" xfId="95" applyFont="1" applyFill="1" applyBorder="1" applyAlignment="1" applyProtection="1">
      <alignment horizontal="left" vertical="center"/>
      <protection locked="0" hidden="1"/>
    </xf>
    <xf numFmtId="0" fontId="47" fillId="2" borderId="91" xfId="95" applyFont="1" applyFill="1" applyBorder="1" applyAlignment="1" applyProtection="1">
      <alignment vertical="center"/>
      <protection hidden="1"/>
    </xf>
    <xf numFmtId="0" fontId="47" fillId="2" borderId="90" xfId="95" applyFont="1" applyFill="1" applyBorder="1" applyAlignment="1" applyProtection="1">
      <alignment vertical="center"/>
      <protection locked="0" hidden="1"/>
    </xf>
    <xf numFmtId="16" fontId="47" fillId="2" borderId="90" xfId="95" applyNumberFormat="1" applyFont="1" applyFill="1" applyBorder="1" applyAlignment="1" applyProtection="1">
      <alignment vertical="center"/>
      <protection locked="0" hidden="1"/>
    </xf>
    <xf numFmtId="0" fontId="47" fillId="2" borderId="84" xfId="95" applyFont="1" applyFill="1" applyBorder="1" applyAlignment="1" applyProtection="1">
      <alignment vertical="center"/>
      <protection locked="0" hidden="1"/>
    </xf>
    <xf numFmtId="0" fontId="47" fillId="2" borderId="82" xfId="95" applyFont="1" applyFill="1" applyBorder="1" applyAlignment="1" applyProtection="1">
      <alignment vertical="center"/>
      <protection hidden="1"/>
    </xf>
    <xf numFmtId="0" fontId="47" fillId="2" borderId="97" xfId="95" applyFont="1" applyFill="1" applyBorder="1" applyAlignment="1" applyProtection="1">
      <alignment vertical="center"/>
      <protection locked="0" hidden="1"/>
    </xf>
    <xf numFmtId="0" fontId="47" fillId="2" borderId="98" xfId="95" applyFont="1" applyFill="1" applyBorder="1" applyAlignment="1" applyProtection="1">
      <alignment vertical="center"/>
      <protection hidden="1"/>
    </xf>
    <xf numFmtId="0" fontId="47" fillId="2" borderId="92" xfId="95" applyFont="1" applyFill="1" applyBorder="1" applyAlignment="1" applyProtection="1">
      <alignment vertical="center"/>
      <protection locked="0" hidden="1"/>
    </xf>
    <xf numFmtId="0" fontId="47" fillId="2" borderId="93" xfId="95" applyFont="1" applyFill="1" applyBorder="1" applyAlignment="1" applyProtection="1">
      <alignment vertical="center"/>
      <protection hidden="1"/>
    </xf>
    <xf numFmtId="0" fontId="47" fillId="35" borderId="0" xfId="95" applyFont="1" applyFill="1" applyAlignment="1" applyProtection="1">
      <alignment vertical="center"/>
      <protection locked="0" hidden="1"/>
    </xf>
    <xf numFmtId="0" fontId="47" fillId="35" borderId="0" xfId="95" applyFont="1" applyFill="1" applyAlignment="1" applyProtection="1">
      <alignment vertical="center"/>
      <protection hidden="1"/>
    </xf>
    <xf numFmtId="0" fontId="47" fillId="35" borderId="0" xfId="93" applyFont="1" applyFill="1" applyAlignment="1" applyProtection="1">
      <alignment vertical="center"/>
      <protection locked="0" hidden="1"/>
    </xf>
    <xf numFmtId="0" fontId="47" fillId="2" borderId="103" xfId="95" applyFont="1" applyFill="1" applyBorder="1" applyAlignment="1" applyProtection="1">
      <alignment vertical="center"/>
      <protection hidden="1"/>
    </xf>
    <xf numFmtId="0" fontId="47" fillId="0" borderId="0" xfId="0" applyFont="1" applyAlignment="1" applyProtection="1">
      <alignment vertical="center"/>
      <protection hidden="1"/>
    </xf>
    <xf numFmtId="0" fontId="56" fillId="35" borderId="0" xfId="93" applyFont="1" applyFill="1" applyAlignment="1" applyProtection="1">
      <alignment vertical="center"/>
      <protection hidden="1"/>
    </xf>
    <xf numFmtId="0" fontId="49" fillId="35" borderId="106" xfId="90" applyFont="1" applyFill="1" applyBorder="1" applyAlignment="1" applyProtection="1">
      <alignment horizontal="center" vertical="center" wrapText="1"/>
      <protection hidden="1"/>
    </xf>
    <xf numFmtId="0" fontId="8" fillId="35" borderId="0" xfId="0" applyFont="1" applyFill="1"/>
    <xf numFmtId="0" fontId="8" fillId="35" borderId="0" xfId="0" applyFont="1" applyFill="1" applyProtection="1">
      <protection hidden="1"/>
    </xf>
    <xf numFmtId="0" fontId="55" fillId="35" borderId="0" xfId="0" applyFont="1" applyFill="1" applyAlignment="1" applyProtection="1">
      <alignment horizontal="center" vertical="center"/>
      <protection hidden="1"/>
    </xf>
    <xf numFmtId="0" fontId="56" fillId="35" borderId="0" xfId="0" applyFont="1" applyFill="1" applyAlignment="1" applyProtection="1">
      <alignment horizontal="center" vertical="center"/>
      <protection hidden="1"/>
    </xf>
    <xf numFmtId="0" fontId="74" fillId="35" borderId="0" xfId="93" applyFont="1" applyFill="1" applyProtection="1">
      <protection hidden="1"/>
    </xf>
    <xf numFmtId="0" fontId="75" fillId="35" borderId="0" xfId="93" applyFont="1" applyFill="1" applyProtection="1">
      <protection hidden="1"/>
    </xf>
    <xf numFmtId="0" fontId="49" fillId="3" borderId="0" xfId="0" applyFont="1" applyFill="1" applyAlignment="1" applyProtection="1">
      <alignment horizontal="center" vertical="center"/>
      <protection hidden="1"/>
    </xf>
    <xf numFmtId="0" fontId="49" fillId="4" borderId="0" xfId="0" applyFont="1" applyFill="1" applyAlignment="1" applyProtection="1">
      <alignment horizontal="center" vertical="center"/>
      <protection hidden="1"/>
    </xf>
    <xf numFmtId="0" fontId="75" fillId="35" borderId="0" xfId="95" applyFont="1" applyFill="1" applyProtection="1">
      <protection hidden="1"/>
    </xf>
    <xf numFmtId="14" fontId="77" fillId="7" borderId="0" xfId="0" quotePrefix="1" applyNumberFormat="1" applyFont="1" applyFill="1" applyAlignment="1" applyProtection="1">
      <alignment horizontal="center" vertical="center"/>
      <protection hidden="1"/>
    </xf>
    <xf numFmtId="0" fontId="75" fillId="4" borderId="0" xfId="93" applyFont="1" applyFill="1" applyProtection="1">
      <protection hidden="1"/>
    </xf>
    <xf numFmtId="0" fontId="78" fillId="3" borderId="0" xfId="0" applyFont="1" applyFill="1" applyAlignment="1" applyProtection="1">
      <alignment horizontal="left" vertical="center"/>
      <protection hidden="1"/>
    </xf>
    <xf numFmtId="0" fontId="79" fillId="3" borderId="0" xfId="0" applyFont="1" applyFill="1" applyAlignment="1" applyProtection="1">
      <alignment horizontal="left" vertical="center"/>
      <protection hidden="1"/>
    </xf>
    <xf numFmtId="0" fontId="78" fillId="7" borderId="0" xfId="0" applyFont="1" applyFill="1" applyAlignment="1" applyProtection="1">
      <alignment horizontal="left" vertical="center"/>
      <protection hidden="1"/>
    </xf>
    <xf numFmtId="0" fontId="79" fillId="7" borderId="0" xfId="0" applyFont="1" applyFill="1" applyAlignment="1" applyProtection="1">
      <alignment horizontal="left" vertical="center"/>
      <protection hidden="1"/>
    </xf>
    <xf numFmtId="0" fontId="75" fillId="0" borderId="0" xfId="0" applyFont="1" applyProtection="1">
      <protection hidden="1"/>
    </xf>
    <xf numFmtId="0" fontId="80" fillId="35" borderId="106" xfId="90" applyFont="1" applyFill="1" applyBorder="1" applyAlignment="1" applyProtection="1">
      <alignment horizontal="center" vertical="center" wrapText="1"/>
      <protection hidden="1"/>
    </xf>
    <xf numFmtId="0" fontId="81" fillId="35" borderId="106" xfId="90" applyFont="1" applyFill="1" applyBorder="1" applyAlignment="1" applyProtection="1">
      <alignment horizontal="center" vertical="center" wrapText="1"/>
      <protection hidden="1"/>
    </xf>
    <xf numFmtId="0" fontId="0" fillId="35" borderId="107" xfId="0" applyFill="1" applyBorder="1" applyProtection="1">
      <protection hidden="1"/>
    </xf>
    <xf numFmtId="0" fontId="56" fillId="35" borderId="107" xfId="0" applyFont="1" applyFill="1" applyBorder="1" applyProtection="1">
      <protection hidden="1"/>
    </xf>
    <xf numFmtId="0" fontId="49" fillId="35" borderId="106" xfId="90" applyFont="1" applyFill="1" applyBorder="1" applyAlignment="1" applyProtection="1">
      <alignment horizontal="left" vertical="center" wrapText="1"/>
      <protection hidden="1"/>
    </xf>
    <xf numFmtId="0" fontId="13" fillId="35" borderId="0" xfId="95" applyFont="1" applyFill="1" applyProtection="1">
      <protection hidden="1"/>
    </xf>
    <xf numFmtId="0" fontId="8" fillId="35" borderId="0" xfId="93" applyFont="1" applyFill="1" applyProtection="1">
      <protection hidden="1"/>
    </xf>
    <xf numFmtId="0" fontId="47" fillId="35" borderId="0" xfId="93" applyFont="1" applyFill="1" applyAlignment="1" applyProtection="1">
      <alignment vertical="center" wrapText="1"/>
      <protection hidden="1"/>
    </xf>
    <xf numFmtId="0" fontId="49" fillId="35" borderId="0" xfId="93" applyFont="1" applyFill="1" applyAlignment="1" applyProtection="1">
      <alignment vertical="center"/>
      <protection hidden="1"/>
    </xf>
    <xf numFmtId="0" fontId="47" fillId="0" borderId="108" xfId="96" applyFont="1" applyBorder="1" applyAlignment="1" applyProtection="1">
      <alignment horizontal="left" vertical="center"/>
      <protection hidden="1"/>
    </xf>
    <xf numFmtId="0" fontId="47" fillId="0" borderId="109" xfId="96" applyFont="1" applyBorder="1" applyAlignment="1" applyProtection="1">
      <alignment horizontal="left" vertical="center"/>
      <protection hidden="1"/>
    </xf>
    <xf numFmtId="0" fontId="47" fillId="0" borderId="110" xfId="96" applyFont="1" applyBorder="1" applyAlignment="1" applyProtection="1">
      <alignment horizontal="left" vertical="center"/>
      <protection hidden="1"/>
    </xf>
    <xf numFmtId="0" fontId="47" fillId="0" borderId="0" xfId="96" applyFont="1" applyAlignment="1" applyProtection="1">
      <alignment horizontal="left" vertical="center"/>
      <protection hidden="1"/>
    </xf>
    <xf numFmtId="0" fontId="49" fillId="35" borderId="0" xfId="95" applyFont="1" applyFill="1" applyAlignment="1" applyProtection="1">
      <alignment vertical="center"/>
      <protection hidden="1"/>
    </xf>
    <xf numFmtId="0" fontId="46" fillId="4" borderId="111" xfId="0" applyFont="1" applyFill="1" applyBorder="1" applyAlignment="1" applyProtection="1">
      <alignment horizontal="left" vertical="center"/>
      <protection hidden="1"/>
    </xf>
    <xf numFmtId="0" fontId="46" fillId="0" borderId="113" xfId="0" applyFont="1" applyBorder="1" applyAlignment="1" applyProtection="1">
      <alignment horizontal="left" vertical="center"/>
      <protection hidden="1"/>
    </xf>
    <xf numFmtId="0" fontId="46" fillId="4" borderId="113" xfId="0" applyFont="1" applyFill="1" applyBorder="1" applyAlignment="1" applyProtection="1">
      <alignment horizontal="left" vertical="center"/>
      <protection hidden="1"/>
    </xf>
    <xf numFmtId="0" fontId="47" fillId="4" borderId="112" xfId="0" applyFont="1" applyFill="1" applyBorder="1" applyAlignment="1" applyProtection="1">
      <alignment horizontal="center" vertical="center"/>
      <protection hidden="1"/>
    </xf>
    <xf numFmtId="0" fontId="47" fillId="2" borderId="99" xfId="0" applyFont="1" applyFill="1" applyBorder="1" applyAlignment="1" applyProtection="1">
      <alignment horizontal="center" vertical="center"/>
      <protection hidden="1"/>
    </xf>
    <xf numFmtId="0" fontId="47" fillId="4" borderId="99" xfId="0" applyFont="1" applyFill="1" applyBorder="1" applyAlignment="1" applyProtection="1">
      <alignment horizontal="center" vertical="center"/>
      <protection hidden="1"/>
    </xf>
    <xf numFmtId="0" fontId="47" fillId="2" borderId="101" xfId="0" applyFont="1" applyFill="1" applyBorder="1" applyAlignment="1" applyProtection="1">
      <alignment horizontal="center" vertical="center"/>
      <protection hidden="1"/>
    </xf>
    <xf numFmtId="0" fontId="47" fillId="4" borderId="101" xfId="0" applyFont="1" applyFill="1" applyBorder="1" applyAlignment="1" applyProtection="1">
      <alignment horizontal="center" vertical="center"/>
      <protection hidden="1"/>
    </xf>
    <xf numFmtId="0" fontId="56" fillId="35" borderId="0" xfId="93" applyFont="1" applyFill="1" applyAlignment="1" applyProtection="1">
      <alignment horizontal="center"/>
      <protection hidden="1"/>
    </xf>
    <xf numFmtId="0" fontId="9" fillId="38" borderId="114" xfId="0" applyFont="1" applyFill="1" applyBorder="1"/>
    <xf numFmtId="0" fontId="9" fillId="38" borderId="115" xfId="0" applyFont="1" applyFill="1" applyBorder="1"/>
    <xf numFmtId="0" fontId="9" fillId="38" borderId="116" xfId="0" applyFont="1" applyFill="1" applyBorder="1"/>
    <xf numFmtId="0" fontId="47" fillId="42" borderId="128" xfId="0" applyFont="1" applyFill="1" applyBorder="1" applyAlignment="1" applyProtection="1">
      <alignment horizontal="left" vertical="center"/>
      <protection hidden="1"/>
    </xf>
    <xf numFmtId="0" fontId="47" fillId="43" borderId="123" xfId="0" applyFont="1" applyFill="1" applyBorder="1" applyAlignment="1" applyProtection="1">
      <alignment horizontal="left" vertical="center"/>
      <protection hidden="1"/>
    </xf>
    <xf numFmtId="0" fontId="47" fillId="42" borderId="123" xfId="0" applyFont="1" applyFill="1" applyBorder="1" applyAlignment="1" applyProtection="1">
      <alignment horizontal="left" vertical="center"/>
      <protection hidden="1"/>
    </xf>
    <xf numFmtId="0" fontId="0" fillId="41" borderId="122" xfId="0" applyFill="1" applyBorder="1"/>
    <xf numFmtId="0" fontId="47" fillId="43" borderId="125" xfId="0" applyFont="1" applyFill="1" applyBorder="1" applyAlignment="1" applyProtection="1">
      <alignment horizontal="left" vertical="center"/>
      <protection hidden="1"/>
    </xf>
    <xf numFmtId="0" fontId="24" fillId="35" borderId="63" xfId="90" applyFill="1" applyBorder="1"/>
    <xf numFmtId="0" fontId="24" fillId="35" borderId="64" xfId="90" applyFill="1" applyBorder="1"/>
    <xf numFmtId="0" fontId="24" fillId="35" borderId="65" xfId="90" applyFill="1" applyBorder="1"/>
    <xf numFmtId="0" fontId="49" fillId="35" borderId="66" xfId="90" applyFont="1" applyFill="1" applyBorder="1" applyAlignment="1" applyProtection="1">
      <alignment horizontal="right" vertical="center"/>
      <protection hidden="1"/>
    </xf>
    <xf numFmtId="0" fontId="47" fillId="35" borderId="0" xfId="27" applyFont="1" applyFill="1" applyBorder="1" applyAlignment="1" applyProtection="1">
      <alignment vertical="center"/>
      <protection hidden="1"/>
    </xf>
    <xf numFmtId="0" fontId="47" fillId="35" borderId="0" xfId="90" applyFont="1" applyFill="1" applyAlignment="1" applyProtection="1">
      <alignment vertical="center"/>
      <protection hidden="1"/>
    </xf>
    <xf numFmtId="0" fontId="47" fillId="35" borderId="0" xfId="90" applyFont="1" applyFill="1" applyAlignment="1" applyProtection="1">
      <alignment vertical="center" wrapText="1"/>
      <protection hidden="1"/>
    </xf>
    <xf numFmtId="0" fontId="47" fillId="35" borderId="67" xfId="90" applyFont="1" applyFill="1" applyBorder="1" applyAlignment="1" applyProtection="1">
      <alignment vertical="center" wrapText="1"/>
      <protection hidden="1"/>
    </xf>
    <xf numFmtId="0" fontId="49" fillId="35" borderId="66" xfId="90" applyFont="1" applyFill="1" applyBorder="1" applyAlignment="1" applyProtection="1">
      <alignment horizontal="right" vertical="top"/>
      <protection hidden="1"/>
    </xf>
    <xf numFmtId="14" fontId="47" fillId="35" borderId="0" xfId="90" applyNumberFormat="1" applyFont="1" applyFill="1" applyAlignment="1" applyProtection="1">
      <alignment horizontal="left" vertical="top"/>
      <protection hidden="1"/>
    </xf>
    <xf numFmtId="0" fontId="47" fillId="35" borderId="0" xfId="90" applyFont="1" applyFill="1" applyAlignment="1" applyProtection="1">
      <alignment vertical="top"/>
      <protection hidden="1"/>
    </xf>
    <xf numFmtId="0" fontId="47" fillId="35" borderId="0" xfId="90" applyFont="1" applyFill="1" applyAlignment="1" applyProtection="1">
      <alignment vertical="top" wrapText="1"/>
      <protection hidden="1"/>
    </xf>
    <xf numFmtId="0" fontId="47" fillId="35" borderId="67" xfId="90" applyFont="1" applyFill="1" applyBorder="1"/>
    <xf numFmtId="0" fontId="47" fillId="35" borderId="68" xfId="90" applyFont="1" applyFill="1" applyBorder="1" applyProtection="1">
      <protection hidden="1"/>
    </xf>
    <xf numFmtId="0" fontId="47" fillId="35" borderId="69" xfId="90" applyFont="1" applyFill="1" applyBorder="1" applyProtection="1">
      <protection hidden="1"/>
    </xf>
    <xf numFmtId="0" fontId="47" fillId="35" borderId="70" xfId="90" applyFont="1" applyFill="1" applyBorder="1" applyProtection="1">
      <protection hidden="1"/>
    </xf>
    <xf numFmtId="0" fontId="47" fillId="35" borderId="63" xfId="90" applyFont="1" applyFill="1" applyBorder="1" applyAlignment="1" applyProtection="1">
      <alignment horizontal="right"/>
      <protection hidden="1"/>
    </xf>
    <xf numFmtId="0" fontId="47" fillId="35" borderId="64" xfId="90" applyFont="1" applyFill="1" applyBorder="1" applyAlignment="1" applyProtection="1">
      <alignment horizontal="right"/>
      <protection hidden="1"/>
    </xf>
    <xf numFmtId="0" fontId="69" fillId="35" borderId="64" xfId="90" applyFont="1" applyFill="1" applyBorder="1" applyAlignment="1" applyProtection="1">
      <alignment horizontal="left"/>
      <protection hidden="1"/>
    </xf>
    <xf numFmtId="0" fontId="47" fillId="35" borderId="64" xfId="90" applyFont="1" applyFill="1" applyBorder="1" applyAlignment="1" applyProtection="1">
      <alignment horizontal="left"/>
      <protection hidden="1"/>
    </xf>
    <xf numFmtId="0" fontId="47" fillId="35" borderId="64" xfId="90" applyFont="1" applyFill="1" applyBorder="1"/>
    <xf numFmtId="0" fontId="47" fillId="35" borderId="65" xfId="90" applyFont="1" applyFill="1" applyBorder="1"/>
    <xf numFmtId="0" fontId="24" fillId="35" borderId="66" xfId="90" applyFill="1" applyBorder="1"/>
    <xf numFmtId="0" fontId="49" fillId="35" borderId="0" xfId="90" applyFont="1" applyFill="1" applyAlignment="1" applyProtection="1">
      <alignment horizontal="left" vertical="center"/>
      <protection hidden="1"/>
    </xf>
    <xf numFmtId="0" fontId="49" fillId="35" borderId="0" xfId="90" applyFont="1" applyFill="1" applyAlignment="1" applyProtection="1">
      <alignment horizontal="center" vertical="center"/>
      <protection hidden="1"/>
    </xf>
    <xf numFmtId="0" fontId="47" fillId="35" borderId="0" xfId="90" applyFont="1" applyFill="1"/>
    <xf numFmtId="0" fontId="24" fillId="35" borderId="66" xfId="90" applyFill="1" applyBorder="1" applyAlignment="1">
      <alignment vertical="center"/>
    </xf>
    <xf numFmtId="0" fontId="47" fillId="35" borderId="25" xfId="90" applyFont="1" applyFill="1" applyBorder="1" applyAlignment="1" applyProtection="1">
      <alignment vertical="center"/>
      <protection hidden="1"/>
    </xf>
    <xf numFmtId="0" fontId="47" fillId="35" borderId="71" xfId="90" applyFont="1" applyFill="1" applyBorder="1" applyAlignment="1" applyProtection="1">
      <alignment vertical="center"/>
      <protection hidden="1"/>
    </xf>
    <xf numFmtId="0" fontId="47" fillId="35" borderId="0" xfId="90" applyFont="1" applyFill="1" applyAlignment="1">
      <alignment vertical="center"/>
    </xf>
    <xf numFmtId="0" fontId="47" fillId="35" borderId="67" xfId="90" applyFont="1" applyFill="1" applyBorder="1" applyAlignment="1">
      <alignment vertical="center"/>
    </xf>
    <xf numFmtId="0" fontId="47" fillId="35" borderId="68" xfId="90" applyFont="1" applyFill="1" applyBorder="1"/>
    <xf numFmtId="0" fontId="47" fillId="35" borderId="69" xfId="90" applyFont="1" applyFill="1" applyBorder="1"/>
    <xf numFmtId="0" fontId="47" fillId="35" borderId="70" xfId="90" applyFont="1" applyFill="1" applyBorder="1"/>
    <xf numFmtId="0" fontId="34" fillId="35" borderId="0" xfId="0" applyFont="1" applyFill="1" applyAlignment="1">
      <alignment vertical="center"/>
    </xf>
    <xf numFmtId="0" fontId="55" fillId="35" borderId="0" xfId="0" applyFont="1" applyFill="1" applyAlignment="1" applyProtection="1">
      <alignment vertical="center"/>
      <protection hidden="1"/>
    </xf>
    <xf numFmtId="0" fontId="34" fillId="35" borderId="0" xfId="0" applyFont="1" applyFill="1"/>
    <xf numFmtId="0" fontId="4" fillId="35" borderId="0" xfId="0" applyFont="1" applyFill="1" applyAlignment="1" applyProtection="1">
      <alignment horizontal="centerContinuous" vertical="center"/>
      <protection hidden="1"/>
    </xf>
    <xf numFmtId="0" fontId="4" fillId="35" borderId="0" xfId="0" applyFont="1" applyFill="1" applyAlignment="1">
      <alignment horizontal="centerContinuous" vertical="center"/>
    </xf>
    <xf numFmtId="0" fontId="4" fillId="35" borderId="0" xfId="0" applyFont="1" applyFill="1" applyProtection="1">
      <protection hidden="1"/>
    </xf>
    <xf numFmtId="0" fontId="4" fillId="35" borderId="0" xfId="0" applyFont="1" applyFill="1" applyAlignment="1" applyProtection="1">
      <alignment horizontal="left"/>
      <protection hidden="1"/>
    </xf>
    <xf numFmtId="0" fontId="11" fillId="35" borderId="0" xfId="0" applyFont="1" applyFill="1" applyAlignment="1" applyProtection="1">
      <alignment horizontal="center"/>
      <protection hidden="1"/>
    </xf>
    <xf numFmtId="0" fontId="4" fillId="35" borderId="0" xfId="0" applyFont="1" applyFill="1" applyAlignment="1" applyProtection="1">
      <alignment horizontal="center"/>
      <protection hidden="1"/>
    </xf>
    <xf numFmtId="0" fontId="4" fillId="7" borderId="16" xfId="0" applyFont="1" applyFill="1" applyBorder="1" applyAlignment="1">
      <alignment horizontal="left" vertical="top"/>
    </xf>
    <xf numFmtId="0" fontId="49" fillId="7" borderId="17" xfId="0" applyFont="1" applyFill="1" applyBorder="1" applyAlignment="1">
      <alignment horizontal="center" vertical="top"/>
    </xf>
    <xf numFmtId="0" fontId="49" fillId="7" borderId="17" xfId="0" applyFont="1" applyFill="1" applyBorder="1" applyAlignment="1">
      <alignment horizontal="center"/>
    </xf>
    <xf numFmtId="0" fontId="49" fillId="7" borderId="17" xfId="0" applyFont="1" applyFill="1" applyBorder="1" applyAlignment="1">
      <alignment horizontal="right"/>
    </xf>
    <xf numFmtId="0" fontId="49" fillId="7" borderId="17" xfId="0" applyFont="1" applyFill="1" applyBorder="1" applyAlignment="1">
      <alignment horizontal="left"/>
    </xf>
    <xf numFmtId="0" fontId="49" fillId="7" borderId="137" xfId="0" applyFont="1" applyFill="1" applyBorder="1" applyAlignment="1">
      <alignment horizontal="left"/>
    </xf>
    <xf numFmtId="0" fontId="25" fillId="35" borderId="0" xfId="0" applyFont="1" applyFill="1" applyProtection="1">
      <protection hidden="1"/>
    </xf>
    <xf numFmtId="0" fontId="5" fillId="35" borderId="0" xfId="0" applyFont="1" applyFill="1" applyProtection="1">
      <protection hidden="1"/>
    </xf>
    <xf numFmtId="0" fontId="83" fillId="35" borderId="0" xfId="0" applyFont="1" applyFill="1" applyAlignment="1" applyProtection="1">
      <alignment horizontal="left"/>
      <protection hidden="1"/>
    </xf>
    <xf numFmtId="0" fontId="5" fillId="35" borderId="0" xfId="0" applyFont="1" applyFill="1" applyAlignment="1" applyProtection="1">
      <alignment horizontal="center"/>
      <protection hidden="1"/>
    </xf>
    <xf numFmtId="14" fontId="46" fillId="4" borderId="0" xfId="0" applyNumberFormat="1" applyFont="1" applyFill="1" applyAlignment="1" applyProtection="1">
      <alignment horizontal="center" vertical="center"/>
      <protection hidden="1"/>
    </xf>
    <xf numFmtId="164" fontId="46" fillId="4" borderId="0" xfId="0" applyNumberFormat="1" applyFont="1" applyFill="1" applyAlignment="1" applyProtection="1">
      <alignment horizontal="center" vertical="center"/>
      <protection hidden="1"/>
    </xf>
    <xf numFmtId="14" fontId="46" fillId="4" borderId="138" xfId="0" applyNumberFormat="1" applyFont="1" applyFill="1" applyBorder="1" applyAlignment="1" applyProtection="1">
      <alignment horizontal="center" vertical="center"/>
      <protection hidden="1"/>
    </xf>
    <xf numFmtId="0" fontId="47" fillId="4" borderId="0" xfId="0" applyFont="1" applyFill="1" applyAlignment="1" applyProtection="1">
      <alignment horizontal="right"/>
      <protection hidden="1"/>
    </xf>
    <xf numFmtId="0" fontId="47" fillId="4" borderId="24" xfId="0" applyFont="1" applyFill="1" applyBorder="1" applyAlignment="1" applyProtection="1">
      <alignment horizontal="center"/>
      <protection locked="0"/>
    </xf>
    <xf numFmtId="0" fontId="47" fillId="4" borderId="139" xfId="0" applyFont="1" applyFill="1" applyBorder="1" applyAlignment="1" applyProtection="1">
      <alignment horizontal="center"/>
      <protection locked="0"/>
    </xf>
    <xf numFmtId="0" fontId="47" fillId="4" borderId="19" xfId="0" applyFont="1" applyFill="1" applyBorder="1" applyAlignment="1" applyProtection="1">
      <alignment horizontal="left"/>
      <protection hidden="1"/>
    </xf>
    <xf numFmtId="0" fontId="58" fillId="35" borderId="0" xfId="0" applyFont="1" applyFill="1" applyAlignment="1" applyProtection="1">
      <alignment horizontal="left" vertical="center"/>
      <protection hidden="1"/>
    </xf>
    <xf numFmtId="0" fontId="49" fillId="7" borderId="16" xfId="0" applyFont="1" applyFill="1" applyBorder="1" applyAlignment="1" applyProtection="1">
      <alignment horizontal="centerContinuous"/>
      <protection hidden="1"/>
    </xf>
    <xf numFmtId="0" fontId="49" fillId="7" borderId="17" xfId="0" applyFont="1" applyFill="1" applyBorder="1" applyAlignment="1" applyProtection="1">
      <alignment horizontal="centerContinuous"/>
      <protection hidden="1"/>
    </xf>
    <xf numFmtId="0" fontId="49" fillId="7" borderId="137" xfId="0" applyFont="1" applyFill="1" applyBorder="1" applyAlignment="1" applyProtection="1">
      <alignment horizontal="centerContinuous"/>
      <protection hidden="1"/>
    </xf>
    <xf numFmtId="0" fontId="84" fillId="35" borderId="0" xfId="0" applyFont="1" applyFill="1" applyAlignment="1" applyProtection="1">
      <alignment vertical="center"/>
      <protection hidden="1"/>
    </xf>
    <xf numFmtId="0" fontId="20" fillId="35" borderId="0" xfId="0" applyFont="1" applyFill="1" applyAlignment="1" applyProtection="1">
      <alignment vertical="center"/>
      <protection hidden="1"/>
    </xf>
    <xf numFmtId="0" fontId="13" fillId="35" borderId="0" xfId="0" applyFont="1" applyFill="1" applyAlignment="1">
      <alignment horizontal="center"/>
    </xf>
    <xf numFmtId="0" fontId="0" fillId="35" borderId="0" xfId="0" applyFill="1" applyAlignment="1">
      <alignment horizontal="center"/>
    </xf>
    <xf numFmtId="0" fontId="49" fillId="7" borderId="140" xfId="0" applyFont="1" applyFill="1" applyBorder="1" applyAlignment="1" applyProtection="1">
      <alignment horizontal="center" vertical="center"/>
      <protection hidden="1"/>
    </xf>
    <xf numFmtId="0" fontId="49" fillId="7" borderId="14" xfId="0" applyFont="1" applyFill="1" applyBorder="1" applyAlignment="1" applyProtection="1">
      <alignment horizontal="center" vertical="center"/>
      <protection hidden="1"/>
    </xf>
    <xf numFmtId="0" fontId="49" fillId="7" borderId="14" xfId="0" applyFont="1" applyFill="1" applyBorder="1" applyAlignment="1" applyProtection="1">
      <alignment horizontal="left" vertical="center"/>
      <protection hidden="1"/>
    </xf>
    <xf numFmtId="0" fontId="49" fillId="7" borderId="141" xfId="0" applyFont="1" applyFill="1" applyBorder="1" applyAlignment="1" applyProtection="1">
      <alignment horizontal="center" vertical="center"/>
      <protection hidden="1"/>
    </xf>
    <xf numFmtId="0" fontId="83" fillId="35" borderId="0" xfId="0" applyFont="1" applyFill="1" applyAlignment="1" applyProtection="1">
      <alignment vertical="center"/>
      <protection hidden="1"/>
    </xf>
    <xf numFmtId="0" fontId="53" fillId="7" borderId="142" xfId="0" applyFont="1" applyFill="1" applyBorder="1" applyAlignment="1" applyProtection="1">
      <alignment horizontal="left" vertical="center"/>
      <protection hidden="1"/>
    </xf>
    <xf numFmtId="0" fontId="53" fillId="7" borderId="143" xfId="0" applyFont="1" applyFill="1" applyBorder="1" applyAlignment="1" applyProtection="1">
      <alignment horizontal="center" vertical="center"/>
      <protection hidden="1"/>
    </xf>
    <xf numFmtId="0" fontId="47" fillId="4" borderId="144" xfId="0" applyFont="1" applyFill="1" applyBorder="1" applyAlignment="1" applyProtection="1">
      <alignment horizontal="center" vertical="center"/>
      <protection hidden="1"/>
    </xf>
    <xf numFmtId="0" fontId="47" fillId="4" borderId="15" xfId="0" applyFont="1" applyFill="1" applyBorder="1" applyAlignment="1" applyProtection="1">
      <alignment horizontal="left" vertical="center"/>
      <protection hidden="1"/>
    </xf>
    <xf numFmtId="0" fontId="48" fillId="4" borderId="15" xfId="0" applyFont="1" applyFill="1" applyBorder="1" applyAlignment="1" applyProtection="1">
      <alignment horizontal="center" vertical="center"/>
      <protection hidden="1"/>
    </xf>
    <xf numFmtId="0" fontId="47" fillId="4" borderId="15" xfId="0" applyFont="1" applyFill="1" applyBorder="1" applyAlignment="1" applyProtection="1">
      <alignment horizontal="center" vertical="center"/>
      <protection hidden="1"/>
    </xf>
    <xf numFmtId="0" fontId="47" fillId="4" borderId="145" xfId="0" applyFont="1" applyFill="1" applyBorder="1" applyAlignment="1" applyProtection="1">
      <alignment horizontal="center" vertical="center"/>
      <protection hidden="1"/>
    </xf>
    <xf numFmtId="0" fontId="57" fillId="35" borderId="0" xfId="0" applyFont="1" applyFill="1" applyAlignment="1" applyProtection="1">
      <alignment horizontal="center" vertical="center"/>
      <protection hidden="1"/>
    </xf>
    <xf numFmtId="0" fontId="57" fillId="35" borderId="0" xfId="0" applyFont="1" applyFill="1" applyAlignment="1" applyProtection="1">
      <alignment horizontal="left" vertical="center"/>
      <protection hidden="1"/>
    </xf>
    <xf numFmtId="0" fontId="29" fillId="35" borderId="0" xfId="0" applyFont="1" applyFill="1" applyAlignment="1" applyProtection="1">
      <alignment horizontal="center" vertical="center"/>
      <protection hidden="1"/>
    </xf>
    <xf numFmtId="0" fontId="47" fillId="0" borderId="146" xfId="0" applyFont="1" applyBorder="1" applyAlignment="1" applyProtection="1">
      <alignment horizontal="left" vertical="center"/>
      <protection hidden="1"/>
    </xf>
    <xf numFmtId="0" fontId="47" fillId="0" borderId="147" xfId="0" applyFont="1" applyBorder="1" applyAlignment="1" applyProtection="1">
      <alignment horizontal="center" vertical="center"/>
      <protection locked="0" hidden="1"/>
    </xf>
    <xf numFmtId="0" fontId="47" fillId="4" borderId="18" xfId="0" applyFont="1" applyFill="1" applyBorder="1" applyAlignment="1" applyProtection="1">
      <alignment horizontal="center" vertical="center"/>
      <protection hidden="1"/>
    </xf>
    <xf numFmtId="0" fontId="47" fillId="4" borderId="0" xfId="0" applyFont="1" applyFill="1" applyAlignment="1" applyProtection="1">
      <alignment horizontal="left" vertical="center"/>
      <protection hidden="1"/>
    </xf>
    <xf numFmtId="0" fontId="48" fillId="4" borderId="0" xfId="0" applyFont="1" applyFill="1" applyAlignment="1" applyProtection="1">
      <alignment horizontal="center" vertical="center"/>
      <protection hidden="1"/>
    </xf>
    <xf numFmtId="0" fontId="47" fillId="4" borderId="0" xfId="0" applyFont="1" applyFill="1" applyAlignment="1" applyProtection="1">
      <alignment horizontal="center" vertical="center"/>
      <protection hidden="1"/>
    </xf>
    <xf numFmtId="0" fontId="47" fillId="4" borderId="19" xfId="0" applyFont="1" applyFill="1" applyBorder="1" applyAlignment="1" applyProtection="1">
      <alignment horizontal="center" vertical="center"/>
      <protection hidden="1"/>
    </xf>
    <xf numFmtId="0" fontId="47" fillId="44" borderId="146" xfId="0" applyFont="1" applyFill="1" applyBorder="1" applyAlignment="1" applyProtection="1">
      <alignment horizontal="left" vertical="center"/>
      <protection hidden="1"/>
    </xf>
    <xf numFmtId="0" fontId="47" fillId="44" borderId="147" xfId="0" applyFont="1" applyFill="1" applyBorder="1" applyAlignment="1" applyProtection="1">
      <alignment horizontal="center" vertical="center"/>
      <protection locked="0" hidden="1"/>
    </xf>
    <xf numFmtId="14" fontId="46" fillId="4" borderId="21" xfId="0" applyNumberFormat="1" applyFont="1" applyFill="1" applyBorder="1" applyAlignment="1" applyProtection="1">
      <alignment horizontal="center" vertical="center"/>
      <protection hidden="1"/>
    </xf>
    <xf numFmtId="164" fontId="46" fillId="4" borderId="21" xfId="0" applyNumberFormat="1" applyFont="1" applyFill="1" applyBorder="1" applyAlignment="1" applyProtection="1">
      <alignment horizontal="center" vertical="center"/>
      <protection hidden="1"/>
    </xf>
    <xf numFmtId="14" fontId="46" fillId="4" borderId="148" xfId="0" applyNumberFormat="1" applyFont="1" applyFill="1" applyBorder="1" applyAlignment="1" applyProtection="1">
      <alignment horizontal="center" vertical="center"/>
      <protection hidden="1"/>
    </xf>
    <xf numFmtId="0" fontId="47" fillId="4" borderId="21" xfId="0" applyFont="1" applyFill="1" applyBorder="1" applyAlignment="1" applyProtection="1">
      <alignment horizontal="right"/>
      <protection hidden="1"/>
    </xf>
    <xf numFmtId="0" fontId="47" fillId="4" borderId="149" xfId="0" applyFont="1" applyFill="1" applyBorder="1" applyAlignment="1" applyProtection="1">
      <alignment horizontal="center"/>
      <protection locked="0"/>
    </xf>
    <xf numFmtId="0" fontId="47" fillId="4" borderId="22" xfId="0" applyFont="1" applyFill="1" applyBorder="1" applyAlignment="1" applyProtection="1">
      <alignment horizontal="center"/>
      <protection locked="0"/>
    </xf>
    <xf numFmtId="0" fontId="47" fillId="4" borderId="23" xfId="0" applyFont="1" applyFill="1" applyBorder="1" applyAlignment="1" applyProtection="1">
      <alignment horizontal="left"/>
      <protection hidden="1"/>
    </xf>
    <xf numFmtId="0" fontId="47" fillId="4" borderId="20" xfId="0" applyFont="1" applyFill="1" applyBorder="1" applyAlignment="1" applyProtection="1">
      <alignment horizontal="center" vertical="center"/>
      <protection hidden="1"/>
    </xf>
    <xf numFmtId="0" fontId="47" fillId="4" borderId="21" xfId="0" applyFont="1" applyFill="1" applyBorder="1" applyAlignment="1" applyProtection="1">
      <alignment horizontal="left" vertical="center"/>
      <protection hidden="1"/>
    </xf>
    <xf numFmtId="0" fontId="48" fillId="4" borderId="21" xfId="0" applyFont="1" applyFill="1" applyBorder="1" applyAlignment="1" applyProtection="1">
      <alignment horizontal="center" vertical="center"/>
      <protection hidden="1"/>
    </xf>
    <xf numFmtId="0" fontId="47" fillId="4" borderId="21" xfId="0" applyFont="1" applyFill="1" applyBorder="1" applyAlignment="1" applyProtection="1">
      <alignment horizontal="center" vertical="center"/>
      <protection hidden="1"/>
    </xf>
    <xf numFmtId="0" fontId="47" fillId="4" borderId="23" xfId="0" applyFont="1" applyFill="1" applyBorder="1" applyAlignment="1" applyProtection="1">
      <alignment horizontal="center" vertical="center"/>
      <protection hidden="1"/>
    </xf>
    <xf numFmtId="0" fontId="47" fillId="44" borderId="150" xfId="0" applyFont="1" applyFill="1" applyBorder="1" applyAlignment="1" applyProtection="1">
      <alignment horizontal="left" vertical="center"/>
      <protection hidden="1"/>
    </xf>
    <xf numFmtId="0" fontId="47" fillId="44" borderId="151" xfId="0" applyFont="1" applyFill="1" applyBorder="1" applyAlignment="1" applyProtection="1">
      <alignment horizontal="center" vertical="center"/>
      <protection locked="0" hidden="1"/>
    </xf>
    <xf numFmtId="14" fontId="9" fillId="35" borderId="0" xfId="0" applyNumberFormat="1" applyFont="1" applyFill="1" applyProtection="1">
      <protection hidden="1"/>
    </xf>
    <xf numFmtId="14" fontId="15" fillId="35" borderId="0" xfId="0" applyNumberFormat="1" applyFont="1" applyFill="1" applyProtection="1">
      <protection hidden="1"/>
    </xf>
    <xf numFmtId="14" fontId="9" fillId="35" borderId="0" xfId="0" applyNumberFormat="1" applyFont="1" applyFill="1" applyAlignment="1" applyProtection="1">
      <alignment horizontal="center" vertical="center"/>
      <protection hidden="1"/>
    </xf>
    <xf numFmtId="0" fontId="9" fillId="35" borderId="0" xfId="0" applyFont="1" applyFill="1" applyAlignment="1" applyProtection="1">
      <alignment horizontal="right"/>
      <protection hidden="1"/>
    </xf>
    <xf numFmtId="0" fontId="9" fillId="35" borderId="0" xfId="0" applyFont="1" applyFill="1" applyAlignment="1" applyProtection="1">
      <alignment wrapText="1"/>
      <protection hidden="1"/>
    </xf>
    <xf numFmtId="0" fontId="9" fillId="35" borderId="0" xfId="0" applyFont="1" applyFill="1" applyProtection="1">
      <protection hidden="1"/>
    </xf>
    <xf numFmtId="0" fontId="9" fillId="35" borderId="0" xfId="0" applyFont="1" applyFill="1" applyAlignment="1" applyProtection="1">
      <alignment horizontal="left"/>
      <protection hidden="1"/>
    </xf>
    <xf numFmtId="0" fontId="9" fillId="35" borderId="0" xfId="0" applyFont="1" applyFill="1" applyAlignment="1" applyProtection="1">
      <alignment horizontal="center" vertical="center"/>
      <protection hidden="1"/>
    </xf>
    <xf numFmtId="0" fontId="9" fillId="35" borderId="0" xfId="0" applyFont="1" applyFill="1" applyAlignment="1" applyProtection="1">
      <alignment horizontal="center" vertical="center" wrapText="1"/>
      <protection hidden="1"/>
    </xf>
    <xf numFmtId="0" fontId="10" fillId="35" borderId="0" xfId="0" applyFont="1" applyFill="1" applyAlignment="1" applyProtection="1">
      <alignment horizontal="center" vertical="center"/>
      <protection hidden="1"/>
    </xf>
    <xf numFmtId="0" fontId="5" fillId="35" borderId="0" xfId="0" applyFont="1" applyFill="1" applyAlignment="1" applyProtection="1">
      <alignment wrapText="1"/>
      <protection hidden="1"/>
    </xf>
    <xf numFmtId="0" fontId="28" fillId="35" borderId="0" xfId="0" applyFont="1" applyFill="1" applyAlignment="1" applyProtection="1">
      <alignment horizontal="center"/>
      <protection hidden="1"/>
    </xf>
    <xf numFmtId="0" fontId="30" fillId="35" borderId="0" xfId="0" applyFont="1" applyFill="1" applyAlignment="1" applyProtection="1">
      <alignment vertical="center" wrapText="1"/>
      <protection hidden="1"/>
    </xf>
    <xf numFmtId="0" fontId="30" fillId="35" borderId="0" xfId="0" applyFont="1" applyFill="1" applyAlignment="1" applyProtection="1">
      <alignment vertical="center"/>
      <protection hidden="1"/>
    </xf>
    <xf numFmtId="0" fontId="47" fillId="4" borderId="152" xfId="0" applyFont="1" applyFill="1" applyBorder="1" applyAlignment="1" applyProtection="1">
      <alignment horizontal="center" vertical="center"/>
      <protection hidden="1"/>
    </xf>
    <xf numFmtId="0" fontId="47" fillId="4" borderId="153" xfId="0" applyFont="1" applyFill="1" applyBorder="1" applyAlignment="1" applyProtection="1">
      <alignment horizontal="center" vertical="center"/>
      <protection hidden="1"/>
    </xf>
    <xf numFmtId="0" fontId="47" fillId="4" borderId="154" xfId="0" applyFont="1" applyFill="1" applyBorder="1" applyAlignment="1" applyProtection="1">
      <alignment horizontal="center" vertical="center"/>
      <protection hidden="1"/>
    </xf>
    <xf numFmtId="0" fontId="47" fillId="4" borderId="155" xfId="0" applyFont="1" applyFill="1" applyBorder="1" applyAlignment="1" applyProtection="1">
      <alignment horizontal="center" vertical="center"/>
      <protection hidden="1"/>
    </xf>
    <xf numFmtId="0" fontId="47" fillId="4" borderId="156" xfId="0" applyFont="1" applyFill="1" applyBorder="1" applyAlignment="1" applyProtection="1">
      <alignment horizontal="center" vertical="center"/>
      <protection hidden="1"/>
    </xf>
    <xf numFmtId="0" fontId="47" fillId="4" borderId="157" xfId="0" applyFont="1" applyFill="1" applyBorder="1" applyAlignment="1" applyProtection="1">
      <alignment horizontal="left" vertical="center"/>
      <protection hidden="1"/>
    </xf>
    <xf numFmtId="0" fontId="48" fillId="4" borderId="157" xfId="0" applyFont="1" applyFill="1" applyBorder="1" applyAlignment="1" applyProtection="1">
      <alignment horizontal="center" vertical="center"/>
      <protection hidden="1"/>
    </xf>
    <xf numFmtId="0" fontId="47" fillId="4" borderId="157" xfId="0" applyFont="1" applyFill="1" applyBorder="1" applyAlignment="1" applyProtection="1">
      <alignment horizontal="center" vertical="center"/>
      <protection hidden="1"/>
    </xf>
    <xf numFmtId="0" fontId="47" fillId="4" borderId="158" xfId="0" applyFont="1" applyFill="1" applyBorder="1" applyAlignment="1" applyProtection="1">
      <alignment horizontal="center" vertical="center"/>
      <protection hidden="1"/>
    </xf>
    <xf numFmtId="0" fontId="49" fillId="7" borderId="17" xfId="0" applyFont="1" applyFill="1" applyBorder="1" applyAlignment="1">
      <alignment horizontal="left" vertical="top"/>
    </xf>
    <xf numFmtId="0" fontId="49" fillId="7" borderId="17" xfId="0" applyFont="1" applyFill="1" applyBorder="1" applyAlignment="1">
      <alignment horizontal="right" vertical="top"/>
    </xf>
    <xf numFmtId="0" fontId="49" fillId="7" borderId="137" xfId="0" applyFont="1" applyFill="1" applyBorder="1" applyAlignment="1">
      <alignment horizontal="left" vertical="top"/>
    </xf>
    <xf numFmtId="0" fontId="16" fillId="35" borderId="0" xfId="0" applyFont="1" applyFill="1" applyAlignment="1" applyProtection="1">
      <alignment horizontal="center" vertical="center"/>
      <protection hidden="1"/>
    </xf>
    <xf numFmtId="0" fontId="49" fillId="7" borderId="16" xfId="0" applyFont="1" applyFill="1" applyBorder="1" applyAlignment="1" applyProtection="1">
      <alignment horizontal="centerContinuous" vertical="center"/>
      <protection hidden="1"/>
    </xf>
    <xf numFmtId="0" fontId="18" fillId="7" borderId="17" xfId="0" applyFont="1" applyFill="1" applyBorder="1" applyAlignment="1" applyProtection="1">
      <alignment horizontal="centerContinuous" vertical="center"/>
      <protection hidden="1"/>
    </xf>
    <xf numFmtId="0" fontId="10" fillId="7" borderId="17" xfId="0" applyFont="1" applyFill="1" applyBorder="1" applyAlignment="1" applyProtection="1">
      <alignment horizontal="centerContinuous" vertical="center"/>
      <protection hidden="1"/>
    </xf>
    <xf numFmtId="0" fontId="10" fillId="7" borderId="137" xfId="0" applyFont="1" applyFill="1" applyBorder="1" applyAlignment="1" applyProtection="1">
      <alignment horizontal="centerContinuous" vertical="center"/>
      <protection hidden="1"/>
    </xf>
    <xf numFmtId="0" fontId="61" fillId="35" borderId="0" xfId="0" applyFont="1" applyFill="1" applyProtection="1">
      <protection hidden="1"/>
    </xf>
    <xf numFmtId="0" fontId="9" fillId="35" borderId="0" xfId="0" applyFont="1" applyFill="1" applyAlignment="1" applyProtection="1">
      <alignment horizontal="center"/>
      <protection hidden="1"/>
    </xf>
    <xf numFmtId="0" fontId="10" fillId="35" borderId="0" xfId="0" applyFont="1" applyFill="1" applyAlignment="1" applyProtection="1">
      <alignment horizontal="center"/>
      <protection hidden="1"/>
    </xf>
    <xf numFmtId="0" fontId="46" fillId="4" borderId="138" xfId="0" applyFont="1" applyFill="1" applyBorder="1" applyAlignment="1" applyProtection="1">
      <alignment horizontal="center" vertical="center"/>
      <protection hidden="1"/>
    </xf>
    <xf numFmtId="0" fontId="47" fillId="4" borderId="0" xfId="0" applyFont="1" applyFill="1" applyAlignment="1" applyProtection="1">
      <alignment horizontal="right" vertical="center"/>
      <protection hidden="1"/>
    </xf>
    <xf numFmtId="0" fontId="47" fillId="4" borderId="0" xfId="0" applyFont="1" applyFill="1" applyAlignment="1" applyProtection="1">
      <alignment horizontal="center"/>
      <protection locked="0" hidden="1"/>
    </xf>
    <xf numFmtId="0" fontId="47" fillId="4" borderId="159" xfId="0" applyFont="1" applyFill="1" applyBorder="1" applyAlignment="1" applyProtection="1">
      <alignment horizontal="center"/>
      <protection locked="0" hidden="1"/>
    </xf>
    <xf numFmtId="0" fontId="47" fillId="4" borderId="19" xfId="0" applyFont="1" applyFill="1" applyBorder="1" applyAlignment="1">
      <alignment horizontal="left" vertical="center"/>
    </xf>
    <xf numFmtId="0" fontId="47" fillId="4" borderId="25" xfId="0" applyFont="1" applyFill="1" applyBorder="1" applyAlignment="1" applyProtection="1">
      <alignment horizontal="center"/>
      <protection locked="0"/>
    </xf>
    <xf numFmtId="0" fontId="47" fillId="4" borderId="16" xfId="0" applyFont="1" applyFill="1" applyBorder="1" applyAlignment="1" applyProtection="1">
      <alignment horizontal="center" vertical="center"/>
      <protection hidden="1"/>
    </xf>
    <xf numFmtId="0" fontId="47" fillId="4" borderId="17" xfId="0" applyFont="1" applyFill="1" applyBorder="1" applyAlignment="1" applyProtection="1">
      <alignment horizontal="left" vertical="center"/>
      <protection hidden="1"/>
    </xf>
    <xf numFmtId="0" fontId="48" fillId="4" borderId="17" xfId="0" applyFont="1" applyFill="1" applyBorder="1" applyAlignment="1" applyProtection="1">
      <alignment horizontal="center" vertical="center"/>
      <protection hidden="1"/>
    </xf>
    <xf numFmtId="0" fontId="47" fillId="4" borderId="17" xfId="0" applyFont="1" applyFill="1" applyBorder="1" applyAlignment="1" applyProtection="1">
      <alignment horizontal="center" vertical="center"/>
      <protection hidden="1"/>
    </xf>
    <xf numFmtId="0" fontId="47" fillId="4" borderId="17" xfId="0" quotePrefix="1" applyFont="1" applyFill="1" applyBorder="1" applyAlignment="1" applyProtection="1">
      <alignment horizontal="center" vertical="center"/>
      <protection hidden="1"/>
    </xf>
    <xf numFmtId="0" fontId="47" fillId="4" borderId="137" xfId="0" quotePrefix="1" applyFont="1" applyFill="1" applyBorder="1" applyAlignment="1" applyProtection="1">
      <alignment horizontal="center" vertical="center"/>
      <protection hidden="1"/>
    </xf>
    <xf numFmtId="0" fontId="12" fillId="35" borderId="0" xfId="0" applyFont="1" applyFill="1" applyAlignment="1" applyProtection="1">
      <alignment horizontal="center" vertical="center"/>
      <protection hidden="1"/>
    </xf>
    <xf numFmtId="0" fontId="47" fillId="4" borderId="0" xfId="0" quotePrefix="1" applyFont="1" applyFill="1" applyAlignment="1" applyProtection="1">
      <alignment horizontal="left" vertical="center"/>
      <protection hidden="1"/>
    </xf>
    <xf numFmtId="0" fontId="48" fillId="4" borderId="0" xfId="0" quotePrefix="1" applyFont="1" applyFill="1" applyAlignment="1" applyProtection="1">
      <alignment horizontal="center" vertical="center"/>
      <protection hidden="1"/>
    </xf>
    <xf numFmtId="0" fontId="47" fillId="4" borderId="0" xfId="0" quotePrefix="1" applyFont="1" applyFill="1" applyAlignment="1" applyProtection="1">
      <alignment horizontal="center" vertical="center"/>
      <protection hidden="1"/>
    </xf>
    <xf numFmtId="0" fontId="47" fillId="4" borderId="19" xfId="0" quotePrefix="1" applyFont="1" applyFill="1" applyBorder="1" applyAlignment="1" applyProtection="1">
      <alignment horizontal="center" vertical="center"/>
      <protection hidden="1"/>
    </xf>
    <xf numFmtId="14" fontId="47" fillId="35" borderId="0" xfId="0" applyNumberFormat="1" applyFont="1" applyFill="1" applyAlignment="1" applyProtection="1">
      <alignment horizontal="right"/>
      <protection hidden="1"/>
    </xf>
    <xf numFmtId="14" fontId="47" fillId="35" borderId="0" xfId="0" applyNumberFormat="1" applyFont="1" applyFill="1" applyAlignment="1" applyProtection="1">
      <alignment horizontal="left"/>
      <protection hidden="1"/>
    </xf>
    <xf numFmtId="14" fontId="47" fillId="35" borderId="0" xfId="0" applyNumberFormat="1" applyFont="1" applyFill="1" applyProtection="1">
      <protection hidden="1"/>
    </xf>
    <xf numFmtId="0" fontId="21" fillId="35" borderId="0" xfId="0" applyFont="1" applyFill="1" applyAlignment="1" applyProtection="1">
      <alignment horizontal="center" vertical="center"/>
      <protection hidden="1"/>
    </xf>
    <xf numFmtId="0" fontId="0" fillId="35" borderId="0" xfId="0" applyFill="1" applyProtection="1">
      <protection hidden="1"/>
    </xf>
    <xf numFmtId="0" fontId="19" fillId="35" borderId="0" xfId="0" applyFont="1" applyFill="1" applyAlignment="1" applyProtection="1">
      <alignment horizontal="center"/>
      <protection hidden="1"/>
    </xf>
    <xf numFmtId="0" fontId="46" fillId="4" borderId="148" xfId="0" applyFont="1" applyFill="1" applyBorder="1" applyAlignment="1" applyProtection="1">
      <alignment horizontal="center" vertical="center"/>
      <protection hidden="1"/>
    </xf>
    <xf numFmtId="0" fontId="47" fillId="4" borderId="21" xfId="0" applyFont="1" applyFill="1" applyBorder="1" applyAlignment="1" applyProtection="1">
      <alignment horizontal="right" vertical="center"/>
      <protection hidden="1"/>
    </xf>
    <xf numFmtId="0" fontId="47" fillId="4" borderId="21" xfId="0" applyFont="1" applyFill="1" applyBorder="1" applyAlignment="1" applyProtection="1">
      <alignment horizontal="center"/>
      <protection locked="0" hidden="1"/>
    </xf>
    <xf numFmtId="0" fontId="47" fillId="4" borderId="160" xfId="0" applyFont="1" applyFill="1" applyBorder="1" applyAlignment="1" applyProtection="1">
      <alignment horizontal="center"/>
      <protection locked="0"/>
    </xf>
    <xf numFmtId="0" fontId="47" fillId="4" borderId="23" xfId="0" applyFont="1" applyFill="1" applyBorder="1" applyAlignment="1">
      <alignment horizontal="left" vertical="center"/>
    </xf>
    <xf numFmtId="0" fontId="47" fillId="35" borderId="0" xfId="0" applyFont="1" applyFill="1" applyAlignment="1" applyProtection="1">
      <alignment horizontal="left"/>
      <protection hidden="1"/>
    </xf>
    <xf numFmtId="0" fontId="47" fillId="4" borderId="12" xfId="0" applyFont="1" applyFill="1" applyBorder="1" applyAlignment="1" applyProtection="1">
      <alignment horizontal="center"/>
      <protection locked="0"/>
    </xf>
    <xf numFmtId="0" fontId="6" fillId="35" borderId="0" xfId="27" applyFill="1" applyAlignment="1" applyProtection="1">
      <alignment horizontal="center"/>
      <protection hidden="1"/>
    </xf>
    <xf numFmtId="0" fontId="47" fillId="4" borderId="162" xfId="0" applyFont="1" applyFill="1" applyBorder="1" applyAlignment="1" applyProtection="1">
      <alignment horizontal="center"/>
      <protection locked="0"/>
    </xf>
    <xf numFmtId="0" fontId="47" fillId="4" borderId="3" xfId="0" applyFont="1" applyFill="1" applyBorder="1" applyAlignment="1" applyProtection="1">
      <alignment horizontal="center"/>
      <protection locked="0" hidden="1"/>
    </xf>
    <xf numFmtId="0" fontId="47" fillId="4" borderId="2" xfId="0" applyFont="1" applyFill="1" applyBorder="1" applyAlignment="1" applyProtection="1">
      <alignment horizontal="center"/>
      <protection locked="0"/>
    </xf>
    <xf numFmtId="0" fontId="47" fillId="4" borderId="164" xfId="0" applyFont="1" applyFill="1" applyBorder="1" applyAlignment="1" applyProtection="1">
      <alignment horizontal="center"/>
      <protection locked="0"/>
    </xf>
    <xf numFmtId="0" fontId="46" fillId="4" borderId="26" xfId="0" applyFont="1" applyFill="1" applyBorder="1" applyAlignment="1" applyProtection="1">
      <alignment horizontal="center" vertical="center"/>
      <protection hidden="1"/>
    </xf>
    <xf numFmtId="0" fontId="47" fillId="4" borderId="165" xfId="0" applyFont="1" applyFill="1" applyBorder="1" applyAlignment="1">
      <alignment horizontal="left" vertical="center"/>
    </xf>
    <xf numFmtId="0" fontId="58" fillId="35" borderId="0" xfId="0" applyFont="1" applyFill="1" applyAlignment="1">
      <alignment horizontal="left" vertical="center"/>
    </xf>
    <xf numFmtId="0" fontId="46" fillId="4" borderId="166" xfId="0" applyFont="1" applyFill="1" applyBorder="1" applyAlignment="1" applyProtection="1">
      <alignment horizontal="center" vertical="center"/>
      <protection hidden="1"/>
    </xf>
    <xf numFmtId="0" fontId="47" fillId="4" borderId="167" xfId="0" applyFont="1" applyFill="1" applyBorder="1" applyAlignment="1">
      <alignment horizontal="left" vertical="center"/>
    </xf>
    <xf numFmtId="0" fontId="58" fillId="35" borderId="0" xfId="0" applyFont="1" applyFill="1" applyAlignment="1">
      <alignment horizontal="center" vertical="center"/>
    </xf>
    <xf numFmtId="0" fontId="49" fillId="7" borderId="168" xfId="0" applyFont="1" applyFill="1" applyBorder="1" applyAlignment="1" applyProtection="1">
      <alignment horizontal="centerContinuous" vertical="center"/>
      <protection hidden="1"/>
    </xf>
    <xf numFmtId="0" fontId="18" fillId="7" borderId="169" xfId="0" applyFont="1" applyFill="1" applyBorder="1" applyAlignment="1" applyProtection="1">
      <alignment horizontal="centerContinuous" vertical="center"/>
      <protection hidden="1"/>
    </xf>
    <xf numFmtId="0" fontId="10" fillId="7" borderId="169" xfId="0" applyFont="1" applyFill="1" applyBorder="1" applyAlignment="1" applyProtection="1">
      <alignment horizontal="centerContinuous" vertical="center"/>
      <protection hidden="1"/>
    </xf>
    <xf numFmtId="0" fontId="10" fillId="7" borderId="170" xfId="0" applyFont="1" applyFill="1" applyBorder="1" applyAlignment="1" applyProtection="1">
      <alignment horizontal="centerContinuous" vertical="center"/>
      <protection hidden="1"/>
    </xf>
    <xf numFmtId="0" fontId="4" fillId="7" borderId="171" xfId="0" applyFont="1" applyFill="1" applyBorder="1" applyAlignment="1">
      <alignment horizontal="left" vertical="top"/>
    </xf>
    <xf numFmtId="0" fontId="49" fillId="7" borderId="172" xfId="0" applyFont="1" applyFill="1" applyBorder="1" applyAlignment="1">
      <alignment horizontal="left" vertical="top"/>
    </xf>
    <xf numFmtId="0" fontId="47" fillId="4" borderId="1" xfId="0" applyFont="1" applyFill="1" applyBorder="1" applyAlignment="1" applyProtection="1">
      <alignment horizontal="center"/>
      <protection locked="0"/>
    </xf>
    <xf numFmtId="14" fontId="46" fillId="4" borderId="175" xfId="0" applyNumberFormat="1" applyFont="1" applyFill="1" applyBorder="1" applyAlignment="1" applyProtection="1">
      <alignment horizontal="center" vertical="center"/>
      <protection hidden="1"/>
    </xf>
    <xf numFmtId="164" fontId="46" fillId="4" borderId="175" xfId="0" applyNumberFormat="1" applyFont="1" applyFill="1" applyBorder="1" applyAlignment="1" applyProtection="1">
      <alignment horizontal="center" vertical="center"/>
      <protection hidden="1"/>
    </xf>
    <xf numFmtId="0" fontId="46" fillId="4" borderId="176" xfId="0" applyFont="1" applyFill="1" applyBorder="1" applyAlignment="1" applyProtection="1">
      <alignment horizontal="center" vertical="center"/>
      <protection hidden="1"/>
    </xf>
    <xf numFmtId="0" fontId="47" fillId="4" borderId="175" xfId="0" applyFont="1" applyFill="1" applyBorder="1" applyAlignment="1" applyProtection="1">
      <alignment horizontal="right" vertical="center"/>
      <protection hidden="1"/>
    </xf>
    <xf numFmtId="0" fontId="47" fillId="4" borderId="175" xfId="0" applyFont="1" applyFill="1" applyBorder="1" applyAlignment="1" applyProtection="1">
      <alignment horizontal="center"/>
      <protection locked="0" hidden="1"/>
    </xf>
    <xf numFmtId="0" fontId="47" fillId="4" borderId="177" xfId="0" applyFont="1" applyFill="1" applyBorder="1" applyAlignment="1">
      <alignment horizontal="left" vertical="center"/>
    </xf>
    <xf numFmtId="0" fontId="28" fillId="7" borderId="171" xfId="0" applyFont="1" applyFill="1" applyBorder="1" applyAlignment="1">
      <alignment horizontal="left" vertical="top"/>
    </xf>
    <xf numFmtId="14" fontId="22" fillId="28" borderId="178" xfId="0" quotePrefix="1" applyNumberFormat="1" applyFont="1" applyFill="1" applyBorder="1" applyAlignment="1" applyProtection="1">
      <alignment horizontal="center" vertical="center"/>
      <protection hidden="1"/>
    </xf>
    <xf numFmtId="0" fontId="46" fillId="4" borderId="175" xfId="0" applyFont="1" applyFill="1" applyBorder="1" applyAlignment="1" applyProtection="1">
      <alignment horizontal="center" vertical="center"/>
      <protection hidden="1"/>
    </xf>
    <xf numFmtId="0" fontId="47" fillId="4" borderId="179" xfId="0" applyFont="1" applyFill="1" applyBorder="1" applyAlignment="1" applyProtection="1">
      <alignment horizontal="right" vertical="center"/>
      <protection hidden="1"/>
    </xf>
    <xf numFmtId="0" fontId="47" fillId="4" borderId="175" xfId="0" applyFont="1" applyFill="1" applyBorder="1" applyAlignment="1" applyProtection="1">
      <alignment horizontal="center" vertical="center"/>
      <protection locked="0"/>
    </xf>
    <xf numFmtId="0" fontId="47" fillId="4" borderId="180" xfId="0" applyFont="1" applyFill="1" applyBorder="1" applyAlignment="1" applyProtection="1">
      <alignment horizontal="center" vertical="center"/>
      <protection locked="0"/>
    </xf>
    <xf numFmtId="0" fontId="47" fillId="4" borderId="177" xfId="0" applyFont="1" applyFill="1" applyBorder="1" applyAlignment="1">
      <alignment vertical="center"/>
    </xf>
    <xf numFmtId="0" fontId="54" fillId="7" borderId="169" xfId="0" applyFont="1" applyFill="1" applyBorder="1" applyAlignment="1" applyProtection="1">
      <alignment horizontal="centerContinuous" vertical="center"/>
      <protection hidden="1"/>
    </xf>
    <xf numFmtId="14" fontId="33" fillId="28" borderId="178" xfId="0" quotePrefix="1" applyNumberFormat="1" applyFont="1" applyFill="1" applyBorder="1" applyAlignment="1" applyProtection="1">
      <alignment horizontal="center" vertical="center"/>
      <protection hidden="1"/>
    </xf>
    <xf numFmtId="0" fontId="57" fillId="35" borderId="0" xfId="0" applyFont="1" applyFill="1" applyAlignment="1">
      <alignment horizontal="center" vertical="center"/>
    </xf>
    <xf numFmtId="0" fontId="49" fillId="7" borderId="168" xfId="0" applyFont="1" applyFill="1" applyBorder="1" applyAlignment="1" applyProtection="1">
      <alignment horizontal="left" vertical="center"/>
      <protection hidden="1"/>
    </xf>
    <xf numFmtId="0" fontId="28" fillId="7" borderId="169" xfId="0" applyFont="1" applyFill="1" applyBorder="1" applyAlignment="1">
      <alignment horizontal="center"/>
    </xf>
    <xf numFmtId="0" fontId="28" fillId="7" borderId="169" xfId="0" applyFont="1" applyFill="1" applyBorder="1" applyAlignment="1">
      <alignment horizontal="left"/>
    </xf>
    <xf numFmtId="0" fontId="49" fillId="7" borderId="169" xfId="0" applyFont="1" applyFill="1" applyBorder="1" applyAlignment="1">
      <alignment horizontal="right"/>
    </xf>
    <xf numFmtId="0" fontId="28" fillId="7" borderId="170" xfId="0" applyFont="1" applyFill="1" applyBorder="1" applyAlignment="1">
      <alignment horizontal="left"/>
    </xf>
    <xf numFmtId="0" fontId="55" fillId="35" borderId="0" xfId="0" applyFont="1" applyFill="1" applyAlignment="1" applyProtection="1">
      <alignment horizontal="centerContinuous" vertical="center"/>
      <protection hidden="1"/>
    </xf>
    <xf numFmtId="0" fontId="53" fillId="7" borderId="181" xfId="0" applyFont="1" applyFill="1" applyBorder="1" applyAlignment="1" applyProtection="1">
      <alignment horizontal="left" vertical="center"/>
      <protection hidden="1"/>
    </xf>
    <xf numFmtId="0" fontId="52" fillId="7" borderId="0" xfId="0" applyFont="1" applyFill="1" applyAlignment="1" applyProtection="1">
      <alignment horizontal="left" vertical="center"/>
      <protection hidden="1"/>
    </xf>
    <xf numFmtId="0" fontId="28" fillId="7" borderId="0" xfId="0" applyFont="1" applyFill="1" applyAlignment="1" applyProtection="1">
      <alignment horizontal="left" vertical="center"/>
      <protection hidden="1"/>
    </xf>
    <xf numFmtId="0" fontId="47" fillId="4" borderId="168" xfId="0" applyFont="1" applyFill="1" applyBorder="1" applyAlignment="1">
      <alignment vertical="center"/>
    </xf>
    <xf numFmtId="0" fontId="0" fillId="4" borderId="169" xfId="0" applyFill="1" applyBorder="1" applyAlignment="1">
      <alignment vertical="center"/>
    </xf>
    <xf numFmtId="0" fontId="0" fillId="4" borderId="170" xfId="0" applyFill="1" applyBorder="1" applyAlignment="1">
      <alignment vertical="center"/>
    </xf>
    <xf numFmtId="0" fontId="47" fillId="4" borderId="181" xfId="0" applyFont="1" applyFill="1" applyBorder="1" applyAlignment="1">
      <alignment vertical="center"/>
    </xf>
    <xf numFmtId="0" fontId="0" fillId="4" borderId="0" xfId="0" applyFill="1" applyAlignment="1">
      <alignment vertical="center"/>
    </xf>
    <xf numFmtId="0" fontId="0" fillId="4" borderId="165" xfId="0" applyFill="1" applyBorder="1" applyAlignment="1">
      <alignment vertical="center"/>
    </xf>
    <xf numFmtId="14" fontId="56" fillId="35" borderId="0" xfId="0" applyNumberFormat="1" applyFont="1" applyFill="1" applyProtection="1">
      <protection hidden="1"/>
    </xf>
    <xf numFmtId="0" fontId="53" fillId="7" borderId="182" xfId="0" applyFont="1" applyFill="1" applyBorder="1" applyAlignment="1" applyProtection="1">
      <alignment horizontal="left" vertical="center"/>
      <protection hidden="1"/>
    </xf>
    <xf numFmtId="0" fontId="52" fillId="7" borderId="175" xfId="0" applyFont="1" applyFill="1" applyBorder="1" applyAlignment="1" applyProtection="1">
      <alignment horizontal="left" vertical="center"/>
      <protection hidden="1"/>
    </xf>
    <xf numFmtId="0" fontId="28" fillId="7" borderId="175" xfId="0" applyFont="1" applyFill="1" applyBorder="1" applyAlignment="1" applyProtection="1">
      <alignment horizontal="left" vertical="center"/>
      <protection hidden="1"/>
    </xf>
    <xf numFmtId="0" fontId="47" fillId="4" borderId="182" xfId="0" applyFont="1" applyFill="1" applyBorder="1" applyAlignment="1">
      <alignment vertical="center"/>
    </xf>
    <xf numFmtId="0" fontId="0" fillId="4" borderId="175" xfId="0" applyFill="1" applyBorder="1" applyAlignment="1">
      <alignment vertical="center"/>
    </xf>
    <xf numFmtId="0" fontId="0" fillId="4" borderId="177" xfId="0" applyFill="1" applyBorder="1" applyAlignment="1">
      <alignment vertical="center"/>
    </xf>
    <xf numFmtId="0" fontId="53" fillId="7" borderId="168" xfId="0" applyFont="1" applyFill="1" applyBorder="1" applyAlignment="1" applyProtection="1">
      <alignment horizontal="left" vertical="center"/>
      <protection hidden="1"/>
    </xf>
    <xf numFmtId="0" fontId="28" fillId="7" borderId="169" xfId="0" applyFont="1" applyFill="1" applyBorder="1" applyAlignment="1" applyProtection="1">
      <alignment horizontal="left" vertical="center"/>
      <protection hidden="1"/>
    </xf>
    <xf numFmtId="0" fontId="28" fillId="7" borderId="170" xfId="0" applyFont="1" applyFill="1" applyBorder="1" applyAlignment="1" applyProtection="1">
      <alignment horizontal="left" vertical="center"/>
      <protection hidden="1"/>
    </xf>
    <xf numFmtId="0" fontId="47" fillId="4" borderId="169" xfId="0" applyFont="1" applyFill="1" applyBorder="1" applyAlignment="1" applyProtection="1">
      <alignment vertical="center"/>
      <protection locked="0" hidden="1"/>
    </xf>
    <xf numFmtId="0" fontId="0" fillId="4" borderId="169" xfId="0" applyFill="1" applyBorder="1" applyAlignment="1" applyProtection="1">
      <alignment vertical="center"/>
      <protection locked="0" hidden="1"/>
    </xf>
    <xf numFmtId="0" fontId="0" fillId="4" borderId="170" xfId="0" applyFill="1" applyBorder="1" applyAlignment="1" applyProtection="1">
      <alignment vertical="center"/>
      <protection locked="0" hidden="1"/>
    </xf>
    <xf numFmtId="0" fontId="56" fillId="35" borderId="0" xfId="0" applyFont="1" applyFill="1" applyAlignment="1" applyProtection="1">
      <alignment horizontal="centerContinuous" vertical="center"/>
      <protection hidden="1"/>
    </xf>
    <xf numFmtId="0" fontId="28" fillId="7" borderId="165" xfId="0" applyFont="1" applyFill="1" applyBorder="1" applyAlignment="1" applyProtection="1">
      <alignment horizontal="left" vertical="center"/>
      <protection hidden="1"/>
    </xf>
    <xf numFmtId="0" fontId="47" fillId="4" borderId="0" xfId="0" applyFont="1" applyFill="1" applyAlignment="1" applyProtection="1">
      <alignment vertical="center"/>
      <protection locked="0" hidden="1"/>
    </xf>
    <xf numFmtId="0" fontId="0" fillId="4" borderId="0" xfId="0" applyFill="1" applyAlignment="1" applyProtection="1">
      <alignment vertical="center"/>
      <protection locked="0" hidden="1"/>
    </xf>
    <xf numFmtId="0" fontId="0" fillId="4" borderId="165" xfId="0" applyFill="1" applyBorder="1" applyAlignment="1" applyProtection="1">
      <alignment vertical="center"/>
      <protection locked="0" hidden="1"/>
    </xf>
    <xf numFmtId="0" fontId="4" fillId="35" borderId="0" xfId="0" applyFont="1" applyFill="1" applyAlignment="1" applyProtection="1">
      <alignment horizontal="centerContinuous" wrapText="1"/>
      <protection hidden="1"/>
    </xf>
    <xf numFmtId="0" fontId="28" fillId="7" borderId="177" xfId="0" applyFont="1" applyFill="1" applyBorder="1" applyAlignment="1" applyProtection="1">
      <alignment horizontal="left" vertical="center"/>
      <protection hidden="1"/>
    </xf>
    <xf numFmtId="0" fontId="47" fillId="4" borderId="175" xfId="0" applyFont="1" applyFill="1" applyBorder="1" applyAlignment="1" applyProtection="1">
      <alignment vertical="center"/>
      <protection locked="0" hidden="1"/>
    </xf>
    <xf numFmtId="0" fontId="0" fillId="4" borderId="175" xfId="0" applyFill="1" applyBorder="1" applyAlignment="1" applyProtection="1">
      <alignment vertical="center"/>
      <protection locked="0" hidden="1"/>
    </xf>
    <xf numFmtId="0" fontId="0" fillId="4" borderId="177" xfId="0" applyFill="1" applyBorder="1" applyAlignment="1" applyProtection="1">
      <alignment vertical="center"/>
      <protection locked="0" hidden="1"/>
    </xf>
    <xf numFmtId="0" fontId="55" fillId="35" borderId="0" xfId="0" applyFont="1" applyFill="1" applyAlignment="1" applyProtection="1">
      <alignment horizontal="left" vertical="center"/>
      <protection hidden="1"/>
    </xf>
    <xf numFmtId="0" fontId="44" fillId="35" borderId="61" xfId="27" applyFont="1" applyFill="1" applyBorder="1" applyAlignment="1">
      <alignment vertical="center"/>
    </xf>
    <xf numFmtId="0" fontId="38" fillId="35" borderId="62" xfId="27" applyFont="1" applyFill="1" applyBorder="1" applyAlignment="1">
      <alignment vertical="center"/>
    </xf>
    <xf numFmtId="0" fontId="0" fillId="35" borderId="0" xfId="0" applyFill="1" applyAlignment="1" applyProtection="1">
      <alignment vertical="center"/>
      <protection hidden="1"/>
    </xf>
    <xf numFmtId="0" fontId="56" fillId="35" borderId="0" xfId="0" applyFont="1" applyFill="1" applyAlignment="1" applyProtection="1">
      <alignment horizontal="left" vertical="center"/>
      <protection hidden="1"/>
    </xf>
    <xf numFmtId="0" fontId="34" fillId="35" borderId="0" xfId="0" applyFont="1" applyFill="1" applyProtection="1">
      <protection hidden="1"/>
    </xf>
    <xf numFmtId="0" fontId="67" fillId="35" borderId="0" xfId="0" applyFont="1" applyFill="1" applyProtection="1">
      <protection hidden="1"/>
    </xf>
    <xf numFmtId="0" fontId="34" fillId="35" borderId="0" xfId="0" applyFont="1" applyFill="1" applyAlignment="1" applyProtection="1">
      <alignment horizontal="center" vertical="center"/>
      <protection hidden="1"/>
    </xf>
    <xf numFmtId="0" fontId="35" fillId="35" borderId="0" xfId="27" applyFont="1" applyFill="1" applyProtection="1">
      <protection hidden="1"/>
    </xf>
    <xf numFmtId="0" fontId="44" fillId="35" borderId="0" xfId="0" applyFont="1" applyFill="1" applyProtection="1">
      <protection hidden="1"/>
    </xf>
    <xf numFmtId="0" fontId="34" fillId="35" borderId="0" xfId="0" applyFont="1" applyFill="1" applyAlignment="1" applyProtection="1">
      <alignment horizontal="center"/>
      <protection hidden="1"/>
    </xf>
    <xf numFmtId="0" fontId="36" fillId="35" borderId="0" xfId="0" applyFont="1" applyFill="1" applyAlignment="1" applyProtection="1">
      <alignment horizontal="center"/>
      <protection hidden="1"/>
    </xf>
    <xf numFmtId="0" fontId="34" fillId="35" borderId="0" xfId="0" applyFont="1" applyFill="1" applyAlignment="1" applyProtection="1">
      <alignment horizontal="center" wrapText="1"/>
      <protection hidden="1"/>
    </xf>
    <xf numFmtId="0" fontId="37" fillId="35" borderId="0" xfId="0" applyFont="1" applyFill="1" applyAlignment="1" applyProtection="1">
      <alignment horizontal="left" vertical="center"/>
      <protection hidden="1"/>
    </xf>
    <xf numFmtId="0" fontId="37" fillId="35" borderId="0" xfId="0" applyFont="1" applyFill="1" applyAlignment="1" applyProtection="1">
      <alignment horizontal="left"/>
      <protection hidden="1"/>
    </xf>
    <xf numFmtId="0" fontId="38" fillId="35" borderId="0" xfId="0" applyFont="1" applyFill="1" applyProtection="1">
      <protection hidden="1"/>
    </xf>
    <xf numFmtId="0" fontId="39" fillId="35" borderId="0" xfId="27" applyFont="1" applyFill="1" applyBorder="1" applyAlignment="1" applyProtection="1">
      <alignment vertical="center" wrapText="1"/>
      <protection hidden="1"/>
    </xf>
    <xf numFmtId="0" fontId="39" fillId="35" borderId="0" xfId="27" applyFont="1" applyFill="1" applyBorder="1" applyAlignment="1" applyProtection="1">
      <alignment vertical="center"/>
      <protection hidden="1"/>
    </xf>
    <xf numFmtId="0" fontId="40" fillId="35" borderId="0" xfId="0" applyFont="1" applyFill="1" applyProtection="1">
      <protection hidden="1"/>
    </xf>
    <xf numFmtId="0" fontId="34" fillId="35" borderId="73" xfId="0" applyFont="1" applyFill="1" applyBorder="1" applyAlignment="1" applyProtection="1">
      <alignment horizontal="center" vertical="center"/>
      <protection hidden="1"/>
    </xf>
    <xf numFmtId="0" fontId="64" fillId="35" borderId="0" xfId="0" applyFont="1" applyFill="1" applyAlignment="1" applyProtection="1">
      <alignment horizontal="center" vertical="center"/>
      <protection hidden="1"/>
    </xf>
    <xf numFmtId="0" fontId="65" fillId="35" borderId="0" xfId="0" applyFont="1" applyFill="1" applyAlignment="1" applyProtection="1">
      <alignment horizontal="center" vertical="center"/>
      <protection hidden="1"/>
    </xf>
    <xf numFmtId="0" fontId="63" fillId="35" borderId="0" xfId="0" applyFont="1" applyFill="1" applyAlignment="1" applyProtection="1">
      <alignment horizontal="center" vertical="center"/>
      <protection hidden="1"/>
    </xf>
    <xf numFmtId="0" fontId="42" fillId="35" borderId="0" xfId="27" applyFont="1" applyFill="1" applyAlignment="1" applyProtection="1">
      <alignment horizontal="left" vertical="center"/>
      <protection hidden="1"/>
    </xf>
    <xf numFmtId="0" fontId="38" fillId="35" borderId="0" xfId="0" applyFont="1" applyFill="1" applyAlignment="1" applyProtection="1">
      <alignment horizontal="center" vertical="center"/>
      <protection hidden="1"/>
    </xf>
    <xf numFmtId="0" fontId="55" fillId="35" borderId="0" xfId="0" applyFont="1" applyFill="1"/>
    <xf numFmtId="0" fontId="56" fillId="35" borderId="0" xfId="0" applyFont="1" applyFill="1" applyAlignment="1">
      <alignment horizontal="center" vertical="center"/>
    </xf>
    <xf numFmtId="0" fontId="47" fillId="35" borderId="0" xfId="0" applyFont="1" applyFill="1" applyAlignment="1">
      <alignment horizontal="center"/>
    </xf>
    <xf numFmtId="0" fontId="82" fillId="35" borderId="0" xfId="0" applyFont="1" applyFill="1" applyAlignment="1" applyProtection="1">
      <alignment horizontal="left"/>
      <protection hidden="1"/>
    </xf>
    <xf numFmtId="0" fontId="56" fillId="35" borderId="0" xfId="0" applyFont="1" applyFill="1" applyAlignment="1">
      <alignment horizontal="center"/>
    </xf>
    <xf numFmtId="0" fontId="72" fillId="35" borderId="0" xfId="93" applyFont="1" applyFill="1" applyAlignment="1" applyProtection="1">
      <alignment horizontal="center" vertical="center" wrapText="1"/>
      <protection hidden="1"/>
    </xf>
    <xf numFmtId="0" fontId="55" fillId="35" borderId="0" xfId="0" applyFont="1" applyFill="1" applyAlignment="1" applyProtection="1">
      <alignment horizontal="right"/>
      <protection hidden="1"/>
    </xf>
    <xf numFmtId="0" fontId="0" fillId="35" borderId="129" xfId="0" applyFill="1" applyBorder="1"/>
    <xf numFmtId="0" fontId="0" fillId="35" borderId="130" xfId="0" applyFill="1" applyBorder="1"/>
    <xf numFmtId="0" fontId="0" fillId="35" borderId="131" xfId="0" applyFill="1" applyBorder="1"/>
    <xf numFmtId="0" fontId="87" fillId="35" borderId="0" xfId="0" applyFont="1" applyFill="1" applyAlignment="1" applyProtection="1">
      <alignment horizontal="center" vertical="center"/>
      <protection hidden="1"/>
    </xf>
    <xf numFmtId="0" fontId="88" fillId="35" borderId="0" xfId="0" applyFont="1" applyFill="1" applyProtection="1">
      <protection hidden="1"/>
    </xf>
    <xf numFmtId="0" fontId="88" fillId="35" borderId="0" xfId="0" applyFont="1" applyFill="1" applyAlignment="1" applyProtection="1">
      <alignment vertical="center"/>
      <protection hidden="1"/>
    </xf>
    <xf numFmtId="0" fontId="88" fillId="35" borderId="0" xfId="0" applyFont="1" applyFill="1" applyAlignment="1" applyProtection="1">
      <alignment horizontal="center" vertical="center"/>
      <protection hidden="1"/>
    </xf>
    <xf numFmtId="0" fontId="87" fillId="35" borderId="0" xfId="0" applyFont="1" applyFill="1" applyAlignment="1">
      <alignment horizontal="center" vertical="center"/>
    </xf>
    <xf numFmtId="0" fontId="88" fillId="35" borderId="0" xfId="0" applyFont="1" applyFill="1" applyAlignment="1">
      <alignment horizontal="center" vertical="center"/>
    </xf>
    <xf numFmtId="0" fontId="88" fillId="35" borderId="0" xfId="0" applyFont="1" applyFill="1" applyAlignment="1" applyProtection="1">
      <alignment horizontal="left" vertical="center"/>
      <protection hidden="1"/>
    </xf>
    <xf numFmtId="0" fontId="89" fillId="35" borderId="0" xfId="0" applyFont="1" applyFill="1" applyAlignment="1" applyProtection="1">
      <alignment horizontal="center" vertical="center"/>
      <protection hidden="1"/>
    </xf>
    <xf numFmtId="0" fontId="89" fillId="35" borderId="0" xfId="0" applyFont="1" applyFill="1" applyAlignment="1" applyProtection="1">
      <alignment horizontal="center"/>
      <protection hidden="1"/>
    </xf>
    <xf numFmtId="0" fontId="83" fillId="35" borderId="0" xfId="0" applyFont="1" applyFill="1" applyProtection="1">
      <protection hidden="1"/>
    </xf>
    <xf numFmtId="0" fontId="48" fillId="35" borderId="0" xfId="0" applyFont="1" applyFill="1" applyProtection="1">
      <protection hidden="1"/>
    </xf>
    <xf numFmtId="14" fontId="47" fillId="35" borderId="0" xfId="0" applyNumberFormat="1" applyFont="1" applyFill="1" applyAlignment="1" applyProtection="1">
      <alignment horizontal="center"/>
      <protection hidden="1"/>
    </xf>
    <xf numFmtId="0" fontId="46" fillId="35" borderId="0" xfId="0" applyFont="1" applyFill="1" applyAlignment="1" applyProtection="1">
      <alignment horizontal="right" vertical="center"/>
      <protection hidden="1"/>
    </xf>
    <xf numFmtId="0" fontId="90" fillId="2" borderId="75" xfId="0" applyFont="1" applyFill="1" applyBorder="1" applyAlignment="1" applyProtection="1">
      <alignment horizontal="center" vertical="center"/>
      <protection locked="0" hidden="1"/>
    </xf>
    <xf numFmtId="0" fontId="58" fillId="35" borderId="0" xfId="0" applyFont="1" applyFill="1" applyAlignment="1" applyProtection="1">
      <alignment horizontal="center" vertical="center"/>
      <protection locked="0" hidden="1"/>
    </xf>
    <xf numFmtId="0" fontId="58" fillId="35" borderId="0" xfId="0" applyFont="1" applyFill="1" applyAlignment="1" applyProtection="1">
      <alignment horizontal="center" vertical="center"/>
      <protection hidden="1"/>
    </xf>
    <xf numFmtId="0" fontId="56" fillId="35" borderId="0" xfId="0" applyFont="1" applyFill="1" applyAlignment="1" applyProtection="1">
      <alignment horizontal="center"/>
      <protection hidden="1"/>
    </xf>
    <xf numFmtId="0" fontId="83" fillId="35" borderId="0" xfId="0" applyFont="1" applyFill="1" applyAlignment="1" applyProtection="1">
      <alignment vertical="center" wrapText="1"/>
      <protection hidden="1"/>
    </xf>
    <xf numFmtId="0" fontId="0" fillId="35" borderId="183" xfId="0" applyFill="1" applyBorder="1"/>
    <xf numFmtId="0" fontId="47" fillId="35" borderId="56" xfId="95" applyFont="1" applyFill="1" applyBorder="1" applyAlignment="1" applyProtection="1">
      <alignment vertical="center"/>
      <protection hidden="1"/>
    </xf>
    <xf numFmtId="0" fontId="47" fillId="35" borderId="56" xfId="95" applyFont="1" applyFill="1" applyBorder="1" applyProtection="1">
      <protection hidden="1"/>
    </xf>
    <xf numFmtId="0" fontId="47" fillId="35" borderId="56" xfId="93" applyFont="1" applyFill="1" applyBorder="1" applyAlignment="1" applyProtection="1">
      <alignment vertical="center"/>
      <protection hidden="1"/>
    </xf>
    <xf numFmtId="0" fontId="47" fillId="35" borderId="56" xfId="93" applyFont="1" applyFill="1" applyBorder="1" applyProtection="1">
      <protection hidden="1"/>
    </xf>
    <xf numFmtId="0" fontId="47" fillId="35" borderId="0" xfId="93" applyFont="1" applyFill="1" applyAlignment="1" applyProtection="1">
      <alignment horizontal="right"/>
      <protection hidden="1"/>
    </xf>
    <xf numFmtId="0" fontId="46" fillId="4" borderId="185" xfId="0" applyFont="1" applyFill="1" applyBorder="1" applyAlignment="1" applyProtection="1">
      <alignment horizontal="left" vertical="center"/>
      <protection hidden="1"/>
    </xf>
    <xf numFmtId="0" fontId="46" fillId="0" borderId="185" xfId="0" applyFont="1" applyBorder="1" applyAlignment="1" applyProtection="1">
      <alignment horizontal="left" vertical="center"/>
      <protection hidden="1"/>
    </xf>
    <xf numFmtId="0" fontId="46" fillId="0" borderId="184" xfId="0" applyFont="1" applyBorder="1" applyAlignment="1" applyProtection="1">
      <alignment horizontal="left" vertical="center"/>
      <protection hidden="1"/>
    </xf>
    <xf numFmtId="0" fontId="46" fillId="4" borderId="184" xfId="0" applyFont="1" applyFill="1" applyBorder="1" applyAlignment="1" applyProtection="1">
      <alignment horizontal="left" vertical="center"/>
      <protection hidden="1"/>
    </xf>
    <xf numFmtId="0" fontId="0" fillId="35" borderId="0" xfId="0" applyFill="1" applyAlignment="1" applyProtection="1">
      <alignment horizontal="center"/>
      <protection hidden="1"/>
    </xf>
    <xf numFmtId="0" fontId="47" fillId="35" borderId="0" xfId="93" applyFont="1" applyFill="1" applyAlignment="1" applyProtection="1">
      <alignment vertical="center" wrapText="1"/>
      <protection locked="0" hidden="1"/>
    </xf>
    <xf numFmtId="0" fontId="13" fillId="35" borderId="0" xfId="95" applyFont="1" applyFill="1" applyAlignment="1" applyProtection="1">
      <alignment wrapText="1"/>
      <protection hidden="1"/>
    </xf>
    <xf numFmtId="0" fontId="56" fillId="0" borderId="0" xfId="0" applyFont="1" applyAlignment="1" applyProtection="1">
      <alignment vertical="center"/>
      <protection hidden="1"/>
    </xf>
    <xf numFmtId="0" fontId="56" fillId="35" borderId="0" xfId="95" applyFont="1" applyFill="1" applyAlignment="1" applyProtection="1">
      <alignment horizontal="center"/>
      <protection hidden="1"/>
    </xf>
    <xf numFmtId="14" fontId="56" fillId="35" borderId="0" xfId="95" applyNumberFormat="1" applyFont="1" applyFill="1" applyAlignment="1" applyProtection="1">
      <alignment horizontal="center"/>
      <protection hidden="1"/>
    </xf>
    <xf numFmtId="14" fontId="56" fillId="35" borderId="0" xfId="93" applyNumberFormat="1" applyFont="1" applyFill="1" applyAlignment="1" applyProtection="1">
      <alignment horizontal="center"/>
      <protection hidden="1"/>
    </xf>
    <xf numFmtId="0" fontId="55" fillId="35" borderId="0" xfId="0" applyFont="1" applyFill="1" applyAlignment="1" applyProtection="1">
      <alignment horizontal="left"/>
      <protection hidden="1"/>
    </xf>
    <xf numFmtId="0" fontId="49" fillId="35" borderId="106" xfId="90" applyFont="1" applyFill="1" applyBorder="1" applyAlignment="1" applyProtection="1">
      <alignment horizontal="center" wrapText="1"/>
      <protection hidden="1"/>
    </xf>
    <xf numFmtId="14" fontId="48" fillId="2" borderId="186" xfId="90" applyNumberFormat="1" applyFont="1" applyFill="1" applyBorder="1" applyAlignment="1" applyProtection="1">
      <alignment horizontal="center" vertical="center"/>
      <protection locked="0" hidden="1"/>
    </xf>
    <xf numFmtId="0" fontId="93" fillId="35" borderId="183" xfId="0" applyFont="1" applyFill="1" applyBorder="1" applyAlignment="1">
      <alignment horizontal="center"/>
    </xf>
    <xf numFmtId="0" fontId="72" fillId="2" borderId="186" xfId="90" applyFont="1" applyFill="1" applyBorder="1" applyAlignment="1" applyProtection="1">
      <alignment horizontal="center" vertical="center"/>
      <protection locked="0" hidden="1"/>
    </xf>
    <xf numFmtId="0" fontId="47" fillId="35" borderId="0" xfId="0" applyFont="1" applyFill="1"/>
    <xf numFmtId="0" fontId="47" fillId="39" borderId="117" xfId="0" applyFont="1" applyFill="1" applyBorder="1" applyAlignment="1">
      <alignment vertical="center"/>
    </xf>
    <xf numFmtId="0" fontId="47" fillId="2" borderId="0" xfId="0" applyFont="1" applyFill="1" applyAlignment="1">
      <alignment vertical="center"/>
    </xf>
    <xf numFmtId="10" fontId="47" fillId="40" borderId="118" xfId="97" applyNumberFormat="1" applyFont="1" applyFill="1" applyBorder="1" applyAlignment="1">
      <alignment vertical="center"/>
    </xf>
    <xf numFmtId="0" fontId="47" fillId="41" borderId="117" xfId="0" applyFont="1" applyFill="1" applyBorder="1" applyAlignment="1">
      <alignment vertical="center"/>
    </xf>
    <xf numFmtId="0" fontId="47" fillId="41" borderId="119" xfId="0" applyFont="1" applyFill="1" applyBorder="1" applyAlignment="1">
      <alignment vertical="center"/>
    </xf>
    <xf numFmtId="2" fontId="47" fillId="2" borderId="120" xfId="0" applyNumberFormat="1" applyFont="1" applyFill="1" applyBorder="1" applyAlignment="1">
      <alignment vertical="center"/>
    </xf>
    <xf numFmtId="0" fontId="47" fillId="40" borderId="121" xfId="0" applyFont="1" applyFill="1" applyBorder="1" applyAlignment="1">
      <alignment vertical="center"/>
    </xf>
    <xf numFmtId="0" fontId="94" fillId="37" borderId="135" xfId="0" applyFont="1" applyFill="1" applyBorder="1" applyAlignment="1">
      <alignment horizontal="center"/>
    </xf>
    <xf numFmtId="0" fontId="94" fillId="5" borderId="135" xfId="0" quotePrefix="1" applyFont="1" applyFill="1" applyBorder="1" applyAlignment="1">
      <alignment horizontal="center"/>
    </xf>
    <xf numFmtId="0" fontId="94" fillId="9" borderId="135" xfId="0" quotePrefix="1" applyFont="1" applyFill="1" applyBorder="1" applyAlignment="1">
      <alignment horizontal="center"/>
    </xf>
    <xf numFmtId="0" fontId="94" fillId="6" borderId="135" xfId="0" quotePrefix="1" applyFont="1" applyFill="1" applyBorder="1" applyAlignment="1">
      <alignment horizontal="center"/>
    </xf>
    <xf numFmtId="0" fontId="94" fillId="8" borderId="135" xfId="0" quotePrefix="1" applyFont="1" applyFill="1" applyBorder="1" applyAlignment="1">
      <alignment horizontal="center"/>
    </xf>
    <xf numFmtId="0" fontId="94" fillId="25" borderId="135" xfId="0" applyFont="1" applyFill="1" applyBorder="1" applyAlignment="1">
      <alignment horizontal="center"/>
    </xf>
    <xf numFmtId="0" fontId="94" fillId="24" borderId="135" xfId="0" applyFont="1" applyFill="1" applyBorder="1" applyAlignment="1">
      <alignment horizontal="center"/>
    </xf>
    <xf numFmtId="0" fontId="94" fillId="23" borderId="136" xfId="0" applyFont="1" applyFill="1" applyBorder="1" applyAlignment="1">
      <alignment horizontal="center"/>
    </xf>
    <xf numFmtId="0" fontId="47" fillId="42" borderId="0" xfId="0" applyFont="1" applyFill="1" applyAlignment="1">
      <alignment horizontal="center" vertical="center"/>
    </xf>
    <xf numFmtId="0" fontId="47" fillId="42" borderId="124" xfId="0" applyFont="1" applyFill="1" applyBorder="1" applyAlignment="1">
      <alignment horizontal="center" vertical="center"/>
    </xf>
    <xf numFmtId="0" fontId="47" fillId="43" borderId="0" xfId="0" applyFont="1" applyFill="1" applyAlignment="1">
      <alignment horizontal="center" vertical="center"/>
    </xf>
    <xf numFmtId="0" fontId="47" fillId="43" borderId="124" xfId="0" applyFont="1" applyFill="1" applyBorder="1" applyAlignment="1">
      <alignment horizontal="center" vertical="center"/>
    </xf>
    <xf numFmtId="0" fontId="47" fillId="43" borderId="126" xfId="0" applyFont="1" applyFill="1" applyBorder="1" applyAlignment="1">
      <alignment horizontal="center" vertical="center"/>
    </xf>
    <xf numFmtId="0" fontId="47" fillId="43" borderId="127" xfId="0" applyFont="1" applyFill="1" applyBorder="1" applyAlignment="1">
      <alignment horizontal="center" vertical="center"/>
    </xf>
    <xf numFmtId="0" fontId="56" fillId="35" borderId="0" xfId="0" applyFont="1" applyFill="1" applyAlignment="1">
      <alignment vertical="center"/>
    </xf>
    <xf numFmtId="0" fontId="47" fillId="35" borderId="0" xfId="0" applyFont="1" applyFill="1" applyAlignment="1">
      <alignment horizontal="center" vertical="center"/>
    </xf>
    <xf numFmtId="0" fontId="47" fillId="35" borderId="0" xfId="0" applyFont="1" applyFill="1" applyAlignment="1">
      <alignment horizontal="right" vertical="center"/>
    </xf>
    <xf numFmtId="0" fontId="47" fillId="4" borderId="138" xfId="0" applyFont="1" applyFill="1" applyBorder="1" applyAlignment="1" applyProtection="1">
      <alignment horizontal="center" wrapText="1"/>
      <protection hidden="1"/>
    </xf>
    <xf numFmtId="0" fontId="47" fillId="4" borderId="148" xfId="0" applyFont="1" applyFill="1" applyBorder="1" applyAlignment="1" applyProtection="1">
      <alignment horizontal="center" wrapText="1"/>
      <protection hidden="1"/>
    </xf>
    <xf numFmtId="0" fontId="47" fillId="4" borderId="138" xfId="0" applyFont="1" applyFill="1" applyBorder="1" applyAlignment="1" applyProtection="1">
      <alignment horizontal="center" vertical="center" wrapText="1"/>
      <protection hidden="1"/>
    </xf>
    <xf numFmtId="0" fontId="47" fillId="4" borderId="148" xfId="0" applyFont="1" applyFill="1" applyBorder="1" applyAlignment="1" applyProtection="1">
      <alignment horizontal="center" vertical="center" wrapText="1"/>
      <protection hidden="1"/>
    </xf>
    <xf numFmtId="0" fontId="9" fillId="35" borderId="0" xfId="0" applyFont="1" applyFill="1" applyAlignment="1" applyProtection="1">
      <alignment horizontal="center" wrapText="1"/>
      <protection hidden="1"/>
    </xf>
    <xf numFmtId="0" fontId="47" fillId="4" borderId="0" xfId="0" applyFont="1" applyFill="1" applyAlignment="1" applyProtection="1">
      <alignment horizontal="center" wrapText="1"/>
      <protection hidden="1"/>
    </xf>
    <xf numFmtId="0" fontId="47" fillId="4" borderId="21" xfId="0" applyFont="1" applyFill="1" applyBorder="1" applyAlignment="1" applyProtection="1">
      <alignment horizontal="center" wrapText="1"/>
      <protection hidden="1"/>
    </xf>
    <xf numFmtId="0" fontId="47" fillId="4" borderId="17" xfId="0" applyFont="1" applyFill="1" applyBorder="1" applyAlignment="1" applyProtection="1">
      <alignment vertical="center"/>
      <protection hidden="1"/>
    </xf>
    <xf numFmtId="0" fontId="47" fillId="4" borderId="0" xfId="0" applyFont="1" applyFill="1" applyAlignment="1" applyProtection="1">
      <alignment vertical="center"/>
      <protection hidden="1"/>
    </xf>
    <xf numFmtId="0" fontId="47" fillId="4" borderId="21" xfId="0" applyFont="1" applyFill="1" applyBorder="1" applyAlignment="1" applyProtection="1">
      <alignment vertical="center"/>
      <protection hidden="1"/>
    </xf>
    <xf numFmtId="0" fontId="47" fillId="4" borderId="15" xfId="0" applyFont="1" applyFill="1" applyBorder="1" applyAlignment="1" applyProtection="1">
      <alignment vertical="center"/>
      <protection hidden="1"/>
    </xf>
    <xf numFmtId="0" fontId="47" fillId="4" borderId="157" xfId="0" applyFont="1" applyFill="1" applyBorder="1" applyAlignment="1" applyProtection="1">
      <alignment vertical="center"/>
      <protection hidden="1"/>
    </xf>
    <xf numFmtId="0" fontId="47" fillId="4" borderId="15" xfId="0" applyFont="1" applyFill="1" applyBorder="1" applyAlignment="1" applyProtection="1">
      <alignment vertical="center" wrapText="1"/>
      <protection hidden="1"/>
    </xf>
    <xf numFmtId="0" fontId="47" fillId="4" borderId="0" xfId="0" applyFont="1" applyFill="1" applyAlignment="1" applyProtection="1">
      <alignment vertical="center" wrapText="1"/>
      <protection hidden="1"/>
    </xf>
    <xf numFmtId="0" fontId="47" fillId="4" borderId="21" xfId="0" applyFont="1" applyFill="1" applyBorder="1" applyAlignment="1" applyProtection="1">
      <alignment vertical="center" wrapText="1"/>
      <protection hidden="1"/>
    </xf>
    <xf numFmtId="0" fontId="10" fillId="0" borderId="0" xfId="0" applyFont="1" applyProtection="1">
      <protection hidden="1"/>
    </xf>
    <xf numFmtId="0" fontId="9" fillId="0" borderId="0" xfId="0" applyFont="1" applyAlignment="1" applyProtection="1">
      <alignment horizontal="left" vertical="center"/>
      <protection locked="0"/>
    </xf>
    <xf numFmtId="0" fontId="56" fillId="35" borderId="0" xfId="0" applyFont="1" applyFill="1" applyAlignment="1" applyProtection="1">
      <alignment horizontal="left"/>
      <protection locked="0"/>
    </xf>
    <xf numFmtId="0" fontId="61" fillId="35" borderId="0" xfId="0" applyFont="1" applyFill="1" applyProtection="1">
      <protection locked="0" hidden="1"/>
    </xf>
    <xf numFmtId="0" fontId="10" fillId="35" borderId="0" xfId="0" applyFont="1" applyFill="1" applyProtection="1">
      <protection hidden="1"/>
    </xf>
    <xf numFmtId="16" fontId="4" fillId="35" borderId="0" xfId="0" quotePrefix="1" applyNumberFormat="1" applyFont="1" applyFill="1" applyProtection="1">
      <protection hidden="1"/>
    </xf>
    <xf numFmtId="0" fontId="4" fillId="35" borderId="0" xfId="0" quotePrefix="1" applyFont="1" applyFill="1" applyProtection="1">
      <protection hidden="1"/>
    </xf>
    <xf numFmtId="0" fontId="0" fillId="35" borderId="0" xfId="0" applyFill="1" applyAlignment="1" applyProtection="1">
      <alignment horizontal="center" vertical="center"/>
      <protection hidden="1"/>
    </xf>
    <xf numFmtId="0" fontId="10" fillId="11" borderId="16" xfId="0" applyFont="1" applyFill="1" applyBorder="1" applyAlignment="1" applyProtection="1">
      <alignment horizontal="center" vertical="center"/>
      <protection hidden="1"/>
    </xf>
    <xf numFmtId="0" fontId="47" fillId="4" borderId="27" xfId="0" applyFont="1" applyFill="1" applyBorder="1" applyAlignment="1" applyProtection="1">
      <alignment horizontal="left"/>
      <protection hidden="1"/>
    </xf>
    <xf numFmtId="0" fontId="47" fillId="4" borderId="27" xfId="0" applyFont="1" applyFill="1" applyBorder="1" applyAlignment="1" applyProtection="1">
      <alignment horizontal="center"/>
      <protection hidden="1"/>
    </xf>
    <xf numFmtId="0" fontId="47" fillId="4" borderId="27" xfId="0" applyFont="1" applyFill="1" applyBorder="1" applyProtection="1">
      <protection hidden="1"/>
    </xf>
    <xf numFmtId="0" fontId="48" fillId="3" borderId="28" xfId="0" applyFont="1" applyFill="1" applyBorder="1" applyAlignment="1" applyProtection="1">
      <alignment horizontal="left" vertical="center"/>
      <protection hidden="1"/>
    </xf>
    <xf numFmtId="0" fontId="48" fillId="3" borderId="57" xfId="0" applyFont="1" applyFill="1" applyBorder="1" applyAlignment="1" applyProtection="1">
      <alignment horizontal="left" vertical="center"/>
      <protection hidden="1"/>
    </xf>
    <xf numFmtId="0" fontId="48" fillId="3" borderId="57" xfId="0" applyFont="1" applyFill="1" applyBorder="1" applyAlignment="1" applyProtection="1">
      <alignment horizontal="center" vertical="center"/>
      <protection hidden="1"/>
    </xf>
    <xf numFmtId="0" fontId="48" fillId="3" borderId="58" xfId="0" applyFont="1" applyFill="1" applyBorder="1" applyAlignment="1" applyProtection="1">
      <alignment horizontal="center" vertical="center"/>
      <protection hidden="1"/>
    </xf>
    <xf numFmtId="0" fontId="10" fillId="17" borderId="16" xfId="0" applyFont="1" applyFill="1" applyBorder="1" applyAlignment="1" applyProtection="1">
      <alignment horizontal="center" vertical="center"/>
      <protection hidden="1"/>
    </xf>
    <xf numFmtId="0" fontId="47" fillId="35" borderId="0" xfId="0" applyFont="1" applyFill="1" applyAlignment="1" applyProtection="1">
      <alignment horizontal="center"/>
      <protection hidden="1"/>
    </xf>
    <xf numFmtId="0" fontId="48" fillId="5" borderId="29" xfId="0" applyFont="1" applyFill="1" applyBorder="1" applyAlignment="1" applyProtection="1">
      <alignment horizontal="center" vertical="center"/>
      <protection hidden="1"/>
    </xf>
    <xf numFmtId="0" fontId="47" fillId="5" borderId="29" xfId="0" applyFont="1" applyFill="1" applyBorder="1" applyAlignment="1" applyProtection="1">
      <alignment horizontal="center" vertical="center"/>
      <protection hidden="1"/>
    </xf>
    <xf numFmtId="0" fontId="47" fillId="5" borderId="34" xfId="0" applyFont="1" applyFill="1" applyBorder="1" applyAlignment="1" applyProtection="1">
      <alignment horizontal="center" vertical="top"/>
      <protection hidden="1"/>
    </xf>
    <xf numFmtId="0" fontId="47" fillId="9" borderId="0" xfId="0" applyFont="1" applyFill="1" applyProtection="1">
      <protection hidden="1"/>
    </xf>
    <xf numFmtId="0" fontId="0" fillId="6" borderId="0" xfId="0" applyFill="1" applyAlignment="1" applyProtection="1">
      <alignment horizontal="center" vertical="center"/>
      <protection hidden="1"/>
    </xf>
    <xf numFmtId="0" fontId="47" fillId="8" borderId="0" xfId="0" applyFont="1" applyFill="1" applyAlignment="1" applyProtection="1">
      <alignment horizontal="center" vertical="center"/>
      <protection hidden="1"/>
    </xf>
    <xf numFmtId="0" fontId="0" fillId="10" borderId="0" xfId="0" applyFill="1" applyAlignment="1" applyProtection="1">
      <alignment horizontal="center" vertical="center"/>
      <protection hidden="1"/>
    </xf>
    <xf numFmtId="0" fontId="47" fillId="3" borderId="0" xfId="0" applyFont="1" applyFill="1" applyAlignment="1" applyProtection="1">
      <alignment horizontal="center" vertical="center"/>
      <protection hidden="1"/>
    </xf>
    <xf numFmtId="0" fontId="0" fillId="0" borderId="77" xfId="0" applyBorder="1" applyAlignment="1" applyProtection="1">
      <alignment horizontal="right"/>
      <protection hidden="1"/>
    </xf>
    <xf numFmtId="0" fontId="4" fillId="37" borderId="78" xfId="0" applyFont="1" applyFill="1" applyBorder="1" applyAlignment="1" applyProtection="1">
      <alignment horizontal="center"/>
      <protection hidden="1"/>
    </xf>
    <xf numFmtId="0" fontId="4" fillId="5" borderId="78" xfId="0" quotePrefix="1" applyFont="1" applyFill="1" applyBorder="1" applyAlignment="1" applyProtection="1">
      <alignment horizontal="center"/>
      <protection hidden="1"/>
    </xf>
    <xf numFmtId="0" fontId="4" fillId="9" borderId="78" xfId="0" quotePrefix="1" applyFont="1" applyFill="1" applyBorder="1" applyAlignment="1" applyProtection="1">
      <alignment horizontal="center"/>
      <protection hidden="1"/>
    </xf>
    <xf numFmtId="0" fontId="4" fillId="6" borderId="78" xfId="0" quotePrefix="1" applyFont="1" applyFill="1" applyBorder="1" applyAlignment="1" applyProtection="1">
      <alignment horizontal="center"/>
      <protection hidden="1"/>
    </xf>
    <xf numFmtId="0" fontId="4" fillId="8" borderId="78" xfId="0" quotePrefix="1" applyFont="1" applyFill="1" applyBorder="1" applyAlignment="1" applyProtection="1">
      <alignment horizontal="center"/>
      <protection hidden="1"/>
    </xf>
    <xf numFmtId="0" fontId="4" fillId="25" borderId="78" xfId="0" applyFont="1" applyFill="1" applyBorder="1" applyAlignment="1" applyProtection="1">
      <alignment horizontal="center"/>
      <protection hidden="1"/>
    </xf>
    <xf numFmtId="0" fontId="4" fillId="24" borderId="78" xfId="0" applyFont="1" applyFill="1" applyBorder="1" applyAlignment="1" applyProtection="1">
      <alignment horizontal="center"/>
      <protection hidden="1"/>
    </xf>
    <xf numFmtId="0" fontId="4" fillId="23" borderId="79" xfId="0" applyFont="1" applyFill="1" applyBorder="1" applyAlignment="1" applyProtection="1">
      <alignment horizontal="center"/>
      <protection hidden="1"/>
    </xf>
    <xf numFmtId="0" fontId="10" fillId="11" borderId="18" xfId="0" applyFont="1" applyFill="1" applyBorder="1" applyAlignment="1" applyProtection="1">
      <alignment horizontal="center" vertical="center"/>
      <protection hidden="1"/>
    </xf>
    <xf numFmtId="0" fontId="47" fillId="4" borderId="25" xfId="0" applyFont="1" applyFill="1" applyBorder="1" applyAlignment="1" applyProtection="1">
      <alignment horizontal="left"/>
      <protection hidden="1"/>
    </xf>
    <xf numFmtId="0" fontId="47" fillId="4" borderId="25" xfId="0" applyFont="1" applyFill="1" applyBorder="1" applyAlignment="1" applyProtection="1">
      <alignment horizontal="center"/>
      <protection hidden="1"/>
    </xf>
    <xf numFmtId="0" fontId="47" fillId="4" borderId="25" xfId="0" applyFont="1" applyFill="1" applyBorder="1" applyProtection="1">
      <protection hidden="1"/>
    </xf>
    <xf numFmtId="0" fontId="47" fillId="4" borderId="53" xfId="0" applyFont="1" applyFill="1" applyBorder="1" applyProtection="1">
      <protection hidden="1"/>
    </xf>
    <xf numFmtId="0" fontId="48" fillId="4" borderId="55" xfId="0" applyFont="1" applyFill="1" applyBorder="1" applyAlignment="1" applyProtection="1">
      <alignment horizontal="left"/>
      <protection hidden="1"/>
    </xf>
    <xf numFmtId="0" fontId="48" fillId="4" borderId="55" xfId="0" applyFont="1" applyFill="1" applyBorder="1" applyAlignment="1" applyProtection="1">
      <alignment horizontal="center" vertical="center"/>
      <protection hidden="1"/>
    </xf>
    <xf numFmtId="0" fontId="47" fillId="4" borderId="55" xfId="0" applyFont="1" applyFill="1" applyBorder="1" applyAlignment="1" applyProtection="1">
      <alignment horizontal="center" vertical="center"/>
      <protection hidden="1"/>
    </xf>
    <xf numFmtId="0" fontId="47" fillId="4" borderId="59" xfId="0" applyFont="1" applyFill="1" applyBorder="1" applyAlignment="1" applyProtection="1">
      <alignment horizontal="center" vertical="center"/>
      <protection hidden="1"/>
    </xf>
    <xf numFmtId="0" fontId="10" fillId="17" borderId="18" xfId="0" applyFont="1" applyFill="1" applyBorder="1" applyAlignment="1" applyProtection="1">
      <alignment horizontal="center" vertical="center"/>
      <protection hidden="1"/>
    </xf>
    <xf numFmtId="0" fontId="47" fillId="5" borderId="30" xfId="0" applyFont="1" applyFill="1" applyBorder="1" applyAlignment="1" applyProtection="1">
      <alignment horizontal="center" vertical="center"/>
      <protection hidden="1"/>
    </xf>
    <xf numFmtId="0" fontId="47" fillId="5" borderId="35" xfId="0" applyFont="1" applyFill="1" applyBorder="1" applyAlignment="1" applyProtection="1">
      <alignment horizontal="center" vertical="center"/>
      <protection hidden="1"/>
    </xf>
    <xf numFmtId="0" fontId="56" fillId="35" borderId="38" xfId="0" applyFont="1" applyFill="1" applyBorder="1" applyAlignment="1" applyProtection="1">
      <alignment horizontal="right" vertical="center"/>
      <protection hidden="1"/>
    </xf>
    <xf numFmtId="0" fontId="48" fillId="9" borderId="29" xfId="0" applyFont="1" applyFill="1" applyBorder="1" applyAlignment="1" applyProtection="1">
      <alignment horizontal="center" vertical="center"/>
      <protection hidden="1"/>
    </xf>
    <xf numFmtId="0" fontId="47" fillId="9" borderId="29" xfId="0" applyFont="1" applyFill="1" applyBorder="1" applyAlignment="1" applyProtection="1">
      <alignment horizontal="center" vertical="center"/>
      <protection hidden="1"/>
    </xf>
    <xf numFmtId="0" fontId="47" fillId="9" borderId="34" xfId="0" applyFont="1" applyFill="1" applyBorder="1" applyAlignment="1" applyProtection="1">
      <alignment horizontal="center" vertical="center"/>
      <protection hidden="1"/>
    </xf>
    <xf numFmtId="0" fontId="47" fillId="6" borderId="0" xfId="0" applyFont="1" applyFill="1" applyAlignment="1" applyProtection="1">
      <alignment horizontal="center" vertical="center"/>
      <protection hidden="1"/>
    </xf>
    <xf numFmtId="0" fontId="47" fillId="10" borderId="0" xfId="0" applyFont="1" applyFill="1" applyAlignment="1" applyProtection="1">
      <alignment horizontal="center" vertical="center"/>
      <protection hidden="1"/>
    </xf>
    <xf numFmtId="0" fontId="49" fillId="35" borderId="0" xfId="0" applyFont="1" applyFill="1" applyProtection="1">
      <protection hidden="1"/>
    </xf>
    <xf numFmtId="0" fontId="0" fillId="0" borderId="80" xfId="0" applyBorder="1" applyAlignment="1" applyProtection="1">
      <alignment horizontal="right"/>
      <protection hidden="1"/>
    </xf>
    <xf numFmtId="165" fontId="0" fillId="0" borderId="72" xfId="0" applyNumberFormat="1" applyBorder="1" applyProtection="1">
      <protection hidden="1"/>
    </xf>
    <xf numFmtId="165" fontId="56" fillId="0" borderId="72" xfId="0" applyNumberFormat="1" applyFont="1" applyBorder="1" applyProtection="1">
      <protection hidden="1"/>
    </xf>
    <xf numFmtId="165" fontId="9" fillId="0" borderId="72" xfId="0" applyNumberFormat="1" applyFont="1" applyBorder="1" applyProtection="1">
      <protection hidden="1"/>
    </xf>
    <xf numFmtId="165" fontId="0" fillId="0" borderId="81" xfId="0" applyNumberFormat="1" applyBorder="1" applyProtection="1">
      <protection hidden="1"/>
    </xf>
    <xf numFmtId="0" fontId="47" fillId="4" borderId="54" xfId="0" applyFont="1" applyFill="1" applyBorder="1" applyProtection="1">
      <protection hidden="1"/>
    </xf>
    <xf numFmtId="0" fontId="48" fillId="4" borderId="0" xfId="0" applyFont="1" applyFill="1" applyAlignment="1" applyProtection="1">
      <alignment horizontal="left"/>
      <protection hidden="1"/>
    </xf>
    <xf numFmtId="0" fontId="47" fillId="5" borderId="31" xfId="0" applyFont="1" applyFill="1" applyBorder="1" applyAlignment="1" applyProtection="1">
      <alignment horizontal="center" vertical="center"/>
      <protection hidden="1"/>
    </xf>
    <xf numFmtId="0" fontId="47" fillId="5" borderId="36" xfId="0" applyFont="1" applyFill="1" applyBorder="1" applyAlignment="1" applyProtection="1">
      <alignment horizontal="center" vertical="center"/>
      <protection hidden="1"/>
    </xf>
    <xf numFmtId="0" fontId="47" fillId="9" borderId="40" xfId="0" applyFont="1" applyFill="1" applyBorder="1" applyAlignment="1" applyProtection="1">
      <alignment horizontal="center" vertical="center"/>
      <protection hidden="1"/>
    </xf>
    <xf numFmtId="0" fontId="47" fillId="5" borderId="33" xfId="0" applyFont="1" applyFill="1" applyBorder="1" applyAlignment="1" applyProtection="1">
      <alignment horizontal="center" vertical="center"/>
      <protection hidden="1"/>
    </xf>
    <xf numFmtId="0" fontId="47" fillId="5" borderId="37" xfId="0" applyFont="1" applyFill="1" applyBorder="1" applyAlignment="1" applyProtection="1">
      <alignment horizontal="center" vertical="top"/>
      <protection hidden="1"/>
    </xf>
    <xf numFmtId="0" fontId="47" fillId="9" borderId="0" xfId="0" applyFont="1" applyFill="1" applyAlignment="1" applyProtection="1">
      <alignment horizontal="center" vertical="center"/>
      <protection hidden="1"/>
    </xf>
    <xf numFmtId="0" fontId="47" fillId="9" borderId="36" xfId="0" applyFont="1" applyFill="1" applyBorder="1" applyAlignment="1" applyProtection="1">
      <alignment horizontal="center" vertical="center"/>
      <protection hidden="1"/>
    </xf>
    <xf numFmtId="0" fontId="48" fillId="4" borderId="56" xfId="0" applyFont="1" applyFill="1" applyBorder="1" applyAlignment="1" applyProtection="1">
      <alignment horizontal="left"/>
      <protection hidden="1"/>
    </xf>
    <xf numFmtId="0" fontId="48" fillId="4" borderId="56" xfId="0" applyFont="1" applyFill="1" applyBorder="1" applyAlignment="1" applyProtection="1">
      <alignment horizontal="center" vertical="center"/>
      <protection hidden="1"/>
    </xf>
    <xf numFmtId="0" fontId="47" fillId="4" borderId="56" xfId="0" applyFont="1" applyFill="1" applyBorder="1" applyAlignment="1" applyProtection="1">
      <alignment horizontal="center" vertical="center"/>
      <protection hidden="1"/>
    </xf>
    <xf numFmtId="0" fontId="47" fillId="4" borderId="60" xfId="0" applyFont="1" applyFill="1" applyBorder="1" applyAlignment="1" applyProtection="1">
      <alignment horizontal="center" vertical="center"/>
      <protection hidden="1"/>
    </xf>
    <xf numFmtId="0" fontId="48" fillId="5" borderId="30" xfId="0" applyFont="1" applyFill="1" applyBorder="1" applyAlignment="1" applyProtection="1">
      <alignment horizontal="center" vertical="center"/>
      <protection hidden="1"/>
    </xf>
    <xf numFmtId="0" fontId="47" fillId="5" borderId="32" xfId="0" applyFont="1" applyFill="1" applyBorder="1" applyAlignment="1" applyProtection="1">
      <alignment horizontal="center" vertical="center"/>
      <protection hidden="1"/>
    </xf>
    <xf numFmtId="0" fontId="47" fillId="5" borderId="0" xfId="0" applyFont="1" applyFill="1" applyAlignment="1" applyProtection="1">
      <alignment horizontal="center"/>
      <protection hidden="1"/>
    </xf>
    <xf numFmtId="0" fontId="48" fillId="6" borderId="29" xfId="0" applyFont="1" applyFill="1" applyBorder="1" applyAlignment="1" applyProtection="1">
      <alignment horizontal="center" vertical="center"/>
      <protection hidden="1"/>
    </xf>
    <xf numFmtId="0" fontId="47" fillId="6" borderId="29" xfId="0" applyFont="1" applyFill="1" applyBorder="1" applyAlignment="1" applyProtection="1">
      <alignment horizontal="center" vertical="center"/>
      <protection hidden="1"/>
    </xf>
    <xf numFmtId="0" fontId="47" fillId="6" borderId="34" xfId="0" applyFont="1" applyFill="1" applyBorder="1" applyAlignment="1" applyProtection="1">
      <alignment horizontal="center" vertical="center"/>
      <protection hidden="1"/>
    </xf>
    <xf numFmtId="0" fontId="10" fillId="11" borderId="20" xfId="0" applyFont="1" applyFill="1" applyBorder="1" applyAlignment="1" applyProtection="1">
      <alignment horizontal="center" vertical="center"/>
      <protection hidden="1"/>
    </xf>
    <xf numFmtId="0" fontId="47" fillId="4" borderId="22" xfId="0" applyFont="1" applyFill="1" applyBorder="1" applyAlignment="1" applyProtection="1">
      <alignment horizontal="left"/>
      <protection hidden="1"/>
    </xf>
    <xf numFmtId="0" fontId="47" fillId="4" borderId="22" xfId="0" applyFont="1" applyFill="1" applyBorder="1" applyAlignment="1" applyProtection="1">
      <alignment horizontal="center"/>
      <protection hidden="1"/>
    </xf>
    <xf numFmtId="0" fontId="47" fillId="4" borderId="22" xfId="0" applyFont="1" applyFill="1" applyBorder="1" applyProtection="1">
      <protection hidden="1"/>
    </xf>
    <xf numFmtId="0" fontId="47" fillId="3" borderId="21" xfId="0" applyFont="1" applyFill="1" applyBorder="1" applyAlignment="1" applyProtection="1">
      <alignment horizontal="left"/>
      <protection hidden="1"/>
    </xf>
    <xf numFmtId="0" fontId="47" fillId="3" borderId="21" xfId="0" applyFont="1" applyFill="1" applyBorder="1" applyProtection="1">
      <protection hidden="1"/>
    </xf>
    <xf numFmtId="0" fontId="47" fillId="3" borderId="23" xfId="0" applyFont="1" applyFill="1" applyBorder="1" applyProtection="1">
      <protection hidden="1"/>
    </xf>
    <xf numFmtId="0" fontId="10" fillId="17" borderId="20" xfId="0" applyFont="1" applyFill="1" applyBorder="1" applyAlignment="1" applyProtection="1">
      <alignment horizontal="center" vertical="center"/>
      <protection hidden="1"/>
    </xf>
    <xf numFmtId="0" fontId="47" fillId="5" borderId="0" xfId="0" applyFont="1" applyFill="1" applyProtection="1">
      <protection hidden="1"/>
    </xf>
    <xf numFmtId="0" fontId="47" fillId="6" borderId="35" xfId="0" applyFont="1" applyFill="1" applyBorder="1" applyAlignment="1" applyProtection="1">
      <alignment horizontal="center" vertical="center"/>
      <protection hidden="1"/>
    </xf>
    <xf numFmtId="0" fontId="0" fillId="35" borderId="0" xfId="0" applyFill="1" applyAlignment="1" applyProtection="1">
      <alignment horizontal="left"/>
      <protection hidden="1"/>
    </xf>
    <xf numFmtId="0" fontId="47" fillId="5" borderId="34" xfId="0" applyFont="1" applyFill="1" applyBorder="1" applyAlignment="1" applyProtection="1">
      <alignment horizontal="center" vertical="center"/>
      <protection hidden="1"/>
    </xf>
    <xf numFmtId="0" fontId="47" fillId="6" borderId="36" xfId="0" applyFont="1" applyFill="1" applyBorder="1" applyAlignment="1" applyProtection="1">
      <alignment horizontal="center" vertical="center"/>
      <protection hidden="1"/>
    </xf>
    <xf numFmtId="0" fontId="56" fillId="35" borderId="39" xfId="0" applyFont="1" applyFill="1" applyBorder="1" applyAlignment="1" applyProtection="1">
      <alignment horizontal="right" vertical="center"/>
      <protection hidden="1"/>
    </xf>
    <xf numFmtId="0" fontId="47" fillId="9" borderId="37" xfId="0" applyFont="1" applyFill="1" applyBorder="1" applyAlignment="1" applyProtection="1">
      <alignment horizontal="center" vertical="center"/>
      <protection hidden="1"/>
    </xf>
    <xf numFmtId="0" fontId="0" fillId="2" borderId="0" xfId="0" applyFill="1" applyProtection="1">
      <protection hidden="1"/>
    </xf>
    <xf numFmtId="0" fontId="10" fillId="13" borderId="16" xfId="0" applyFont="1" applyFill="1" applyBorder="1" applyAlignment="1" applyProtection="1">
      <alignment horizontal="center" vertical="center"/>
      <protection hidden="1"/>
    </xf>
    <xf numFmtId="0" fontId="10" fillId="18" borderId="16" xfId="0" applyFont="1" applyFill="1" applyBorder="1" applyAlignment="1" applyProtection="1">
      <alignment horizontal="center" vertical="center"/>
      <protection hidden="1"/>
    </xf>
    <xf numFmtId="0" fontId="10" fillId="13" borderId="18" xfId="0" applyFont="1" applyFill="1" applyBorder="1" applyAlignment="1" applyProtection="1">
      <alignment horizontal="center" vertical="center"/>
      <protection hidden="1"/>
    </xf>
    <xf numFmtId="0" fontId="10" fillId="18" borderId="18" xfId="0" applyFont="1" applyFill="1" applyBorder="1" applyAlignment="1" applyProtection="1">
      <alignment horizontal="center" vertical="center"/>
      <protection hidden="1"/>
    </xf>
    <xf numFmtId="0" fontId="47" fillId="5" borderId="37" xfId="0" applyFont="1" applyFill="1" applyBorder="1" applyAlignment="1" applyProtection="1">
      <alignment horizontal="center" vertical="center"/>
      <protection hidden="1"/>
    </xf>
    <xf numFmtId="0" fontId="47" fillId="5" borderId="0" xfId="0" applyFont="1" applyFill="1" applyAlignment="1" applyProtection="1">
      <alignment horizontal="center" vertical="center"/>
      <protection hidden="1"/>
    </xf>
    <xf numFmtId="0" fontId="48" fillId="8" borderId="29" xfId="0" applyFont="1" applyFill="1" applyBorder="1" applyAlignment="1" applyProtection="1">
      <alignment horizontal="center" vertical="center"/>
      <protection hidden="1"/>
    </xf>
    <xf numFmtId="0" fontId="47" fillId="8" borderId="29" xfId="0" applyFont="1" applyFill="1" applyBorder="1" applyAlignment="1" applyProtection="1">
      <alignment horizontal="center" vertical="center"/>
      <protection hidden="1"/>
    </xf>
    <xf numFmtId="0" fontId="47" fillId="8" borderId="34" xfId="0" applyFont="1" applyFill="1" applyBorder="1" applyAlignment="1" applyProtection="1">
      <alignment horizontal="center" vertical="center"/>
      <protection hidden="1"/>
    </xf>
    <xf numFmtId="0" fontId="47" fillId="8" borderId="35" xfId="0" applyFont="1" applyFill="1" applyBorder="1" applyAlignment="1" applyProtection="1">
      <alignment horizontal="center" vertical="center"/>
      <protection hidden="1"/>
    </xf>
    <xf numFmtId="0" fontId="47" fillId="8" borderId="36" xfId="0" applyFont="1" applyFill="1" applyBorder="1" applyAlignment="1" applyProtection="1">
      <alignment horizontal="center" vertical="center"/>
      <protection hidden="1"/>
    </xf>
    <xf numFmtId="0" fontId="10" fillId="13" borderId="20" xfId="0" applyFont="1" applyFill="1" applyBorder="1" applyAlignment="1" applyProtection="1">
      <alignment horizontal="center" vertical="center"/>
      <protection hidden="1"/>
    </xf>
    <xf numFmtId="0" fontId="10" fillId="18" borderId="20" xfId="0" applyFont="1" applyFill="1" applyBorder="1" applyAlignment="1" applyProtection="1">
      <alignment horizontal="center" vertical="center"/>
      <protection hidden="1"/>
    </xf>
    <xf numFmtId="0" fontId="47" fillId="9" borderId="43" xfId="0" applyFont="1" applyFill="1" applyBorder="1" applyAlignment="1" applyProtection="1">
      <alignment horizontal="center" vertical="center"/>
      <protection hidden="1"/>
    </xf>
    <xf numFmtId="0" fontId="49" fillId="35" borderId="0" xfId="0" applyFont="1" applyFill="1" applyAlignment="1" applyProtection="1">
      <alignment horizontal="centerContinuous"/>
      <protection hidden="1"/>
    </xf>
    <xf numFmtId="0" fontId="0" fillId="35" borderId="0" xfId="0" applyFill="1" applyAlignment="1" applyProtection="1">
      <alignment horizontal="centerContinuous"/>
      <protection hidden="1"/>
    </xf>
    <xf numFmtId="0" fontId="10" fillId="12" borderId="16" xfId="0" applyFont="1" applyFill="1" applyBorder="1" applyAlignment="1" applyProtection="1">
      <alignment horizontal="center" vertical="center"/>
      <protection hidden="1"/>
    </xf>
    <xf numFmtId="0" fontId="10" fillId="19" borderId="16" xfId="0" applyFont="1" applyFill="1" applyBorder="1" applyAlignment="1" applyProtection="1">
      <alignment horizontal="center" vertical="center"/>
      <protection hidden="1"/>
    </xf>
    <xf numFmtId="0" fontId="47" fillId="6" borderId="37" xfId="0" applyFont="1" applyFill="1" applyBorder="1" applyAlignment="1" applyProtection="1">
      <alignment horizontal="center" vertical="center"/>
      <protection hidden="1"/>
    </xf>
    <xf numFmtId="0" fontId="10" fillId="12" borderId="18" xfId="0" applyFont="1" applyFill="1" applyBorder="1" applyAlignment="1" applyProtection="1">
      <alignment horizontal="center" vertical="center"/>
      <protection hidden="1"/>
    </xf>
    <xf numFmtId="0" fontId="10" fillId="19" borderId="18" xfId="0" applyFont="1" applyFill="1" applyBorder="1" applyAlignment="1" applyProtection="1">
      <alignment horizontal="center" vertical="center"/>
      <protection hidden="1"/>
    </xf>
    <xf numFmtId="0" fontId="59" fillId="3" borderId="0" xfId="0" applyFont="1" applyFill="1" applyAlignment="1" applyProtection="1">
      <alignment horizontal="center" vertical="center"/>
      <protection hidden="1"/>
    </xf>
    <xf numFmtId="0" fontId="47" fillId="3" borderId="0" xfId="0" applyFont="1" applyFill="1" applyProtection="1">
      <protection hidden="1"/>
    </xf>
    <xf numFmtId="0" fontId="0" fillId="4" borderId="44" xfId="0" applyFill="1" applyBorder="1" applyAlignment="1" applyProtection="1">
      <alignment horizontal="center"/>
      <protection hidden="1"/>
    </xf>
    <xf numFmtId="0" fontId="0" fillId="4" borderId="45" xfId="0" applyFill="1" applyBorder="1" applyAlignment="1" applyProtection="1">
      <alignment horizontal="center"/>
      <protection hidden="1"/>
    </xf>
    <xf numFmtId="0" fontId="0" fillId="4" borderId="46" xfId="0" applyFill="1" applyBorder="1" applyAlignment="1" applyProtection="1">
      <alignment horizontal="center"/>
      <protection hidden="1"/>
    </xf>
    <xf numFmtId="0" fontId="0" fillId="4" borderId="47" xfId="0" applyFill="1" applyBorder="1" applyAlignment="1" applyProtection="1">
      <alignment horizontal="center"/>
      <protection hidden="1"/>
    </xf>
    <xf numFmtId="0" fontId="47" fillId="4" borderId="0" xfId="0" applyFont="1" applyFill="1" applyAlignment="1" applyProtection="1">
      <alignment horizontal="center"/>
      <protection hidden="1"/>
    </xf>
    <xf numFmtId="0" fontId="0" fillId="4" borderId="48" xfId="0" applyFill="1" applyBorder="1" applyAlignment="1" applyProtection="1">
      <alignment horizontal="center"/>
      <protection hidden="1"/>
    </xf>
    <xf numFmtId="0" fontId="47" fillId="23" borderId="0" xfId="0" applyFont="1" applyFill="1" applyAlignment="1" applyProtection="1">
      <alignment horizontal="center"/>
      <protection hidden="1"/>
    </xf>
    <xf numFmtId="0" fontId="10" fillId="12" borderId="20" xfId="0" applyFont="1" applyFill="1" applyBorder="1" applyAlignment="1" applyProtection="1">
      <alignment horizontal="center" vertical="center"/>
      <protection hidden="1"/>
    </xf>
    <xf numFmtId="0" fontId="10" fillId="19" borderId="20" xfId="0" applyFont="1" applyFill="1" applyBorder="1" applyAlignment="1" applyProtection="1">
      <alignment horizontal="center" vertical="center"/>
      <protection hidden="1"/>
    </xf>
    <xf numFmtId="0" fontId="47" fillId="24" borderId="0" xfId="0" applyFont="1" applyFill="1" applyAlignment="1" applyProtection="1">
      <alignment horizontal="center"/>
      <protection hidden="1"/>
    </xf>
    <xf numFmtId="0" fontId="56" fillId="35" borderId="41" xfId="0" applyFont="1" applyFill="1" applyBorder="1" applyProtection="1">
      <protection hidden="1"/>
    </xf>
    <xf numFmtId="0" fontId="47" fillId="10" borderId="42" xfId="0" applyFont="1" applyFill="1" applyBorder="1" applyAlignment="1" applyProtection="1">
      <alignment horizontal="center" vertical="center"/>
      <protection hidden="1"/>
    </xf>
    <xf numFmtId="0" fontId="56" fillId="35" borderId="39" xfId="0" applyFont="1" applyFill="1" applyBorder="1" applyProtection="1">
      <protection hidden="1"/>
    </xf>
    <xf numFmtId="0" fontId="48" fillId="3" borderId="29" xfId="0" applyFont="1" applyFill="1" applyBorder="1" applyAlignment="1" applyProtection="1">
      <alignment horizontal="center" vertical="center"/>
      <protection hidden="1"/>
    </xf>
    <xf numFmtId="0" fontId="47" fillId="3" borderId="29" xfId="0" applyFont="1" applyFill="1" applyBorder="1" applyAlignment="1" applyProtection="1">
      <alignment horizontal="center" vertical="center"/>
      <protection hidden="1"/>
    </xf>
    <xf numFmtId="0" fontId="47" fillId="3" borderId="34" xfId="0" applyFont="1" applyFill="1" applyBorder="1" applyAlignment="1" applyProtection="1">
      <alignment horizontal="center" vertical="center"/>
      <protection hidden="1"/>
    </xf>
    <xf numFmtId="0" fontId="56" fillId="35" borderId="42" xfId="0" applyFont="1" applyFill="1" applyBorder="1" applyProtection="1">
      <protection hidden="1"/>
    </xf>
    <xf numFmtId="0" fontId="47" fillId="25" borderId="0" xfId="0" applyFont="1" applyFill="1" applyAlignment="1" applyProtection="1">
      <alignment horizontal="center"/>
      <protection hidden="1"/>
    </xf>
    <xf numFmtId="0" fontId="10" fillId="14" borderId="16" xfId="0" applyFont="1" applyFill="1" applyBorder="1" applyAlignment="1" applyProtection="1">
      <alignment horizontal="center" vertical="center"/>
      <protection hidden="1"/>
    </xf>
    <xf numFmtId="0" fontId="10" fillId="20" borderId="16" xfId="0" applyFont="1" applyFill="1" applyBorder="1" applyAlignment="1" applyProtection="1">
      <alignment horizontal="center" vertical="center"/>
      <protection hidden="1"/>
    </xf>
    <xf numFmtId="0" fontId="10" fillId="14" borderId="18" xfId="0" applyFont="1" applyFill="1" applyBorder="1" applyAlignment="1" applyProtection="1">
      <alignment horizontal="center" vertical="center"/>
      <protection hidden="1"/>
    </xf>
    <xf numFmtId="0" fontId="10" fillId="20" borderId="18" xfId="0" applyFont="1" applyFill="1" applyBorder="1" applyAlignment="1" applyProtection="1">
      <alignment horizontal="center" vertical="center"/>
      <protection hidden="1"/>
    </xf>
    <xf numFmtId="0" fontId="56" fillId="35" borderId="38" xfId="0" applyFont="1" applyFill="1" applyBorder="1" applyAlignment="1" applyProtection="1">
      <alignment horizontal="center" vertical="center"/>
      <protection hidden="1"/>
    </xf>
    <xf numFmtId="0" fontId="48" fillId="10" borderId="29" xfId="0" applyFont="1" applyFill="1" applyBorder="1" applyAlignment="1" applyProtection="1">
      <alignment horizontal="center" vertical="center"/>
      <protection hidden="1"/>
    </xf>
    <xf numFmtId="0" fontId="47" fillId="10" borderId="29" xfId="0" applyFont="1" applyFill="1" applyBorder="1" applyAlignment="1" applyProtection="1">
      <alignment horizontal="center" vertical="center"/>
      <protection hidden="1"/>
    </xf>
    <xf numFmtId="0" fontId="47" fillId="10" borderId="34" xfId="0" applyFont="1" applyFill="1" applyBorder="1" applyAlignment="1" applyProtection="1">
      <alignment horizontal="center" vertical="center"/>
      <protection hidden="1"/>
    </xf>
    <xf numFmtId="0" fontId="56" fillId="35" borderId="50" xfId="0" applyFont="1" applyFill="1" applyBorder="1" applyProtection="1">
      <protection hidden="1"/>
    </xf>
    <xf numFmtId="0" fontId="47" fillId="3" borderId="50" xfId="0" applyFont="1" applyFill="1" applyBorder="1" applyAlignment="1" applyProtection="1">
      <alignment horizontal="center" vertical="center"/>
      <protection hidden="1"/>
    </xf>
    <xf numFmtId="0" fontId="0" fillId="4" borderId="49" xfId="0" applyFill="1" applyBorder="1" applyAlignment="1" applyProtection="1">
      <alignment horizontal="center"/>
      <protection hidden="1"/>
    </xf>
    <xf numFmtId="0" fontId="0" fillId="4" borderId="50" xfId="0" applyFill="1" applyBorder="1" applyAlignment="1" applyProtection="1">
      <alignment horizontal="center"/>
      <protection hidden="1"/>
    </xf>
    <xf numFmtId="0" fontId="0" fillId="4" borderId="51" xfId="0" applyFill="1" applyBorder="1" applyAlignment="1" applyProtection="1">
      <alignment horizontal="center"/>
      <protection hidden="1"/>
    </xf>
    <xf numFmtId="0" fontId="10" fillId="14" borderId="20" xfId="0" applyFont="1" applyFill="1" applyBorder="1" applyAlignment="1" applyProtection="1">
      <alignment horizontal="center" vertical="center"/>
      <protection hidden="1"/>
    </xf>
    <xf numFmtId="0" fontId="10" fillId="20" borderId="20" xfId="0" applyFont="1" applyFill="1" applyBorder="1" applyAlignment="1" applyProtection="1">
      <alignment horizontal="center" vertical="center"/>
      <protection hidden="1"/>
    </xf>
    <xf numFmtId="0" fontId="10" fillId="15" borderId="16" xfId="0" applyFont="1" applyFill="1" applyBorder="1" applyAlignment="1" applyProtection="1">
      <alignment horizontal="center" vertical="center"/>
      <protection hidden="1"/>
    </xf>
    <xf numFmtId="0" fontId="10" fillId="21" borderId="16" xfId="0" applyFont="1" applyFill="1" applyBorder="1" applyAlignment="1" applyProtection="1">
      <alignment horizontal="center" vertical="center"/>
      <protection hidden="1"/>
    </xf>
    <xf numFmtId="0" fontId="47" fillId="8" borderId="0" xfId="0" applyFont="1" applyFill="1" applyAlignment="1" applyProtection="1">
      <alignment horizontal="left" vertical="center"/>
      <protection hidden="1"/>
    </xf>
    <xf numFmtId="0" fontId="10" fillId="15" borderId="18" xfId="0" applyFont="1" applyFill="1" applyBorder="1" applyAlignment="1" applyProtection="1">
      <alignment horizontal="center" vertical="center"/>
      <protection hidden="1"/>
    </xf>
    <xf numFmtId="0" fontId="10" fillId="21" borderId="18" xfId="0" applyFont="1" applyFill="1" applyBorder="1" applyAlignment="1" applyProtection="1">
      <alignment horizontal="center" vertical="center"/>
      <protection hidden="1"/>
    </xf>
    <xf numFmtId="0" fontId="47" fillId="8" borderId="37" xfId="0" applyFont="1" applyFill="1" applyBorder="1" applyAlignment="1" applyProtection="1">
      <alignment horizontal="center" vertical="center"/>
      <protection hidden="1"/>
    </xf>
    <xf numFmtId="0" fontId="10" fillId="15" borderId="20" xfId="0" applyFont="1" applyFill="1" applyBorder="1" applyAlignment="1" applyProtection="1">
      <alignment horizontal="center" vertical="center"/>
      <protection hidden="1"/>
    </xf>
    <xf numFmtId="0" fontId="10" fillId="21" borderId="20" xfId="0" applyFont="1" applyFill="1" applyBorder="1" applyAlignment="1" applyProtection="1">
      <alignment horizontal="center" vertical="center"/>
      <protection hidden="1"/>
    </xf>
    <xf numFmtId="0" fontId="10" fillId="16" borderId="16" xfId="0" applyFont="1" applyFill="1" applyBorder="1" applyAlignment="1" applyProtection="1">
      <alignment horizontal="center" vertical="center"/>
      <protection hidden="1"/>
    </xf>
    <xf numFmtId="0" fontId="10" fillId="22" borderId="16" xfId="0" applyFont="1" applyFill="1" applyBorder="1" applyAlignment="1" applyProtection="1">
      <alignment horizontal="center" vertical="center"/>
      <protection hidden="1"/>
    </xf>
    <xf numFmtId="0" fontId="10" fillId="16" borderId="18" xfId="0" applyFont="1" applyFill="1" applyBorder="1" applyAlignment="1" applyProtection="1">
      <alignment horizontal="center" vertical="center"/>
      <protection hidden="1"/>
    </xf>
    <xf numFmtId="0" fontId="10" fillId="22" borderId="18" xfId="0" applyFont="1" applyFill="1" applyBorder="1" applyAlignment="1" applyProtection="1">
      <alignment horizontal="center" vertical="center"/>
      <protection hidden="1"/>
    </xf>
    <xf numFmtId="0" fontId="10" fillId="16" borderId="20" xfId="0" applyFont="1" applyFill="1" applyBorder="1" applyAlignment="1" applyProtection="1">
      <alignment horizontal="center" vertical="center"/>
      <protection hidden="1"/>
    </xf>
    <xf numFmtId="0" fontId="10" fillId="22" borderId="20" xfId="0" applyFont="1" applyFill="1" applyBorder="1" applyAlignment="1" applyProtection="1">
      <alignment horizontal="center" vertical="center"/>
      <protection hidden="1"/>
    </xf>
    <xf numFmtId="0" fontId="0" fillId="5" borderId="0" xfId="0" applyFill="1" applyProtection="1">
      <protection hidden="1"/>
    </xf>
    <xf numFmtId="0" fontId="0" fillId="9" borderId="0" xfId="0" applyFill="1" applyProtection="1">
      <protection hidden="1"/>
    </xf>
    <xf numFmtId="0" fontId="0" fillId="3" borderId="0" xfId="0" applyFill="1" applyAlignment="1" applyProtection="1">
      <alignment horizontal="center" vertical="center"/>
      <protection hidden="1"/>
    </xf>
    <xf numFmtId="0" fontId="0" fillId="0" borderId="82" xfId="0" applyBorder="1" applyAlignment="1" applyProtection="1">
      <alignment horizontal="right"/>
      <protection hidden="1"/>
    </xf>
    <xf numFmtId="165" fontId="0" fillId="0" borderId="83" xfId="0" applyNumberFormat="1" applyBorder="1" applyProtection="1">
      <protection hidden="1"/>
    </xf>
    <xf numFmtId="165" fontId="56" fillId="0" borderId="83" xfId="0" applyNumberFormat="1" applyFont="1" applyBorder="1" applyProtection="1">
      <protection hidden="1"/>
    </xf>
    <xf numFmtId="165" fontId="9" fillId="0" borderId="83" xfId="0" applyNumberFormat="1" applyFont="1" applyBorder="1" applyProtection="1">
      <protection hidden="1"/>
    </xf>
    <xf numFmtId="165" fontId="0" fillId="0" borderId="84" xfId="0" applyNumberFormat="1" applyBorder="1" applyProtection="1">
      <protection hidden="1"/>
    </xf>
    <xf numFmtId="0" fontId="56" fillId="35" borderId="0" xfId="93" applyFont="1" applyFill="1" applyAlignment="1" applyProtection="1">
      <alignment vertical="center" wrapText="1"/>
      <protection hidden="1"/>
    </xf>
    <xf numFmtId="0" fontId="56" fillId="35" borderId="0" xfId="93" applyFont="1" applyFill="1" applyAlignment="1" applyProtection="1">
      <alignment horizontal="center" vertical="center"/>
      <protection hidden="1"/>
    </xf>
    <xf numFmtId="0" fontId="53" fillId="35" borderId="0" xfId="93" applyFont="1" applyFill="1" applyAlignment="1" applyProtection="1">
      <alignment horizontal="left" vertical="top"/>
      <protection hidden="1"/>
    </xf>
    <xf numFmtId="9" fontId="94" fillId="0" borderId="187" xfId="0" applyNumberFormat="1" applyFont="1" applyBorder="1" applyAlignment="1" applyProtection="1">
      <alignment horizontal="center" vertical="top"/>
      <protection locked="0" hidden="1"/>
    </xf>
    <xf numFmtId="0" fontId="13" fillId="35" borderId="21" xfId="93" applyFont="1" applyFill="1" applyBorder="1" applyProtection="1">
      <protection hidden="1"/>
    </xf>
    <xf numFmtId="0" fontId="48" fillId="35" borderId="0" xfId="27" applyFont="1" applyFill="1" applyAlignment="1" applyProtection="1">
      <alignment vertical="center"/>
      <protection locked="0" hidden="1"/>
    </xf>
    <xf numFmtId="0" fontId="95" fillId="36" borderId="74" xfId="0" applyFont="1" applyFill="1" applyBorder="1" applyAlignment="1" applyProtection="1">
      <alignment horizontal="center" vertical="center"/>
      <protection locked="0" hidden="1"/>
    </xf>
    <xf numFmtId="0" fontId="9" fillId="0" borderId="0" xfId="0" applyFont="1" applyProtection="1">
      <protection locked="0" hidden="1"/>
    </xf>
    <xf numFmtId="0" fontId="47" fillId="0" borderId="0" xfId="90" applyFont="1" applyProtection="1">
      <protection locked="0" hidden="1"/>
    </xf>
    <xf numFmtId="0" fontId="47" fillId="35" borderId="63" xfId="90" applyFont="1" applyFill="1" applyBorder="1" applyAlignment="1" applyProtection="1">
      <alignment vertical="center"/>
      <protection hidden="1"/>
    </xf>
    <xf numFmtId="0" fontId="47" fillId="35" borderId="64" xfId="90" applyFont="1" applyFill="1" applyBorder="1" applyAlignment="1" applyProtection="1">
      <alignment vertical="center"/>
      <protection hidden="1"/>
    </xf>
    <xf numFmtId="0" fontId="47" fillId="35" borderId="66" xfId="90" applyFont="1" applyFill="1" applyBorder="1" applyAlignment="1" applyProtection="1">
      <alignment vertical="center"/>
      <protection hidden="1"/>
    </xf>
    <xf numFmtId="0" fontId="47" fillId="35" borderId="68" xfId="90" applyFont="1" applyFill="1" applyBorder="1" applyAlignment="1" applyProtection="1">
      <alignment vertical="center"/>
      <protection hidden="1"/>
    </xf>
    <xf numFmtId="0" fontId="47" fillId="35" borderId="69" xfId="90" applyFont="1" applyFill="1" applyBorder="1" applyAlignment="1" applyProtection="1">
      <alignment vertical="center"/>
      <protection hidden="1"/>
    </xf>
    <xf numFmtId="0" fontId="47" fillId="35" borderId="66" xfId="27" applyFont="1" applyFill="1" applyBorder="1" applyAlignment="1" applyProtection="1">
      <alignment vertical="center"/>
      <protection hidden="1"/>
    </xf>
    <xf numFmtId="0" fontId="49" fillId="0" borderId="0" xfId="90" applyFont="1" applyProtection="1">
      <protection hidden="1"/>
    </xf>
    <xf numFmtId="0" fontId="24" fillId="0" borderId="0" xfId="90" applyAlignment="1">
      <alignment vertical="center"/>
    </xf>
    <xf numFmtId="0" fontId="6" fillId="35" borderId="0" xfId="27" applyFill="1" applyAlignment="1" applyProtection="1">
      <alignment vertical="center"/>
      <protection hidden="1"/>
    </xf>
    <xf numFmtId="0" fontId="75" fillId="0" borderId="0" xfId="90" applyFont="1" applyAlignment="1" applyProtection="1">
      <alignment vertical="top"/>
      <protection hidden="1"/>
    </xf>
    <xf numFmtId="0" fontId="47" fillId="35" borderId="188" xfId="90" applyFont="1" applyFill="1" applyBorder="1" applyAlignment="1" applyProtection="1">
      <alignment vertical="center"/>
      <protection hidden="1"/>
    </xf>
    <xf numFmtId="0" fontId="47" fillId="35" borderId="189" xfId="90" applyFont="1" applyFill="1" applyBorder="1" applyAlignment="1" applyProtection="1">
      <alignment vertical="center"/>
      <protection hidden="1"/>
    </xf>
    <xf numFmtId="0" fontId="47" fillId="35" borderId="68" xfId="0" applyFont="1" applyFill="1" applyBorder="1"/>
    <xf numFmtId="0" fontId="47" fillId="35" borderId="69" xfId="0" applyFont="1" applyFill="1" applyBorder="1"/>
    <xf numFmtId="0" fontId="9" fillId="0" borderId="0" xfId="90" applyFont="1"/>
    <xf numFmtId="0" fontId="9" fillId="35" borderId="64" xfId="90" applyFont="1" applyFill="1" applyBorder="1" applyAlignment="1" applyProtection="1">
      <alignment vertical="center"/>
      <protection hidden="1"/>
    </xf>
    <xf numFmtId="0" fontId="9" fillId="35" borderId="65" xfId="90" applyFont="1" applyFill="1" applyBorder="1" applyAlignment="1" applyProtection="1">
      <alignment vertical="center"/>
      <protection hidden="1"/>
    </xf>
    <xf numFmtId="0" fontId="9" fillId="35" borderId="0" xfId="90" applyFont="1" applyFill="1" applyAlignment="1" applyProtection="1">
      <alignment vertical="center"/>
      <protection hidden="1"/>
    </xf>
    <xf numFmtId="0" fontId="9" fillId="35" borderId="67" xfId="90" applyFont="1" applyFill="1" applyBorder="1" applyAlignment="1" applyProtection="1">
      <alignment vertical="center"/>
      <protection hidden="1"/>
    </xf>
    <xf numFmtId="0" fontId="9" fillId="35" borderId="69" xfId="90" applyFont="1" applyFill="1" applyBorder="1" applyAlignment="1" applyProtection="1">
      <alignment vertical="center"/>
      <protection hidden="1"/>
    </xf>
    <xf numFmtId="0" fontId="9" fillId="35" borderId="70" xfId="90" applyFont="1" applyFill="1" applyBorder="1" applyAlignment="1" applyProtection="1">
      <alignment vertical="center"/>
      <protection hidden="1"/>
    </xf>
    <xf numFmtId="0" fontId="9" fillId="35" borderId="189" xfId="90" applyFont="1" applyFill="1" applyBorder="1" applyAlignment="1" applyProtection="1">
      <alignment vertical="center"/>
      <protection hidden="1"/>
    </xf>
    <xf numFmtId="0" fontId="9" fillId="35" borderId="190" xfId="90" applyFont="1" applyFill="1" applyBorder="1" applyAlignment="1" applyProtection="1">
      <alignment vertical="center"/>
      <protection hidden="1"/>
    </xf>
    <xf numFmtId="0" fontId="9" fillId="0" borderId="0" xfId="90" applyFont="1" applyAlignment="1">
      <alignment vertical="center"/>
    </xf>
    <xf numFmtId="0" fontId="9" fillId="35" borderId="69" xfId="0" applyFont="1" applyFill="1" applyBorder="1"/>
    <xf numFmtId="0" fontId="9" fillId="35" borderId="70" xfId="0" applyFont="1" applyFill="1" applyBorder="1"/>
    <xf numFmtId="0" fontId="97" fillId="0" borderId="0" xfId="0" applyFont="1" applyProtection="1">
      <protection hidden="1"/>
    </xf>
    <xf numFmtId="0" fontId="98" fillId="0" borderId="0" xfId="0" applyFont="1" applyProtection="1">
      <protection hidden="1"/>
    </xf>
    <xf numFmtId="0" fontId="96" fillId="0" borderId="0" xfId="0" applyFont="1" applyProtection="1">
      <protection hidden="1"/>
    </xf>
    <xf numFmtId="0" fontId="56" fillId="35" borderId="116" xfId="0" applyFont="1" applyFill="1" applyBorder="1"/>
    <xf numFmtId="0" fontId="0" fillId="2" borderId="0" xfId="0" applyFill="1" applyAlignment="1">
      <alignment vertical="center"/>
    </xf>
    <xf numFmtId="0" fontId="0" fillId="2" borderId="120" xfId="0" applyFill="1" applyBorder="1" applyAlignment="1">
      <alignment vertical="center"/>
    </xf>
    <xf numFmtId="0" fontId="56" fillId="35" borderId="118" xfId="97" applyNumberFormat="1" applyFont="1" applyFill="1" applyBorder="1" applyAlignment="1">
      <alignment horizontal="center" vertical="center"/>
    </xf>
    <xf numFmtId="0" fontId="56" fillId="35" borderId="121" xfId="0" applyFont="1" applyFill="1" applyBorder="1" applyAlignment="1">
      <alignment horizontal="center" vertical="center"/>
    </xf>
    <xf numFmtId="0" fontId="47" fillId="45" borderId="191" xfId="0" applyFont="1" applyFill="1" applyBorder="1" applyAlignment="1" applyProtection="1">
      <alignment vertical="center"/>
      <protection locked="0" hidden="1"/>
    </xf>
    <xf numFmtId="14" fontId="56" fillId="35" borderId="0" xfId="0" applyNumberFormat="1" applyFont="1" applyFill="1"/>
    <xf numFmtId="22" fontId="13" fillId="0" borderId="0" xfId="0" applyNumberFormat="1" applyFont="1"/>
    <xf numFmtId="14" fontId="99" fillId="2" borderId="186" xfId="90" applyNumberFormat="1" applyFont="1" applyFill="1" applyBorder="1" applyAlignment="1" applyProtection="1">
      <alignment horizontal="center" vertical="center" wrapText="1"/>
      <protection locked="0" hidden="1"/>
    </xf>
    <xf numFmtId="0" fontId="71" fillId="36" borderId="74" xfId="0" applyFont="1" applyFill="1" applyBorder="1" applyAlignment="1" applyProtection="1">
      <alignment horizontal="center" vertical="center"/>
      <protection locked="0" hidden="1"/>
    </xf>
    <xf numFmtId="0" fontId="9" fillId="0" borderId="0" xfId="0" applyFont="1" applyAlignment="1" applyProtection="1">
      <alignment vertical="center"/>
      <protection hidden="1"/>
    </xf>
    <xf numFmtId="0" fontId="13" fillId="0" borderId="13" xfId="0" applyFont="1" applyBorder="1"/>
    <xf numFmtId="20" fontId="13" fillId="0" borderId="13" xfId="0" applyNumberFormat="1" applyFont="1" applyBorder="1"/>
    <xf numFmtId="22" fontId="100" fillId="0" borderId="0" xfId="0" applyNumberFormat="1" applyFont="1" applyAlignment="1" applyProtection="1">
      <alignment vertical="center"/>
      <protection hidden="1"/>
    </xf>
    <xf numFmtId="22" fontId="100" fillId="0" borderId="0" xfId="0" applyNumberFormat="1" applyFont="1" applyAlignment="1" applyProtection="1">
      <alignment horizontal="centerContinuous" vertical="center"/>
      <protection hidden="1"/>
    </xf>
    <xf numFmtId="0" fontId="13" fillId="0" borderId="0" xfId="0" quotePrefix="1" applyFont="1"/>
    <xf numFmtId="16" fontId="13" fillId="0" borderId="0" xfId="0" quotePrefix="1" applyNumberFormat="1" applyFont="1" applyProtection="1">
      <protection hidden="1"/>
    </xf>
    <xf numFmtId="0" fontId="11" fillId="0" borderId="0" xfId="0" applyFont="1" applyProtection="1">
      <protection hidden="1"/>
    </xf>
    <xf numFmtId="0" fontId="13" fillId="0" borderId="0" xfId="0" applyFont="1" applyAlignment="1" applyProtection="1">
      <alignment horizontal="center"/>
      <protection hidden="1"/>
    </xf>
    <xf numFmtId="0" fontId="13" fillId="0" borderId="0" xfId="0" applyFont="1" applyAlignment="1" applyProtection="1">
      <alignment horizontal="left" indent="1"/>
      <protection hidden="1"/>
    </xf>
    <xf numFmtId="9" fontId="13" fillId="0" borderId="0" xfId="0" applyNumberFormat="1" applyFont="1" applyAlignment="1" applyProtection="1">
      <alignment horizontal="left" indent="1"/>
      <protection hidden="1"/>
    </xf>
    <xf numFmtId="14" fontId="13" fillId="0" borderId="0" xfId="0" applyNumberFormat="1" applyFont="1" applyAlignment="1" applyProtection="1">
      <alignment horizontal="left"/>
      <protection hidden="1"/>
    </xf>
    <xf numFmtId="14" fontId="13" fillId="0" borderId="0" xfId="0" applyNumberFormat="1" applyFont="1" applyAlignment="1" applyProtection="1">
      <alignment horizontal="left" indent="1"/>
      <protection hidden="1"/>
    </xf>
    <xf numFmtId="0" fontId="72" fillId="35" borderId="0" xfId="0" applyFont="1" applyFill="1" applyAlignment="1">
      <alignment horizontal="center" vertical="center"/>
    </xf>
    <xf numFmtId="0" fontId="11" fillId="0" borderId="0" xfId="0" applyFont="1" applyAlignment="1" applyProtection="1">
      <alignment horizontal="centerContinuous" vertical="center"/>
      <protection hidden="1"/>
    </xf>
    <xf numFmtId="0" fontId="13" fillId="35" borderId="0" xfId="0" applyFont="1" applyFill="1"/>
    <xf numFmtId="0" fontId="13" fillId="35" borderId="0" xfId="93" applyFont="1" applyFill="1" applyAlignment="1" applyProtection="1">
      <alignment horizontal="center"/>
      <protection hidden="1"/>
    </xf>
    <xf numFmtId="0" fontId="13" fillId="35" borderId="0" xfId="95" applyFont="1" applyFill="1" applyAlignment="1" applyProtection="1">
      <alignment horizontal="center"/>
      <protection hidden="1"/>
    </xf>
    <xf numFmtId="14" fontId="0" fillId="0" borderId="0" xfId="0" applyNumberFormat="1"/>
    <xf numFmtId="0" fontId="26" fillId="0" borderId="0" xfId="0" applyFont="1" applyAlignment="1" applyProtection="1">
      <alignment vertical="center"/>
      <protection hidden="1"/>
    </xf>
    <xf numFmtId="0" fontId="23" fillId="0" borderId="0" xfId="0" applyFont="1" applyAlignment="1">
      <alignment vertical="center" wrapText="1"/>
    </xf>
    <xf numFmtId="22" fontId="0" fillId="0" borderId="0" xfId="0" applyNumberFormat="1"/>
    <xf numFmtId="166" fontId="0" fillId="0" borderId="0" xfId="0" applyNumberFormat="1"/>
    <xf numFmtId="166" fontId="91" fillId="0" borderId="0" xfId="0" applyNumberFormat="1" applyFont="1"/>
    <xf numFmtId="166" fontId="13" fillId="0" borderId="0" xfId="0" applyNumberFormat="1" applyFont="1"/>
    <xf numFmtId="166" fontId="11" fillId="0" borderId="0" xfId="0" applyNumberFormat="1" applyFont="1" applyAlignment="1" applyProtection="1">
      <alignment vertical="center"/>
      <protection hidden="1"/>
    </xf>
    <xf numFmtId="166" fontId="11" fillId="0" borderId="0" xfId="0" applyNumberFormat="1" applyFont="1" applyAlignment="1">
      <alignment horizontal="center" vertical="top"/>
    </xf>
    <xf numFmtId="166" fontId="11" fillId="0" borderId="0" xfId="0" applyNumberFormat="1" applyFont="1" applyAlignment="1" applyProtection="1">
      <alignment horizontal="left" vertical="center"/>
      <protection hidden="1"/>
    </xf>
    <xf numFmtId="166" fontId="11" fillId="0" borderId="0" xfId="0" applyNumberFormat="1" applyFont="1" applyAlignment="1" applyProtection="1">
      <alignment horizontal="centerContinuous" vertical="center"/>
      <protection hidden="1"/>
    </xf>
    <xf numFmtId="166" fontId="13" fillId="0" borderId="0" xfId="0" applyNumberFormat="1" applyFont="1" applyAlignment="1" applyProtection="1">
      <alignment vertical="center"/>
      <protection hidden="1"/>
    </xf>
    <xf numFmtId="166" fontId="13" fillId="0" borderId="0" xfId="0" applyNumberFormat="1" applyFont="1" applyProtection="1">
      <protection hidden="1"/>
    </xf>
    <xf numFmtId="166" fontId="13" fillId="0" borderId="0" xfId="0" applyNumberFormat="1" applyFont="1" applyAlignment="1" applyProtection="1">
      <alignment horizontal="left" vertical="center"/>
      <protection hidden="1"/>
    </xf>
    <xf numFmtId="166" fontId="11" fillId="0" borderId="0" xfId="0" applyNumberFormat="1" applyFont="1" applyProtection="1">
      <protection hidden="1"/>
    </xf>
    <xf numFmtId="166" fontId="11" fillId="0" borderId="0" xfId="0" applyNumberFormat="1" applyFont="1" applyAlignment="1" applyProtection="1">
      <alignment horizontal="center"/>
      <protection hidden="1"/>
    </xf>
    <xf numFmtId="166" fontId="13" fillId="0" borderId="0" xfId="0" applyNumberFormat="1" applyFont="1" applyAlignment="1" applyProtection="1">
      <alignment horizontal="center" vertical="center"/>
      <protection hidden="1"/>
    </xf>
    <xf numFmtId="166" fontId="13" fillId="0" borderId="0" xfId="0" applyNumberFormat="1" applyFont="1" applyAlignment="1" applyProtection="1">
      <alignment horizontal="center"/>
      <protection hidden="1"/>
    </xf>
    <xf numFmtId="166" fontId="12" fillId="0" borderId="0" xfId="0" applyNumberFormat="1" applyFont="1" applyAlignment="1" applyProtection="1">
      <alignment horizontal="left" vertical="center"/>
      <protection hidden="1"/>
    </xf>
    <xf numFmtId="166" fontId="13" fillId="0" borderId="0" xfId="0" applyNumberFormat="1" applyFont="1" applyAlignment="1" applyProtection="1">
      <alignment wrapText="1"/>
      <protection hidden="1"/>
    </xf>
    <xf numFmtId="166" fontId="11" fillId="0" borderId="0" xfId="0" applyNumberFormat="1" applyFont="1" applyAlignment="1" applyProtection="1">
      <alignment horizontal="center" vertical="center"/>
      <protection hidden="1"/>
    </xf>
    <xf numFmtId="166" fontId="12" fillId="0" borderId="0" xfId="0" applyNumberFormat="1" applyFont="1" applyAlignment="1" applyProtection="1">
      <alignment horizontal="center" vertical="center"/>
      <protection hidden="1"/>
    </xf>
    <xf numFmtId="166" fontId="11" fillId="0" borderId="0" xfId="0" applyNumberFormat="1" applyFont="1" applyAlignment="1">
      <alignment horizontal="center"/>
    </xf>
    <xf numFmtId="166" fontId="11" fillId="0" borderId="0" xfId="0" applyNumberFormat="1" applyFont="1" applyAlignment="1">
      <alignment horizontal="center" wrapText="1"/>
    </xf>
    <xf numFmtId="166" fontId="101" fillId="0" borderId="0" xfId="0" applyNumberFormat="1" applyFont="1" applyAlignment="1" applyProtection="1">
      <alignment horizontal="center"/>
      <protection hidden="1"/>
    </xf>
    <xf numFmtId="166" fontId="27" fillId="0" borderId="0" xfId="0" applyNumberFormat="1" applyFont="1" applyAlignment="1" applyProtection="1">
      <alignment horizontal="center" vertical="center"/>
      <protection hidden="1"/>
    </xf>
    <xf numFmtId="166" fontId="101" fillId="0" borderId="0" xfId="0" applyNumberFormat="1" applyFont="1" applyAlignment="1" applyProtection="1">
      <alignment horizontal="center" vertical="center"/>
      <protection hidden="1"/>
    </xf>
    <xf numFmtId="166" fontId="13" fillId="0" borderId="0" xfId="0" applyNumberFormat="1" applyFont="1" applyAlignment="1" applyProtection="1">
      <alignment horizontal="right"/>
      <protection hidden="1"/>
    </xf>
    <xf numFmtId="166" fontId="13" fillId="0" borderId="0" xfId="0" applyNumberFormat="1" applyFont="1" applyAlignment="1">
      <alignment horizontal="right"/>
    </xf>
    <xf numFmtId="166" fontId="11" fillId="0" borderId="0" xfId="0" applyNumberFormat="1" applyFont="1" applyAlignment="1">
      <alignment horizontal="center" vertical="center"/>
    </xf>
    <xf numFmtId="14" fontId="92" fillId="2" borderId="186" xfId="90" applyNumberFormat="1" applyFont="1" applyFill="1" applyBorder="1" applyAlignment="1" applyProtection="1">
      <alignment horizontal="center" vertical="center" wrapText="1"/>
      <protection hidden="1"/>
    </xf>
    <xf numFmtId="14" fontId="94" fillId="35" borderId="0" xfId="0" applyNumberFormat="1" applyFont="1" applyFill="1" applyAlignment="1">
      <alignment horizontal="left" vertical="center" wrapText="1"/>
    </xf>
    <xf numFmtId="0" fontId="60" fillId="35" borderId="2" xfId="27" applyFont="1" applyFill="1" applyBorder="1" applyAlignment="1" applyProtection="1">
      <alignment vertical="center"/>
      <protection hidden="1"/>
    </xf>
    <xf numFmtId="0" fontId="4" fillId="35" borderId="192" xfId="0" applyFont="1" applyFill="1" applyBorder="1" applyAlignment="1" applyProtection="1">
      <alignment horizontal="centerContinuous" vertical="center"/>
      <protection hidden="1"/>
    </xf>
    <xf numFmtId="0" fontId="103" fillId="35" borderId="0" xfId="0" applyFont="1" applyFill="1" applyProtection="1">
      <protection hidden="1"/>
    </xf>
    <xf numFmtId="0" fontId="104" fillId="35" borderId="0" xfId="0" applyFont="1" applyFill="1" applyAlignment="1" applyProtection="1">
      <alignment horizontal="left"/>
      <protection hidden="1"/>
    </xf>
    <xf numFmtId="0" fontId="8" fillId="35" borderId="0" xfId="93" applyFont="1" applyFill="1" applyProtection="1">
      <protection locked="0" hidden="1"/>
    </xf>
    <xf numFmtId="0" fontId="105" fillId="3" borderId="76" xfId="0" applyFont="1" applyFill="1" applyBorder="1" applyAlignment="1" applyProtection="1">
      <alignment horizontal="center" vertical="center"/>
      <protection hidden="1"/>
    </xf>
    <xf numFmtId="0" fontId="106" fillId="3" borderId="76" xfId="0" applyFont="1" applyFill="1" applyBorder="1" applyAlignment="1" applyProtection="1">
      <alignment horizontal="center" vertical="center"/>
      <protection hidden="1"/>
    </xf>
    <xf numFmtId="0" fontId="62" fillId="3" borderId="76" xfId="0" applyFont="1" applyFill="1" applyBorder="1" applyAlignment="1" applyProtection="1">
      <alignment horizontal="center" vertical="center"/>
      <protection locked="0" hidden="1"/>
    </xf>
    <xf numFmtId="0" fontId="49" fillId="7" borderId="0" xfId="0" applyFont="1" applyFill="1" applyAlignment="1" applyProtection="1">
      <alignment horizontal="left"/>
      <protection locked="0" hidden="1"/>
    </xf>
    <xf numFmtId="14" fontId="9" fillId="0" borderId="0" xfId="0" applyNumberFormat="1" applyFont="1"/>
    <xf numFmtId="0" fontId="9" fillId="0" borderId="0" xfId="0" applyFont="1" applyAlignment="1">
      <alignment wrapText="1"/>
    </xf>
    <xf numFmtId="0" fontId="107" fillId="0" borderId="0" xfId="27" applyFont="1" applyFill="1" applyBorder="1"/>
    <xf numFmtId="0" fontId="22" fillId="0" borderId="0" xfId="0" applyFont="1" applyAlignment="1" applyProtection="1">
      <alignment vertical="center"/>
      <protection hidden="1"/>
    </xf>
    <xf numFmtId="0" fontId="108" fillId="0" borderId="0" xfId="0" applyFont="1" applyAlignment="1">
      <alignment vertical="center" wrapText="1"/>
    </xf>
    <xf numFmtId="0" fontId="9" fillId="0" borderId="0" xfId="90" applyFont="1" applyProtection="1">
      <protection hidden="1"/>
    </xf>
    <xf numFmtId="0" fontId="107" fillId="0" borderId="0" xfId="27" applyFont="1" applyFill="1" applyBorder="1" applyProtection="1">
      <protection hidden="1"/>
    </xf>
    <xf numFmtId="0" fontId="9" fillId="0" borderId="0" xfId="27" applyFont="1" applyFill="1" applyBorder="1" applyProtection="1">
      <protection hidden="1"/>
    </xf>
    <xf numFmtId="0" fontId="9" fillId="0" borderId="0" xfId="0" applyFont="1" applyProtection="1">
      <protection locked="0"/>
    </xf>
    <xf numFmtId="0" fontId="9" fillId="0" borderId="0" xfId="0" applyFont="1" applyAlignment="1">
      <alignment horizontal="left"/>
    </xf>
    <xf numFmtId="14" fontId="9" fillId="0" borderId="0" xfId="0" applyNumberFormat="1" applyFont="1" applyAlignment="1" applyProtection="1">
      <alignment horizontal="left"/>
      <protection hidden="1"/>
    </xf>
    <xf numFmtId="0" fontId="9" fillId="0" borderId="0" xfId="0" applyFont="1" applyAlignment="1" applyProtection="1">
      <alignment horizontal="left"/>
      <protection hidden="1"/>
    </xf>
    <xf numFmtId="0" fontId="9" fillId="0" borderId="0" xfId="0" applyFont="1" applyAlignment="1" applyProtection="1">
      <alignment horizontal="left" vertical="center"/>
      <protection hidden="1"/>
    </xf>
    <xf numFmtId="0" fontId="9" fillId="0" borderId="0" xfId="0" quotePrefix="1" applyFont="1" applyAlignment="1" applyProtection="1">
      <alignment horizontal="left" vertical="center"/>
      <protection hidden="1"/>
    </xf>
    <xf numFmtId="9" fontId="9" fillId="0" borderId="0" xfId="0" applyNumberFormat="1" applyFont="1" applyAlignment="1" applyProtection="1">
      <alignment horizontal="left" indent="1"/>
      <protection hidden="1"/>
    </xf>
    <xf numFmtId="0" fontId="9" fillId="0" borderId="0" xfId="0" applyFont="1" applyAlignment="1" applyProtection="1">
      <alignment horizontal="left" indent="1"/>
      <protection hidden="1"/>
    </xf>
    <xf numFmtId="14" fontId="9" fillId="0" borderId="0" xfId="0" applyNumberFormat="1" applyFont="1" applyAlignment="1" applyProtection="1">
      <alignment horizontal="left" indent="1"/>
      <protection hidden="1"/>
    </xf>
    <xf numFmtId="0" fontId="10" fillId="0" borderId="0" xfId="0" applyFont="1"/>
    <xf numFmtId="0" fontId="10" fillId="0" borderId="0" xfId="0" quotePrefix="1" applyFont="1"/>
    <xf numFmtId="20" fontId="9" fillId="0" borderId="0" xfId="0" applyNumberFormat="1" applyFont="1"/>
    <xf numFmtId="0" fontId="73" fillId="0" borderId="104" xfId="95" applyFont="1" applyBorder="1" applyAlignment="1" applyProtection="1">
      <alignment horizontal="center" vertical="center"/>
      <protection hidden="1"/>
    </xf>
    <xf numFmtId="0" fontId="73" fillId="0" borderId="105" xfId="95" applyFont="1" applyBorder="1" applyAlignment="1" applyProtection="1">
      <alignment horizontal="center" vertical="center"/>
      <protection hidden="1"/>
    </xf>
    <xf numFmtId="0" fontId="43" fillId="35" borderId="0" xfId="27" applyFont="1" applyFill="1" applyBorder="1" applyAlignment="1" applyProtection="1">
      <alignment horizontal="center" vertical="center"/>
      <protection hidden="1"/>
    </xf>
    <xf numFmtId="0" fontId="42" fillId="35" borderId="0" xfId="27" applyFont="1" applyFill="1" applyBorder="1" applyAlignment="1" applyProtection="1">
      <alignment horizontal="center" vertical="center" wrapText="1"/>
      <protection hidden="1"/>
    </xf>
    <xf numFmtId="0" fontId="42" fillId="35" borderId="0" xfId="0" applyFont="1" applyFill="1" applyAlignment="1" applyProtection="1">
      <alignment horizontal="center" vertical="center" wrapText="1"/>
      <protection hidden="1"/>
    </xf>
    <xf numFmtId="0" fontId="70" fillId="35" borderId="0" xfId="0" applyFont="1" applyFill="1" applyAlignment="1" applyProtection="1">
      <alignment horizontal="center" vertical="center"/>
      <protection hidden="1"/>
    </xf>
    <xf numFmtId="0" fontId="51" fillId="35" borderId="0" xfId="27" applyFont="1" applyFill="1" applyBorder="1" applyAlignment="1" applyProtection="1">
      <alignment horizontal="left" vertical="center" wrapText="1"/>
      <protection hidden="1"/>
    </xf>
    <xf numFmtId="0" fontId="51" fillId="35" borderId="0" xfId="0" applyFont="1" applyFill="1" applyAlignment="1" applyProtection="1">
      <alignment horizontal="left" vertical="center" wrapText="1"/>
      <protection hidden="1"/>
    </xf>
    <xf numFmtId="14" fontId="17" fillId="26" borderId="18" xfId="0" applyNumberFormat="1" applyFont="1" applyFill="1" applyBorder="1" applyAlignment="1" applyProtection="1">
      <alignment horizontal="center" vertical="center" textRotation="2"/>
      <protection hidden="1"/>
    </xf>
    <xf numFmtId="14" fontId="17" fillId="26" borderId="20" xfId="0" applyNumberFormat="1" applyFont="1" applyFill="1" applyBorder="1" applyAlignment="1" applyProtection="1">
      <alignment horizontal="center" vertical="center" textRotation="2"/>
      <protection hidden="1"/>
    </xf>
    <xf numFmtId="14" fontId="17" fillId="13" borderId="18" xfId="0" applyNumberFormat="1" applyFont="1" applyFill="1" applyBorder="1" applyAlignment="1" applyProtection="1">
      <alignment horizontal="center" vertical="center" textRotation="2"/>
      <protection hidden="1"/>
    </xf>
    <xf numFmtId="14" fontId="17" fillId="13" borderId="20" xfId="0" applyNumberFormat="1" applyFont="1" applyFill="1" applyBorder="1" applyAlignment="1" applyProtection="1">
      <alignment horizontal="center" vertical="center" textRotation="2"/>
      <protection hidden="1"/>
    </xf>
    <xf numFmtId="0" fontId="50" fillId="35" borderId="0" xfId="0" applyFont="1" applyFill="1" applyAlignment="1" applyProtection="1">
      <alignment horizontal="center" vertical="center"/>
      <protection hidden="1"/>
    </xf>
    <xf numFmtId="0" fontId="85" fillId="7" borderId="4" xfId="0" applyFont="1" applyFill="1" applyBorder="1" applyAlignment="1" applyProtection="1">
      <alignment horizontal="center" vertical="center" wrapText="1"/>
      <protection hidden="1"/>
    </xf>
    <xf numFmtId="0" fontId="85" fillId="7" borderId="5" xfId="0" applyFont="1" applyFill="1" applyBorder="1" applyAlignment="1" applyProtection="1">
      <alignment horizontal="center" vertical="center" wrapText="1"/>
      <protection hidden="1"/>
    </xf>
    <xf numFmtId="0" fontId="85" fillId="7" borderId="6" xfId="0" applyFont="1" applyFill="1" applyBorder="1" applyAlignment="1" applyProtection="1">
      <alignment horizontal="center" vertical="center" wrapText="1"/>
      <protection hidden="1"/>
    </xf>
    <xf numFmtId="0" fontId="85" fillId="7" borderId="7" xfId="0" applyFont="1" applyFill="1" applyBorder="1" applyAlignment="1" applyProtection="1">
      <alignment horizontal="center" vertical="center" wrapText="1"/>
      <protection hidden="1"/>
    </xf>
    <xf numFmtId="0" fontId="85" fillId="7" borderId="0" xfId="0" applyFont="1" applyFill="1" applyAlignment="1" applyProtection="1">
      <alignment horizontal="center" vertical="center" wrapText="1"/>
      <protection hidden="1"/>
    </xf>
    <xf numFmtId="0" fontId="85" fillId="7" borderId="8" xfId="0" applyFont="1" applyFill="1" applyBorder="1" applyAlignment="1" applyProtection="1">
      <alignment horizontal="center" vertical="center" wrapText="1"/>
      <protection hidden="1"/>
    </xf>
    <xf numFmtId="14" fontId="17" fillId="27" borderId="18" xfId="0" applyNumberFormat="1" applyFont="1" applyFill="1" applyBorder="1" applyAlignment="1" applyProtection="1">
      <alignment horizontal="center" vertical="center" textRotation="2"/>
      <protection hidden="1"/>
    </xf>
    <xf numFmtId="14" fontId="17" fillId="27" borderId="20" xfId="0" applyNumberFormat="1" applyFont="1" applyFill="1" applyBorder="1" applyAlignment="1" applyProtection="1">
      <alignment horizontal="center" vertical="center" textRotation="2"/>
      <protection hidden="1"/>
    </xf>
    <xf numFmtId="14" fontId="17" fillId="14" borderId="18" xfId="0" applyNumberFormat="1" applyFont="1" applyFill="1" applyBorder="1" applyAlignment="1" applyProtection="1">
      <alignment horizontal="center" vertical="center" textRotation="2"/>
      <protection hidden="1"/>
    </xf>
    <xf numFmtId="14" fontId="17" fillId="14" borderId="20" xfId="0" applyNumberFormat="1" applyFont="1" applyFill="1" applyBorder="1" applyAlignment="1" applyProtection="1">
      <alignment horizontal="center" vertical="center" textRotation="2"/>
      <protection hidden="1"/>
    </xf>
    <xf numFmtId="14" fontId="17" fillId="15" borderId="18" xfId="0" applyNumberFormat="1" applyFont="1" applyFill="1" applyBorder="1" applyAlignment="1" applyProtection="1">
      <alignment horizontal="center" vertical="center" textRotation="2"/>
      <protection hidden="1"/>
    </xf>
    <xf numFmtId="14" fontId="17" fillId="15" borderId="20" xfId="0" applyNumberFormat="1" applyFont="1" applyFill="1" applyBorder="1" applyAlignment="1" applyProtection="1">
      <alignment horizontal="center" vertical="center" textRotation="2"/>
      <protection hidden="1"/>
    </xf>
    <xf numFmtId="0" fontId="86" fillId="7" borderId="7" xfId="0" applyFont="1" applyFill="1" applyBorder="1" applyAlignment="1">
      <alignment horizontal="center" vertical="center" wrapText="1"/>
    </xf>
    <xf numFmtId="0" fontId="86" fillId="7" borderId="0" xfId="0" applyFont="1" applyFill="1" applyAlignment="1">
      <alignment horizontal="center" vertical="center" wrapText="1"/>
    </xf>
    <xf numFmtId="0" fontId="86" fillId="7" borderId="8" xfId="0" applyFont="1" applyFill="1" applyBorder="1" applyAlignment="1">
      <alignment horizontal="center" vertical="center" wrapText="1"/>
    </xf>
    <xf numFmtId="0" fontId="86" fillId="7" borderId="9" xfId="0" applyFont="1" applyFill="1" applyBorder="1" applyAlignment="1">
      <alignment horizontal="center" vertical="center" wrapText="1"/>
    </xf>
    <xf numFmtId="0" fontId="86" fillId="7" borderId="10" xfId="0" applyFont="1" applyFill="1" applyBorder="1" applyAlignment="1">
      <alignment horizontal="center" vertical="center" wrapText="1"/>
    </xf>
    <xf numFmtId="0" fontId="86" fillId="7" borderId="11" xfId="0" applyFont="1" applyFill="1" applyBorder="1" applyAlignment="1">
      <alignment horizontal="center" vertical="center" wrapText="1"/>
    </xf>
    <xf numFmtId="14" fontId="17" fillId="16" borderId="18" xfId="0" applyNumberFormat="1" applyFont="1" applyFill="1" applyBorder="1" applyAlignment="1" applyProtection="1">
      <alignment horizontal="center" vertical="center" textRotation="2"/>
      <protection hidden="1"/>
    </xf>
    <xf numFmtId="14" fontId="17" fillId="16" borderId="20" xfId="0" applyNumberFormat="1" applyFont="1" applyFill="1" applyBorder="1" applyAlignment="1" applyProtection="1">
      <alignment horizontal="center" vertical="center" textRotation="2"/>
      <protection hidden="1"/>
    </xf>
    <xf numFmtId="14" fontId="17" fillId="18" borderId="18" xfId="0" applyNumberFormat="1" applyFont="1" applyFill="1" applyBorder="1" applyAlignment="1" applyProtection="1">
      <alignment horizontal="center" vertical="center" textRotation="2"/>
      <protection hidden="1"/>
    </xf>
    <xf numFmtId="14" fontId="17" fillId="18" borderId="20" xfId="0" applyNumberFormat="1" applyFont="1" applyFill="1" applyBorder="1" applyAlignment="1" applyProtection="1">
      <alignment horizontal="center" vertical="center" textRotation="2"/>
      <protection hidden="1"/>
    </xf>
    <xf numFmtId="14" fontId="17" fillId="20" borderId="18" xfId="0" applyNumberFormat="1" applyFont="1" applyFill="1" applyBorder="1" applyAlignment="1" applyProtection="1">
      <alignment horizontal="center" vertical="center" textRotation="2"/>
      <protection hidden="1"/>
    </xf>
    <xf numFmtId="14" fontId="17" fillId="20" borderId="20" xfId="0" applyNumberFormat="1" applyFont="1" applyFill="1" applyBorder="1" applyAlignment="1" applyProtection="1">
      <alignment horizontal="center" vertical="center" textRotation="2"/>
      <protection hidden="1"/>
    </xf>
    <xf numFmtId="14" fontId="17" fillId="22" borderId="18" xfId="0" applyNumberFormat="1" applyFont="1" applyFill="1" applyBorder="1" applyAlignment="1" applyProtection="1">
      <alignment horizontal="center" vertical="center" textRotation="2"/>
      <protection hidden="1"/>
    </xf>
    <xf numFmtId="14" fontId="17" fillId="22" borderId="20" xfId="0" applyNumberFormat="1" applyFont="1" applyFill="1" applyBorder="1" applyAlignment="1" applyProtection="1">
      <alignment horizontal="center" vertical="center" textRotation="2"/>
      <protection hidden="1"/>
    </xf>
    <xf numFmtId="14" fontId="17" fillId="19" borderId="18" xfId="0" applyNumberFormat="1" applyFont="1" applyFill="1" applyBorder="1" applyAlignment="1" applyProtection="1">
      <alignment horizontal="center" vertical="center" textRotation="2"/>
      <protection hidden="1"/>
    </xf>
    <xf numFmtId="14" fontId="17" fillId="19" borderId="20" xfId="0" applyNumberFormat="1" applyFont="1" applyFill="1" applyBorder="1" applyAlignment="1" applyProtection="1">
      <alignment horizontal="center" vertical="center" textRotation="2"/>
      <protection hidden="1"/>
    </xf>
    <xf numFmtId="14" fontId="17" fillId="21" borderId="18" xfId="0" applyNumberFormat="1" applyFont="1" applyFill="1" applyBorder="1" applyAlignment="1" applyProtection="1">
      <alignment horizontal="center" vertical="center" textRotation="2"/>
      <protection hidden="1"/>
    </xf>
    <xf numFmtId="14" fontId="17" fillId="21" borderId="20" xfId="0" applyNumberFormat="1" applyFont="1" applyFill="1" applyBorder="1" applyAlignment="1" applyProtection="1">
      <alignment horizontal="center" vertical="center" textRotation="2"/>
      <protection hidden="1"/>
    </xf>
    <xf numFmtId="14" fontId="31" fillId="28" borderId="18" xfId="0" applyNumberFormat="1" applyFont="1" applyFill="1" applyBorder="1" applyAlignment="1" applyProtection="1">
      <alignment horizontal="center" vertical="center" textRotation="2"/>
      <protection hidden="1"/>
    </xf>
    <xf numFmtId="14" fontId="31" fillId="28" borderId="20" xfId="0" applyNumberFormat="1" applyFont="1" applyFill="1" applyBorder="1" applyAlignment="1" applyProtection="1">
      <alignment horizontal="center" vertical="center" textRotation="2"/>
      <protection hidden="1"/>
    </xf>
    <xf numFmtId="14" fontId="32" fillId="29" borderId="161" xfId="0" quotePrefix="1" applyNumberFormat="1" applyFont="1" applyFill="1" applyBorder="1" applyAlignment="1" applyProtection="1">
      <alignment horizontal="center" vertical="center"/>
      <protection hidden="1"/>
    </xf>
    <xf numFmtId="14" fontId="32" fillId="29" borderId="163" xfId="0" quotePrefix="1" applyNumberFormat="1" applyFont="1" applyFill="1" applyBorder="1" applyAlignment="1" applyProtection="1">
      <alignment horizontal="center" vertical="center"/>
      <protection hidden="1"/>
    </xf>
    <xf numFmtId="14" fontId="32" fillId="28" borderId="161" xfId="0" quotePrefix="1" applyNumberFormat="1" applyFont="1" applyFill="1" applyBorder="1" applyAlignment="1" applyProtection="1">
      <alignment horizontal="center" vertical="center"/>
      <protection hidden="1"/>
    </xf>
    <xf numFmtId="14" fontId="32" fillId="28" borderId="163" xfId="0" quotePrefix="1" applyNumberFormat="1" applyFont="1" applyFill="1" applyBorder="1" applyAlignment="1" applyProtection="1">
      <alignment horizontal="center" vertical="center"/>
      <protection hidden="1"/>
    </xf>
    <xf numFmtId="14" fontId="33" fillId="29" borderId="173" xfId="0" quotePrefix="1" applyNumberFormat="1" applyFont="1" applyFill="1" applyBorder="1" applyAlignment="1" applyProtection="1">
      <alignment horizontal="center" vertical="center"/>
      <protection hidden="1"/>
    </xf>
    <xf numFmtId="14" fontId="33" fillId="29" borderId="174" xfId="0" quotePrefix="1" applyNumberFormat="1" applyFont="1" applyFill="1" applyBorder="1" applyAlignment="1" applyProtection="1">
      <alignment horizontal="center" vertical="center"/>
      <protection hidden="1"/>
    </xf>
    <xf numFmtId="14" fontId="17" fillId="17" borderId="18" xfId="0" applyNumberFormat="1" applyFont="1" applyFill="1" applyBorder="1" applyAlignment="1" applyProtection="1">
      <alignment horizontal="center" vertical="center" textRotation="2"/>
      <protection hidden="1"/>
    </xf>
    <xf numFmtId="14" fontId="17" fillId="17" borderId="20" xfId="0" applyNumberFormat="1" applyFont="1" applyFill="1" applyBorder="1" applyAlignment="1" applyProtection="1">
      <alignment horizontal="center" vertical="center" textRotation="2"/>
      <protection hidden="1"/>
    </xf>
    <xf numFmtId="14" fontId="76" fillId="7" borderId="0" xfId="0" quotePrefix="1" applyNumberFormat="1" applyFont="1" applyFill="1" applyAlignment="1" applyProtection="1">
      <alignment horizontal="center" vertical="center"/>
      <protection hidden="1"/>
    </xf>
    <xf numFmtId="14" fontId="77" fillId="7" borderId="0" xfId="0" quotePrefix="1" applyNumberFormat="1" applyFont="1" applyFill="1" applyAlignment="1" applyProtection="1">
      <alignment horizontal="center" vertical="center"/>
      <protection hidden="1"/>
    </xf>
    <xf numFmtId="0" fontId="73" fillId="3" borderId="0" xfId="0" applyFont="1" applyFill="1" applyAlignment="1" applyProtection="1">
      <alignment horizontal="center" vertical="center"/>
      <protection hidden="1"/>
    </xf>
    <xf numFmtId="14" fontId="73" fillId="7" borderId="0" xfId="0" applyNumberFormat="1" applyFont="1" applyFill="1" applyAlignment="1" applyProtection="1">
      <alignment horizontal="center" vertical="center" textRotation="2"/>
      <protection hidden="1"/>
    </xf>
    <xf numFmtId="9" fontId="72" fillId="41" borderId="132" xfId="97" applyFont="1" applyFill="1" applyBorder="1" applyAlignment="1">
      <alignment horizontal="center" vertical="center"/>
    </xf>
    <xf numFmtId="9" fontId="72" fillId="41" borderId="133" xfId="97" applyFont="1" applyFill="1" applyBorder="1" applyAlignment="1">
      <alignment horizontal="center" vertical="center"/>
    </xf>
    <xf numFmtId="9" fontId="72" fillId="41" borderId="134" xfId="97" applyFont="1" applyFill="1" applyBorder="1" applyAlignment="1">
      <alignment horizontal="center" vertical="center"/>
    </xf>
    <xf numFmtId="0" fontId="47" fillId="35" borderId="63" xfId="90" applyFont="1" applyFill="1" applyBorder="1" applyAlignment="1" applyProtection="1">
      <alignment horizontal="left" vertical="center" wrapText="1"/>
      <protection hidden="1"/>
    </xf>
    <xf numFmtId="0" fontId="47" fillId="35" borderId="64" xfId="90" applyFont="1" applyFill="1" applyBorder="1" applyAlignment="1" applyProtection="1">
      <alignment horizontal="left" vertical="center" wrapText="1"/>
      <protection hidden="1"/>
    </xf>
    <xf numFmtId="0" fontId="47" fillId="35" borderId="65" xfId="90" applyFont="1" applyFill="1" applyBorder="1" applyAlignment="1" applyProtection="1">
      <alignment horizontal="left" vertical="center" wrapText="1"/>
      <protection hidden="1"/>
    </xf>
    <xf numFmtId="0" fontId="47" fillId="35" borderId="66" xfId="90" applyFont="1" applyFill="1" applyBorder="1" applyAlignment="1" applyProtection="1">
      <alignment horizontal="left" vertical="center" wrapText="1"/>
      <protection hidden="1"/>
    </xf>
    <xf numFmtId="0" fontId="47" fillId="35" borderId="0" xfId="90" applyFont="1" applyFill="1" applyAlignment="1" applyProtection="1">
      <alignment horizontal="left" vertical="center" wrapText="1"/>
      <protection hidden="1"/>
    </xf>
    <xf numFmtId="0" fontId="47" fillId="35" borderId="67" xfId="90" applyFont="1" applyFill="1" applyBorder="1" applyAlignment="1" applyProtection="1">
      <alignment horizontal="left" vertical="center" wrapText="1"/>
      <protection hidden="1"/>
    </xf>
    <xf numFmtId="0" fontId="47" fillId="35" borderId="68" xfId="90" applyFont="1" applyFill="1" applyBorder="1" applyAlignment="1" applyProtection="1">
      <alignment horizontal="left" vertical="center" wrapText="1"/>
      <protection hidden="1"/>
    </xf>
    <xf numFmtId="0" fontId="47" fillId="35" borderId="69" xfId="90" applyFont="1" applyFill="1" applyBorder="1" applyAlignment="1" applyProtection="1">
      <alignment horizontal="left" vertical="center" wrapText="1"/>
      <protection hidden="1"/>
    </xf>
    <xf numFmtId="0" fontId="47" fillId="35" borderId="70" xfId="90" applyFont="1" applyFill="1" applyBorder="1" applyAlignment="1" applyProtection="1">
      <alignment horizontal="left" vertical="center" wrapText="1"/>
      <protection hidden="1"/>
    </xf>
    <xf numFmtId="0" fontId="68" fillId="0" borderId="0" xfId="0" applyFont="1" applyAlignment="1">
      <alignment horizontal="center" vertical="center"/>
    </xf>
    <xf numFmtId="0" fontId="9" fillId="0" borderId="0" xfId="0" applyFont="1" applyAlignment="1" applyProtection="1">
      <alignment horizontal="left" vertical="center" wrapText="1"/>
      <protection hidden="1"/>
    </xf>
    <xf numFmtId="0" fontId="102" fillId="35" borderId="66" xfId="27" applyFont="1" applyFill="1" applyBorder="1" applyAlignment="1" applyProtection="1">
      <alignment horizontal="left" vertical="center"/>
      <protection hidden="1"/>
    </xf>
    <xf numFmtId="0" fontId="102" fillId="35" borderId="0" xfId="27" applyFont="1" applyFill="1" applyBorder="1" applyAlignment="1" applyProtection="1">
      <alignment horizontal="left" vertical="center"/>
      <protection hidden="1"/>
    </xf>
  </cellXfs>
  <cellStyles count="98">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29" builtinId="9" hidden="1"/>
    <cellStyle name="Gevolgde hyperlink" xfId="30" builtinId="9" hidden="1"/>
    <cellStyle name="Gevolgde hyperlink" xfId="31" builtinId="9" hidden="1"/>
    <cellStyle name="Gevolgde hyperlink" xfId="32" builtinId="9" hidden="1"/>
    <cellStyle name="Gevolgde hyperlink" xfId="33" builtinId="9" hidden="1"/>
    <cellStyle name="Gevolgde hyperlink" xfId="34" builtinId="9" hidden="1"/>
    <cellStyle name="Gevolgde hyperlink" xfId="35" builtinId="9" hidden="1"/>
    <cellStyle name="Gevolgde hyperlink" xfId="36" builtinId="9" hidden="1"/>
    <cellStyle name="Gevolgde hyperlink" xfId="37" builtinId="9" hidden="1"/>
    <cellStyle name="Gevolgde hyperlink" xfId="38" builtinId="9" hidden="1"/>
    <cellStyle name="Gevolgde hyperlink" xfId="39" builtinId="9" hidden="1"/>
    <cellStyle name="Gevolgde hyperlink" xfId="40" builtinId="9" hidden="1"/>
    <cellStyle name="Gevolgde hyperlink" xfId="41" builtinId="9" hidden="1"/>
    <cellStyle name="Gevolgde hyperlink" xfId="42" builtinId="9" hidden="1"/>
    <cellStyle name="Gevolgde hyperlink" xfId="43" builtinId="9" hidden="1"/>
    <cellStyle name="Gevolgde hyperlink" xfId="44" builtinId="9" hidden="1"/>
    <cellStyle name="Gevolgde hyperlink" xfId="45" builtinId="9" hidden="1"/>
    <cellStyle name="Gevolgde hyperlink" xfId="46" builtinId="9" hidden="1"/>
    <cellStyle name="Gevolgde hyperlink" xfId="47" builtinId="9" hidden="1"/>
    <cellStyle name="Gevolgde hyperlink" xfId="48" builtinId="9" hidden="1"/>
    <cellStyle name="Gevolgde hyperlink" xfId="49" builtinId="9" hidden="1"/>
    <cellStyle name="Gevolgde hyperlink" xfId="50" builtinId="9" hidden="1"/>
    <cellStyle name="Gevolgde hyperlink" xfId="51" builtinId="9" hidden="1"/>
    <cellStyle name="Gevolgde hyperlink" xfId="52" builtinId="9" hidden="1"/>
    <cellStyle name="Gevolgde hyperlink" xfId="53" builtinId="9" hidden="1"/>
    <cellStyle name="Gevolgde hyperlink" xfId="54" builtinId="9" hidden="1"/>
    <cellStyle name="Gevolgde hyperlink" xfId="55" builtinId="9" hidden="1"/>
    <cellStyle name="Gevolgde hyperlink" xfId="56" builtinId="9" hidden="1"/>
    <cellStyle name="Gevolgde hyperlink" xfId="57" builtinId="9" hidden="1"/>
    <cellStyle name="Gevolgde hyperlink" xfId="58" builtinId="9" hidden="1"/>
    <cellStyle name="Gevolgde hyperlink" xfId="59" builtinId="9" hidden="1"/>
    <cellStyle name="Gevolgde hyperlink" xfId="60" builtinId="9" hidden="1"/>
    <cellStyle name="Gevolgde hyperlink" xfId="61" builtinId="9" hidden="1"/>
    <cellStyle name="Gevolgde hyperlink" xfId="62" builtinId="9" hidden="1"/>
    <cellStyle name="Gevolgde hyperlink" xfId="63" builtinId="9" hidden="1"/>
    <cellStyle name="Gevolgde hyperlink" xfId="64" builtinId="9" hidden="1"/>
    <cellStyle name="Gevolgde hyperlink" xfId="65" builtinId="9" hidden="1"/>
    <cellStyle name="Gevolgde hyperlink" xfId="66" builtinId="9" hidden="1"/>
    <cellStyle name="Gevolgde hyperlink" xfId="67" builtinId="9" hidden="1"/>
    <cellStyle name="Gevolgde hyperlink" xfId="68" builtinId="9" hidden="1"/>
    <cellStyle name="Gevolgde hyperlink" xfId="69" builtinId="9" hidden="1"/>
    <cellStyle name="Gevolgde hyperlink" xfId="70" builtinId="9" hidden="1"/>
    <cellStyle name="Gevolgde hyperlink" xfId="71" builtinId="9" hidden="1"/>
    <cellStyle name="Gevolgde hyperlink" xfId="72" builtinId="9" hidden="1"/>
    <cellStyle name="Gevolgde hyperlink" xfId="73" builtinId="9" hidden="1"/>
    <cellStyle name="Gevolgde hyperlink" xfId="74" builtinId="9" hidden="1"/>
    <cellStyle name="Gevolgde hyperlink" xfId="75" builtinId="9" hidden="1"/>
    <cellStyle name="Gevolgde hyperlink" xfId="76" builtinId="9" hidden="1"/>
    <cellStyle name="Gevolgde hyperlink" xfId="77" builtinId="9" hidden="1"/>
    <cellStyle name="Gevolgde hyperlink" xfId="78" builtinId="9" hidden="1"/>
    <cellStyle name="Gevolgde hyperlink" xfId="79" builtinId="9" hidden="1"/>
    <cellStyle name="Gevolgde hyperlink" xfId="80" builtinId="9" hidden="1"/>
    <cellStyle name="Gevolgde hyperlink" xfId="81" builtinId="9" hidden="1"/>
    <cellStyle name="Gevolgde hyperlink" xfId="82" builtinId="9" hidden="1"/>
    <cellStyle name="Gevolgde hyperlink" xfId="83" builtinId="9" hidden="1"/>
    <cellStyle name="Gevolgde hyperlink" xfId="84" builtinId="9" hidden="1"/>
    <cellStyle name="Gevolgde hyperlink" xfId="85" builtinId="9" hidden="1"/>
    <cellStyle name="Gevolgde hyperlink" xfId="86" builtinId="9" hidden="1"/>
    <cellStyle name="Gevolgde hyperlink" xfId="87" builtinId="9" hidden="1"/>
    <cellStyle name="Gevolgde hyperlink" xfId="88" builtinId="9" hidden="1"/>
    <cellStyle name="Gevolgde hyperlink" xfId="89" builtinId="9" hidden="1"/>
    <cellStyle name="Hipervínculo 2" xfId="94" xr:uid="{008C30FC-4EBF-9B4A-9B7C-80AE025592FE}"/>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cellStyle name="Normal 2" xfId="90" xr:uid="{0AC5020E-4D99-3148-A28E-0E42E9704295}"/>
    <cellStyle name="Normal 3" xfId="91" xr:uid="{2A9FD873-A6B0-984A-A948-86D03F58519E}"/>
    <cellStyle name="Normal 3 2" xfId="92" xr:uid="{B87EC118-49F7-2B41-85F8-71A948EE0307}"/>
    <cellStyle name="Normal 4" xfId="93" xr:uid="{6104D907-AD2C-5845-90F7-E59DF85A9F45}"/>
    <cellStyle name="Normal 4 2" xfId="95" xr:uid="{266E0619-40AF-444D-B7AB-2D81FB645B4D}"/>
    <cellStyle name="Normal 5" xfId="96" xr:uid="{35ED9CFF-BD18-CE49-8375-08DF93D24062}"/>
    <cellStyle name="Procent" xfId="97" builtinId="5"/>
    <cellStyle name="Standaard" xfId="0" builtinId="0"/>
  </cellStyles>
  <dxfs count="44">
    <dxf>
      <font>
        <color rgb="FF9C0006"/>
      </font>
      <fill>
        <patternFill>
          <bgColor rgb="FFFFC7CE"/>
        </patternFill>
      </fill>
    </dxf>
    <dxf>
      <font>
        <color rgb="FF1B4066"/>
      </font>
      <fill>
        <patternFill>
          <bgColor rgb="FFEEEEEE"/>
        </patternFill>
      </fill>
      <border>
        <left style="thin">
          <color theme="0"/>
        </left>
        <right style="thin">
          <color theme="0"/>
        </right>
        <top style="thin">
          <color theme="0"/>
        </top>
        <bottom style="thin">
          <color theme="0"/>
        </bottom>
        <vertical/>
        <horizontal/>
      </border>
    </dxf>
    <dxf>
      <font>
        <color rgb="FF1B4066"/>
      </font>
      <fill>
        <patternFill>
          <bgColor rgb="FFEEEEEE"/>
        </patternFill>
      </fill>
      <border>
        <left style="thin">
          <color rgb="FF1B4066"/>
        </left>
        <right style="thin">
          <color rgb="FF1B4066"/>
        </right>
        <top style="thin">
          <color rgb="FF1B4066"/>
        </top>
        <bottom style="thin">
          <color rgb="FF1B4066"/>
        </bottom>
        <vertical/>
        <horizontal/>
      </border>
    </dxf>
    <dxf>
      <font>
        <b/>
        <i val="0"/>
        <color rgb="FF1B4066"/>
      </font>
    </dxf>
    <dxf>
      <fill>
        <patternFill>
          <bgColor rgb="FFEFB810"/>
        </patternFill>
      </fill>
    </dxf>
    <dxf>
      <fill>
        <patternFill>
          <bgColor rgb="FFC0C0C0"/>
        </patternFill>
      </fill>
    </dxf>
    <dxf>
      <fill>
        <patternFill>
          <bgColor rgb="FFCD7F32"/>
        </patternFill>
      </fill>
    </dxf>
    <dxf>
      <fill>
        <patternFill>
          <bgColor theme="7" tint="0.79998168889431442"/>
        </patternFill>
      </fill>
    </dxf>
    <dxf>
      <fill>
        <patternFill>
          <bgColor theme="6" tint="0.79998168889431442"/>
        </patternFill>
      </fill>
    </dxf>
    <dxf>
      <fill>
        <patternFill>
          <bgColor theme="4" tint="0.79998168889431442"/>
        </patternFill>
      </fill>
    </dxf>
    <dxf>
      <fill>
        <patternFill>
          <bgColor theme="9" tint="0.79998168889431442"/>
        </patternFill>
      </fill>
    </dxf>
    <dxf>
      <font>
        <color rgb="FF9C0006"/>
      </font>
      <fill>
        <patternFill>
          <bgColor rgb="FFFFC7CE"/>
        </patternFill>
      </fill>
    </dxf>
    <dxf>
      <fill>
        <patternFill>
          <bgColor rgb="FF00B050"/>
        </patternFill>
      </fill>
    </dxf>
    <dxf>
      <fill>
        <patternFill>
          <bgColor theme="9" tint="0.79998168889431442"/>
        </patternFill>
      </fill>
    </dxf>
    <dxf>
      <fill>
        <patternFill>
          <bgColor rgb="FFD1E7DE"/>
        </patternFill>
      </fill>
    </dxf>
    <dxf>
      <fill>
        <patternFill>
          <bgColor theme="9" tint="0.59996337778862885"/>
        </patternFill>
      </fill>
    </dxf>
    <dxf>
      <font>
        <color rgb="FF1B4066"/>
      </font>
      <fill>
        <patternFill>
          <bgColor theme="0"/>
        </patternFill>
      </fill>
    </dxf>
    <dxf>
      <font>
        <color rgb="FF1B4066"/>
      </font>
      <fill>
        <patternFill>
          <bgColor theme="0" tint="-0.14996795556505021"/>
        </patternFill>
      </fill>
    </dxf>
    <dxf>
      <font>
        <color rgb="FF1B4066"/>
      </font>
      <fill>
        <patternFill>
          <bgColor theme="0"/>
        </patternFill>
      </fill>
    </dxf>
    <dxf>
      <font>
        <color rgb="FF1B4066"/>
      </font>
      <fill>
        <patternFill>
          <bgColor theme="0" tint="-0.14996795556505021"/>
        </patternFill>
      </fill>
    </dxf>
    <dxf>
      <font>
        <color rgb="FF1B4066"/>
      </font>
      <fill>
        <patternFill>
          <bgColor theme="0"/>
        </patternFill>
      </fill>
    </dxf>
    <dxf>
      <font>
        <color rgb="FF1B4066"/>
      </font>
      <fill>
        <patternFill>
          <bgColor theme="0" tint="-0.14996795556505021"/>
        </patternFill>
      </fill>
    </dxf>
    <dxf>
      <font>
        <color rgb="FF9C5700"/>
      </font>
      <fill>
        <patternFill>
          <bgColor rgb="FFFFEB9C"/>
        </patternFill>
      </fill>
    </dxf>
    <dxf>
      <font>
        <color rgb="FF006100"/>
      </font>
      <fill>
        <patternFill>
          <bgColor rgb="FFC6EFCE"/>
        </patternFill>
      </fill>
    </dxf>
    <dxf>
      <fill>
        <patternFill>
          <bgColor rgb="FFBEBEBE"/>
        </patternFill>
      </fill>
    </dxf>
    <dxf>
      <font>
        <color rgb="FFEEEEEE"/>
      </font>
      <fill>
        <patternFill>
          <bgColor rgb="FFEEEEEE"/>
        </patternFill>
      </fill>
      <border>
        <left/>
        <right/>
        <top/>
        <bottom/>
        <vertical/>
        <horizontal/>
      </border>
    </dxf>
    <dxf>
      <font>
        <color rgb="FF1B4066"/>
      </font>
      <fill>
        <patternFill>
          <bgColor theme="0" tint="-0.24994659260841701"/>
        </patternFill>
      </fill>
      <border>
        <left style="thin">
          <color theme="0"/>
        </left>
        <right style="thin">
          <color theme="0"/>
        </right>
        <top style="thin">
          <color theme="0"/>
        </top>
        <bottom style="thin">
          <color theme="0"/>
        </bottom>
      </border>
    </dxf>
    <dxf>
      <font>
        <color rgb="FF1B4066"/>
      </font>
      <fill>
        <patternFill>
          <bgColor theme="0" tint="-0.24994659260841701"/>
        </patternFill>
      </fill>
      <border>
        <left style="thin">
          <color theme="0"/>
        </left>
        <right style="thin">
          <color theme="0"/>
        </right>
        <top style="thin">
          <color theme="0"/>
        </top>
        <bottom style="thin">
          <color theme="0"/>
        </bottom>
      </border>
    </dxf>
    <dxf>
      <font>
        <color rgb="FF1B4066"/>
      </font>
    </dxf>
    <dxf>
      <font>
        <color rgb="FF1B4066"/>
      </font>
    </dxf>
    <dxf>
      <numFmt numFmtId="2" formatCode="0.00"/>
    </dxf>
    <dxf>
      <font>
        <b val="0"/>
        <i val="0"/>
        <color rgb="FF1B4066"/>
      </font>
      <fill>
        <patternFill>
          <bgColor rgb="FFBFBFBF"/>
        </patternFill>
      </fill>
      <border>
        <left style="thin">
          <color theme="0"/>
        </left>
        <right style="thin">
          <color theme="0"/>
        </right>
        <top style="thin">
          <color theme="0"/>
        </top>
        <bottom style="thin">
          <color theme="0"/>
        </bottom>
      </border>
    </dxf>
    <dxf>
      <font>
        <b/>
        <i val="0"/>
        <color rgb="FF1B4066"/>
      </font>
    </dxf>
    <dxf>
      <fill>
        <patternFill>
          <bgColor rgb="FFC4D79B"/>
        </patternFill>
      </fill>
    </dxf>
    <dxf>
      <font>
        <b val="0"/>
        <i val="0"/>
        <color rgb="FF1B4066"/>
      </font>
      <fill>
        <patternFill patternType="solid">
          <fgColor indexed="64"/>
          <bgColor theme="0" tint="-0.24994659260841701"/>
        </patternFill>
      </fill>
    </dxf>
    <dxf>
      <font>
        <b val="0"/>
        <i val="0"/>
        <color rgb="FF1B4066"/>
      </font>
      <fill>
        <patternFill>
          <bgColor theme="0" tint="-0.24994659260841701"/>
        </patternFill>
      </fill>
      <border>
        <vertical/>
        <horizontal/>
      </border>
    </dxf>
    <dxf>
      <fill>
        <patternFill>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border>
    </dxf>
    <dxf>
      <font>
        <color rgb="FF1B4066"/>
      </font>
      <fill>
        <patternFill patternType="solid">
          <fgColor indexed="64"/>
          <bgColor theme="0" tint="-0.24994659260841701"/>
        </patternFill>
      </fill>
      <border>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protection locked="1"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protection locked="1" hidden="1"/>
    </dxf>
  </dxfs>
  <tableStyles count="0" defaultTableStyle="TableStyleMedium9" defaultPivotStyle="PivotStyleLight16"/>
  <colors>
    <mruColors>
      <color rgb="FFEEEEEE"/>
      <color rgb="FF1B4066"/>
      <color rgb="FFD1E7DE"/>
      <color rgb="FFBEBEBE"/>
      <color rgb="FFF8F9FA"/>
      <color rgb="FFF2F4F6"/>
      <color rgb="FFC0C0C0"/>
      <color rgb="FFD9DCE0"/>
      <color rgb="FFF0B811"/>
      <color rgb="FFD1E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Stats!$I$5</c:f>
          <c:strCache>
            <c:ptCount val="1"/>
            <c:pt idx="0">
              <c:v>México-Sudáfrica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Stats!$I$7</c:f>
              <c:strCache>
                <c:ptCount val="1"/>
                <c:pt idx="0">
                  <c:v>Count</c:v>
                </c:pt>
              </c:strCache>
            </c:strRef>
          </c:tx>
          <c:spPr>
            <a:solidFill>
              <a:srgbClr val="D9DC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Stats!$H$8:$H$31</c:f>
              <c:strCache>
                <c:ptCount val="1"/>
                <c:pt idx="0">
                  <c:v>Select a match from today:↗</c:v>
                </c:pt>
              </c:strCache>
            </c:strRef>
          </c:cat>
          <c:val>
            <c:numRef>
              <c:f>Stats!$I$8:$I$31</c:f>
              <c:numCache>
                <c:formatCode>General</c:formatCode>
                <c:ptCount val="24"/>
                <c:pt idx="0">
                  <c:v>0</c:v>
                </c:pt>
              </c:numCache>
            </c:numRef>
          </c:val>
          <c:extLst>
            <c:ext xmlns:c16="http://schemas.microsoft.com/office/drawing/2014/chart" uri="{C3380CC4-5D6E-409C-BE32-E72D297353CC}">
              <c16:uniqueId val="{00000000-2058-6046-AE28-597BF70F870C}"/>
            </c:ext>
          </c:extLst>
        </c:ser>
        <c:ser>
          <c:idx val="1"/>
          <c:order val="1"/>
          <c:tx>
            <c:strRef>
              <c:f>Stats!$J$7</c:f>
              <c:strCache>
                <c:ptCount val="1"/>
                <c:pt idx="0">
                  <c:v>Ac</c:v>
                </c:pt>
              </c:strCache>
            </c:strRef>
          </c:tx>
          <c:spPr>
            <a:solidFill>
              <a:srgbClr val="D1E7DD"/>
            </a:solidFill>
            <a:ln>
              <a:noFill/>
            </a:ln>
            <a:effectLst/>
          </c:spPr>
          <c:invertIfNegative val="0"/>
          <c:cat>
            <c:strRef>
              <c:f>Stats!$H$8:$H$31</c:f>
              <c:strCache>
                <c:ptCount val="1"/>
                <c:pt idx="0">
                  <c:v>Select a match from today:↗</c:v>
                </c:pt>
              </c:strCache>
            </c:strRef>
          </c:cat>
          <c:val>
            <c:numRef>
              <c:f>Stats!$J$8:$J$31</c:f>
              <c:numCache>
                <c:formatCode>General</c:formatCode>
                <c:ptCount val="24"/>
                <c:pt idx="0">
                  <c:v>0</c:v>
                </c:pt>
              </c:numCache>
            </c:numRef>
          </c:val>
          <c:extLst>
            <c:ext xmlns:c16="http://schemas.microsoft.com/office/drawing/2014/chart" uri="{C3380CC4-5D6E-409C-BE32-E72D297353CC}">
              <c16:uniqueId val="{00000001-2058-6046-AE28-597BF70F870C}"/>
            </c:ext>
          </c:extLst>
        </c:ser>
        <c:ser>
          <c:idx val="2"/>
          <c:order val="2"/>
          <c:tx>
            <c:strRef>
              <c:f>Stats!$K$7</c:f>
              <c:strCache>
                <c:ptCount val="1"/>
              </c:strCache>
            </c:strRef>
          </c:tx>
          <c:spPr>
            <a:solidFill>
              <a:srgbClr val="FFE9DB"/>
            </a:solidFill>
            <a:ln>
              <a:noFill/>
            </a:ln>
            <a:effectLst/>
          </c:spPr>
          <c:invertIfNegative val="0"/>
          <c:cat>
            <c:strRef>
              <c:f>Stats!$H$8:$H$31</c:f>
              <c:strCache>
                <c:ptCount val="1"/>
                <c:pt idx="0">
                  <c:v>Select a match from today:↗</c:v>
                </c:pt>
              </c:strCache>
            </c:strRef>
          </c:cat>
          <c:val>
            <c:numRef>
              <c:f>Stats!$K$8:$K$31</c:f>
              <c:numCache>
                <c:formatCode>General</c:formatCode>
                <c:ptCount val="24"/>
                <c:pt idx="0">
                  <c:v>0</c:v>
                </c:pt>
              </c:numCache>
            </c:numRef>
          </c:val>
          <c:extLst>
            <c:ext xmlns:c16="http://schemas.microsoft.com/office/drawing/2014/chart" uri="{C3380CC4-5D6E-409C-BE32-E72D297353CC}">
              <c16:uniqueId val="{00000002-2058-6046-AE28-597BF70F870C}"/>
            </c:ext>
          </c:extLst>
        </c:ser>
        <c:dLbls>
          <c:showLegendKey val="0"/>
          <c:showVal val="0"/>
          <c:showCatName val="0"/>
          <c:showSerName val="0"/>
          <c:showPercent val="0"/>
          <c:showBubbleSize val="0"/>
        </c:dLbls>
        <c:gapWidth val="227"/>
        <c:overlap val="100"/>
        <c:axId val="128880592"/>
        <c:axId val="2105952655"/>
      </c:barChart>
      <c:catAx>
        <c:axId val="12888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5952655"/>
        <c:crosses val="autoZero"/>
        <c:auto val="1"/>
        <c:lblAlgn val="ctr"/>
        <c:lblOffset val="100"/>
        <c:noMultiLvlLbl val="0"/>
      </c:catAx>
      <c:valAx>
        <c:axId val="2105952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88805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EEEEEE"/>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Stats!$I$5</c:f>
          <c:strCache>
            <c:ptCount val="1"/>
            <c:pt idx="0">
              <c:v>México-Sudáfrica</c:v>
            </c:pt>
          </c:strCache>
        </c:strRef>
      </c:tx>
      <c:overlay val="0"/>
      <c:spPr>
        <a:noFill/>
        <a:ln>
          <a:noFill/>
        </a:ln>
        <a:effectLst/>
      </c:spPr>
      <c:txPr>
        <a:bodyPr rot="0" spcFirstLastPara="1" vertOverflow="ellipsis" vert="horz" wrap="square" anchor="ctr" anchorCtr="1"/>
        <a:lstStyle/>
        <a:p>
          <a:pPr>
            <a:defRPr sz="1000" b="1" i="0" u="none" strike="noStrike" kern="1200" cap="all" spc="5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1"/>
          <c:order val="0"/>
          <c:spPr>
            <a:ln>
              <a:noFill/>
            </a:ln>
            <a:effectLst/>
            <a:scene3d>
              <a:camera prst="orthographicFront"/>
              <a:lightRig rig="brightRoom" dir="t"/>
            </a:scene3d>
            <a:sp3d prstMaterial="flat">
              <a:contourClr>
                <a:srgbClr val="000000"/>
              </a:contourClr>
            </a:sp3d>
          </c:spPr>
          <c:dPt>
            <c:idx val="0"/>
            <c:bubble3D val="0"/>
            <c:spPr>
              <a:solidFill>
                <a:schemeClr val="accent1"/>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1-6B7D-5745-BA3F-4E43EA44B013}"/>
              </c:ext>
            </c:extLst>
          </c:dPt>
          <c:dPt>
            <c:idx val="1"/>
            <c:bubble3D val="0"/>
            <c:spPr>
              <a:solidFill>
                <a:schemeClr val="accent2"/>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3-6B7D-5745-BA3F-4E43EA44B013}"/>
              </c:ext>
            </c:extLst>
          </c:dPt>
          <c:dPt>
            <c:idx val="2"/>
            <c:bubble3D val="0"/>
            <c:spPr>
              <a:solidFill>
                <a:schemeClr val="accent3"/>
              </a:solidFill>
              <a:ln>
                <a:noFill/>
              </a:ln>
              <a:effectLst/>
              <a:scene3d>
                <a:camera prst="orthographicFront"/>
                <a:lightRig rig="brightRoom" dir="t"/>
              </a:scene3d>
              <a:sp3d prstMaterial="flat">
                <a:contourClr>
                  <a:srgbClr val="000000"/>
                </a:contourClr>
              </a:sp3d>
            </c:spPr>
            <c:extLst>
              <c:ext xmlns:c16="http://schemas.microsoft.com/office/drawing/2014/chart" uri="{C3380CC4-5D6E-409C-BE32-E72D297353CC}">
                <c16:uniqueId val="{00000005-6B7D-5745-BA3F-4E43EA44B0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Stats!$D$35:$D$37</c:f>
              <c:strCache>
                <c:ptCount val="3"/>
                <c:pt idx="0">
                  <c:v>1</c:v>
                </c:pt>
                <c:pt idx="1">
                  <c:v>X</c:v>
                </c:pt>
                <c:pt idx="2">
                  <c:v>2</c:v>
                </c:pt>
              </c:strCache>
            </c:strRef>
          </c:cat>
          <c:val>
            <c:numRef>
              <c:f>Stats!$F$35:$F$37</c:f>
              <c:numCache>
                <c:formatCode>General</c:formatCode>
                <c:ptCount val="3"/>
                <c:pt idx="0">
                  <c:v>0</c:v>
                </c:pt>
                <c:pt idx="1">
                  <c:v>0</c:v>
                </c:pt>
                <c:pt idx="2">
                  <c:v>0</c:v>
                </c:pt>
              </c:numCache>
            </c:numRef>
          </c:val>
          <c:extLst>
            <c:ext xmlns:c16="http://schemas.microsoft.com/office/drawing/2014/chart" uri="{C3380CC4-5D6E-409C-BE32-E72D297353CC}">
              <c16:uniqueId val="{00000007-769B-0847-AC0F-699A25F12516}"/>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5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5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editAs="oneCell">
    <xdr:from>
      <xdr:col>5</xdr:col>
      <xdr:colOff>584200</xdr:colOff>
      <xdr:row>4</xdr:row>
      <xdr:rowOff>0</xdr:rowOff>
    </xdr:from>
    <xdr:to>
      <xdr:col>7</xdr:col>
      <xdr:colOff>139700</xdr:colOff>
      <xdr:row>13</xdr:row>
      <xdr:rowOff>88900</xdr:rowOff>
    </xdr:to>
    <xdr:pic>
      <xdr:nvPicPr>
        <xdr:cNvPr id="20" name="Imagen 19">
          <a:extLst>
            <a:ext uri="{FF2B5EF4-FFF2-40B4-BE49-F238E27FC236}">
              <a16:creationId xmlns:a16="http://schemas.microsoft.com/office/drawing/2014/main" id="{619AAB64-A02A-874A-8E90-EC27C526D26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5321300" y="990600"/>
          <a:ext cx="1206500"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774700</xdr:colOff>
          <xdr:row>35</xdr:row>
          <xdr:rowOff>152400</xdr:rowOff>
        </xdr:from>
        <xdr:to>
          <xdr:col>4</xdr:col>
          <xdr:colOff>530534</xdr:colOff>
          <xdr:row>51</xdr:row>
          <xdr:rowOff>38100</xdr:rowOff>
        </xdr:to>
        <xdr:pic>
          <xdr:nvPicPr>
            <xdr:cNvPr id="8" name="Imagen 7">
              <a:extLst>
                <a:ext uri="{FF2B5EF4-FFF2-40B4-BE49-F238E27FC236}">
                  <a16:creationId xmlns:a16="http://schemas.microsoft.com/office/drawing/2014/main" id="{5244D62A-8657-2C43-A33B-3D346CE63D06}"/>
                </a:ext>
              </a:extLst>
            </xdr:cNvPr>
            <xdr:cNvPicPr>
              <a:picLocks noChangeAspect="1" noChangeArrowheads="1"/>
              <a:extLst>
                <a:ext uri="{84589F7E-364E-4C9E-8A38-B11213B215E9}">
                  <a14:cameraTool cellRange="Grafico1X2" spid="_x0000_s18129"/>
                </a:ext>
              </a:extLst>
            </xdr:cNvPicPr>
          </xdr:nvPicPr>
          <xdr:blipFill rotWithShape="1">
            <a:blip xmlns:r="http://schemas.openxmlformats.org/officeDocument/2006/relationships" r:embed="rId1"/>
            <a:srcRect l="3374"/>
            <a:stretch>
              <a:fillRect/>
            </a:stretch>
          </xdr:blipFill>
          <xdr:spPr bwMode="auto">
            <a:xfrm>
              <a:off x="952500" y="7239000"/>
              <a:ext cx="3273734" cy="2933700"/>
            </a:xfrm>
            <a:prstGeom prst="rect">
              <a:avLst/>
            </a:prstGeom>
            <a:solidFill>
              <a:srgbClr val="EEEEEE"/>
            </a:solidFill>
            <a:ln>
              <a:noFill/>
            </a:ln>
          </xdr:spPr>
        </xdr:pic>
        <xdr:clientData/>
      </xdr:twoCellAnchor>
    </mc:Choice>
    <mc:Fallback/>
  </mc:AlternateContent>
  <xdr:twoCellAnchor>
    <xdr:from>
      <xdr:col>3</xdr:col>
      <xdr:colOff>0</xdr:colOff>
      <xdr:row>17</xdr:row>
      <xdr:rowOff>139700</xdr:rowOff>
    </xdr:from>
    <xdr:to>
      <xdr:col>6</xdr:col>
      <xdr:colOff>146050</xdr:colOff>
      <xdr:row>31</xdr:row>
      <xdr:rowOff>25400</xdr:rowOff>
    </xdr:to>
    <xdr:graphicFrame macro="">
      <xdr:nvGraphicFramePr>
        <xdr:cNvPr id="9" name="Gráfico 8">
          <a:extLst>
            <a:ext uri="{FF2B5EF4-FFF2-40B4-BE49-F238E27FC236}">
              <a16:creationId xmlns:a16="http://schemas.microsoft.com/office/drawing/2014/main" id="{D193662C-C7A6-BB41-9734-4B6C74C6225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63500</xdr:colOff>
      <xdr:row>0</xdr:row>
      <xdr:rowOff>50800</xdr:rowOff>
    </xdr:from>
    <xdr:to>
      <xdr:col>3</xdr:col>
      <xdr:colOff>50800</xdr:colOff>
      <xdr:row>11</xdr:row>
      <xdr:rowOff>88705</xdr:rowOff>
    </xdr:to>
    <xdr:graphicFrame macro="">
      <xdr:nvGraphicFramePr>
        <xdr:cNvPr id="2" name="Gráfico 1">
          <a:extLst>
            <a:ext uri="{FF2B5EF4-FFF2-40B4-BE49-F238E27FC236}">
              <a16:creationId xmlns:a16="http://schemas.microsoft.com/office/drawing/2014/main" id="{DB4889B1-4CD0-6645-9790-EC1DDB55093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0">
  <rv s="0">
    <v>0</v>
    <v>4</v>
  </rv>
  <rv s="0">
    <v>1</v>
    <v>4</v>
  </rv>
  <rv s="0">
    <v>2</v>
    <v>4</v>
  </rv>
  <rv s="0">
    <v>3</v>
    <v>4</v>
  </rv>
  <rv s="0">
    <v>4</v>
    <v>4</v>
  </rv>
  <rv s="0">
    <v>5</v>
    <v>4</v>
  </rv>
  <rv s="0">
    <v>6</v>
    <v>4</v>
  </rv>
  <rv s="0">
    <v>7</v>
    <v>4</v>
  </rv>
  <rv s="0">
    <v>8</v>
    <v>4</v>
  </rv>
  <rv s="0">
    <v>9</v>
    <v>4</v>
  </rv>
  <rv s="0">
    <v>10</v>
    <v>4</v>
  </rv>
  <rv s="0">
    <v>11</v>
    <v>4</v>
  </rv>
  <rv s="0">
    <v>12</v>
    <v>4</v>
  </rv>
  <rv s="0">
    <v>13</v>
    <v>4</v>
  </rv>
  <rv s="0">
    <v>14</v>
    <v>4</v>
  </rv>
  <rv s="0">
    <v>15</v>
    <v>4</v>
  </rv>
  <rv s="0">
    <v>16</v>
    <v>4</v>
  </rv>
  <rv s="0">
    <v>17</v>
    <v>4</v>
  </rv>
  <rv s="0">
    <v>18</v>
    <v>4</v>
  </rv>
  <rv s="0">
    <v>19</v>
    <v>4</v>
  </rv>
  <rv s="0">
    <v>20</v>
    <v>4</v>
  </rv>
  <rv s="0">
    <v>21</v>
    <v>4</v>
  </rv>
  <rv s="0">
    <v>22</v>
    <v>4</v>
  </rv>
  <rv s="0">
    <v>23</v>
    <v>4</v>
  </rv>
  <rv s="0">
    <v>24</v>
    <v>4</v>
  </rv>
  <rv s="0">
    <v>25</v>
    <v>4</v>
  </rv>
  <rv s="0">
    <v>26</v>
    <v>4</v>
  </rv>
  <rv s="0">
    <v>27</v>
    <v>4</v>
  </rv>
  <rv s="0">
    <v>28</v>
    <v>4</v>
  </rv>
  <rv s="0">
    <v>29</v>
    <v>4</v>
  </rv>
  <rv s="1">
    <v>0</v>
    <v>8</v>
    <v>1</v>
    <v>1</v>
  </rv>
  <rv s="0">
    <v>30</v>
    <v>4</v>
  </rv>
  <rv s="0">
    <v>31</v>
    <v>4</v>
  </rv>
  <rv s="0">
    <v>32</v>
    <v>4</v>
  </rv>
  <rv s="0">
    <v>33</v>
    <v>4</v>
  </rv>
  <rv s="2">
    <v>34</v>
    <v>4</v>
    <v>Bandera de Irak</v>
  </rv>
  <rv s="0">
    <v>35</v>
    <v>4</v>
  </rv>
  <rv s="0">
    <v>36</v>
    <v>4</v>
  </rv>
  <rv s="0">
    <v>37</v>
    <v>4</v>
  </rv>
  <rv s="0">
    <v>38</v>
    <v>4</v>
  </rv>
  <rv s="0">
    <v>39</v>
    <v>4</v>
  </rv>
  <rv s="0">
    <v>40</v>
    <v>4</v>
  </rv>
  <rv s="2">
    <v>41</v>
    <v>4</v>
    <v>Bandera de República Democrática del Congo</v>
  </rv>
  <rv s="0">
    <v>42</v>
    <v>4</v>
  </rv>
  <rv s="0">
    <v>43</v>
    <v>4</v>
  </rv>
  <rv s="0">
    <v>44</v>
    <v>4</v>
  </rv>
  <rv s="0">
    <v>45</v>
    <v>4</v>
  </rv>
  <rv s="0">
    <v>46</v>
    <v>4</v>
  </rv>
  <rv s="0">
    <v>47</v>
    <v>4</v>
  </rv>
  <rv s="0">
    <v>26</v>
    <v>5</v>
  </rv>
  <rv s="0">
    <v>48</v>
    <v>6</v>
  </rv>
  <rv s="0">
    <v>49</v>
    <v>5</v>
  </rv>
  <rv s="0">
    <v>50</v>
    <v>5</v>
  </rv>
  <rv s="0">
    <v>16</v>
    <v>6</v>
  </rv>
  <rv s="0">
    <v>30</v>
    <v>5</v>
  </rv>
  <rv s="0">
    <v>37</v>
    <v>6</v>
  </rv>
  <rv s="0">
    <v>36</v>
    <v>6</v>
  </rv>
  <rv s="0">
    <v>14</v>
    <v>6</v>
  </rv>
  <rv s="0">
    <v>38</v>
    <v>6</v>
  </rv>
  <rv s="0">
    <v>24</v>
    <v>6</v>
  </rv>
  <rv s="0">
    <v>8</v>
    <v>6</v>
  </rv>
  <rv s="0">
    <v>29</v>
    <v>6</v>
  </rv>
  <rv s="0">
    <v>4</v>
    <v>6</v>
  </rv>
  <rv s="0">
    <v>6</v>
    <v>6</v>
  </rv>
  <rv s="0">
    <v>43</v>
    <v>6</v>
  </rv>
  <rv s="0">
    <v>2</v>
    <v>6</v>
  </rv>
  <rv s="0">
    <v>18</v>
    <v>6</v>
  </rv>
  <rv s="0">
    <v>45</v>
    <v>6</v>
  </rv>
  <rv s="0">
    <v>17</v>
    <v>6</v>
  </rv>
  <rv s="0">
    <v>19</v>
    <v>6</v>
  </rv>
  <rv s="0">
    <v>25</v>
    <v>5</v>
  </rv>
  <rv s="0">
    <v>11</v>
    <v>6</v>
  </rv>
  <rv s="0">
    <v>28</v>
    <v>6</v>
  </rv>
  <rv s="0">
    <v>12</v>
    <v>6</v>
  </rv>
  <rv s="0">
    <v>32</v>
    <v>6</v>
  </rv>
  <rv s="0">
    <v>46</v>
    <v>6</v>
  </rv>
  <rv s="0">
    <v>10</v>
    <v>6</v>
  </rv>
  <rv s="0">
    <v>44</v>
    <v>6</v>
  </rv>
  <rv s="0">
    <v>21</v>
    <v>6</v>
  </rv>
  <rv s="0">
    <v>39</v>
    <v>6</v>
  </rv>
  <rv s="0">
    <v>9</v>
    <v>6</v>
  </rv>
  <rv s="0">
    <v>0</v>
    <v>6</v>
  </rv>
  <rv s="0">
    <v>35</v>
    <v>6</v>
  </rv>
  <rv s="0">
    <v>27</v>
    <v>6</v>
  </rv>
  <rv s="0">
    <v>20</v>
    <v>6</v>
  </rv>
  <rv s="0">
    <v>47</v>
    <v>6</v>
  </rv>
  <rv s="0">
    <v>13</v>
    <v>6</v>
  </rv>
  <rv s="0">
    <v>40</v>
    <v>6</v>
  </rv>
  <rv s="0">
    <v>33</v>
    <v>6</v>
  </rv>
  <rv s="0">
    <v>1</v>
    <v>6</v>
  </rv>
  <rv s="0">
    <v>7</v>
    <v>6</v>
  </rv>
  <rv s="0">
    <v>23</v>
    <v>6</v>
  </rv>
  <rv s="0">
    <v>31</v>
    <v>6</v>
  </rv>
  <rv s="0">
    <v>42</v>
    <v>6</v>
  </rv>
  <rv s="2">
    <v>41</v>
    <v>5</v>
    <v>Bandera de República Democrática del Congo</v>
  </rv>
  <rv s="2">
    <v>34</v>
    <v>5</v>
    <v>Bandera de Irak</v>
  </rv>
  <rv s="0">
    <v>5</v>
    <v>5</v>
  </rv>
  <rv s="0">
    <v>22</v>
    <v>5</v>
  </rv>
  <rv s="0">
    <v>15</v>
    <v>5</v>
  </rv>
  <rv s="0">
    <v>3</v>
    <v>5</v>
  </rv>
</rvData>
</file>

<file path=xl/richData/rdrichvaluestructure.xml><?xml version="1.0" encoding="utf-8"?>
<rvStructures xmlns="http://schemas.microsoft.com/office/spreadsheetml/2017/richdata" count="3">
  <s t="_localImage">
    <k n="_rvRel:LocalImageIdentifier" t="i"/>
    <k n="CalcOrigin" t="i"/>
  </s>
  <s t="_error">
    <k n="colOffset" t="i"/>
    <k n="errorType" t="i"/>
    <k n="rwOffset" t="i"/>
    <k n="subType"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B000000}" name="T_Equipos" displayName="T_Equipos" ref="A1:D49" totalsRowShown="0" headerRowDxfId="43" dataDxfId="42">
  <sortState xmlns:xlrd2="http://schemas.microsoft.com/office/spreadsheetml/2017/richdata2" ref="A2:D13">
    <sortCondition ref="D2:D13"/>
  </sortState>
  <tableColumns count="4">
    <tableColumn id="1" xr3:uid="{00000000-0010-0000-0B00-000001000000}" name="Num" dataDxfId="41">
      <calculatedColumnFormula>NOT(ISERROR(VLOOKUP(Equipos!$B2,#REF!,1,FALSE)))</calculatedColumnFormula>
    </tableColumn>
    <tableColumn id="2" xr3:uid="{00000000-0010-0000-0B00-000002000000}" name="NombreEquipo" dataDxfId="40">
      <calculatedColumnFormula>+INDEX(Idiomas!$D$212:$D$259,MATCH(T_Equipos[[#This Row],[Num]],Idiomas!$C$212:$C$259,0))</calculatedColumnFormula>
    </tableColumn>
    <tableColumn id="4" xr3:uid="{00000000-0010-0000-0B00-000004000000}" name="Grupo" dataDxfId="39"/>
    <tableColumn id="3" xr3:uid="{00000000-0010-0000-0B00-000003000000}" name="Rank" dataDxfId="38"/>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a.me/?text=Te%20env%C3%ADo%20el%20Excel%20del%20Mundial%202026%20para%20descargarlo%3A%20https%3A%2F%2Fmatejero.es%2Fexcel-porra-mundial%2F" TargetMode="External"/><Relationship Id="rId7" Type="http://schemas.openxmlformats.org/officeDocument/2006/relationships/printerSettings" Target="../printerSettings/printerSettings1.bin"/><Relationship Id="rId2" Type="http://schemas.openxmlformats.org/officeDocument/2006/relationships/hyperlink" Target="https://twitter.com/intent/tweet?text=Acabo%20de%20descargar%20el%20Excel%20del%20Mundial%202026.%20https%3A%2F%2Fmatejero.es%2Fexcel-porra-mundial%2F" TargetMode="External"/><Relationship Id="rId1" Type="http://schemas.openxmlformats.org/officeDocument/2006/relationships/hyperlink" Target="https://t.me/share/url?url=https%3A%2F%2Fmatejero.es%2Fexcel-porra-mundial%2F&amp;text=Te%20env%C3%ADo%20el%20Excel%20del%20Mundial%202026%20para%20descargarlo" TargetMode="External"/><Relationship Id="rId6" Type="http://schemas.openxmlformats.org/officeDocument/2006/relationships/hyperlink" Target="https://youtu.be/D-oCnWDX9us" TargetMode="External"/><Relationship Id="rId5" Type="http://schemas.openxmlformats.org/officeDocument/2006/relationships/hyperlink" Target="mailto:?subject=Excel%20Mundial%202026&amp;body=Te%20env%C3%ADo%20el%20Excel%20del%20Mundial%202026%20para%20descargarlo%3A%20https%3A%2F%2Fmatejero.es%2Fexcel-porra-mundial%2F" TargetMode="External"/><Relationship Id="rId4" Type="http://schemas.openxmlformats.org/officeDocument/2006/relationships/hyperlink" Target="https://www.linkedin.com/sharing/share-offsite/?url=https%3A%2F%2Fmatejero.es%2Fexcel-porra-mundial%2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matejero.com/excel-champions-league/" TargetMode="External"/><Relationship Id="rId3" Type="http://schemas.openxmlformats.org/officeDocument/2006/relationships/hyperlink" Target="https://matejero.es/calendario-excel-liga/" TargetMode="External"/><Relationship Id="rId7" Type="http://schemas.openxmlformats.org/officeDocument/2006/relationships/hyperlink" Target="https://matejero.es/download/excel-mundial-2026/" TargetMode="External"/><Relationship Id="rId12" Type="http://schemas.openxmlformats.org/officeDocument/2006/relationships/hyperlink" Target="https://youtu.be/D-oCnWDX9us" TargetMode="External"/><Relationship Id="rId2" Type="http://schemas.openxmlformats.org/officeDocument/2006/relationships/hyperlink" Target="https://matejero.es/calendario-excel-liga/" TargetMode="External"/><Relationship Id="rId1" Type="http://schemas.openxmlformats.org/officeDocument/2006/relationships/hyperlink" Target="https://www.linkedin.com/in/matejero" TargetMode="External"/><Relationship Id="rId6" Type="http://schemas.openxmlformats.org/officeDocument/2006/relationships/hyperlink" Target="https://matejero.com/download/excel-world-cup-2026" TargetMode="External"/><Relationship Id="rId11" Type="http://schemas.openxmlformats.org/officeDocument/2006/relationships/hyperlink" Target="https://www.matejero.com/" TargetMode="External"/><Relationship Id="rId5" Type="http://schemas.openxmlformats.org/officeDocument/2006/relationships/hyperlink" Target="https://matejero.es/excel-copa-libertadores/" TargetMode="External"/><Relationship Id="rId10" Type="http://schemas.openxmlformats.org/officeDocument/2006/relationships/hyperlink" Target="https://www.matejero.es/" TargetMode="External"/><Relationship Id="rId4" Type="http://schemas.openxmlformats.org/officeDocument/2006/relationships/hyperlink" Target="https://matejero.com/premier-league-excel-schedule/" TargetMode="External"/><Relationship Id="rId9" Type="http://schemas.openxmlformats.org/officeDocument/2006/relationships/hyperlink" Target="https://matejero.es/excel-champions-league/"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inkedin.com/in/matejero" TargetMode="External"/><Relationship Id="rId1" Type="http://schemas.openxmlformats.org/officeDocument/2006/relationships/hyperlink" Target="https://youtu.be/D-oCnWDX9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matejero.com/scoring-system-excel-world-cup-2026/" TargetMode="External"/><Relationship Id="rId2" Type="http://schemas.openxmlformats.org/officeDocument/2006/relationships/hyperlink" Target="https://matejero.es/puntuaciones-excel-mundial-2026/" TargetMode="External"/><Relationship Id="rId1" Type="http://schemas.openxmlformats.org/officeDocument/2006/relationships/hyperlink" Target="https://matejero.com/scoring-system-excel-world-cup-2026/" TargetMode="External"/><Relationship Id="rId6" Type="http://schemas.openxmlformats.org/officeDocument/2006/relationships/hyperlink" Target="https://matejero.es/puntuaciones-excel-mundial-2026/" TargetMode="External"/><Relationship Id="rId5" Type="http://schemas.openxmlformats.org/officeDocument/2006/relationships/hyperlink" Target="https://matejero.com/scoring-system-excel-world-cup-2026/" TargetMode="External"/><Relationship Id="rId4" Type="http://schemas.openxmlformats.org/officeDocument/2006/relationships/hyperlink" Target="https://matejero.es/download/excel-mundial-2026/"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50"/>
  <sheetViews>
    <sheetView showGridLines="0" showRowColHeaders="0" zoomScaleNormal="100" workbookViewId="0">
      <selection activeCell="C13" sqref="C13"/>
      <extLst>
        <ext xmlns:xlsdti="http://schemas.microsoft.com/office/spreadsheetml/2023/showDataTypeIcons" uri="{77bfe23e-c014-4d31-8a63-9c772dbf06b6}">
          <xlsdti:showDataTypeIcons visible="0"/>
        </ext>
      </extLst>
    </sheetView>
  </sheetViews>
  <sheetFormatPr defaultColWidth="10.7109375" defaultRowHeight="15"/>
  <cols>
    <col min="1" max="1" width="3.7109375" customWidth="1"/>
    <col min="2" max="2" width="6.7109375" customWidth="1"/>
    <col min="3" max="3" width="25.7109375" customWidth="1"/>
    <col min="4" max="4" width="5.7109375" customWidth="1"/>
    <col min="5" max="9" width="10.7109375" customWidth="1"/>
    <col min="10" max="10" width="5.7109375" customWidth="1"/>
    <col min="11" max="11" width="25.7109375" customWidth="1"/>
    <col min="12" max="12" width="15.7109375" customWidth="1"/>
    <col min="13" max="13" width="10.42578125" customWidth="1"/>
    <col min="14" max="15" width="10.7109375" customWidth="1"/>
    <col min="16" max="16" width="12.140625" customWidth="1"/>
    <col min="17" max="17" width="6.140625" customWidth="1"/>
    <col min="18" max="16380" width="10.7109375" customWidth="1"/>
  </cols>
  <sheetData>
    <row r="1" spans="1:31">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row>
    <row r="2" spans="1:31">
      <c r="A2" s="383"/>
      <c r="B2" s="383"/>
      <c r="C2" s="384"/>
      <c r="D2" s="383"/>
      <c r="E2" s="385"/>
      <c r="F2" s="385"/>
      <c r="G2" s="385"/>
      <c r="H2" s="385"/>
      <c r="I2" s="385"/>
      <c r="J2" s="385"/>
      <c r="K2" s="385"/>
      <c r="L2" s="383"/>
      <c r="M2" s="383"/>
      <c r="N2" s="383"/>
      <c r="O2" s="383"/>
      <c r="P2" s="383"/>
      <c r="Q2" s="383"/>
      <c r="R2" s="383"/>
      <c r="S2" s="383"/>
      <c r="T2" s="383"/>
      <c r="U2" s="383"/>
      <c r="V2" s="383"/>
      <c r="W2" s="383"/>
      <c r="X2" s="383"/>
      <c r="Y2" s="383"/>
      <c r="Z2" s="383"/>
      <c r="AA2" s="383"/>
      <c r="AB2" s="383"/>
      <c r="AC2" s="383"/>
      <c r="AD2" s="383"/>
      <c r="AE2" s="383"/>
    </row>
    <row r="3" spans="1:31" ht="34.9" customHeight="1">
      <c r="A3" s="383"/>
      <c r="B3" s="797" t="str">
        <f>Idiomas!D8</f>
        <v>XXIII World Cup USA/MEX/CAN 2026</v>
      </c>
      <c r="C3" s="797"/>
      <c r="D3" s="797"/>
      <c r="E3" s="797"/>
      <c r="F3" s="797"/>
      <c r="G3" s="797"/>
      <c r="H3" s="797"/>
      <c r="I3" s="797"/>
      <c r="J3" s="797"/>
      <c r="K3" s="797"/>
      <c r="L3" s="797"/>
      <c r="M3" s="383"/>
      <c r="N3" s="383"/>
      <c r="O3" s="383"/>
      <c r="P3" s="383"/>
      <c r="Q3" s="383"/>
      <c r="R3" s="383"/>
      <c r="S3" s="383"/>
      <c r="T3" s="383"/>
      <c r="U3" s="383"/>
      <c r="V3" s="383"/>
      <c r="W3" s="383"/>
      <c r="X3" s="383"/>
      <c r="Y3" s="383"/>
      <c r="Z3" s="383"/>
      <c r="AA3" s="383"/>
      <c r="AB3" s="383"/>
      <c r="AC3" s="383"/>
      <c r="AD3" s="383"/>
      <c r="AE3" s="383"/>
    </row>
    <row r="4" spans="1:31" ht="15" customHeight="1">
      <c r="A4" s="383"/>
      <c r="B4" s="383"/>
      <c r="C4" s="383"/>
      <c r="D4" s="383"/>
      <c r="E4" s="385"/>
      <c r="F4" s="385"/>
      <c r="G4" s="385"/>
      <c r="H4" s="385"/>
      <c r="I4" s="385"/>
      <c r="J4" s="385"/>
      <c r="K4" s="385"/>
      <c r="L4" s="386"/>
      <c r="M4" s="383"/>
      <c r="N4" s="383"/>
      <c r="O4" s="383"/>
      <c r="P4" s="383"/>
      <c r="Q4" s="383"/>
      <c r="R4" s="383"/>
      <c r="S4" s="383"/>
      <c r="T4" s="383"/>
      <c r="U4" s="383"/>
      <c r="V4" s="383"/>
      <c r="W4" s="383"/>
      <c r="X4" s="383"/>
      <c r="Y4" s="383"/>
      <c r="Z4" s="383"/>
      <c r="AA4" s="383"/>
      <c r="AB4" s="383"/>
      <c r="AC4" s="383"/>
      <c r="AD4" s="383"/>
      <c r="AE4" s="383"/>
    </row>
    <row r="5" spans="1:31" ht="19.899999999999999" customHeight="1" thickBot="1">
      <c r="A5" s="383"/>
      <c r="B5" s="383"/>
      <c r="C5" s="387" t="str">
        <f>"📋 "&amp;Idiomas!D7</f>
        <v>📋 Select languaje</v>
      </c>
      <c r="D5" s="383"/>
      <c r="E5" s="388"/>
      <c r="F5" s="388"/>
      <c r="G5" s="388"/>
      <c r="H5" s="388"/>
      <c r="I5" s="388"/>
      <c r="J5" s="388"/>
      <c r="K5" s="388"/>
      <c r="L5" s="389"/>
      <c r="M5" s="390"/>
      <c r="N5" s="390"/>
      <c r="O5" s="390"/>
      <c r="P5" s="383"/>
      <c r="Q5" s="383"/>
      <c r="R5" s="383"/>
      <c r="S5" s="383"/>
      <c r="T5" s="383"/>
      <c r="U5" s="383"/>
      <c r="V5" s="383"/>
      <c r="W5" s="383"/>
      <c r="X5" s="383"/>
      <c r="Y5" s="383"/>
      <c r="Z5" s="383"/>
      <c r="AA5" s="383"/>
      <c r="AB5" s="383"/>
      <c r="AC5" s="383"/>
      <c r="AD5" s="383"/>
      <c r="AE5" s="383"/>
    </row>
    <row r="6" spans="1:31" ht="25.15" customHeight="1" thickBot="1">
      <c r="A6" s="383"/>
      <c r="B6" s="391"/>
      <c r="C6" s="40" t="s">
        <v>348</v>
      </c>
      <c r="D6" s="383"/>
      <c r="E6" s="385"/>
      <c r="F6" s="385"/>
      <c r="G6" s="385"/>
      <c r="H6" s="385"/>
      <c r="I6" s="385"/>
      <c r="J6" s="385"/>
      <c r="K6" s="41" t="s">
        <v>1773</v>
      </c>
      <c r="L6" s="383"/>
      <c r="M6" s="383"/>
      <c r="N6" s="383"/>
      <c r="O6" s="383"/>
      <c r="P6" s="383"/>
      <c r="Q6" s="383"/>
      <c r="R6" s="383"/>
      <c r="S6" s="383"/>
      <c r="T6" s="383"/>
      <c r="U6" s="383"/>
      <c r="V6" s="383"/>
      <c r="W6" s="383"/>
      <c r="X6" s="383"/>
      <c r="Y6" s="383"/>
      <c r="Z6" s="383"/>
      <c r="AA6" s="383"/>
      <c r="AB6" s="383"/>
      <c r="AC6" s="383"/>
      <c r="AD6" s="383"/>
      <c r="AE6" s="383"/>
    </row>
    <row r="7" spans="1:31" ht="19.899999999999999" customHeight="1" thickBot="1">
      <c r="A7" s="383"/>
      <c r="B7" s="392"/>
      <c r="C7" s="387" t="str">
        <f>"🕒 "&amp;Idiomas!D15</f>
        <v>🕒 Select timetable</v>
      </c>
      <c r="D7" s="383"/>
      <c r="E7" s="385"/>
      <c r="F7" s="385"/>
      <c r="G7" s="385"/>
      <c r="H7" s="385"/>
      <c r="I7" s="385"/>
      <c r="J7" s="385"/>
      <c r="K7" s="385"/>
      <c r="L7" s="383"/>
      <c r="M7" s="383"/>
      <c r="N7" s="383"/>
      <c r="O7" s="383"/>
      <c r="P7" s="383"/>
      <c r="Q7" s="383"/>
      <c r="R7" s="383"/>
      <c r="S7" s="383"/>
      <c r="T7" s="383"/>
      <c r="U7" s="383"/>
      <c r="V7" s="383"/>
      <c r="W7" s="383"/>
      <c r="X7" s="383"/>
      <c r="Y7" s="383"/>
      <c r="Z7" s="383"/>
      <c r="AA7" s="383"/>
      <c r="AB7" s="383"/>
      <c r="AC7" s="383"/>
      <c r="AD7" s="383"/>
      <c r="AE7" s="383"/>
    </row>
    <row r="8" spans="1:31" ht="25.15" customHeight="1" thickBot="1">
      <c r="A8" s="383"/>
      <c r="B8" s="391"/>
      <c r="C8" s="40" t="s">
        <v>291</v>
      </c>
      <c r="D8" s="383"/>
      <c r="E8" s="385"/>
      <c r="F8" s="385"/>
      <c r="G8" s="385"/>
      <c r="H8" s="385"/>
      <c r="I8" s="385"/>
      <c r="J8" s="385"/>
      <c r="K8" s="41" t="str">
        <f>Idiomas!D4</f>
        <v>Introduce Results</v>
      </c>
      <c r="L8" s="383"/>
      <c r="M8" s="383"/>
      <c r="N8" s="383"/>
      <c r="O8" s="383"/>
      <c r="P8" s="383"/>
      <c r="Q8" s="383"/>
      <c r="R8" s="383"/>
      <c r="S8" s="383"/>
      <c r="T8" s="383"/>
      <c r="U8" s="383"/>
      <c r="V8" s="383"/>
      <c r="W8" s="383"/>
      <c r="X8" s="383"/>
      <c r="Y8" s="383"/>
      <c r="Z8" s="383"/>
      <c r="AA8" s="383"/>
      <c r="AB8" s="383"/>
      <c r="AC8" s="383"/>
      <c r="AD8" s="383"/>
      <c r="AE8" s="383"/>
    </row>
    <row r="9" spans="1:31" ht="19.899999999999999" customHeight="1" thickBot="1">
      <c r="A9" s="383"/>
      <c r="B9" s="392"/>
      <c r="C9" s="387" t="str">
        <f>"✍️ "&amp;Idiomas!D48</f>
        <v>✍️ Write the name of the group</v>
      </c>
      <c r="D9" s="383"/>
      <c r="E9" s="385"/>
      <c r="F9" s="385"/>
      <c r="G9" s="385"/>
      <c r="H9" s="385"/>
      <c r="I9" s="385"/>
      <c r="J9" s="385"/>
      <c r="K9" s="385"/>
      <c r="L9" s="383"/>
      <c r="M9" s="383"/>
      <c r="N9" s="383"/>
      <c r="O9" s="383"/>
      <c r="P9" s="383"/>
      <c r="Q9" s="383"/>
      <c r="R9" s="383"/>
      <c r="S9" s="383"/>
      <c r="T9" s="383"/>
      <c r="U9" s="383"/>
      <c r="V9" s="383"/>
      <c r="W9" s="383"/>
      <c r="X9" s="383"/>
      <c r="Y9" s="383"/>
      <c r="Z9" s="383"/>
      <c r="AA9" s="383"/>
      <c r="AB9" s="383"/>
      <c r="AC9" s="383"/>
      <c r="AD9" s="383"/>
      <c r="AE9" s="383"/>
    </row>
    <row r="10" spans="1:31" ht="25.15" customHeight="1" thickBot="1">
      <c r="A10" s="383"/>
      <c r="B10" s="391"/>
      <c r="C10" s="40" t="s">
        <v>1941</v>
      </c>
      <c r="D10" s="383"/>
      <c r="E10" s="385"/>
      <c r="F10" s="385"/>
      <c r="G10" s="385"/>
      <c r="H10" s="385"/>
      <c r="I10" s="385"/>
      <c r="J10" s="385"/>
      <c r="K10" s="41" t="s">
        <v>1314</v>
      </c>
      <c r="L10" s="383"/>
      <c r="M10" s="383"/>
      <c r="N10" s="383"/>
      <c r="O10" s="383"/>
      <c r="P10" s="383"/>
      <c r="Q10" s="383"/>
      <c r="R10" s="383"/>
      <c r="S10" s="383"/>
      <c r="T10" s="383"/>
      <c r="U10" s="383"/>
      <c r="V10" s="383"/>
      <c r="W10" s="383"/>
      <c r="X10" s="383"/>
      <c r="Y10" s="383"/>
      <c r="Z10" s="383"/>
      <c r="AA10" s="383"/>
      <c r="AB10" s="383"/>
      <c r="AC10" s="383"/>
      <c r="AD10" s="383"/>
      <c r="AE10" s="383"/>
    </row>
    <row r="11" spans="1:31" ht="19.899999999999999" customHeight="1" thickBot="1">
      <c r="A11" s="383"/>
      <c r="B11" s="383"/>
      <c r="C11" s="383"/>
      <c r="D11" s="383"/>
      <c r="E11" s="385"/>
      <c r="F11" s="385"/>
      <c r="G11" s="385"/>
      <c r="H11" s="385"/>
      <c r="I11" s="385"/>
      <c r="J11" s="385"/>
      <c r="K11" s="385"/>
      <c r="L11" s="383"/>
      <c r="M11" s="383"/>
      <c r="N11" s="383"/>
      <c r="O11" s="383"/>
      <c r="P11" s="383"/>
      <c r="Q11" s="383"/>
      <c r="R11" s="383"/>
      <c r="S11" s="383"/>
      <c r="T11" s="383"/>
      <c r="U11" s="383"/>
      <c r="V11" s="383"/>
      <c r="W11" s="383"/>
      <c r="X11" s="383"/>
      <c r="Y11" s="383"/>
      <c r="Z11" s="383"/>
      <c r="AA11" s="383"/>
      <c r="AB11" s="383"/>
      <c r="AC11" s="383"/>
      <c r="AD11" s="383"/>
      <c r="AE11" s="383"/>
    </row>
    <row r="12" spans="1:31" ht="25.15" customHeight="1" thickBot="1">
      <c r="A12" s="383"/>
      <c r="B12" s="383"/>
      <c r="C12" s="383"/>
      <c r="D12" s="383"/>
      <c r="E12" s="385"/>
      <c r="F12" s="385"/>
      <c r="G12" s="385"/>
      <c r="H12" s="385"/>
      <c r="I12" s="385"/>
      <c r="J12" s="385"/>
      <c r="K12" s="41" t="str">
        <f>HYPERLINK(Idiomas!D302,Idiomas!D431)</f>
        <v>Scoring system</v>
      </c>
      <c r="L12" s="393"/>
      <c r="M12" s="383"/>
      <c r="N12" s="383"/>
      <c r="O12" s="383"/>
      <c r="P12" s="383"/>
      <c r="Q12" s="383"/>
      <c r="R12" s="383"/>
      <c r="S12" s="383"/>
      <c r="T12" s="383"/>
      <c r="U12" s="383"/>
      <c r="V12" s="383"/>
      <c r="W12" s="383"/>
      <c r="X12" s="383"/>
      <c r="Y12" s="383"/>
      <c r="Z12" s="383"/>
      <c r="AA12" s="383"/>
      <c r="AB12" s="383"/>
      <c r="AC12" s="383"/>
      <c r="AD12" s="383"/>
      <c r="AE12" s="383"/>
    </row>
    <row r="13" spans="1:31" ht="19.899999999999999" customHeight="1" thickBot="1">
      <c r="A13" s="383"/>
      <c r="B13" s="383"/>
      <c r="C13" s="394"/>
      <c r="D13" s="383"/>
      <c r="E13" s="385"/>
      <c r="F13" s="385"/>
      <c r="G13" s="385"/>
      <c r="H13" s="385"/>
      <c r="I13" s="385"/>
      <c r="J13" s="385"/>
      <c r="K13" s="385"/>
      <c r="L13" s="383"/>
      <c r="M13" s="383"/>
      <c r="N13" s="383"/>
      <c r="O13" s="383"/>
      <c r="P13" s="383"/>
      <c r="Q13" s="383"/>
      <c r="R13" s="383"/>
      <c r="S13" s="383"/>
      <c r="T13" s="383"/>
      <c r="U13" s="383"/>
      <c r="V13" s="383"/>
      <c r="W13" s="383"/>
      <c r="X13" s="383"/>
      <c r="Y13" s="383"/>
      <c r="Z13" s="383"/>
      <c r="AA13" s="383"/>
      <c r="AB13" s="383"/>
      <c r="AC13" s="383"/>
      <c r="AD13" s="383"/>
      <c r="AE13" s="383"/>
    </row>
    <row r="14" spans="1:31" ht="25.15" customHeight="1" thickBot="1">
      <c r="A14" s="383"/>
      <c r="B14" s="395"/>
      <c r="C14" s="395"/>
      <c r="D14" s="383"/>
      <c r="E14" s="385"/>
      <c r="F14" s="385"/>
      <c r="G14" s="385"/>
      <c r="H14" s="385"/>
      <c r="I14" s="385"/>
      <c r="J14" s="385"/>
      <c r="K14" s="41" t="str">
        <f>HYPERLINK(Idiomas!D13,"FAQ")</f>
        <v>FAQ</v>
      </c>
      <c r="L14" s="396"/>
      <c r="M14" s="383"/>
      <c r="N14" s="383"/>
      <c r="O14" s="383"/>
      <c r="P14" s="383"/>
      <c r="Q14" s="383"/>
      <c r="R14" s="383"/>
      <c r="S14" s="383"/>
      <c r="T14" s="383"/>
      <c r="U14" s="383"/>
      <c r="V14" s="383"/>
      <c r="W14" s="383"/>
      <c r="X14" s="383"/>
      <c r="Y14" s="383"/>
      <c r="Z14" s="383"/>
      <c r="AA14" s="383"/>
      <c r="AB14" s="383"/>
      <c r="AC14" s="383"/>
      <c r="AD14" s="383"/>
      <c r="AE14" s="383"/>
    </row>
    <row r="15" spans="1:31" ht="15" customHeight="1">
      <c r="A15" s="383"/>
      <c r="B15" s="395"/>
      <c r="C15" s="395"/>
      <c r="D15" s="383"/>
      <c r="E15" s="385"/>
      <c r="F15" s="385"/>
      <c r="G15" s="385"/>
      <c r="H15" s="385"/>
      <c r="I15" s="385"/>
      <c r="J15" s="385"/>
      <c r="K15" s="385"/>
      <c r="L15" s="393"/>
      <c r="M15" s="383"/>
      <c r="N15" s="383"/>
      <c r="O15" s="383"/>
      <c r="P15" s="383"/>
      <c r="Q15" s="383"/>
      <c r="R15" s="383"/>
      <c r="S15" s="383"/>
      <c r="T15" s="383"/>
      <c r="U15" s="383"/>
      <c r="V15" s="383"/>
      <c r="W15" s="383"/>
      <c r="X15" s="383"/>
      <c r="Y15" s="383"/>
      <c r="Z15" s="383"/>
      <c r="AA15" s="383"/>
      <c r="AB15" s="383"/>
      <c r="AC15" s="383"/>
      <c r="AD15" s="383"/>
      <c r="AE15" s="383"/>
    </row>
    <row r="16" spans="1:31" ht="40.15" customHeight="1" thickBot="1">
      <c r="A16" s="383"/>
      <c r="B16" s="383"/>
      <c r="C16" s="383"/>
      <c r="D16" s="383"/>
      <c r="E16" s="795"/>
      <c r="F16" s="796"/>
      <c r="G16" s="796"/>
      <c r="H16" s="796"/>
      <c r="I16" s="796"/>
      <c r="J16" s="385"/>
      <c r="K16" s="397"/>
      <c r="L16" s="383"/>
      <c r="M16" s="383"/>
      <c r="N16" s="383"/>
      <c r="O16" s="383"/>
      <c r="P16" s="383"/>
      <c r="Q16" s="383"/>
      <c r="R16" s="383"/>
      <c r="S16" s="383"/>
      <c r="T16" s="383"/>
      <c r="U16" s="383"/>
      <c r="V16" s="383"/>
      <c r="W16" s="383"/>
      <c r="X16" s="383"/>
      <c r="Y16" s="383"/>
      <c r="Z16" s="383"/>
      <c r="AA16" s="383"/>
      <c r="AB16" s="383"/>
      <c r="AC16" s="383"/>
      <c r="AD16" s="383"/>
      <c r="AE16" s="383"/>
    </row>
    <row r="17" spans="1:31" ht="40.15" customHeight="1" thickBot="1">
      <c r="A17" s="383"/>
      <c r="B17" s="383"/>
      <c r="C17" s="383"/>
      <c r="D17" s="383"/>
      <c r="E17" s="794"/>
      <c r="F17" s="794"/>
      <c r="G17" s="794"/>
      <c r="H17" s="794"/>
      <c r="I17" s="794"/>
      <c r="J17" s="385"/>
      <c r="K17" s="769" t="s">
        <v>1335</v>
      </c>
      <c r="L17" s="398"/>
      <c r="M17" s="383"/>
      <c r="N17" s="399"/>
      <c r="O17" s="400"/>
      <c r="P17" s="383"/>
      <c r="Q17" s="383"/>
      <c r="R17" s="383"/>
      <c r="S17" s="383"/>
      <c r="T17" s="383"/>
      <c r="U17" s="383"/>
      <c r="V17" s="383"/>
      <c r="W17" s="383"/>
      <c r="X17" s="383"/>
      <c r="Y17" s="383"/>
      <c r="Z17" s="383"/>
      <c r="AA17" s="383"/>
      <c r="AB17" s="383"/>
      <c r="AC17" s="383"/>
      <c r="AD17" s="383"/>
      <c r="AE17" s="383"/>
    </row>
    <row r="18" spans="1:31" ht="15" customHeight="1">
      <c r="A18" s="383"/>
      <c r="B18" s="383"/>
      <c r="C18" s="383"/>
      <c r="D18" s="383"/>
      <c r="E18" s="385"/>
      <c r="F18" s="385"/>
      <c r="G18" s="385"/>
      <c r="H18" s="385"/>
      <c r="I18" s="385"/>
      <c r="J18" s="385"/>
      <c r="K18" s="385"/>
      <c r="L18" s="383"/>
      <c r="M18" s="383"/>
      <c r="N18" s="383"/>
      <c r="O18" s="383"/>
      <c r="P18" s="383"/>
      <c r="Q18" s="383"/>
      <c r="R18" s="383"/>
      <c r="S18" s="383"/>
      <c r="T18" s="383"/>
      <c r="U18" s="383"/>
      <c r="V18" s="383"/>
      <c r="W18" s="383"/>
      <c r="X18" s="383"/>
      <c r="Y18" s="383"/>
      <c r="Z18" s="383"/>
      <c r="AA18" s="383"/>
      <c r="AB18" s="383"/>
      <c r="AC18" s="383"/>
      <c r="AD18" s="383"/>
      <c r="AE18" s="383"/>
    </row>
    <row r="19" spans="1:31">
      <c r="A19" s="383"/>
      <c r="B19" s="383"/>
      <c r="C19" s="383"/>
      <c r="D19" s="383"/>
      <c r="E19" s="383"/>
      <c r="F19" s="385"/>
      <c r="G19" s="405" t="str">
        <f ca="1">IFERROR(IF(E41&lt;E42,Idiomas!D505,IF(AND(E41&gt;=E42,E41&lt;=E43),Idiomas!D507,""))&amp;" "&amp;IF(E41&lt;E42,DATEDIF(E41,E42,"D"),IF(E41=E42,1,IF(AND(E41&gt;E42,E41&lt;=E43),DATEDIF(E42,E41,"D")+1,IF(E41&gt;E43,"",""))))&amp;" "&amp;IF(E41&lt;E42,Idiomas!D506,IF(AND(E41&gt;=E42,E41&lt;=E43),Idiomas!D508,"")),"")</f>
        <v xml:space="preserve">  </v>
      </c>
      <c r="H19" s="385"/>
      <c r="I19" s="385"/>
      <c r="J19" s="385"/>
      <c r="K19" s="385"/>
      <c r="L19" s="383"/>
      <c r="M19" s="383"/>
      <c r="N19" s="383"/>
      <c r="O19" s="383"/>
      <c r="P19" s="383"/>
      <c r="Q19" s="383"/>
      <c r="R19" s="383"/>
      <c r="S19" s="383"/>
      <c r="T19" s="383"/>
      <c r="U19" s="383"/>
      <c r="V19" s="383"/>
      <c r="W19" s="383"/>
      <c r="X19" s="383"/>
      <c r="Y19" s="383"/>
      <c r="Z19" s="383"/>
      <c r="AA19" s="383"/>
      <c r="AB19" s="383"/>
      <c r="AC19" s="383"/>
      <c r="AD19" s="383"/>
      <c r="AE19" s="383"/>
    </row>
    <row r="20" spans="1:31">
      <c r="A20" s="383"/>
      <c r="B20" s="383" t="s">
        <v>1304</v>
      </c>
      <c r="C20" s="383"/>
      <c r="D20" s="383"/>
      <c r="E20" s="385"/>
      <c r="F20" s="385"/>
      <c r="G20" s="405" t="str">
        <f ca="1">IFERROR(IF(E41&lt;E42,"",IF(AND(E41&gt;=E42,E41&lt;=E43),Idiomas!D509,IF(E41&gt;E43,"",)))&amp;" "&amp;IF(E41&lt;E42,"",IF(AND(E41&gt;=E42,E41&lt;=E43),DATEDIF(E41,E43,"D"),IF(E41&gt;E43,"",)))&amp;" "&amp;IF(E41&lt;E42,"",IF(AND(E41&gt;=E42,E41&lt;=E43),Idiomas!D510,IF(E41&gt;E43,"",))),"")</f>
        <v xml:space="preserve">  </v>
      </c>
      <c r="H20" s="385"/>
      <c r="I20" s="385"/>
      <c r="J20" s="385"/>
      <c r="K20" s="385"/>
      <c r="L20" s="383"/>
      <c r="M20" s="383"/>
      <c r="N20" s="383"/>
      <c r="O20" s="383"/>
      <c r="P20" s="383"/>
      <c r="Q20" s="383"/>
      <c r="R20" s="383"/>
      <c r="S20" s="383"/>
      <c r="T20" s="383"/>
      <c r="U20" s="383"/>
      <c r="V20" s="383"/>
      <c r="W20" s="383"/>
      <c r="X20" s="383"/>
      <c r="Y20" s="383"/>
      <c r="Z20" s="383"/>
      <c r="AA20" s="383"/>
      <c r="AB20" s="383"/>
      <c r="AC20" s="383"/>
      <c r="AD20" s="383"/>
      <c r="AE20" s="383"/>
    </row>
    <row r="21" spans="1:31" ht="15" customHeight="1" thickBot="1">
      <c r="A21" s="383"/>
      <c r="B21" s="383" t="s">
        <v>1304</v>
      </c>
      <c r="C21" s="383"/>
      <c r="D21" s="383"/>
      <c r="E21" s="401" t="s">
        <v>1332</v>
      </c>
      <c r="F21" s="385"/>
      <c r="G21" s="385"/>
      <c r="H21" s="385"/>
      <c r="I21" s="385"/>
      <c r="J21" s="385"/>
      <c r="K21" s="385"/>
      <c r="L21" s="383"/>
      <c r="M21" s="383"/>
      <c r="N21" s="383"/>
      <c r="O21" s="393"/>
      <c r="P21" s="383"/>
      <c r="Q21" s="383"/>
      <c r="R21" s="383"/>
      <c r="S21" s="383"/>
      <c r="T21" s="383"/>
      <c r="U21" s="383"/>
      <c r="V21" s="383"/>
      <c r="W21" s="383"/>
      <c r="X21" s="383"/>
      <c r="Y21" s="383"/>
      <c r="Z21" s="383"/>
      <c r="AA21" s="383"/>
      <c r="AB21" s="383"/>
      <c r="AC21" s="383"/>
      <c r="AD21" s="383"/>
      <c r="AE21" s="383"/>
    </row>
    <row r="22" spans="1:31" ht="31.15" customHeight="1" thickBot="1">
      <c r="A22" s="383"/>
      <c r="B22" s="383" t="s">
        <v>1304</v>
      </c>
      <c r="C22" s="766">
        <v>100</v>
      </c>
      <c r="D22" s="383"/>
      <c r="E22" s="12" t="s">
        <v>1300</v>
      </c>
      <c r="F22" s="13" t="s">
        <v>1301</v>
      </c>
      <c r="G22" s="14" t="s">
        <v>1302</v>
      </c>
      <c r="H22" s="15" t="s">
        <v>13</v>
      </c>
      <c r="I22" s="42" t="s">
        <v>1303</v>
      </c>
      <c r="J22" s="385"/>
      <c r="K22" s="385"/>
      <c r="L22" s="383"/>
      <c r="M22" s="383"/>
      <c r="N22" s="383"/>
      <c r="O22" s="393"/>
      <c r="P22" s="383"/>
      <c r="Q22" s="383"/>
      <c r="R22" s="383"/>
      <c r="S22" s="383"/>
      <c r="T22" s="383"/>
      <c r="U22" s="383"/>
      <c r="V22" s="383"/>
      <c r="W22" s="383"/>
      <c r="X22" s="383"/>
      <c r="Y22" s="383"/>
      <c r="Z22" s="383"/>
      <c r="AA22" s="383"/>
      <c r="AB22" s="383"/>
      <c r="AC22" s="383"/>
      <c r="AD22" s="383"/>
      <c r="AE22" s="383"/>
    </row>
    <row r="23" spans="1:31" ht="19.899999999999999" customHeight="1">
      <c r="A23" s="383"/>
      <c r="B23" s="383" t="s">
        <v>1304</v>
      </c>
      <c r="C23" s="765"/>
      <c r="D23" s="383"/>
      <c r="E23" s="385"/>
      <c r="F23" s="385"/>
      <c r="G23" s="385"/>
      <c r="H23" s="385"/>
      <c r="I23" s="385"/>
      <c r="J23" s="385"/>
      <c r="K23" s="763" t="s">
        <v>1317</v>
      </c>
      <c r="L23" s="383"/>
      <c r="M23" s="383"/>
      <c r="N23" s="393"/>
      <c r="O23" s="393"/>
      <c r="P23" s="383"/>
      <c r="Q23" s="383"/>
      <c r="R23" s="383"/>
      <c r="S23" s="383"/>
      <c r="T23" s="383"/>
      <c r="U23" s="383"/>
      <c r="V23" s="383"/>
      <c r="W23" s="383"/>
      <c r="X23" s="383"/>
      <c r="Y23" s="383"/>
      <c r="Z23" s="383"/>
      <c r="AA23" s="383"/>
      <c r="AB23" s="383"/>
      <c r="AC23" s="383"/>
      <c r="AD23" s="383"/>
      <c r="AE23" s="383"/>
    </row>
    <row r="24" spans="1:31" ht="30" customHeight="1">
      <c r="A24" s="383"/>
      <c r="B24" s="798"/>
      <c r="C24" s="799"/>
      <c r="D24" s="383"/>
      <c r="E24" s="385"/>
      <c r="F24" s="385"/>
      <c r="G24" s="385"/>
      <c r="H24" s="402"/>
      <c r="I24" s="402"/>
      <c r="J24" s="385"/>
      <c r="K24" s="402"/>
      <c r="L24" s="393"/>
      <c r="M24" s="393"/>
      <c r="N24" s="393"/>
      <c r="O24" s="393"/>
      <c r="P24" s="383"/>
      <c r="Q24" s="383"/>
      <c r="R24" s="383"/>
      <c r="S24" s="383"/>
      <c r="T24" s="383"/>
      <c r="U24" s="383"/>
      <c r="V24" s="383"/>
      <c r="W24" s="383"/>
      <c r="X24" s="383"/>
      <c r="Y24" s="383"/>
      <c r="Z24" s="383"/>
      <c r="AA24" s="383"/>
      <c r="AB24" s="383"/>
      <c r="AC24" s="383"/>
      <c r="AD24" s="383"/>
      <c r="AE24" s="383"/>
    </row>
    <row r="25" spans="1:31">
      <c r="A25" s="383"/>
      <c r="B25" s="383"/>
      <c r="C25" s="383"/>
      <c r="D25" s="383"/>
      <c r="E25" s="385"/>
      <c r="F25" s="385"/>
      <c r="G25" s="385"/>
      <c r="H25" s="402"/>
      <c r="I25" s="402"/>
      <c r="J25" s="385"/>
      <c r="K25" s="402"/>
      <c r="L25" s="393"/>
      <c r="M25" s="393"/>
      <c r="N25" s="393"/>
      <c r="O25" s="393"/>
      <c r="P25" s="383"/>
      <c r="Q25" s="383"/>
      <c r="R25" s="383"/>
      <c r="S25" s="383"/>
      <c r="T25" s="383"/>
      <c r="U25" s="383"/>
      <c r="V25" s="383"/>
      <c r="W25" s="383"/>
      <c r="X25" s="383"/>
      <c r="Y25" s="383"/>
      <c r="Z25" s="383"/>
      <c r="AA25" s="383"/>
      <c r="AB25" s="383"/>
      <c r="AC25" s="383"/>
      <c r="AD25" s="383"/>
      <c r="AE25" s="383"/>
    </row>
    <row r="26" spans="1:31">
      <c r="A26" s="383"/>
      <c r="B26" s="383"/>
      <c r="C26" s="383"/>
      <c r="D26" s="383"/>
      <c r="E26" s="383"/>
      <c r="F26" s="383"/>
      <c r="G26" s="383"/>
      <c r="H26" s="383"/>
      <c r="I26" s="383"/>
      <c r="J26" s="385"/>
      <c r="K26" s="383"/>
      <c r="L26" s="383"/>
      <c r="M26" s="383"/>
      <c r="N26" s="383"/>
      <c r="O26" s="383"/>
      <c r="P26" s="383"/>
      <c r="Q26" s="383"/>
      <c r="R26" s="383"/>
      <c r="S26" s="383"/>
      <c r="T26" s="383"/>
      <c r="U26" s="383"/>
      <c r="V26" s="383"/>
      <c r="W26" s="383"/>
      <c r="X26" s="383"/>
      <c r="Y26" s="383"/>
      <c r="Z26" s="383"/>
      <c r="AA26" s="383"/>
      <c r="AB26" s="383"/>
      <c r="AC26" s="383"/>
      <c r="AD26" s="383"/>
      <c r="AE26" s="383"/>
    </row>
    <row r="27" spans="1:31">
      <c r="A27" s="383"/>
      <c r="B27" s="383"/>
      <c r="C27" s="383"/>
      <c r="D27" s="383"/>
      <c r="E27" s="383"/>
      <c r="F27" s="383"/>
      <c r="G27" s="383"/>
      <c r="H27" s="383"/>
      <c r="I27" s="383"/>
      <c r="J27" s="385"/>
      <c r="K27" s="383"/>
      <c r="L27" s="383"/>
      <c r="M27" s="383"/>
      <c r="N27" s="383"/>
      <c r="O27" s="383"/>
      <c r="P27" s="383"/>
      <c r="Q27" s="383"/>
      <c r="R27" s="383"/>
      <c r="S27" s="383"/>
      <c r="T27" s="383"/>
      <c r="U27" s="383"/>
      <c r="V27" s="383"/>
      <c r="W27" s="383"/>
      <c r="X27" s="383"/>
      <c r="Y27" s="383"/>
      <c r="Z27" s="383"/>
      <c r="AA27" s="383"/>
      <c r="AB27" s="383"/>
      <c r="AC27" s="383"/>
      <c r="AD27" s="383"/>
      <c r="AE27" s="383"/>
    </row>
    <row r="28" spans="1:31">
      <c r="A28" s="383"/>
      <c r="B28" s="383"/>
      <c r="C28" s="383"/>
      <c r="D28" s="383"/>
      <c r="E28" s="383"/>
      <c r="F28" s="383"/>
      <c r="G28" s="383"/>
      <c r="H28" s="383"/>
      <c r="I28" s="383"/>
      <c r="J28" s="385"/>
      <c r="K28" s="383"/>
      <c r="L28" s="383"/>
      <c r="M28" s="383"/>
      <c r="N28" s="383"/>
      <c r="O28" s="383"/>
      <c r="P28" s="383"/>
      <c r="Q28" s="383"/>
      <c r="R28" s="383"/>
      <c r="S28" s="383"/>
      <c r="T28" s="383"/>
      <c r="U28" s="383"/>
      <c r="V28" s="383"/>
      <c r="W28" s="383"/>
      <c r="X28" s="383"/>
      <c r="Y28" s="383"/>
      <c r="Z28" s="383"/>
      <c r="AA28" s="383"/>
      <c r="AB28" s="383"/>
      <c r="AC28" s="383"/>
      <c r="AD28" s="383"/>
      <c r="AE28" s="383"/>
    </row>
    <row r="29" spans="1:31">
      <c r="A29" s="383"/>
      <c r="B29" s="383"/>
      <c r="C29" s="383"/>
      <c r="D29" s="383"/>
      <c r="E29" s="383"/>
      <c r="F29" s="383"/>
      <c r="G29" s="383"/>
      <c r="H29" s="383"/>
      <c r="I29" s="383"/>
      <c r="J29" s="383"/>
      <c r="K29" s="383"/>
      <c r="L29" s="383"/>
      <c r="M29" s="383"/>
      <c r="N29" s="383"/>
      <c r="O29" s="383"/>
      <c r="P29" s="383"/>
      <c r="Q29" s="383"/>
      <c r="R29" s="383"/>
      <c r="S29" s="383"/>
      <c r="T29" s="383"/>
      <c r="U29" s="383"/>
      <c r="V29" s="383"/>
      <c r="W29" s="383"/>
      <c r="X29" s="383"/>
      <c r="Y29" s="383"/>
      <c r="Z29" s="383"/>
      <c r="AA29" s="383"/>
      <c r="AB29" s="383"/>
      <c r="AC29" s="383"/>
      <c r="AD29" s="383"/>
      <c r="AE29" s="383"/>
    </row>
    <row r="30" spans="1:31">
      <c r="A30" s="383"/>
      <c r="B30" s="383"/>
      <c r="C30" s="383"/>
      <c r="D30" s="383"/>
      <c r="E30" s="383"/>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row>
    <row r="31" spans="1:31">
      <c r="A31" s="383"/>
      <c r="B31" s="383"/>
      <c r="C31" s="383"/>
      <c r="D31" s="383"/>
      <c r="E31" s="383"/>
      <c r="F31" s="383"/>
      <c r="G31" s="383"/>
      <c r="H31" s="383"/>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row>
    <row r="32" spans="1:31">
      <c r="A32" s="383"/>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c r="AA32" s="383"/>
      <c r="AB32" s="383"/>
      <c r="AC32" s="383"/>
      <c r="AD32" s="383"/>
      <c r="AE32" s="383"/>
    </row>
    <row r="33" spans="1:31">
      <c r="A33" s="383"/>
      <c r="B33" s="383"/>
      <c r="C33" s="383"/>
      <c r="D33" s="383"/>
      <c r="E33" s="383"/>
      <c r="F33" s="383"/>
      <c r="G33" s="383"/>
      <c r="H33" s="383"/>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row>
    <row r="34" spans="1:31">
      <c r="A34" s="383"/>
      <c r="B34" s="383"/>
      <c r="C34" s="383"/>
      <c r="D34" s="383"/>
      <c r="E34" s="383"/>
      <c r="F34" s="383"/>
      <c r="G34" s="383"/>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row>
    <row r="35" spans="1:31">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row>
    <row r="36" spans="1:31">
      <c r="A36" s="383"/>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row>
    <row r="37" spans="1:31">
      <c r="A37" s="383"/>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row>
    <row r="38" spans="1:31">
      <c r="A38" s="383"/>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row>
    <row r="39" spans="1:31">
      <c r="A39" s="383"/>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row>
    <row r="40" spans="1:31">
      <c r="A40" s="383"/>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row>
    <row r="41" spans="1:31">
      <c r="A41" s="383"/>
      <c r="B41" s="383"/>
      <c r="C41" s="383"/>
      <c r="D41" s="383"/>
      <c r="E41" s="709">
        <f ca="1">TODAY()</f>
        <v>46223</v>
      </c>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row>
    <row r="42" spans="1:31">
      <c r="A42" s="383"/>
      <c r="B42" s="383"/>
      <c r="C42" s="383"/>
      <c r="D42" s="383"/>
      <c r="E42" s="709">
        <f ca="1">INT(Horarios!C4)</f>
        <v>46184</v>
      </c>
      <c r="F42" s="45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row>
    <row r="43" spans="1:31">
      <c r="A43" s="383"/>
      <c r="B43" s="383"/>
      <c r="C43" s="383"/>
      <c r="D43" s="383"/>
      <c r="E43" s="709">
        <f ca="1">INT(Horarios!C147)</f>
        <v>46222</v>
      </c>
      <c r="F43" s="45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row>
    <row r="44" spans="1:31">
      <c r="A44" s="383"/>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row>
    <row r="45" spans="1:31">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row>
    <row r="46" spans="1:31">
      <c r="A46" s="383"/>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row>
    <row r="47" spans="1:31">
      <c r="A47" s="383"/>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row>
    <row r="48" spans="1:31">
      <c r="A48" s="383"/>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row>
    <row r="49" spans="1:31">
      <c r="A49" s="383"/>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row>
    <row r="50" spans="1:31">
      <c r="A50" s="383"/>
      <c r="B50" s="38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row>
  </sheetData>
  <sheetProtection algorithmName="SHA-512" hashValue="IoXF5xk2CB3ucwngtxn5ssPf6SoRPF7xuGGgw+DBkwhSnnxCs1A+HirtNAg0BYDVT2jGah9eoG7SieLhM3TnCA==" saltValue="mNnEfqPNEL17exXeleIkEQ==" spinCount="100000" sheet="1" objects="1" scenarios="1"/>
  <mergeCells count="4">
    <mergeCell ref="E17:I17"/>
    <mergeCell ref="E16:I16"/>
    <mergeCell ref="B3:L3"/>
    <mergeCell ref="B24:C24"/>
  </mergeCells>
  <hyperlinks>
    <hyperlink ref="F22" r:id="rId1" xr:uid="{75EFA510-3387-D34E-8C18-36C1328BE28B}"/>
    <hyperlink ref="H22" r:id="rId2" xr:uid="{2259ABE6-DE4C-6745-A223-CF7E39442745}"/>
    <hyperlink ref="E22" r:id="rId3" xr:uid="{8C33E1C5-E145-D048-812D-1513B367950E}"/>
    <hyperlink ref="I22" r:id="rId4" xr:uid="{4FA87E94-F346-824A-B2DE-A813FBE3A762}"/>
    <hyperlink ref="G22" r:id="rId5" xr:uid="{BAD25C31-556B-784E-AC8E-F999BE06F359}"/>
    <hyperlink ref="K6" location="ADMIN!D5" display="Admin" xr:uid="{C7BAA34F-AB9F-9845-800C-35E9C4802DF7}"/>
    <hyperlink ref="K8" location="WORLDCUP!AC4" display="WORLDCUP!AC4" xr:uid="{27D0145F-39E0-8642-A9BA-95D101DA1AF7}"/>
    <hyperlink ref="K17" r:id="rId6" xr:uid="{B62C1094-D3CE-DA45-AAD5-44BA995917DF}"/>
    <hyperlink ref="K10" location="Credits!L1" display="Help" xr:uid="{7FBE6F04-CA10-D24D-AAD1-18A1F31F0756}"/>
  </hyperlinks>
  <pageMargins left="0.7" right="0.7" top="0.75" bottom="0.75" header="0.3" footer="0.3"/>
  <pageSetup paperSize="9" orientation="portrait" r:id="rId7"/>
  <drawing r:id="rId8"/>
  <extLst>
    <ext xmlns:x14="http://schemas.microsoft.com/office/spreadsheetml/2009/9/main" uri="{CCE6A557-97BC-4b89-ADB6-D9C93CAAB3DF}">
      <x14:dataValidations xmlns:xm="http://schemas.microsoft.com/office/excel/2006/main" count="2">
        <x14:dataValidation type="list" allowBlank="1" showInputMessage="1" showErrorMessage="1" xr:uid="{D4D17BDE-054B-BD4E-86CB-B40321F8102C}">
          <x14:formula1>
            <xm:f>Idiomas!$A$2:$A$3</xm:f>
          </x14:formula1>
          <xm:sqref>C6</xm:sqref>
        </x14:dataValidation>
        <x14:dataValidation type="list" allowBlank="1" showInputMessage="1" showErrorMessage="1" xr:uid="{74506654-5005-724D-B1F9-C638E9539039}">
          <x14:formula1>
            <xm:f>Horarios!$Q$3:$Q$86</xm:f>
          </x14:formula1>
          <xm:sqref>C8</xm:sqref>
        </x14:dataValidation>
      </x14:dataValidations>
    </ex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07135-C1B3-F843-8B9E-35C73CCAE900}">
  <sheetPr codeName="Hoja6"/>
  <dimension ref="A1:AB93"/>
  <sheetViews>
    <sheetView showGridLines="0" showRowColHeaders="0" zoomScaleNormal="100" workbookViewId="0">
      <selection activeCell="E21" sqref="E21"/>
      <extLst>
        <ext xmlns:xlsdti="http://schemas.microsoft.com/office/spreadsheetml/2023/showDataTypeIcons" uri="{77bfe23e-c014-4d31-8a63-9c772dbf06b6}">
          <xlsdti:showDataTypeIcons visible="0"/>
        </ext>
      </extLst>
    </sheetView>
  </sheetViews>
  <sheetFormatPr defaultColWidth="10.7109375" defaultRowHeight="15"/>
  <cols>
    <col min="1" max="1" width="6" customWidth="1"/>
    <col min="2" max="2" width="13.28515625" customWidth="1"/>
    <col min="3" max="3" width="32.7109375" customWidth="1"/>
    <col min="4" max="4" width="0.42578125" customWidth="1"/>
    <col min="6" max="6" width="0.42578125" customWidth="1"/>
    <col min="10" max="10" width="10.7109375" customWidth="1"/>
    <col min="11" max="11" width="3.42578125" customWidth="1"/>
    <col min="14" max="17" width="15.7109375" customWidth="1"/>
    <col min="18" max="18" width="17.42578125" customWidth="1"/>
    <col min="19" max="22" width="10.7109375" style="11"/>
    <col min="23" max="24" width="10.7109375" style="11" hidden="1" customWidth="1"/>
    <col min="25" max="25" width="10.7109375" style="11"/>
    <col min="26" max="28" width="10.7109375" style="9"/>
  </cols>
  <sheetData>
    <row r="1" spans="1:20">
      <c r="A1" s="26"/>
      <c r="B1" s="26"/>
      <c r="C1" s="26"/>
      <c r="D1" s="26"/>
      <c r="E1" s="28"/>
      <c r="F1" s="28"/>
      <c r="G1" s="28"/>
      <c r="H1" s="28"/>
      <c r="I1" s="28"/>
      <c r="J1" s="28"/>
      <c r="K1" s="27"/>
      <c r="L1" s="27"/>
      <c r="M1" s="27"/>
      <c r="N1" s="27"/>
    </row>
    <row r="2" spans="1:20">
      <c r="A2" s="26"/>
      <c r="B2" s="36" t="str">
        <f>Idiomas!D84</f>
        <v>Disclaimer:</v>
      </c>
      <c r="C2" s="29"/>
      <c r="D2" s="29"/>
      <c r="E2" s="30"/>
      <c r="F2" s="30"/>
      <c r="G2" s="30"/>
      <c r="H2" s="30"/>
      <c r="I2" s="30"/>
      <c r="J2" s="30"/>
      <c r="K2" s="27"/>
      <c r="L2" s="36" t="s">
        <v>186</v>
      </c>
      <c r="M2" s="27"/>
      <c r="N2" s="27"/>
      <c r="O2" s="27"/>
      <c r="P2" s="27"/>
      <c r="Q2" s="27"/>
      <c r="R2" s="4"/>
      <c r="S2" s="688"/>
      <c r="T2" s="688"/>
    </row>
    <row r="3" spans="1:20">
      <c r="A3" s="26"/>
      <c r="B3" s="852" t="str">
        <f>Idiomas!D81</f>
        <v>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v>
      </c>
      <c r="C3" s="853"/>
      <c r="D3" s="853"/>
      <c r="E3" s="853"/>
      <c r="F3" s="853"/>
      <c r="G3" s="853"/>
      <c r="H3" s="853"/>
      <c r="I3" s="853"/>
      <c r="J3" s="854"/>
      <c r="K3" s="27"/>
      <c r="L3" s="674"/>
      <c r="M3" s="675"/>
      <c r="N3" s="675"/>
      <c r="O3" s="675"/>
      <c r="P3" s="675"/>
      <c r="Q3" s="675"/>
      <c r="R3" s="675"/>
      <c r="S3" s="689"/>
      <c r="T3" s="690"/>
    </row>
    <row r="4" spans="1:20">
      <c r="A4" s="26"/>
      <c r="B4" s="855"/>
      <c r="C4" s="856"/>
      <c r="D4" s="856"/>
      <c r="E4" s="856"/>
      <c r="F4" s="856"/>
      <c r="G4" s="856"/>
      <c r="H4" s="856"/>
      <c r="I4" s="856"/>
      <c r="J4" s="857"/>
      <c r="K4" s="27"/>
      <c r="L4" s="676" t="str">
        <f>Idiomas!D86</f>
        <v>· Select the language and time zone</v>
      </c>
      <c r="M4" s="141"/>
      <c r="N4" s="141"/>
      <c r="O4" s="141"/>
      <c r="P4" s="141"/>
      <c r="Q4" s="141"/>
      <c r="R4" s="141"/>
      <c r="S4" s="691"/>
      <c r="T4" s="692"/>
    </row>
    <row r="5" spans="1:20">
      <c r="A5" s="26"/>
      <c r="B5" s="855"/>
      <c r="C5" s="856"/>
      <c r="D5" s="856"/>
      <c r="E5" s="856"/>
      <c r="F5" s="856"/>
      <c r="G5" s="856"/>
      <c r="H5" s="856"/>
      <c r="I5" s="856"/>
      <c r="J5" s="857"/>
      <c r="K5" s="27"/>
      <c r="L5" s="676" t="str">
        <f>Idiomas!D87</f>
        <v>· Write the pool's group name</v>
      </c>
      <c r="M5" s="141"/>
      <c r="N5" s="141"/>
      <c r="O5" s="141"/>
      <c r="P5" s="141"/>
      <c r="Q5" s="141"/>
      <c r="R5" s="141"/>
      <c r="S5" s="691"/>
      <c r="T5" s="692"/>
    </row>
    <row r="6" spans="1:20">
      <c r="A6" s="26"/>
      <c r="B6" s="855"/>
      <c r="C6" s="856"/>
      <c r="D6" s="856"/>
      <c r="E6" s="856"/>
      <c r="F6" s="856"/>
      <c r="G6" s="856"/>
      <c r="H6" s="856"/>
      <c r="I6" s="856"/>
      <c r="J6" s="857"/>
      <c r="K6" s="27"/>
      <c r="L6" s="863" t="str">
        <f>HYPERLINK(Idiomas!D103,Idiomas!D88)</f>
        <v>· You can download the participant file frome here</v>
      </c>
      <c r="M6" s="864"/>
      <c r="N6" s="864"/>
      <c r="O6" s="864"/>
      <c r="P6" s="141"/>
      <c r="Q6" s="141"/>
      <c r="R6" s="141"/>
      <c r="S6" s="691"/>
      <c r="T6" s="692"/>
    </row>
    <row r="7" spans="1:20">
      <c r="A7" s="26"/>
      <c r="B7" s="855"/>
      <c r="C7" s="856"/>
      <c r="D7" s="856"/>
      <c r="E7" s="856"/>
      <c r="F7" s="856"/>
      <c r="G7" s="856"/>
      <c r="H7" s="856"/>
      <c r="I7" s="856"/>
      <c r="J7" s="857"/>
      <c r="K7" s="27"/>
      <c r="L7" s="677"/>
      <c r="M7" s="678"/>
      <c r="N7" s="678"/>
      <c r="O7" s="678"/>
      <c r="P7" s="678"/>
      <c r="Q7" s="678"/>
      <c r="R7" s="678"/>
      <c r="S7" s="693"/>
      <c r="T7" s="694"/>
    </row>
    <row r="8" spans="1:20">
      <c r="A8" s="26"/>
      <c r="B8" s="855"/>
      <c r="C8" s="856"/>
      <c r="D8" s="856"/>
      <c r="E8" s="856"/>
      <c r="F8" s="856"/>
      <c r="G8" s="856"/>
      <c r="H8" s="856"/>
      <c r="I8" s="856"/>
      <c r="J8" s="857"/>
      <c r="K8" s="27"/>
      <c r="L8" s="4"/>
      <c r="M8" s="4"/>
      <c r="N8" s="4"/>
      <c r="O8" s="4"/>
      <c r="P8" s="4"/>
      <c r="Q8" s="4"/>
      <c r="R8" s="4"/>
      <c r="S8" s="688"/>
      <c r="T8" s="688"/>
    </row>
    <row r="9" spans="1:20">
      <c r="A9" s="26"/>
      <c r="B9" s="855"/>
      <c r="C9" s="856"/>
      <c r="D9" s="856"/>
      <c r="E9" s="856"/>
      <c r="F9" s="856"/>
      <c r="G9" s="856"/>
      <c r="H9" s="856"/>
      <c r="I9" s="856"/>
      <c r="J9" s="857"/>
      <c r="K9" s="27"/>
      <c r="L9" s="36" t="str">
        <f>"ADMIN"&amp;" "&amp;Idiomas!D89</f>
        <v>ADMIN (Before the World Cup starts)</v>
      </c>
      <c r="M9" s="683"/>
      <c r="N9" s="4"/>
      <c r="O9" s="4"/>
      <c r="P9" s="4"/>
      <c r="Q9" s="4"/>
      <c r="R9" s="4"/>
      <c r="S9" s="688"/>
      <c r="T9" s="688"/>
    </row>
    <row r="10" spans="1:20">
      <c r="A10" s="26"/>
      <c r="B10" s="855"/>
      <c r="C10" s="856"/>
      <c r="D10" s="856"/>
      <c r="E10" s="856"/>
      <c r="F10" s="856"/>
      <c r="G10" s="856"/>
      <c r="H10" s="856"/>
      <c r="I10" s="856"/>
      <c r="J10" s="857"/>
      <c r="K10" s="27"/>
      <c r="L10" s="674"/>
      <c r="M10" s="675"/>
      <c r="N10" s="675"/>
      <c r="O10" s="675"/>
      <c r="P10" s="675"/>
      <c r="Q10" s="675"/>
      <c r="R10" s="675"/>
      <c r="S10" s="689"/>
      <c r="T10" s="690"/>
    </row>
    <row r="11" spans="1:20">
      <c r="A11" s="26"/>
      <c r="B11" s="855"/>
      <c r="C11" s="856"/>
      <c r="D11" s="856"/>
      <c r="E11" s="856"/>
      <c r="F11" s="856"/>
      <c r="G11" s="856"/>
      <c r="H11" s="856"/>
      <c r="I11" s="856"/>
      <c r="J11" s="857"/>
      <c r="K11" s="27"/>
      <c r="L11" s="676" t="str">
        <f>Idiomas!D91</f>
        <v>· This sheet is used to manage the tournament pool</v>
      </c>
      <c r="M11" s="141"/>
      <c r="N11" s="141"/>
      <c r="O11" s="141"/>
      <c r="P11" s="141"/>
      <c r="Q11" s="141"/>
      <c r="R11" s="141"/>
      <c r="S11" s="691"/>
      <c r="T11" s="692"/>
    </row>
    <row r="12" spans="1:20">
      <c r="A12" s="26"/>
      <c r="B12" s="858"/>
      <c r="C12" s="859"/>
      <c r="D12" s="859"/>
      <c r="E12" s="859"/>
      <c r="F12" s="859"/>
      <c r="G12" s="859"/>
      <c r="H12" s="859"/>
      <c r="I12" s="859"/>
      <c r="J12" s="860"/>
      <c r="K12" s="27"/>
      <c r="L12" s="676" t="str">
        <f>Idiomas!D92</f>
        <v>· First, set the points for each criterion and share the scoring with the participants</v>
      </c>
      <c r="M12" s="141"/>
      <c r="N12" s="141"/>
      <c r="O12" s="141"/>
      <c r="P12" s="141"/>
      <c r="Q12" s="141"/>
      <c r="R12" s="682"/>
      <c r="S12" s="691"/>
      <c r="T12" s="692"/>
    </row>
    <row r="13" spans="1:20">
      <c r="A13" s="26"/>
      <c r="B13" s="31"/>
      <c r="C13" s="31"/>
      <c r="D13" s="31"/>
      <c r="E13" s="31"/>
      <c r="F13" s="31"/>
      <c r="G13" s="31"/>
      <c r="H13" s="31"/>
      <c r="I13" s="31"/>
      <c r="J13" s="31"/>
      <c r="K13" s="27"/>
      <c r="L13" s="863" t="str">
        <f>HYPERLINK(Idiomas!D302,Idiomas!D93)</f>
        <v>· Here’s an explanation of each scoring rule</v>
      </c>
      <c r="M13" s="864"/>
      <c r="N13" s="864"/>
      <c r="O13" s="864"/>
      <c r="P13" s="141"/>
      <c r="Q13" s="141"/>
      <c r="R13" s="141"/>
      <c r="S13" s="691"/>
      <c r="T13" s="692"/>
    </row>
    <row r="14" spans="1:20">
      <c r="A14" s="26"/>
      <c r="B14" s="136"/>
      <c r="C14" s="137"/>
      <c r="D14" s="137"/>
      <c r="E14" s="137"/>
      <c r="F14" s="137"/>
      <c r="G14" s="137"/>
      <c r="H14" s="137"/>
      <c r="I14" s="137"/>
      <c r="J14" s="138"/>
      <c r="K14" s="27"/>
      <c r="L14" s="679" t="str">
        <f>Idiomas!D94</f>
        <v>· Once participants send their file, copy their picks from the 'Pool' tab into this ADMIN tab</v>
      </c>
      <c r="M14" s="141"/>
      <c r="N14" s="141"/>
      <c r="O14" s="141"/>
      <c r="P14" s="141"/>
      <c r="Q14" s="141"/>
      <c r="R14" s="141"/>
      <c r="S14" s="691"/>
      <c r="T14" s="692"/>
    </row>
    <row r="15" spans="1:20">
      <c r="A15" s="26"/>
      <c r="B15" s="139" t="str">
        <f>Idiomas!D82</f>
        <v>Author:</v>
      </c>
      <c r="C15" s="140" t="s">
        <v>25</v>
      </c>
      <c r="D15" s="140"/>
      <c r="E15" s="140" t="s">
        <v>1315</v>
      </c>
      <c r="F15" s="141"/>
      <c r="G15" s="140" t="s">
        <v>1316</v>
      </c>
      <c r="H15" s="141"/>
      <c r="I15" s="142"/>
      <c r="J15" s="143"/>
      <c r="K15" s="27"/>
      <c r="L15" s="676" t="str">
        <f>Idiomas!D95</f>
        <v>· Once all picks are in, select the number of players on the ADMIN sheet</v>
      </c>
      <c r="M15" s="141"/>
      <c r="N15" s="141"/>
      <c r="O15" s="141"/>
      <c r="P15" s="141"/>
      <c r="Q15" s="141"/>
      <c r="R15" s="141"/>
      <c r="S15" s="691"/>
      <c r="T15" s="692"/>
    </row>
    <row r="16" spans="1:20">
      <c r="A16" s="26"/>
      <c r="B16" s="144" t="str">
        <f>Idiomas!D83</f>
        <v>Last version:</v>
      </c>
      <c r="C16" s="145">
        <v>46122</v>
      </c>
      <c r="D16" s="145"/>
      <c r="E16" s="146"/>
      <c r="F16" s="146"/>
      <c r="G16" s="146"/>
      <c r="H16" s="146"/>
      <c r="I16" s="147"/>
      <c r="J16" s="148"/>
      <c r="K16" s="27"/>
      <c r="L16" s="677"/>
      <c r="M16" s="678"/>
      <c r="N16" s="678"/>
      <c r="O16" s="678"/>
      <c r="P16" s="678"/>
      <c r="Q16" s="678"/>
      <c r="R16" s="678"/>
      <c r="S16" s="693"/>
      <c r="T16" s="694"/>
    </row>
    <row r="17" spans="1:20">
      <c r="A17" s="26"/>
      <c r="B17" s="149"/>
      <c r="C17" s="150"/>
      <c r="D17" s="150"/>
      <c r="E17" s="150"/>
      <c r="F17" s="150"/>
      <c r="G17" s="150"/>
      <c r="H17" s="150"/>
      <c r="I17" s="150"/>
      <c r="J17" s="151"/>
      <c r="K17" s="27"/>
      <c r="L17" s="27"/>
      <c r="M17" s="27"/>
      <c r="N17" s="27"/>
      <c r="O17" s="27"/>
      <c r="P17" s="27"/>
      <c r="Q17" s="27"/>
      <c r="R17" s="27"/>
      <c r="S17" s="688"/>
      <c r="T17" s="688"/>
    </row>
    <row r="18" spans="1:20">
      <c r="A18" s="26"/>
      <c r="B18" s="33"/>
      <c r="C18" s="33"/>
      <c r="D18" s="33"/>
      <c r="E18" s="34"/>
      <c r="F18" s="34"/>
      <c r="G18" s="26"/>
      <c r="H18" s="26"/>
      <c r="I18" s="26"/>
      <c r="J18" s="673"/>
      <c r="K18" s="27"/>
      <c r="L18" s="36" t="str">
        <f>"WORLDCUP"&amp;" "&amp;Idiomas!D96</f>
        <v>WORLDCUP (Once the World Cup has started)</v>
      </c>
      <c r="M18" s="683"/>
      <c r="N18" s="4"/>
      <c r="O18" s="4"/>
      <c r="P18" s="4"/>
      <c r="Q18" s="4"/>
      <c r="R18" s="4"/>
      <c r="S18" s="688"/>
      <c r="T18" s="688"/>
    </row>
    <row r="19" spans="1:20" ht="19.899999999999999" customHeight="1">
      <c r="A19" s="27"/>
      <c r="B19" s="152"/>
      <c r="C19" s="153" t="str">
        <f>Idiomas!D85</f>
        <v>TO DOWNLOAD, CLICK ON</v>
      </c>
      <c r="D19" s="153"/>
      <c r="E19" s="154">
        <v>2</v>
      </c>
      <c r="F19" s="155"/>
      <c r="G19" s="153"/>
      <c r="H19" s="156"/>
      <c r="I19" s="156"/>
      <c r="J19" s="157"/>
      <c r="K19" s="27"/>
      <c r="L19" s="674"/>
      <c r="M19" s="675"/>
      <c r="N19" s="675"/>
      <c r="O19" s="675"/>
      <c r="P19" s="675"/>
      <c r="Q19" s="675"/>
      <c r="R19" s="675"/>
      <c r="S19" s="689"/>
      <c r="T19" s="690"/>
    </row>
    <row r="20" spans="1:20">
      <c r="A20" s="27"/>
      <c r="B20" s="158"/>
      <c r="C20" s="159" t="s">
        <v>1370</v>
      </c>
      <c r="D20" s="159"/>
      <c r="E20" s="160" t="s">
        <v>216</v>
      </c>
      <c r="F20" s="160"/>
      <c r="G20" s="160" t="s">
        <v>348</v>
      </c>
      <c r="H20" s="161"/>
      <c r="I20" s="161"/>
      <c r="J20" s="148"/>
      <c r="K20" s="27"/>
      <c r="L20" s="676" t="str">
        <f>Idiomas!D97</f>
        <v>· When the World Cup begins, fill in the gray boxes with the real group stage results</v>
      </c>
      <c r="M20" s="141"/>
      <c r="N20" s="141"/>
      <c r="O20" s="141"/>
      <c r="P20" s="141"/>
      <c r="Q20" s="141"/>
      <c r="R20" s="141"/>
      <c r="S20" s="691"/>
      <c r="T20" s="692"/>
    </row>
    <row r="21" spans="1:20" ht="19.899999999999999" customHeight="1">
      <c r="A21" s="35"/>
      <c r="B21" s="162"/>
      <c r="C21" s="163" t="s">
        <v>1940</v>
      </c>
      <c r="D21" s="164"/>
      <c r="E21" s="37">
        <v>2</v>
      </c>
      <c r="F21" s="164"/>
      <c r="G21" s="37">
        <v>2</v>
      </c>
      <c r="H21" s="165"/>
      <c r="I21" s="161"/>
      <c r="J21" s="166"/>
      <c r="K21" s="35"/>
      <c r="L21" s="676" t="str">
        <f>Idiomas!D98</f>
        <v>· In case of a tie in the position of a group or in the best third-placed teams, select the order of the drawed nations</v>
      </c>
      <c r="M21" s="141"/>
      <c r="N21" s="141"/>
      <c r="O21" s="141"/>
      <c r="P21" s="141"/>
      <c r="Q21" s="141"/>
      <c r="R21" s="141"/>
      <c r="S21" s="691"/>
      <c r="T21" s="692"/>
    </row>
    <row r="22" spans="1:20" ht="1.9" customHeight="1">
      <c r="A22" s="35"/>
      <c r="B22" s="162"/>
      <c r="C22" s="165"/>
      <c r="D22" s="165"/>
      <c r="E22" s="165"/>
      <c r="F22" s="165"/>
      <c r="G22" s="165"/>
      <c r="H22" s="165"/>
      <c r="I22" s="161"/>
      <c r="J22" s="166"/>
      <c r="K22" s="35"/>
      <c r="L22" s="676"/>
      <c r="M22" s="141"/>
      <c r="N22" s="141"/>
      <c r="O22" s="141"/>
      <c r="P22" s="141"/>
      <c r="Q22" s="141"/>
      <c r="R22" s="141"/>
      <c r="S22" s="691"/>
      <c r="T22" s="692"/>
    </row>
    <row r="23" spans="1:20" ht="19.899999999999999" customHeight="1">
      <c r="A23" s="35"/>
      <c r="B23" s="162"/>
      <c r="C23" s="163" t="s">
        <v>1299</v>
      </c>
      <c r="D23" s="164"/>
      <c r="E23" s="38">
        <v>2</v>
      </c>
      <c r="F23" s="164"/>
      <c r="G23" s="38">
        <v>2</v>
      </c>
      <c r="H23" s="165"/>
      <c r="I23" s="165"/>
      <c r="J23" s="166"/>
      <c r="K23" s="35"/>
      <c r="L23" s="676" t="str">
        <f>Idiomas!D99</f>
        <v>· Playoffs are set automatically</v>
      </c>
      <c r="M23" s="141"/>
      <c r="N23" s="141"/>
      <c r="O23" s="141"/>
      <c r="P23" s="141"/>
      <c r="Q23" s="141"/>
      <c r="R23" s="141"/>
      <c r="S23" s="691"/>
      <c r="T23" s="692"/>
    </row>
    <row r="24" spans="1:20" ht="1.9" customHeight="1">
      <c r="A24" s="35"/>
      <c r="B24" s="162"/>
      <c r="C24" s="165"/>
      <c r="D24" s="165"/>
      <c r="E24" s="165"/>
      <c r="F24" s="165"/>
      <c r="G24" s="165"/>
      <c r="H24" s="165"/>
      <c r="I24" s="165"/>
      <c r="J24" s="166"/>
      <c r="K24" s="35"/>
      <c r="L24" s="676"/>
      <c r="M24" s="141"/>
      <c r="N24" s="141"/>
      <c r="O24" s="141"/>
      <c r="P24" s="141"/>
      <c r="Q24" s="141"/>
      <c r="R24" s="141"/>
      <c r="S24" s="691"/>
      <c r="T24" s="692"/>
    </row>
    <row r="25" spans="1:20" ht="19.899999999999999" customHeight="1">
      <c r="A25" s="35"/>
      <c r="B25" s="162"/>
      <c r="C25" s="163" t="s">
        <v>1268</v>
      </c>
      <c r="D25" s="164"/>
      <c r="E25" s="38">
        <v>2</v>
      </c>
      <c r="F25" s="164"/>
      <c r="G25" s="39">
        <v>0</v>
      </c>
      <c r="H25" s="165"/>
      <c r="I25" s="165"/>
      <c r="J25" s="166"/>
      <c r="K25" s="35"/>
      <c r="L25" s="676" t="str">
        <f>Idiomas!D100</f>
        <v>· Fill in the results of the knockout stages. In the event of a tie, two cells are opened on the sides to introduce the result of the penalties</v>
      </c>
      <c r="M25" s="141"/>
      <c r="N25" s="141"/>
      <c r="O25" s="141"/>
      <c r="P25" s="141"/>
      <c r="Q25" s="141"/>
      <c r="R25" s="141"/>
      <c r="S25" s="691"/>
      <c r="T25" s="692"/>
    </row>
    <row r="26" spans="1:20" ht="1.9" customHeight="1">
      <c r="A26" s="35"/>
      <c r="B26" s="162"/>
      <c r="C26" s="165"/>
      <c r="D26" s="165"/>
      <c r="E26" s="165"/>
      <c r="F26" s="165"/>
      <c r="G26" s="165"/>
      <c r="H26" s="165"/>
      <c r="I26" s="165"/>
      <c r="J26" s="166"/>
      <c r="K26" s="35"/>
      <c r="L26" s="676"/>
      <c r="M26" s="141"/>
      <c r="N26" s="141"/>
      <c r="O26" s="141"/>
      <c r="P26" s="141"/>
      <c r="Q26" s="141"/>
      <c r="R26" s="141"/>
      <c r="S26" s="691"/>
      <c r="T26" s="692"/>
    </row>
    <row r="27" spans="1:20" ht="19.899999999999999" customHeight="1">
      <c r="A27" s="35"/>
      <c r="B27" s="162"/>
      <c r="C27" s="163" t="s">
        <v>1269</v>
      </c>
      <c r="D27" s="164"/>
      <c r="E27" s="38">
        <v>2</v>
      </c>
      <c r="F27" s="164"/>
      <c r="G27" s="39">
        <v>0</v>
      </c>
      <c r="H27" s="165"/>
      <c r="I27" s="165"/>
      <c r="J27" s="166"/>
      <c r="K27" s="35"/>
      <c r="L27" s="677" t="str">
        <f>Idiomas!D101</f>
        <v>· Fill in the best players and top scorers</v>
      </c>
      <c r="M27" s="678"/>
      <c r="N27" s="678"/>
      <c r="O27" s="678"/>
      <c r="P27" s="678"/>
      <c r="Q27" s="678"/>
      <c r="R27" s="678"/>
      <c r="S27" s="693"/>
      <c r="T27" s="694"/>
    </row>
    <row r="28" spans="1:20" ht="1.9" customHeight="1">
      <c r="A28" s="35"/>
      <c r="B28" s="162"/>
      <c r="C28" s="165"/>
      <c r="D28" s="165"/>
      <c r="E28" s="165"/>
      <c r="F28" s="165"/>
      <c r="G28" s="165"/>
      <c r="H28" s="165"/>
      <c r="I28" s="165"/>
      <c r="J28" s="166"/>
      <c r="K28" s="35"/>
    </row>
    <row r="29" spans="1:20" ht="19.899999999999999" customHeight="1">
      <c r="A29" s="35"/>
      <c r="B29" s="162"/>
      <c r="C29" s="163" t="s">
        <v>1270</v>
      </c>
      <c r="D29" s="164"/>
      <c r="E29" s="39">
        <v>0</v>
      </c>
      <c r="F29" s="164"/>
      <c r="G29" s="38">
        <v>2</v>
      </c>
      <c r="H29" s="165"/>
      <c r="I29" s="165"/>
      <c r="J29" s="166"/>
      <c r="K29" s="35"/>
    </row>
    <row r="30" spans="1:20" ht="1.9" customHeight="1">
      <c r="A30" s="35"/>
      <c r="B30" s="162"/>
      <c r="C30" s="165"/>
      <c r="D30" s="165"/>
      <c r="E30" s="165"/>
      <c r="F30" s="165"/>
      <c r="G30" s="165"/>
      <c r="H30" s="165"/>
      <c r="I30" s="165"/>
      <c r="J30" s="166"/>
      <c r="K30" s="35"/>
      <c r="L30" s="36"/>
    </row>
    <row r="31" spans="1:20" ht="19.899999999999999" customHeight="1">
      <c r="A31" s="35"/>
      <c r="B31" s="162"/>
      <c r="C31" s="163" t="s">
        <v>1271</v>
      </c>
      <c r="D31" s="164"/>
      <c r="E31" s="38">
        <v>2</v>
      </c>
      <c r="F31" s="164"/>
      <c r="G31" s="39">
        <v>0</v>
      </c>
      <c r="H31" s="165"/>
      <c r="I31" s="165"/>
      <c r="J31" s="166"/>
      <c r="K31" s="35"/>
      <c r="L31" s="680" t="s">
        <v>1916</v>
      </c>
    </row>
    <row r="32" spans="1:20" ht="18" customHeight="1">
      <c r="A32" s="27"/>
      <c r="B32" s="167"/>
      <c r="C32" s="168"/>
      <c r="D32" s="168"/>
      <c r="E32" s="168"/>
      <c r="F32" s="168"/>
      <c r="G32" s="168"/>
      <c r="H32" s="168"/>
      <c r="I32" s="168"/>
      <c r="J32" s="169"/>
      <c r="K32" s="27"/>
      <c r="L32" s="684" t="str">
        <f>Idiomas!D104</f>
        <v>· The overall standings will be updated on this sheet as match results are entered</v>
      </c>
      <c r="M32" s="685"/>
      <c r="N32" s="685"/>
      <c r="O32" s="685"/>
      <c r="P32" s="685"/>
      <c r="Q32" s="685"/>
      <c r="R32" s="685"/>
      <c r="S32" s="695"/>
      <c r="T32" s="696"/>
    </row>
    <row r="33" spans="1:20">
      <c r="A33" s="27"/>
      <c r="B33" s="3"/>
      <c r="C33" s="3"/>
      <c r="D33" s="3"/>
      <c r="E33" s="3"/>
      <c r="F33" s="3"/>
      <c r="G33" s="3"/>
      <c r="H33" s="3"/>
      <c r="I33" s="3"/>
      <c r="J33" s="3"/>
      <c r="K33" s="27"/>
      <c r="L33" s="27"/>
    </row>
    <row r="34" spans="1:20" ht="28.15" customHeight="1">
      <c r="A34" s="27"/>
      <c r="B34" s="861"/>
      <c r="C34" s="861"/>
      <c r="D34" s="861"/>
      <c r="E34" s="861"/>
      <c r="F34" s="861"/>
      <c r="G34" s="861"/>
      <c r="H34" s="861"/>
      <c r="I34" s="861"/>
      <c r="J34" s="861"/>
      <c r="K34" s="27"/>
      <c r="L34" s="680" t="s">
        <v>1878</v>
      </c>
    </row>
    <row r="35" spans="1:20" ht="18" customHeight="1" thickBot="1">
      <c r="A35" s="27"/>
      <c r="B35" s="4"/>
      <c r="C35" s="27"/>
      <c r="D35" s="27"/>
      <c r="E35" s="27"/>
      <c r="F35" s="27"/>
      <c r="G35" s="27"/>
      <c r="H35" s="27"/>
      <c r="I35" s="27"/>
      <c r="J35" s="27"/>
      <c r="K35" s="27"/>
      <c r="L35" s="684" t="str">
        <f>Idiomas!D105</f>
        <v>· Use this sheet to filter predictions by group stage day or knockout round</v>
      </c>
      <c r="M35" s="685"/>
      <c r="N35" s="685"/>
      <c r="O35" s="685"/>
      <c r="P35" s="685"/>
      <c r="Q35" s="685"/>
      <c r="R35" s="685"/>
      <c r="S35" s="695"/>
      <c r="T35" s="696"/>
    </row>
    <row r="36" spans="1:20" ht="21" thickBot="1">
      <c r="A36" s="27"/>
      <c r="B36" s="4"/>
      <c r="C36" s="768" t="s">
        <v>1335</v>
      </c>
      <c r="D36" s="27"/>
      <c r="E36" s="27"/>
      <c r="F36" s="27"/>
      <c r="G36" s="27"/>
      <c r="H36" s="41" t="str">
        <f>HYPERLINK(Idiomas!D13,"FAQ")</f>
        <v>FAQ</v>
      </c>
      <c r="I36" s="27"/>
      <c r="J36" s="27"/>
      <c r="K36" s="27"/>
      <c r="L36" s="27"/>
      <c r="M36" s="26"/>
      <c r="N36" s="27"/>
    </row>
    <row r="37" spans="1:20" ht="15" customHeight="1">
      <c r="A37" s="27"/>
      <c r="B37" s="4"/>
      <c r="C37" s="4"/>
      <c r="D37" s="4"/>
      <c r="E37" s="4"/>
      <c r="F37" s="4"/>
      <c r="G37" s="4"/>
      <c r="H37" s="4"/>
      <c r="I37" s="4"/>
      <c r="J37" s="4"/>
      <c r="K37" s="27"/>
      <c r="L37" s="680" t="s">
        <v>1888</v>
      </c>
      <c r="M37" s="26"/>
      <c r="N37" s="27"/>
    </row>
    <row r="38" spans="1:20" ht="34.15" customHeight="1">
      <c r="A38" s="27"/>
      <c r="C38" s="27"/>
      <c r="D38" s="27"/>
      <c r="E38" s="27"/>
      <c r="F38" s="27"/>
      <c r="G38" s="27"/>
      <c r="H38" s="27"/>
      <c r="I38" s="27"/>
      <c r="J38" s="27"/>
      <c r="K38" s="27"/>
      <c r="L38" s="684" t="str">
        <f>Idiomas!D106</f>
        <v>· Here you can see the standings for the day/round selected on the "DailyPrediction" sheet</v>
      </c>
      <c r="M38" s="685"/>
      <c r="N38" s="685"/>
      <c r="O38" s="685"/>
      <c r="P38" s="685"/>
      <c r="Q38" s="685"/>
      <c r="R38" s="685"/>
      <c r="S38" s="695"/>
      <c r="T38" s="696"/>
    </row>
    <row r="40" spans="1:20">
      <c r="L40" s="680" t="s">
        <v>1656</v>
      </c>
      <c r="M40" s="681"/>
      <c r="N40" s="681"/>
      <c r="O40" s="681"/>
      <c r="P40" s="681"/>
      <c r="Q40" s="681"/>
      <c r="R40" s="681"/>
      <c r="S40" s="697"/>
      <c r="T40" s="697"/>
    </row>
    <row r="41" spans="1:20">
      <c r="L41" s="674" t="str">
        <f>Idiomas!D108</f>
        <v>· On this sheet, you can view various overall and per-game statistics.</v>
      </c>
      <c r="M41" s="675"/>
      <c r="N41" s="675"/>
      <c r="O41" s="675"/>
      <c r="P41" s="675"/>
      <c r="Q41" s="675"/>
      <c r="R41" s="675"/>
      <c r="S41" s="689"/>
      <c r="T41" s="690"/>
    </row>
    <row r="42" spans="1:20">
      <c r="L42" s="686" t="str">
        <f>Idiomas!D109</f>
        <v>· A version of Excel later than 2021 is required to view these correctly.</v>
      </c>
      <c r="M42" s="687"/>
      <c r="N42" s="687"/>
      <c r="O42" s="687"/>
      <c r="P42" s="687"/>
      <c r="Q42" s="687"/>
      <c r="R42" s="687"/>
      <c r="S42" s="698"/>
      <c r="T42" s="699"/>
    </row>
    <row r="44" spans="1:20">
      <c r="L44" s="680" t="s">
        <v>1305</v>
      </c>
      <c r="M44" s="681"/>
      <c r="N44" s="681"/>
      <c r="O44" s="681"/>
      <c r="P44" s="681"/>
      <c r="Q44" s="681"/>
      <c r="R44" s="681"/>
      <c r="S44" s="697"/>
      <c r="T44" s="697"/>
    </row>
    <row r="45" spans="1:20" ht="18" customHeight="1">
      <c r="L45" s="684" t="str">
        <f>Idiomas!D110</f>
        <v>· On this sheet, you can see the World Cup bracket at a glance</v>
      </c>
      <c r="M45" s="685"/>
      <c r="N45" s="685"/>
      <c r="O45" s="685"/>
      <c r="P45" s="685"/>
      <c r="Q45" s="685"/>
      <c r="R45" s="685"/>
      <c r="S45" s="695"/>
      <c r="T45" s="696"/>
    </row>
    <row r="84" spans="13:25" ht="60" customHeight="1">
      <c r="M84" s="862" t="str">
        <f>Idiomas!D107</f>
        <v>If Iran doesn't participate in the World Cup and is replaced by another team, select the substitute nation from the dropdown menu. If it doesn't appear, choose 'Other' and manually enter the name (Spanish and English), its UTC zone and, optionally, its flag image.</v>
      </c>
      <c r="N84" s="862"/>
      <c r="O84" s="862"/>
      <c r="P84" s="862"/>
      <c r="Q84" s="862"/>
      <c r="R84" s="862"/>
    </row>
    <row r="86" spans="13:25">
      <c r="M86" s="493" t="s">
        <v>1791</v>
      </c>
      <c r="T86" s="493" t="s">
        <v>1795</v>
      </c>
      <c r="U86" s="493" t="s">
        <v>1792</v>
      </c>
      <c r="V86" s="493" t="s">
        <v>1793</v>
      </c>
      <c r="W86" s="493" t="s">
        <v>1800</v>
      </c>
      <c r="X86" s="493" t="s">
        <v>1801</v>
      </c>
      <c r="Y86" s="493" t="s">
        <v>1802</v>
      </c>
    </row>
    <row r="87" spans="13:25">
      <c r="M87" s="672" t="s">
        <v>1794</v>
      </c>
      <c r="N87" s="11" t="str">
        <f>IFERROR(IF(J18="",$U$87,INDEX($U$87:$U$91,MATCH(M87,$T$87:$T$91,0))),"")</f>
        <v>Irán</v>
      </c>
      <c r="O87" s="11" t="str">
        <f>IFERROR(IF(J18="",$V$87,INDEX($V$87:$V$91,MATCH(M87,$T$87:$T$91,0))),"")</f>
        <v>Iran</v>
      </c>
      <c r="T87" s="700" t="s">
        <v>1794</v>
      </c>
      <c r="U87" s="8" t="s">
        <v>1262</v>
      </c>
      <c r="V87" s="8" t="s">
        <v>1282</v>
      </c>
      <c r="W87" s="8" t="s">
        <v>1283</v>
      </c>
      <c r="X87" s="8" t="e" vm="50">
        <v>#VALUE!</v>
      </c>
      <c r="Y87" s="8">
        <v>3.5</v>
      </c>
    </row>
    <row r="88" spans="13:25">
      <c r="T88" s="700" t="s">
        <v>1796</v>
      </c>
      <c r="U88" s="8" t="s">
        <v>1755</v>
      </c>
      <c r="V88" s="8" t="s">
        <v>1756</v>
      </c>
      <c r="W88" s="8" t="s">
        <v>1760</v>
      </c>
      <c r="X88" s="700" t="e" vm="51">
        <v>#VALUE!</v>
      </c>
      <c r="Y88" s="8">
        <v>4</v>
      </c>
    </row>
    <row r="89" spans="13:25" ht="15.75">
      <c r="T89" s="700" t="s">
        <v>1797</v>
      </c>
      <c r="U89" s="8" t="s">
        <v>1786</v>
      </c>
      <c r="V89" s="8" t="s">
        <v>1786</v>
      </c>
      <c r="W89" s="701" t="s">
        <v>1787</v>
      </c>
      <c r="X89" s="700" t="e" vm="52">
        <v>#VALUE!</v>
      </c>
      <c r="Y89" s="8">
        <v>-4</v>
      </c>
    </row>
    <row r="90" spans="13:25" ht="15.75">
      <c r="T90" s="700" t="s">
        <v>1798</v>
      </c>
      <c r="U90" s="8" t="s">
        <v>1788</v>
      </c>
      <c r="V90" s="8" t="s">
        <v>1789</v>
      </c>
      <c r="W90" s="702" t="s">
        <v>1790</v>
      </c>
      <c r="X90" s="700" t="e" vm="53">
        <v>#VALUE!</v>
      </c>
      <c r="Y90" s="8">
        <v>-3</v>
      </c>
    </row>
    <row r="91" spans="13:25">
      <c r="T91" s="700" t="s">
        <v>1799</v>
      </c>
      <c r="U91" s="8" t="str">
        <f>N93</f>
        <v>Escribe la selección</v>
      </c>
      <c r="V91" s="8" t="str">
        <f>O93</f>
        <v>Write the nation</v>
      </c>
      <c r="W91" s="8" t="str">
        <f>IF(Q93="","",Q93)</f>
        <v/>
      </c>
      <c r="X91" s="8" t="str">
        <f>IF(R93="","",R93)</f>
        <v/>
      </c>
      <c r="Y91" s="8">
        <f>IF(P93="",-4,P93)</f>
        <v>-4</v>
      </c>
    </row>
    <row r="92" spans="13:25" ht="19.149999999999999" customHeight="1">
      <c r="N92" s="493" t="s">
        <v>1792</v>
      </c>
      <c r="O92" s="493" t="s">
        <v>1793</v>
      </c>
      <c r="P92" s="493" t="s">
        <v>1807</v>
      </c>
      <c r="Q92" s="493" t="s">
        <v>1804</v>
      </c>
      <c r="R92" s="493" t="s">
        <v>1801</v>
      </c>
    </row>
    <row r="93" spans="13:25" ht="25.15" customHeight="1">
      <c r="N93" s="494" t="s">
        <v>1848</v>
      </c>
      <c r="O93" s="494" t="s">
        <v>1803</v>
      </c>
      <c r="P93" s="494"/>
      <c r="Q93" s="494"/>
      <c r="R93" s="494"/>
    </row>
  </sheetData>
  <sheetProtection algorithmName="SHA-512" hashValue="G1PYTpRXEGqnFNiHOExDbdSyZx/oi4eyNmropAxqMn82oNHvxAwQG/OHEI5jn2U3Qbzs+rKgfs3ks34RqBwxVg==" saltValue="3LvXtJNjSJVWe9SEIX0ADQ==" spinCount="100000" sheet="1" objects="1" scenarios="1"/>
  <mergeCells count="5">
    <mergeCell ref="B3:J12"/>
    <mergeCell ref="B34:J34"/>
    <mergeCell ref="M84:R84"/>
    <mergeCell ref="L6:O6"/>
    <mergeCell ref="L13:O13"/>
  </mergeCells>
  <conditionalFormatting sqref="E19">
    <cfRule type="iconSet" priority="4">
      <iconSet iconSet="3Symbols2" showValue="0">
        <cfvo type="percent" val="0"/>
        <cfvo type="percent" val="33"/>
        <cfvo type="percent" val="67"/>
      </iconSet>
    </cfRule>
  </conditionalFormatting>
  <conditionalFormatting sqref="E21 E23 E25 E27 E29 E31 G31 G29 G27 G25 G23 G21">
    <cfRule type="iconSet" priority="5">
      <iconSet iconSet="3Symbols2" showValue="0">
        <cfvo type="percent" val="0"/>
        <cfvo type="num" val="1"/>
        <cfvo type="num" val="2"/>
      </iconSet>
    </cfRule>
  </conditionalFormatting>
  <conditionalFormatting sqref="M86">
    <cfRule type="expression" dxfId="3" priority="1">
      <formula>$J$18=1</formula>
    </cfRule>
  </conditionalFormatting>
  <conditionalFormatting sqref="M84:R84 M87">
    <cfRule type="expression" dxfId="2" priority="2">
      <formula>$J$18=1</formula>
    </cfRule>
  </conditionalFormatting>
  <conditionalFormatting sqref="N92:R93">
    <cfRule type="expression" dxfId="1" priority="937">
      <formula>IF($M$87=$T$91,1,0)</formula>
    </cfRule>
  </conditionalFormatting>
  <dataValidations disablePrompts="1" count="1">
    <dataValidation type="list" allowBlank="1" showInputMessage="1" showErrorMessage="1" sqref="M87" xr:uid="{8864A9AD-4F26-5342-96E1-F249F83B408D}">
      <formula1>$T$87:$T$91</formula1>
    </dataValidation>
  </dataValidations>
  <hyperlinks>
    <hyperlink ref="C15" r:id="rId1" xr:uid="{05AB4A6F-C4B4-A740-87ED-336F6C10C792}"/>
    <hyperlink ref="E25" r:id="rId2" display="https://matejero.es/calendario-excel-liga/" xr:uid="{7D8B1963-F364-FE42-900B-13AAC79AD5A2}"/>
    <hyperlink ref="E27" r:id="rId3" location="Descarga_el_Calendario_2a_Division_Liga_23_24_Excel" display="https://matejero.es/calendario-excel-liga/ - Descarga_el_Calendario_2a_Division_Liga_23_24_Excel" xr:uid="{4F22A8BC-F63A-FA4F-8F51-9316B6627C0C}"/>
    <hyperlink ref="G29" r:id="rId4" display="https://matejero.com/premier-league-excel-schedule/" xr:uid="{46677136-B3E1-0E4A-BFE9-972C4DE3628C}"/>
    <hyperlink ref="E31" r:id="rId5" display="https://matejero.es/excel-copa-libertadores/" xr:uid="{9FF93F3C-59DF-5048-80D7-77D6CEF796D8}"/>
    <hyperlink ref="G21" r:id="rId6" display="https://matejero.com/download/excel-world-cup-2026" xr:uid="{022813E0-C0D4-AB40-8F4A-7080B824E403}"/>
    <hyperlink ref="E21" r:id="rId7" display="https://matejero.es/download/excel-mundial-2026/" xr:uid="{9456F39B-9B82-AE44-9098-3B18F0D80EB7}"/>
    <hyperlink ref="G23" r:id="rId8" display="https://matejero.com/excel-champions-league/" xr:uid="{B178DE6F-690D-E54E-A9E6-036280B2E80C}"/>
    <hyperlink ref="E23" r:id="rId9" display="https://matejero.es/excel-champions-league/" xr:uid="{9F014EF9-3AD7-7A4A-A904-6E4ABD3CB6E5}"/>
    <hyperlink ref="E15" r:id="rId10" xr:uid="{2F8DAD6A-C8CB-F04D-AB01-61BD349AD7B8}"/>
    <hyperlink ref="G15" r:id="rId11" xr:uid="{87D79B72-F65F-1F48-A1FC-801E86920030}"/>
    <hyperlink ref="C36" r:id="rId12" xr:uid="{B32D72B3-51FC-2948-8AA3-8B5E37A73211}"/>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
  <dimension ref="A1:AA501"/>
  <sheetViews>
    <sheetView showGridLines="0" showRowColHeaders="0" topLeftCell="BF570" zoomScaleNormal="100" zoomScalePageLayoutView="75" workbookViewId="0">
      <selection activeCell="BF570" sqref="BF570"/>
    </sheetView>
  </sheetViews>
  <sheetFormatPr defaultColWidth="20.42578125" defaultRowHeight="15" customHeight="1"/>
  <cols>
    <col min="1" max="1" width="6.7109375" style="5" bestFit="1" customWidth="1"/>
    <col min="2" max="2" width="16.7109375" style="5" customWidth="1"/>
    <col min="3" max="3" width="11.42578125" style="5" customWidth="1"/>
    <col min="4" max="4" width="8.7109375" style="5" bestFit="1" customWidth="1"/>
    <col min="5" max="5" width="11.28515625" style="5" customWidth="1"/>
    <col min="6" max="6" width="15.28515625" style="5" customWidth="1"/>
    <col min="7" max="7" width="4.140625" style="5" bestFit="1" customWidth="1"/>
    <col min="8" max="8" width="20.42578125" style="5"/>
    <col min="9" max="9" width="13" style="5" customWidth="1"/>
    <col min="10" max="10" width="12" style="5" customWidth="1"/>
    <col min="11" max="11" width="20.42578125" style="5"/>
    <col min="12" max="13" width="0" style="5" hidden="1" customWidth="1"/>
    <col min="14" max="14" width="4.42578125" style="721" customWidth="1"/>
    <col min="15" max="27" width="20.42578125" style="722"/>
    <col min="28" max="16384" width="20.42578125" style="9"/>
  </cols>
  <sheetData>
    <row r="1" spans="1:24" ht="15" customHeight="1">
      <c r="A1" s="720" t="s">
        <v>368</v>
      </c>
      <c r="B1" s="720" t="s">
        <v>30</v>
      </c>
      <c r="C1" s="720" t="s">
        <v>71</v>
      </c>
      <c r="D1" s="720" t="s">
        <v>11</v>
      </c>
      <c r="F1" s="5" t="s">
        <v>33</v>
      </c>
      <c r="H1" s="720"/>
      <c r="I1" s="720"/>
      <c r="K1" s="8" t="s">
        <v>68</v>
      </c>
      <c r="L1" s="8" t="s">
        <v>1345</v>
      </c>
      <c r="M1" s="8"/>
      <c r="Q1" s="781" t="s">
        <v>1644</v>
      </c>
      <c r="R1" s="781" t="s">
        <v>1645</v>
      </c>
      <c r="T1" s="786" t="str">
        <f>+Idiomas!D442</f>
        <v>None</v>
      </c>
    </row>
    <row r="2" spans="1:24" ht="15" customHeight="1">
      <c r="A2" s="5">
        <v>1</v>
      </c>
      <c r="B2" s="5" t="str">
        <f ca="1">+INDEX(Idiomas!$D$212:$D$259,MATCH(T_Equipos[[#This Row],[Num]],Idiomas!$C$212:$C$259,0))</f>
        <v>Mexico</v>
      </c>
      <c r="C2" s="5" t="s">
        <v>0</v>
      </c>
      <c r="D2" s="5">
        <v>1</v>
      </c>
      <c r="F2" s="5" t="s">
        <v>0</v>
      </c>
      <c r="K2" s="8" t="str">
        <f ca="1">Idiomas!D212</f>
        <v>Germany</v>
      </c>
      <c r="L2" s="8" t="s">
        <v>144</v>
      </c>
      <c r="M2" s="8" t="e" vm="54">
        <v>#VALUE!</v>
      </c>
      <c r="O2" s="783">
        <v>1</v>
      </c>
      <c r="P2" s="724"/>
      <c r="Q2" s="782" cm="1">
        <f t="array" aca="1" ref="Q2" ca="1">IFERROR(MIN(IF(COUNTIF($Q$1:Q1,ADMIN!$H$6:$H$77)=0,ADMIN!$H$6:$H$77)),"")</f>
        <v>46184</v>
      </c>
      <c r="R2" s="781">
        <v>1</v>
      </c>
      <c r="S2" s="725"/>
      <c r="T2" s="786">
        <v>0.05</v>
      </c>
      <c r="X2" s="9"/>
    </row>
    <row r="3" spans="1:24" ht="15" customHeight="1">
      <c r="A3" s="5">
        <v>2</v>
      </c>
      <c r="B3" s="5" t="str">
        <f ca="1">+INDEX(Idiomas!$D$212:$D$259,MATCH(T_Equipos[[#This Row],[Num]],Idiomas!$C$212:$C$259,0))</f>
        <v>South Africa</v>
      </c>
      <c r="C3" s="5" t="s">
        <v>0</v>
      </c>
      <c r="D3" s="5">
        <v>2</v>
      </c>
      <c r="F3" s="5" t="s">
        <v>1</v>
      </c>
      <c r="K3" s="8" t="str">
        <f ca="1">Idiomas!D213</f>
        <v>Saudi Arabia</v>
      </c>
      <c r="L3" s="8" t="s">
        <v>1640</v>
      </c>
      <c r="M3" s="8" t="e" vm="55">
        <v>#VALUE!</v>
      </c>
      <c r="O3" s="783">
        <v>2</v>
      </c>
      <c r="P3" s="724"/>
      <c r="Q3" s="782" cm="1">
        <f t="array" aca="1" ref="Q3" ca="1">IFERROR(MIN(IF(COUNTIF($Q$1:Q2,ADMIN!$H$6:$H$77)=0,ADMIN!$H$6:$H$77)),"")</f>
        <v>46185</v>
      </c>
      <c r="R3" s="781">
        <v>2</v>
      </c>
      <c r="S3" s="725"/>
      <c r="T3" s="786">
        <v>0.1</v>
      </c>
      <c r="X3" s="9"/>
    </row>
    <row r="4" spans="1:24" ht="15" customHeight="1">
      <c r="A4" s="5">
        <v>3</v>
      </c>
      <c r="B4" s="5" t="str">
        <f ca="1">+INDEX(Idiomas!$D$212:$D$259,MATCH(T_Equipos[[#This Row],[Num]],Idiomas!$C$212:$C$259,0))</f>
        <v>South Korea</v>
      </c>
      <c r="C4" s="5" t="s">
        <v>0</v>
      </c>
      <c r="D4" s="5">
        <v>3</v>
      </c>
      <c r="F4" s="5" t="s">
        <v>2</v>
      </c>
      <c r="K4" s="8" t="str">
        <f ca="1">Idiomas!D214</f>
        <v>Algeria</v>
      </c>
      <c r="L4" s="8" t="s">
        <v>1560</v>
      </c>
      <c r="M4" s="8" t="e" vm="56">
        <v>#VALUE!</v>
      </c>
      <c r="O4" s="783">
        <v>3</v>
      </c>
      <c r="P4" s="724"/>
      <c r="Q4" s="782" cm="1">
        <f t="array" aca="1" ref="Q4" ca="1">IFERROR(MIN(IF(COUNTIF($Q$1:Q3,ADMIN!$H$6:$H$77)=0,ADMIN!$H$6:$H$77)),"")</f>
        <v>46186</v>
      </c>
      <c r="R4" s="781">
        <v>3</v>
      </c>
      <c r="S4" s="725"/>
      <c r="T4" s="786">
        <v>0.15</v>
      </c>
      <c r="X4" s="9"/>
    </row>
    <row r="5" spans="1:24" ht="15" customHeight="1">
      <c r="A5" s="5">
        <v>4</v>
      </c>
      <c r="B5" s="5" t="str">
        <f ca="1">+INDEX(Idiomas!$D$212:$D$259,MATCH(T_Equipos[[#This Row],[Num]],Idiomas!$C$212:$C$259,0))</f>
        <v>Czech Republic</v>
      </c>
      <c r="C5" s="5" t="s">
        <v>0</v>
      </c>
      <c r="D5" s="5">
        <v>4</v>
      </c>
      <c r="F5" s="5" t="s">
        <v>73</v>
      </c>
      <c r="K5" s="8" t="str">
        <f ca="1">Idiomas!D215</f>
        <v>Argentina</v>
      </c>
      <c r="L5" s="8" t="s">
        <v>1272</v>
      </c>
      <c r="M5" s="8" t="e" vm="57">
        <v>#VALUE!</v>
      </c>
      <c r="O5" s="783">
        <v>4</v>
      </c>
      <c r="P5" s="724"/>
      <c r="Q5" s="782" cm="1">
        <f t="array" aca="1" ref="Q5" ca="1">IFERROR(MIN(IF(COUNTIF($Q$1:Q4,ADMIN!$H$6:$H$77)=0,ADMIN!$H$6:$H$77)),"")</f>
        <v>46187</v>
      </c>
      <c r="R5" s="781">
        <v>4</v>
      </c>
      <c r="S5" s="725"/>
      <c r="T5" s="786">
        <v>0.2</v>
      </c>
      <c r="X5" s="9"/>
    </row>
    <row r="6" spans="1:24" ht="15" customHeight="1">
      <c r="A6" s="5">
        <v>5</v>
      </c>
      <c r="B6" s="5" t="str">
        <f ca="1">+INDEX(Idiomas!$D$212:$D$259,MATCH(T_Equipos[[#This Row],[Num]],Idiomas!$C$212:$C$259,0))</f>
        <v>Canada</v>
      </c>
      <c r="C6" s="5" t="s">
        <v>1</v>
      </c>
      <c r="D6" s="5">
        <v>1</v>
      </c>
      <c r="F6" s="5" t="s">
        <v>3</v>
      </c>
      <c r="K6" s="8" t="str">
        <f ca="1">Idiomas!D216</f>
        <v>Australia</v>
      </c>
      <c r="L6" s="8" t="s">
        <v>1273</v>
      </c>
      <c r="M6" s="8" t="e" vm="58">
        <v>#VALUE!</v>
      </c>
      <c r="O6" s="783">
        <v>5</v>
      </c>
      <c r="P6" s="724"/>
      <c r="Q6" s="782" cm="1">
        <f t="array" aca="1" ref="Q6" ca="1">IFERROR(MIN(IF(COUNTIF($Q$1:Q5,ADMIN!$H$6:$H$77)=0,ADMIN!$H$6:$H$77)),"")</f>
        <v>46188</v>
      </c>
      <c r="R6" s="781">
        <v>5</v>
      </c>
      <c r="S6" s="725"/>
      <c r="T6" s="786">
        <v>0.25</v>
      </c>
      <c r="X6" s="9"/>
    </row>
    <row r="7" spans="1:24" ht="15" customHeight="1">
      <c r="A7" s="5">
        <v>6</v>
      </c>
      <c r="B7" s="5" t="str">
        <f ca="1">+INDEX(Idiomas!$D$212:$D$259,MATCH(T_Equipos[[#This Row],[Num]],Idiomas!$C$212:$C$259,0))</f>
        <v>Bosnia and Herzegovina</v>
      </c>
      <c r="C7" s="5" t="s">
        <v>1</v>
      </c>
      <c r="D7" s="5">
        <v>2</v>
      </c>
      <c r="F7" s="5" t="s">
        <v>4</v>
      </c>
      <c r="K7" s="8" t="str">
        <f ca="1">Idiomas!D217</f>
        <v>Austria</v>
      </c>
      <c r="L7" s="783" t="s">
        <v>145</v>
      </c>
      <c r="M7" s="783" t="e" vm="59">
        <v>#VALUE!</v>
      </c>
      <c r="O7" s="783">
        <v>6</v>
      </c>
      <c r="P7" s="724"/>
      <c r="Q7" s="782" cm="1">
        <f t="array" aca="1" ref="Q7" ca="1">IFERROR(MIN(IF(COUNTIF($Q$1:Q6,ADMIN!$H$6:$H$77)=0,ADMIN!$H$6:$H$77)),"")</f>
        <v>46189</v>
      </c>
      <c r="R7" s="781">
        <v>6</v>
      </c>
      <c r="S7" s="725"/>
      <c r="T7" s="786">
        <v>0.3</v>
      </c>
      <c r="X7" s="9"/>
    </row>
    <row r="8" spans="1:24" ht="15" customHeight="1">
      <c r="A8" s="5">
        <v>7</v>
      </c>
      <c r="B8" s="5" t="str">
        <f ca="1">+INDEX(Idiomas!$D$212:$D$259,MATCH(T_Equipos[[#This Row],[Num]],Idiomas!$C$212:$C$259,0))</f>
        <v>Qatar</v>
      </c>
      <c r="C8" s="5" t="s">
        <v>1</v>
      </c>
      <c r="D8" s="5">
        <v>3</v>
      </c>
      <c r="F8" s="5" t="s">
        <v>6</v>
      </c>
      <c r="K8" s="8" t="str">
        <f ca="1">Idiomas!D218</f>
        <v>Belgium</v>
      </c>
      <c r="L8" s="8" t="s">
        <v>140</v>
      </c>
      <c r="M8" s="8" t="e" vm="60">
        <v>#VALUE!</v>
      </c>
      <c r="O8" s="783">
        <v>7</v>
      </c>
      <c r="P8" s="724"/>
      <c r="Q8" s="782" cm="1">
        <f t="array" aca="1" ref="Q8" ca="1">IFERROR(MIN(IF(COUNTIF($Q$1:Q7,ADMIN!$H$6:$H$77)=0,ADMIN!$H$6:$H$77)),"")</f>
        <v>46190</v>
      </c>
      <c r="R8" s="781">
        <v>7</v>
      </c>
      <c r="S8" s="725"/>
      <c r="T8" s="786">
        <v>0.35</v>
      </c>
      <c r="X8" s="9"/>
    </row>
    <row r="9" spans="1:24" ht="15" customHeight="1">
      <c r="A9" s="5">
        <v>8</v>
      </c>
      <c r="B9" s="5" t="str">
        <f ca="1">+INDEX(Idiomas!$D$212:$D$259,MATCH(T_Equipos[[#This Row],[Num]],Idiomas!$C$212:$C$259,0))</f>
        <v>Switzerland</v>
      </c>
      <c r="C9" s="5" t="s">
        <v>1</v>
      </c>
      <c r="D9" s="5">
        <v>4</v>
      </c>
      <c r="F9" s="5" t="s">
        <v>437</v>
      </c>
      <c r="K9" s="8" t="str">
        <f ca="1">Idiomas!D219</f>
        <v>Brazil</v>
      </c>
      <c r="L9" s="8" t="s">
        <v>1275</v>
      </c>
      <c r="M9" s="8" t="e" vm="61">
        <v>#VALUE!</v>
      </c>
      <c r="O9" s="783">
        <v>8</v>
      </c>
      <c r="P9" s="724"/>
      <c r="Q9" s="782" cm="1">
        <f t="array" aca="1" ref="Q9" ca="1">IFERROR(MIN(IF(COUNTIF($Q$1:Q8,ADMIN!$H$6:$H$77)=0,ADMIN!$H$6:$H$77)),"")</f>
        <v>46191</v>
      </c>
      <c r="R9" s="781">
        <v>8</v>
      </c>
      <c r="S9" s="725"/>
      <c r="T9" s="786">
        <v>0.4</v>
      </c>
      <c r="X9" s="9"/>
    </row>
    <row r="10" spans="1:24" ht="15" customHeight="1">
      <c r="A10" s="5">
        <v>9</v>
      </c>
      <c r="B10" s="5" t="str">
        <f ca="1">+INDEX(Idiomas!$D$212:$D$259,MATCH(T_Equipos[[#This Row],[Num]],Idiomas!$C$212:$C$259,0))</f>
        <v>Brazil</v>
      </c>
      <c r="C10" s="5" t="s">
        <v>2</v>
      </c>
      <c r="D10" s="5">
        <v>1</v>
      </c>
      <c r="F10" s="5" t="s">
        <v>438</v>
      </c>
      <c r="K10" s="8" t="str">
        <f ca="1">Idiomas!D220</f>
        <v>Cape Verde</v>
      </c>
      <c r="L10" s="8" t="s">
        <v>1557</v>
      </c>
      <c r="M10" s="8" t="e" vm="62">
        <v>#VALUE!</v>
      </c>
      <c r="O10" s="783">
        <v>9</v>
      </c>
      <c r="P10" s="724"/>
      <c r="Q10" s="782" cm="1">
        <f t="array" aca="1" ref="Q10" ca="1">IFERROR(MIN(IF(COUNTIF($Q$1:Q9,ADMIN!$H$6:$H$77)=0,ADMIN!$H$6:$H$77)),"")</f>
        <v>46192</v>
      </c>
      <c r="R10" s="781">
        <v>9</v>
      </c>
      <c r="S10" s="725"/>
      <c r="T10" s="786">
        <v>0.45</v>
      </c>
      <c r="X10" s="9"/>
    </row>
    <row r="11" spans="1:24" ht="15" customHeight="1">
      <c r="A11" s="5">
        <v>10</v>
      </c>
      <c r="B11" s="5" t="str">
        <f ca="1">+INDEX(Idiomas!$D$212:$D$259,MATCH(T_Equipos[[#This Row],[Num]],Idiomas!$C$212:$C$259,0))</f>
        <v>Morocco</v>
      </c>
      <c r="C11" s="5" t="s">
        <v>2</v>
      </c>
      <c r="D11" s="5">
        <v>2</v>
      </c>
      <c r="F11" s="5" t="s">
        <v>5</v>
      </c>
      <c r="K11" s="8" t="str">
        <f ca="1">Idiomas!D221</f>
        <v>Canada</v>
      </c>
      <c r="L11" s="8" t="s">
        <v>1277</v>
      </c>
      <c r="M11" s="8" t="e" vm="63">
        <v>#VALUE!</v>
      </c>
      <c r="O11" s="783">
        <v>10</v>
      </c>
      <c r="P11" s="724"/>
      <c r="Q11" s="782" cm="1">
        <f t="array" aca="1" ref="Q11" ca="1">IFERROR(MIN(IF(COUNTIF($Q$1:Q10,ADMIN!$H$6:$H$77)=0,ADMIN!$H$6:$H$77)),"")</f>
        <v>46193</v>
      </c>
      <c r="R11" s="781">
        <v>10</v>
      </c>
      <c r="S11" s="725"/>
      <c r="T11" s="786">
        <v>0.5</v>
      </c>
      <c r="X11" s="9"/>
    </row>
    <row r="12" spans="1:24" ht="15" customHeight="1">
      <c r="A12" s="5">
        <v>11</v>
      </c>
      <c r="B12" s="5" t="str">
        <f ca="1">+INDEX(Idiomas!$D$212:$D$259,MATCH(T_Equipos[[#This Row],[Num]],Idiomas!$C$212:$C$259,0))</f>
        <v>Haiti</v>
      </c>
      <c r="C12" s="5" t="s">
        <v>2</v>
      </c>
      <c r="D12" s="5">
        <v>3</v>
      </c>
      <c r="F12" s="5" t="s">
        <v>439</v>
      </c>
      <c r="K12" s="8" t="str">
        <f ca="1">Idiomas!D222</f>
        <v>Qatar</v>
      </c>
      <c r="L12" s="8" t="s">
        <v>1638</v>
      </c>
      <c r="M12" s="8" t="e" vm="64">
        <v>#VALUE!</v>
      </c>
      <c r="O12" s="783">
        <v>11</v>
      </c>
      <c r="P12" s="724"/>
      <c r="Q12" s="782" cm="1">
        <f t="array" aca="1" ref="Q12" ca="1">IFERROR(MIN(IF(COUNTIF($Q$1:Q11,ADMIN!$H$6:$H$77)=0,ADMIN!$H$6:$H$77)),"")</f>
        <v>46194</v>
      </c>
      <c r="R12" s="781">
        <v>11</v>
      </c>
      <c r="S12" s="725"/>
      <c r="T12" s="786">
        <v>0.55000000000000004</v>
      </c>
      <c r="X12" s="9"/>
    </row>
    <row r="13" spans="1:24" ht="15" customHeight="1">
      <c r="A13" s="5">
        <v>12</v>
      </c>
      <c r="B13" s="5" t="str">
        <f ca="1">+INDEX(Idiomas!$D$212:$D$259,MATCH(T_Equipos[[#This Row],[Num]],Idiomas!$C$212:$C$259,0))</f>
        <v>Scotland</v>
      </c>
      <c r="C13" s="5" t="s">
        <v>2</v>
      </c>
      <c r="D13" s="5">
        <v>4</v>
      </c>
      <c r="F13" s="5" t="s">
        <v>238</v>
      </c>
      <c r="K13" s="8" t="str">
        <f ca="1">Idiomas!D223</f>
        <v>Colombia</v>
      </c>
      <c r="L13" s="8" t="s">
        <v>1325</v>
      </c>
      <c r="M13" s="8" t="e" vm="65">
        <v>#VALUE!</v>
      </c>
      <c r="O13" s="783">
        <v>12</v>
      </c>
      <c r="P13" s="724"/>
      <c r="Q13" s="782" cm="1">
        <f t="array" aca="1" ref="Q13" ca="1">IFERROR(MIN(IF(COUNTIF($Q$1:Q12,ADMIN!$H$6:$H$77)=0,ADMIN!$H$6:$H$77)),"")</f>
        <v>46195</v>
      </c>
      <c r="R13" s="781">
        <v>12</v>
      </c>
      <c r="S13" s="725"/>
      <c r="T13" s="786">
        <v>0.6</v>
      </c>
      <c r="X13" s="9"/>
    </row>
    <row r="14" spans="1:24" ht="15" customHeight="1">
      <c r="A14" s="5">
        <v>13</v>
      </c>
      <c r="B14" s="5" t="str">
        <f ca="1">+INDEX(Idiomas!$D$212:$D$259,MATCH(T_Equipos[[#This Row],[Num]],Idiomas!$C$212:$C$259,0))</f>
        <v>United States</v>
      </c>
      <c r="C14" s="5" t="s">
        <v>73</v>
      </c>
      <c r="D14" s="5">
        <v>1</v>
      </c>
      <c r="K14" s="8" t="str">
        <f ca="1">Idiomas!D224</f>
        <v>South Korea</v>
      </c>
      <c r="L14" s="8" t="s">
        <v>1279</v>
      </c>
      <c r="M14" s="8" t="e" vm="66">
        <v>#VALUE!</v>
      </c>
      <c r="O14" s="783">
        <v>13</v>
      </c>
      <c r="P14" s="724"/>
      <c r="Q14" s="782" cm="1">
        <f t="array" aca="1" ref="Q14" ca="1">IFERROR(MIN(IF(COUNTIF($Q$1:Q13,ADMIN!$H$6:$H$77)=0,ADMIN!$H$6:$H$77)),"")</f>
        <v>46196</v>
      </c>
      <c r="R14" s="781">
        <v>13</v>
      </c>
      <c r="S14" s="725"/>
      <c r="T14" s="786">
        <v>0.65</v>
      </c>
      <c r="X14" s="9"/>
    </row>
    <row r="15" spans="1:24" ht="15" customHeight="1">
      <c r="A15" s="5">
        <v>14</v>
      </c>
      <c r="B15" s="5" t="str">
        <f ca="1">+INDEX(Idiomas!$D$212:$D$259,MATCH(T_Equipos[[#This Row],[Num]],Idiomas!$C$212:$C$259,0))</f>
        <v>Paraguay</v>
      </c>
      <c r="C15" s="5" t="s">
        <v>73</v>
      </c>
      <c r="D15" s="5">
        <v>2</v>
      </c>
      <c r="K15" s="8" t="str">
        <f ca="1">Idiomas!D225</f>
        <v>Ivory Coast</v>
      </c>
      <c r="L15" s="8" t="s">
        <v>1642</v>
      </c>
      <c r="M15" s="11" t="e" vm="67">
        <v>#VALUE!</v>
      </c>
      <c r="O15" s="783">
        <v>14</v>
      </c>
      <c r="P15" s="724"/>
      <c r="Q15" s="782" cm="1">
        <f t="array" aca="1" ref="Q15" ca="1">IFERROR(MIN(IF(COUNTIF($Q$1:Q14,ADMIN!$H$6:$H$77)=0,ADMIN!$H$6:$H$77)),"")</f>
        <v>46197</v>
      </c>
      <c r="R15" s="781">
        <v>14</v>
      </c>
      <c r="S15" s="725"/>
      <c r="T15" s="786">
        <v>0.7</v>
      </c>
      <c r="X15" s="9"/>
    </row>
    <row r="16" spans="1:24" ht="15" customHeight="1">
      <c r="A16" s="5">
        <v>15</v>
      </c>
      <c r="B16" s="5" t="str">
        <f ca="1">+INDEX(Idiomas!$D$212:$D$259,MATCH(T_Equipos[[#This Row],[Num]],Idiomas!$C$212:$C$259,0))</f>
        <v>Australia</v>
      </c>
      <c r="C16" s="5" t="s">
        <v>73</v>
      </c>
      <c r="D16" s="5">
        <v>3</v>
      </c>
      <c r="K16" s="8" t="str">
        <f ca="1">Idiomas!D226</f>
        <v>Croatia</v>
      </c>
      <c r="L16" s="8" t="s">
        <v>143</v>
      </c>
      <c r="M16" s="8" t="e" vm="68">
        <v>#VALUE!</v>
      </c>
      <c r="O16" s="783">
        <v>15</v>
      </c>
      <c r="P16" s="724"/>
      <c r="Q16" s="782" cm="1">
        <f t="array" aca="1" ref="Q16" ca="1">IFERROR(MIN(IF(COUNTIF($Q$1:Q15,ADMIN!$H$6:$H$77)=0,ADMIN!$H$6:$H$77)),"")</f>
        <v>46198</v>
      </c>
      <c r="R16" s="781">
        <v>15</v>
      </c>
      <c r="S16" s="725"/>
      <c r="T16" s="786">
        <v>0.75</v>
      </c>
      <c r="X16" s="9"/>
    </row>
    <row r="17" spans="1:24" ht="15" customHeight="1">
      <c r="A17" s="5">
        <v>16</v>
      </c>
      <c r="B17" s="5" t="str">
        <f ca="1">+INDEX(Idiomas!$D$212:$D$259,MATCH(T_Equipos[[#This Row],[Num]],Idiomas!$C$212:$C$259,0))</f>
        <v>Turkey</v>
      </c>
      <c r="C17" s="5" t="s">
        <v>73</v>
      </c>
      <c r="D17" s="5">
        <v>4</v>
      </c>
      <c r="K17" s="8" t="str">
        <f ca="1">Idiomas!D227</f>
        <v>Curaçao</v>
      </c>
      <c r="L17" s="8" t="s">
        <v>1732</v>
      </c>
      <c r="M17" s="8" t="e" vm="69">
        <v>#VALUE!</v>
      </c>
      <c r="O17" s="783">
        <v>16</v>
      </c>
      <c r="P17" s="724"/>
      <c r="Q17" s="782" cm="1">
        <f t="array" aca="1" ref="Q17" ca="1">IFERROR(MIN(IF(COUNTIF($Q$1:Q16,ADMIN!$H$6:$H$77)=0,ADMIN!$H$6:$H$77)),"")</f>
        <v>46199</v>
      </c>
      <c r="R17" s="781">
        <v>16</v>
      </c>
      <c r="S17" s="725"/>
      <c r="T17" s="786">
        <v>0.8</v>
      </c>
      <c r="X17" s="9"/>
    </row>
    <row r="18" spans="1:24" ht="15" customHeight="1">
      <c r="A18" s="5">
        <v>17</v>
      </c>
      <c r="B18" s="5" t="str">
        <f ca="1">+INDEX(Idiomas!$D$212:$D$259,MATCH(T_Equipos[[#This Row],[Num]],Idiomas!$C$212:$C$259,0))</f>
        <v>Germany</v>
      </c>
      <c r="C18" s="5" t="s">
        <v>3</v>
      </c>
      <c r="D18" s="5">
        <v>1</v>
      </c>
      <c r="K18" s="8" t="str">
        <f ca="1">Idiomas!D228</f>
        <v>Ecuador</v>
      </c>
      <c r="L18" s="8" t="s">
        <v>1280</v>
      </c>
      <c r="M18" s="11" t="e" vm="70">
        <v>#VALUE!</v>
      </c>
      <c r="O18" s="783">
        <v>17</v>
      </c>
      <c r="P18" s="724"/>
      <c r="Q18" s="782" cm="1">
        <f t="array" aca="1" ref="Q18" ca="1">IFERROR(MIN(IF(COUNTIF($Q$1:Q17,ADMIN!$H$6:$H$77)=0,ADMIN!$H$6:$H$77)),"")</f>
        <v>46200</v>
      </c>
      <c r="R18" s="781">
        <v>17</v>
      </c>
      <c r="S18" s="725"/>
      <c r="T18" s="786">
        <v>0.85</v>
      </c>
      <c r="X18" s="9"/>
    </row>
    <row r="19" spans="1:24" ht="15" customHeight="1">
      <c r="A19" s="5">
        <v>18</v>
      </c>
      <c r="B19" s="5" t="str">
        <f ca="1">+INDEX(Idiomas!$D$212:$D$259,MATCH(T_Equipos[[#This Row],[Num]],Idiomas!$C$212:$C$259,0))</f>
        <v>Curaçao</v>
      </c>
      <c r="C19" s="5" t="s">
        <v>3</v>
      </c>
      <c r="D19" s="5">
        <v>2</v>
      </c>
      <c r="K19" s="8" t="str">
        <f ca="1">Idiomas!D229</f>
        <v>Egypt</v>
      </c>
      <c r="L19" s="8" t="s">
        <v>1554</v>
      </c>
      <c r="M19" s="11" t="e" vm="71">
        <v>#VALUE!</v>
      </c>
      <c r="O19" s="783">
        <v>18</v>
      </c>
      <c r="P19" s="724"/>
      <c r="Q19" s="782" cm="1">
        <f t="array" aca="1" ref="Q19" ca="1">IFERROR(MIN(IF(COUNTIF($Q$1:Q18,ADMIN!$H$6:$H$77)=0,ADMIN!$H$6:$H$77)),"")</f>
        <v>46201</v>
      </c>
      <c r="R19" s="781">
        <v>18</v>
      </c>
      <c r="S19" s="725"/>
      <c r="T19" s="786">
        <v>0.9</v>
      </c>
      <c r="X19" s="9"/>
    </row>
    <row r="20" spans="1:24" ht="15" customHeight="1">
      <c r="A20" s="5">
        <v>19</v>
      </c>
      <c r="B20" s="5" t="str">
        <f ca="1">+INDEX(Idiomas!$D$212:$D$259,MATCH(T_Equipos[[#This Row],[Num]],Idiomas!$C$212:$C$259,0))</f>
        <v>Ivory Coast</v>
      </c>
      <c r="C20" s="5" t="s">
        <v>3</v>
      </c>
      <c r="D20" s="5">
        <v>3</v>
      </c>
      <c r="K20" s="8" t="str">
        <f ca="1">Idiomas!D230</f>
        <v>Scotland</v>
      </c>
      <c r="L20" s="8" t="s">
        <v>146</v>
      </c>
      <c r="M20" s="8" t="e" vm="72">
        <v>#VALUE!</v>
      </c>
      <c r="O20" s="783">
        <v>19</v>
      </c>
      <c r="P20" s="724"/>
      <c r="Q20" s="783" t="str">
        <f>+PROPER(Idiomas!D137)</f>
        <v>Qualified For Round Of 32</v>
      </c>
      <c r="R20" s="783">
        <v>19</v>
      </c>
      <c r="T20" s="786">
        <v>0.95</v>
      </c>
      <c r="X20" s="9"/>
    </row>
    <row r="21" spans="1:24" ht="15" customHeight="1">
      <c r="A21" s="5">
        <v>20</v>
      </c>
      <c r="B21" s="5" t="str">
        <f ca="1">+INDEX(Idiomas!$D$212:$D$259,MATCH(T_Equipos[[#This Row],[Num]],Idiomas!$C$212:$C$259,0))</f>
        <v>Ecuador</v>
      </c>
      <c r="C21" s="5" t="s">
        <v>3</v>
      </c>
      <c r="D21" s="5">
        <v>4</v>
      </c>
      <c r="K21" s="8" t="str">
        <f ca="1">Idiomas!D231</f>
        <v>Spain</v>
      </c>
      <c r="L21" s="8" t="s">
        <v>142</v>
      </c>
      <c r="M21" s="8" t="e" vm="73">
        <v>#VALUE!</v>
      </c>
      <c r="O21" s="783">
        <v>20</v>
      </c>
      <c r="Q21" s="782" t="str">
        <f>Idiomas!D260</f>
        <v>Round of 32</v>
      </c>
      <c r="R21" s="781">
        <v>20</v>
      </c>
      <c r="T21" s="723"/>
      <c r="X21" s="9"/>
    </row>
    <row r="22" spans="1:24" ht="15" customHeight="1">
      <c r="A22" s="5">
        <v>21</v>
      </c>
      <c r="B22" s="5" t="str">
        <f ca="1">+INDEX(Idiomas!$D$212:$D$259,MATCH(T_Equipos[[#This Row],[Num]],Idiomas!$C$212:$C$259,0))</f>
        <v>Netherlands</v>
      </c>
      <c r="C22" s="5" t="s">
        <v>4</v>
      </c>
      <c r="D22" s="5">
        <v>1</v>
      </c>
      <c r="K22" s="8" t="str">
        <f ca="1">Idiomas!D232</f>
        <v>United States</v>
      </c>
      <c r="L22" s="8" t="s">
        <v>1281</v>
      </c>
      <c r="M22" s="8" t="e" vm="74">
        <v>#VALUE!</v>
      </c>
      <c r="O22" s="783">
        <v>21</v>
      </c>
      <c r="Q22" s="782" t="str">
        <f>Idiomas!D261</f>
        <v>Round Of 16</v>
      </c>
      <c r="R22" s="781">
        <v>21</v>
      </c>
      <c r="T22" s="723"/>
      <c r="X22" s="9"/>
    </row>
    <row r="23" spans="1:24" ht="15" customHeight="1">
      <c r="A23" s="5">
        <v>22</v>
      </c>
      <c r="B23" s="5" t="str">
        <f ca="1">+INDEX(Idiomas!$D$212:$D$259,MATCH(T_Equipos[[#This Row],[Num]],Idiomas!$C$212:$C$259,0))</f>
        <v>Japan</v>
      </c>
      <c r="C23" s="5" t="s">
        <v>4</v>
      </c>
      <c r="D23" s="5">
        <v>2</v>
      </c>
      <c r="K23" s="8" t="str">
        <f ca="1">Idiomas!D233</f>
        <v>France</v>
      </c>
      <c r="L23" s="8" t="s">
        <v>141</v>
      </c>
      <c r="M23" s="8" t="e" vm="75">
        <v>#VALUE!</v>
      </c>
      <c r="O23" s="783">
        <v>22</v>
      </c>
      <c r="Q23" s="782" t="str">
        <f>Idiomas!D262</f>
        <v>Quarterfinals</v>
      </c>
      <c r="R23" s="781">
        <v>22</v>
      </c>
      <c r="X23" s="9"/>
    </row>
    <row r="24" spans="1:24" ht="15" customHeight="1">
      <c r="A24" s="5">
        <v>23</v>
      </c>
      <c r="B24" s="5" t="str">
        <f ca="1">+INDEX(Idiomas!$D$212:$D$259,MATCH(T_Equipos[[#This Row],[Num]],Idiomas!$C$212:$C$259,0))</f>
        <v>Sweden</v>
      </c>
      <c r="C24" s="5" t="s">
        <v>4</v>
      </c>
      <c r="D24" s="5">
        <v>3</v>
      </c>
      <c r="K24" s="8" t="str">
        <f ca="1">Idiomas!D234</f>
        <v>Ghana</v>
      </c>
      <c r="L24" s="8" t="s">
        <v>1555</v>
      </c>
      <c r="M24" s="8" t="e" vm="76">
        <v>#VALUE!</v>
      </c>
      <c r="O24" s="783">
        <v>23</v>
      </c>
      <c r="Q24" s="782" t="str">
        <f>Idiomas!D263</f>
        <v>Semifinals</v>
      </c>
      <c r="R24" s="781">
        <v>23</v>
      </c>
      <c r="X24" s="9"/>
    </row>
    <row r="25" spans="1:24" ht="15" customHeight="1">
      <c r="A25" s="5">
        <v>24</v>
      </c>
      <c r="B25" s="5" t="str">
        <f ca="1">+INDEX(Idiomas!$D$212:$D$259,MATCH(T_Equipos[[#This Row],[Num]],Idiomas!$C$212:$C$259,0))</f>
        <v>Tunisia</v>
      </c>
      <c r="C25" s="5" t="s">
        <v>4</v>
      </c>
      <c r="D25" s="5">
        <v>4</v>
      </c>
      <c r="K25" s="8" t="str">
        <f ca="1">Idiomas!D235</f>
        <v>Haiti</v>
      </c>
      <c r="L25" s="8" t="s">
        <v>1733</v>
      </c>
      <c r="M25" s="8" t="e" vm="77">
        <v>#VALUE!</v>
      </c>
      <c r="O25" s="783">
        <v>24</v>
      </c>
      <c r="Q25" s="782" t="str">
        <f>Idiomas!D264</f>
        <v>3-4 &amp; Final</v>
      </c>
      <c r="R25" s="781">
        <v>24</v>
      </c>
      <c r="X25" s="9"/>
    </row>
    <row r="26" spans="1:24" ht="15" customHeight="1">
      <c r="A26" s="5">
        <v>25</v>
      </c>
      <c r="B26" s="5" t="str">
        <f ca="1">+INDEX(Idiomas!$D$212:$D$259,MATCH(T_Equipos[[#This Row],[Num]],Idiomas!$C$212:$C$259,0))</f>
        <v>Belgium</v>
      </c>
      <c r="C26" s="5" t="s">
        <v>6</v>
      </c>
      <c r="D26" s="5">
        <v>1</v>
      </c>
      <c r="K26" s="8" t="str">
        <f ca="1">Idiomas!D236</f>
        <v>England</v>
      </c>
      <c r="L26" s="8" t="s">
        <v>139</v>
      </c>
      <c r="M26" s="8" t="e" vm="78">
        <v>#VALUE!</v>
      </c>
      <c r="O26" s="783">
        <v>25</v>
      </c>
      <c r="Q26" s="783" t="str">
        <f>+PROPER(Idiomas!G137)</f>
        <v>Clasificados Para Dieciseisavos</v>
      </c>
      <c r="R26" s="783">
        <v>19</v>
      </c>
      <c r="X26" s="9"/>
    </row>
    <row r="27" spans="1:24" ht="15" customHeight="1">
      <c r="A27" s="5">
        <v>26</v>
      </c>
      <c r="B27" s="5" t="str">
        <f ca="1">+INDEX(Idiomas!$D$212:$D$259,MATCH(T_Equipos[[#This Row],[Num]],Idiomas!$C$212:$C$259,0))</f>
        <v>Egypt</v>
      </c>
      <c r="C27" s="5" t="s">
        <v>6</v>
      </c>
      <c r="D27" s="5">
        <v>2</v>
      </c>
      <c r="K27" s="8" t="str">
        <f ca="1">Idiomas!D237</f>
        <v>Iran</v>
      </c>
      <c r="L27" s="8" t="str">
        <f>+INDEX(Credits!$W$87:$W$91,MATCH(Credits!$N$87,Credits!$U$87:$U$91,0))</f>
        <v>🇮🇷</v>
      </c>
      <c r="M27" s="8" t="e" vm="27">
        <f>+INDEX(Credits!$X$87:$X$91,MATCH(Credits!$N$87,Credits!$U$87:$U$91,0))</f>
        <v>#VALUE!</v>
      </c>
      <c r="O27" s="783">
        <v>26</v>
      </c>
      <c r="P27" s="725"/>
      <c r="Q27" s="782" t="str">
        <f>Idiomas!G260</f>
        <v>Dieciseisavos de final</v>
      </c>
      <c r="R27" s="781">
        <v>20</v>
      </c>
      <c r="X27" s="9"/>
    </row>
    <row r="28" spans="1:24" ht="15" customHeight="1">
      <c r="A28" s="5">
        <v>27</v>
      </c>
      <c r="B28" s="5" t="str">
        <f ca="1">+INDEX(Idiomas!$D$212:$D$259,MATCH(T_Equipos[[#This Row],[Num]],Idiomas!$C$212:$C$259,0))</f>
        <v>Iran</v>
      </c>
      <c r="C28" s="5" t="s">
        <v>6</v>
      </c>
      <c r="D28" s="5">
        <v>3</v>
      </c>
      <c r="K28" s="8" t="str">
        <f ca="1">Idiomas!D238</f>
        <v>Japan</v>
      </c>
      <c r="L28" s="8" t="s">
        <v>1285</v>
      </c>
      <c r="M28" s="8" t="e" vm="79">
        <v>#VALUE!</v>
      </c>
      <c r="O28" s="783">
        <v>27</v>
      </c>
      <c r="P28" s="725"/>
      <c r="Q28" s="782" t="str">
        <f>Idiomas!G261</f>
        <v>Octavos de final</v>
      </c>
      <c r="R28" s="781">
        <v>21</v>
      </c>
      <c r="X28" s="9"/>
    </row>
    <row r="29" spans="1:24" ht="15" customHeight="1">
      <c r="A29" s="5">
        <v>28</v>
      </c>
      <c r="B29" s="5" t="str">
        <f ca="1">+INDEX(Idiomas!$D$212:$D$259,MATCH(T_Equipos[[#This Row],[Num]],Idiomas!$C$212:$C$259,0))</f>
        <v>New Zealand</v>
      </c>
      <c r="C29" s="5" t="s">
        <v>6</v>
      </c>
      <c r="D29" s="5">
        <v>4</v>
      </c>
      <c r="K29" s="8" t="str">
        <f ca="1">Idiomas!D239</f>
        <v>Jordan</v>
      </c>
      <c r="L29" s="8" t="s">
        <v>1287</v>
      </c>
      <c r="M29" s="8" t="e" vm="80">
        <v>#VALUE!</v>
      </c>
      <c r="O29" s="783">
        <v>28</v>
      </c>
      <c r="P29" s="725"/>
      <c r="Q29" s="782" t="str">
        <f>Idiomas!G262</f>
        <v>Cuartos de final</v>
      </c>
      <c r="R29" s="781">
        <v>22</v>
      </c>
      <c r="X29" s="9"/>
    </row>
    <row r="30" spans="1:24" ht="15" customHeight="1">
      <c r="A30" s="5">
        <v>29</v>
      </c>
      <c r="B30" s="5" t="str">
        <f ca="1">+INDEX(Idiomas!$D$212:$D$259,MATCH(T_Equipos[[#This Row],[Num]],Idiomas!$C$212:$C$259,0))</f>
        <v>Spain</v>
      </c>
      <c r="C30" s="5" t="s">
        <v>437</v>
      </c>
      <c r="D30" s="5">
        <v>1</v>
      </c>
      <c r="K30" s="8" t="str">
        <f ca="1">Idiomas!D240</f>
        <v>Morocco</v>
      </c>
      <c r="L30" s="8" t="s">
        <v>1327</v>
      </c>
      <c r="M30" s="8" t="e" vm="81">
        <v>#VALUE!</v>
      </c>
      <c r="O30" s="783">
        <v>29</v>
      </c>
      <c r="Q30" s="782" t="str">
        <f>Idiomas!G263</f>
        <v>Semifinales</v>
      </c>
      <c r="R30" s="781">
        <v>23</v>
      </c>
      <c r="X30" s="9"/>
    </row>
    <row r="31" spans="1:24" ht="15" customHeight="1">
      <c r="A31" s="5">
        <v>30</v>
      </c>
      <c r="B31" s="5" t="str">
        <f ca="1">+INDEX(Idiomas!$D$212:$D$259,MATCH(T_Equipos[[#This Row],[Num]],Idiomas!$C$212:$C$259,0))</f>
        <v>Cape Verde</v>
      </c>
      <c r="C31" s="5" t="s">
        <v>437</v>
      </c>
      <c r="D31" s="5">
        <v>2</v>
      </c>
      <c r="K31" s="8" t="str">
        <f ca="1">Idiomas!D241</f>
        <v>Mexico</v>
      </c>
      <c r="L31" s="8" t="s">
        <v>1289</v>
      </c>
      <c r="M31" s="8" t="e" vm="82">
        <v>#VALUE!</v>
      </c>
      <c r="O31" s="783">
        <v>30</v>
      </c>
      <c r="Q31" s="782" t="str">
        <f>Idiomas!G264</f>
        <v>3-4 &amp; Final</v>
      </c>
      <c r="R31" s="781">
        <v>24</v>
      </c>
      <c r="X31" s="9"/>
    </row>
    <row r="32" spans="1:24" ht="15" customHeight="1">
      <c r="A32" s="5">
        <v>31</v>
      </c>
      <c r="B32" s="5" t="str">
        <f ca="1">+INDEX(Idiomas!$D$212:$D$259,MATCH(T_Equipos[[#This Row],[Num]],Idiomas!$C$212:$C$259,0))</f>
        <v>Saudi Arabia</v>
      </c>
      <c r="C32" s="5" t="s">
        <v>437</v>
      </c>
      <c r="D32" s="5">
        <v>3</v>
      </c>
      <c r="K32" s="8" t="str">
        <f ca="1">Idiomas!D242</f>
        <v>Norway</v>
      </c>
      <c r="L32" s="8" t="s">
        <v>147</v>
      </c>
      <c r="M32" s="8" t="e" vm="83">
        <v>#VALUE!</v>
      </c>
      <c r="O32" s="783">
        <v>31</v>
      </c>
      <c r="Q32" s="783" t="str">
        <f>+PROPER(Idiomas!H137)</f>
        <v>Qualified For Round Of 32</v>
      </c>
      <c r="R32" s="783">
        <v>19</v>
      </c>
      <c r="X32" s="9"/>
    </row>
    <row r="33" spans="1:24" ht="15" customHeight="1">
      <c r="A33" s="5">
        <v>32</v>
      </c>
      <c r="B33" s="5" t="str">
        <f ca="1">+INDEX(Idiomas!$D$212:$D$259,MATCH(T_Equipos[[#This Row],[Num]],Idiomas!$C$212:$C$259,0))</f>
        <v>Uruguay</v>
      </c>
      <c r="C33" s="5" t="s">
        <v>437</v>
      </c>
      <c r="D33" s="5">
        <v>4</v>
      </c>
      <c r="K33" s="8" t="str">
        <f ca="1">Idiomas!D243</f>
        <v>New Zealand</v>
      </c>
      <c r="L33" s="8" t="s">
        <v>1291</v>
      </c>
      <c r="M33" s="8" t="e" vm="84">
        <v>#VALUE!</v>
      </c>
      <c r="O33" s="783">
        <v>32</v>
      </c>
      <c r="Q33" s="782" t="str">
        <f>Idiomas!H260</f>
        <v>Round of 32</v>
      </c>
      <c r="R33" s="781">
        <v>20</v>
      </c>
      <c r="X33" s="9"/>
    </row>
    <row r="34" spans="1:24" ht="15" customHeight="1">
      <c r="A34" s="5">
        <v>33</v>
      </c>
      <c r="B34" s="5" t="str">
        <f ca="1">+INDEX(Idiomas!$D$212:$D$259,MATCH(T_Equipos[[#This Row],[Num]],Idiomas!$C$212:$C$259,0))</f>
        <v>France</v>
      </c>
      <c r="C34" s="5" t="s">
        <v>438</v>
      </c>
      <c r="D34" s="5">
        <v>1</v>
      </c>
      <c r="K34" s="8" t="str">
        <f ca="1">Idiomas!D244</f>
        <v>Netherlands</v>
      </c>
      <c r="L34" s="8" t="s">
        <v>138</v>
      </c>
      <c r="M34" s="8" t="e" vm="85">
        <v>#VALUE!</v>
      </c>
      <c r="O34" s="783">
        <v>33</v>
      </c>
      <c r="Q34" s="782" t="str">
        <f>Idiomas!H261</f>
        <v>Round Of 16</v>
      </c>
      <c r="R34" s="781">
        <v>21</v>
      </c>
      <c r="X34" s="9"/>
    </row>
    <row r="35" spans="1:24" ht="15" customHeight="1">
      <c r="A35" s="5">
        <v>34</v>
      </c>
      <c r="B35" s="5" t="str">
        <f ca="1">+INDEX(Idiomas!$D$212:$D$259,MATCH(T_Equipos[[#This Row],[Num]],Idiomas!$C$212:$C$259,0))</f>
        <v>Senegal</v>
      </c>
      <c r="C35" s="5" t="s">
        <v>438</v>
      </c>
      <c r="D35" s="5">
        <v>2</v>
      </c>
      <c r="K35" s="8" t="str">
        <f ca="1">Idiomas!D245</f>
        <v>Panama</v>
      </c>
      <c r="L35" s="8" t="s">
        <v>1734</v>
      </c>
      <c r="M35" s="8" t="e" vm="86">
        <v>#VALUE!</v>
      </c>
      <c r="O35" s="783">
        <v>34</v>
      </c>
      <c r="Q35" s="782" t="str">
        <f>Idiomas!H262</f>
        <v>Quarterfinals</v>
      </c>
      <c r="R35" s="781">
        <v>22</v>
      </c>
      <c r="X35" s="9"/>
    </row>
    <row r="36" spans="1:24" ht="15" customHeight="1">
      <c r="A36" s="5">
        <v>35</v>
      </c>
      <c r="B36" s="5" t="str">
        <f ca="1">+INDEX(Idiomas!$D$212:$D$259,MATCH(T_Equipos[[#This Row],[Num]],Idiomas!$C$212:$C$259,0))</f>
        <v>Iraq</v>
      </c>
      <c r="C36" s="5" t="s">
        <v>438</v>
      </c>
      <c r="D36" s="5">
        <v>3</v>
      </c>
      <c r="K36" s="8" t="str">
        <f ca="1">Idiomas!D246</f>
        <v>Paraguay</v>
      </c>
      <c r="L36" s="8" t="s">
        <v>1324</v>
      </c>
      <c r="M36" s="8" t="e" vm="87">
        <v>#VALUE!</v>
      </c>
      <c r="O36" s="783">
        <v>35</v>
      </c>
      <c r="Q36" s="782" t="str">
        <f>Idiomas!H263</f>
        <v>Semifinals</v>
      </c>
      <c r="R36" s="781">
        <v>23</v>
      </c>
      <c r="X36" s="9"/>
    </row>
    <row r="37" spans="1:24" ht="15" customHeight="1">
      <c r="A37" s="5">
        <v>36</v>
      </c>
      <c r="B37" s="5" t="str">
        <f ca="1">+INDEX(Idiomas!$D$212:$D$259,MATCH(T_Equipos[[#This Row],[Num]],Idiomas!$C$212:$C$259,0))</f>
        <v>Norway</v>
      </c>
      <c r="C37" s="5" t="s">
        <v>438</v>
      </c>
      <c r="D37" s="5">
        <v>4</v>
      </c>
      <c r="K37" s="8" t="str">
        <f ca="1">Idiomas!D247</f>
        <v>Portugal</v>
      </c>
      <c r="L37" s="8" t="s">
        <v>137</v>
      </c>
      <c r="M37" s="8" t="e" vm="88">
        <v>#VALUE!</v>
      </c>
      <c r="O37" s="783">
        <v>36</v>
      </c>
      <c r="Q37" s="782" t="str">
        <f>Idiomas!H264</f>
        <v>3-4 &amp; Final</v>
      </c>
      <c r="R37" s="781">
        <v>24</v>
      </c>
      <c r="T37" s="724"/>
      <c r="U37" s="724"/>
      <c r="X37" s="9"/>
    </row>
    <row r="38" spans="1:24" ht="15" customHeight="1">
      <c r="A38" s="5">
        <v>37</v>
      </c>
      <c r="B38" s="5" t="str">
        <f ca="1">+INDEX(Idiomas!$D$212:$D$259,MATCH(T_Equipos[[#This Row],[Num]],Idiomas!$C$212:$C$259,0))</f>
        <v>Argentina</v>
      </c>
      <c r="C38" s="5" t="s">
        <v>5</v>
      </c>
      <c r="D38" s="5">
        <v>1</v>
      </c>
      <c r="K38" s="8" t="str">
        <f ca="1">Idiomas!D248</f>
        <v>Senegal</v>
      </c>
      <c r="L38" s="8" t="s">
        <v>1643</v>
      </c>
      <c r="M38" s="8" t="e" vm="89">
        <v>#VALUE!</v>
      </c>
      <c r="O38" s="783">
        <v>37</v>
      </c>
      <c r="T38" s="724"/>
      <c r="U38" s="724"/>
    </row>
    <row r="39" spans="1:24" ht="15" customHeight="1">
      <c r="A39" s="5">
        <v>38</v>
      </c>
      <c r="B39" s="5" t="str">
        <f ca="1">+INDEX(Idiomas!$D$212:$D$259,MATCH(T_Equipos[[#This Row],[Num]],Idiomas!$C$212:$C$259,0))</f>
        <v>Algeria</v>
      </c>
      <c r="C39" s="5" t="s">
        <v>5</v>
      </c>
      <c r="D39" s="5">
        <v>2</v>
      </c>
      <c r="K39" s="8" t="str">
        <f ca="1">Idiomas!D249</f>
        <v>South Africa</v>
      </c>
      <c r="L39" s="8" t="s">
        <v>1636</v>
      </c>
      <c r="M39" s="8" t="e" vm="90">
        <v>#VALUE!</v>
      </c>
      <c r="O39" s="783">
        <v>38</v>
      </c>
      <c r="Q39" s="783" t="s">
        <v>1647</v>
      </c>
      <c r="R39" s="783" t="s">
        <v>1648</v>
      </c>
      <c r="S39" s="783" t="s">
        <v>1935</v>
      </c>
      <c r="T39" s="724"/>
      <c r="U39" s="724"/>
    </row>
    <row r="40" spans="1:24" ht="15" customHeight="1">
      <c r="A40" s="5">
        <v>39</v>
      </c>
      <c r="B40" s="5" t="str">
        <f ca="1">+INDEX(Idiomas!$D$212:$D$259,MATCH(T_Equipos[[#This Row],[Num]],Idiomas!$C$212:$C$259,0))</f>
        <v>Austria</v>
      </c>
      <c r="C40" s="5" t="s">
        <v>5</v>
      </c>
      <c r="D40" s="5">
        <v>3</v>
      </c>
      <c r="K40" s="8" t="str">
        <f ca="1">Idiomas!D250</f>
        <v>Switzerland</v>
      </c>
      <c r="L40" s="8" t="s">
        <v>136</v>
      </c>
      <c r="M40" s="8" t="e" vm="91">
        <v>#VALUE!</v>
      </c>
      <c r="O40" s="783">
        <v>39</v>
      </c>
      <c r="Q40" s="782" cm="1">
        <f t="array" aca="1" ref="Q40" ca="1">IFERROR(INDEX($Q$2:$Q$25,SMALL(IF(($Q$2:$Q$25)=0,"",ROW($Q$2:$Q$25)),ROW(Q1))-MIN(ROW($Q$2:$Q$25))+1),"")</f>
        <v>46184</v>
      </c>
      <c r="R40" s="782" cm="1">
        <f t="array" aca="1" ref="R40:R63" ca="1">Equipos!$Q$40:INDEX(Equipos!$Q$40:$Q$63,SUMPRODUCT((NOT(ISERROR(Equipos!$Q$40:$Q$63)))*(Equipos!$Q$40:$Q$63&lt;&gt;"")))</f>
        <v>46184</v>
      </c>
      <c r="S40" s="783"/>
      <c r="T40" s="724"/>
      <c r="U40" s="724"/>
    </row>
    <row r="41" spans="1:24" ht="15" customHeight="1">
      <c r="A41" s="5">
        <v>40</v>
      </c>
      <c r="B41" s="5" t="str">
        <f ca="1">+INDEX(Idiomas!$D$212:$D$259,MATCH(T_Equipos[[#This Row],[Num]],Idiomas!$C$212:$C$259,0))</f>
        <v>Jordan</v>
      </c>
      <c r="C41" s="5" t="s">
        <v>5</v>
      </c>
      <c r="D41" s="5">
        <v>4</v>
      </c>
      <c r="K41" s="8" t="str">
        <f ca="1">Idiomas!D251</f>
        <v>Tunisia</v>
      </c>
      <c r="L41" s="8" t="s">
        <v>1329</v>
      </c>
      <c r="M41" s="8" t="e" vm="92">
        <v>#VALUE!</v>
      </c>
      <c r="O41" s="783">
        <v>40</v>
      </c>
      <c r="Q41" s="782" cm="1">
        <f t="array" aca="1" ref="Q41" ca="1">IFERROR(INDEX($Q$2:$Q$25,SMALL(IF(($Q$2:$Q$25)=0,"",ROW($Q$2:$Q$25)),ROW(Q2))-MIN(ROW($Q$2:$Q$25))+1),"")</f>
        <v>46185</v>
      </c>
      <c r="R41" s="782">
        <f ca="1"/>
        <v>46185</v>
      </c>
      <c r="S41" s="787"/>
      <c r="T41" s="724"/>
      <c r="U41" s="724"/>
    </row>
    <row r="42" spans="1:24" ht="15" customHeight="1">
      <c r="A42" s="5">
        <v>41</v>
      </c>
      <c r="B42" s="5" t="str">
        <f ca="1">+INDEX(Idiomas!$D$212:$D$259,MATCH(T_Equipos[[#This Row],[Num]],Idiomas!$C$212:$C$259,0))</f>
        <v>Portugal</v>
      </c>
      <c r="C42" s="5" t="s">
        <v>439</v>
      </c>
      <c r="D42" s="5">
        <v>1</v>
      </c>
      <c r="K42" s="8" t="str">
        <f ca="1">Idiomas!D252</f>
        <v>Uruguay</v>
      </c>
      <c r="L42" s="8" t="s">
        <v>1323</v>
      </c>
      <c r="M42" s="8" t="e" vm="93">
        <v>#VALUE!</v>
      </c>
      <c r="O42" s="783">
        <v>41</v>
      </c>
      <c r="Q42" s="782" cm="1">
        <f t="array" aca="1" ref="Q42" ca="1">IFERROR(INDEX($Q$2:$Q$25,SMALL(IF(($Q$2:$Q$25)=0,"",ROW($Q$2:$Q$25)),ROW(Q3))-MIN(ROW($Q$2:$Q$25))+1),"")</f>
        <v>46186</v>
      </c>
      <c r="R42" s="782">
        <f ca="1"/>
        <v>46186</v>
      </c>
      <c r="S42" s="787"/>
      <c r="T42" s="724"/>
      <c r="U42" s="724"/>
    </row>
    <row r="43" spans="1:24" ht="15" customHeight="1">
      <c r="A43" s="5">
        <v>42</v>
      </c>
      <c r="B43" s="5" t="str">
        <f ca="1">+INDEX(Idiomas!$D$212:$D$259,MATCH(T_Equipos[[#This Row],[Num]],Idiomas!$C$212:$C$259,0))</f>
        <v>DR Congo</v>
      </c>
      <c r="C43" s="5" t="s">
        <v>439</v>
      </c>
      <c r="D43" s="5">
        <v>2</v>
      </c>
      <c r="K43" s="8" t="str">
        <f ca="1">Idiomas!D253</f>
        <v>Uzbekistan</v>
      </c>
      <c r="L43" s="8" t="s">
        <v>1293</v>
      </c>
      <c r="M43" s="8" t="e" vm="94">
        <v>#VALUE!</v>
      </c>
      <c r="O43" s="783">
        <v>42</v>
      </c>
      <c r="Q43" s="782" cm="1">
        <f t="array" aca="1" ref="Q43" ca="1">IFERROR(INDEX($Q$2:$Q$25,SMALL(IF(($Q$2:$Q$25)=0,"",ROW($Q$2:$Q$25)),ROW(Q4))-MIN(ROW($Q$2:$Q$25))+1),"")</f>
        <v>46187</v>
      </c>
      <c r="R43" s="782">
        <f ca="1"/>
        <v>46187</v>
      </c>
      <c r="S43" s="787"/>
      <c r="T43" s="724"/>
      <c r="U43" s="724"/>
    </row>
    <row r="44" spans="1:24" ht="15" customHeight="1">
      <c r="A44" s="5">
        <v>43</v>
      </c>
      <c r="B44" s="5" t="str">
        <f ca="1">+INDEX(Idiomas!$D$212:$D$259,MATCH(T_Equipos[[#This Row],[Num]],Idiomas!$C$212:$C$259,0))</f>
        <v>Uzbekistan</v>
      </c>
      <c r="C44" s="5" t="s">
        <v>439</v>
      </c>
      <c r="D44" s="5">
        <v>3</v>
      </c>
      <c r="K44" s="8" t="str">
        <f ca="1">Idiomas!D254</f>
        <v>DR Congo</v>
      </c>
      <c r="L44" s="784" t="s">
        <v>1845</v>
      </c>
      <c r="M44" s="8" t="e" vm="95">
        <v>#VALUE!</v>
      </c>
      <c r="O44" s="783">
        <v>43</v>
      </c>
      <c r="Q44" s="782" cm="1">
        <f t="array" aca="1" ref="Q44" ca="1">IFERROR(INDEX($Q$2:$Q$25,SMALL(IF(($Q$2:$Q$25)=0,"",ROW($Q$2:$Q$25)),ROW(Q5))-MIN(ROW($Q$2:$Q$25))+1),"")</f>
        <v>46188</v>
      </c>
      <c r="R44" s="782">
        <f ca="1"/>
        <v>46188</v>
      </c>
      <c r="S44" s="787"/>
      <c r="T44" s="724"/>
      <c r="U44" s="724"/>
    </row>
    <row r="45" spans="1:24" ht="15" customHeight="1">
      <c r="A45" s="5">
        <v>44</v>
      </c>
      <c r="B45" s="5" t="str">
        <f ca="1">+INDEX(Idiomas!$D$212:$D$259,MATCH(T_Equipos[[#This Row],[Num]],Idiomas!$C$212:$C$259,0))</f>
        <v>Colombia</v>
      </c>
      <c r="C45" s="5" t="s">
        <v>439</v>
      </c>
      <c r="D45" s="5">
        <v>4</v>
      </c>
      <c r="K45" s="8" t="str">
        <f ca="1">Idiomas!D255</f>
        <v>Iraq</v>
      </c>
      <c r="L45" s="784" t="s">
        <v>1759</v>
      </c>
      <c r="M45" s="8" t="e" vm="96">
        <v>#VALUE!</v>
      </c>
      <c r="O45" s="783">
        <v>44</v>
      </c>
      <c r="Q45" s="782" cm="1">
        <f t="array" aca="1" ref="Q45" ca="1">IFERROR(INDEX($Q$2:$Q$25,SMALL(IF(($Q$2:$Q$25)=0,"",ROW($Q$2:$Q$25)),ROW(Q6))-MIN(ROW($Q$2:$Q$25))+1),"")</f>
        <v>46189</v>
      </c>
      <c r="R45" s="782">
        <f ca="1"/>
        <v>46189</v>
      </c>
      <c r="S45" s="787"/>
      <c r="T45" s="724"/>
      <c r="U45" s="724"/>
    </row>
    <row r="46" spans="1:24" ht="15" customHeight="1">
      <c r="A46" s="5">
        <v>45</v>
      </c>
      <c r="B46" s="5" t="str">
        <f ca="1">+INDEX(Idiomas!$D$212:$D$259,MATCH(T_Equipos[[#This Row],[Num]],Idiomas!$C$212:$C$259,0))</f>
        <v>England</v>
      </c>
      <c r="C46" s="5" t="s">
        <v>238</v>
      </c>
      <c r="D46" s="5">
        <v>1</v>
      </c>
      <c r="K46" s="8" t="str">
        <f ca="1">Idiomas!D256</f>
        <v>Bosnia and Herzegovina</v>
      </c>
      <c r="L46" s="785" t="s">
        <v>1846</v>
      </c>
      <c r="M46" s="8" t="e" vm="97">
        <v>#VALUE!</v>
      </c>
      <c r="O46" s="783">
        <v>45</v>
      </c>
      <c r="Q46" s="782" cm="1">
        <f t="array" aca="1" ref="Q46" ca="1">IFERROR(INDEX($Q$2:$Q$25,SMALL(IF(($Q$2:$Q$25)=0,"",ROW($Q$2:$Q$25)),ROW(Q7))-MIN(ROW($Q$2:$Q$25))+1),"")</f>
        <v>46190</v>
      </c>
      <c r="R46" s="782">
        <f ca="1"/>
        <v>46190</v>
      </c>
      <c r="S46" s="787"/>
      <c r="T46" s="724"/>
      <c r="U46" s="724"/>
    </row>
    <row r="47" spans="1:24" ht="15" customHeight="1">
      <c r="A47" s="5">
        <v>46</v>
      </c>
      <c r="B47" s="5" t="str">
        <f ca="1">+INDEX(Idiomas!$D$212:$D$259,MATCH(T_Equipos[[#This Row],[Num]],Idiomas!$C$212:$C$259,0))</f>
        <v>Croatia</v>
      </c>
      <c r="C47" s="5" t="s">
        <v>238</v>
      </c>
      <c r="D47" s="5">
        <v>2</v>
      </c>
      <c r="K47" s="8" t="str">
        <f ca="1">Idiomas!D257</f>
        <v>Sweden</v>
      </c>
      <c r="L47" s="784" t="s">
        <v>1837</v>
      </c>
      <c r="M47" s="8" t="e" vm="98">
        <v>#VALUE!</v>
      </c>
      <c r="O47" s="783">
        <v>46</v>
      </c>
      <c r="Q47" s="782" cm="1">
        <f t="array" aca="1" ref="Q47" ca="1">IFERROR(INDEX($Q$2:$Q$25,SMALL(IF(($Q$2:$Q$25)=0,"",ROW($Q$2:$Q$25)),ROW(Q8))-MIN(ROW($Q$2:$Q$25))+1),"")</f>
        <v>46191</v>
      </c>
      <c r="R47" s="782">
        <f ca="1"/>
        <v>46191</v>
      </c>
      <c r="S47" s="787"/>
      <c r="T47" s="724"/>
      <c r="U47" s="724"/>
    </row>
    <row r="48" spans="1:24" ht="15" customHeight="1">
      <c r="A48" s="5">
        <v>47</v>
      </c>
      <c r="B48" s="5" t="str">
        <f ca="1">+INDEX(Idiomas!$D$212:$D$259,MATCH(T_Equipos[[#This Row],[Num]],Idiomas!$C$212:$C$259,0))</f>
        <v>Ghana</v>
      </c>
      <c r="C48" s="5" t="s">
        <v>238</v>
      </c>
      <c r="D48" s="5">
        <v>3</v>
      </c>
      <c r="K48" s="8" t="str">
        <f ca="1">Idiomas!D258</f>
        <v>Turkey</v>
      </c>
      <c r="L48" s="784" t="s">
        <v>1838</v>
      </c>
      <c r="M48" s="8" t="e" vm="99">
        <v>#VALUE!</v>
      </c>
      <c r="O48" s="783">
        <v>47</v>
      </c>
      <c r="Q48" s="782" cm="1">
        <f t="array" aca="1" ref="Q48" ca="1">IFERROR(INDEX($Q$2:$Q$25,SMALL(IF(($Q$2:$Q$25)=0,"",ROW($Q$2:$Q$25)),ROW(Q9))-MIN(ROW($Q$2:$Q$25))+1),"")</f>
        <v>46192</v>
      </c>
      <c r="R48" s="782">
        <f ca="1"/>
        <v>46192</v>
      </c>
      <c r="S48" s="787"/>
      <c r="T48" s="724"/>
      <c r="U48" s="724"/>
    </row>
    <row r="49" spans="1:21" ht="15" customHeight="1">
      <c r="A49" s="5">
        <v>48</v>
      </c>
      <c r="B49" s="5" t="str">
        <f ca="1">+INDEX(Idiomas!$D$212:$D$259,MATCH(T_Equipos[[#This Row],[Num]],Idiomas!$C$212:$C$259,0))</f>
        <v>Panama</v>
      </c>
      <c r="C49" s="5" t="s">
        <v>238</v>
      </c>
      <c r="D49" s="5">
        <v>4</v>
      </c>
      <c r="K49" s="8" t="str">
        <f ca="1">Idiomas!D259</f>
        <v>Czech Republic</v>
      </c>
      <c r="L49" s="784" t="s">
        <v>1847</v>
      </c>
      <c r="M49" s="8" t="e" vm="100">
        <v>#VALUE!</v>
      </c>
      <c r="O49" s="783">
        <v>48</v>
      </c>
      <c r="Q49" s="782" cm="1">
        <f t="array" aca="1" ref="Q49" ca="1">IFERROR(INDEX($Q$2:$Q$25,SMALL(IF(($Q$2:$Q$25)=0,"",ROW($Q$2:$Q$25)),ROW(Q10))-MIN(ROW($Q$2:$Q$25))+1),"")</f>
        <v>46193</v>
      </c>
      <c r="R49" s="782">
        <f ca="1"/>
        <v>46193</v>
      </c>
      <c r="S49" s="787"/>
      <c r="T49" s="724"/>
      <c r="U49" s="724"/>
    </row>
    <row r="50" spans="1:21" ht="15" customHeight="1">
      <c r="K50" s="8"/>
      <c r="L50" s="8" t="s">
        <v>1304</v>
      </c>
      <c r="M50" s="8"/>
      <c r="O50" s="783">
        <v>49</v>
      </c>
      <c r="Q50" s="782" cm="1">
        <f t="array" aca="1" ref="Q50" ca="1">IFERROR(INDEX($Q$2:$Q$25,SMALL(IF(($Q$2:$Q$25)=0,"",ROW($Q$2:$Q$25)),ROW(Q11))-MIN(ROW($Q$2:$Q$25))+1),"")</f>
        <v>46194</v>
      </c>
      <c r="R50" s="782">
        <f ca="1"/>
        <v>46194</v>
      </c>
      <c r="S50" s="787"/>
      <c r="T50" s="724"/>
      <c r="U50" s="724"/>
    </row>
    <row r="51" spans="1:21" ht="15" customHeight="1">
      <c r="O51" s="783">
        <v>50</v>
      </c>
      <c r="Q51" s="782" cm="1">
        <f t="array" aca="1" ref="Q51" ca="1">IFERROR(INDEX($Q$2:$Q$25,SMALL(IF(($Q$2:$Q$25)=0,"",ROW($Q$2:$Q$25)),ROW(Q12))-MIN(ROW($Q$2:$Q$25))+1),"")</f>
        <v>46195</v>
      </c>
      <c r="R51" s="782">
        <f ca="1"/>
        <v>46195</v>
      </c>
      <c r="S51" s="787"/>
      <c r="T51" s="724"/>
      <c r="U51" s="724"/>
    </row>
    <row r="52" spans="1:21" ht="15" customHeight="1">
      <c r="O52" s="783">
        <v>51</v>
      </c>
      <c r="Q52" s="782" cm="1">
        <f t="array" aca="1" ref="Q52" ca="1">IFERROR(INDEX($Q$2:$Q$25,SMALL(IF(($Q$2:$Q$25)=0,"",ROW($Q$2:$Q$25)),ROW(Q13))-MIN(ROW($Q$2:$Q$25))+1),"")</f>
        <v>46196</v>
      </c>
      <c r="R52" s="782">
        <f ca="1"/>
        <v>46196</v>
      </c>
      <c r="S52" s="787"/>
      <c r="T52" s="724"/>
      <c r="U52" s="724"/>
    </row>
    <row r="53" spans="1:21" ht="15" customHeight="1">
      <c r="O53" s="783">
        <v>52</v>
      </c>
      <c r="P53" s="725"/>
      <c r="Q53" s="782" cm="1">
        <f t="array" aca="1" ref="Q53" ca="1">IFERROR(INDEX($Q$2:$Q$25,SMALL(IF(($Q$2:$Q$25)=0,"",ROW($Q$2:$Q$25)),ROW(Q14))-MIN(ROW($Q$2:$Q$25))+1),"")</f>
        <v>46197</v>
      </c>
      <c r="R53" s="782">
        <f ca="1"/>
        <v>46197</v>
      </c>
      <c r="S53" s="787"/>
      <c r="T53" s="724"/>
      <c r="U53" s="724"/>
    </row>
    <row r="54" spans="1:21" ht="15" customHeight="1">
      <c r="O54" s="783">
        <v>53</v>
      </c>
      <c r="Q54" s="782" cm="1">
        <f t="array" aca="1" ref="Q54" ca="1">IFERROR(INDEX($Q$2:$Q$25,SMALL(IF(($Q$2:$Q$25)=0,"",ROW($Q$2:$Q$25)),ROW(Q15))-MIN(ROW($Q$2:$Q$25))+1),"")</f>
        <v>46198</v>
      </c>
      <c r="R54" s="782">
        <f ca="1"/>
        <v>46198</v>
      </c>
      <c r="S54" s="787"/>
      <c r="T54" s="724"/>
      <c r="U54" s="724"/>
    </row>
    <row r="55" spans="1:21" ht="15" customHeight="1">
      <c r="O55" s="783">
        <v>54</v>
      </c>
      <c r="Q55" s="782" cm="1">
        <f t="array" aca="1" ref="Q55" ca="1">IFERROR(INDEX($Q$2:$Q$25,SMALL(IF(($Q$2:$Q$25)=0,"",ROW($Q$2:$Q$25)),ROW(Q16))-MIN(ROW($Q$2:$Q$25))+1),"")</f>
        <v>46199</v>
      </c>
      <c r="R55" s="782">
        <f ca="1"/>
        <v>46199</v>
      </c>
      <c r="S55" s="787"/>
      <c r="T55" s="724"/>
      <c r="U55" s="724"/>
    </row>
    <row r="56" spans="1:21" ht="15" customHeight="1">
      <c r="O56" s="783">
        <v>55</v>
      </c>
      <c r="Q56" s="782" cm="1">
        <f t="array" aca="1" ref="Q56" ca="1">IFERROR(INDEX($Q$2:$Q$25,SMALL(IF(($Q$2:$Q$25)=0,"",ROW($Q$2:$Q$25)),ROW(Q17))-MIN(ROW($Q$2:$Q$25))+1),"")</f>
        <v>46200</v>
      </c>
      <c r="R56" s="782">
        <f ca="1"/>
        <v>46200</v>
      </c>
      <c r="S56" s="787"/>
      <c r="T56" s="724"/>
      <c r="U56" s="724"/>
    </row>
    <row r="57" spans="1:21" ht="15" customHeight="1">
      <c r="O57" s="783">
        <v>56</v>
      </c>
      <c r="Q57" s="782" cm="1">
        <f t="array" aca="1" ref="Q57" ca="1">IFERROR(INDEX($Q$2:$Q$25,SMALL(IF(($Q$2:$Q$25)=0,"",ROW($Q$2:$Q$25)),ROW(Q18))-MIN(ROW($Q$2:$Q$25))+1),"")</f>
        <v>46201</v>
      </c>
      <c r="R57" s="782">
        <f ca="1"/>
        <v>46201</v>
      </c>
      <c r="S57" s="787"/>
      <c r="T57" s="724"/>
      <c r="U57" s="724"/>
    </row>
    <row r="58" spans="1:21" ht="15" customHeight="1">
      <c r="O58" s="783">
        <v>57</v>
      </c>
      <c r="Q58" s="782" t="str" cm="1">
        <f t="array" aca="1" ref="Q58" ca="1">IFERROR(INDEX($Q$2:$Q$25,SMALL(IF(($Q$2:$Q$25)=0,"",ROW($Q$2:$Q$25)),ROW(Q19))-MIN(ROW($Q$2:$Q$25))+1),"")</f>
        <v>Qualified For Round Of 32</v>
      </c>
      <c r="R58" s="783" t="str">
        <f ca="1"/>
        <v>Qualified For Round Of 32</v>
      </c>
      <c r="S58" s="787"/>
      <c r="T58" s="724"/>
      <c r="U58" s="724"/>
    </row>
    <row r="59" spans="1:21" ht="15" customHeight="1">
      <c r="O59" s="783">
        <v>58</v>
      </c>
      <c r="Q59" s="782" t="str" cm="1">
        <f t="array" aca="1" ref="Q59" ca="1">IFERROR(INDEX($Q$2:$Q$25,SMALL(IF(($Q$2:$Q$25)=0,"",ROW($Q$2:$Q$25)),ROW(Q20))-MIN(ROW($Q$2:$Q$25))+1),"")</f>
        <v>Round of 32</v>
      </c>
      <c r="R59" s="783" t="str">
        <f ca="1"/>
        <v>Round of 32</v>
      </c>
      <c r="S59" s="787"/>
      <c r="T59" s="724"/>
      <c r="U59" s="724"/>
    </row>
    <row r="60" spans="1:21" ht="15" customHeight="1">
      <c r="O60" s="783">
        <v>59</v>
      </c>
      <c r="Q60" s="782" t="str" cm="1">
        <f t="array" aca="1" ref="Q60" ca="1">IFERROR(INDEX($Q$2:$Q$25,SMALL(IF(($Q$2:$Q$25)=0,"",ROW($Q$2:$Q$25)),ROW(Q21))-MIN(ROW($Q$2:$Q$25))+1),"")</f>
        <v>Round Of 16</v>
      </c>
      <c r="R60" s="783" t="str">
        <f ca="1"/>
        <v>Round Of 16</v>
      </c>
      <c r="S60" s="787"/>
      <c r="T60" s="724"/>
    </row>
    <row r="61" spans="1:21" ht="15" customHeight="1">
      <c r="O61" s="783">
        <v>60</v>
      </c>
      <c r="Q61" s="782" t="str" cm="1">
        <f t="array" aca="1" ref="Q61" ca="1">IFERROR(INDEX($Q$2:$Q$25,SMALL(IF(($Q$2:$Q$25)=0,"",ROW($Q$2:$Q$25)),ROW(Q22))-MIN(ROW($Q$2:$Q$25))+1),"")</f>
        <v>Quarterfinals</v>
      </c>
      <c r="R61" s="783" t="str">
        <f ca="1"/>
        <v>Quarterfinals</v>
      </c>
      <c r="S61" s="787"/>
    </row>
    <row r="62" spans="1:21" ht="15" customHeight="1">
      <c r="O62" s="783">
        <v>61</v>
      </c>
      <c r="Q62" s="782" t="str" cm="1">
        <f t="array" aca="1" ref="Q62" ca="1">IFERROR(INDEX($Q$2:$Q$25,SMALL(IF(($Q$2:$Q$25)=0,"",ROW($Q$2:$Q$25)),ROW(Q23))-MIN(ROW($Q$2:$Q$25))+1),"")</f>
        <v>Semifinals</v>
      </c>
      <c r="R62" s="783" t="str">
        <f ca="1"/>
        <v>Semifinals</v>
      </c>
      <c r="S62" s="787"/>
    </row>
    <row r="63" spans="1:21" ht="15" customHeight="1">
      <c r="O63" s="783">
        <v>62</v>
      </c>
      <c r="Q63" s="782" t="str" cm="1">
        <f t="array" aca="1" ref="Q63" ca="1">IFERROR(INDEX($Q$2:$Q$25,SMALL(IF(($Q$2:$Q$25)=0,"",ROW($Q$2:$Q$25)),ROW(Q24))-MIN(ROW($Q$2:$Q$25))+1),"")</f>
        <v>3-4 &amp; Final</v>
      </c>
      <c r="R63" s="783" t="str">
        <f ca="1"/>
        <v>3-4 &amp; Final</v>
      </c>
      <c r="S63" s="787"/>
    </row>
    <row r="64" spans="1:21" ht="15" customHeight="1">
      <c r="O64" s="783">
        <v>63</v>
      </c>
      <c r="Q64" s="788" t="str" cm="1">
        <f t="array" aca="1" ref="Q64" ca="1">IFERROR(INDEX($Q$2:$Q$25,SMALL(IF(($Q$2:$Q$25)=0,"",ROW($Q$2:$Q$25)),ROW(Q25))-MIN(ROW($Q$2:$Q$25))+1),"")</f>
        <v/>
      </c>
      <c r="R64" s="787"/>
      <c r="S64" s="787"/>
    </row>
    <row r="65" spans="15:15" ht="15" customHeight="1">
      <c r="O65" s="783">
        <v>64</v>
      </c>
    </row>
    <row r="66" spans="15:15" ht="15" customHeight="1">
      <c r="O66" s="783">
        <v>65</v>
      </c>
    </row>
    <row r="67" spans="15:15" ht="15" customHeight="1">
      <c r="O67" s="783">
        <v>66</v>
      </c>
    </row>
    <row r="68" spans="15:15" ht="15" customHeight="1">
      <c r="O68" s="783">
        <v>67</v>
      </c>
    </row>
    <row r="69" spans="15:15" ht="15" customHeight="1">
      <c r="O69" s="783">
        <v>68</v>
      </c>
    </row>
    <row r="70" spans="15:15" ht="15" customHeight="1">
      <c r="O70" s="783">
        <v>69</v>
      </c>
    </row>
    <row r="71" spans="15:15" ht="15" customHeight="1">
      <c r="O71" s="783">
        <v>70</v>
      </c>
    </row>
    <row r="72" spans="15:15" ht="15" customHeight="1">
      <c r="O72" s="783">
        <v>71</v>
      </c>
    </row>
    <row r="73" spans="15:15" ht="15" customHeight="1">
      <c r="O73" s="783">
        <v>72</v>
      </c>
    </row>
    <row r="74" spans="15:15" ht="15" customHeight="1">
      <c r="O74" s="783">
        <v>73</v>
      </c>
    </row>
    <row r="75" spans="15:15" ht="15" customHeight="1">
      <c r="O75" s="783">
        <v>74</v>
      </c>
    </row>
    <row r="76" spans="15:15" ht="15" customHeight="1">
      <c r="O76" s="783">
        <v>75</v>
      </c>
    </row>
    <row r="77" spans="15:15" ht="15" customHeight="1">
      <c r="O77" s="783">
        <v>76</v>
      </c>
    </row>
    <row r="78" spans="15:15" ht="15" customHeight="1">
      <c r="O78" s="783">
        <v>77</v>
      </c>
    </row>
    <row r="79" spans="15:15" ht="15" customHeight="1">
      <c r="O79" s="783">
        <v>78</v>
      </c>
    </row>
    <row r="80" spans="15:15" ht="15" customHeight="1">
      <c r="O80" s="783">
        <v>79</v>
      </c>
    </row>
    <row r="81" spans="15:15" ht="15" customHeight="1">
      <c r="O81" s="783">
        <v>80</v>
      </c>
    </row>
    <row r="82" spans="15:15" ht="15" customHeight="1">
      <c r="O82" s="783">
        <v>81</v>
      </c>
    </row>
    <row r="83" spans="15:15" ht="15" customHeight="1">
      <c r="O83" s="783">
        <v>82</v>
      </c>
    </row>
    <row r="84" spans="15:15" ht="15" customHeight="1">
      <c r="O84" s="783">
        <v>83</v>
      </c>
    </row>
    <row r="85" spans="15:15" ht="15" customHeight="1">
      <c r="O85" s="783">
        <v>84</v>
      </c>
    </row>
    <row r="86" spans="15:15" ht="15" customHeight="1">
      <c r="O86" s="783">
        <v>85</v>
      </c>
    </row>
    <row r="87" spans="15:15" ht="15" customHeight="1">
      <c r="O87" s="783">
        <v>86</v>
      </c>
    </row>
    <row r="88" spans="15:15" ht="15" customHeight="1">
      <c r="O88" s="783">
        <v>87</v>
      </c>
    </row>
    <row r="89" spans="15:15" ht="15" customHeight="1">
      <c r="O89" s="783">
        <v>88</v>
      </c>
    </row>
    <row r="90" spans="15:15" ht="15" customHeight="1">
      <c r="O90" s="783">
        <v>89</v>
      </c>
    </row>
    <row r="91" spans="15:15" ht="15" customHeight="1">
      <c r="O91" s="783">
        <v>90</v>
      </c>
    </row>
    <row r="92" spans="15:15" ht="15" customHeight="1">
      <c r="O92" s="783">
        <v>91</v>
      </c>
    </row>
    <row r="93" spans="15:15" ht="15" customHeight="1">
      <c r="O93" s="783">
        <v>92</v>
      </c>
    </row>
    <row r="94" spans="15:15" ht="15" customHeight="1">
      <c r="O94" s="783">
        <v>93</v>
      </c>
    </row>
    <row r="95" spans="15:15" ht="15" customHeight="1">
      <c r="O95" s="783">
        <v>94</v>
      </c>
    </row>
    <row r="96" spans="15:15" ht="15" customHeight="1">
      <c r="O96" s="783">
        <v>95</v>
      </c>
    </row>
    <row r="97" spans="15:15" ht="15" customHeight="1">
      <c r="O97" s="783">
        <v>96</v>
      </c>
    </row>
    <row r="98" spans="15:15" ht="15" customHeight="1">
      <c r="O98" s="783">
        <v>97</v>
      </c>
    </row>
    <row r="99" spans="15:15" ht="15" customHeight="1">
      <c r="O99" s="783">
        <v>98</v>
      </c>
    </row>
    <row r="100" spans="15:15" ht="15" customHeight="1">
      <c r="O100" s="783">
        <v>99</v>
      </c>
    </row>
    <row r="101" spans="15:15" ht="15" customHeight="1">
      <c r="O101" s="783">
        <v>100</v>
      </c>
    </row>
    <row r="102" spans="15:15" ht="15" customHeight="1">
      <c r="O102" s="783">
        <v>101</v>
      </c>
    </row>
    <row r="103" spans="15:15" ht="15" customHeight="1">
      <c r="O103" s="783">
        <v>102</v>
      </c>
    </row>
    <row r="104" spans="15:15" ht="15" customHeight="1">
      <c r="O104" s="783">
        <v>103</v>
      </c>
    </row>
    <row r="105" spans="15:15" ht="15" customHeight="1">
      <c r="O105" s="783">
        <v>104</v>
      </c>
    </row>
    <row r="106" spans="15:15" ht="15" customHeight="1">
      <c r="O106" s="783">
        <v>105</v>
      </c>
    </row>
    <row r="107" spans="15:15" ht="15" customHeight="1">
      <c r="O107" s="783">
        <v>106</v>
      </c>
    </row>
    <row r="108" spans="15:15" ht="15" customHeight="1">
      <c r="O108" s="783">
        <v>107</v>
      </c>
    </row>
    <row r="109" spans="15:15" ht="15" customHeight="1">
      <c r="O109" s="783">
        <v>108</v>
      </c>
    </row>
    <row r="110" spans="15:15" ht="15" customHeight="1">
      <c r="O110" s="783">
        <v>109</v>
      </c>
    </row>
    <row r="111" spans="15:15" ht="15" customHeight="1">
      <c r="O111" s="783">
        <v>110</v>
      </c>
    </row>
    <row r="112" spans="15:15" ht="15" customHeight="1">
      <c r="O112" s="783">
        <v>111</v>
      </c>
    </row>
    <row r="113" spans="15:15" ht="15" customHeight="1">
      <c r="O113" s="783">
        <v>112</v>
      </c>
    </row>
    <row r="114" spans="15:15" ht="15" customHeight="1">
      <c r="O114" s="783">
        <v>113</v>
      </c>
    </row>
    <row r="115" spans="15:15" ht="15" customHeight="1">
      <c r="O115" s="783">
        <v>114</v>
      </c>
    </row>
    <row r="116" spans="15:15" ht="15" customHeight="1">
      <c r="O116" s="783">
        <v>115</v>
      </c>
    </row>
    <row r="117" spans="15:15" ht="15" customHeight="1">
      <c r="O117" s="783">
        <v>116</v>
      </c>
    </row>
    <row r="118" spans="15:15" ht="15" customHeight="1">
      <c r="O118" s="783">
        <v>117</v>
      </c>
    </row>
    <row r="119" spans="15:15" ht="15" customHeight="1">
      <c r="O119" s="783">
        <v>118</v>
      </c>
    </row>
    <row r="120" spans="15:15" ht="15" customHeight="1">
      <c r="O120" s="783">
        <v>119</v>
      </c>
    </row>
    <row r="121" spans="15:15" ht="15" customHeight="1">
      <c r="O121" s="783">
        <v>120</v>
      </c>
    </row>
    <row r="122" spans="15:15" ht="15" customHeight="1">
      <c r="O122" s="783">
        <v>121</v>
      </c>
    </row>
    <row r="123" spans="15:15" ht="15" customHeight="1">
      <c r="O123" s="783">
        <v>122</v>
      </c>
    </row>
    <row r="124" spans="15:15" ht="15" customHeight="1">
      <c r="O124" s="783">
        <v>123</v>
      </c>
    </row>
    <row r="125" spans="15:15" ht="15" customHeight="1">
      <c r="O125" s="783">
        <v>124</v>
      </c>
    </row>
    <row r="126" spans="15:15" ht="15" customHeight="1">
      <c r="O126" s="783">
        <v>125</v>
      </c>
    </row>
    <row r="127" spans="15:15" ht="15" customHeight="1">
      <c r="O127" s="783">
        <v>126</v>
      </c>
    </row>
    <row r="128" spans="15:15" ht="15" customHeight="1">
      <c r="O128" s="783">
        <v>127</v>
      </c>
    </row>
    <row r="129" spans="15:15" ht="15" customHeight="1">
      <c r="O129" s="783">
        <v>128</v>
      </c>
    </row>
    <row r="130" spans="15:15" ht="15" customHeight="1">
      <c r="O130" s="783">
        <v>129</v>
      </c>
    </row>
    <row r="131" spans="15:15" ht="15" customHeight="1">
      <c r="O131" s="783">
        <v>130</v>
      </c>
    </row>
    <row r="132" spans="15:15" ht="15" customHeight="1">
      <c r="O132" s="783">
        <v>131</v>
      </c>
    </row>
    <row r="133" spans="15:15" ht="15" customHeight="1">
      <c r="O133" s="783">
        <v>132</v>
      </c>
    </row>
    <row r="134" spans="15:15" ht="15" customHeight="1">
      <c r="O134" s="783">
        <v>133</v>
      </c>
    </row>
    <row r="135" spans="15:15" ht="15" customHeight="1">
      <c r="O135" s="783">
        <v>134</v>
      </c>
    </row>
    <row r="136" spans="15:15" ht="15" customHeight="1">
      <c r="O136" s="783">
        <v>135</v>
      </c>
    </row>
    <row r="137" spans="15:15" ht="15" customHeight="1">
      <c r="O137" s="783">
        <v>136</v>
      </c>
    </row>
    <row r="138" spans="15:15" ht="15" customHeight="1">
      <c r="O138" s="783">
        <v>137</v>
      </c>
    </row>
    <row r="139" spans="15:15" ht="15" customHeight="1">
      <c r="O139" s="783">
        <v>138</v>
      </c>
    </row>
    <row r="140" spans="15:15" ht="15" customHeight="1">
      <c r="O140" s="783">
        <v>139</v>
      </c>
    </row>
    <row r="141" spans="15:15" ht="15" customHeight="1">
      <c r="O141" s="783">
        <v>140</v>
      </c>
    </row>
    <row r="142" spans="15:15" ht="15" customHeight="1">
      <c r="O142" s="783">
        <v>141</v>
      </c>
    </row>
    <row r="143" spans="15:15" ht="15" customHeight="1">
      <c r="O143" s="783">
        <v>142</v>
      </c>
    </row>
    <row r="144" spans="15:15" ht="15" customHeight="1">
      <c r="O144" s="783">
        <v>143</v>
      </c>
    </row>
    <row r="145" spans="15:15" ht="15" customHeight="1">
      <c r="O145" s="783">
        <v>144</v>
      </c>
    </row>
    <row r="146" spans="15:15" ht="15" customHeight="1">
      <c r="O146" s="783">
        <v>145</v>
      </c>
    </row>
    <row r="147" spans="15:15" ht="15" customHeight="1">
      <c r="O147" s="783">
        <v>146</v>
      </c>
    </row>
    <row r="148" spans="15:15" ht="15" customHeight="1">
      <c r="O148" s="783">
        <v>147</v>
      </c>
    </row>
    <row r="149" spans="15:15" ht="15" customHeight="1">
      <c r="O149" s="783">
        <v>148</v>
      </c>
    </row>
    <row r="150" spans="15:15" ht="15" customHeight="1">
      <c r="O150" s="783">
        <v>149</v>
      </c>
    </row>
    <row r="151" spans="15:15" ht="15" customHeight="1">
      <c r="O151" s="783">
        <v>150</v>
      </c>
    </row>
    <row r="152" spans="15:15" ht="15" customHeight="1">
      <c r="O152" s="783">
        <v>151</v>
      </c>
    </row>
    <row r="153" spans="15:15" ht="15" customHeight="1">
      <c r="O153" s="783">
        <v>152</v>
      </c>
    </row>
    <row r="154" spans="15:15" ht="15" customHeight="1">
      <c r="O154" s="783">
        <v>153</v>
      </c>
    </row>
    <row r="155" spans="15:15" ht="15" customHeight="1">
      <c r="O155" s="783">
        <v>154</v>
      </c>
    </row>
    <row r="156" spans="15:15" ht="15" customHeight="1">
      <c r="O156" s="783">
        <v>155</v>
      </c>
    </row>
    <row r="157" spans="15:15" ht="15" customHeight="1">
      <c r="O157" s="783">
        <v>156</v>
      </c>
    </row>
    <row r="158" spans="15:15" ht="15" customHeight="1">
      <c r="O158" s="783">
        <v>157</v>
      </c>
    </row>
    <row r="159" spans="15:15" ht="15" customHeight="1">
      <c r="O159" s="783">
        <v>158</v>
      </c>
    </row>
    <row r="160" spans="15:15" ht="15" customHeight="1">
      <c r="O160" s="783">
        <v>159</v>
      </c>
    </row>
    <row r="161" spans="15:15" ht="15" customHeight="1">
      <c r="O161" s="783">
        <v>160</v>
      </c>
    </row>
    <row r="162" spans="15:15" ht="15" customHeight="1">
      <c r="O162" s="783">
        <v>161</v>
      </c>
    </row>
    <row r="163" spans="15:15" ht="15" customHeight="1">
      <c r="O163" s="783">
        <v>162</v>
      </c>
    </row>
    <row r="164" spans="15:15" ht="15" customHeight="1">
      <c r="O164" s="783">
        <v>163</v>
      </c>
    </row>
    <row r="165" spans="15:15" ht="15" customHeight="1">
      <c r="O165" s="783">
        <v>164</v>
      </c>
    </row>
    <row r="166" spans="15:15" ht="15" customHeight="1">
      <c r="O166" s="783">
        <v>165</v>
      </c>
    </row>
    <row r="167" spans="15:15" ht="15" customHeight="1">
      <c r="O167" s="783">
        <v>166</v>
      </c>
    </row>
    <row r="168" spans="15:15" ht="15" customHeight="1">
      <c r="O168" s="783">
        <v>167</v>
      </c>
    </row>
    <row r="169" spans="15:15" ht="15" customHeight="1">
      <c r="O169" s="783">
        <v>168</v>
      </c>
    </row>
    <row r="170" spans="15:15" ht="15" customHeight="1">
      <c r="O170" s="783">
        <v>169</v>
      </c>
    </row>
    <row r="171" spans="15:15" ht="15" customHeight="1">
      <c r="O171" s="783">
        <v>170</v>
      </c>
    </row>
    <row r="172" spans="15:15" ht="15" customHeight="1">
      <c r="O172" s="783">
        <v>171</v>
      </c>
    </row>
    <row r="173" spans="15:15" ht="15" customHeight="1">
      <c r="O173" s="783">
        <v>172</v>
      </c>
    </row>
    <row r="174" spans="15:15" ht="15" customHeight="1">
      <c r="O174" s="783">
        <v>173</v>
      </c>
    </row>
    <row r="175" spans="15:15" ht="15" customHeight="1">
      <c r="O175" s="783">
        <v>174</v>
      </c>
    </row>
    <row r="176" spans="15:15" ht="15" customHeight="1">
      <c r="O176" s="783">
        <v>175</v>
      </c>
    </row>
    <row r="177" spans="15:15" ht="15" customHeight="1">
      <c r="O177" s="783">
        <v>176</v>
      </c>
    </row>
    <row r="178" spans="15:15" ht="15" customHeight="1">
      <c r="O178" s="783">
        <v>177</v>
      </c>
    </row>
    <row r="179" spans="15:15" ht="15" customHeight="1">
      <c r="O179" s="783">
        <v>178</v>
      </c>
    </row>
    <row r="180" spans="15:15" ht="15" customHeight="1">
      <c r="O180" s="783">
        <v>179</v>
      </c>
    </row>
    <row r="181" spans="15:15" ht="15" customHeight="1">
      <c r="O181" s="783">
        <v>180</v>
      </c>
    </row>
    <row r="182" spans="15:15" ht="15" customHeight="1">
      <c r="O182" s="783">
        <v>181</v>
      </c>
    </row>
    <row r="183" spans="15:15" ht="15" customHeight="1">
      <c r="O183" s="783">
        <v>182</v>
      </c>
    </row>
    <row r="184" spans="15:15" ht="15" customHeight="1">
      <c r="O184" s="783">
        <v>183</v>
      </c>
    </row>
    <row r="185" spans="15:15" ht="15" customHeight="1">
      <c r="O185" s="783">
        <v>184</v>
      </c>
    </row>
    <row r="186" spans="15:15" ht="15" customHeight="1">
      <c r="O186" s="783">
        <v>185</v>
      </c>
    </row>
    <row r="187" spans="15:15" ht="15" customHeight="1">
      <c r="O187" s="783">
        <v>186</v>
      </c>
    </row>
    <row r="188" spans="15:15" ht="15" customHeight="1">
      <c r="O188" s="783">
        <v>187</v>
      </c>
    </row>
    <row r="189" spans="15:15" ht="15" customHeight="1">
      <c r="O189" s="783">
        <v>188</v>
      </c>
    </row>
    <row r="190" spans="15:15" ht="15" customHeight="1">
      <c r="O190" s="783">
        <v>189</v>
      </c>
    </row>
    <row r="191" spans="15:15" ht="15" customHeight="1">
      <c r="O191" s="783">
        <v>190</v>
      </c>
    </row>
    <row r="192" spans="15:15" ht="15" customHeight="1">
      <c r="O192" s="783">
        <v>191</v>
      </c>
    </row>
    <row r="193" spans="15:15" ht="15" customHeight="1">
      <c r="O193" s="783">
        <v>192</v>
      </c>
    </row>
    <row r="194" spans="15:15" ht="15" customHeight="1">
      <c r="O194" s="783">
        <v>193</v>
      </c>
    </row>
    <row r="195" spans="15:15" ht="15" customHeight="1">
      <c r="O195" s="783">
        <v>194</v>
      </c>
    </row>
    <row r="196" spans="15:15" ht="15" customHeight="1">
      <c r="O196" s="783">
        <v>195</v>
      </c>
    </row>
    <row r="197" spans="15:15" ht="15" customHeight="1">
      <c r="O197" s="783">
        <v>196</v>
      </c>
    </row>
    <row r="198" spans="15:15" ht="15" customHeight="1">
      <c r="O198" s="783">
        <v>197</v>
      </c>
    </row>
    <row r="199" spans="15:15" ht="15" customHeight="1">
      <c r="O199" s="783">
        <v>198</v>
      </c>
    </row>
    <row r="200" spans="15:15" ht="15" customHeight="1">
      <c r="O200" s="783">
        <v>199</v>
      </c>
    </row>
    <row r="201" spans="15:15" ht="15" customHeight="1">
      <c r="O201" s="783">
        <v>200</v>
      </c>
    </row>
    <row r="202" spans="15:15" ht="15" customHeight="1">
      <c r="O202" s="783">
        <v>201</v>
      </c>
    </row>
    <row r="203" spans="15:15" ht="15" customHeight="1">
      <c r="O203" s="783">
        <v>202</v>
      </c>
    </row>
    <row r="204" spans="15:15" ht="15" customHeight="1">
      <c r="O204" s="783">
        <v>203</v>
      </c>
    </row>
    <row r="205" spans="15:15" ht="15" customHeight="1">
      <c r="O205" s="783">
        <v>204</v>
      </c>
    </row>
    <row r="206" spans="15:15" ht="15" customHeight="1">
      <c r="O206" s="783">
        <v>205</v>
      </c>
    </row>
    <row r="207" spans="15:15" ht="15" customHeight="1">
      <c r="O207" s="783">
        <v>206</v>
      </c>
    </row>
    <row r="208" spans="15:15" ht="15" customHeight="1">
      <c r="O208" s="783">
        <v>207</v>
      </c>
    </row>
    <row r="209" spans="15:15" ht="15" customHeight="1">
      <c r="O209" s="783">
        <v>208</v>
      </c>
    </row>
    <row r="210" spans="15:15" ht="15" customHeight="1">
      <c r="O210" s="783">
        <v>209</v>
      </c>
    </row>
    <row r="211" spans="15:15" ht="15" customHeight="1">
      <c r="O211" s="783">
        <v>210</v>
      </c>
    </row>
    <row r="212" spans="15:15" ht="15" customHeight="1">
      <c r="O212" s="783">
        <v>211</v>
      </c>
    </row>
    <row r="213" spans="15:15" ht="15" customHeight="1">
      <c r="O213" s="783">
        <v>212</v>
      </c>
    </row>
    <row r="214" spans="15:15" ht="15" customHeight="1">
      <c r="O214" s="783">
        <v>213</v>
      </c>
    </row>
    <row r="215" spans="15:15" ht="15" customHeight="1">
      <c r="O215" s="783">
        <v>214</v>
      </c>
    </row>
    <row r="216" spans="15:15" ht="15" customHeight="1">
      <c r="O216" s="783">
        <v>215</v>
      </c>
    </row>
    <row r="217" spans="15:15" ht="15" customHeight="1">
      <c r="O217" s="783">
        <v>216</v>
      </c>
    </row>
    <row r="218" spans="15:15" ht="15" customHeight="1">
      <c r="O218" s="783">
        <v>217</v>
      </c>
    </row>
    <row r="219" spans="15:15" ht="15" customHeight="1">
      <c r="O219" s="783">
        <v>218</v>
      </c>
    </row>
    <row r="220" spans="15:15" ht="15" customHeight="1">
      <c r="O220" s="783">
        <v>219</v>
      </c>
    </row>
    <row r="221" spans="15:15" ht="15" customHeight="1">
      <c r="O221" s="783">
        <v>220</v>
      </c>
    </row>
    <row r="222" spans="15:15" ht="15" customHeight="1">
      <c r="O222" s="783">
        <v>221</v>
      </c>
    </row>
    <row r="223" spans="15:15" ht="15" customHeight="1">
      <c r="O223" s="783">
        <v>222</v>
      </c>
    </row>
    <row r="224" spans="15:15" ht="15" customHeight="1">
      <c r="O224" s="783">
        <v>223</v>
      </c>
    </row>
    <row r="225" spans="15:15" ht="15" customHeight="1">
      <c r="O225" s="783">
        <v>224</v>
      </c>
    </row>
    <row r="226" spans="15:15" ht="15" customHeight="1">
      <c r="O226" s="783">
        <v>225</v>
      </c>
    </row>
    <row r="227" spans="15:15" ht="15" customHeight="1">
      <c r="O227" s="783">
        <v>226</v>
      </c>
    </row>
    <row r="228" spans="15:15" ht="15" customHeight="1">
      <c r="O228" s="783">
        <v>227</v>
      </c>
    </row>
    <row r="229" spans="15:15" ht="15" customHeight="1">
      <c r="O229" s="783">
        <v>228</v>
      </c>
    </row>
    <row r="230" spans="15:15" ht="15" customHeight="1">
      <c r="O230" s="783">
        <v>229</v>
      </c>
    </row>
    <row r="231" spans="15:15" ht="15" customHeight="1">
      <c r="O231" s="783">
        <v>230</v>
      </c>
    </row>
    <row r="232" spans="15:15" ht="15" customHeight="1">
      <c r="O232" s="783">
        <v>231</v>
      </c>
    </row>
    <row r="233" spans="15:15" ht="15" customHeight="1">
      <c r="O233" s="783">
        <v>232</v>
      </c>
    </row>
    <row r="234" spans="15:15" ht="15" customHeight="1">
      <c r="O234" s="783">
        <v>233</v>
      </c>
    </row>
    <row r="235" spans="15:15" ht="15" customHeight="1">
      <c r="O235" s="783">
        <v>234</v>
      </c>
    </row>
    <row r="236" spans="15:15" ht="15" customHeight="1">
      <c r="O236" s="783">
        <v>235</v>
      </c>
    </row>
    <row r="237" spans="15:15" ht="15" customHeight="1">
      <c r="O237" s="783">
        <v>236</v>
      </c>
    </row>
    <row r="238" spans="15:15" ht="15" customHeight="1">
      <c r="O238" s="783">
        <v>237</v>
      </c>
    </row>
    <row r="239" spans="15:15" ht="15" customHeight="1">
      <c r="O239" s="783">
        <v>238</v>
      </c>
    </row>
    <row r="240" spans="15:15" ht="15" customHeight="1">
      <c r="O240" s="783">
        <v>239</v>
      </c>
    </row>
    <row r="241" spans="15:15" ht="15" customHeight="1">
      <c r="O241" s="783">
        <v>240</v>
      </c>
    </row>
    <row r="242" spans="15:15" ht="15" customHeight="1">
      <c r="O242" s="783">
        <v>241</v>
      </c>
    </row>
    <row r="243" spans="15:15" ht="15" customHeight="1">
      <c r="O243" s="783">
        <v>242</v>
      </c>
    </row>
    <row r="244" spans="15:15" ht="15" customHeight="1">
      <c r="O244" s="783">
        <v>243</v>
      </c>
    </row>
    <row r="245" spans="15:15" ht="15" customHeight="1">
      <c r="O245" s="783">
        <v>244</v>
      </c>
    </row>
    <row r="246" spans="15:15" ht="15" customHeight="1">
      <c r="O246" s="783">
        <v>245</v>
      </c>
    </row>
    <row r="247" spans="15:15" ht="15" customHeight="1">
      <c r="O247" s="783">
        <v>246</v>
      </c>
    </row>
    <row r="248" spans="15:15" ht="15" customHeight="1">
      <c r="O248" s="783">
        <v>247</v>
      </c>
    </row>
    <row r="249" spans="15:15" ht="15" customHeight="1">
      <c r="O249" s="783">
        <v>248</v>
      </c>
    </row>
    <row r="250" spans="15:15" ht="15" customHeight="1">
      <c r="O250" s="783">
        <v>249</v>
      </c>
    </row>
    <row r="251" spans="15:15" ht="15" customHeight="1">
      <c r="O251" s="783">
        <v>250</v>
      </c>
    </row>
    <row r="252" spans="15:15" ht="15" customHeight="1">
      <c r="O252" s="783">
        <v>251</v>
      </c>
    </row>
    <row r="253" spans="15:15" ht="15" customHeight="1">
      <c r="O253" s="783">
        <v>252</v>
      </c>
    </row>
    <row r="254" spans="15:15" ht="15" customHeight="1">
      <c r="O254" s="783">
        <v>253</v>
      </c>
    </row>
    <row r="255" spans="15:15" ht="15" customHeight="1">
      <c r="O255" s="783">
        <v>254</v>
      </c>
    </row>
    <row r="256" spans="15:15" ht="15" customHeight="1">
      <c r="O256" s="783">
        <v>255</v>
      </c>
    </row>
    <row r="257" spans="15:15" ht="15" customHeight="1">
      <c r="O257" s="783">
        <v>256</v>
      </c>
    </row>
    <row r="258" spans="15:15" ht="15" customHeight="1">
      <c r="O258" s="783">
        <v>257</v>
      </c>
    </row>
    <row r="259" spans="15:15" ht="15" customHeight="1">
      <c r="O259" s="783">
        <v>258</v>
      </c>
    </row>
    <row r="260" spans="15:15" ht="15" customHeight="1">
      <c r="O260" s="783">
        <v>259</v>
      </c>
    </row>
    <row r="261" spans="15:15" ht="15" customHeight="1">
      <c r="O261" s="783">
        <v>260</v>
      </c>
    </row>
    <row r="262" spans="15:15" ht="15" customHeight="1">
      <c r="O262" s="783">
        <v>261</v>
      </c>
    </row>
    <row r="263" spans="15:15" ht="15" customHeight="1">
      <c r="O263" s="783">
        <v>262</v>
      </c>
    </row>
    <row r="264" spans="15:15" ht="15" customHeight="1">
      <c r="O264" s="783">
        <v>263</v>
      </c>
    </row>
    <row r="265" spans="15:15" ht="15" customHeight="1">
      <c r="O265" s="783">
        <v>264</v>
      </c>
    </row>
    <row r="266" spans="15:15" ht="15" customHeight="1">
      <c r="O266" s="783">
        <v>265</v>
      </c>
    </row>
    <row r="267" spans="15:15" ht="15" customHeight="1">
      <c r="O267" s="783">
        <v>266</v>
      </c>
    </row>
    <row r="268" spans="15:15" ht="15" customHeight="1">
      <c r="O268" s="783">
        <v>267</v>
      </c>
    </row>
    <row r="269" spans="15:15" ht="15" customHeight="1">
      <c r="O269" s="783">
        <v>268</v>
      </c>
    </row>
    <row r="270" spans="15:15" ht="15" customHeight="1">
      <c r="O270" s="783">
        <v>269</v>
      </c>
    </row>
    <row r="271" spans="15:15" ht="15" customHeight="1">
      <c r="O271" s="783">
        <v>270</v>
      </c>
    </row>
    <row r="272" spans="15:15" ht="15" customHeight="1">
      <c r="O272" s="783">
        <v>271</v>
      </c>
    </row>
    <row r="273" spans="15:15" ht="15" customHeight="1">
      <c r="O273" s="783">
        <v>272</v>
      </c>
    </row>
    <row r="274" spans="15:15" ht="15" customHeight="1">
      <c r="O274" s="783">
        <v>273</v>
      </c>
    </row>
    <row r="275" spans="15:15" ht="15" customHeight="1">
      <c r="O275" s="783">
        <v>274</v>
      </c>
    </row>
    <row r="276" spans="15:15" ht="15" customHeight="1">
      <c r="O276" s="783">
        <v>275</v>
      </c>
    </row>
    <row r="277" spans="15:15" ht="15" customHeight="1">
      <c r="O277" s="783">
        <v>276</v>
      </c>
    </row>
    <row r="278" spans="15:15" ht="15" customHeight="1">
      <c r="O278" s="783">
        <v>277</v>
      </c>
    </row>
    <row r="279" spans="15:15" ht="15" customHeight="1">
      <c r="O279" s="783">
        <v>278</v>
      </c>
    </row>
    <row r="280" spans="15:15" ht="15" customHeight="1">
      <c r="O280" s="783">
        <v>279</v>
      </c>
    </row>
    <row r="281" spans="15:15" ht="15" customHeight="1">
      <c r="O281" s="783">
        <v>280</v>
      </c>
    </row>
    <row r="282" spans="15:15" ht="15" customHeight="1">
      <c r="O282" s="783">
        <v>281</v>
      </c>
    </row>
    <row r="283" spans="15:15" ht="15" customHeight="1">
      <c r="O283" s="783">
        <v>282</v>
      </c>
    </row>
    <row r="284" spans="15:15" ht="15" customHeight="1">
      <c r="O284" s="783">
        <v>283</v>
      </c>
    </row>
    <row r="285" spans="15:15" ht="15" customHeight="1">
      <c r="O285" s="783">
        <v>284</v>
      </c>
    </row>
    <row r="286" spans="15:15" ht="15" customHeight="1">
      <c r="O286" s="783">
        <v>285</v>
      </c>
    </row>
    <row r="287" spans="15:15" ht="15" customHeight="1">
      <c r="O287" s="783">
        <v>286</v>
      </c>
    </row>
    <row r="288" spans="15:15" ht="15" customHeight="1">
      <c r="O288" s="783">
        <v>287</v>
      </c>
    </row>
    <row r="289" spans="15:15" ht="15" customHeight="1">
      <c r="O289" s="783">
        <v>288</v>
      </c>
    </row>
    <row r="290" spans="15:15" ht="15" customHeight="1">
      <c r="O290" s="783">
        <v>289</v>
      </c>
    </row>
    <row r="291" spans="15:15" ht="15" customHeight="1">
      <c r="O291" s="783">
        <v>290</v>
      </c>
    </row>
    <row r="292" spans="15:15" ht="15" customHeight="1">
      <c r="O292" s="783">
        <v>291</v>
      </c>
    </row>
    <row r="293" spans="15:15" ht="15" customHeight="1">
      <c r="O293" s="783">
        <v>292</v>
      </c>
    </row>
    <row r="294" spans="15:15" ht="15" customHeight="1">
      <c r="O294" s="783">
        <v>293</v>
      </c>
    </row>
    <row r="295" spans="15:15" ht="15" customHeight="1">
      <c r="O295" s="783">
        <v>294</v>
      </c>
    </row>
    <row r="296" spans="15:15" ht="15" customHeight="1">
      <c r="O296" s="783">
        <v>295</v>
      </c>
    </row>
    <row r="297" spans="15:15" ht="15" customHeight="1">
      <c r="O297" s="783">
        <v>296</v>
      </c>
    </row>
    <row r="298" spans="15:15" ht="15" customHeight="1">
      <c r="O298" s="783">
        <v>297</v>
      </c>
    </row>
    <row r="299" spans="15:15" ht="15" customHeight="1">
      <c r="O299" s="783">
        <v>298</v>
      </c>
    </row>
    <row r="300" spans="15:15" ht="15" customHeight="1">
      <c r="O300" s="783">
        <v>299</v>
      </c>
    </row>
    <row r="301" spans="15:15" ht="15" customHeight="1">
      <c r="O301" s="783">
        <v>300</v>
      </c>
    </row>
    <row r="302" spans="15:15" ht="15" customHeight="1">
      <c r="O302" s="783">
        <v>301</v>
      </c>
    </row>
    <row r="303" spans="15:15" ht="15" customHeight="1">
      <c r="O303" s="783">
        <v>302</v>
      </c>
    </row>
    <row r="304" spans="15:15" ht="15" customHeight="1">
      <c r="O304" s="783">
        <v>303</v>
      </c>
    </row>
    <row r="305" spans="15:15" ht="15" customHeight="1">
      <c r="O305" s="783">
        <v>304</v>
      </c>
    </row>
    <row r="306" spans="15:15" ht="15" customHeight="1">
      <c r="O306" s="783">
        <v>305</v>
      </c>
    </row>
    <row r="307" spans="15:15" ht="15" customHeight="1">
      <c r="O307" s="783">
        <v>306</v>
      </c>
    </row>
    <row r="308" spans="15:15" ht="15" customHeight="1">
      <c r="O308" s="783">
        <v>307</v>
      </c>
    </row>
    <row r="309" spans="15:15" ht="15" customHeight="1">
      <c r="O309" s="783">
        <v>308</v>
      </c>
    </row>
    <row r="310" spans="15:15" ht="15" customHeight="1">
      <c r="O310" s="783">
        <v>309</v>
      </c>
    </row>
    <row r="311" spans="15:15" ht="15" customHeight="1">
      <c r="O311" s="783">
        <v>310</v>
      </c>
    </row>
    <row r="312" spans="15:15" ht="15" customHeight="1">
      <c r="O312" s="783">
        <v>311</v>
      </c>
    </row>
    <row r="313" spans="15:15" ht="15" customHeight="1">
      <c r="O313" s="783">
        <v>312</v>
      </c>
    </row>
    <row r="314" spans="15:15" ht="15" customHeight="1">
      <c r="O314" s="783">
        <v>313</v>
      </c>
    </row>
    <row r="315" spans="15:15" ht="15" customHeight="1">
      <c r="O315" s="783">
        <v>314</v>
      </c>
    </row>
    <row r="316" spans="15:15" ht="15" customHeight="1">
      <c r="O316" s="783">
        <v>315</v>
      </c>
    </row>
    <row r="317" spans="15:15" ht="15" customHeight="1">
      <c r="O317" s="783">
        <v>316</v>
      </c>
    </row>
    <row r="318" spans="15:15" ht="15" customHeight="1">
      <c r="O318" s="783">
        <v>317</v>
      </c>
    </row>
    <row r="319" spans="15:15" ht="15" customHeight="1">
      <c r="O319" s="783">
        <v>318</v>
      </c>
    </row>
    <row r="320" spans="15:15" ht="15" customHeight="1">
      <c r="O320" s="783">
        <v>319</v>
      </c>
    </row>
    <row r="321" spans="15:15" ht="15" customHeight="1">
      <c r="O321" s="783">
        <v>320</v>
      </c>
    </row>
    <row r="322" spans="15:15" ht="15" customHeight="1">
      <c r="O322" s="783">
        <v>321</v>
      </c>
    </row>
    <row r="323" spans="15:15" ht="15" customHeight="1">
      <c r="O323" s="783">
        <v>322</v>
      </c>
    </row>
    <row r="324" spans="15:15" ht="15" customHeight="1">
      <c r="O324" s="783">
        <v>323</v>
      </c>
    </row>
    <row r="325" spans="15:15" ht="15" customHeight="1">
      <c r="O325" s="783">
        <v>324</v>
      </c>
    </row>
    <row r="326" spans="15:15" ht="15" customHeight="1">
      <c r="O326" s="783">
        <v>325</v>
      </c>
    </row>
    <row r="327" spans="15:15" ht="15" customHeight="1">
      <c r="O327" s="783">
        <v>326</v>
      </c>
    </row>
    <row r="328" spans="15:15" ht="15" customHeight="1">
      <c r="O328" s="783">
        <v>327</v>
      </c>
    </row>
    <row r="329" spans="15:15" ht="15" customHeight="1">
      <c r="O329" s="783">
        <v>328</v>
      </c>
    </row>
    <row r="330" spans="15:15" ht="15" customHeight="1">
      <c r="O330" s="783">
        <v>329</v>
      </c>
    </row>
    <row r="331" spans="15:15" ht="15" customHeight="1">
      <c r="O331" s="783">
        <v>330</v>
      </c>
    </row>
    <row r="332" spans="15:15" ht="15" customHeight="1">
      <c r="O332" s="783">
        <v>331</v>
      </c>
    </row>
    <row r="333" spans="15:15" ht="15" customHeight="1">
      <c r="O333" s="783">
        <v>332</v>
      </c>
    </row>
    <row r="334" spans="15:15" ht="15" customHeight="1">
      <c r="O334" s="783">
        <v>333</v>
      </c>
    </row>
    <row r="335" spans="15:15" ht="15" customHeight="1">
      <c r="O335" s="783">
        <v>334</v>
      </c>
    </row>
    <row r="336" spans="15:15" ht="15" customHeight="1">
      <c r="O336" s="783">
        <v>335</v>
      </c>
    </row>
    <row r="337" spans="15:15" ht="15" customHeight="1">
      <c r="O337" s="783">
        <v>336</v>
      </c>
    </row>
    <row r="338" spans="15:15" ht="15" customHeight="1">
      <c r="O338" s="783">
        <v>337</v>
      </c>
    </row>
    <row r="339" spans="15:15" ht="15" customHeight="1">
      <c r="O339" s="783">
        <v>338</v>
      </c>
    </row>
    <row r="340" spans="15:15" ht="15" customHeight="1">
      <c r="O340" s="783">
        <v>339</v>
      </c>
    </row>
    <row r="341" spans="15:15" ht="15" customHeight="1">
      <c r="O341" s="783">
        <v>340</v>
      </c>
    </row>
    <row r="342" spans="15:15" ht="15" customHeight="1">
      <c r="O342" s="783">
        <v>341</v>
      </c>
    </row>
    <row r="343" spans="15:15" ht="15" customHeight="1">
      <c r="O343" s="783">
        <v>342</v>
      </c>
    </row>
    <row r="344" spans="15:15" ht="15" customHeight="1">
      <c r="O344" s="783">
        <v>343</v>
      </c>
    </row>
    <row r="345" spans="15:15" ht="15" customHeight="1">
      <c r="O345" s="783">
        <v>344</v>
      </c>
    </row>
    <row r="346" spans="15:15" ht="15" customHeight="1">
      <c r="O346" s="783">
        <v>345</v>
      </c>
    </row>
    <row r="347" spans="15:15" ht="15" customHeight="1">
      <c r="O347" s="783">
        <v>346</v>
      </c>
    </row>
    <row r="348" spans="15:15" ht="15" customHeight="1">
      <c r="O348" s="783">
        <v>347</v>
      </c>
    </row>
    <row r="349" spans="15:15" ht="15" customHeight="1">
      <c r="O349" s="783">
        <v>348</v>
      </c>
    </row>
    <row r="350" spans="15:15" ht="15" customHeight="1">
      <c r="O350" s="783">
        <v>349</v>
      </c>
    </row>
    <row r="351" spans="15:15" ht="15" customHeight="1">
      <c r="O351" s="783">
        <v>350</v>
      </c>
    </row>
    <row r="352" spans="15:15" ht="15" customHeight="1">
      <c r="O352" s="783">
        <v>351</v>
      </c>
    </row>
    <row r="353" spans="15:15" ht="15" customHeight="1">
      <c r="O353" s="783">
        <v>352</v>
      </c>
    </row>
    <row r="354" spans="15:15" ht="15" customHeight="1">
      <c r="O354" s="783">
        <v>353</v>
      </c>
    </row>
    <row r="355" spans="15:15" ht="15" customHeight="1">
      <c r="O355" s="783">
        <v>354</v>
      </c>
    </row>
    <row r="356" spans="15:15" ht="15" customHeight="1">
      <c r="O356" s="783">
        <v>355</v>
      </c>
    </row>
    <row r="357" spans="15:15" ht="15" customHeight="1">
      <c r="O357" s="783">
        <v>356</v>
      </c>
    </row>
    <row r="358" spans="15:15" ht="15" customHeight="1">
      <c r="O358" s="783">
        <v>357</v>
      </c>
    </row>
    <row r="359" spans="15:15" ht="15" customHeight="1">
      <c r="O359" s="783">
        <v>358</v>
      </c>
    </row>
    <row r="360" spans="15:15" ht="15" customHeight="1">
      <c r="O360" s="783">
        <v>359</v>
      </c>
    </row>
    <row r="361" spans="15:15" ht="15" customHeight="1">
      <c r="O361" s="783">
        <v>360</v>
      </c>
    </row>
    <row r="362" spans="15:15" ht="15" customHeight="1">
      <c r="O362" s="783">
        <v>361</v>
      </c>
    </row>
    <row r="363" spans="15:15" ht="15" customHeight="1">
      <c r="O363" s="783">
        <v>362</v>
      </c>
    </row>
    <row r="364" spans="15:15" ht="15" customHeight="1">
      <c r="O364" s="783">
        <v>363</v>
      </c>
    </row>
    <row r="365" spans="15:15" ht="15" customHeight="1">
      <c r="O365" s="783">
        <v>364</v>
      </c>
    </row>
    <row r="366" spans="15:15" ht="15" customHeight="1">
      <c r="O366" s="783">
        <v>365</v>
      </c>
    </row>
    <row r="367" spans="15:15" ht="15" customHeight="1">
      <c r="O367" s="783">
        <v>366</v>
      </c>
    </row>
    <row r="368" spans="15:15" ht="15" customHeight="1">
      <c r="O368" s="783">
        <v>367</v>
      </c>
    </row>
    <row r="369" spans="15:15" ht="15" customHeight="1">
      <c r="O369" s="783">
        <v>368</v>
      </c>
    </row>
    <row r="370" spans="15:15" ht="15" customHeight="1">
      <c r="O370" s="783">
        <v>369</v>
      </c>
    </row>
    <row r="371" spans="15:15" ht="15" customHeight="1">
      <c r="O371" s="783">
        <v>370</v>
      </c>
    </row>
    <row r="372" spans="15:15" ht="15" customHeight="1">
      <c r="O372" s="783">
        <v>371</v>
      </c>
    </row>
    <row r="373" spans="15:15" ht="15" customHeight="1">
      <c r="O373" s="783">
        <v>372</v>
      </c>
    </row>
    <row r="374" spans="15:15" ht="15" customHeight="1">
      <c r="O374" s="783">
        <v>373</v>
      </c>
    </row>
    <row r="375" spans="15:15" ht="15" customHeight="1">
      <c r="O375" s="783">
        <v>374</v>
      </c>
    </row>
    <row r="376" spans="15:15" ht="15" customHeight="1">
      <c r="O376" s="783">
        <v>375</v>
      </c>
    </row>
    <row r="377" spans="15:15" ht="15" customHeight="1">
      <c r="O377" s="783">
        <v>376</v>
      </c>
    </row>
    <row r="378" spans="15:15" ht="15" customHeight="1">
      <c r="O378" s="783">
        <v>377</v>
      </c>
    </row>
    <row r="379" spans="15:15" ht="15" customHeight="1">
      <c r="O379" s="783">
        <v>378</v>
      </c>
    </row>
    <row r="380" spans="15:15" ht="15" customHeight="1">
      <c r="O380" s="783">
        <v>379</v>
      </c>
    </row>
    <row r="381" spans="15:15" ht="15" customHeight="1">
      <c r="O381" s="783">
        <v>380</v>
      </c>
    </row>
    <row r="382" spans="15:15" ht="15" customHeight="1">
      <c r="O382" s="783">
        <v>381</v>
      </c>
    </row>
    <row r="383" spans="15:15" ht="15" customHeight="1">
      <c r="O383" s="783">
        <v>382</v>
      </c>
    </row>
    <row r="384" spans="15:15" ht="15" customHeight="1">
      <c r="O384" s="783">
        <v>383</v>
      </c>
    </row>
    <row r="385" spans="15:15" ht="15" customHeight="1">
      <c r="O385" s="783">
        <v>384</v>
      </c>
    </row>
    <row r="386" spans="15:15" ht="15" customHeight="1">
      <c r="O386" s="783">
        <v>385</v>
      </c>
    </row>
    <row r="387" spans="15:15" ht="15" customHeight="1">
      <c r="O387" s="783">
        <v>386</v>
      </c>
    </row>
    <row r="388" spans="15:15" ht="15" customHeight="1">
      <c r="O388" s="783">
        <v>387</v>
      </c>
    </row>
    <row r="389" spans="15:15" ht="15" customHeight="1">
      <c r="O389" s="783">
        <v>388</v>
      </c>
    </row>
    <row r="390" spans="15:15" ht="15" customHeight="1">
      <c r="O390" s="783">
        <v>389</v>
      </c>
    </row>
    <row r="391" spans="15:15" ht="15" customHeight="1">
      <c r="O391" s="783">
        <v>390</v>
      </c>
    </row>
    <row r="392" spans="15:15" ht="15" customHeight="1">
      <c r="O392" s="783">
        <v>391</v>
      </c>
    </row>
    <row r="393" spans="15:15" ht="15" customHeight="1">
      <c r="O393" s="783">
        <v>392</v>
      </c>
    </row>
    <row r="394" spans="15:15" ht="15" customHeight="1">
      <c r="O394" s="783">
        <v>393</v>
      </c>
    </row>
    <row r="395" spans="15:15" ht="15" customHeight="1">
      <c r="O395" s="783">
        <v>394</v>
      </c>
    </row>
    <row r="396" spans="15:15" ht="15" customHeight="1">
      <c r="O396" s="783">
        <v>395</v>
      </c>
    </row>
    <row r="397" spans="15:15" ht="15" customHeight="1">
      <c r="O397" s="783">
        <v>396</v>
      </c>
    </row>
    <row r="398" spans="15:15" ht="15" customHeight="1">
      <c r="O398" s="783">
        <v>397</v>
      </c>
    </row>
    <row r="399" spans="15:15" ht="15" customHeight="1">
      <c r="O399" s="783">
        <v>398</v>
      </c>
    </row>
    <row r="400" spans="15:15" ht="15" customHeight="1">
      <c r="O400" s="783">
        <v>399</v>
      </c>
    </row>
    <row r="401" spans="15:15" ht="15" customHeight="1">
      <c r="O401" s="783">
        <v>400</v>
      </c>
    </row>
    <row r="402" spans="15:15" ht="15" customHeight="1">
      <c r="O402" s="783">
        <v>401</v>
      </c>
    </row>
    <row r="403" spans="15:15" ht="15" customHeight="1">
      <c r="O403" s="783">
        <v>402</v>
      </c>
    </row>
    <row r="404" spans="15:15" ht="15" customHeight="1">
      <c r="O404" s="783">
        <v>403</v>
      </c>
    </row>
    <row r="405" spans="15:15" ht="15" customHeight="1">
      <c r="O405" s="783">
        <v>404</v>
      </c>
    </row>
    <row r="406" spans="15:15" ht="15" customHeight="1">
      <c r="O406" s="783">
        <v>405</v>
      </c>
    </row>
    <row r="407" spans="15:15" ht="15" customHeight="1">
      <c r="O407" s="783">
        <v>406</v>
      </c>
    </row>
    <row r="408" spans="15:15" ht="15" customHeight="1">
      <c r="O408" s="783">
        <v>407</v>
      </c>
    </row>
    <row r="409" spans="15:15" ht="15" customHeight="1">
      <c r="O409" s="783">
        <v>408</v>
      </c>
    </row>
    <row r="410" spans="15:15" ht="15" customHeight="1">
      <c r="O410" s="783">
        <v>409</v>
      </c>
    </row>
    <row r="411" spans="15:15" ht="15" customHeight="1">
      <c r="O411" s="783">
        <v>410</v>
      </c>
    </row>
    <row r="412" spans="15:15" ht="15" customHeight="1">
      <c r="O412" s="783">
        <v>411</v>
      </c>
    </row>
    <row r="413" spans="15:15" ht="15" customHeight="1">
      <c r="O413" s="783">
        <v>412</v>
      </c>
    </row>
    <row r="414" spans="15:15" ht="15" customHeight="1">
      <c r="O414" s="783">
        <v>413</v>
      </c>
    </row>
    <row r="415" spans="15:15" ht="15" customHeight="1">
      <c r="O415" s="783">
        <v>414</v>
      </c>
    </row>
    <row r="416" spans="15:15" ht="15" customHeight="1">
      <c r="O416" s="783">
        <v>415</v>
      </c>
    </row>
    <row r="417" spans="15:15" ht="15" customHeight="1">
      <c r="O417" s="783">
        <v>416</v>
      </c>
    </row>
    <row r="418" spans="15:15" ht="15" customHeight="1">
      <c r="O418" s="783">
        <v>417</v>
      </c>
    </row>
    <row r="419" spans="15:15" ht="15" customHeight="1">
      <c r="O419" s="783">
        <v>418</v>
      </c>
    </row>
    <row r="420" spans="15:15" ht="15" customHeight="1">
      <c r="O420" s="783">
        <v>419</v>
      </c>
    </row>
    <row r="421" spans="15:15" ht="15" customHeight="1">
      <c r="O421" s="783">
        <v>420</v>
      </c>
    </row>
    <row r="422" spans="15:15" ht="15" customHeight="1">
      <c r="O422" s="783">
        <v>421</v>
      </c>
    </row>
    <row r="423" spans="15:15" ht="15" customHeight="1">
      <c r="O423" s="783">
        <v>422</v>
      </c>
    </row>
    <row r="424" spans="15:15" ht="15" customHeight="1">
      <c r="O424" s="783">
        <v>423</v>
      </c>
    </row>
    <row r="425" spans="15:15" ht="15" customHeight="1">
      <c r="O425" s="783">
        <v>424</v>
      </c>
    </row>
    <row r="426" spans="15:15" ht="15" customHeight="1">
      <c r="O426" s="783">
        <v>425</v>
      </c>
    </row>
    <row r="427" spans="15:15" ht="15" customHeight="1">
      <c r="O427" s="783">
        <v>426</v>
      </c>
    </row>
    <row r="428" spans="15:15" ht="15" customHeight="1">
      <c r="O428" s="783">
        <v>427</v>
      </c>
    </row>
    <row r="429" spans="15:15" ht="15" customHeight="1">
      <c r="O429" s="783">
        <v>428</v>
      </c>
    </row>
    <row r="430" spans="15:15" ht="15" customHeight="1">
      <c r="O430" s="783">
        <v>429</v>
      </c>
    </row>
    <row r="431" spans="15:15" ht="15" customHeight="1">
      <c r="O431" s="783">
        <v>430</v>
      </c>
    </row>
    <row r="432" spans="15:15" ht="15" customHeight="1">
      <c r="O432" s="783">
        <v>431</v>
      </c>
    </row>
    <row r="433" spans="15:15" ht="15" customHeight="1">
      <c r="O433" s="783">
        <v>432</v>
      </c>
    </row>
    <row r="434" spans="15:15" ht="15" customHeight="1">
      <c r="O434" s="783">
        <v>433</v>
      </c>
    </row>
    <row r="435" spans="15:15" ht="15" customHeight="1">
      <c r="O435" s="783">
        <v>434</v>
      </c>
    </row>
    <row r="436" spans="15:15" ht="15" customHeight="1">
      <c r="O436" s="783">
        <v>435</v>
      </c>
    </row>
    <row r="437" spans="15:15" ht="15" customHeight="1">
      <c r="O437" s="783">
        <v>436</v>
      </c>
    </row>
    <row r="438" spans="15:15" ht="15" customHeight="1">
      <c r="O438" s="783">
        <v>437</v>
      </c>
    </row>
    <row r="439" spans="15:15" ht="15" customHeight="1">
      <c r="O439" s="783">
        <v>438</v>
      </c>
    </row>
    <row r="440" spans="15:15" ht="15" customHeight="1">
      <c r="O440" s="783">
        <v>439</v>
      </c>
    </row>
    <row r="441" spans="15:15" ht="15" customHeight="1">
      <c r="O441" s="783">
        <v>440</v>
      </c>
    </row>
    <row r="442" spans="15:15" ht="15" customHeight="1">
      <c r="O442" s="783">
        <v>441</v>
      </c>
    </row>
    <row r="443" spans="15:15" ht="15" customHeight="1">
      <c r="O443" s="783">
        <v>442</v>
      </c>
    </row>
    <row r="444" spans="15:15" ht="15" customHeight="1">
      <c r="O444" s="783">
        <v>443</v>
      </c>
    </row>
    <row r="445" spans="15:15" ht="15" customHeight="1">
      <c r="O445" s="783">
        <v>444</v>
      </c>
    </row>
    <row r="446" spans="15:15" ht="15" customHeight="1">
      <c r="O446" s="783">
        <v>445</v>
      </c>
    </row>
    <row r="447" spans="15:15" ht="15" customHeight="1">
      <c r="O447" s="783">
        <v>446</v>
      </c>
    </row>
    <row r="448" spans="15:15" ht="15" customHeight="1">
      <c r="O448" s="783">
        <v>447</v>
      </c>
    </row>
    <row r="449" spans="15:15" ht="15" customHeight="1">
      <c r="O449" s="783">
        <v>448</v>
      </c>
    </row>
    <row r="450" spans="15:15" ht="15" customHeight="1">
      <c r="O450" s="783">
        <v>449</v>
      </c>
    </row>
    <row r="451" spans="15:15" ht="15" customHeight="1">
      <c r="O451" s="783">
        <v>450</v>
      </c>
    </row>
    <row r="452" spans="15:15" ht="15" customHeight="1">
      <c r="O452" s="783">
        <v>451</v>
      </c>
    </row>
    <row r="453" spans="15:15" ht="15" customHeight="1">
      <c r="O453" s="783">
        <v>452</v>
      </c>
    </row>
    <row r="454" spans="15:15" ht="15" customHeight="1">
      <c r="O454" s="783">
        <v>453</v>
      </c>
    </row>
    <row r="455" spans="15:15" ht="15" customHeight="1">
      <c r="O455" s="783">
        <v>454</v>
      </c>
    </row>
    <row r="456" spans="15:15" ht="15" customHeight="1">
      <c r="O456" s="783">
        <v>455</v>
      </c>
    </row>
    <row r="457" spans="15:15" ht="15" customHeight="1">
      <c r="O457" s="783">
        <v>456</v>
      </c>
    </row>
    <row r="458" spans="15:15" ht="15" customHeight="1">
      <c r="O458" s="783">
        <v>457</v>
      </c>
    </row>
    <row r="459" spans="15:15" ht="15" customHeight="1">
      <c r="O459" s="783">
        <v>458</v>
      </c>
    </row>
    <row r="460" spans="15:15" ht="15" customHeight="1">
      <c r="O460" s="783">
        <v>459</v>
      </c>
    </row>
    <row r="461" spans="15:15" ht="15" customHeight="1">
      <c r="O461" s="783">
        <v>460</v>
      </c>
    </row>
    <row r="462" spans="15:15" ht="15" customHeight="1">
      <c r="O462" s="783">
        <v>461</v>
      </c>
    </row>
    <row r="463" spans="15:15" ht="15" customHeight="1">
      <c r="O463" s="783">
        <v>462</v>
      </c>
    </row>
    <row r="464" spans="15:15" ht="15" customHeight="1">
      <c r="O464" s="783">
        <v>463</v>
      </c>
    </row>
    <row r="465" spans="15:15" ht="15" customHeight="1">
      <c r="O465" s="783">
        <v>464</v>
      </c>
    </row>
    <row r="466" spans="15:15" ht="15" customHeight="1">
      <c r="O466" s="783">
        <v>465</v>
      </c>
    </row>
    <row r="467" spans="15:15" ht="15" customHeight="1">
      <c r="O467" s="783">
        <v>466</v>
      </c>
    </row>
    <row r="468" spans="15:15" ht="15" customHeight="1">
      <c r="O468" s="783">
        <v>467</v>
      </c>
    </row>
    <row r="469" spans="15:15" ht="15" customHeight="1">
      <c r="O469" s="783">
        <v>468</v>
      </c>
    </row>
    <row r="470" spans="15:15" ht="15" customHeight="1">
      <c r="O470" s="783">
        <v>469</v>
      </c>
    </row>
    <row r="471" spans="15:15" ht="15" customHeight="1">
      <c r="O471" s="783">
        <v>470</v>
      </c>
    </row>
    <row r="472" spans="15:15" ht="15" customHeight="1">
      <c r="O472" s="783">
        <v>471</v>
      </c>
    </row>
    <row r="473" spans="15:15" ht="15" customHeight="1">
      <c r="O473" s="783">
        <v>472</v>
      </c>
    </row>
    <row r="474" spans="15:15" ht="15" customHeight="1">
      <c r="O474" s="783">
        <v>473</v>
      </c>
    </row>
    <row r="475" spans="15:15" ht="15" customHeight="1">
      <c r="O475" s="783">
        <v>474</v>
      </c>
    </row>
    <row r="476" spans="15:15" ht="15" customHeight="1">
      <c r="O476" s="783">
        <v>475</v>
      </c>
    </row>
    <row r="477" spans="15:15" ht="15" customHeight="1">
      <c r="O477" s="783">
        <v>476</v>
      </c>
    </row>
    <row r="478" spans="15:15" ht="15" customHeight="1">
      <c r="O478" s="783">
        <v>477</v>
      </c>
    </row>
    <row r="479" spans="15:15" ht="15" customHeight="1">
      <c r="O479" s="783">
        <v>478</v>
      </c>
    </row>
    <row r="480" spans="15:15" ht="15" customHeight="1">
      <c r="O480" s="783">
        <v>479</v>
      </c>
    </row>
    <row r="481" spans="15:15" ht="15" customHeight="1">
      <c r="O481" s="783">
        <v>480</v>
      </c>
    </row>
    <row r="482" spans="15:15" ht="15" customHeight="1">
      <c r="O482" s="783">
        <v>481</v>
      </c>
    </row>
    <row r="483" spans="15:15" ht="15" customHeight="1">
      <c r="O483" s="783">
        <v>482</v>
      </c>
    </row>
    <row r="484" spans="15:15" ht="15" customHeight="1">
      <c r="O484" s="783">
        <v>483</v>
      </c>
    </row>
    <row r="485" spans="15:15" ht="15" customHeight="1">
      <c r="O485" s="783">
        <v>484</v>
      </c>
    </row>
    <row r="486" spans="15:15" ht="15" customHeight="1">
      <c r="O486" s="783">
        <v>485</v>
      </c>
    </row>
    <row r="487" spans="15:15" ht="15" customHeight="1">
      <c r="O487" s="783">
        <v>486</v>
      </c>
    </row>
    <row r="488" spans="15:15" ht="15" customHeight="1">
      <c r="O488" s="783">
        <v>487</v>
      </c>
    </row>
    <row r="489" spans="15:15" ht="15" customHeight="1">
      <c r="O489" s="783">
        <v>488</v>
      </c>
    </row>
    <row r="490" spans="15:15" ht="15" customHeight="1">
      <c r="O490" s="783">
        <v>489</v>
      </c>
    </row>
    <row r="491" spans="15:15" ht="15" customHeight="1">
      <c r="O491" s="783">
        <v>490</v>
      </c>
    </row>
    <row r="492" spans="15:15" ht="15" customHeight="1">
      <c r="O492" s="783">
        <v>491</v>
      </c>
    </row>
    <row r="493" spans="15:15" ht="15" customHeight="1">
      <c r="O493" s="783">
        <v>492</v>
      </c>
    </row>
    <row r="494" spans="15:15" ht="15" customHeight="1">
      <c r="O494" s="783">
        <v>493</v>
      </c>
    </row>
    <row r="495" spans="15:15" ht="15" customHeight="1">
      <c r="O495" s="783">
        <v>494</v>
      </c>
    </row>
    <row r="496" spans="15:15" ht="15" customHeight="1">
      <c r="O496" s="783">
        <v>495</v>
      </c>
    </row>
    <row r="497" spans="15:15" ht="15" customHeight="1">
      <c r="O497" s="783">
        <v>496</v>
      </c>
    </row>
    <row r="498" spans="15:15" ht="15" customHeight="1">
      <c r="O498" s="783">
        <v>497</v>
      </c>
    </row>
    <row r="499" spans="15:15" ht="15" customHeight="1">
      <c r="O499" s="783">
        <v>498</v>
      </c>
    </row>
    <row r="500" spans="15:15" ht="15" customHeight="1">
      <c r="O500" s="783">
        <v>499</v>
      </c>
    </row>
    <row r="501" spans="15:15" ht="15" customHeight="1">
      <c r="O501" s="783">
        <v>500</v>
      </c>
    </row>
  </sheetData>
  <sheetProtection algorithmName="SHA-512" hashValue="ofdxbyHYTLAiqa47O6mxG4UIJqRBmJ2HoJmek+DfeNAaob7c6lT1LN9YsISMK1ML2kBAVTwvR/Q04h3j1h3efQ==" saltValue="6wIYqItnamGavln2h8Yikg==" spinCount="100000" sheet="1" objects="1" scenarios="1" selectLockedCells="1" selectUnlockedCells="1"/>
  <phoneticPr fontId="14" type="noConversion"/>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D8C0-08BC-4773-813E-F44B9D749020}">
  <sheetPr codeName="Hoja4"/>
  <dimension ref="A1:AI147"/>
  <sheetViews>
    <sheetView showGridLines="0" showRowColHeaders="0" topLeftCell="EJ608" zoomScale="99" workbookViewId="0">
      <selection activeCell="EJ609" sqref="EJ609"/>
    </sheetView>
  </sheetViews>
  <sheetFormatPr defaultColWidth="10.7109375" defaultRowHeight="15"/>
  <cols>
    <col min="1" max="1" width="13.140625" style="9" bestFit="1" customWidth="1"/>
    <col min="2" max="2" width="5" style="9" customWidth="1"/>
    <col min="3" max="3" width="12.42578125" style="9" customWidth="1"/>
    <col min="4" max="4" width="13.140625" style="9" customWidth="1"/>
    <col min="5" max="5" width="12.28515625" style="9" bestFit="1" customWidth="1"/>
    <col min="6" max="6" width="10.7109375" style="9"/>
    <col min="7" max="7" width="12.28515625" style="9" bestFit="1" customWidth="1"/>
    <col min="8" max="15" width="10.7109375" style="9"/>
    <col min="16" max="16" width="4.7109375" style="9" bestFit="1" customWidth="1"/>
    <col min="17" max="17" width="17.7109375" style="9" bestFit="1" customWidth="1"/>
    <col min="18" max="18" width="11.140625" style="9" bestFit="1" customWidth="1"/>
    <col min="19" max="19" width="11" style="9" bestFit="1" customWidth="1"/>
    <col min="20" max="20" width="10.28515625" style="9" bestFit="1" customWidth="1"/>
    <col min="21" max="21" width="10.42578125" style="9" customWidth="1"/>
    <col min="22" max="22" width="10.28515625" style="9" customWidth="1"/>
    <col min="23" max="23" width="3.28515625" style="9" bestFit="1" customWidth="1"/>
    <col min="24" max="26" width="10.7109375" style="9"/>
    <col min="27" max="27" width="6.42578125" style="9" customWidth="1"/>
    <col min="28" max="33" width="10.7109375" style="9"/>
    <col min="34" max="34" width="3.28515625" style="9" bestFit="1" customWidth="1"/>
    <col min="35" max="16384" width="10.7109375" style="9"/>
  </cols>
  <sheetData>
    <row r="1" spans="1:35" ht="15.75" thickBot="1">
      <c r="A1" s="710"/>
      <c r="K1" s="714" t="s">
        <v>376</v>
      </c>
      <c r="L1" s="714" t="s">
        <v>367</v>
      </c>
      <c r="M1" s="714" t="s">
        <v>149</v>
      </c>
      <c r="N1" s="714" t="s">
        <v>372</v>
      </c>
      <c r="P1" s="11" t="s">
        <v>1343</v>
      </c>
      <c r="Q1" s="11"/>
      <c r="R1" s="11"/>
      <c r="S1" s="11"/>
      <c r="T1" s="11"/>
      <c r="U1" s="11"/>
      <c r="V1" s="11"/>
      <c r="W1" s="11"/>
      <c r="X1" s="11"/>
    </row>
    <row r="2" spans="1:35" ht="15.75" thickBot="1">
      <c r="K2" s="714" t="s">
        <v>366</v>
      </c>
      <c r="L2" s="714" t="str">
        <f>Idiomas!D266</f>
        <v>United States</v>
      </c>
      <c r="M2" s="714">
        <f ca="1">+INDEX($R$3:$R$86,MATCH($L$2,$Q$3:$Q$86,0))</f>
        <v>-4</v>
      </c>
      <c r="N2" s="715">
        <f ca="1">+INDEX($S$3:$S$86,MATCH($L$2,$Q$3:$Q$86,0))</f>
        <v>0.16666666666666666</v>
      </c>
      <c r="P2" s="789" t="s">
        <v>368</v>
      </c>
      <c r="Q2" s="789" t="s">
        <v>367</v>
      </c>
      <c r="R2" s="789" t="s">
        <v>352</v>
      </c>
      <c r="S2" s="789" t="s">
        <v>371</v>
      </c>
      <c r="T2" s="789" t="s">
        <v>353</v>
      </c>
      <c r="U2" s="789" t="s">
        <v>354</v>
      </c>
      <c r="V2" s="789" t="s">
        <v>370</v>
      </c>
      <c r="W2" s="790" t="s">
        <v>369</v>
      </c>
      <c r="X2" s="789" t="s">
        <v>353</v>
      </c>
      <c r="AA2" s="789" t="s">
        <v>368</v>
      </c>
      <c r="AB2" s="789" t="s">
        <v>367</v>
      </c>
      <c r="AC2" s="789" t="s">
        <v>352</v>
      </c>
      <c r="AD2" s="789" t="s">
        <v>371</v>
      </c>
      <c r="AE2" s="789" t="s">
        <v>353</v>
      </c>
      <c r="AF2" s="789" t="s">
        <v>354</v>
      </c>
      <c r="AG2" s="789" t="s">
        <v>370</v>
      </c>
      <c r="AH2" s="790" t="s">
        <v>369</v>
      </c>
      <c r="AI2" s="789" t="s">
        <v>83</v>
      </c>
    </row>
    <row r="3" spans="1:35">
      <c r="A3" s="5" t="s">
        <v>39</v>
      </c>
      <c r="C3" s="9">
        <f ca="1">+IFERROR(INDEX($P$3:$P$86,MATCH(Home!$C$8,Horarios!$Q$3:$Q$86,0)),INDEX($P$3:$P$86,MATCH(1,$T$3:$T$86,0)))</f>
        <v>29</v>
      </c>
      <c r="K3" s="9" t="s">
        <v>148</v>
      </c>
      <c r="P3" s="11">
        <v>1</v>
      </c>
      <c r="Q3" s="11" t="str">
        <f ca="1">+INDEX($AB$3:$AB$50,MATCH(P3,$AI$3:$AI$50,0))</f>
        <v>Algeria</v>
      </c>
      <c r="R3" s="11">
        <f t="shared" ref="R3:W12" ca="1" si="0">+INDEX($AC$3:$AH$86,MATCH($Q3,$AB$3:$AB$86,0),MATCH(R$2,$AC$2:$AH$2,0))</f>
        <v>1</v>
      </c>
      <c r="S3" s="791">
        <f t="shared" ca="1" si="0"/>
        <v>4.1666666666666664E-2</v>
      </c>
      <c r="T3" s="11">
        <f t="shared" ca="1" si="0"/>
        <v>0</v>
      </c>
      <c r="U3" s="11">
        <f t="shared" ca="1" si="0"/>
        <v>5</v>
      </c>
      <c r="V3" s="791">
        <f t="shared" ca="1" si="0"/>
        <v>0.20833333333333334</v>
      </c>
      <c r="W3" s="11">
        <f t="shared" ca="1" si="0"/>
        <v>1</v>
      </c>
      <c r="X3" s="11">
        <f t="shared" ref="X3:X50" ca="1" si="1">IFERROR(IF(Q3=$L$2,1,0),0)</f>
        <v>0</v>
      </c>
      <c r="AA3" s="11">
        <v>1</v>
      </c>
      <c r="AB3" s="11" t="str">
        <f ca="1">Idiomas!D212</f>
        <v>Germany</v>
      </c>
      <c r="AC3" s="11">
        <v>2</v>
      </c>
      <c r="AD3" s="791">
        <f>ABS(AC3/24)</f>
        <v>8.3333333333333329E-2</v>
      </c>
      <c r="AE3" s="11">
        <v>0</v>
      </c>
      <c r="AF3" s="11">
        <f ca="1">AC3-$M$2</f>
        <v>6</v>
      </c>
      <c r="AG3" s="791">
        <f ca="1">ABS(AF3/24)</f>
        <v>0.25</v>
      </c>
      <c r="AH3" s="11">
        <f ca="1">IF(AC3&gt;$M$2,1,IF(AC3=$M$2,0,-1))</f>
        <v>1</v>
      </c>
      <c r="AI3" s="11">
        <f ca="1">+COUNTIF($AB$3:$AB$50,"&lt;="&amp;AB3)</f>
        <v>19</v>
      </c>
    </row>
    <row r="4" spans="1:35">
      <c r="A4" s="710">
        <v>46184.625</v>
      </c>
      <c r="C4" s="710">
        <f t="shared" ref="C4:C9" ca="1" si="2">A4+INDEX($V$3:$V$86,MATCH($C$3,$P$3:$P$86,0))*INDEX($W$3:$W$86,MATCH($C$3,$P$3:$P$86,0))</f>
        <v>46184.875</v>
      </c>
      <c r="D4" s="710"/>
      <c r="E4" s="710"/>
      <c r="P4" s="11">
        <v>2</v>
      </c>
      <c r="Q4" s="11" t="str">
        <f t="shared" ref="Q4:Q50" ca="1" si="3">+INDEX($AB$3:$AB$50,MATCH(P4,$AI$3:$AI$50,0))</f>
        <v>Argentina</v>
      </c>
      <c r="R4" s="11">
        <f t="shared" ca="1" si="0"/>
        <v>-3</v>
      </c>
      <c r="S4" s="791">
        <f t="shared" ca="1" si="0"/>
        <v>0.125</v>
      </c>
      <c r="T4" s="11">
        <f t="shared" ca="1" si="0"/>
        <v>0</v>
      </c>
      <c r="U4" s="11">
        <f t="shared" ca="1" si="0"/>
        <v>1</v>
      </c>
      <c r="V4" s="791">
        <f t="shared" ca="1" si="0"/>
        <v>4.1666666666666664E-2</v>
      </c>
      <c r="W4" s="11">
        <f t="shared" ca="1" si="0"/>
        <v>1</v>
      </c>
      <c r="X4" s="11">
        <f t="shared" ca="1" si="1"/>
        <v>0</v>
      </c>
      <c r="AA4" s="11">
        <v>2</v>
      </c>
      <c r="AB4" s="11" t="str">
        <f ca="1">Idiomas!D213</f>
        <v>Saudi Arabia</v>
      </c>
      <c r="AC4" s="11">
        <v>3</v>
      </c>
      <c r="AD4" s="791">
        <f t="shared" ref="AD4:AD67" si="4">ABS(AC4/24)</f>
        <v>0.125</v>
      </c>
      <c r="AE4" s="11">
        <v>0</v>
      </c>
      <c r="AF4" s="11">
        <f t="shared" ref="AF4:AF50" ca="1" si="5">AC4-$M$2</f>
        <v>7</v>
      </c>
      <c r="AG4" s="791">
        <f t="shared" ref="AG4:AG67" ca="1" si="6">ABS(AF4/24)</f>
        <v>0.29166666666666669</v>
      </c>
      <c r="AH4" s="11">
        <f t="shared" ref="AH4:AH50" ca="1" si="7">IF(AC4&gt;$M$2,1,IF(AC4=$M$2,0,-1))</f>
        <v>1</v>
      </c>
      <c r="AI4" s="11">
        <f t="shared" ref="AI4:AI50" ca="1" si="8">+COUNTIF($AB$3:$AB$50,"&lt;="&amp;AB4)</f>
        <v>36</v>
      </c>
    </row>
    <row r="5" spans="1:35">
      <c r="A5" s="710">
        <v>46184.916666666664</v>
      </c>
      <c r="C5" s="710">
        <f t="shared" ca="1" si="2"/>
        <v>46185.166666666664</v>
      </c>
      <c r="D5" s="710"/>
      <c r="E5" s="710"/>
      <c r="P5" s="11">
        <v>3</v>
      </c>
      <c r="Q5" s="11" t="str">
        <f t="shared" ca="1" si="3"/>
        <v>Australia</v>
      </c>
      <c r="R5" s="11">
        <f t="shared" ca="1" si="0"/>
        <v>10.5</v>
      </c>
      <c r="S5" s="791">
        <f t="shared" ca="1" si="0"/>
        <v>0.4375</v>
      </c>
      <c r="T5" s="11">
        <f t="shared" ca="1" si="0"/>
        <v>0</v>
      </c>
      <c r="U5" s="11">
        <f t="shared" ca="1" si="0"/>
        <v>14.5</v>
      </c>
      <c r="V5" s="791">
        <f t="shared" ca="1" si="0"/>
        <v>0.60416666666666663</v>
      </c>
      <c r="W5" s="11">
        <f t="shared" ca="1" si="0"/>
        <v>1</v>
      </c>
      <c r="X5" s="11">
        <f t="shared" ca="1" si="1"/>
        <v>0</v>
      </c>
      <c r="AA5" s="11">
        <v>3</v>
      </c>
      <c r="AB5" s="11" t="str">
        <f ca="1">Idiomas!D214</f>
        <v>Algeria</v>
      </c>
      <c r="AC5" s="11">
        <v>1</v>
      </c>
      <c r="AD5" s="791">
        <f t="shared" si="4"/>
        <v>4.1666666666666664E-2</v>
      </c>
      <c r="AE5" s="11">
        <v>0</v>
      </c>
      <c r="AF5" s="11">
        <f t="shared" ca="1" si="5"/>
        <v>5</v>
      </c>
      <c r="AG5" s="791">
        <f t="shared" ca="1" si="6"/>
        <v>0.20833333333333334</v>
      </c>
      <c r="AH5" s="11">
        <f t="shared" ca="1" si="7"/>
        <v>1</v>
      </c>
      <c r="AI5" s="11">
        <f t="shared" ca="1" si="8"/>
        <v>1</v>
      </c>
    </row>
    <row r="6" spans="1:35">
      <c r="A6" s="710">
        <v>46191.5</v>
      </c>
      <c r="C6" s="710">
        <f t="shared" ca="1" si="2"/>
        <v>46191.75</v>
      </c>
      <c r="D6" s="710"/>
      <c r="E6" s="710"/>
      <c r="P6" s="11">
        <v>4</v>
      </c>
      <c r="Q6" s="11" t="str">
        <f t="shared" ca="1" si="3"/>
        <v>Austria</v>
      </c>
      <c r="R6" s="11">
        <f t="shared" ca="1" si="0"/>
        <v>2</v>
      </c>
      <c r="S6" s="791">
        <f t="shared" ca="1" si="0"/>
        <v>8.3333333333333329E-2</v>
      </c>
      <c r="T6" s="11">
        <f t="shared" ca="1" si="0"/>
        <v>0</v>
      </c>
      <c r="U6" s="11">
        <f t="shared" ca="1" si="0"/>
        <v>6</v>
      </c>
      <c r="V6" s="791">
        <f t="shared" ca="1" si="0"/>
        <v>0.25</v>
      </c>
      <c r="W6" s="11">
        <f t="shared" ca="1" si="0"/>
        <v>1</v>
      </c>
      <c r="X6" s="11">
        <f t="shared" ca="1" si="1"/>
        <v>0</v>
      </c>
      <c r="AA6" s="11">
        <v>4</v>
      </c>
      <c r="AB6" s="11" t="str">
        <f ca="1">Idiomas!D215</f>
        <v>Argentina</v>
      </c>
      <c r="AC6" s="11">
        <v>-3</v>
      </c>
      <c r="AD6" s="791">
        <f t="shared" si="4"/>
        <v>0.125</v>
      </c>
      <c r="AE6" s="11">
        <v>0</v>
      </c>
      <c r="AF6" s="11">
        <f t="shared" ca="1" si="5"/>
        <v>1</v>
      </c>
      <c r="AG6" s="791">
        <f t="shared" ca="1" si="6"/>
        <v>4.1666666666666664E-2</v>
      </c>
      <c r="AH6" s="11">
        <f t="shared" ca="1" si="7"/>
        <v>1</v>
      </c>
      <c r="AI6" s="11">
        <f t="shared" ca="1" si="8"/>
        <v>2</v>
      </c>
    </row>
    <row r="7" spans="1:35">
      <c r="A7" s="710">
        <v>46191.875</v>
      </c>
      <c r="C7" s="710">
        <f t="shared" ca="1" si="2"/>
        <v>46192.125</v>
      </c>
      <c r="D7" s="710"/>
      <c r="E7" s="710"/>
      <c r="P7" s="11">
        <v>5</v>
      </c>
      <c r="Q7" s="11" t="str">
        <f t="shared" ca="1" si="3"/>
        <v>Belgium</v>
      </c>
      <c r="R7" s="11">
        <f t="shared" ca="1" si="0"/>
        <v>2</v>
      </c>
      <c r="S7" s="791">
        <f t="shared" ca="1" si="0"/>
        <v>8.3333333333333329E-2</v>
      </c>
      <c r="T7" s="11">
        <f t="shared" ca="1" si="0"/>
        <v>0</v>
      </c>
      <c r="U7" s="11">
        <f t="shared" ca="1" si="0"/>
        <v>6</v>
      </c>
      <c r="V7" s="791">
        <f t="shared" ca="1" si="0"/>
        <v>0.25</v>
      </c>
      <c r="W7" s="11">
        <f t="shared" ca="1" si="0"/>
        <v>1</v>
      </c>
      <c r="X7" s="11">
        <f t="shared" ca="1" si="1"/>
        <v>0</v>
      </c>
      <c r="AA7" s="11">
        <v>5</v>
      </c>
      <c r="AB7" s="11" t="str">
        <f ca="1">Idiomas!D216</f>
        <v>Australia</v>
      </c>
      <c r="AC7" s="11">
        <v>10.5</v>
      </c>
      <c r="AD7" s="791">
        <f t="shared" si="4"/>
        <v>0.4375</v>
      </c>
      <c r="AE7" s="11">
        <v>0</v>
      </c>
      <c r="AF7" s="11">
        <f t="shared" ca="1" si="5"/>
        <v>14.5</v>
      </c>
      <c r="AG7" s="791">
        <f t="shared" ca="1" si="6"/>
        <v>0.60416666666666663</v>
      </c>
      <c r="AH7" s="11">
        <f t="shared" ca="1" si="7"/>
        <v>1</v>
      </c>
      <c r="AI7" s="11">
        <f t="shared" ca="1" si="8"/>
        <v>3</v>
      </c>
    </row>
    <row r="8" spans="1:35">
      <c r="A8" s="710">
        <v>46197.875</v>
      </c>
      <c r="C8" s="710">
        <f t="shared" ca="1" si="2"/>
        <v>46198.125</v>
      </c>
      <c r="D8" s="710"/>
      <c r="E8" s="710"/>
      <c r="P8" s="11">
        <v>6</v>
      </c>
      <c r="Q8" s="11" t="str">
        <f t="shared" ca="1" si="3"/>
        <v>Bosnia and Herzegovina</v>
      </c>
      <c r="R8" s="11">
        <f t="shared" ca="1" si="0"/>
        <v>2</v>
      </c>
      <c r="S8" s="791">
        <f t="shared" ca="1" si="0"/>
        <v>8.3333333333333329E-2</v>
      </c>
      <c r="T8" s="11">
        <f t="shared" ca="1" si="0"/>
        <v>0</v>
      </c>
      <c r="U8" s="11">
        <f t="shared" ca="1" si="0"/>
        <v>6</v>
      </c>
      <c r="V8" s="791">
        <f t="shared" ca="1" si="0"/>
        <v>0.25</v>
      </c>
      <c r="W8" s="11">
        <f t="shared" ca="1" si="0"/>
        <v>1</v>
      </c>
      <c r="X8" s="11">
        <f t="shared" ca="1" si="1"/>
        <v>0</v>
      </c>
      <c r="AA8" s="11">
        <v>6</v>
      </c>
      <c r="AB8" s="11" t="str">
        <f ca="1">Idiomas!D217</f>
        <v>Austria</v>
      </c>
      <c r="AC8" s="11">
        <v>2</v>
      </c>
      <c r="AD8" s="791">
        <f t="shared" si="4"/>
        <v>8.3333333333333329E-2</v>
      </c>
      <c r="AE8" s="11">
        <v>0</v>
      </c>
      <c r="AF8" s="11">
        <f t="shared" ca="1" si="5"/>
        <v>6</v>
      </c>
      <c r="AG8" s="791">
        <f t="shared" ca="1" si="6"/>
        <v>0.25</v>
      </c>
      <c r="AH8" s="11">
        <f t="shared" ca="1" si="7"/>
        <v>1</v>
      </c>
      <c r="AI8" s="11">
        <f t="shared" ca="1" si="8"/>
        <v>4</v>
      </c>
    </row>
    <row r="9" spans="1:35">
      <c r="A9" s="710">
        <v>46197.875</v>
      </c>
      <c r="C9" s="710">
        <f t="shared" ca="1" si="2"/>
        <v>46198.125</v>
      </c>
      <c r="D9" s="710"/>
      <c r="E9" s="710"/>
      <c r="P9" s="11">
        <v>7</v>
      </c>
      <c r="Q9" s="11" t="str">
        <f t="shared" ca="1" si="3"/>
        <v>Brazil</v>
      </c>
      <c r="R9" s="11">
        <f t="shared" ca="1" si="0"/>
        <v>-3</v>
      </c>
      <c r="S9" s="791">
        <f t="shared" ca="1" si="0"/>
        <v>0.125</v>
      </c>
      <c r="T9" s="11">
        <f t="shared" ca="1" si="0"/>
        <v>0</v>
      </c>
      <c r="U9" s="11">
        <f t="shared" ca="1" si="0"/>
        <v>1</v>
      </c>
      <c r="V9" s="791">
        <f t="shared" ca="1" si="0"/>
        <v>4.1666666666666664E-2</v>
      </c>
      <c r="W9" s="11">
        <f t="shared" ca="1" si="0"/>
        <v>1</v>
      </c>
      <c r="X9" s="11">
        <f t="shared" ca="1" si="1"/>
        <v>0</v>
      </c>
      <c r="AA9" s="11">
        <v>7</v>
      </c>
      <c r="AB9" s="11" t="str">
        <f ca="1">Idiomas!D218</f>
        <v>Belgium</v>
      </c>
      <c r="AC9" s="11">
        <v>2</v>
      </c>
      <c r="AD9" s="791">
        <f t="shared" si="4"/>
        <v>8.3333333333333329E-2</v>
      </c>
      <c r="AE9" s="11">
        <v>0</v>
      </c>
      <c r="AF9" s="11">
        <f t="shared" ca="1" si="5"/>
        <v>6</v>
      </c>
      <c r="AG9" s="791">
        <f t="shared" ca="1" si="6"/>
        <v>0.25</v>
      </c>
      <c r="AH9" s="11">
        <f t="shared" ca="1" si="7"/>
        <v>1</v>
      </c>
      <c r="AI9" s="11">
        <f t="shared" ca="1" si="8"/>
        <v>5</v>
      </c>
    </row>
    <row r="10" spans="1:35">
      <c r="C10" s="710"/>
      <c r="E10" s="710"/>
      <c r="P10" s="11">
        <v>8</v>
      </c>
      <c r="Q10" s="11" t="str">
        <f t="shared" ca="1" si="3"/>
        <v>Canada</v>
      </c>
      <c r="R10" s="11">
        <f t="shared" ca="1" si="0"/>
        <v>-4</v>
      </c>
      <c r="S10" s="791">
        <f t="shared" ca="1" si="0"/>
        <v>0.16666666666666666</v>
      </c>
      <c r="T10" s="11">
        <f t="shared" ca="1" si="0"/>
        <v>0</v>
      </c>
      <c r="U10" s="11">
        <f t="shared" ca="1" si="0"/>
        <v>0</v>
      </c>
      <c r="V10" s="791">
        <f t="shared" ca="1" si="0"/>
        <v>0</v>
      </c>
      <c r="W10" s="11">
        <f t="shared" ca="1" si="0"/>
        <v>0</v>
      </c>
      <c r="X10" s="11">
        <f t="shared" ca="1" si="1"/>
        <v>0</v>
      </c>
      <c r="AA10" s="11">
        <v>8</v>
      </c>
      <c r="AB10" s="11" t="str">
        <f ca="1">Idiomas!D219</f>
        <v>Brazil</v>
      </c>
      <c r="AC10" s="11">
        <v>-3</v>
      </c>
      <c r="AD10" s="791">
        <f t="shared" si="4"/>
        <v>0.125</v>
      </c>
      <c r="AE10" s="11">
        <v>0</v>
      </c>
      <c r="AF10" s="11">
        <f t="shared" ca="1" si="5"/>
        <v>1</v>
      </c>
      <c r="AG10" s="791">
        <f t="shared" ca="1" si="6"/>
        <v>4.1666666666666664E-2</v>
      </c>
      <c r="AH10" s="11">
        <f t="shared" ca="1" si="7"/>
        <v>1</v>
      </c>
      <c r="AI10" s="11">
        <f t="shared" ca="1" si="8"/>
        <v>7</v>
      </c>
    </row>
    <row r="11" spans="1:35">
      <c r="A11" s="5" t="s">
        <v>40</v>
      </c>
      <c r="C11" s="710"/>
      <c r="E11" s="710"/>
      <c r="P11" s="11">
        <v>9</v>
      </c>
      <c r="Q11" s="11" t="str">
        <f t="shared" ca="1" si="3"/>
        <v>Cape Verde</v>
      </c>
      <c r="R11" s="11">
        <f t="shared" ca="1" si="0"/>
        <v>-1</v>
      </c>
      <c r="S11" s="791">
        <f t="shared" ca="1" si="0"/>
        <v>4.1666666666666664E-2</v>
      </c>
      <c r="T11" s="11">
        <f t="shared" ca="1" si="0"/>
        <v>0</v>
      </c>
      <c r="U11" s="11">
        <f t="shared" ca="1" si="0"/>
        <v>3</v>
      </c>
      <c r="V11" s="791">
        <f t="shared" ca="1" si="0"/>
        <v>0.125</v>
      </c>
      <c r="W11" s="11">
        <f t="shared" ca="1" si="0"/>
        <v>1</v>
      </c>
      <c r="X11" s="11">
        <f t="shared" ca="1" si="1"/>
        <v>0</v>
      </c>
      <c r="AA11" s="11">
        <v>9</v>
      </c>
      <c r="AB11" s="11" t="str">
        <f ca="1">Idiomas!D220</f>
        <v>Cape Verde</v>
      </c>
      <c r="AC11" s="11">
        <v>-1</v>
      </c>
      <c r="AD11" s="791">
        <f t="shared" si="4"/>
        <v>4.1666666666666664E-2</v>
      </c>
      <c r="AE11" s="11">
        <v>0</v>
      </c>
      <c r="AF11" s="11">
        <f t="shared" ca="1" si="5"/>
        <v>3</v>
      </c>
      <c r="AG11" s="791">
        <f t="shared" ca="1" si="6"/>
        <v>0.125</v>
      </c>
      <c r="AH11" s="11">
        <f t="shared" ca="1" si="7"/>
        <v>1</v>
      </c>
      <c r="AI11" s="11">
        <f t="shared" ca="1" si="8"/>
        <v>9</v>
      </c>
    </row>
    <row r="12" spans="1:35">
      <c r="A12" s="710">
        <v>46185.625</v>
      </c>
      <c r="C12" s="710">
        <f t="shared" ref="C12:C17" ca="1" si="9">A12+INDEX($V$3:$V$86,MATCH($C$3,$P$3:$P$86,0))*INDEX($W$3:$W$86,MATCH($C$3,$P$3:$P$86,0))</f>
        <v>46185.875</v>
      </c>
      <c r="D12" s="710"/>
      <c r="E12" s="710"/>
      <c r="P12" s="11">
        <v>10</v>
      </c>
      <c r="Q12" s="11" t="str">
        <f t="shared" ca="1" si="3"/>
        <v>Colombia</v>
      </c>
      <c r="R12" s="11">
        <f t="shared" ca="1" si="0"/>
        <v>-5</v>
      </c>
      <c r="S12" s="791">
        <f t="shared" ca="1" si="0"/>
        <v>0.20833333333333334</v>
      </c>
      <c r="T12" s="11">
        <f t="shared" ca="1" si="0"/>
        <v>0</v>
      </c>
      <c r="U12" s="11">
        <f t="shared" ca="1" si="0"/>
        <v>-1</v>
      </c>
      <c r="V12" s="791">
        <f t="shared" ca="1" si="0"/>
        <v>4.1666666666666664E-2</v>
      </c>
      <c r="W12" s="11">
        <f t="shared" ca="1" si="0"/>
        <v>-1</v>
      </c>
      <c r="X12" s="11">
        <f t="shared" ca="1" si="1"/>
        <v>0</v>
      </c>
      <c r="AA12" s="11">
        <v>10</v>
      </c>
      <c r="AB12" s="11" t="str">
        <f ca="1">Idiomas!D221</f>
        <v>Canada</v>
      </c>
      <c r="AC12" s="11">
        <v>-4</v>
      </c>
      <c r="AD12" s="791">
        <f t="shared" si="4"/>
        <v>0.16666666666666666</v>
      </c>
      <c r="AE12" s="11">
        <v>0</v>
      </c>
      <c r="AF12" s="11">
        <f t="shared" ca="1" si="5"/>
        <v>0</v>
      </c>
      <c r="AG12" s="791">
        <f t="shared" ca="1" si="6"/>
        <v>0</v>
      </c>
      <c r="AH12" s="11">
        <f t="shared" ca="1" si="7"/>
        <v>0</v>
      </c>
      <c r="AI12" s="11">
        <f t="shared" ca="1" si="8"/>
        <v>8</v>
      </c>
    </row>
    <row r="13" spans="1:35">
      <c r="A13" s="710">
        <v>46186.625</v>
      </c>
      <c r="C13" s="710">
        <f t="shared" ca="1" si="9"/>
        <v>46186.875</v>
      </c>
      <c r="D13" s="710"/>
      <c r="E13" s="710"/>
      <c r="P13" s="11">
        <v>11</v>
      </c>
      <c r="Q13" s="11" t="str">
        <f t="shared" ca="1" si="3"/>
        <v>Croatia</v>
      </c>
      <c r="R13" s="11">
        <f t="shared" ref="R13:W22" ca="1" si="10">+INDEX($AC$3:$AH$86,MATCH($Q13,$AB$3:$AB$86,0),MATCH(R$2,$AC$2:$AH$2,0))</f>
        <v>2</v>
      </c>
      <c r="S13" s="791">
        <f t="shared" ca="1" si="10"/>
        <v>8.3333333333333329E-2</v>
      </c>
      <c r="T13" s="11">
        <f t="shared" ca="1" si="10"/>
        <v>0</v>
      </c>
      <c r="U13" s="11">
        <f t="shared" ca="1" si="10"/>
        <v>6</v>
      </c>
      <c r="V13" s="791">
        <f t="shared" ca="1" si="10"/>
        <v>0.25</v>
      </c>
      <c r="W13" s="11">
        <f t="shared" ca="1" si="10"/>
        <v>1</v>
      </c>
      <c r="X13" s="11">
        <f t="shared" ca="1" si="1"/>
        <v>0</v>
      </c>
      <c r="AA13" s="11">
        <v>11</v>
      </c>
      <c r="AB13" s="11" t="str">
        <f ca="1">Idiomas!D222</f>
        <v>Qatar</v>
      </c>
      <c r="AC13" s="11">
        <v>3</v>
      </c>
      <c r="AD13" s="791">
        <f t="shared" si="4"/>
        <v>0.125</v>
      </c>
      <c r="AE13" s="11">
        <v>0</v>
      </c>
      <c r="AF13" s="11">
        <f t="shared" ca="1" si="5"/>
        <v>7</v>
      </c>
      <c r="AG13" s="791">
        <f t="shared" ca="1" si="6"/>
        <v>0.29166666666666669</v>
      </c>
      <c r="AH13" s="11">
        <f t="shared" ca="1" si="7"/>
        <v>1</v>
      </c>
      <c r="AI13" s="11">
        <f t="shared" ca="1" si="8"/>
        <v>35</v>
      </c>
    </row>
    <row r="14" spans="1:35">
      <c r="A14" s="710">
        <v>46191.625</v>
      </c>
      <c r="C14" s="710">
        <f t="shared" ca="1" si="9"/>
        <v>46191.875</v>
      </c>
      <c r="D14" s="710"/>
      <c r="E14" s="710"/>
      <c r="P14" s="11">
        <v>12</v>
      </c>
      <c r="Q14" s="11" t="str">
        <f t="shared" ca="1" si="3"/>
        <v>Curaçao</v>
      </c>
      <c r="R14" s="11">
        <f t="shared" ca="1" si="10"/>
        <v>-4</v>
      </c>
      <c r="S14" s="791">
        <f t="shared" ca="1" si="10"/>
        <v>0.16666666666666666</v>
      </c>
      <c r="T14" s="11">
        <f t="shared" ca="1" si="10"/>
        <v>0</v>
      </c>
      <c r="U14" s="11">
        <f t="shared" ca="1" si="10"/>
        <v>0</v>
      </c>
      <c r="V14" s="791">
        <f t="shared" ca="1" si="10"/>
        <v>0</v>
      </c>
      <c r="W14" s="11">
        <f t="shared" ca="1" si="10"/>
        <v>0</v>
      </c>
      <c r="X14" s="11">
        <f t="shared" ca="1" si="1"/>
        <v>0</v>
      </c>
      <c r="AA14" s="11">
        <v>12</v>
      </c>
      <c r="AB14" s="11" t="str">
        <f ca="1">Idiomas!D223</f>
        <v>Colombia</v>
      </c>
      <c r="AC14" s="11">
        <v>-5</v>
      </c>
      <c r="AD14" s="791">
        <f t="shared" si="4"/>
        <v>0.20833333333333334</v>
      </c>
      <c r="AE14" s="11">
        <v>0</v>
      </c>
      <c r="AF14" s="11">
        <f t="shared" ca="1" si="5"/>
        <v>-1</v>
      </c>
      <c r="AG14" s="791">
        <f t="shared" ca="1" si="6"/>
        <v>4.1666666666666664E-2</v>
      </c>
      <c r="AH14" s="11">
        <f t="shared" ca="1" si="7"/>
        <v>-1</v>
      </c>
      <c r="AI14" s="11">
        <f t="shared" ca="1" si="8"/>
        <v>10</v>
      </c>
    </row>
    <row r="15" spans="1:35">
      <c r="A15" s="710">
        <v>46191.75</v>
      </c>
      <c r="C15" s="710">
        <f t="shared" ca="1" si="9"/>
        <v>46192</v>
      </c>
      <c r="D15" s="710"/>
      <c r="E15" s="710"/>
      <c r="P15" s="11">
        <v>13</v>
      </c>
      <c r="Q15" s="11" t="str">
        <f t="shared" ca="1" si="3"/>
        <v>Czech Republic</v>
      </c>
      <c r="R15" s="11">
        <f t="shared" ca="1" si="10"/>
        <v>2</v>
      </c>
      <c r="S15" s="791">
        <f t="shared" ca="1" si="10"/>
        <v>8.3333333333333329E-2</v>
      </c>
      <c r="T15" s="11">
        <f t="shared" ca="1" si="10"/>
        <v>0</v>
      </c>
      <c r="U15" s="11">
        <f t="shared" ca="1" si="10"/>
        <v>6</v>
      </c>
      <c r="V15" s="791">
        <f t="shared" ca="1" si="10"/>
        <v>0.25</v>
      </c>
      <c r="W15" s="11">
        <f t="shared" ca="1" si="10"/>
        <v>1</v>
      </c>
      <c r="X15" s="11">
        <f t="shared" ca="1" si="1"/>
        <v>0</v>
      </c>
      <c r="AA15" s="11">
        <v>13</v>
      </c>
      <c r="AB15" s="11" t="str">
        <f ca="1">Idiomas!D224</f>
        <v>South Korea</v>
      </c>
      <c r="AC15" s="11">
        <v>9</v>
      </c>
      <c r="AD15" s="791">
        <f t="shared" si="4"/>
        <v>0.375</v>
      </c>
      <c r="AE15" s="11">
        <v>0</v>
      </c>
      <c r="AF15" s="11">
        <f t="shared" ca="1" si="5"/>
        <v>13</v>
      </c>
      <c r="AG15" s="791">
        <f t="shared" ca="1" si="6"/>
        <v>0.54166666666666663</v>
      </c>
      <c r="AH15" s="11">
        <f t="shared" ca="1" si="7"/>
        <v>1</v>
      </c>
      <c r="AI15" s="11">
        <f t="shared" ca="1" si="8"/>
        <v>40</v>
      </c>
    </row>
    <row r="16" spans="1:35">
      <c r="A16" s="710">
        <v>46197.625</v>
      </c>
      <c r="C16" s="710">
        <f t="shared" ca="1" si="9"/>
        <v>46197.875</v>
      </c>
      <c r="D16" s="710"/>
      <c r="E16" s="710"/>
      <c r="P16" s="11">
        <v>14</v>
      </c>
      <c r="Q16" s="11" t="str">
        <f t="shared" ca="1" si="3"/>
        <v>DR Congo</v>
      </c>
      <c r="R16" s="11">
        <f t="shared" ca="1" si="10"/>
        <v>1</v>
      </c>
      <c r="S16" s="791">
        <f t="shared" ca="1" si="10"/>
        <v>4.1666666666666664E-2</v>
      </c>
      <c r="T16" s="11">
        <f t="shared" ca="1" si="10"/>
        <v>0</v>
      </c>
      <c r="U16" s="11">
        <f t="shared" ca="1" si="10"/>
        <v>5</v>
      </c>
      <c r="V16" s="791">
        <f t="shared" ca="1" si="10"/>
        <v>0.20833333333333334</v>
      </c>
      <c r="W16" s="11">
        <f t="shared" ca="1" si="10"/>
        <v>1</v>
      </c>
      <c r="X16" s="11">
        <f t="shared" ca="1" si="1"/>
        <v>0</v>
      </c>
      <c r="AA16" s="11">
        <v>14</v>
      </c>
      <c r="AB16" s="11" t="str">
        <f ca="1">Idiomas!D225</f>
        <v>Ivory Coast</v>
      </c>
      <c r="AC16" s="11">
        <v>0</v>
      </c>
      <c r="AD16" s="791">
        <f t="shared" si="4"/>
        <v>0</v>
      </c>
      <c r="AE16" s="11">
        <v>0</v>
      </c>
      <c r="AF16" s="11">
        <f t="shared" ca="1" si="5"/>
        <v>4</v>
      </c>
      <c r="AG16" s="791">
        <f t="shared" ca="1" si="6"/>
        <v>0.16666666666666666</v>
      </c>
      <c r="AH16" s="11">
        <f t="shared" ca="1" si="7"/>
        <v>1</v>
      </c>
      <c r="AI16" s="11">
        <f t="shared" ca="1" si="8"/>
        <v>24</v>
      </c>
    </row>
    <row r="17" spans="1:35">
      <c r="A17" s="710">
        <v>46197.625</v>
      </c>
      <c r="C17" s="710">
        <f t="shared" ca="1" si="9"/>
        <v>46197.875</v>
      </c>
      <c r="D17" s="710"/>
      <c r="E17" s="710"/>
      <c r="P17" s="11">
        <v>15</v>
      </c>
      <c r="Q17" s="11" t="str">
        <f t="shared" ca="1" si="3"/>
        <v>Ecuador</v>
      </c>
      <c r="R17" s="11">
        <f t="shared" ca="1" si="10"/>
        <v>-5</v>
      </c>
      <c r="S17" s="791">
        <f t="shared" ca="1" si="10"/>
        <v>0.20833333333333334</v>
      </c>
      <c r="T17" s="11">
        <f t="shared" ca="1" si="10"/>
        <v>0</v>
      </c>
      <c r="U17" s="11">
        <f t="shared" ca="1" si="10"/>
        <v>-1</v>
      </c>
      <c r="V17" s="791">
        <f t="shared" ca="1" si="10"/>
        <v>4.1666666666666664E-2</v>
      </c>
      <c r="W17" s="11">
        <f t="shared" ca="1" si="10"/>
        <v>-1</v>
      </c>
      <c r="X17" s="11">
        <f t="shared" ca="1" si="1"/>
        <v>0</v>
      </c>
      <c r="AA17" s="11">
        <v>15</v>
      </c>
      <c r="AB17" s="11" t="str">
        <f ca="1">Idiomas!D226</f>
        <v>Croatia</v>
      </c>
      <c r="AC17" s="11">
        <v>2</v>
      </c>
      <c r="AD17" s="791">
        <f t="shared" si="4"/>
        <v>8.3333333333333329E-2</v>
      </c>
      <c r="AE17" s="11">
        <v>0</v>
      </c>
      <c r="AF17" s="11">
        <f t="shared" ca="1" si="5"/>
        <v>6</v>
      </c>
      <c r="AG17" s="791">
        <f t="shared" ca="1" si="6"/>
        <v>0.25</v>
      </c>
      <c r="AH17" s="11">
        <f t="shared" ca="1" si="7"/>
        <v>1</v>
      </c>
      <c r="AI17" s="11">
        <f t="shared" ca="1" si="8"/>
        <v>11</v>
      </c>
    </row>
    <row r="18" spans="1:35">
      <c r="C18" s="710"/>
      <c r="E18" s="710"/>
      <c r="P18" s="11">
        <v>16</v>
      </c>
      <c r="Q18" s="11" t="str">
        <f t="shared" ca="1" si="3"/>
        <v>Egypt</v>
      </c>
      <c r="R18" s="11">
        <f t="shared" ca="1" si="10"/>
        <v>3</v>
      </c>
      <c r="S18" s="791">
        <f t="shared" ca="1" si="10"/>
        <v>0.125</v>
      </c>
      <c r="T18" s="11">
        <f t="shared" ca="1" si="10"/>
        <v>0</v>
      </c>
      <c r="U18" s="11">
        <f t="shared" ca="1" si="10"/>
        <v>7</v>
      </c>
      <c r="V18" s="791">
        <f t="shared" ca="1" si="10"/>
        <v>0.29166666666666669</v>
      </c>
      <c r="W18" s="11">
        <f t="shared" ca="1" si="10"/>
        <v>1</v>
      </c>
      <c r="X18" s="11">
        <f t="shared" ca="1" si="1"/>
        <v>0</v>
      </c>
      <c r="AA18" s="11">
        <v>16</v>
      </c>
      <c r="AB18" s="11" t="str">
        <f ca="1">Idiomas!D227</f>
        <v>Curaçao</v>
      </c>
      <c r="AC18" s="11">
        <v>-4</v>
      </c>
      <c r="AD18" s="791">
        <f t="shared" si="4"/>
        <v>0.16666666666666666</v>
      </c>
      <c r="AE18" s="11">
        <v>0</v>
      </c>
      <c r="AF18" s="11">
        <f t="shared" ca="1" si="5"/>
        <v>0</v>
      </c>
      <c r="AG18" s="791">
        <f t="shared" ca="1" si="6"/>
        <v>0</v>
      </c>
      <c r="AH18" s="11">
        <f t="shared" ca="1" si="7"/>
        <v>0</v>
      </c>
      <c r="AI18" s="11">
        <f t="shared" ca="1" si="8"/>
        <v>12</v>
      </c>
    </row>
    <row r="19" spans="1:35">
      <c r="A19" s="5" t="s">
        <v>9</v>
      </c>
      <c r="C19" s="710"/>
      <c r="E19" s="710"/>
      <c r="P19" s="11">
        <v>17</v>
      </c>
      <c r="Q19" s="11" t="str">
        <f t="shared" ca="1" si="3"/>
        <v>England</v>
      </c>
      <c r="R19" s="11">
        <f t="shared" ca="1" si="10"/>
        <v>1</v>
      </c>
      <c r="S19" s="791">
        <f t="shared" ca="1" si="10"/>
        <v>4.1666666666666664E-2</v>
      </c>
      <c r="T19" s="11">
        <f t="shared" ca="1" si="10"/>
        <v>0</v>
      </c>
      <c r="U19" s="11">
        <f t="shared" ca="1" si="10"/>
        <v>5</v>
      </c>
      <c r="V19" s="791">
        <f t="shared" ca="1" si="10"/>
        <v>0.20833333333333334</v>
      </c>
      <c r="W19" s="11">
        <f t="shared" ca="1" si="10"/>
        <v>1</v>
      </c>
      <c r="X19" s="11">
        <f t="shared" ca="1" si="1"/>
        <v>0</v>
      </c>
      <c r="AA19" s="11">
        <v>17</v>
      </c>
      <c r="AB19" s="11" t="str">
        <f ca="1">Idiomas!D228</f>
        <v>Ecuador</v>
      </c>
      <c r="AC19" s="11">
        <v>-5</v>
      </c>
      <c r="AD19" s="791">
        <f t="shared" si="4"/>
        <v>0.20833333333333334</v>
      </c>
      <c r="AE19" s="11">
        <v>0</v>
      </c>
      <c r="AF19" s="11">
        <f t="shared" ca="1" si="5"/>
        <v>-1</v>
      </c>
      <c r="AG19" s="791">
        <f t="shared" ca="1" si="6"/>
        <v>4.1666666666666664E-2</v>
      </c>
      <c r="AH19" s="11">
        <f t="shared" ca="1" si="7"/>
        <v>-1</v>
      </c>
      <c r="AI19" s="11">
        <f t="shared" ca="1" si="8"/>
        <v>15</v>
      </c>
    </row>
    <row r="20" spans="1:35">
      <c r="A20" s="710">
        <v>46186.75</v>
      </c>
      <c r="C20" s="710">
        <f t="shared" ref="C20:C25" ca="1" si="11">A20+INDEX($V$3:$V$86,MATCH($C$3,$P$3:$P$86,0))*INDEX($W$3:$W$86,MATCH($C$3,$P$3:$P$86,0))</f>
        <v>46187</v>
      </c>
      <c r="D20" s="710"/>
      <c r="E20" s="710"/>
      <c r="P20" s="11">
        <v>18</v>
      </c>
      <c r="Q20" s="11" t="str">
        <f t="shared" ca="1" si="3"/>
        <v>France</v>
      </c>
      <c r="R20" s="11">
        <f t="shared" ca="1" si="10"/>
        <v>2</v>
      </c>
      <c r="S20" s="791">
        <f t="shared" ca="1" si="10"/>
        <v>8.3333333333333329E-2</v>
      </c>
      <c r="T20" s="11">
        <f t="shared" ca="1" si="10"/>
        <v>0</v>
      </c>
      <c r="U20" s="11">
        <f t="shared" ca="1" si="10"/>
        <v>6</v>
      </c>
      <c r="V20" s="791">
        <f t="shared" ca="1" si="10"/>
        <v>0.25</v>
      </c>
      <c r="W20" s="11">
        <f t="shared" ca="1" si="10"/>
        <v>1</v>
      </c>
      <c r="X20" s="11">
        <f t="shared" ca="1" si="1"/>
        <v>0</v>
      </c>
      <c r="AA20" s="11">
        <v>18</v>
      </c>
      <c r="AB20" s="11" t="str">
        <f ca="1">Idiomas!D229</f>
        <v>Egypt</v>
      </c>
      <c r="AC20" s="11">
        <v>3</v>
      </c>
      <c r="AD20" s="791">
        <f t="shared" si="4"/>
        <v>0.125</v>
      </c>
      <c r="AE20" s="11">
        <v>0</v>
      </c>
      <c r="AF20" s="11">
        <f t="shared" ca="1" si="5"/>
        <v>7</v>
      </c>
      <c r="AG20" s="791">
        <f t="shared" ca="1" si="6"/>
        <v>0.29166666666666669</v>
      </c>
      <c r="AH20" s="11">
        <f t="shared" ca="1" si="7"/>
        <v>1</v>
      </c>
      <c r="AI20" s="11">
        <f t="shared" ca="1" si="8"/>
        <v>16</v>
      </c>
    </row>
    <row r="21" spans="1:35">
      <c r="A21" s="710">
        <v>46186.875</v>
      </c>
      <c r="C21" s="710">
        <f t="shared" ca="1" si="11"/>
        <v>46187.125</v>
      </c>
      <c r="D21" s="710"/>
      <c r="E21" s="710"/>
      <c r="P21" s="11">
        <v>19</v>
      </c>
      <c r="Q21" s="11" t="str">
        <f t="shared" ca="1" si="3"/>
        <v>Germany</v>
      </c>
      <c r="R21" s="11">
        <f t="shared" ca="1" si="10"/>
        <v>2</v>
      </c>
      <c r="S21" s="791">
        <f t="shared" ca="1" si="10"/>
        <v>8.3333333333333329E-2</v>
      </c>
      <c r="T21" s="11">
        <f t="shared" ca="1" si="10"/>
        <v>0</v>
      </c>
      <c r="U21" s="11">
        <f t="shared" ca="1" si="10"/>
        <v>6</v>
      </c>
      <c r="V21" s="791">
        <f t="shared" ca="1" si="10"/>
        <v>0.25</v>
      </c>
      <c r="W21" s="11">
        <f t="shared" ca="1" si="10"/>
        <v>1</v>
      </c>
      <c r="X21" s="11">
        <f t="shared" ca="1" si="1"/>
        <v>0</v>
      </c>
      <c r="AA21" s="11">
        <v>19</v>
      </c>
      <c r="AB21" s="11" t="str">
        <f ca="1">Idiomas!D230</f>
        <v>Scotland</v>
      </c>
      <c r="AC21" s="11">
        <v>1</v>
      </c>
      <c r="AD21" s="791">
        <f t="shared" si="4"/>
        <v>4.1666666666666664E-2</v>
      </c>
      <c r="AE21" s="11">
        <v>0</v>
      </c>
      <c r="AF21" s="11">
        <f t="shared" ca="1" si="5"/>
        <v>5</v>
      </c>
      <c r="AG21" s="791">
        <f t="shared" ca="1" si="6"/>
        <v>0.20833333333333334</v>
      </c>
      <c r="AH21" s="11">
        <f t="shared" ca="1" si="7"/>
        <v>1</v>
      </c>
      <c r="AI21" s="11">
        <f t="shared" ca="1" si="8"/>
        <v>37</v>
      </c>
    </row>
    <row r="22" spans="1:35">
      <c r="A22" s="710">
        <v>46192.75</v>
      </c>
      <c r="C22" s="710">
        <f t="shared" ca="1" si="11"/>
        <v>46193</v>
      </c>
      <c r="D22" s="710"/>
      <c r="E22" s="710"/>
      <c r="P22" s="11">
        <v>20</v>
      </c>
      <c r="Q22" s="11" t="str">
        <f t="shared" ca="1" si="3"/>
        <v>Ghana</v>
      </c>
      <c r="R22" s="11">
        <f t="shared" ca="1" si="10"/>
        <v>0</v>
      </c>
      <c r="S22" s="791">
        <f t="shared" ca="1" si="10"/>
        <v>0</v>
      </c>
      <c r="T22" s="11">
        <f t="shared" ca="1" si="10"/>
        <v>0</v>
      </c>
      <c r="U22" s="11">
        <f t="shared" ca="1" si="10"/>
        <v>4</v>
      </c>
      <c r="V22" s="791">
        <f t="shared" ca="1" si="10"/>
        <v>0.16666666666666666</v>
      </c>
      <c r="W22" s="11">
        <f t="shared" ca="1" si="10"/>
        <v>1</v>
      </c>
      <c r="X22" s="11">
        <f t="shared" ca="1" si="1"/>
        <v>0</v>
      </c>
      <c r="AA22" s="11">
        <v>20</v>
      </c>
      <c r="AB22" s="11" t="str">
        <f ca="1">Idiomas!D231</f>
        <v>Spain</v>
      </c>
      <c r="AC22" s="11">
        <v>2</v>
      </c>
      <c r="AD22" s="791">
        <f t="shared" si="4"/>
        <v>8.3333333333333329E-2</v>
      </c>
      <c r="AE22" s="11">
        <v>0</v>
      </c>
      <c r="AF22" s="11">
        <f t="shared" ca="1" si="5"/>
        <v>6</v>
      </c>
      <c r="AG22" s="791">
        <f t="shared" ca="1" si="6"/>
        <v>0.25</v>
      </c>
      <c r="AH22" s="11">
        <f t="shared" ca="1" si="7"/>
        <v>1</v>
      </c>
      <c r="AI22" s="11">
        <f t="shared" ca="1" si="8"/>
        <v>41</v>
      </c>
    </row>
    <row r="23" spans="1:35">
      <c r="A23" s="710">
        <v>46192.854166666664</v>
      </c>
      <c r="C23" s="710">
        <f t="shared" ca="1" si="11"/>
        <v>46193.104166666664</v>
      </c>
      <c r="D23" s="710"/>
      <c r="E23" s="710"/>
      <c r="P23" s="11">
        <v>21</v>
      </c>
      <c r="Q23" s="11" t="str">
        <f t="shared" ca="1" si="3"/>
        <v>Haiti</v>
      </c>
      <c r="R23" s="11">
        <f t="shared" ref="R23:W32" ca="1" si="12">+INDEX($AC$3:$AH$86,MATCH($Q23,$AB$3:$AB$86,0),MATCH(R$2,$AC$2:$AH$2,0))</f>
        <v>-4</v>
      </c>
      <c r="S23" s="791">
        <f t="shared" ca="1" si="12"/>
        <v>0.16666666666666666</v>
      </c>
      <c r="T23" s="11">
        <f t="shared" ca="1" si="12"/>
        <v>0</v>
      </c>
      <c r="U23" s="11">
        <f t="shared" ca="1" si="12"/>
        <v>0</v>
      </c>
      <c r="V23" s="791">
        <f t="shared" ca="1" si="12"/>
        <v>0</v>
      </c>
      <c r="W23" s="11">
        <f t="shared" ca="1" si="12"/>
        <v>0</v>
      </c>
      <c r="X23" s="11">
        <f t="shared" ca="1" si="1"/>
        <v>0</v>
      </c>
      <c r="AA23" s="11">
        <v>21</v>
      </c>
      <c r="AB23" s="11" t="str">
        <f ca="1">Idiomas!D232</f>
        <v>United States</v>
      </c>
      <c r="AC23" s="11">
        <v>-4</v>
      </c>
      <c r="AD23" s="791">
        <f t="shared" si="4"/>
        <v>0.16666666666666666</v>
      </c>
      <c r="AE23" s="11">
        <v>1</v>
      </c>
      <c r="AF23" s="11">
        <f t="shared" ca="1" si="5"/>
        <v>0</v>
      </c>
      <c r="AG23" s="791">
        <f t="shared" ca="1" si="6"/>
        <v>0</v>
      </c>
      <c r="AH23" s="11">
        <f t="shared" ca="1" si="7"/>
        <v>0</v>
      </c>
      <c r="AI23" s="11">
        <f t="shared" ca="1" si="8"/>
        <v>46</v>
      </c>
    </row>
    <row r="24" spans="1:35">
      <c r="A24" s="710">
        <v>46197.75</v>
      </c>
      <c r="C24" s="710">
        <f t="shared" ca="1" si="11"/>
        <v>46198</v>
      </c>
      <c r="D24" s="710"/>
      <c r="E24" s="710"/>
      <c r="P24" s="11">
        <v>22</v>
      </c>
      <c r="Q24" s="11" t="str">
        <f t="shared" ca="1" si="3"/>
        <v>Iran</v>
      </c>
      <c r="R24" s="11">
        <f t="shared" ca="1" si="12"/>
        <v>3.5</v>
      </c>
      <c r="S24" s="791">
        <f t="shared" ca="1" si="12"/>
        <v>0.14583333333333334</v>
      </c>
      <c r="T24" s="11">
        <f t="shared" ca="1" si="12"/>
        <v>0</v>
      </c>
      <c r="U24" s="11">
        <f t="shared" ca="1" si="12"/>
        <v>7.5</v>
      </c>
      <c r="V24" s="791">
        <f t="shared" ca="1" si="12"/>
        <v>0.3125</v>
      </c>
      <c r="W24" s="11">
        <f t="shared" ca="1" si="12"/>
        <v>1</v>
      </c>
      <c r="X24" s="11">
        <f t="shared" ca="1" si="1"/>
        <v>0</v>
      </c>
      <c r="AA24" s="11">
        <v>22</v>
      </c>
      <c r="AB24" s="11" t="str">
        <f ca="1">Idiomas!D233</f>
        <v>France</v>
      </c>
      <c r="AC24" s="11">
        <v>2</v>
      </c>
      <c r="AD24" s="791">
        <f t="shared" si="4"/>
        <v>8.3333333333333329E-2</v>
      </c>
      <c r="AE24" s="11">
        <v>0</v>
      </c>
      <c r="AF24" s="11">
        <f t="shared" ca="1" si="5"/>
        <v>6</v>
      </c>
      <c r="AG24" s="791">
        <f t="shared" ca="1" si="6"/>
        <v>0.25</v>
      </c>
      <c r="AH24" s="11">
        <f t="shared" ca="1" si="7"/>
        <v>1</v>
      </c>
      <c r="AI24" s="11">
        <f t="shared" ca="1" si="8"/>
        <v>18</v>
      </c>
    </row>
    <row r="25" spans="1:35">
      <c r="A25" s="710">
        <v>46197.75</v>
      </c>
      <c r="C25" s="710">
        <f t="shared" ca="1" si="11"/>
        <v>46198</v>
      </c>
      <c r="D25" s="710"/>
      <c r="E25" s="710"/>
      <c r="P25" s="11">
        <v>23</v>
      </c>
      <c r="Q25" s="11" t="str">
        <f t="shared" ca="1" si="3"/>
        <v>Iraq</v>
      </c>
      <c r="R25" s="11">
        <f t="shared" ca="1" si="12"/>
        <v>3</v>
      </c>
      <c r="S25" s="791">
        <f t="shared" ca="1" si="12"/>
        <v>0.125</v>
      </c>
      <c r="T25" s="11">
        <f t="shared" ca="1" si="12"/>
        <v>0</v>
      </c>
      <c r="U25" s="11">
        <f t="shared" ca="1" si="12"/>
        <v>7</v>
      </c>
      <c r="V25" s="791">
        <f t="shared" ca="1" si="12"/>
        <v>0.29166666666666669</v>
      </c>
      <c r="W25" s="11">
        <f t="shared" ca="1" si="12"/>
        <v>1</v>
      </c>
      <c r="X25" s="11">
        <f t="shared" ca="1" si="1"/>
        <v>0</v>
      </c>
      <c r="AA25" s="11">
        <v>23</v>
      </c>
      <c r="AB25" s="11" t="str">
        <f ca="1">Idiomas!D234</f>
        <v>Ghana</v>
      </c>
      <c r="AC25" s="11">
        <v>0</v>
      </c>
      <c r="AD25" s="791">
        <f t="shared" si="4"/>
        <v>0</v>
      </c>
      <c r="AE25" s="11">
        <v>0</v>
      </c>
      <c r="AF25" s="11">
        <f t="shared" ca="1" si="5"/>
        <v>4</v>
      </c>
      <c r="AG25" s="791">
        <f t="shared" ca="1" si="6"/>
        <v>0.16666666666666666</v>
      </c>
      <c r="AH25" s="11">
        <f t="shared" ca="1" si="7"/>
        <v>1</v>
      </c>
      <c r="AI25" s="11">
        <f t="shared" ca="1" si="8"/>
        <v>20</v>
      </c>
    </row>
    <row r="26" spans="1:35">
      <c r="C26" s="710"/>
      <c r="E26" s="710"/>
      <c r="P26" s="11">
        <v>24</v>
      </c>
      <c r="Q26" s="11" t="str">
        <f t="shared" ca="1" si="3"/>
        <v>Ivory Coast</v>
      </c>
      <c r="R26" s="11">
        <f t="shared" ca="1" si="12"/>
        <v>0</v>
      </c>
      <c r="S26" s="791">
        <f t="shared" ca="1" si="12"/>
        <v>0</v>
      </c>
      <c r="T26" s="11">
        <f t="shared" ca="1" si="12"/>
        <v>0</v>
      </c>
      <c r="U26" s="11">
        <f t="shared" ca="1" si="12"/>
        <v>4</v>
      </c>
      <c r="V26" s="791">
        <f t="shared" ca="1" si="12"/>
        <v>0.16666666666666666</v>
      </c>
      <c r="W26" s="11">
        <f t="shared" ca="1" si="12"/>
        <v>1</v>
      </c>
      <c r="X26" s="11">
        <f t="shared" ca="1" si="1"/>
        <v>0</v>
      </c>
      <c r="AA26" s="11">
        <v>24</v>
      </c>
      <c r="AB26" s="11" t="str">
        <f ca="1">Idiomas!D235</f>
        <v>Haiti</v>
      </c>
      <c r="AC26" s="11">
        <v>-4</v>
      </c>
      <c r="AD26" s="791">
        <f t="shared" si="4"/>
        <v>0.16666666666666666</v>
      </c>
      <c r="AE26" s="11">
        <v>0</v>
      </c>
      <c r="AF26" s="11">
        <f t="shared" ca="1" si="5"/>
        <v>0</v>
      </c>
      <c r="AG26" s="791">
        <f t="shared" ca="1" si="6"/>
        <v>0</v>
      </c>
      <c r="AH26" s="11">
        <f t="shared" ca="1" si="7"/>
        <v>0</v>
      </c>
      <c r="AI26" s="11">
        <f t="shared" ca="1" si="8"/>
        <v>21</v>
      </c>
    </row>
    <row r="27" spans="1:35">
      <c r="A27" s="5" t="s">
        <v>81</v>
      </c>
      <c r="C27" s="710"/>
      <c r="E27" s="710"/>
      <c r="P27" s="11">
        <v>25</v>
      </c>
      <c r="Q27" s="11" t="str">
        <f t="shared" ca="1" si="3"/>
        <v>Japan</v>
      </c>
      <c r="R27" s="11">
        <f t="shared" ca="1" si="12"/>
        <v>9</v>
      </c>
      <c r="S27" s="791">
        <f t="shared" ca="1" si="12"/>
        <v>0.375</v>
      </c>
      <c r="T27" s="11">
        <f t="shared" ca="1" si="12"/>
        <v>0</v>
      </c>
      <c r="U27" s="11">
        <f t="shared" ca="1" si="12"/>
        <v>13</v>
      </c>
      <c r="V27" s="791">
        <f t="shared" ca="1" si="12"/>
        <v>0.54166666666666663</v>
      </c>
      <c r="W27" s="11">
        <f t="shared" ca="1" si="12"/>
        <v>1</v>
      </c>
      <c r="X27" s="11">
        <f t="shared" ca="1" si="1"/>
        <v>0</v>
      </c>
      <c r="AA27" s="11">
        <v>25</v>
      </c>
      <c r="AB27" s="11" t="str">
        <f ca="1">Idiomas!D236</f>
        <v>England</v>
      </c>
      <c r="AC27" s="11">
        <v>1</v>
      </c>
      <c r="AD27" s="791">
        <f t="shared" si="4"/>
        <v>4.1666666666666664E-2</v>
      </c>
      <c r="AE27" s="11">
        <v>0</v>
      </c>
      <c r="AF27" s="11">
        <f t="shared" ca="1" si="5"/>
        <v>5</v>
      </c>
      <c r="AG27" s="791">
        <f t="shared" ca="1" si="6"/>
        <v>0.20833333333333334</v>
      </c>
      <c r="AH27" s="11">
        <f t="shared" ca="1" si="7"/>
        <v>1</v>
      </c>
      <c r="AI27" s="11">
        <f t="shared" ca="1" si="8"/>
        <v>17</v>
      </c>
    </row>
    <row r="28" spans="1:35">
      <c r="A28" s="710">
        <v>46185.875</v>
      </c>
      <c r="C28" s="710">
        <f t="shared" ref="C28:C33" ca="1" si="13">A28+INDEX($V$3:$V$86,MATCH($C$3,$P$3:$P$86,0))*INDEX($W$3:$W$86,MATCH($C$3,$P$3:$P$86,0))</f>
        <v>46186.125</v>
      </c>
      <c r="D28" s="710"/>
      <c r="E28" s="710"/>
      <c r="P28" s="11">
        <v>26</v>
      </c>
      <c r="Q28" s="11" t="str">
        <f t="shared" ca="1" si="3"/>
        <v>Jordan</v>
      </c>
      <c r="R28" s="11">
        <f t="shared" ca="1" si="12"/>
        <v>3</v>
      </c>
      <c r="S28" s="791">
        <f t="shared" ca="1" si="12"/>
        <v>0.125</v>
      </c>
      <c r="T28" s="11">
        <f t="shared" ca="1" si="12"/>
        <v>0</v>
      </c>
      <c r="U28" s="11">
        <f t="shared" ca="1" si="12"/>
        <v>7</v>
      </c>
      <c r="V28" s="791">
        <f t="shared" ca="1" si="12"/>
        <v>0.29166666666666669</v>
      </c>
      <c r="W28" s="11">
        <f t="shared" ca="1" si="12"/>
        <v>1</v>
      </c>
      <c r="X28" s="11">
        <f t="shared" ca="1" si="1"/>
        <v>0</v>
      </c>
      <c r="AA28" s="11">
        <v>26</v>
      </c>
      <c r="AB28" s="11" t="str">
        <f ca="1">Idiomas!D237</f>
        <v>Iran</v>
      </c>
      <c r="AC28" s="11">
        <f>+INDEX(Credits!$Y$87:$Y$91,MATCH(Credits!$N$87,Credits!$U$87:$U$91,0))</f>
        <v>3.5</v>
      </c>
      <c r="AD28" s="791">
        <f t="shared" si="4"/>
        <v>0.14583333333333334</v>
      </c>
      <c r="AE28" s="11">
        <v>0</v>
      </c>
      <c r="AF28" s="11">
        <f t="shared" ca="1" si="5"/>
        <v>7.5</v>
      </c>
      <c r="AG28" s="791">
        <f t="shared" ca="1" si="6"/>
        <v>0.3125</v>
      </c>
      <c r="AH28" s="11">
        <f t="shared" ca="1" si="7"/>
        <v>1</v>
      </c>
      <c r="AI28" s="11">
        <f t="shared" ca="1" si="8"/>
        <v>22</v>
      </c>
    </row>
    <row r="29" spans="1:35">
      <c r="A29" s="710">
        <v>46187</v>
      </c>
      <c r="C29" s="710">
        <f t="shared" ca="1" si="13"/>
        <v>46187.25</v>
      </c>
      <c r="D29" s="710"/>
      <c r="E29" s="710"/>
      <c r="P29" s="11">
        <v>27</v>
      </c>
      <c r="Q29" s="11" t="str">
        <f t="shared" ca="1" si="3"/>
        <v>Mexico</v>
      </c>
      <c r="R29" s="11">
        <f t="shared" ca="1" si="12"/>
        <v>-6</v>
      </c>
      <c r="S29" s="791">
        <f t="shared" ca="1" si="12"/>
        <v>0.25</v>
      </c>
      <c r="T29" s="11">
        <f t="shared" ca="1" si="12"/>
        <v>0</v>
      </c>
      <c r="U29" s="11">
        <f t="shared" ca="1" si="12"/>
        <v>-2</v>
      </c>
      <c r="V29" s="791">
        <f t="shared" ca="1" si="12"/>
        <v>8.3333333333333329E-2</v>
      </c>
      <c r="W29" s="11">
        <f t="shared" ca="1" si="12"/>
        <v>-1</v>
      </c>
      <c r="X29" s="11">
        <f t="shared" ca="1" si="1"/>
        <v>0</v>
      </c>
      <c r="AA29" s="11">
        <v>27</v>
      </c>
      <c r="AB29" s="11" t="str">
        <f ca="1">Idiomas!D238</f>
        <v>Japan</v>
      </c>
      <c r="AC29" s="11">
        <v>9</v>
      </c>
      <c r="AD29" s="791">
        <f t="shared" si="4"/>
        <v>0.375</v>
      </c>
      <c r="AE29" s="11">
        <v>0</v>
      </c>
      <c r="AF29" s="11">
        <f t="shared" ca="1" si="5"/>
        <v>13</v>
      </c>
      <c r="AG29" s="791">
        <f t="shared" ca="1" si="6"/>
        <v>0.54166666666666663</v>
      </c>
      <c r="AH29" s="11">
        <f t="shared" ca="1" si="7"/>
        <v>1</v>
      </c>
      <c r="AI29" s="11">
        <f t="shared" ca="1" si="8"/>
        <v>25</v>
      </c>
    </row>
    <row r="30" spans="1:35">
      <c r="A30" s="710">
        <v>46192.625</v>
      </c>
      <c r="C30" s="710">
        <f ca="1">A30+INDEX($V$3:$V$86,MATCH($C$3,$P$3:$P$86,0))*INDEX($W$3:$W$86,MATCH($C$3,$P$3:$P$86,0))</f>
        <v>46192.875</v>
      </c>
      <c r="D30" s="710"/>
      <c r="E30" s="710"/>
      <c r="P30" s="11">
        <v>28</v>
      </c>
      <c r="Q30" s="11" t="str">
        <f t="shared" ca="1" si="3"/>
        <v>Morocco</v>
      </c>
      <c r="R30" s="11">
        <f t="shared" ca="1" si="12"/>
        <v>1</v>
      </c>
      <c r="S30" s="791">
        <f t="shared" ca="1" si="12"/>
        <v>4.1666666666666664E-2</v>
      </c>
      <c r="T30" s="11">
        <f t="shared" ca="1" si="12"/>
        <v>0</v>
      </c>
      <c r="U30" s="11">
        <f t="shared" ca="1" si="12"/>
        <v>5</v>
      </c>
      <c r="V30" s="791">
        <f t="shared" ca="1" si="12"/>
        <v>0.20833333333333334</v>
      </c>
      <c r="W30" s="11">
        <f t="shared" ca="1" si="12"/>
        <v>1</v>
      </c>
      <c r="X30" s="11">
        <f t="shared" ca="1" si="1"/>
        <v>0</v>
      </c>
      <c r="AA30" s="11">
        <v>28</v>
      </c>
      <c r="AB30" s="11" t="str">
        <f ca="1">Idiomas!D239</f>
        <v>Jordan</v>
      </c>
      <c r="AC30" s="11">
        <v>3</v>
      </c>
      <c r="AD30" s="791">
        <f t="shared" si="4"/>
        <v>0.125</v>
      </c>
      <c r="AE30" s="11">
        <v>0</v>
      </c>
      <c r="AF30" s="11">
        <f t="shared" ca="1" si="5"/>
        <v>7</v>
      </c>
      <c r="AG30" s="791">
        <f t="shared" ca="1" si="6"/>
        <v>0.29166666666666669</v>
      </c>
      <c r="AH30" s="11">
        <f t="shared" ca="1" si="7"/>
        <v>1</v>
      </c>
      <c r="AI30" s="11">
        <f t="shared" ca="1" si="8"/>
        <v>26</v>
      </c>
    </row>
    <row r="31" spans="1:35">
      <c r="A31" s="710">
        <v>46192.958333333336</v>
      </c>
      <c r="C31" s="710">
        <f ca="1">A31+INDEX($V$3:$V$86,MATCH($C$3,$P$3:$P$86,0))*INDEX($W$3:$W$86,MATCH($C$3,$P$3:$P$86,0))</f>
        <v>46193.208333333336</v>
      </c>
      <c r="D31" s="710"/>
      <c r="E31" s="710"/>
      <c r="P31" s="11">
        <v>29</v>
      </c>
      <c r="Q31" s="11" t="str">
        <f t="shared" ca="1" si="3"/>
        <v>Netherlands</v>
      </c>
      <c r="R31" s="11">
        <f t="shared" ca="1" si="12"/>
        <v>2</v>
      </c>
      <c r="S31" s="791">
        <f t="shared" ca="1" si="12"/>
        <v>8.3333333333333329E-2</v>
      </c>
      <c r="T31" s="11">
        <f t="shared" ca="1" si="12"/>
        <v>0</v>
      </c>
      <c r="U31" s="11">
        <f t="shared" ca="1" si="12"/>
        <v>6</v>
      </c>
      <c r="V31" s="791">
        <f t="shared" ca="1" si="12"/>
        <v>0.25</v>
      </c>
      <c r="W31" s="11">
        <f t="shared" ca="1" si="12"/>
        <v>1</v>
      </c>
      <c r="X31" s="11">
        <f t="shared" ca="1" si="1"/>
        <v>0</v>
      </c>
      <c r="AA31" s="11">
        <v>29</v>
      </c>
      <c r="AB31" s="11" t="str">
        <f ca="1">Idiomas!D240</f>
        <v>Morocco</v>
      </c>
      <c r="AC31" s="11">
        <v>1</v>
      </c>
      <c r="AD31" s="791">
        <f t="shared" si="4"/>
        <v>4.1666666666666664E-2</v>
      </c>
      <c r="AE31" s="11">
        <v>0</v>
      </c>
      <c r="AF31" s="11">
        <f t="shared" ca="1" si="5"/>
        <v>5</v>
      </c>
      <c r="AG31" s="791">
        <f t="shared" ca="1" si="6"/>
        <v>0.20833333333333334</v>
      </c>
      <c r="AH31" s="11">
        <f t="shared" ca="1" si="7"/>
        <v>1</v>
      </c>
      <c r="AI31" s="11">
        <f t="shared" ca="1" si="8"/>
        <v>28</v>
      </c>
    </row>
    <row r="32" spans="1:35">
      <c r="A32" s="710">
        <v>46198.916666666664</v>
      </c>
      <c r="C32" s="710">
        <f t="shared" ca="1" si="13"/>
        <v>46199.166666666664</v>
      </c>
      <c r="D32" s="710"/>
      <c r="E32" s="710"/>
      <c r="P32" s="11">
        <v>30</v>
      </c>
      <c r="Q32" s="11" t="str">
        <f t="shared" ca="1" si="3"/>
        <v>New Zealand</v>
      </c>
      <c r="R32" s="11">
        <f t="shared" ca="1" si="12"/>
        <v>12</v>
      </c>
      <c r="S32" s="791">
        <f t="shared" ca="1" si="12"/>
        <v>0.5</v>
      </c>
      <c r="T32" s="11">
        <f t="shared" ca="1" si="12"/>
        <v>0</v>
      </c>
      <c r="U32" s="11">
        <f t="shared" ca="1" si="12"/>
        <v>16</v>
      </c>
      <c r="V32" s="791">
        <f t="shared" ca="1" si="12"/>
        <v>0.66666666666666663</v>
      </c>
      <c r="W32" s="11">
        <f t="shared" ca="1" si="12"/>
        <v>1</v>
      </c>
      <c r="X32" s="11">
        <f t="shared" ca="1" si="1"/>
        <v>0</v>
      </c>
      <c r="AA32" s="11">
        <v>30</v>
      </c>
      <c r="AB32" s="11" t="str">
        <f ca="1">Idiomas!D241</f>
        <v>Mexico</v>
      </c>
      <c r="AC32" s="11">
        <v>-6</v>
      </c>
      <c r="AD32" s="791">
        <f t="shared" si="4"/>
        <v>0.25</v>
      </c>
      <c r="AE32" s="11">
        <v>0</v>
      </c>
      <c r="AF32" s="11">
        <f t="shared" ca="1" si="5"/>
        <v>-2</v>
      </c>
      <c r="AG32" s="791">
        <f t="shared" ca="1" si="6"/>
        <v>8.3333333333333329E-2</v>
      </c>
      <c r="AH32" s="11">
        <f t="shared" ca="1" si="7"/>
        <v>-1</v>
      </c>
      <c r="AI32" s="11">
        <f t="shared" ca="1" si="8"/>
        <v>27</v>
      </c>
    </row>
    <row r="33" spans="1:35">
      <c r="A33" s="710">
        <v>46198.916666666664</v>
      </c>
      <c r="C33" s="710">
        <f t="shared" ca="1" si="13"/>
        <v>46199.166666666664</v>
      </c>
      <c r="D33" s="710"/>
      <c r="E33" s="710"/>
      <c r="P33" s="11">
        <v>31</v>
      </c>
      <c r="Q33" s="11" t="str">
        <f t="shared" ca="1" si="3"/>
        <v>Norway</v>
      </c>
      <c r="R33" s="11">
        <f t="shared" ref="R33:W48" ca="1" si="14">+INDEX($AC$3:$AH$86,MATCH($Q33,$AB$3:$AB$86,0),MATCH(R$2,$AC$2:$AH$2,0))</f>
        <v>2</v>
      </c>
      <c r="S33" s="791">
        <f t="shared" ca="1" si="14"/>
        <v>8.3333333333333329E-2</v>
      </c>
      <c r="T33" s="11">
        <f t="shared" ca="1" si="14"/>
        <v>0</v>
      </c>
      <c r="U33" s="11">
        <f t="shared" ca="1" si="14"/>
        <v>6</v>
      </c>
      <c r="V33" s="791">
        <f t="shared" ca="1" si="14"/>
        <v>0.25</v>
      </c>
      <c r="W33" s="11">
        <f t="shared" ca="1" si="14"/>
        <v>1</v>
      </c>
      <c r="X33" s="11">
        <f t="shared" ca="1" si="1"/>
        <v>0</v>
      </c>
      <c r="AA33" s="11">
        <v>31</v>
      </c>
      <c r="AB33" s="11" t="str">
        <f ca="1">Idiomas!D242</f>
        <v>Norway</v>
      </c>
      <c r="AC33" s="11">
        <v>2</v>
      </c>
      <c r="AD33" s="791">
        <f t="shared" si="4"/>
        <v>8.3333333333333329E-2</v>
      </c>
      <c r="AE33" s="11">
        <v>0</v>
      </c>
      <c r="AF33" s="11">
        <f t="shared" ca="1" si="5"/>
        <v>6</v>
      </c>
      <c r="AG33" s="791">
        <f t="shared" ca="1" si="6"/>
        <v>0.25</v>
      </c>
      <c r="AH33" s="11">
        <f t="shared" ca="1" si="7"/>
        <v>1</v>
      </c>
      <c r="AI33" s="11">
        <f t="shared" ca="1" si="8"/>
        <v>31</v>
      </c>
    </row>
    <row r="34" spans="1:35">
      <c r="C34" s="710"/>
      <c r="E34" s="710"/>
      <c r="P34" s="11">
        <v>32</v>
      </c>
      <c r="Q34" s="11" t="str">
        <f t="shared" ca="1" si="3"/>
        <v>Panama</v>
      </c>
      <c r="R34" s="11">
        <f t="shared" ca="1" si="14"/>
        <v>-5</v>
      </c>
      <c r="S34" s="791">
        <f t="shared" ca="1" si="14"/>
        <v>0.20833333333333334</v>
      </c>
      <c r="T34" s="11">
        <f t="shared" ca="1" si="14"/>
        <v>0</v>
      </c>
      <c r="U34" s="11">
        <f t="shared" ca="1" si="14"/>
        <v>-1</v>
      </c>
      <c r="V34" s="791">
        <f t="shared" ca="1" si="14"/>
        <v>4.1666666666666664E-2</v>
      </c>
      <c r="W34" s="11">
        <f t="shared" ca="1" si="14"/>
        <v>-1</v>
      </c>
      <c r="X34" s="11">
        <f t="shared" ca="1" si="1"/>
        <v>0</v>
      </c>
      <c r="AA34" s="11">
        <v>32</v>
      </c>
      <c r="AB34" s="11" t="str">
        <f ca="1">Idiomas!D243</f>
        <v>New Zealand</v>
      </c>
      <c r="AC34" s="11">
        <v>12</v>
      </c>
      <c r="AD34" s="791">
        <f t="shared" si="4"/>
        <v>0.5</v>
      </c>
      <c r="AE34" s="11">
        <v>0</v>
      </c>
      <c r="AF34" s="11">
        <f t="shared" ca="1" si="5"/>
        <v>16</v>
      </c>
      <c r="AG34" s="791">
        <f t="shared" ca="1" si="6"/>
        <v>0.66666666666666663</v>
      </c>
      <c r="AH34" s="11">
        <f t="shared" ca="1" si="7"/>
        <v>1</v>
      </c>
      <c r="AI34" s="11">
        <f t="shared" ca="1" si="8"/>
        <v>30</v>
      </c>
    </row>
    <row r="35" spans="1:35">
      <c r="A35" s="5" t="s">
        <v>82</v>
      </c>
      <c r="C35" s="710"/>
      <c r="E35" s="710"/>
      <c r="P35" s="11">
        <v>33</v>
      </c>
      <c r="Q35" s="11" t="str">
        <f t="shared" ca="1" si="3"/>
        <v>Paraguay</v>
      </c>
      <c r="R35" s="11">
        <f t="shared" ca="1" si="14"/>
        <v>-4</v>
      </c>
      <c r="S35" s="791">
        <f t="shared" ca="1" si="14"/>
        <v>0.16666666666666666</v>
      </c>
      <c r="T35" s="11">
        <f t="shared" ca="1" si="14"/>
        <v>0</v>
      </c>
      <c r="U35" s="11">
        <f t="shared" ca="1" si="14"/>
        <v>0</v>
      </c>
      <c r="V35" s="791">
        <f t="shared" ca="1" si="14"/>
        <v>0</v>
      </c>
      <c r="W35" s="11">
        <f t="shared" ca="1" si="14"/>
        <v>0</v>
      </c>
      <c r="X35" s="11">
        <f t="shared" ca="1" si="1"/>
        <v>0</v>
      </c>
      <c r="AA35" s="11">
        <v>33</v>
      </c>
      <c r="AB35" s="11" t="str">
        <f ca="1">Idiomas!D244</f>
        <v>Netherlands</v>
      </c>
      <c r="AC35" s="11">
        <v>2</v>
      </c>
      <c r="AD35" s="791">
        <f t="shared" si="4"/>
        <v>8.3333333333333329E-2</v>
      </c>
      <c r="AE35" s="11">
        <v>0</v>
      </c>
      <c r="AF35" s="11">
        <f t="shared" ca="1" si="5"/>
        <v>6</v>
      </c>
      <c r="AG35" s="791">
        <f t="shared" ca="1" si="6"/>
        <v>0.25</v>
      </c>
      <c r="AH35" s="11">
        <f t="shared" ca="1" si="7"/>
        <v>1</v>
      </c>
      <c r="AI35" s="11">
        <f t="shared" ca="1" si="8"/>
        <v>29</v>
      </c>
    </row>
    <row r="36" spans="1:35">
      <c r="A36" s="710">
        <v>46187.541666666664</v>
      </c>
      <c r="C36" s="710">
        <f t="shared" ref="C36:C41" ca="1" si="15">A36+INDEX($V$3:$V$86,MATCH($C$3,$P$3:$P$86,0))*INDEX($W$3:$W$86,MATCH($C$3,$P$3:$P$86,0))</f>
        <v>46187.791666666664</v>
      </c>
      <c r="D36" s="710"/>
      <c r="E36" s="710"/>
      <c r="P36" s="11">
        <v>34</v>
      </c>
      <c r="Q36" s="11" t="str">
        <f t="shared" ca="1" si="3"/>
        <v>Portugal</v>
      </c>
      <c r="R36" s="11">
        <f t="shared" ca="1" si="14"/>
        <v>1</v>
      </c>
      <c r="S36" s="791">
        <f t="shared" ca="1" si="14"/>
        <v>4.1666666666666664E-2</v>
      </c>
      <c r="T36" s="11">
        <f t="shared" ca="1" si="14"/>
        <v>0</v>
      </c>
      <c r="U36" s="11">
        <f t="shared" ca="1" si="14"/>
        <v>5</v>
      </c>
      <c r="V36" s="791">
        <f t="shared" ca="1" si="14"/>
        <v>0.20833333333333334</v>
      </c>
      <c r="W36" s="11">
        <f t="shared" ca="1" si="14"/>
        <v>1</v>
      </c>
      <c r="X36" s="11">
        <f t="shared" ca="1" si="1"/>
        <v>0</v>
      </c>
      <c r="AA36" s="11">
        <v>34</v>
      </c>
      <c r="AB36" s="11" t="str">
        <f ca="1">Idiomas!D245</f>
        <v>Panama</v>
      </c>
      <c r="AC36" s="11">
        <v>-5</v>
      </c>
      <c r="AD36" s="791">
        <f t="shared" si="4"/>
        <v>0.20833333333333334</v>
      </c>
      <c r="AE36" s="11">
        <v>0</v>
      </c>
      <c r="AF36" s="11">
        <f t="shared" ca="1" si="5"/>
        <v>-1</v>
      </c>
      <c r="AG36" s="791">
        <f t="shared" ca="1" si="6"/>
        <v>4.1666666666666664E-2</v>
      </c>
      <c r="AH36" s="11">
        <f t="shared" ca="1" si="7"/>
        <v>-1</v>
      </c>
      <c r="AI36" s="11">
        <f t="shared" ca="1" si="8"/>
        <v>32</v>
      </c>
    </row>
    <row r="37" spans="1:35">
      <c r="A37" s="710">
        <v>46187.791666666664</v>
      </c>
      <c r="C37" s="710">
        <f t="shared" ca="1" si="15"/>
        <v>46188.041666666664</v>
      </c>
      <c r="D37" s="710"/>
      <c r="E37" s="710"/>
      <c r="P37" s="11">
        <v>35</v>
      </c>
      <c r="Q37" s="11" t="str">
        <f t="shared" ca="1" si="3"/>
        <v>Qatar</v>
      </c>
      <c r="R37" s="11">
        <f t="shared" ca="1" si="14"/>
        <v>3</v>
      </c>
      <c r="S37" s="791">
        <f t="shared" ca="1" si="14"/>
        <v>0.125</v>
      </c>
      <c r="T37" s="11">
        <f t="shared" ca="1" si="14"/>
        <v>0</v>
      </c>
      <c r="U37" s="11">
        <f t="shared" ca="1" si="14"/>
        <v>7</v>
      </c>
      <c r="V37" s="791">
        <f t="shared" ca="1" si="14"/>
        <v>0.29166666666666669</v>
      </c>
      <c r="W37" s="11">
        <f t="shared" ca="1" si="14"/>
        <v>1</v>
      </c>
      <c r="X37" s="11">
        <f t="shared" ca="1" si="1"/>
        <v>0</v>
      </c>
      <c r="AA37" s="11">
        <v>35</v>
      </c>
      <c r="AB37" s="11" t="str">
        <f ca="1">Idiomas!D246</f>
        <v>Paraguay</v>
      </c>
      <c r="AC37" s="11">
        <v>-4</v>
      </c>
      <c r="AD37" s="791">
        <f t="shared" si="4"/>
        <v>0.16666666666666666</v>
      </c>
      <c r="AE37" s="11">
        <v>0</v>
      </c>
      <c r="AF37" s="11">
        <f t="shared" ca="1" si="5"/>
        <v>0</v>
      </c>
      <c r="AG37" s="791">
        <f t="shared" ca="1" si="6"/>
        <v>0</v>
      </c>
      <c r="AH37" s="11">
        <f t="shared" ca="1" si="7"/>
        <v>0</v>
      </c>
      <c r="AI37" s="11">
        <f t="shared" ca="1" si="8"/>
        <v>33</v>
      </c>
    </row>
    <row r="38" spans="1:35">
      <c r="A38" s="710">
        <v>46193.666666666664</v>
      </c>
      <c r="C38" s="710">
        <f t="shared" ca="1" si="15"/>
        <v>46193.916666666664</v>
      </c>
      <c r="D38" s="710"/>
      <c r="E38" s="710"/>
      <c r="P38" s="11">
        <v>36</v>
      </c>
      <c r="Q38" s="11" t="str">
        <f t="shared" ca="1" si="3"/>
        <v>Saudi Arabia</v>
      </c>
      <c r="R38" s="11">
        <f t="shared" ca="1" si="14"/>
        <v>3</v>
      </c>
      <c r="S38" s="791">
        <f t="shared" ca="1" si="14"/>
        <v>0.125</v>
      </c>
      <c r="T38" s="11">
        <f t="shared" ca="1" si="14"/>
        <v>0</v>
      </c>
      <c r="U38" s="11">
        <f t="shared" ca="1" si="14"/>
        <v>7</v>
      </c>
      <c r="V38" s="791">
        <f t="shared" ca="1" si="14"/>
        <v>0.29166666666666669</v>
      </c>
      <c r="W38" s="11">
        <f t="shared" ca="1" si="14"/>
        <v>1</v>
      </c>
      <c r="X38" s="11">
        <f t="shared" ca="1" si="1"/>
        <v>0</v>
      </c>
      <c r="AA38" s="11">
        <v>36</v>
      </c>
      <c r="AB38" s="11" t="str">
        <f ca="1">Idiomas!D247</f>
        <v>Portugal</v>
      </c>
      <c r="AC38" s="11">
        <v>1</v>
      </c>
      <c r="AD38" s="791">
        <f t="shared" si="4"/>
        <v>4.1666666666666664E-2</v>
      </c>
      <c r="AE38" s="11">
        <v>0</v>
      </c>
      <c r="AF38" s="11">
        <f t="shared" ca="1" si="5"/>
        <v>5</v>
      </c>
      <c r="AG38" s="791">
        <f t="shared" ca="1" si="6"/>
        <v>0.20833333333333334</v>
      </c>
      <c r="AH38" s="11">
        <f t="shared" ca="1" si="7"/>
        <v>1</v>
      </c>
      <c r="AI38" s="11">
        <f t="shared" ca="1" si="8"/>
        <v>34</v>
      </c>
    </row>
    <row r="39" spans="1:35">
      <c r="A39" s="710">
        <v>46193.833333333336</v>
      </c>
      <c r="C39" s="710">
        <f t="shared" ca="1" si="15"/>
        <v>46194.083333333336</v>
      </c>
      <c r="D39" s="710"/>
      <c r="E39" s="710"/>
      <c r="P39" s="11">
        <v>37</v>
      </c>
      <c r="Q39" s="11" t="str">
        <f t="shared" ca="1" si="3"/>
        <v>Scotland</v>
      </c>
      <c r="R39" s="11">
        <f t="shared" ca="1" si="14"/>
        <v>1</v>
      </c>
      <c r="S39" s="791">
        <f t="shared" ca="1" si="14"/>
        <v>4.1666666666666664E-2</v>
      </c>
      <c r="T39" s="11">
        <f t="shared" ca="1" si="14"/>
        <v>0</v>
      </c>
      <c r="U39" s="11">
        <f t="shared" ca="1" si="14"/>
        <v>5</v>
      </c>
      <c r="V39" s="791">
        <f t="shared" ca="1" si="14"/>
        <v>0.20833333333333334</v>
      </c>
      <c r="W39" s="11">
        <f t="shared" ca="1" si="14"/>
        <v>1</v>
      </c>
      <c r="X39" s="11">
        <f t="shared" ca="1" si="1"/>
        <v>0</v>
      </c>
      <c r="AA39" s="11">
        <v>37</v>
      </c>
      <c r="AB39" s="11" t="str">
        <f ca="1">Idiomas!D248</f>
        <v>Senegal</v>
      </c>
      <c r="AC39" s="11">
        <v>0</v>
      </c>
      <c r="AD39" s="791">
        <f t="shared" si="4"/>
        <v>0</v>
      </c>
      <c r="AE39" s="11">
        <v>0</v>
      </c>
      <c r="AF39" s="11">
        <f t="shared" ca="1" si="5"/>
        <v>4</v>
      </c>
      <c r="AG39" s="791">
        <f t="shared" ca="1" si="6"/>
        <v>0.16666666666666666</v>
      </c>
      <c r="AH39" s="11">
        <f t="shared" ca="1" si="7"/>
        <v>1</v>
      </c>
      <c r="AI39" s="11">
        <f t="shared" ca="1" si="8"/>
        <v>38</v>
      </c>
    </row>
    <row r="40" spans="1:35">
      <c r="A40" s="710">
        <v>46198.666666666664</v>
      </c>
      <c r="C40" s="710">
        <f t="shared" ca="1" si="15"/>
        <v>46198.916666666664</v>
      </c>
      <c r="D40" s="710"/>
      <c r="E40" s="710"/>
      <c r="P40" s="11">
        <v>38</v>
      </c>
      <c r="Q40" s="11" t="str">
        <f t="shared" ca="1" si="3"/>
        <v>Senegal</v>
      </c>
      <c r="R40" s="11">
        <f t="shared" ca="1" si="14"/>
        <v>0</v>
      </c>
      <c r="S40" s="791">
        <f t="shared" ca="1" si="14"/>
        <v>0</v>
      </c>
      <c r="T40" s="11">
        <f t="shared" ca="1" si="14"/>
        <v>0</v>
      </c>
      <c r="U40" s="11">
        <f t="shared" ca="1" si="14"/>
        <v>4</v>
      </c>
      <c r="V40" s="791">
        <f t="shared" ca="1" si="14"/>
        <v>0.16666666666666666</v>
      </c>
      <c r="W40" s="11">
        <f t="shared" ca="1" si="14"/>
        <v>1</v>
      </c>
      <c r="X40" s="11">
        <f t="shared" ca="1" si="1"/>
        <v>0</v>
      </c>
      <c r="AA40" s="11">
        <v>38</v>
      </c>
      <c r="AB40" s="11" t="str">
        <f ca="1">Idiomas!D249</f>
        <v>South Africa</v>
      </c>
      <c r="AC40" s="11">
        <v>2</v>
      </c>
      <c r="AD40" s="791">
        <f t="shared" si="4"/>
        <v>8.3333333333333329E-2</v>
      </c>
      <c r="AE40" s="11">
        <v>0</v>
      </c>
      <c r="AF40" s="11">
        <f t="shared" ca="1" si="5"/>
        <v>6</v>
      </c>
      <c r="AG40" s="791">
        <f t="shared" ca="1" si="6"/>
        <v>0.25</v>
      </c>
      <c r="AH40" s="11">
        <f t="shared" ca="1" si="7"/>
        <v>1</v>
      </c>
      <c r="AI40" s="11">
        <f t="shared" ca="1" si="8"/>
        <v>39</v>
      </c>
    </row>
    <row r="41" spans="1:35">
      <c r="A41" s="710">
        <v>46198.666666666664</v>
      </c>
      <c r="C41" s="710">
        <f t="shared" ca="1" si="15"/>
        <v>46198.916666666664</v>
      </c>
      <c r="D41" s="710"/>
      <c r="E41" s="710"/>
      <c r="P41" s="11">
        <v>39</v>
      </c>
      <c r="Q41" s="11" t="str">
        <f t="shared" ca="1" si="3"/>
        <v>South Africa</v>
      </c>
      <c r="R41" s="11">
        <f t="shared" ca="1" si="14"/>
        <v>2</v>
      </c>
      <c r="S41" s="791">
        <f t="shared" ca="1" si="14"/>
        <v>8.3333333333333329E-2</v>
      </c>
      <c r="T41" s="11">
        <f t="shared" ca="1" si="14"/>
        <v>0</v>
      </c>
      <c r="U41" s="11">
        <f t="shared" ca="1" si="14"/>
        <v>6</v>
      </c>
      <c r="V41" s="791">
        <f t="shared" ca="1" si="14"/>
        <v>0.25</v>
      </c>
      <c r="W41" s="11">
        <f t="shared" ca="1" si="14"/>
        <v>1</v>
      </c>
      <c r="X41" s="11">
        <f t="shared" ca="1" si="1"/>
        <v>0</v>
      </c>
      <c r="AA41" s="11">
        <v>39</v>
      </c>
      <c r="AB41" s="11" t="str">
        <f ca="1">Idiomas!D250</f>
        <v>Switzerland</v>
      </c>
      <c r="AC41" s="11">
        <v>2</v>
      </c>
      <c r="AD41" s="791">
        <f t="shared" si="4"/>
        <v>8.3333333333333329E-2</v>
      </c>
      <c r="AE41" s="11">
        <v>0</v>
      </c>
      <c r="AF41" s="11">
        <f t="shared" ca="1" si="5"/>
        <v>6</v>
      </c>
      <c r="AG41" s="791">
        <f t="shared" ca="1" si="6"/>
        <v>0.25</v>
      </c>
      <c r="AH41" s="11">
        <f t="shared" ca="1" si="7"/>
        <v>1</v>
      </c>
      <c r="AI41" s="11">
        <f t="shared" ca="1" si="8"/>
        <v>43</v>
      </c>
    </row>
    <row r="42" spans="1:35">
      <c r="C42" s="710"/>
      <c r="E42" s="710"/>
      <c r="P42" s="11">
        <v>40</v>
      </c>
      <c r="Q42" s="11" t="str">
        <f t="shared" ca="1" si="3"/>
        <v>South Korea</v>
      </c>
      <c r="R42" s="11">
        <f t="shared" ca="1" si="14"/>
        <v>9</v>
      </c>
      <c r="S42" s="791">
        <f t="shared" ca="1" si="14"/>
        <v>0.375</v>
      </c>
      <c r="T42" s="11">
        <f t="shared" ca="1" si="14"/>
        <v>0</v>
      </c>
      <c r="U42" s="11">
        <f t="shared" ca="1" si="14"/>
        <v>13</v>
      </c>
      <c r="V42" s="791">
        <f t="shared" ca="1" si="14"/>
        <v>0.54166666666666663</v>
      </c>
      <c r="W42" s="11">
        <f t="shared" ca="1" si="14"/>
        <v>1</v>
      </c>
      <c r="X42" s="11">
        <f t="shared" ca="1" si="1"/>
        <v>0</v>
      </c>
      <c r="AA42" s="11">
        <v>40</v>
      </c>
      <c r="AB42" s="11" t="str">
        <f ca="1">Idiomas!D251</f>
        <v>Tunisia</v>
      </c>
      <c r="AC42" s="11">
        <v>1</v>
      </c>
      <c r="AD42" s="791">
        <f t="shared" si="4"/>
        <v>4.1666666666666664E-2</v>
      </c>
      <c r="AE42" s="11">
        <v>0</v>
      </c>
      <c r="AF42" s="11">
        <f t="shared" ca="1" si="5"/>
        <v>5</v>
      </c>
      <c r="AG42" s="791">
        <f t="shared" ca="1" si="6"/>
        <v>0.20833333333333334</v>
      </c>
      <c r="AH42" s="11">
        <f t="shared" ca="1" si="7"/>
        <v>1</v>
      </c>
      <c r="AI42" s="11">
        <f t="shared" ca="1" si="8"/>
        <v>44</v>
      </c>
    </row>
    <row r="43" spans="1:35">
      <c r="A43" s="5" t="s">
        <v>8</v>
      </c>
      <c r="C43" s="710"/>
      <c r="E43" s="710"/>
      <c r="P43" s="11">
        <v>41</v>
      </c>
      <c r="Q43" s="11" t="str">
        <f t="shared" ca="1" si="3"/>
        <v>Spain</v>
      </c>
      <c r="R43" s="11">
        <f t="shared" ref="R43:W58" ca="1" si="16">+INDEX($AC$3:$AH$86,MATCH($Q43,$AB$3:$AB$86,0),MATCH(R$2,$AC$2:$AH$2,0))</f>
        <v>2</v>
      </c>
      <c r="S43" s="791">
        <f t="shared" ca="1" si="16"/>
        <v>8.3333333333333329E-2</v>
      </c>
      <c r="T43" s="11">
        <f t="shared" ca="1" si="16"/>
        <v>0</v>
      </c>
      <c r="U43" s="11">
        <f t="shared" ca="1" si="16"/>
        <v>6</v>
      </c>
      <c r="V43" s="791">
        <f t="shared" ca="1" si="14"/>
        <v>0.25</v>
      </c>
      <c r="W43" s="11">
        <f t="shared" ca="1" si="16"/>
        <v>1</v>
      </c>
      <c r="X43" s="11">
        <f t="shared" ca="1" si="1"/>
        <v>0</v>
      </c>
      <c r="AA43" s="11">
        <v>41</v>
      </c>
      <c r="AB43" s="11" t="str">
        <f ca="1">Idiomas!D252</f>
        <v>Uruguay</v>
      </c>
      <c r="AC43" s="11">
        <v>-3</v>
      </c>
      <c r="AD43" s="791">
        <f t="shared" si="4"/>
        <v>0.125</v>
      </c>
      <c r="AE43" s="11">
        <v>0</v>
      </c>
      <c r="AF43" s="11">
        <f t="shared" ca="1" si="5"/>
        <v>1</v>
      </c>
      <c r="AG43" s="791">
        <f t="shared" ca="1" si="6"/>
        <v>4.1666666666666664E-2</v>
      </c>
      <c r="AH43" s="11">
        <f t="shared" ca="1" si="7"/>
        <v>1</v>
      </c>
      <c r="AI43" s="11">
        <f t="shared" ca="1" si="8"/>
        <v>47</v>
      </c>
    </row>
    <row r="44" spans="1:35">
      <c r="A44" s="710">
        <v>46187.666666666664</v>
      </c>
      <c r="C44" s="710">
        <f t="shared" ref="C44:C49" ca="1" si="17">A44+INDEX($V$3:$V$86,MATCH($C$3,$P$3:$P$86,0))*INDEX($W$3:$W$86,MATCH($C$3,$P$3:$P$86,0))</f>
        <v>46187.916666666664</v>
      </c>
      <c r="D44" s="710"/>
      <c r="E44" s="710"/>
      <c r="P44" s="11">
        <v>42</v>
      </c>
      <c r="Q44" s="11" t="str">
        <f t="shared" ca="1" si="3"/>
        <v>Sweden</v>
      </c>
      <c r="R44" s="11">
        <f t="shared" ca="1" si="16"/>
        <v>2</v>
      </c>
      <c r="S44" s="791">
        <f t="shared" ca="1" si="16"/>
        <v>8.3333333333333329E-2</v>
      </c>
      <c r="T44" s="11">
        <f t="shared" ca="1" si="16"/>
        <v>0</v>
      </c>
      <c r="U44" s="11">
        <f t="shared" ca="1" si="16"/>
        <v>6</v>
      </c>
      <c r="V44" s="791">
        <f t="shared" ca="1" si="14"/>
        <v>0.25</v>
      </c>
      <c r="W44" s="11">
        <f t="shared" ca="1" si="16"/>
        <v>1</v>
      </c>
      <c r="X44" s="11">
        <f t="shared" ca="1" si="1"/>
        <v>0</v>
      </c>
      <c r="AA44" s="11">
        <v>42</v>
      </c>
      <c r="AB44" s="11" t="str">
        <f ca="1">Idiomas!D253</f>
        <v>Uzbekistan</v>
      </c>
      <c r="AC44" s="11">
        <v>5</v>
      </c>
      <c r="AD44" s="791">
        <f t="shared" si="4"/>
        <v>0.20833333333333334</v>
      </c>
      <c r="AE44" s="11">
        <v>0</v>
      </c>
      <c r="AF44" s="11">
        <f t="shared" ca="1" si="5"/>
        <v>9</v>
      </c>
      <c r="AG44" s="791">
        <f t="shared" ca="1" si="6"/>
        <v>0.375</v>
      </c>
      <c r="AH44" s="11">
        <f t="shared" ca="1" si="7"/>
        <v>1</v>
      </c>
      <c r="AI44" s="11">
        <f t="shared" ca="1" si="8"/>
        <v>48</v>
      </c>
    </row>
    <row r="45" spans="1:35">
      <c r="A45" s="710">
        <v>46187.916666666664</v>
      </c>
      <c r="C45" s="710">
        <f t="shared" ca="1" si="17"/>
        <v>46188.166666666664</v>
      </c>
      <c r="D45" s="710"/>
      <c r="E45" s="710"/>
      <c r="P45" s="11">
        <v>43</v>
      </c>
      <c r="Q45" s="11" t="str">
        <f t="shared" ca="1" si="3"/>
        <v>Switzerland</v>
      </c>
      <c r="R45" s="11">
        <f t="shared" ca="1" si="16"/>
        <v>2</v>
      </c>
      <c r="S45" s="791">
        <f t="shared" ca="1" si="16"/>
        <v>8.3333333333333329E-2</v>
      </c>
      <c r="T45" s="11">
        <f t="shared" ca="1" si="16"/>
        <v>0</v>
      </c>
      <c r="U45" s="11">
        <f t="shared" ca="1" si="16"/>
        <v>6</v>
      </c>
      <c r="V45" s="791">
        <f t="shared" ca="1" si="14"/>
        <v>0.25</v>
      </c>
      <c r="W45" s="11">
        <f t="shared" ca="1" si="16"/>
        <v>1</v>
      </c>
      <c r="X45" s="11">
        <f t="shared" ca="1" si="1"/>
        <v>0</v>
      </c>
      <c r="AA45" s="11">
        <v>43</v>
      </c>
      <c r="AB45" s="11" t="str">
        <f ca="1">Idiomas!D254</f>
        <v>DR Congo</v>
      </c>
      <c r="AC45" s="11">
        <v>1</v>
      </c>
      <c r="AD45" s="791">
        <f t="shared" si="4"/>
        <v>4.1666666666666664E-2</v>
      </c>
      <c r="AE45" s="11">
        <v>0</v>
      </c>
      <c r="AF45" s="11">
        <f t="shared" ca="1" si="5"/>
        <v>5</v>
      </c>
      <c r="AG45" s="791">
        <f t="shared" ca="1" si="6"/>
        <v>0.20833333333333334</v>
      </c>
      <c r="AH45" s="11">
        <f t="shared" ca="1" si="7"/>
        <v>1</v>
      </c>
      <c r="AI45" s="11">
        <f t="shared" ca="1" si="8"/>
        <v>14</v>
      </c>
    </row>
    <row r="46" spans="1:35">
      <c r="A46" s="710">
        <v>46193.541666666664</v>
      </c>
      <c r="C46" s="710">
        <f t="shared" ca="1" si="17"/>
        <v>46193.791666666664</v>
      </c>
      <c r="D46" s="710"/>
      <c r="E46" s="710"/>
      <c r="P46" s="11">
        <v>44</v>
      </c>
      <c r="Q46" s="11" t="str">
        <f t="shared" ca="1" si="3"/>
        <v>Tunisia</v>
      </c>
      <c r="R46" s="11">
        <f t="shared" ca="1" si="16"/>
        <v>1</v>
      </c>
      <c r="S46" s="791">
        <f t="shared" ca="1" si="16"/>
        <v>4.1666666666666664E-2</v>
      </c>
      <c r="T46" s="11">
        <f t="shared" ca="1" si="16"/>
        <v>0</v>
      </c>
      <c r="U46" s="11">
        <f t="shared" ca="1" si="16"/>
        <v>5</v>
      </c>
      <c r="V46" s="791">
        <f t="shared" ca="1" si="14"/>
        <v>0.20833333333333334</v>
      </c>
      <c r="W46" s="11">
        <f t="shared" ca="1" si="16"/>
        <v>1</v>
      </c>
      <c r="X46" s="11">
        <f t="shared" ca="1" si="1"/>
        <v>0</v>
      </c>
      <c r="AA46" s="11">
        <v>44</v>
      </c>
      <c r="AB46" s="11" t="str">
        <f ca="1">Idiomas!D255</f>
        <v>Iraq</v>
      </c>
      <c r="AC46" s="11">
        <v>3</v>
      </c>
      <c r="AD46" s="791">
        <f t="shared" si="4"/>
        <v>0.125</v>
      </c>
      <c r="AE46" s="11">
        <v>0</v>
      </c>
      <c r="AF46" s="11">
        <f t="shared" ca="1" si="5"/>
        <v>7</v>
      </c>
      <c r="AG46" s="791">
        <f t="shared" ca="1" si="6"/>
        <v>0.29166666666666669</v>
      </c>
      <c r="AH46" s="11">
        <f t="shared" ca="1" si="7"/>
        <v>1</v>
      </c>
      <c r="AI46" s="11">
        <f t="shared" ca="1" si="8"/>
        <v>23</v>
      </c>
    </row>
    <row r="47" spans="1:35">
      <c r="A47" s="710">
        <v>46194</v>
      </c>
      <c r="C47" s="710">
        <f t="shared" ca="1" si="17"/>
        <v>46194.25</v>
      </c>
      <c r="D47" s="710"/>
      <c r="E47" s="710"/>
      <c r="P47" s="11">
        <v>45</v>
      </c>
      <c r="Q47" s="11" t="str">
        <f t="shared" ca="1" si="3"/>
        <v>Turkey</v>
      </c>
      <c r="R47" s="11">
        <f t="shared" ca="1" si="16"/>
        <v>3</v>
      </c>
      <c r="S47" s="791">
        <f t="shared" ca="1" si="16"/>
        <v>0.125</v>
      </c>
      <c r="T47" s="11">
        <f t="shared" ca="1" si="16"/>
        <v>0</v>
      </c>
      <c r="U47" s="11">
        <f t="shared" ca="1" si="16"/>
        <v>7</v>
      </c>
      <c r="V47" s="791">
        <f t="shared" ca="1" si="14"/>
        <v>0.29166666666666669</v>
      </c>
      <c r="W47" s="11">
        <f t="shared" ca="1" si="16"/>
        <v>1</v>
      </c>
      <c r="X47" s="11">
        <f t="shared" ca="1" si="1"/>
        <v>0</v>
      </c>
      <c r="AA47" s="11">
        <v>45</v>
      </c>
      <c r="AB47" s="11" t="str">
        <f ca="1">Idiomas!D256</f>
        <v>Bosnia and Herzegovina</v>
      </c>
      <c r="AC47" s="11">
        <v>2</v>
      </c>
      <c r="AD47" s="791">
        <f t="shared" si="4"/>
        <v>8.3333333333333329E-2</v>
      </c>
      <c r="AE47" s="11">
        <v>0</v>
      </c>
      <c r="AF47" s="11">
        <f t="shared" ca="1" si="5"/>
        <v>6</v>
      </c>
      <c r="AG47" s="791">
        <f t="shared" ca="1" si="6"/>
        <v>0.25</v>
      </c>
      <c r="AH47" s="11">
        <f t="shared" ca="1" si="7"/>
        <v>1</v>
      </c>
      <c r="AI47" s="11">
        <f t="shared" ca="1" si="8"/>
        <v>6</v>
      </c>
    </row>
    <row r="48" spans="1:35">
      <c r="A48" s="710">
        <v>46198.791666666664</v>
      </c>
      <c r="C48" s="710">
        <f t="shared" ca="1" si="17"/>
        <v>46199.041666666664</v>
      </c>
      <c r="D48" s="710"/>
      <c r="E48" s="710"/>
      <c r="P48" s="11">
        <v>46</v>
      </c>
      <c r="Q48" s="11" t="str">
        <f t="shared" ca="1" si="3"/>
        <v>United States</v>
      </c>
      <c r="R48" s="11">
        <f t="shared" ca="1" si="16"/>
        <v>-4</v>
      </c>
      <c r="S48" s="791">
        <f t="shared" ca="1" si="16"/>
        <v>0.16666666666666666</v>
      </c>
      <c r="T48" s="11">
        <f t="shared" ca="1" si="16"/>
        <v>1</v>
      </c>
      <c r="U48" s="11">
        <f t="shared" ca="1" si="16"/>
        <v>0</v>
      </c>
      <c r="V48" s="791">
        <f t="shared" ca="1" si="14"/>
        <v>0</v>
      </c>
      <c r="W48" s="11">
        <f t="shared" ca="1" si="16"/>
        <v>0</v>
      </c>
      <c r="X48" s="11">
        <f t="shared" ca="1" si="1"/>
        <v>1</v>
      </c>
      <c r="AA48" s="11">
        <v>46</v>
      </c>
      <c r="AB48" s="11" t="str">
        <f ca="1">Idiomas!D257</f>
        <v>Sweden</v>
      </c>
      <c r="AC48" s="11">
        <v>2</v>
      </c>
      <c r="AD48" s="791">
        <f t="shared" si="4"/>
        <v>8.3333333333333329E-2</v>
      </c>
      <c r="AE48" s="11">
        <v>0</v>
      </c>
      <c r="AF48" s="11">
        <f t="shared" ca="1" si="5"/>
        <v>6</v>
      </c>
      <c r="AG48" s="791">
        <f t="shared" ca="1" si="6"/>
        <v>0.25</v>
      </c>
      <c r="AH48" s="11">
        <f t="shared" ca="1" si="7"/>
        <v>1</v>
      </c>
      <c r="AI48" s="11">
        <f t="shared" ca="1" si="8"/>
        <v>42</v>
      </c>
    </row>
    <row r="49" spans="1:35">
      <c r="A49" s="710">
        <v>46198.791666666664</v>
      </c>
      <c r="C49" s="710">
        <f t="shared" ca="1" si="17"/>
        <v>46199.041666666664</v>
      </c>
      <c r="D49" s="710"/>
      <c r="E49" s="710"/>
      <c r="P49" s="11">
        <v>47</v>
      </c>
      <c r="Q49" s="11" t="str">
        <f t="shared" ca="1" si="3"/>
        <v>Uruguay</v>
      </c>
      <c r="R49" s="11">
        <f t="shared" ca="1" si="16"/>
        <v>-3</v>
      </c>
      <c r="S49" s="791">
        <f t="shared" ca="1" si="16"/>
        <v>0.125</v>
      </c>
      <c r="T49" s="11">
        <f t="shared" ca="1" si="16"/>
        <v>0</v>
      </c>
      <c r="U49" s="11">
        <f t="shared" ca="1" si="16"/>
        <v>1</v>
      </c>
      <c r="V49" s="791">
        <f t="shared" ca="1" si="16"/>
        <v>4.1666666666666664E-2</v>
      </c>
      <c r="W49" s="11">
        <f t="shared" ca="1" si="16"/>
        <v>1</v>
      </c>
      <c r="X49" s="11">
        <f t="shared" ca="1" si="1"/>
        <v>0</v>
      </c>
      <c r="AA49" s="11">
        <v>47</v>
      </c>
      <c r="AB49" s="11" t="str">
        <f ca="1">Idiomas!D258</f>
        <v>Turkey</v>
      </c>
      <c r="AC49" s="11">
        <v>3</v>
      </c>
      <c r="AD49" s="791">
        <f t="shared" si="4"/>
        <v>0.125</v>
      </c>
      <c r="AE49" s="11">
        <v>0</v>
      </c>
      <c r="AF49" s="11">
        <f t="shared" ca="1" si="5"/>
        <v>7</v>
      </c>
      <c r="AG49" s="791">
        <f t="shared" ca="1" si="6"/>
        <v>0.29166666666666669</v>
      </c>
      <c r="AH49" s="11">
        <f t="shared" ca="1" si="7"/>
        <v>1</v>
      </c>
      <c r="AI49" s="11">
        <f t="shared" ca="1" si="8"/>
        <v>45</v>
      </c>
    </row>
    <row r="50" spans="1:35">
      <c r="C50" s="710"/>
      <c r="E50" s="710"/>
      <c r="P50" s="11">
        <v>48</v>
      </c>
      <c r="Q50" s="11" t="str">
        <f t="shared" ca="1" si="3"/>
        <v>Uzbekistan</v>
      </c>
      <c r="R50" s="11">
        <f t="shared" ca="1" si="16"/>
        <v>5</v>
      </c>
      <c r="S50" s="791">
        <f t="shared" ca="1" si="16"/>
        <v>0.20833333333333334</v>
      </c>
      <c r="T50" s="11">
        <f t="shared" ca="1" si="16"/>
        <v>0</v>
      </c>
      <c r="U50" s="11">
        <f t="shared" ca="1" si="16"/>
        <v>9</v>
      </c>
      <c r="V50" s="791">
        <f t="shared" ca="1" si="16"/>
        <v>0.375</v>
      </c>
      <c r="W50" s="11">
        <f t="shared" ca="1" si="16"/>
        <v>1</v>
      </c>
      <c r="X50" s="11">
        <f t="shared" ca="1" si="1"/>
        <v>0</v>
      </c>
      <c r="AA50" s="11">
        <v>48</v>
      </c>
      <c r="AB50" s="11" t="str">
        <f ca="1">Idiomas!D259</f>
        <v>Czech Republic</v>
      </c>
      <c r="AC50" s="11">
        <v>2</v>
      </c>
      <c r="AD50" s="791">
        <f t="shared" si="4"/>
        <v>8.3333333333333329E-2</v>
      </c>
      <c r="AE50" s="11">
        <v>0</v>
      </c>
      <c r="AF50" s="11">
        <f t="shared" ca="1" si="5"/>
        <v>6</v>
      </c>
      <c r="AG50" s="791">
        <f t="shared" ca="1" si="6"/>
        <v>0.25</v>
      </c>
      <c r="AH50" s="11">
        <f t="shared" ca="1" si="7"/>
        <v>1</v>
      </c>
      <c r="AI50" s="11">
        <f t="shared" ca="1" si="8"/>
        <v>13</v>
      </c>
    </row>
    <row r="51" spans="1:35">
      <c r="A51" s="5" t="s">
        <v>484</v>
      </c>
      <c r="C51" s="710"/>
      <c r="E51" s="710"/>
      <c r="P51" s="11">
        <v>49</v>
      </c>
      <c r="Q51" s="11" t="s">
        <v>150</v>
      </c>
      <c r="R51" s="11">
        <f t="shared" ca="1" si="16"/>
        <v>-12</v>
      </c>
      <c r="S51" s="791">
        <f t="shared" ca="1" si="16"/>
        <v>0.5</v>
      </c>
      <c r="T51" s="11">
        <f t="shared" ca="1" si="16"/>
        <v>0</v>
      </c>
      <c r="U51" s="11">
        <f t="shared" ca="1" si="16"/>
        <v>-8</v>
      </c>
      <c r="V51" s="791">
        <f t="shared" ca="1" si="16"/>
        <v>0.33333333333333331</v>
      </c>
      <c r="W51" s="11">
        <f t="shared" ref="W51:W60" ca="1" si="18">IF(R51&gt;$M$2,1,IF(R51=$M$2,0,-1))</f>
        <v>-1</v>
      </c>
      <c r="X51" s="11"/>
      <c r="AA51" s="11">
        <v>49</v>
      </c>
      <c r="AB51" s="11" t="s">
        <v>150</v>
      </c>
      <c r="AC51" s="11">
        <v>-12</v>
      </c>
      <c r="AD51" s="791">
        <f t="shared" si="4"/>
        <v>0.5</v>
      </c>
      <c r="AE51" s="11">
        <v>0</v>
      </c>
      <c r="AF51" s="11">
        <f t="shared" ref="AF51:AF60" ca="1" si="19">AC51-$M$2</f>
        <v>-8</v>
      </c>
      <c r="AG51" s="791">
        <f t="shared" ca="1" si="6"/>
        <v>0.33333333333333331</v>
      </c>
      <c r="AH51" s="11">
        <f t="shared" ref="AH51:AH60" ca="1" si="20">IF(AC51&gt;$M$2,1,IF(AC51=$M$2,0,-1))</f>
        <v>-1</v>
      </c>
      <c r="AI51" s="11"/>
    </row>
    <row r="52" spans="1:35">
      <c r="A52" s="710">
        <v>46188.625</v>
      </c>
      <c r="C52" s="710">
        <f t="shared" ref="C52:C57" ca="1" si="21">A52+INDEX($V$3:$V$86,MATCH($C$3,$P$3:$P$86,0))*INDEX($W$3:$W$86,MATCH($C$3,$P$3:$P$86,0))</f>
        <v>46188.875</v>
      </c>
      <c r="D52" s="710"/>
      <c r="E52" s="710"/>
      <c r="P52" s="11">
        <v>50</v>
      </c>
      <c r="Q52" s="11" t="s">
        <v>151</v>
      </c>
      <c r="R52" s="11">
        <f t="shared" ca="1" si="16"/>
        <v>-11</v>
      </c>
      <c r="S52" s="791">
        <f t="shared" ca="1" si="16"/>
        <v>0.45833333333333331</v>
      </c>
      <c r="T52" s="11">
        <f t="shared" ca="1" si="16"/>
        <v>0</v>
      </c>
      <c r="U52" s="11">
        <f t="shared" ca="1" si="16"/>
        <v>-7</v>
      </c>
      <c r="V52" s="791">
        <f t="shared" ca="1" si="16"/>
        <v>0.29166666666666669</v>
      </c>
      <c r="W52" s="11">
        <f t="shared" ca="1" si="18"/>
        <v>-1</v>
      </c>
      <c r="X52" s="11"/>
      <c r="AA52" s="11">
        <v>50</v>
      </c>
      <c r="AB52" s="11" t="s">
        <v>151</v>
      </c>
      <c r="AC52" s="11">
        <v>-11</v>
      </c>
      <c r="AD52" s="791">
        <f t="shared" si="4"/>
        <v>0.45833333333333331</v>
      </c>
      <c r="AE52" s="11">
        <v>0</v>
      </c>
      <c r="AF52" s="11">
        <f t="shared" ca="1" si="19"/>
        <v>-7</v>
      </c>
      <c r="AG52" s="791">
        <f t="shared" ca="1" si="6"/>
        <v>0.29166666666666669</v>
      </c>
      <c r="AH52" s="11">
        <f t="shared" ca="1" si="20"/>
        <v>-1</v>
      </c>
      <c r="AI52" s="11"/>
    </row>
    <row r="53" spans="1:35">
      <c r="A53" s="710">
        <v>46188.875</v>
      </c>
      <c r="C53" s="710">
        <f t="shared" ca="1" si="21"/>
        <v>46189.125</v>
      </c>
      <c r="D53" s="710"/>
      <c r="E53" s="710"/>
      <c r="P53" s="11">
        <v>51</v>
      </c>
      <c r="Q53" s="11" t="s">
        <v>152</v>
      </c>
      <c r="R53" s="11">
        <f t="shared" ca="1" si="16"/>
        <v>-10</v>
      </c>
      <c r="S53" s="791">
        <f t="shared" ca="1" si="16"/>
        <v>0.41666666666666669</v>
      </c>
      <c r="T53" s="11">
        <f t="shared" ca="1" si="16"/>
        <v>0</v>
      </c>
      <c r="U53" s="11">
        <f t="shared" ca="1" si="16"/>
        <v>-6</v>
      </c>
      <c r="V53" s="791">
        <f t="shared" ca="1" si="16"/>
        <v>0.25</v>
      </c>
      <c r="W53" s="11">
        <f t="shared" ca="1" si="18"/>
        <v>-1</v>
      </c>
      <c r="X53" s="11"/>
      <c r="AA53" s="11">
        <v>51</v>
      </c>
      <c r="AB53" s="11" t="s">
        <v>152</v>
      </c>
      <c r="AC53" s="11">
        <v>-10</v>
      </c>
      <c r="AD53" s="791">
        <f t="shared" si="4"/>
        <v>0.41666666666666669</v>
      </c>
      <c r="AE53" s="11">
        <v>0</v>
      </c>
      <c r="AF53" s="11">
        <f t="shared" ca="1" si="19"/>
        <v>-6</v>
      </c>
      <c r="AG53" s="791">
        <f t="shared" ca="1" si="6"/>
        <v>0.25</v>
      </c>
      <c r="AH53" s="11">
        <f t="shared" ca="1" si="20"/>
        <v>-1</v>
      </c>
      <c r="AI53" s="11"/>
    </row>
    <row r="54" spans="1:35">
      <c r="A54" s="710">
        <v>46194.625</v>
      </c>
      <c r="C54" s="710">
        <f t="shared" ca="1" si="21"/>
        <v>46194.875</v>
      </c>
      <c r="D54" s="710"/>
      <c r="E54" s="710"/>
      <c r="P54" s="11">
        <v>52</v>
      </c>
      <c r="Q54" s="11" t="s">
        <v>153</v>
      </c>
      <c r="R54" s="11">
        <f t="shared" ca="1" si="16"/>
        <v>-9</v>
      </c>
      <c r="S54" s="791">
        <f t="shared" ca="1" si="16"/>
        <v>0.375</v>
      </c>
      <c r="T54" s="11">
        <f t="shared" ca="1" si="16"/>
        <v>0</v>
      </c>
      <c r="U54" s="11">
        <f t="shared" ca="1" si="16"/>
        <v>-5</v>
      </c>
      <c r="V54" s="791">
        <f t="shared" ca="1" si="16"/>
        <v>0.20833333333333334</v>
      </c>
      <c r="W54" s="11">
        <f t="shared" ca="1" si="18"/>
        <v>-1</v>
      </c>
      <c r="X54" s="11"/>
      <c r="AA54" s="11">
        <v>52</v>
      </c>
      <c r="AB54" s="11" t="s">
        <v>153</v>
      </c>
      <c r="AC54" s="11">
        <v>-9</v>
      </c>
      <c r="AD54" s="791">
        <f t="shared" si="4"/>
        <v>0.375</v>
      </c>
      <c r="AE54" s="11">
        <v>0</v>
      </c>
      <c r="AF54" s="11">
        <f t="shared" ca="1" si="19"/>
        <v>-5</v>
      </c>
      <c r="AG54" s="791">
        <f t="shared" ca="1" si="6"/>
        <v>0.20833333333333334</v>
      </c>
      <c r="AH54" s="11">
        <f t="shared" ca="1" si="20"/>
        <v>-1</v>
      </c>
      <c r="AI54" s="11"/>
    </row>
    <row r="55" spans="1:35">
      <c r="A55" s="710">
        <v>46194.875</v>
      </c>
      <c r="C55" s="710">
        <f t="shared" ca="1" si="21"/>
        <v>46195.125</v>
      </c>
      <c r="D55" s="710"/>
      <c r="E55" s="710"/>
      <c r="P55" s="11">
        <v>53</v>
      </c>
      <c r="Q55" s="11" t="s">
        <v>154</v>
      </c>
      <c r="R55" s="11">
        <f t="shared" ca="1" si="16"/>
        <v>-8</v>
      </c>
      <c r="S55" s="791">
        <f t="shared" ca="1" si="16"/>
        <v>0.33333333333333331</v>
      </c>
      <c r="T55" s="11">
        <f t="shared" ca="1" si="16"/>
        <v>0</v>
      </c>
      <c r="U55" s="11">
        <f t="shared" ca="1" si="16"/>
        <v>-4</v>
      </c>
      <c r="V55" s="791">
        <f t="shared" ca="1" si="16"/>
        <v>0.16666666666666666</v>
      </c>
      <c r="W55" s="11">
        <f t="shared" ca="1" si="18"/>
        <v>-1</v>
      </c>
      <c r="X55" s="11"/>
      <c r="AA55" s="11">
        <v>53</v>
      </c>
      <c r="AB55" s="11" t="s">
        <v>154</v>
      </c>
      <c r="AC55" s="11">
        <v>-8</v>
      </c>
      <c r="AD55" s="791">
        <f t="shared" si="4"/>
        <v>0.33333333333333331</v>
      </c>
      <c r="AE55" s="11">
        <v>0</v>
      </c>
      <c r="AF55" s="11">
        <f t="shared" ca="1" si="19"/>
        <v>-4</v>
      </c>
      <c r="AG55" s="791">
        <f t="shared" ca="1" si="6"/>
        <v>0.16666666666666666</v>
      </c>
      <c r="AH55" s="11">
        <f t="shared" ca="1" si="20"/>
        <v>-1</v>
      </c>
      <c r="AI55" s="11"/>
    </row>
    <row r="56" spans="1:35">
      <c r="A56" s="710">
        <v>46199.958333333336</v>
      </c>
      <c r="C56" s="710">
        <f t="shared" ca="1" si="21"/>
        <v>46200.208333333336</v>
      </c>
      <c r="D56" s="710"/>
      <c r="E56" s="710"/>
      <c r="P56" s="11">
        <v>54</v>
      </c>
      <c r="Q56" s="11" t="s">
        <v>155</v>
      </c>
      <c r="R56" s="11">
        <f t="shared" ca="1" si="16"/>
        <v>-7</v>
      </c>
      <c r="S56" s="791">
        <f t="shared" ca="1" si="16"/>
        <v>0.29166666666666669</v>
      </c>
      <c r="T56" s="11">
        <f t="shared" ca="1" si="16"/>
        <v>0</v>
      </c>
      <c r="U56" s="11">
        <f t="shared" ca="1" si="16"/>
        <v>-3</v>
      </c>
      <c r="V56" s="791">
        <f t="shared" ca="1" si="16"/>
        <v>0.125</v>
      </c>
      <c r="W56" s="11">
        <f t="shared" ca="1" si="18"/>
        <v>-1</v>
      </c>
      <c r="X56" s="11"/>
      <c r="AA56" s="11">
        <v>54</v>
      </c>
      <c r="AB56" s="11" t="s">
        <v>155</v>
      </c>
      <c r="AC56" s="11">
        <v>-7</v>
      </c>
      <c r="AD56" s="791">
        <f t="shared" si="4"/>
        <v>0.29166666666666669</v>
      </c>
      <c r="AE56" s="11">
        <v>0</v>
      </c>
      <c r="AF56" s="11">
        <f t="shared" ca="1" si="19"/>
        <v>-3</v>
      </c>
      <c r="AG56" s="791">
        <f t="shared" ca="1" si="6"/>
        <v>0.125</v>
      </c>
      <c r="AH56" s="11">
        <f t="shared" ca="1" si="20"/>
        <v>-1</v>
      </c>
      <c r="AI56" s="11"/>
    </row>
    <row r="57" spans="1:35">
      <c r="A57" s="710">
        <v>46199.958333333336</v>
      </c>
      <c r="C57" s="710">
        <f t="shared" ca="1" si="21"/>
        <v>46200.208333333336</v>
      </c>
      <c r="D57" s="710"/>
      <c r="E57" s="710"/>
      <c r="P57" s="11">
        <v>55</v>
      </c>
      <c r="Q57" s="11" t="s">
        <v>156</v>
      </c>
      <c r="R57" s="11">
        <f t="shared" ca="1" si="16"/>
        <v>-6</v>
      </c>
      <c r="S57" s="791">
        <f t="shared" ca="1" si="16"/>
        <v>0.25</v>
      </c>
      <c r="T57" s="11">
        <f t="shared" ca="1" si="16"/>
        <v>0</v>
      </c>
      <c r="U57" s="11">
        <f t="shared" ca="1" si="16"/>
        <v>-2</v>
      </c>
      <c r="V57" s="791">
        <f t="shared" ca="1" si="16"/>
        <v>8.3333333333333329E-2</v>
      </c>
      <c r="W57" s="11">
        <f t="shared" ca="1" si="18"/>
        <v>-1</v>
      </c>
      <c r="X57" s="11"/>
      <c r="AA57" s="11">
        <v>55</v>
      </c>
      <c r="AB57" s="11" t="s">
        <v>156</v>
      </c>
      <c r="AC57" s="11">
        <v>-6</v>
      </c>
      <c r="AD57" s="791">
        <f t="shared" si="4"/>
        <v>0.25</v>
      </c>
      <c r="AE57" s="11">
        <v>0</v>
      </c>
      <c r="AF57" s="11">
        <f t="shared" ca="1" si="19"/>
        <v>-2</v>
      </c>
      <c r="AG57" s="791">
        <f t="shared" ca="1" si="6"/>
        <v>8.3333333333333329E-2</v>
      </c>
      <c r="AH57" s="11">
        <f t="shared" ca="1" si="20"/>
        <v>-1</v>
      </c>
      <c r="AI57" s="11"/>
    </row>
    <row r="58" spans="1:35">
      <c r="C58" s="710"/>
      <c r="E58" s="710"/>
      <c r="P58" s="11">
        <v>56</v>
      </c>
      <c r="Q58" s="11" t="s">
        <v>157</v>
      </c>
      <c r="R58" s="11">
        <f t="shared" ca="1" si="16"/>
        <v>-5</v>
      </c>
      <c r="S58" s="791">
        <f t="shared" ca="1" si="16"/>
        <v>0.20833333333333334</v>
      </c>
      <c r="T58" s="11">
        <f t="shared" ca="1" si="16"/>
        <v>0</v>
      </c>
      <c r="U58" s="11">
        <f t="shared" ca="1" si="16"/>
        <v>-1</v>
      </c>
      <c r="V58" s="791">
        <f t="shared" ca="1" si="16"/>
        <v>4.1666666666666664E-2</v>
      </c>
      <c r="W58" s="11">
        <f t="shared" ca="1" si="18"/>
        <v>-1</v>
      </c>
      <c r="X58" s="11"/>
      <c r="AA58" s="11">
        <v>56</v>
      </c>
      <c r="AB58" s="11" t="s">
        <v>157</v>
      </c>
      <c r="AC58" s="11">
        <v>-5</v>
      </c>
      <c r="AD58" s="791">
        <f t="shared" si="4"/>
        <v>0.20833333333333334</v>
      </c>
      <c r="AE58" s="11">
        <v>0</v>
      </c>
      <c r="AF58" s="11">
        <f t="shared" ca="1" si="19"/>
        <v>-1</v>
      </c>
      <c r="AG58" s="791">
        <f t="shared" ca="1" si="6"/>
        <v>4.1666666666666664E-2</v>
      </c>
      <c r="AH58" s="11">
        <f t="shared" ca="1" si="20"/>
        <v>-1</v>
      </c>
      <c r="AI58" s="11"/>
    </row>
    <row r="59" spans="1:35">
      <c r="A59" s="5" t="s">
        <v>485</v>
      </c>
      <c r="C59" s="710"/>
      <c r="E59" s="710"/>
      <c r="P59" s="11">
        <v>57</v>
      </c>
      <c r="Q59" s="11" t="s">
        <v>158</v>
      </c>
      <c r="R59" s="11">
        <f t="shared" ref="R59:S86" ca="1" si="22">+INDEX($AC$3:$AH$86,MATCH($Q59,$AB$3:$AB$86,0),MATCH(R$2,$AC$2:$AH$2,0))</f>
        <v>-4</v>
      </c>
      <c r="S59" s="791">
        <f t="shared" ca="1" si="22"/>
        <v>0.16666666666666666</v>
      </c>
      <c r="T59" s="11">
        <f t="shared" ref="T59:T86" ca="1" si="23">+INDEX($AC$3:$AH$86,MATCH($Q59,$AB$3:$AB$86,0),MATCH(T$2,$AC$2:$AH$2,0))</f>
        <v>0</v>
      </c>
      <c r="U59" s="11">
        <f t="shared" ref="U59:U86" ca="1" si="24">+INDEX($AC$3:$AH$86,MATCH($Q59,$AB$3:$AB$86,0),MATCH(U$2,$AC$2:$AH$2,0))</f>
        <v>0</v>
      </c>
      <c r="V59" s="791">
        <f t="shared" ref="V59:V86" ca="1" si="25">+INDEX($AC$3:$AH$86,MATCH($Q59,$AB$3:$AB$86,0),MATCH(V$2,$AC$2:$AH$2,0))</f>
        <v>0</v>
      </c>
      <c r="W59" s="11">
        <f t="shared" ca="1" si="18"/>
        <v>0</v>
      </c>
      <c r="X59" s="11"/>
      <c r="AA59" s="11">
        <v>57</v>
      </c>
      <c r="AB59" s="11" t="s">
        <v>158</v>
      </c>
      <c r="AC59" s="11">
        <v>-4</v>
      </c>
      <c r="AD59" s="791">
        <f t="shared" si="4"/>
        <v>0.16666666666666666</v>
      </c>
      <c r="AE59" s="11">
        <v>0</v>
      </c>
      <c r="AF59" s="11">
        <f t="shared" ca="1" si="19"/>
        <v>0</v>
      </c>
      <c r="AG59" s="791">
        <f t="shared" ca="1" si="6"/>
        <v>0</v>
      </c>
      <c r="AH59" s="11">
        <f t="shared" ca="1" si="20"/>
        <v>0</v>
      </c>
      <c r="AI59" s="11"/>
    </row>
    <row r="60" spans="1:35">
      <c r="A60" s="710">
        <v>46188.5</v>
      </c>
      <c r="C60" s="710">
        <f t="shared" ref="C60:C65" ca="1" si="26">A60+INDEX($V$3:$V$86,MATCH($C$3,$P$3:$P$86,0))*INDEX($W$3:$W$86,MATCH($C$3,$P$3:$P$86,0))</f>
        <v>46188.75</v>
      </c>
      <c r="D60" s="710"/>
      <c r="E60" s="710"/>
      <c r="P60" s="11">
        <v>58</v>
      </c>
      <c r="Q60" s="11" t="s">
        <v>365</v>
      </c>
      <c r="R60" s="11">
        <f t="shared" ca="1" si="22"/>
        <v>-3.5</v>
      </c>
      <c r="S60" s="791">
        <f t="shared" ca="1" si="22"/>
        <v>0.14583333333333334</v>
      </c>
      <c r="T60" s="11">
        <f t="shared" ca="1" si="23"/>
        <v>0</v>
      </c>
      <c r="U60" s="11">
        <f t="shared" ca="1" si="24"/>
        <v>0.5</v>
      </c>
      <c r="V60" s="791">
        <f t="shared" ca="1" si="25"/>
        <v>2.0833333333333332E-2</v>
      </c>
      <c r="W60" s="11">
        <f t="shared" ca="1" si="18"/>
        <v>1</v>
      </c>
      <c r="X60" s="11"/>
      <c r="AA60" s="11">
        <v>58</v>
      </c>
      <c r="AB60" s="11" t="s">
        <v>365</v>
      </c>
      <c r="AC60" s="11">
        <v>-3.5</v>
      </c>
      <c r="AD60" s="791">
        <f t="shared" si="4"/>
        <v>0.14583333333333334</v>
      </c>
      <c r="AE60" s="11">
        <v>0</v>
      </c>
      <c r="AF60" s="11">
        <f t="shared" ca="1" si="19"/>
        <v>0.5</v>
      </c>
      <c r="AG60" s="791">
        <f t="shared" ca="1" si="6"/>
        <v>2.0833333333333332E-2</v>
      </c>
      <c r="AH60" s="11">
        <f t="shared" ca="1" si="20"/>
        <v>1</v>
      </c>
      <c r="AI60" s="11"/>
    </row>
    <row r="61" spans="1:35">
      <c r="A61" s="710">
        <v>46188.75</v>
      </c>
      <c r="C61" s="710">
        <f t="shared" ca="1" si="26"/>
        <v>46189</v>
      </c>
      <c r="D61" s="710"/>
      <c r="E61" s="710"/>
      <c r="P61" s="11">
        <v>59</v>
      </c>
      <c r="Q61" s="11" t="s">
        <v>159</v>
      </c>
      <c r="R61" s="11">
        <f t="shared" ca="1" si="22"/>
        <v>-3</v>
      </c>
      <c r="S61" s="791">
        <f t="shared" ca="1" si="22"/>
        <v>0.125</v>
      </c>
      <c r="T61" s="11">
        <f t="shared" ca="1" si="23"/>
        <v>0</v>
      </c>
      <c r="U61" s="11">
        <f t="shared" ca="1" si="24"/>
        <v>1</v>
      </c>
      <c r="V61" s="791">
        <f t="shared" ca="1" si="25"/>
        <v>4.1666666666666664E-2</v>
      </c>
      <c r="W61" s="11">
        <f t="shared" ref="W61:W86" ca="1" si="27">IF(R61&gt;$M$2,1,IF(R61=$M$2,0,-1))</f>
        <v>1</v>
      </c>
      <c r="X61" s="11"/>
      <c r="AA61" s="11">
        <v>59</v>
      </c>
      <c r="AB61" s="11" t="s">
        <v>159</v>
      </c>
      <c r="AC61" s="11">
        <v>-3</v>
      </c>
      <c r="AD61" s="791">
        <f t="shared" si="4"/>
        <v>0.125</v>
      </c>
      <c r="AE61" s="11">
        <v>0</v>
      </c>
      <c r="AF61" s="11">
        <f t="shared" ref="AF61:AF86" ca="1" si="28">AC61-$M$2</f>
        <v>1</v>
      </c>
      <c r="AG61" s="791">
        <f t="shared" ca="1" si="6"/>
        <v>4.1666666666666664E-2</v>
      </c>
      <c r="AH61" s="11">
        <f t="shared" ref="AH61:AH86" ca="1" si="29">IF(AC61&gt;$M$2,1,IF(AC61=$M$2,0,-1))</f>
        <v>1</v>
      </c>
      <c r="AI61" s="11"/>
    </row>
    <row r="62" spans="1:35">
      <c r="A62" s="710">
        <v>46194.5</v>
      </c>
      <c r="C62" s="710">
        <f t="shared" ca="1" si="26"/>
        <v>46194.75</v>
      </c>
      <c r="D62" s="710"/>
      <c r="E62" s="710"/>
      <c r="P62" s="11">
        <v>60</v>
      </c>
      <c r="Q62" s="11" t="s">
        <v>160</v>
      </c>
      <c r="R62" s="11">
        <f t="shared" ca="1" si="22"/>
        <v>-2</v>
      </c>
      <c r="S62" s="791">
        <f t="shared" ca="1" si="22"/>
        <v>8.3333333333333329E-2</v>
      </c>
      <c r="T62" s="11">
        <f t="shared" ca="1" si="23"/>
        <v>0</v>
      </c>
      <c r="U62" s="11">
        <f t="shared" ca="1" si="24"/>
        <v>2</v>
      </c>
      <c r="V62" s="791">
        <f t="shared" ca="1" si="25"/>
        <v>8.3333333333333329E-2</v>
      </c>
      <c r="W62" s="11">
        <f t="shared" ca="1" si="27"/>
        <v>1</v>
      </c>
      <c r="X62" s="11"/>
      <c r="AA62" s="11">
        <v>60</v>
      </c>
      <c r="AB62" s="11" t="s">
        <v>160</v>
      </c>
      <c r="AC62" s="11">
        <v>-2</v>
      </c>
      <c r="AD62" s="791">
        <f t="shared" si="4"/>
        <v>8.3333333333333329E-2</v>
      </c>
      <c r="AE62" s="11">
        <v>0</v>
      </c>
      <c r="AF62" s="11">
        <f t="shared" ca="1" si="28"/>
        <v>2</v>
      </c>
      <c r="AG62" s="791">
        <f t="shared" ca="1" si="6"/>
        <v>8.3333333333333329E-2</v>
      </c>
      <c r="AH62" s="11">
        <f t="shared" ca="1" si="29"/>
        <v>1</v>
      </c>
      <c r="AI62" s="11"/>
    </row>
    <row r="63" spans="1:35">
      <c r="A63" s="710">
        <v>46194.75</v>
      </c>
      <c r="C63" s="710">
        <f t="shared" ca="1" si="26"/>
        <v>46195</v>
      </c>
      <c r="D63" s="710"/>
      <c r="E63" s="710"/>
      <c r="P63" s="11">
        <v>61</v>
      </c>
      <c r="Q63" s="11" t="s">
        <v>161</v>
      </c>
      <c r="R63" s="11">
        <f t="shared" ca="1" si="22"/>
        <v>-1</v>
      </c>
      <c r="S63" s="791">
        <f t="shared" ca="1" si="22"/>
        <v>4.1666666666666664E-2</v>
      </c>
      <c r="T63" s="11">
        <f t="shared" ca="1" si="23"/>
        <v>0</v>
      </c>
      <c r="U63" s="11">
        <f t="shared" ca="1" si="24"/>
        <v>3</v>
      </c>
      <c r="V63" s="791">
        <f t="shared" ca="1" si="25"/>
        <v>0.125</v>
      </c>
      <c r="W63" s="11">
        <f t="shared" ca="1" si="27"/>
        <v>1</v>
      </c>
      <c r="X63" s="11"/>
      <c r="AA63" s="11">
        <v>61</v>
      </c>
      <c r="AB63" s="11" t="s">
        <v>161</v>
      </c>
      <c r="AC63" s="11">
        <v>-1</v>
      </c>
      <c r="AD63" s="791">
        <f t="shared" si="4"/>
        <v>4.1666666666666664E-2</v>
      </c>
      <c r="AE63" s="11">
        <v>0</v>
      </c>
      <c r="AF63" s="11">
        <f t="shared" ca="1" si="28"/>
        <v>3</v>
      </c>
      <c r="AG63" s="791">
        <f t="shared" ca="1" si="6"/>
        <v>0.125</v>
      </c>
      <c r="AH63" s="11">
        <f t="shared" ca="1" si="29"/>
        <v>1</v>
      </c>
      <c r="AI63" s="11"/>
    </row>
    <row r="64" spans="1:35">
      <c r="A64" s="710">
        <v>46199.833333333336</v>
      </c>
      <c r="C64" s="710">
        <f t="shared" ca="1" si="26"/>
        <v>46200.083333333336</v>
      </c>
      <c r="D64" s="710"/>
      <c r="E64" s="710"/>
      <c r="P64" s="11">
        <v>62</v>
      </c>
      <c r="Q64" s="11" t="s">
        <v>149</v>
      </c>
      <c r="R64" s="11">
        <f t="shared" ca="1" si="22"/>
        <v>0</v>
      </c>
      <c r="S64" s="791">
        <f t="shared" ca="1" si="22"/>
        <v>0</v>
      </c>
      <c r="T64" s="11">
        <f t="shared" ca="1" si="23"/>
        <v>0</v>
      </c>
      <c r="U64" s="11">
        <f t="shared" ca="1" si="24"/>
        <v>4</v>
      </c>
      <c r="V64" s="791">
        <f t="shared" ca="1" si="25"/>
        <v>0.16666666666666666</v>
      </c>
      <c r="W64" s="11">
        <f t="shared" ca="1" si="27"/>
        <v>1</v>
      </c>
      <c r="X64" s="11"/>
      <c r="AA64" s="11">
        <v>62</v>
      </c>
      <c r="AB64" s="11" t="s">
        <v>149</v>
      </c>
      <c r="AC64" s="11">
        <v>0</v>
      </c>
      <c r="AD64" s="791">
        <f t="shared" si="4"/>
        <v>0</v>
      </c>
      <c r="AE64" s="11">
        <v>0</v>
      </c>
      <c r="AF64" s="11">
        <f t="shared" ca="1" si="28"/>
        <v>4</v>
      </c>
      <c r="AG64" s="791">
        <f t="shared" ca="1" si="6"/>
        <v>0.16666666666666666</v>
      </c>
      <c r="AH64" s="11">
        <f t="shared" ca="1" si="29"/>
        <v>1</v>
      </c>
      <c r="AI64" s="11"/>
    </row>
    <row r="65" spans="1:35">
      <c r="A65" s="710">
        <v>46199.833333333336</v>
      </c>
      <c r="C65" s="710">
        <f t="shared" ca="1" si="26"/>
        <v>46200.083333333336</v>
      </c>
      <c r="D65" s="710"/>
      <c r="E65" s="710"/>
      <c r="P65" s="11">
        <v>63</v>
      </c>
      <c r="Q65" s="11" t="s">
        <v>162</v>
      </c>
      <c r="R65" s="11">
        <f t="shared" ca="1" si="22"/>
        <v>1</v>
      </c>
      <c r="S65" s="791">
        <f t="shared" ca="1" si="22"/>
        <v>4.1666666666666664E-2</v>
      </c>
      <c r="T65" s="11">
        <f t="shared" ca="1" si="23"/>
        <v>0</v>
      </c>
      <c r="U65" s="11">
        <f t="shared" ca="1" si="24"/>
        <v>5</v>
      </c>
      <c r="V65" s="791">
        <f t="shared" ca="1" si="25"/>
        <v>0.20833333333333334</v>
      </c>
      <c r="W65" s="11">
        <f t="shared" ca="1" si="27"/>
        <v>1</v>
      </c>
      <c r="X65" s="11"/>
      <c r="AA65" s="11">
        <v>63</v>
      </c>
      <c r="AB65" s="11" t="s">
        <v>162</v>
      </c>
      <c r="AC65" s="11">
        <v>1</v>
      </c>
      <c r="AD65" s="791">
        <f t="shared" si="4"/>
        <v>4.1666666666666664E-2</v>
      </c>
      <c r="AE65" s="11">
        <v>0</v>
      </c>
      <c r="AF65" s="11">
        <f t="shared" ca="1" si="28"/>
        <v>5</v>
      </c>
      <c r="AG65" s="791">
        <f t="shared" ca="1" si="6"/>
        <v>0.20833333333333334</v>
      </c>
      <c r="AH65" s="11">
        <f t="shared" ca="1" si="29"/>
        <v>1</v>
      </c>
      <c r="AI65" s="11"/>
    </row>
    <row r="66" spans="1:35">
      <c r="C66" s="710"/>
      <c r="E66" s="710"/>
      <c r="P66" s="11">
        <v>64</v>
      </c>
      <c r="Q66" s="11" t="s">
        <v>163</v>
      </c>
      <c r="R66" s="11">
        <f t="shared" ca="1" si="22"/>
        <v>2</v>
      </c>
      <c r="S66" s="791">
        <f t="shared" ca="1" si="22"/>
        <v>8.3333333333333329E-2</v>
      </c>
      <c r="T66" s="11">
        <f t="shared" ca="1" si="23"/>
        <v>0</v>
      </c>
      <c r="U66" s="11">
        <f t="shared" ca="1" si="24"/>
        <v>6</v>
      </c>
      <c r="V66" s="791">
        <f t="shared" ca="1" si="25"/>
        <v>0.25</v>
      </c>
      <c r="W66" s="11">
        <f t="shared" ca="1" si="27"/>
        <v>1</v>
      </c>
      <c r="X66" s="11"/>
      <c r="AA66" s="11">
        <v>64</v>
      </c>
      <c r="AB66" s="11" t="s">
        <v>163</v>
      </c>
      <c r="AC66" s="11">
        <v>2</v>
      </c>
      <c r="AD66" s="791">
        <f t="shared" si="4"/>
        <v>8.3333333333333329E-2</v>
      </c>
      <c r="AE66" s="11">
        <v>0</v>
      </c>
      <c r="AF66" s="11">
        <f t="shared" ca="1" si="28"/>
        <v>6</v>
      </c>
      <c r="AG66" s="791">
        <f t="shared" ca="1" si="6"/>
        <v>0.25</v>
      </c>
      <c r="AH66" s="11">
        <f t="shared" ca="1" si="29"/>
        <v>1</v>
      </c>
      <c r="AI66" s="11"/>
    </row>
    <row r="67" spans="1:35">
      <c r="A67" s="5" t="s">
        <v>486</v>
      </c>
      <c r="C67" s="710"/>
      <c r="E67" s="710"/>
      <c r="P67" s="11">
        <v>65</v>
      </c>
      <c r="Q67" s="11" t="s">
        <v>164</v>
      </c>
      <c r="R67" s="11">
        <f t="shared" ca="1" si="22"/>
        <v>3</v>
      </c>
      <c r="S67" s="791">
        <f t="shared" ca="1" si="22"/>
        <v>0.125</v>
      </c>
      <c r="T67" s="11">
        <f t="shared" ca="1" si="23"/>
        <v>0</v>
      </c>
      <c r="U67" s="11">
        <f t="shared" ca="1" si="24"/>
        <v>7</v>
      </c>
      <c r="V67" s="791">
        <f t="shared" ca="1" si="25"/>
        <v>0.29166666666666669</v>
      </c>
      <c r="W67" s="11">
        <f t="shared" ca="1" si="27"/>
        <v>1</v>
      </c>
      <c r="X67" s="11"/>
      <c r="AA67" s="11">
        <v>65</v>
      </c>
      <c r="AB67" s="11" t="s">
        <v>164</v>
      </c>
      <c r="AC67" s="11">
        <v>3</v>
      </c>
      <c r="AD67" s="791">
        <f t="shared" si="4"/>
        <v>0.125</v>
      </c>
      <c r="AE67" s="11">
        <v>0</v>
      </c>
      <c r="AF67" s="11">
        <f t="shared" ca="1" si="28"/>
        <v>7</v>
      </c>
      <c r="AG67" s="791">
        <f t="shared" ca="1" si="6"/>
        <v>0.29166666666666669</v>
      </c>
      <c r="AH67" s="11">
        <f t="shared" ca="1" si="29"/>
        <v>1</v>
      </c>
      <c r="AI67" s="11"/>
    </row>
    <row r="68" spans="1:35">
      <c r="A68" s="710">
        <v>46189.625</v>
      </c>
      <c r="C68" s="710">
        <f t="shared" ref="C68:C73" ca="1" si="30">A68+INDEX($V$3:$V$86,MATCH($C$3,$P$3:$P$86,0))*INDEX($W$3:$W$86,MATCH($C$3,$P$3:$P$86,0))</f>
        <v>46189.875</v>
      </c>
      <c r="D68" s="710"/>
      <c r="E68" s="710"/>
      <c r="P68" s="11">
        <v>66</v>
      </c>
      <c r="Q68" s="11" t="s">
        <v>355</v>
      </c>
      <c r="R68" s="11">
        <f t="shared" ca="1" si="22"/>
        <v>3.5</v>
      </c>
      <c r="S68" s="791">
        <f t="shared" ca="1" si="22"/>
        <v>0.14583333333333334</v>
      </c>
      <c r="T68" s="11">
        <f t="shared" ca="1" si="23"/>
        <v>0</v>
      </c>
      <c r="U68" s="11">
        <f t="shared" ca="1" si="24"/>
        <v>7.5</v>
      </c>
      <c r="V68" s="791">
        <f t="shared" ca="1" si="25"/>
        <v>0.3125</v>
      </c>
      <c r="W68" s="11">
        <f t="shared" ca="1" si="27"/>
        <v>1</v>
      </c>
      <c r="X68" s="11"/>
      <c r="AA68" s="11">
        <v>66</v>
      </c>
      <c r="AB68" s="11" t="s">
        <v>355</v>
      </c>
      <c r="AC68" s="11">
        <v>3.5</v>
      </c>
      <c r="AD68" s="791">
        <f t="shared" ref="AD68:AD86" si="31">ABS(AC68/24)</f>
        <v>0.14583333333333334</v>
      </c>
      <c r="AE68" s="11">
        <v>0</v>
      </c>
      <c r="AF68" s="11">
        <f t="shared" ca="1" si="28"/>
        <v>7.5</v>
      </c>
      <c r="AG68" s="791">
        <f t="shared" ref="AG68:AG86" ca="1" si="32">ABS(AF68/24)</f>
        <v>0.3125</v>
      </c>
      <c r="AH68" s="11">
        <f t="shared" ca="1" si="29"/>
        <v>1</v>
      </c>
      <c r="AI68" s="11"/>
    </row>
    <row r="69" spans="1:35">
      <c r="A69" s="710">
        <v>46189.75</v>
      </c>
      <c r="C69" s="710">
        <f t="shared" ca="1" si="30"/>
        <v>46190</v>
      </c>
      <c r="D69" s="710"/>
      <c r="E69" s="710"/>
      <c r="P69" s="11">
        <v>67</v>
      </c>
      <c r="Q69" s="11" t="s">
        <v>165</v>
      </c>
      <c r="R69" s="11">
        <f t="shared" ca="1" si="22"/>
        <v>4</v>
      </c>
      <c r="S69" s="791">
        <f t="shared" ca="1" si="22"/>
        <v>0.16666666666666666</v>
      </c>
      <c r="T69" s="11">
        <f t="shared" ca="1" si="23"/>
        <v>0</v>
      </c>
      <c r="U69" s="11">
        <f t="shared" ca="1" si="24"/>
        <v>8</v>
      </c>
      <c r="V69" s="791">
        <f t="shared" ca="1" si="25"/>
        <v>0.33333333333333331</v>
      </c>
      <c r="W69" s="11">
        <f t="shared" ca="1" si="27"/>
        <v>1</v>
      </c>
      <c r="X69" s="11"/>
      <c r="AA69" s="11">
        <v>67</v>
      </c>
      <c r="AB69" s="11" t="s">
        <v>165</v>
      </c>
      <c r="AC69" s="11">
        <v>4</v>
      </c>
      <c r="AD69" s="791">
        <f t="shared" si="31"/>
        <v>0.16666666666666666</v>
      </c>
      <c r="AE69" s="11">
        <v>0</v>
      </c>
      <c r="AF69" s="11">
        <f t="shared" ca="1" si="28"/>
        <v>8</v>
      </c>
      <c r="AG69" s="791">
        <f t="shared" ca="1" si="32"/>
        <v>0.33333333333333331</v>
      </c>
      <c r="AH69" s="11">
        <f t="shared" ca="1" si="29"/>
        <v>1</v>
      </c>
      <c r="AI69" s="11"/>
    </row>
    <row r="70" spans="1:35">
      <c r="A70" s="710">
        <v>46195.708333333336</v>
      </c>
      <c r="C70" s="710">
        <f t="shared" ca="1" si="30"/>
        <v>46195.958333333336</v>
      </c>
      <c r="D70" s="710"/>
      <c r="E70" s="710"/>
      <c r="P70" s="11">
        <v>68</v>
      </c>
      <c r="Q70" s="11" t="s">
        <v>356</v>
      </c>
      <c r="R70" s="11">
        <f t="shared" ca="1" si="22"/>
        <v>4.5</v>
      </c>
      <c r="S70" s="791">
        <f t="shared" ca="1" si="22"/>
        <v>0.1875</v>
      </c>
      <c r="T70" s="11">
        <f t="shared" ca="1" si="23"/>
        <v>0</v>
      </c>
      <c r="U70" s="11">
        <f t="shared" ca="1" si="24"/>
        <v>8.5</v>
      </c>
      <c r="V70" s="791">
        <f t="shared" ca="1" si="25"/>
        <v>0.35416666666666669</v>
      </c>
      <c r="W70" s="11">
        <f t="shared" ca="1" si="27"/>
        <v>1</v>
      </c>
      <c r="X70" s="11"/>
      <c r="AA70" s="11">
        <v>68</v>
      </c>
      <c r="AB70" s="11" t="s">
        <v>356</v>
      </c>
      <c r="AC70" s="11">
        <v>4.5</v>
      </c>
      <c r="AD70" s="791">
        <f t="shared" si="31"/>
        <v>0.1875</v>
      </c>
      <c r="AE70" s="11">
        <v>0</v>
      </c>
      <c r="AF70" s="11">
        <f t="shared" ca="1" si="28"/>
        <v>8.5</v>
      </c>
      <c r="AG70" s="791">
        <f t="shared" ca="1" si="32"/>
        <v>0.35416666666666669</v>
      </c>
      <c r="AH70" s="11">
        <f t="shared" ca="1" si="29"/>
        <v>1</v>
      </c>
      <c r="AI70" s="11"/>
    </row>
    <row r="71" spans="1:35">
      <c r="A71" s="710">
        <v>46195.833333333336</v>
      </c>
      <c r="C71" s="710">
        <f t="shared" ca="1" si="30"/>
        <v>46196.083333333336</v>
      </c>
      <c r="D71" s="710"/>
      <c r="E71" s="710"/>
      <c r="P71" s="11">
        <v>69</v>
      </c>
      <c r="Q71" s="11" t="s">
        <v>166</v>
      </c>
      <c r="R71" s="11">
        <f t="shared" ca="1" si="22"/>
        <v>5</v>
      </c>
      <c r="S71" s="791">
        <f t="shared" ca="1" si="22"/>
        <v>0.20833333333333334</v>
      </c>
      <c r="T71" s="11">
        <f t="shared" ca="1" si="23"/>
        <v>0</v>
      </c>
      <c r="U71" s="11">
        <f t="shared" ca="1" si="24"/>
        <v>9</v>
      </c>
      <c r="V71" s="791">
        <f t="shared" ca="1" si="25"/>
        <v>0.375</v>
      </c>
      <c r="W71" s="11">
        <f t="shared" ca="1" si="27"/>
        <v>1</v>
      </c>
      <c r="X71" s="11"/>
      <c r="AA71" s="11">
        <v>69</v>
      </c>
      <c r="AB71" s="11" t="s">
        <v>166</v>
      </c>
      <c r="AC71" s="11">
        <v>5</v>
      </c>
      <c r="AD71" s="791">
        <f t="shared" si="31"/>
        <v>0.20833333333333334</v>
      </c>
      <c r="AE71" s="11">
        <v>0</v>
      </c>
      <c r="AF71" s="11">
        <f t="shared" ca="1" si="28"/>
        <v>9</v>
      </c>
      <c r="AG71" s="791">
        <f t="shared" ca="1" si="32"/>
        <v>0.375</v>
      </c>
      <c r="AH71" s="11">
        <f t="shared" ca="1" si="29"/>
        <v>1</v>
      </c>
      <c r="AI71" s="11"/>
    </row>
    <row r="72" spans="1:35">
      <c r="A72" s="710">
        <v>46199.625</v>
      </c>
      <c r="C72" s="710">
        <f t="shared" ca="1" si="30"/>
        <v>46199.875</v>
      </c>
      <c r="D72" s="710"/>
      <c r="E72" s="710"/>
      <c r="P72" s="11">
        <v>70</v>
      </c>
      <c r="Q72" s="11" t="s">
        <v>357</v>
      </c>
      <c r="R72" s="11">
        <f t="shared" ca="1" si="22"/>
        <v>5.5</v>
      </c>
      <c r="S72" s="791">
        <f t="shared" ca="1" si="22"/>
        <v>0.22916666666666666</v>
      </c>
      <c r="T72" s="11">
        <f t="shared" ca="1" si="23"/>
        <v>0</v>
      </c>
      <c r="U72" s="11">
        <f t="shared" ca="1" si="24"/>
        <v>9.5</v>
      </c>
      <c r="V72" s="791">
        <f t="shared" ca="1" si="25"/>
        <v>0.39583333333333331</v>
      </c>
      <c r="W72" s="11">
        <f t="shared" ca="1" si="27"/>
        <v>1</v>
      </c>
      <c r="X72" s="11"/>
      <c r="AA72" s="11">
        <v>70</v>
      </c>
      <c r="AB72" s="11" t="s">
        <v>357</v>
      </c>
      <c r="AC72" s="11">
        <v>5.5</v>
      </c>
      <c r="AD72" s="791">
        <f t="shared" si="31"/>
        <v>0.22916666666666666</v>
      </c>
      <c r="AE72" s="11">
        <v>0</v>
      </c>
      <c r="AF72" s="11">
        <f t="shared" ca="1" si="28"/>
        <v>9.5</v>
      </c>
      <c r="AG72" s="791">
        <f t="shared" ca="1" si="32"/>
        <v>0.39583333333333331</v>
      </c>
      <c r="AH72" s="11">
        <f t="shared" ca="1" si="29"/>
        <v>1</v>
      </c>
      <c r="AI72" s="11"/>
    </row>
    <row r="73" spans="1:35">
      <c r="A73" s="710">
        <v>46199.625</v>
      </c>
      <c r="C73" s="710">
        <f t="shared" ca="1" si="30"/>
        <v>46199.875</v>
      </c>
      <c r="D73" s="710"/>
      <c r="E73" s="710"/>
      <c r="P73" s="11">
        <v>71</v>
      </c>
      <c r="Q73" s="11" t="s">
        <v>358</v>
      </c>
      <c r="R73" s="11">
        <f t="shared" ca="1" si="22"/>
        <v>5.75</v>
      </c>
      <c r="S73" s="791">
        <f t="shared" ca="1" si="22"/>
        <v>0.23958333333333334</v>
      </c>
      <c r="T73" s="11">
        <f t="shared" ca="1" si="23"/>
        <v>0</v>
      </c>
      <c r="U73" s="11">
        <f t="shared" ca="1" si="24"/>
        <v>9.75</v>
      </c>
      <c r="V73" s="791">
        <f t="shared" ca="1" si="25"/>
        <v>0.40625</v>
      </c>
      <c r="W73" s="11">
        <f t="shared" ca="1" si="27"/>
        <v>1</v>
      </c>
      <c r="X73" s="11"/>
      <c r="AA73" s="11">
        <v>71</v>
      </c>
      <c r="AB73" s="11" t="s">
        <v>358</v>
      </c>
      <c r="AC73" s="11">
        <v>5.75</v>
      </c>
      <c r="AD73" s="791">
        <f t="shared" si="31"/>
        <v>0.23958333333333334</v>
      </c>
      <c r="AE73" s="11">
        <v>0</v>
      </c>
      <c r="AF73" s="11">
        <f t="shared" ca="1" si="28"/>
        <v>9.75</v>
      </c>
      <c r="AG73" s="791">
        <f t="shared" ca="1" si="32"/>
        <v>0.40625</v>
      </c>
      <c r="AH73" s="11">
        <f t="shared" ca="1" si="29"/>
        <v>1</v>
      </c>
      <c r="AI73" s="11"/>
    </row>
    <row r="74" spans="1:35">
      <c r="C74" s="710"/>
      <c r="E74" s="710"/>
      <c r="P74" s="11">
        <v>72</v>
      </c>
      <c r="Q74" s="11" t="s">
        <v>167</v>
      </c>
      <c r="R74" s="11">
        <f t="shared" ca="1" si="22"/>
        <v>6</v>
      </c>
      <c r="S74" s="791">
        <f t="shared" ca="1" si="22"/>
        <v>0.25</v>
      </c>
      <c r="T74" s="11">
        <f t="shared" ca="1" si="23"/>
        <v>0</v>
      </c>
      <c r="U74" s="11">
        <f t="shared" ca="1" si="24"/>
        <v>10</v>
      </c>
      <c r="V74" s="791">
        <f t="shared" ca="1" si="25"/>
        <v>0.41666666666666669</v>
      </c>
      <c r="W74" s="11">
        <f t="shared" ca="1" si="27"/>
        <v>1</v>
      </c>
      <c r="X74" s="11"/>
      <c r="AA74" s="11">
        <v>72</v>
      </c>
      <c r="AB74" s="11" t="s">
        <v>167</v>
      </c>
      <c r="AC74" s="11">
        <v>6</v>
      </c>
      <c r="AD74" s="791">
        <f t="shared" si="31"/>
        <v>0.25</v>
      </c>
      <c r="AE74" s="11">
        <v>0</v>
      </c>
      <c r="AF74" s="11">
        <f t="shared" ca="1" si="28"/>
        <v>10</v>
      </c>
      <c r="AG74" s="791">
        <f t="shared" ca="1" si="32"/>
        <v>0.41666666666666669</v>
      </c>
      <c r="AH74" s="11">
        <f t="shared" ca="1" si="29"/>
        <v>1</v>
      </c>
      <c r="AI74" s="11"/>
    </row>
    <row r="75" spans="1:35">
      <c r="A75" s="5" t="s">
        <v>487</v>
      </c>
      <c r="C75" s="710"/>
      <c r="E75" s="710"/>
      <c r="P75" s="11">
        <v>73</v>
      </c>
      <c r="Q75" s="11" t="s">
        <v>359</v>
      </c>
      <c r="R75" s="11">
        <f t="shared" ca="1" si="22"/>
        <v>6.5</v>
      </c>
      <c r="S75" s="791">
        <f t="shared" ca="1" si="22"/>
        <v>0.27083333333333331</v>
      </c>
      <c r="T75" s="11">
        <f t="shared" ca="1" si="23"/>
        <v>0</v>
      </c>
      <c r="U75" s="11">
        <f t="shared" ca="1" si="24"/>
        <v>10.5</v>
      </c>
      <c r="V75" s="791">
        <f t="shared" ca="1" si="25"/>
        <v>0.4375</v>
      </c>
      <c r="W75" s="11">
        <f t="shared" ca="1" si="27"/>
        <v>1</v>
      </c>
      <c r="X75" s="11"/>
      <c r="AA75" s="11">
        <v>73</v>
      </c>
      <c r="AB75" s="11" t="s">
        <v>359</v>
      </c>
      <c r="AC75" s="11">
        <v>6.5</v>
      </c>
      <c r="AD75" s="791">
        <f t="shared" si="31"/>
        <v>0.27083333333333331</v>
      </c>
      <c r="AE75" s="11">
        <v>0</v>
      </c>
      <c r="AF75" s="11">
        <f t="shared" ca="1" si="28"/>
        <v>10.5</v>
      </c>
      <c r="AG75" s="791">
        <f t="shared" ca="1" si="32"/>
        <v>0.4375</v>
      </c>
      <c r="AH75" s="11">
        <f t="shared" ca="1" si="29"/>
        <v>1</v>
      </c>
      <c r="AI75" s="11"/>
    </row>
    <row r="76" spans="1:35">
      <c r="A76" s="710">
        <v>46189.875</v>
      </c>
      <c r="C76" s="710">
        <f t="shared" ref="C76:C81" ca="1" si="33">A76+INDEX($V$3:$V$86,MATCH($C$3,$P$3:$P$86,0))*INDEX($W$3:$W$86,MATCH($C$3,$P$3:$P$86,0))</f>
        <v>46190.125</v>
      </c>
      <c r="D76" s="710"/>
      <c r="E76" s="710"/>
      <c r="P76" s="11">
        <v>74</v>
      </c>
      <c r="Q76" s="11" t="s">
        <v>168</v>
      </c>
      <c r="R76" s="11">
        <f t="shared" ca="1" si="22"/>
        <v>7</v>
      </c>
      <c r="S76" s="791">
        <f t="shared" ca="1" si="22"/>
        <v>0.29166666666666669</v>
      </c>
      <c r="T76" s="11">
        <f t="shared" ca="1" si="23"/>
        <v>0</v>
      </c>
      <c r="U76" s="11">
        <f t="shared" ca="1" si="24"/>
        <v>11</v>
      </c>
      <c r="V76" s="791">
        <f t="shared" ca="1" si="25"/>
        <v>0.45833333333333331</v>
      </c>
      <c r="W76" s="11">
        <f t="shared" ca="1" si="27"/>
        <v>1</v>
      </c>
      <c r="X76" s="11"/>
      <c r="AA76" s="11">
        <v>74</v>
      </c>
      <c r="AB76" s="11" t="s">
        <v>168</v>
      </c>
      <c r="AC76" s="11">
        <v>7</v>
      </c>
      <c r="AD76" s="791">
        <f t="shared" si="31"/>
        <v>0.29166666666666669</v>
      </c>
      <c r="AE76" s="11">
        <v>0</v>
      </c>
      <c r="AF76" s="11">
        <f t="shared" ca="1" si="28"/>
        <v>11</v>
      </c>
      <c r="AG76" s="791">
        <f t="shared" ca="1" si="32"/>
        <v>0.45833333333333331</v>
      </c>
      <c r="AH76" s="11">
        <f t="shared" ca="1" si="29"/>
        <v>1</v>
      </c>
      <c r="AI76" s="11"/>
    </row>
    <row r="77" spans="1:35">
      <c r="A77" s="710">
        <v>46190</v>
      </c>
      <c r="C77" s="710">
        <f t="shared" ca="1" si="33"/>
        <v>46190.25</v>
      </c>
      <c r="D77" s="710"/>
      <c r="E77" s="710"/>
      <c r="P77" s="11">
        <v>75</v>
      </c>
      <c r="Q77" s="11" t="s">
        <v>169</v>
      </c>
      <c r="R77" s="11">
        <f t="shared" ca="1" si="22"/>
        <v>8</v>
      </c>
      <c r="S77" s="791">
        <f t="shared" ca="1" si="22"/>
        <v>0.33333333333333331</v>
      </c>
      <c r="T77" s="11">
        <f t="shared" ca="1" si="23"/>
        <v>0</v>
      </c>
      <c r="U77" s="11">
        <f t="shared" ca="1" si="24"/>
        <v>12</v>
      </c>
      <c r="V77" s="791">
        <f t="shared" ca="1" si="25"/>
        <v>0.5</v>
      </c>
      <c r="W77" s="11">
        <f t="shared" ca="1" si="27"/>
        <v>1</v>
      </c>
      <c r="X77" s="11"/>
      <c r="AA77" s="11">
        <v>75</v>
      </c>
      <c r="AB77" s="11" t="s">
        <v>169</v>
      </c>
      <c r="AC77" s="11">
        <v>8</v>
      </c>
      <c r="AD77" s="791">
        <f t="shared" si="31"/>
        <v>0.33333333333333331</v>
      </c>
      <c r="AE77" s="11">
        <v>0</v>
      </c>
      <c r="AF77" s="11">
        <f t="shared" ca="1" si="28"/>
        <v>12</v>
      </c>
      <c r="AG77" s="791">
        <f t="shared" ca="1" si="32"/>
        <v>0.5</v>
      </c>
      <c r="AH77" s="11">
        <f t="shared" ca="1" si="29"/>
        <v>1</v>
      </c>
      <c r="AI77" s="11"/>
    </row>
    <row r="78" spans="1:35">
      <c r="A78" s="710">
        <v>46195.541666666664</v>
      </c>
      <c r="C78" s="710">
        <f t="shared" ca="1" si="33"/>
        <v>46195.791666666664</v>
      </c>
      <c r="D78" s="710"/>
      <c r="E78" s="710"/>
      <c r="P78" s="11">
        <v>76</v>
      </c>
      <c r="Q78" s="11" t="s">
        <v>170</v>
      </c>
      <c r="R78" s="11">
        <f t="shared" ca="1" si="22"/>
        <v>9</v>
      </c>
      <c r="S78" s="791">
        <f t="shared" ca="1" si="22"/>
        <v>0.375</v>
      </c>
      <c r="T78" s="11">
        <f t="shared" ca="1" si="23"/>
        <v>0</v>
      </c>
      <c r="U78" s="11">
        <f t="shared" ca="1" si="24"/>
        <v>13</v>
      </c>
      <c r="V78" s="791">
        <f t="shared" ca="1" si="25"/>
        <v>0.54166666666666663</v>
      </c>
      <c r="W78" s="11">
        <f t="shared" ca="1" si="27"/>
        <v>1</v>
      </c>
      <c r="X78" s="11"/>
      <c r="AA78" s="11">
        <v>76</v>
      </c>
      <c r="AB78" s="11" t="s">
        <v>170</v>
      </c>
      <c r="AC78" s="11">
        <v>9</v>
      </c>
      <c r="AD78" s="791">
        <f t="shared" si="31"/>
        <v>0.375</v>
      </c>
      <c r="AE78" s="11">
        <v>0</v>
      </c>
      <c r="AF78" s="11">
        <f t="shared" ca="1" si="28"/>
        <v>13</v>
      </c>
      <c r="AG78" s="791">
        <f t="shared" ca="1" si="32"/>
        <v>0.54166666666666663</v>
      </c>
      <c r="AH78" s="11">
        <f t="shared" ca="1" si="29"/>
        <v>1</v>
      </c>
      <c r="AI78" s="11"/>
    </row>
    <row r="79" spans="1:35">
      <c r="A79" s="710">
        <v>46195.958333333336</v>
      </c>
      <c r="C79" s="710">
        <f t="shared" ca="1" si="33"/>
        <v>46196.208333333336</v>
      </c>
      <c r="D79" s="710"/>
      <c r="E79" s="710"/>
      <c r="P79" s="11">
        <v>77</v>
      </c>
      <c r="Q79" s="11" t="s">
        <v>360</v>
      </c>
      <c r="R79" s="11">
        <f t="shared" ca="1" si="22"/>
        <v>9.5</v>
      </c>
      <c r="S79" s="791">
        <f t="shared" ca="1" si="22"/>
        <v>0.39583333333333331</v>
      </c>
      <c r="T79" s="11">
        <f t="shared" ca="1" si="23"/>
        <v>0</v>
      </c>
      <c r="U79" s="11">
        <f t="shared" ca="1" si="24"/>
        <v>13.5</v>
      </c>
      <c r="V79" s="791">
        <f t="shared" ca="1" si="25"/>
        <v>0.5625</v>
      </c>
      <c r="W79" s="11">
        <f t="shared" ca="1" si="27"/>
        <v>1</v>
      </c>
      <c r="X79" s="11"/>
      <c r="AA79" s="11">
        <v>77</v>
      </c>
      <c r="AB79" s="11" t="s">
        <v>360</v>
      </c>
      <c r="AC79" s="11">
        <v>9.5</v>
      </c>
      <c r="AD79" s="791">
        <f t="shared" si="31"/>
        <v>0.39583333333333331</v>
      </c>
      <c r="AE79" s="11">
        <v>0</v>
      </c>
      <c r="AF79" s="11">
        <f t="shared" ca="1" si="28"/>
        <v>13.5</v>
      </c>
      <c r="AG79" s="791">
        <f t="shared" ca="1" si="32"/>
        <v>0.5625</v>
      </c>
      <c r="AH79" s="11">
        <f t="shared" ca="1" si="29"/>
        <v>1</v>
      </c>
      <c r="AI79" s="11"/>
    </row>
    <row r="80" spans="1:35">
      <c r="A80" s="710">
        <v>46200.916666666664</v>
      </c>
      <c r="C80" s="710">
        <f t="shared" ca="1" si="33"/>
        <v>46201.166666666664</v>
      </c>
      <c r="D80" s="710"/>
      <c r="E80" s="710"/>
      <c r="P80" s="11">
        <v>78</v>
      </c>
      <c r="Q80" s="11" t="s">
        <v>171</v>
      </c>
      <c r="R80" s="11">
        <f t="shared" ca="1" si="22"/>
        <v>10</v>
      </c>
      <c r="S80" s="791">
        <f t="shared" ca="1" si="22"/>
        <v>0.41666666666666669</v>
      </c>
      <c r="T80" s="11">
        <f t="shared" ca="1" si="23"/>
        <v>0</v>
      </c>
      <c r="U80" s="11">
        <f t="shared" ca="1" si="24"/>
        <v>14</v>
      </c>
      <c r="V80" s="791">
        <f t="shared" ca="1" si="25"/>
        <v>0.58333333333333337</v>
      </c>
      <c r="W80" s="11">
        <f t="shared" ca="1" si="27"/>
        <v>1</v>
      </c>
      <c r="X80" s="11"/>
      <c r="AA80" s="11">
        <v>78</v>
      </c>
      <c r="AB80" s="11" t="s">
        <v>171</v>
      </c>
      <c r="AC80" s="11">
        <v>10</v>
      </c>
      <c r="AD80" s="791">
        <f t="shared" si="31"/>
        <v>0.41666666666666669</v>
      </c>
      <c r="AE80" s="11">
        <v>0</v>
      </c>
      <c r="AF80" s="11">
        <f t="shared" ca="1" si="28"/>
        <v>14</v>
      </c>
      <c r="AG80" s="791">
        <f t="shared" ca="1" si="32"/>
        <v>0.58333333333333337</v>
      </c>
      <c r="AH80" s="11">
        <f t="shared" ca="1" si="29"/>
        <v>1</v>
      </c>
      <c r="AI80" s="11"/>
    </row>
    <row r="81" spans="1:35">
      <c r="A81" s="710">
        <v>46200.916666666664</v>
      </c>
      <c r="C81" s="710">
        <f t="shared" ca="1" si="33"/>
        <v>46201.166666666664</v>
      </c>
      <c r="D81" s="710"/>
      <c r="E81" s="710"/>
      <c r="P81" s="11">
        <v>79</v>
      </c>
      <c r="Q81" s="11" t="s">
        <v>361</v>
      </c>
      <c r="R81" s="11">
        <f t="shared" ca="1" si="22"/>
        <v>10.5</v>
      </c>
      <c r="S81" s="791">
        <f t="shared" ca="1" si="22"/>
        <v>0.4375</v>
      </c>
      <c r="T81" s="11">
        <f t="shared" ca="1" si="23"/>
        <v>0</v>
      </c>
      <c r="U81" s="11">
        <f t="shared" ca="1" si="24"/>
        <v>14.5</v>
      </c>
      <c r="V81" s="791">
        <f t="shared" ca="1" si="25"/>
        <v>0.60416666666666663</v>
      </c>
      <c r="W81" s="11">
        <f t="shared" ca="1" si="27"/>
        <v>1</v>
      </c>
      <c r="X81" s="11"/>
      <c r="AA81" s="11">
        <v>79</v>
      </c>
      <c r="AB81" s="11" t="s">
        <v>361</v>
      </c>
      <c r="AC81" s="11">
        <v>10.5</v>
      </c>
      <c r="AD81" s="791">
        <f t="shared" si="31"/>
        <v>0.4375</v>
      </c>
      <c r="AE81" s="11">
        <v>0</v>
      </c>
      <c r="AF81" s="11">
        <f t="shared" ca="1" si="28"/>
        <v>14.5</v>
      </c>
      <c r="AG81" s="791">
        <f t="shared" ca="1" si="32"/>
        <v>0.60416666666666663</v>
      </c>
      <c r="AH81" s="11">
        <f t="shared" ca="1" si="29"/>
        <v>1</v>
      </c>
      <c r="AI81" s="11"/>
    </row>
    <row r="82" spans="1:35">
      <c r="C82" s="710"/>
      <c r="E82" s="710"/>
      <c r="P82" s="11">
        <v>80</v>
      </c>
      <c r="Q82" s="11" t="s">
        <v>172</v>
      </c>
      <c r="R82" s="11">
        <f t="shared" ca="1" si="22"/>
        <v>11</v>
      </c>
      <c r="S82" s="791">
        <f t="shared" ca="1" si="22"/>
        <v>0.45833333333333331</v>
      </c>
      <c r="T82" s="11">
        <f t="shared" ca="1" si="23"/>
        <v>0</v>
      </c>
      <c r="U82" s="11">
        <f t="shared" ca="1" si="24"/>
        <v>15</v>
      </c>
      <c r="V82" s="791">
        <f t="shared" ca="1" si="25"/>
        <v>0.625</v>
      </c>
      <c r="W82" s="11">
        <f t="shared" ca="1" si="27"/>
        <v>1</v>
      </c>
      <c r="X82" s="11"/>
      <c r="AA82" s="11">
        <v>80</v>
      </c>
      <c r="AB82" s="11" t="s">
        <v>172</v>
      </c>
      <c r="AC82" s="11">
        <v>11</v>
      </c>
      <c r="AD82" s="791">
        <f t="shared" si="31"/>
        <v>0.45833333333333331</v>
      </c>
      <c r="AE82" s="11">
        <v>0</v>
      </c>
      <c r="AF82" s="11">
        <f t="shared" ca="1" si="28"/>
        <v>15</v>
      </c>
      <c r="AG82" s="791">
        <f t="shared" ca="1" si="32"/>
        <v>0.625</v>
      </c>
      <c r="AH82" s="11">
        <f t="shared" ca="1" si="29"/>
        <v>1</v>
      </c>
      <c r="AI82" s="11"/>
    </row>
    <row r="83" spans="1:35">
      <c r="A83" s="5" t="s">
        <v>488</v>
      </c>
      <c r="C83" s="710"/>
      <c r="E83" s="710"/>
      <c r="P83" s="11">
        <v>81</v>
      </c>
      <c r="Q83" s="11" t="s">
        <v>173</v>
      </c>
      <c r="R83" s="11">
        <f t="shared" ca="1" si="22"/>
        <v>12</v>
      </c>
      <c r="S83" s="791">
        <f t="shared" ca="1" si="22"/>
        <v>0.5</v>
      </c>
      <c r="T83" s="11">
        <f t="shared" ca="1" si="23"/>
        <v>0</v>
      </c>
      <c r="U83" s="11">
        <f t="shared" ca="1" si="24"/>
        <v>16</v>
      </c>
      <c r="V83" s="791">
        <f t="shared" ca="1" si="25"/>
        <v>0.66666666666666663</v>
      </c>
      <c r="W83" s="11">
        <f t="shared" ca="1" si="27"/>
        <v>1</v>
      </c>
      <c r="X83" s="11"/>
      <c r="AA83" s="11">
        <v>81</v>
      </c>
      <c r="AB83" s="11" t="s">
        <v>173</v>
      </c>
      <c r="AC83" s="11">
        <v>12</v>
      </c>
      <c r="AD83" s="791">
        <f t="shared" si="31"/>
        <v>0.5</v>
      </c>
      <c r="AE83" s="11">
        <v>0</v>
      </c>
      <c r="AF83" s="11">
        <f t="shared" ca="1" si="28"/>
        <v>16</v>
      </c>
      <c r="AG83" s="791">
        <f t="shared" ca="1" si="32"/>
        <v>0.66666666666666663</v>
      </c>
      <c r="AH83" s="11">
        <f t="shared" ca="1" si="29"/>
        <v>1</v>
      </c>
      <c r="AI83" s="11"/>
    </row>
    <row r="84" spans="1:35">
      <c r="A84" s="710">
        <v>46190.541666666664</v>
      </c>
      <c r="C84" s="710">
        <f t="shared" ref="C84:C89" ca="1" si="34">A84+INDEX($V$3:$V$86,MATCH($C$3,$P$3:$P$86,0))*INDEX($W$3:$W$86,MATCH($C$3,$P$3:$P$86,0))</f>
        <v>46190.791666666664</v>
      </c>
      <c r="D84" s="710"/>
      <c r="E84" s="710"/>
      <c r="P84" s="11">
        <v>82</v>
      </c>
      <c r="Q84" s="11" t="s">
        <v>362</v>
      </c>
      <c r="R84" s="11">
        <f t="shared" ca="1" si="22"/>
        <v>12.75</v>
      </c>
      <c r="S84" s="791">
        <f t="shared" ca="1" si="22"/>
        <v>0.53125</v>
      </c>
      <c r="T84" s="11">
        <f t="shared" ca="1" si="23"/>
        <v>0</v>
      </c>
      <c r="U84" s="11">
        <f t="shared" ca="1" si="24"/>
        <v>16.75</v>
      </c>
      <c r="V84" s="791">
        <f t="shared" ca="1" si="25"/>
        <v>0.69791666666666663</v>
      </c>
      <c r="W84" s="11">
        <f t="shared" ca="1" si="27"/>
        <v>1</v>
      </c>
      <c r="X84" s="11"/>
      <c r="AA84" s="11">
        <v>82</v>
      </c>
      <c r="AB84" s="11" t="s">
        <v>362</v>
      </c>
      <c r="AC84" s="11">
        <v>12.75</v>
      </c>
      <c r="AD84" s="791">
        <f t="shared" si="31"/>
        <v>0.53125</v>
      </c>
      <c r="AE84" s="11">
        <v>0</v>
      </c>
      <c r="AF84" s="11">
        <f t="shared" ca="1" si="28"/>
        <v>16.75</v>
      </c>
      <c r="AG84" s="791">
        <f t="shared" ca="1" si="32"/>
        <v>0.69791666666666663</v>
      </c>
      <c r="AH84" s="11">
        <f t="shared" ca="1" si="29"/>
        <v>1</v>
      </c>
      <c r="AI84" s="11"/>
    </row>
    <row r="85" spans="1:35">
      <c r="A85" s="710">
        <v>46190.916666666664</v>
      </c>
      <c r="C85" s="710">
        <f t="shared" ca="1" si="34"/>
        <v>46191.166666666664</v>
      </c>
      <c r="D85" s="710"/>
      <c r="E85" s="710"/>
      <c r="P85" s="11">
        <v>83</v>
      </c>
      <c r="Q85" s="11" t="s">
        <v>363</v>
      </c>
      <c r="R85" s="11">
        <f t="shared" ca="1" si="22"/>
        <v>13</v>
      </c>
      <c r="S85" s="791">
        <f t="shared" ca="1" si="22"/>
        <v>0.54166666666666663</v>
      </c>
      <c r="T85" s="11">
        <f t="shared" ca="1" si="23"/>
        <v>0</v>
      </c>
      <c r="U85" s="11">
        <f t="shared" ca="1" si="24"/>
        <v>17</v>
      </c>
      <c r="V85" s="791">
        <f t="shared" ca="1" si="25"/>
        <v>0.70833333333333337</v>
      </c>
      <c r="W85" s="11">
        <f t="shared" ca="1" si="27"/>
        <v>1</v>
      </c>
      <c r="X85" s="11"/>
      <c r="AA85" s="11">
        <v>83</v>
      </c>
      <c r="AB85" s="11" t="s">
        <v>363</v>
      </c>
      <c r="AC85" s="11">
        <v>13</v>
      </c>
      <c r="AD85" s="791">
        <f t="shared" si="31"/>
        <v>0.54166666666666663</v>
      </c>
      <c r="AE85" s="11">
        <v>0</v>
      </c>
      <c r="AF85" s="11">
        <f t="shared" ca="1" si="28"/>
        <v>17</v>
      </c>
      <c r="AG85" s="791">
        <f t="shared" ca="1" si="32"/>
        <v>0.70833333333333337</v>
      </c>
      <c r="AH85" s="11">
        <f t="shared" ca="1" si="29"/>
        <v>1</v>
      </c>
      <c r="AI85" s="11"/>
    </row>
    <row r="86" spans="1:35">
      <c r="A86" s="710">
        <v>46196.541666666664</v>
      </c>
      <c r="C86" s="710">
        <f t="shared" ca="1" si="34"/>
        <v>46196.791666666664</v>
      </c>
      <c r="D86" s="710"/>
      <c r="E86" s="710"/>
      <c r="P86" s="11">
        <v>84</v>
      </c>
      <c r="Q86" s="11" t="s">
        <v>364</v>
      </c>
      <c r="R86" s="11">
        <f t="shared" ca="1" si="22"/>
        <v>14</v>
      </c>
      <c r="S86" s="791">
        <f t="shared" ca="1" si="22"/>
        <v>0.58333333333333337</v>
      </c>
      <c r="T86" s="11">
        <f t="shared" ca="1" si="23"/>
        <v>0</v>
      </c>
      <c r="U86" s="11">
        <f t="shared" ca="1" si="24"/>
        <v>18</v>
      </c>
      <c r="V86" s="791">
        <f t="shared" ca="1" si="25"/>
        <v>0.75</v>
      </c>
      <c r="W86" s="11">
        <f t="shared" ca="1" si="27"/>
        <v>1</v>
      </c>
      <c r="X86" s="11"/>
      <c r="AA86" s="11">
        <v>84</v>
      </c>
      <c r="AB86" s="11" t="s">
        <v>364</v>
      </c>
      <c r="AC86" s="11">
        <v>14</v>
      </c>
      <c r="AD86" s="791">
        <f t="shared" si="31"/>
        <v>0.58333333333333337</v>
      </c>
      <c r="AE86" s="11">
        <v>0</v>
      </c>
      <c r="AF86" s="11">
        <f t="shared" ca="1" si="28"/>
        <v>18</v>
      </c>
      <c r="AG86" s="791">
        <f t="shared" ca="1" si="32"/>
        <v>0.75</v>
      </c>
      <c r="AH86" s="11">
        <f t="shared" ca="1" si="29"/>
        <v>1</v>
      </c>
      <c r="AI86" s="11"/>
    </row>
    <row r="87" spans="1:35">
      <c r="A87" s="710">
        <v>46196.916666666664</v>
      </c>
      <c r="C87" s="710">
        <f t="shared" ca="1" si="34"/>
        <v>46197.166666666664</v>
      </c>
    </row>
    <row r="88" spans="1:35">
      <c r="A88" s="710">
        <v>46200.8125</v>
      </c>
      <c r="C88" s="710">
        <f t="shared" ca="1" si="34"/>
        <v>46201.0625</v>
      </c>
    </row>
    <row r="89" spans="1:35">
      <c r="A89" s="710">
        <v>46200.8125</v>
      </c>
      <c r="C89" s="710">
        <f t="shared" ca="1" si="34"/>
        <v>46201.0625</v>
      </c>
    </row>
    <row r="90" spans="1:35">
      <c r="C90" s="710"/>
    </row>
    <row r="91" spans="1:35">
      <c r="A91" s="5" t="s">
        <v>489</v>
      </c>
      <c r="C91" s="710"/>
    </row>
    <row r="92" spans="1:35">
      <c r="A92" s="710">
        <v>46190.666666666664</v>
      </c>
      <c r="C92" s="710">
        <f t="shared" ref="C92:C97" ca="1" si="35">A92+INDEX($V$3:$V$86,MATCH($C$3,$P$3:$P$86,0))*INDEX($W$3:$W$86,MATCH($C$3,$P$3:$P$86,0))</f>
        <v>46190.916666666664</v>
      </c>
    </row>
    <row r="93" spans="1:35">
      <c r="A93" s="710">
        <v>46190.791666666664</v>
      </c>
      <c r="C93" s="710">
        <f t="shared" ca="1" si="35"/>
        <v>46191.041666666664</v>
      </c>
    </row>
    <row r="94" spans="1:35">
      <c r="A94" s="710">
        <v>46196.666666666664</v>
      </c>
      <c r="C94" s="710">
        <f t="shared" ca="1" si="35"/>
        <v>46196.916666666664</v>
      </c>
    </row>
    <row r="95" spans="1:35">
      <c r="A95" s="710">
        <v>46196.791666666664</v>
      </c>
      <c r="C95" s="710">
        <f t="shared" ca="1" si="35"/>
        <v>46197.041666666664</v>
      </c>
    </row>
    <row r="96" spans="1:35">
      <c r="A96" s="710">
        <v>46200.708333333336</v>
      </c>
      <c r="C96" s="710">
        <f t="shared" ca="1" si="35"/>
        <v>46200.958333333336</v>
      </c>
    </row>
    <row r="97" spans="1:3">
      <c r="A97" s="710">
        <v>46200.708333333336</v>
      </c>
      <c r="C97" s="710">
        <f t="shared" ca="1" si="35"/>
        <v>46200.958333333336</v>
      </c>
    </row>
    <row r="100" spans="1:3">
      <c r="A100" s="716" t="s">
        <v>490</v>
      </c>
      <c r="C100" s="710"/>
    </row>
    <row r="101" spans="1:3">
      <c r="A101" s="710">
        <v>46201.625</v>
      </c>
      <c r="C101" s="710">
        <f t="shared" ref="C101:C116" ca="1" si="36">A101+INDEX($V$3:$V$86,MATCH($C$3,$P$3:$P$86,0))*INDEX($W$3:$W$86,MATCH($C$3,$P$3:$P$86,0))</f>
        <v>46201.875</v>
      </c>
    </row>
    <row r="102" spans="1:3">
      <c r="A102" s="710">
        <v>46202.541666666664</v>
      </c>
      <c r="C102" s="710">
        <f t="shared" ca="1" si="36"/>
        <v>46202.791666666664</v>
      </c>
    </row>
    <row r="103" spans="1:3">
      <c r="A103" s="710">
        <v>46202.6875</v>
      </c>
      <c r="C103" s="710">
        <f t="shared" ca="1" si="36"/>
        <v>46202.9375</v>
      </c>
    </row>
    <row r="104" spans="1:3">
      <c r="A104" s="710">
        <v>46202.875</v>
      </c>
      <c r="C104" s="710">
        <f t="shared" ca="1" si="36"/>
        <v>46203.125</v>
      </c>
    </row>
    <row r="105" spans="1:3">
      <c r="A105" s="710">
        <v>46203.541666666664</v>
      </c>
      <c r="C105" s="710">
        <f t="shared" ca="1" si="36"/>
        <v>46203.791666666664</v>
      </c>
    </row>
    <row r="106" spans="1:3">
      <c r="A106" s="710">
        <v>46203.708333333336</v>
      </c>
      <c r="C106" s="710">
        <f t="shared" ca="1" si="36"/>
        <v>46203.958333333336</v>
      </c>
    </row>
    <row r="107" spans="1:3">
      <c r="A107" s="710">
        <v>46203.875</v>
      </c>
      <c r="C107" s="710">
        <f t="shared" ca="1" si="36"/>
        <v>46204.125</v>
      </c>
    </row>
    <row r="108" spans="1:3">
      <c r="A108" s="710">
        <v>46204.5</v>
      </c>
      <c r="C108" s="710">
        <f t="shared" ca="1" si="36"/>
        <v>46204.75</v>
      </c>
    </row>
    <row r="109" spans="1:3">
      <c r="A109" s="710">
        <v>46204.666666666664</v>
      </c>
      <c r="C109" s="710">
        <f t="shared" ca="1" si="36"/>
        <v>46204.916666666664</v>
      </c>
    </row>
    <row r="110" spans="1:3">
      <c r="A110" s="710">
        <v>46204.833333333336</v>
      </c>
      <c r="C110" s="710">
        <f t="shared" ca="1" si="36"/>
        <v>46205.083333333336</v>
      </c>
    </row>
    <row r="111" spans="1:3">
      <c r="A111" s="710">
        <v>46205.625</v>
      </c>
      <c r="C111" s="710">
        <f t="shared" ca="1" si="36"/>
        <v>46205.875</v>
      </c>
    </row>
    <row r="112" spans="1:3">
      <c r="A112" s="710">
        <v>46205.791666666664</v>
      </c>
      <c r="C112" s="710">
        <f t="shared" ca="1" si="36"/>
        <v>46206.041666666664</v>
      </c>
    </row>
    <row r="113" spans="1:3">
      <c r="A113" s="710">
        <v>46205.958333333336</v>
      </c>
      <c r="C113" s="710">
        <f t="shared" ca="1" si="36"/>
        <v>46206.208333333336</v>
      </c>
    </row>
    <row r="114" spans="1:3">
      <c r="A114" s="710">
        <v>46206.583333333336</v>
      </c>
      <c r="C114" s="710">
        <f t="shared" ca="1" si="36"/>
        <v>46206.833333333336</v>
      </c>
    </row>
    <row r="115" spans="1:3">
      <c r="A115" s="710">
        <v>46206.75</v>
      </c>
      <c r="C115" s="710">
        <f t="shared" ca="1" si="36"/>
        <v>46207</v>
      </c>
    </row>
    <row r="116" spans="1:3">
      <c r="A116" s="710">
        <v>46206.895833333336</v>
      </c>
      <c r="C116" s="710">
        <f t="shared" ca="1" si="36"/>
        <v>46207.145833333336</v>
      </c>
    </row>
    <row r="117" spans="1:3">
      <c r="C117" s="710"/>
    </row>
    <row r="118" spans="1:3">
      <c r="C118" s="710"/>
    </row>
    <row r="119" spans="1:3">
      <c r="A119" s="716" t="s">
        <v>718</v>
      </c>
    </row>
    <row r="120" spans="1:3">
      <c r="A120" s="710">
        <v>46207.541666666664</v>
      </c>
      <c r="C120" s="710">
        <f t="shared" ref="C120:C127" ca="1" si="37">A120+INDEX($V$3:$V$86,MATCH($C$3,$P$3:$P$86,0))*INDEX($W$3:$W$86,MATCH($C$3,$P$3:$P$86,0))</f>
        <v>46207.791666666664</v>
      </c>
    </row>
    <row r="121" spans="1:3">
      <c r="A121" s="710">
        <v>46207.708333333336</v>
      </c>
      <c r="C121" s="710">
        <f t="shared" ca="1" si="37"/>
        <v>46207.958333333336</v>
      </c>
    </row>
    <row r="122" spans="1:3">
      <c r="A122" s="710">
        <v>46208.666666666664</v>
      </c>
      <c r="C122" s="710">
        <f t="shared" ca="1" si="37"/>
        <v>46208.916666666664</v>
      </c>
    </row>
    <row r="123" spans="1:3">
      <c r="A123" s="710">
        <v>46208.833333333336</v>
      </c>
      <c r="C123" s="710">
        <f t="shared" ca="1" si="37"/>
        <v>46209.083333333336</v>
      </c>
    </row>
    <row r="124" spans="1:3">
      <c r="A124" s="710">
        <v>46209.625</v>
      </c>
      <c r="C124" s="710">
        <f t="shared" ca="1" si="37"/>
        <v>46209.875</v>
      </c>
    </row>
    <row r="125" spans="1:3">
      <c r="A125" s="710">
        <v>46209.833333333336</v>
      </c>
      <c r="C125" s="710">
        <f t="shared" ca="1" si="37"/>
        <v>46210.083333333336</v>
      </c>
    </row>
    <row r="126" spans="1:3">
      <c r="A126" s="710">
        <v>46210.5</v>
      </c>
      <c r="C126" s="710">
        <f t="shared" ca="1" si="37"/>
        <v>46210.75</v>
      </c>
    </row>
    <row r="127" spans="1:3">
      <c r="A127" s="710">
        <v>46210.666666666664</v>
      </c>
      <c r="C127" s="710">
        <f t="shared" ca="1" si="37"/>
        <v>46210.916666666664</v>
      </c>
    </row>
    <row r="130" spans="1:3">
      <c r="A130" s="716" t="s">
        <v>95</v>
      </c>
      <c r="C130" s="710"/>
    </row>
    <row r="131" spans="1:3">
      <c r="A131" s="710">
        <v>46212.666666666664</v>
      </c>
      <c r="C131" s="710">
        <f ca="1">A131+INDEX($V$3:$V$86,MATCH($C$3,$P$3:$P$86,0))*INDEX($W$3:$W$86,MATCH($C$3,$P$3:$P$86,0))</f>
        <v>46212.916666666664</v>
      </c>
    </row>
    <row r="132" spans="1:3">
      <c r="A132" s="710">
        <v>46213.625</v>
      </c>
      <c r="C132" s="710">
        <f ca="1">A132+INDEX($V$3:$V$86,MATCH($C$3,$P$3:$P$86,0))*INDEX($W$3:$W$86,MATCH($C$3,$P$3:$P$86,0))</f>
        <v>46213.875</v>
      </c>
    </row>
    <row r="133" spans="1:3">
      <c r="A133" s="710">
        <v>46214.708333333336</v>
      </c>
      <c r="C133" s="710">
        <f ca="1">A133+INDEX($V$3:$V$86,MATCH($C$3,$P$3:$P$86,0))*INDEX($W$3:$W$86,MATCH($C$3,$P$3:$P$86,0))</f>
        <v>46214.958333333336</v>
      </c>
    </row>
    <row r="134" spans="1:3">
      <c r="A134" s="710">
        <v>46214.875</v>
      </c>
      <c r="C134" s="710">
        <f ca="1">A134+INDEX($V$3:$V$86,MATCH($C$3,$P$3:$P$86,0))*INDEX($W$3:$W$86,MATCH($C$3,$P$3:$P$86,0))</f>
        <v>46215.125</v>
      </c>
    </row>
    <row r="135" spans="1:3">
      <c r="C135" s="710"/>
    </row>
    <row r="137" spans="1:3">
      <c r="A137" s="717" t="s">
        <v>41</v>
      </c>
      <c r="C137" s="710"/>
    </row>
    <row r="138" spans="1:3">
      <c r="A138" s="710">
        <v>46217.625</v>
      </c>
      <c r="C138" s="710">
        <f ca="1">A138+INDEX($V$3:$V$86,MATCH($C$3,$P$3:$P$86,0))*INDEX($W$3:$W$86,MATCH($C$3,$P$3:$P$86,0))</f>
        <v>46217.875</v>
      </c>
    </row>
    <row r="139" spans="1:3">
      <c r="A139" s="710">
        <v>46218.625</v>
      </c>
      <c r="C139" s="710">
        <f ca="1">A139+INDEX($V$3:$V$86,MATCH($C$3,$P$3:$P$86,0))*INDEX($W$3:$W$86,MATCH($C$3,$P$3:$P$86,0))</f>
        <v>46218.875</v>
      </c>
    </row>
    <row r="140" spans="1:3">
      <c r="C140" s="710"/>
    </row>
    <row r="142" spans="1:3">
      <c r="A142" s="718" t="s">
        <v>493</v>
      </c>
    </row>
    <row r="143" spans="1:3">
      <c r="A143" s="710">
        <v>46221.708333333336</v>
      </c>
      <c r="C143" s="710">
        <f ca="1">A143+INDEX($V$3:$V$86,MATCH($C$3,$P$3:$P$86,0))*INDEX($W$3:$W$86,MATCH($C$3,$P$3:$P$86,0))</f>
        <v>46221.958333333336</v>
      </c>
    </row>
    <row r="146" spans="1:3">
      <c r="A146" s="719" t="s">
        <v>4</v>
      </c>
      <c r="C146" s="710"/>
    </row>
    <row r="147" spans="1:3">
      <c r="A147" s="710">
        <v>46222.625</v>
      </c>
      <c r="C147" s="710">
        <f ca="1">A147+INDEX($V$3:$V$86,MATCH($C$3,$P$3:$P$86,0))*INDEX($W$3:$W$86,MATCH($C$3,$P$3:$P$86,0))</f>
        <v>46222.875</v>
      </c>
    </row>
  </sheetData>
  <sheetProtection algorithmName="SHA-512" hashValue="qU6q+kkiT+u97Pgi3+qSBpxB+ZD3EkG7WGtoI+mTPjZC1SKXKb9xmoP04c+Azvkpop4oOnFSJTE4s9j6ZuikZw==" saltValue="NX1uMSmJH4iwPk1RdcBbRg==" spinCount="100000" sheet="1" objects="1" scenarios="1" selectLockedCells="1" selectUnlockedCells="1"/>
  <conditionalFormatting sqref="F4:F27">
    <cfRule type="duplicateValues" dxfId="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AEED-C686-484C-B9DD-266178AE1404}">
  <sheetPr codeName="Hoja12"/>
  <dimension ref="A1:W497"/>
  <sheetViews>
    <sheetView showGridLines="0" showRowColHeaders="0" topLeftCell="IA1484" workbookViewId="0">
      <selection activeCell="IA1484" sqref="IA1484"/>
    </sheetView>
  </sheetViews>
  <sheetFormatPr defaultColWidth="10.7109375" defaultRowHeight="15"/>
  <cols>
    <col min="1" max="1" width="9.42578125" style="9" bestFit="1" customWidth="1"/>
    <col min="2" max="2" width="6" style="9" bestFit="1" customWidth="1"/>
    <col min="3" max="13" width="10.7109375" style="9"/>
    <col min="14" max="14" width="9.42578125" style="9" bestFit="1" customWidth="1"/>
    <col min="15" max="15" width="6.42578125" style="9" bestFit="1" customWidth="1"/>
    <col min="16" max="16384" width="10.7109375" style="9"/>
  </cols>
  <sheetData>
    <row r="1" spans="1:23">
      <c r="A1" s="11" t="s">
        <v>83</v>
      </c>
      <c r="B1" s="11" t="s">
        <v>84</v>
      </c>
      <c r="C1" s="11" t="s">
        <v>0</v>
      </c>
      <c r="D1" s="11" t="s">
        <v>1</v>
      </c>
      <c r="E1" s="11" t="s">
        <v>73</v>
      </c>
      <c r="F1" s="11" t="s">
        <v>3</v>
      </c>
      <c r="G1" s="11" t="s">
        <v>6</v>
      </c>
      <c r="H1" s="11" t="s">
        <v>438</v>
      </c>
      <c r="I1" s="11" t="s">
        <v>439</v>
      </c>
      <c r="J1" s="11" t="s">
        <v>238</v>
      </c>
      <c r="N1" s="11" t="s">
        <v>764</v>
      </c>
      <c r="O1" s="11" t="s">
        <v>1365</v>
      </c>
      <c r="P1" s="11" t="s">
        <v>645</v>
      </c>
      <c r="Q1" s="11" t="s">
        <v>648</v>
      </c>
      <c r="R1" s="11" t="s">
        <v>658</v>
      </c>
      <c r="S1" s="11" t="s">
        <v>661</v>
      </c>
      <c r="T1" s="11" t="s">
        <v>667</v>
      </c>
      <c r="U1" s="11" t="s">
        <v>673</v>
      </c>
      <c r="V1" s="11" t="s">
        <v>679</v>
      </c>
      <c r="W1" s="11" t="s">
        <v>682</v>
      </c>
    </row>
    <row r="2" spans="1:23">
      <c r="A2" s="11" t="s">
        <v>479</v>
      </c>
      <c r="B2" s="11">
        <f ca="1">+IF(A2=WORLDCUP!$BI$112,1,0)</f>
        <v>0</v>
      </c>
      <c r="C2" s="11" t="str">
        <f ca="1">+WORLDCUP!BD62</f>
        <v>Ecuador</v>
      </c>
      <c r="D2" s="11" t="str">
        <f ca="1">+WORLDCUP!BD67</f>
        <v>Algeria</v>
      </c>
      <c r="E2" s="11" t="str">
        <f ca="1">+WORLDCUP!BD66</f>
        <v>Senegal</v>
      </c>
      <c r="F2" s="11" t="str">
        <f ca="1">+WORLDCUP!BD63</f>
        <v>Sweden</v>
      </c>
      <c r="G2" s="11" t="str">
        <f ca="1">+WORLDCUP!BD65</f>
        <v>Uruguay</v>
      </c>
      <c r="H2" s="11" t="str">
        <f ca="1">+WORLDCUP!BD64</f>
        <v>Iran</v>
      </c>
      <c r="I2" s="11" t="str">
        <f ca="1">+WORLDCUP!BD69</f>
        <v>Ghana</v>
      </c>
      <c r="J2" s="11" t="str">
        <f ca="1">+WORLDCUP!BD68</f>
        <v>DR Congo</v>
      </c>
      <c r="N2" s="11" t="s">
        <v>479</v>
      </c>
      <c r="O2" s="11">
        <v>1</v>
      </c>
      <c r="P2" s="11" t="s">
        <v>93</v>
      </c>
      <c r="Q2" s="11" t="s">
        <v>441</v>
      </c>
      <c r="R2" s="11" t="s">
        <v>440</v>
      </c>
      <c r="S2" s="11" t="s">
        <v>94</v>
      </c>
      <c r="T2" s="11" t="s">
        <v>436</v>
      </c>
      <c r="U2" s="11" t="s">
        <v>435</v>
      </c>
      <c r="V2" s="11" t="s">
        <v>443</v>
      </c>
      <c r="W2" s="11" t="s">
        <v>442</v>
      </c>
    </row>
    <row r="3" spans="1:23">
      <c r="A3" s="11" t="s">
        <v>611</v>
      </c>
      <c r="B3" s="11">
        <f ca="1">+IF(A3=WORLDCUP!$BI$112,1,0)</f>
        <v>0</v>
      </c>
      <c r="C3" s="11" t="str">
        <f ca="1">+WORLDCUP!BD65</f>
        <v>Uruguay</v>
      </c>
      <c r="D3" s="11" t="str">
        <f ca="1">+WORLDCUP!BD64</f>
        <v>Iran</v>
      </c>
      <c r="E3" s="11" t="str">
        <f ca="1">+WORLDCUP!BD66</f>
        <v>Senegal</v>
      </c>
      <c r="F3" s="11" t="str">
        <f ca="1">+WORLDCUP!BD61</f>
        <v>Paraguay</v>
      </c>
      <c r="G3" s="11" t="str">
        <f ca="1">+WORLDCUP!BD67</f>
        <v>Algeria</v>
      </c>
      <c r="H3" s="11" t="str">
        <f ca="1">+WORLDCUP!BD63</f>
        <v>Sweden</v>
      </c>
      <c r="I3" s="11" t="str">
        <f ca="1">+WORLDCUP!BD69</f>
        <v>Ghana</v>
      </c>
      <c r="J3" s="11" t="str">
        <f ca="1">+WORLDCUP!BD68</f>
        <v>DR Congo</v>
      </c>
      <c r="N3" s="11" t="s">
        <v>611</v>
      </c>
      <c r="O3" s="11">
        <v>2</v>
      </c>
      <c r="P3" s="11" t="s">
        <v>436</v>
      </c>
      <c r="Q3" s="11" t="s">
        <v>435</v>
      </c>
      <c r="R3" s="11" t="s">
        <v>440</v>
      </c>
      <c r="S3" s="11" t="s">
        <v>92</v>
      </c>
      <c r="T3" s="11" t="s">
        <v>441</v>
      </c>
      <c r="U3" s="11" t="s">
        <v>94</v>
      </c>
      <c r="V3" s="11" t="s">
        <v>443</v>
      </c>
      <c r="W3" s="11" t="s">
        <v>442</v>
      </c>
    </row>
    <row r="4" spans="1:23">
      <c r="A4" s="11" t="s">
        <v>1190</v>
      </c>
      <c r="B4" s="11">
        <f ca="1">+IF(A4=WORLDCUP!$BI$112,1,0)</f>
        <v>0</v>
      </c>
      <c r="C4" s="11" t="str">
        <f ca="1">+WORLDCUP!BD62</f>
        <v>Ecuador</v>
      </c>
      <c r="D4" s="11" t="str">
        <f ca="1">+WORLDCUP!BD67</f>
        <v>Algeria</v>
      </c>
      <c r="E4" s="11" t="str">
        <f ca="1">+WORLDCUP!BD66</f>
        <v>Senegal</v>
      </c>
      <c r="F4" s="11" t="str">
        <f ca="1">+WORLDCUP!BD61</f>
        <v>Paraguay</v>
      </c>
      <c r="G4" s="11" t="str">
        <f ca="1">+WORLDCUP!BD65</f>
        <v>Uruguay</v>
      </c>
      <c r="H4" s="11" t="str">
        <f ca="1">+WORLDCUP!BD64</f>
        <v>Iran</v>
      </c>
      <c r="I4" s="11" t="str">
        <f ca="1">+WORLDCUP!BD69</f>
        <v>Ghana</v>
      </c>
      <c r="J4" s="11" t="str">
        <f ca="1">+WORLDCUP!BD68</f>
        <v>DR Congo</v>
      </c>
      <c r="N4" s="11" t="s">
        <v>1190</v>
      </c>
      <c r="O4" s="11">
        <v>3</v>
      </c>
      <c r="P4" s="11" t="s">
        <v>93</v>
      </c>
      <c r="Q4" s="11" t="s">
        <v>441</v>
      </c>
      <c r="R4" s="11" t="s">
        <v>440</v>
      </c>
      <c r="S4" s="11" t="s">
        <v>92</v>
      </c>
      <c r="T4" s="11" t="s">
        <v>436</v>
      </c>
      <c r="U4" s="11" t="s">
        <v>435</v>
      </c>
      <c r="V4" s="11" t="s">
        <v>443</v>
      </c>
      <c r="W4" s="11" t="s">
        <v>442</v>
      </c>
    </row>
    <row r="5" spans="1:23">
      <c r="A5" s="11" t="s">
        <v>1189</v>
      </c>
      <c r="B5" s="11">
        <f ca="1">+IF(A5=WORLDCUP!$BI$112,1,0)</f>
        <v>0</v>
      </c>
      <c r="C5" s="11" t="str">
        <f ca="1">+WORLDCUP!BD62</f>
        <v>Ecuador</v>
      </c>
      <c r="D5" s="11" t="str">
        <f ca="1">+WORLDCUP!BD67</f>
        <v>Algeria</v>
      </c>
      <c r="E5" s="11" t="str">
        <f ca="1">+WORLDCUP!BD66</f>
        <v>Senegal</v>
      </c>
      <c r="F5" s="11" t="str">
        <f ca="1">+WORLDCUP!BD61</f>
        <v>Paraguay</v>
      </c>
      <c r="G5" s="11" t="str">
        <f ca="1">+WORLDCUP!BD65</f>
        <v>Uruguay</v>
      </c>
      <c r="H5" s="11" t="str">
        <f ca="1">+WORLDCUP!BD63</f>
        <v>Sweden</v>
      </c>
      <c r="I5" s="11" t="str">
        <f ca="1">+WORLDCUP!BD69</f>
        <v>Ghana</v>
      </c>
      <c r="J5" s="11" t="str">
        <f ca="1">+WORLDCUP!BD68</f>
        <v>DR Congo</v>
      </c>
      <c r="N5" s="11" t="s">
        <v>1189</v>
      </c>
      <c r="O5" s="11">
        <v>4</v>
      </c>
      <c r="P5" s="11" t="s">
        <v>93</v>
      </c>
      <c r="Q5" s="11" t="s">
        <v>441</v>
      </c>
      <c r="R5" s="11" t="s">
        <v>440</v>
      </c>
      <c r="S5" s="11" t="s">
        <v>92</v>
      </c>
      <c r="T5" s="11" t="s">
        <v>436</v>
      </c>
      <c r="U5" s="11" t="s">
        <v>94</v>
      </c>
      <c r="V5" s="11" t="s">
        <v>443</v>
      </c>
      <c r="W5" s="11" t="s">
        <v>442</v>
      </c>
    </row>
    <row r="6" spans="1:23">
      <c r="A6" s="11" t="s">
        <v>1188</v>
      </c>
      <c r="B6" s="11">
        <f ca="1">+IF(A6=WORLDCUP!$BI$112,1,0)</f>
        <v>0</v>
      </c>
      <c r="C6" s="11" t="str">
        <f ca="1">+WORLDCUP!BD62</f>
        <v>Ecuador</v>
      </c>
      <c r="D6" s="11" t="str">
        <f ca="1">+WORLDCUP!BD64</f>
        <v>Iran</v>
      </c>
      <c r="E6" s="11" t="str">
        <f ca="1">+WORLDCUP!BD66</f>
        <v>Senegal</v>
      </c>
      <c r="F6" s="11" t="str">
        <f ca="1">+WORLDCUP!BD61</f>
        <v>Paraguay</v>
      </c>
      <c r="G6" s="11" t="str">
        <f ca="1">+WORLDCUP!BD67</f>
        <v>Algeria</v>
      </c>
      <c r="H6" s="11" t="str">
        <f ca="1">+WORLDCUP!BD63</f>
        <v>Sweden</v>
      </c>
      <c r="I6" s="11" t="str">
        <f ca="1">+WORLDCUP!BD69</f>
        <v>Ghana</v>
      </c>
      <c r="J6" s="11" t="str">
        <f ca="1">+WORLDCUP!BD68</f>
        <v>DR Congo</v>
      </c>
      <c r="N6" s="11" t="s">
        <v>1188</v>
      </c>
      <c r="O6" s="11">
        <v>5</v>
      </c>
      <c r="P6" s="11" t="s">
        <v>93</v>
      </c>
      <c r="Q6" s="11" t="s">
        <v>435</v>
      </c>
      <c r="R6" s="11" t="s">
        <v>440</v>
      </c>
      <c r="S6" s="11" t="s">
        <v>92</v>
      </c>
      <c r="T6" s="11" t="s">
        <v>441</v>
      </c>
      <c r="U6" s="11" t="s">
        <v>94</v>
      </c>
      <c r="V6" s="11" t="s">
        <v>443</v>
      </c>
      <c r="W6" s="11" t="s">
        <v>442</v>
      </c>
    </row>
    <row r="7" spans="1:23">
      <c r="A7" s="11" t="s">
        <v>1187</v>
      </c>
      <c r="B7" s="11">
        <f ca="1">+IF(A7=WORLDCUP!$BI$112,1,0)</f>
        <v>0</v>
      </c>
      <c r="C7" s="11" t="str">
        <f ca="1">+WORLDCUP!BD62</f>
        <v>Ecuador</v>
      </c>
      <c r="D7" s="11" t="str">
        <f ca="1">+WORLDCUP!BD64</f>
        <v>Iran</v>
      </c>
      <c r="E7" s="11" t="str">
        <f ca="1">+WORLDCUP!BD67</f>
        <v>Algeria</v>
      </c>
      <c r="F7" s="11" t="str">
        <f ca="1">+WORLDCUP!BD61</f>
        <v>Paraguay</v>
      </c>
      <c r="G7" s="11" t="str">
        <f ca="1">+WORLDCUP!BD65</f>
        <v>Uruguay</v>
      </c>
      <c r="H7" s="11" t="str">
        <f ca="1">+WORLDCUP!BD63</f>
        <v>Sweden</v>
      </c>
      <c r="I7" s="11" t="str">
        <f ca="1">+WORLDCUP!BD69</f>
        <v>Ghana</v>
      </c>
      <c r="J7" s="11" t="str">
        <f ca="1">+WORLDCUP!BD68</f>
        <v>DR Congo</v>
      </c>
      <c r="N7" s="11" t="s">
        <v>1187</v>
      </c>
      <c r="O7" s="11">
        <v>6</v>
      </c>
      <c r="P7" s="11" t="s">
        <v>93</v>
      </c>
      <c r="Q7" s="11" t="s">
        <v>435</v>
      </c>
      <c r="R7" s="11" t="s">
        <v>441</v>
      </c>
      <c r="S7" s="11" t="s">
        <v>92</v>
      </c>
      <c r="T7" s="11" t="s">
        <v>436</v>
      </c>
      <c r="U7" s="11" t="s">
        <v>94</v>
      </c>
      <c r="V7" s="11" t="s">
        <v>443</v>
      </c>
      <c r="W7" s="11" t="s">
        <v>442</v>
      </c>
    </row>
    <row r="8" spans="1:23">
      <c r="A8" s="11" t="s">
        <v>478</v>
      </c>
      <c r="B8" s="11">
        <f ca="1">+IF(A8=WORLDCUP!$BI$112,1,0)</f>
        <v>0</v>
      </c>
      <c r="C8" s="11" t="str">
        <f ca="1">+WORLDCUP!BD62</f>
        <v>Ecuador</v>
      </c>
      <c r="D8" s="11" t="str">
        <f ca="1">+WORLDCUP!BD64</f>
        <v>Iran</v>
      </c>
      <c r="E8" s="11" t="str">
        <f ca="1">+WORLDCUP!BD66</f>
        <v>Senegal</v>
      </c>
      <c r="F8" s="11" t="str">
        <f ca="1">+WORLDCUP!BD61</f>
        <v>Paraguay</v>
      </c>
      <c r="G8" s="11" t="str">
        <f ca="1">+WORLDCUP!BD65</f>
        <v>Uruguay</v>
      </c>
      <c r="H8" s="11" t="str">
        <f ca="1">+WORLDCUP!BD63</f>
        <v>Sweden</v>
      </c>
      <c r="I8" s="11" t="str">
        <f ca="1">+WORLDCUP!BD69</f>
        <v>Ghana</v>
      </c>
      <c r="J8" s="11" t="str">
        <f ca="1">+WORLDCUP!BD68</f>
        <v>DR Congo</v>
      </c>
      <c r="N8" s="11" t="s">
        <v>478</v>
      </c>
      <c r="O8" s="11">
        <v>7</v>
      </c>
      <c r="P8" s="11" t="s">
        <v>93</v>
      </c>
      <c r="Q8" s="11" t="s">
        <v>435</v>
      </c>
      <c r="R8" s="11" t="s">
        <v>440</v>
      </c>
      <c r="S8" s="11" t="s">
        <v>92</v>
      </c>
      <c r="T8" s="11" t="s">
        <v>436</v>
      </c>
      <c r="U8" s="11" t="s">
        <v>94</v>
      </c>
      <c r="V8" s="11" t="s">
        <v>443</v>
      </c>
      <c r="W8" s="11" t="s">
        <v>442</v>
      </c>
    </row>
    <row r="9" spans="1:23">
      <c r="A9" s="11" t="s">
        <v>477</v>
      </c>
      <c r="B9" s="11">
        <f ca="1">+IF(A9=WORLDCUP!$BI$112,1,0)</f>
        <v>0</v>
      </c>
      <c r="C9" s="11" t="str">
        <f ca="1">+WORLDCUP!BD62</f>
        <v>Ecuador</v>
      </c>
      <c r="D9" s="11" t="str">
        <f ca="1">+WORLDCUP!BD64</f>
        <v>Iran</v>
      </c>
      <c r="E9" s="11" t="str">
        <f ca="1">+WORLDCUP!BD67</f>
        <v>Algeria</v>
      </c>
      <c r="F9" s="11" t="str">
        <f ca="1">+WORLDCUP!BD61</f>
        <v>Paraguay</v>
      </c>
      <c r="G9" s="11" t="str">
        <f ca="1">+WORLDCUP!BD65</f>
        <v>Uruguay</v>
      </c>
      <c r="H9" s="11" t="str">
        <f ca="1">+WORLDCUP!BD63</f>
        <v>Sweden</v>
      </c>
      <c r="I9" s="11" t="str">
        <f ca="1">+WORLDCUP!BD69</f>
        <v>Ghana</v>
      </c>
      <c r="J9" s="11" t="str">
        <f ca="1">+WORLDCUP!BD66</f>
        <v>Senegal</v>
      </c>
      <c r="N9" s="11" t="s">
        <v>477</v>
      </c>
      <c r="O9" s="11">
        <v>8</v>
      </c>
      <c r="P9" s="11" t="s">
        <v>93</v>
      </c>
      <c r="Q9" s="11" t="s">
        <v>435</v>
      </c>
      <c r="R9" s="11" t="s">
        <v>441</v>
      </c>
      <c r="S9" s="11" t="s">
        <v>92</v>
      </c>
      <c r="T9" s="11" t="s">
        <v>436</v>
      </c>
      <c r="U9" s="11" t="s">
        <v>94</v>
      </c>
      <c r="V9" s="11" t="s">
        <v>443</v>
      </c>
      <c r="W9" s="11" t="s">
        <v>440</v>
      </c>
    </row>
    <row r="10" spans="1:23">
      <c r="A10" s="11" t="s">
        <v>476</v>
      </c>
      <c r="B10" s="11">
        <f ca="1">+IF(A10=WORLDCUP!$BI$112,1,0)</f>
        <v>0</v>
      </c>
      <c r="C10" s="11" t="str">
        <f ca="1">+WORLDCUP!BD62</f>
        <v>Ecuador</v>
      </c>
      <c r="D10" s="11" t="str">
        <f ca="1">+WORLDCUP!BD64</f>
        <v>Iran</v>
      </c>
      <c r="E10" s="11" t="str">
        <f ca="1">+WORLDCUP!BD67</f>
        <v>Algeria</v>
      </c>
      <c r="F10" s="11" t="str">
        <f ca="1">+WORLDCUP!BD61</f>
        <v>Paraguay</v>
      </c>
      <c r="G10" s="11" t="str">
        <f ca="1">+WORLDCUP!BD65</f>
        <v>Uruguay</v>
      </c>
      <c r="H10" s="11" t="str">
        <f ca="1">+WORLDCUP!BD63</f>
        <v>Sweden</v>
      </c>
      <c r="I10" s="11" t="str">
        <f ca="1">+WORLDCUP!BD66</f>
        <v>Senegal</v>
      </c>
      <c r="J10" s="11" t="str">
        <f ca="1">+WORLDCUP!BD68</f>
        <v>DR Congo</v>
      </c>
      <c r="N10" s="11" t="s">
        <v>476</v>
      </c>
      <c r="O10" s="11">
        <v>9</v>
      </c>
      <c r="P10" s="11" t="s">
        <v>93</v>
      </c>
      <c r="Q10" s="11" t="s">
        <v>435</v>
      </c>
      <c r="R10" s="11" t="s">
        <v>441</v>
      </c>
      <c r="S10" s="11" t="s">
        <v>92</v>
      </c>
      <c r="T10" s="11" t="s">
        <v>436</v>
      </c>
      <c r="U10" s="11" t="s">
        <v>94</v>
      </c>
      <c r="V10" s="11" t="s">
        <v>440</v>
      </c>
      <c r="W10" s="11" t="s">
        <v>442</v>
      </c>
    </row>
    <row r="11" spans="1:23">
      <c r="A11" s="11" t="s">
        <v>610</v>
      </c>
      <c r="B11" s="11">
        <f ca="1">+IF(A11=WORLDCUP!$BI$112,1,0)</f>
        <v>0</v>
      </c>
      <c r="C11" s="11" t="str">
        <f ca="1">+WORLDCUP!BD65</f>
        <v>Uruguay</v>
      </c>
      <c r="D11" s="11" t="str">
        <f ca="1">+WORLDCUP!BD64</f>
        <v>Iran</v>
      </c>
      <c r="E11" s="11" t="str">
        <f ca="1">+WORLDCUP!BD66</f>
        <v>Senegal</v>
      </c>
      <c r="F11" s="11" t="str">
        <f ca="1">+WORLDCUP!BD60</f>
        <v>Scotland</v>
      </c>
      <c r="G11" s="11" t="str">
        <f ca="1">+WORLDCUP!BD67</f>
        <v>Algeria</v>
      </c>
      <c r="H11" s="11" t="str">
        <f ca="1">+WORLDCUP!BD63</f>
        <v>Sweden</v>
      </c>
      <c r="I11" s="11" t="str">
        <f ca="1">+WORLDCUP!BD69</f>
        <v>Ghana</v>
      </c>
      <c r="J11" s="11" t="str">
        <f ca="1">+WORLDCUP!BD68</f>
        <v>DR Congo</v>
      </c>
      <c r="N11" s="11" t="s">
        <v>610</v>
      </c>
      <c r="O11" s="11">
        <v>10</v>
      </c>
      <c r="P11" s="11" t="s">
        <v>436</v>
      </c>
      <c r="Q11" s="11" t="s">
        <v>435</v>
      </c>
      <c r="R11" s="11" t="s">
        <v>440</v>
      </c>
      <c r="S11" s="11" t="s">
        <v>91</v>
      </c>
      <c r="T11" s="11" t="s">
        <v>441</v>
      </c>
      <c r="U11" s="11" t="s">
        <v>94</v>
      </c>
      <c r="V11" s="11" t="s">
        <v>443</v>
      </c>
      <c r="W11" s="11" t="s">
        <v>442</v>
      </c>
    </row>
    <row r="12" spans="1:23">
      <c r="A12" s="11" t="s">
        <v>1186</v>
      </c>
      <c r="B12" s="11">
        <f ca="1">+IF(A12=WORLDCUP!$BI$112,1,0)</f>
        <v>0</v>
      </c>
      <c r="C12" s="11" t="str">
        <f ca="1">+WORLDCUP!BD62</f>
        <v>Ecuador</v>
      </c>
      <c r="D12" s="11" t="str">
        <f ca="1">+WORLDCUP!BD67</f>
        <v>Algeria</v>
      </c>
      <c r="E12" s="11" t="str">
        <f ca="1">+WORLDCUP!BD66</f>
        <v>Senegal</v>
      </c>
      <c r="F12" s="11" t="str">
        <f ca="1">+WORLDCUP!BD60</f>
        <v>Scotland</v>
      </c>
      <c r="G12" s="11" t="str">
        <f ca="1">+WORLDCUP!BD65</f>
        <v>Uruguay</v>
      </c>
      <c r="H12" s="11" t="str">
        <f ca="1">+WORLDCUP!BD64</f>
        <v>Iran</v>
      </c>
      <c r="I12" s="11" t="str">
        <f ca="1">+WORLDCUP!BD69</f>
        <v>Ghana</v>
      </c>
      <c r="J12" s="11" t="str">
        <f ca="1">+WORLDCUP!BD68</f>
        <v>DR Congo</v>
      </c>
      <c r="N12" s="11" t="s">
        <v>1186</v>
      </c>
      <c r="O12" s="11">
        <v>11</v>
      </c>
      <c r="P12" s="11" t="s">
        <v>93</v>
      </c>
      <c r="Q12" s="11" t="s">
        <v>441</v>
      </c>
      <c r="R12" s="11" t="s">
        <v>440</v>
      </c>
      <c r="S12" s="11" t="s">
        <v>91</v>
      </c>
      <c r="T12" s="11" t="s">
        <v>436</v>
      </c>
      <c r="U12" s="11" t="s">
        <v>435</v>
      </c>
      <c r="V12" s="11" t="s">
        <v>443</v>
      </c>
      <c r="W12" s="11" t="s">
        <v>442</v>
      </c>
    </row>
    <row r="13" spans="1:23">
      <c r="A13" s="11" t="s">
        <v>1185</v>
      </c>
      <c r="B13" s="11">
        <f ca="1">+IF(A13=WORLDCUP!$BI$112,1,0)</f>
        <v>0</v>
      </c>
      <c r="C13" s="11" t="str">
        <f ca="1">+WORLDCUP!BD62</f>
        <v>Ecuador</v>
      </c>
      <c r="D13" s="11" t="str">
        <f ca="1">+WORLDCUP!BD67</f>
        <v>Algeria</v>
      </c>
      <c r="E13" s="11" t="str">
        <f ca="1">+WORLDCUP!BD66</f>
        <v>Senegal</v>
      </c>
      <c r="F13" s="11" t="str">
        <f ca="1">+WORLDCUP!BD60</f>
        <v>Scotland</v>
      </c>
      <c r="G13" s="11" t="str">
        <f ca="1">+WORLDCUP!BD65</f>
        <v>Uruguay</v>
      </c>
      <c r="H13" s="11" t="str">
        <f ca="1">+WORLDCUP!BD63</f>
        <v>Sweden</v>
      </c>
      <c r="I13" s="11" t="str">
        <f ca="1">+WORLDCUP!BD69</f>
        <v>Ghana</v>
      </c>
      <c r="J13" s="11" t="str">
        <f ca="1">+WORLDCUP!BD68</f>
        <v>DR Congo</v>
      </c>
      <c r="N13" s="11" t="s">
        <v>1185</v>
      </c>
      <c r="O13" s="11">
        <v>12</v>
      </c>
      <c r="P13" s="11" t="s">
        <v>93</v>
      </c>
      <c r="Q13" s="11" t="s">
        <v>441</v>
      </c>
      <c r="R13" s="11" t="s">
        <v>440</v>
      </c>
      <c r="S13" s="11" t="s">
        <v>91</v>
      </c>
      <c r="T13" s="11" t="s">
        <v>436</v>
      </c>
      <c r="U13" s="11" t="s">
        <v>94</v>
      </c>
      <c r="V13" s="11" t="s">
        <v>443</v>
      </c>
      <c r="W13" s="11" t="s">
        <v>442</v>
      </c>
    </row>
    <row r="14" spans="1:23">
      <c r="A14" s="11" t="s">
        <v>1184</v>
      </c>
      <c r="B14" s="11">
        <f ca="1">+IF(A14=WORLDCUP!$BI$112,1,0)</f>
        <v>0</v>
      </c>
      <c r="C14" s="11" t="str">
        <f ca="1">+WORLDCUP!BD62</f>
        <v>Ecuador</v>
      </c>
      <c r="D14" s="11" t="str">
        <f ca="1">+WORLDCUP!BD64</f>
        <v>Iran</v>
      </c>
      <c r="E14" s="11" t="str">
        <f ca="1">+WORLDCUP!BD66</f>
        <v>Senegal</v>
      </c>
      <c r="F14" s="11" t="str">
        <f ca="1">+WORLDCUP!BD60</f>
        <v>Scotland</v>
      </c>
      <c r="G14" s="11" t="str">
        <f ca="1">+WORLDCUP!BD67</f>
        <v>Algeria</v>
      </c>
      <c r="H14" s="11" t="str">
        <f ca="1">+WORLDCUP!BD63</f>
        <v>Sweden</v>
      </c>
      <c r="I14" s="11" t="str">
        <f ca="1">+WORLDCUP!BD69</f>
        <v>Ghana</v>
      </c>
      <c r="J14" s="11" t="str">
        <f ca="1">+WORLDCUP!BD68</f>
        <v>DR Congo</v>
      </c>
      <c r="N14" s="11" t="s">
        <v>1184</v>
      </c>
      <c r="O14" s="11">
        <v>13</v>
      </c>
      <c r="P14" s="11" t="s">
        <v>93</v>
      </c>
      <c r="Q14" s="11" t="s">
        <v>435</v>
      </c>
      <c r="R14" s="11" t="s">
        <v>440</v>
      </c>
      <c r="S14" s="11" t="s">
        <v>91</v>
      </c>
      <c r="T14" s="11" t="s">
        <v>441</v>
      </c>
      <c r="U14" s="11" t="s">
        <v>94</v>
      </c>
      <c r="V14" s="11" t="s">
        <v>443</v>
      </c>
      <c r="W14" s="11" t="s">
        <v>442</v>
      </c>
    </row>
    <row r="15" spans="1:23">
      <c r="A15" s="11" t="s">
        <v>1183</v>
      </c>
      <c r="B15" s="11">
        <f ca="1">+IF(A15=WORLDCUP!$BI$112,1,0)</f>
        <v>0</v>
      </c>
      <c r="C15" s="11" t="str">
        <f ca="1">+WORLDCUP!BD62</f>
        <v>Ecuador</v>
      </c>
      <c r="D15" s="11" t="str">
        <f ca="1">+WORLDCUP!BD64</f>
        <v>Iran</v>
      </c>
      <c r="E15" s="11" t="str">
        <f ca="1">+WORLDCUP!BD67</f>
        <v>Algeria</v>
      </c>
      <c r="F15" s="11" t="str">
        <f ca="1">+WORLDCUP!BD60</f>
        <v>Scotland</v>
      </c>
      <c r="G15" s="11" t="str">
        <f ca="1">+WORLDCUP!BD65</f>
        <v>Uruguay</v>
      </c>
      <c r="H15" s="11" t="str">
        <f ca="1">+WORLDCUP!BD63</f>
        <v>Sweden</v>
      </c>
      <c r="I15" s="11" t="str">
        <f ca="1">+WORLDCUP!BD69</f>
        <v>Ghana</v>
      </c>
      <c r="J15" s="11" t="str">
        <f ca="1">+WORLDCUP!BD68</f>
        <v>DR Congo</v>
      </c>
      <c r="N15" s="11" t="s">
        <v>1183</v>
      </c>
      <c r="O15" s="11">
        <v>14</v>
      </c>
      <c r="P15" s="11" t="s">
        <v>93</v>
      </c>
      <c r="Q15" s="11" t="s">
        <v>435</v>
      </c>
      <c r="R15" s="11" t="s">
        <v>441</v>
      </c>
      <c r="S15" s="11" t="s">
        <v>91</v>
      </c>
      <c r="T15" s="11" t="s">
        <v>436</v>
      </c>
      <c r="U15" s="11" t="s">
        <v>94</v>
      </c>
      <c r="V15" s="11" t="s">
        <v>443</v>
      </c>
      <c r="W15" s="11" t="s">
        <v>442</v>
      </c>
    </row>
    <row r="16" spans="1:23">
      <c r="A16" s="11" t="s">
        <v>609</v>
      </c>
      <c r="B16" s="11">
        <f ca="1">+IF(A16=WORLDCUP!$BI$112,1,0)</f>
        <v>0</v>
      </c>
      <c r="C16" s="11" t="str">
        <f ca="1">+WORLDCUP!BD62</f>
        <v>Ecuador</v>
      </c>
      <c r="D16" s="11" t="str">
        <f ca="1">+WORLDCUP!BD64</f>
        <v>Iran</v>
      </c>
      <c r="E16" s="11" t="str">
        <f ca="1">+WORLDCUP!BD66</f>
        <v>Senegal</v>
      </c>
      <c r="F16" s="11" t="str">
        <f ca="1">+WORLDCUP!BD60</f>
        <v>Scotland</v>
      </c>
      <c r="G16" s="11" t="str">
        <f ca="1">+WORLDCUP!BD65</f>
        <v>Uruguay</v>
      </c>
      <c r="H16" s="11" t="str">
        <f ca="1">+WORLDCUP!BD63</f>
        <v>Sweden</v>
      </c>
      <c r="I16" s="11" t="str">
        <f ca="1">+WORLDCUP!BD69</f>
        <v>Ghana</v>
      </c>
      <c r="J16" s="11" t="str">
        <f ca="1">+WORLDCUP!BD68</f>
        <v>DR Congo</v>
      </c>
      <c r="N16" s="11" t="s">
        <v>609</v>
      </c>
      <c r="O16" s="11">
        <v>15</v>
      </c>
      <c r="P16" s="11" t="s">
        <v>93</v>
      </c>
      <c r="Q16" s="11" t="s">
        <v>435</v>
      </c>
      <c r="R16" s="11" t="s">
        <v>440</v>
      </c>
      <c r="S16" s="11" t="s">
        <v>91</v>
      </c>
      <c r="T16" s="11" t="s">
        <v>436</v>
      </c>
      <c r="U16" s="11" t="s">
        <v>94</v>
      </c>
      <c r="V16" s="11" t="s">
        <v>443</v>
      </c>
      <c r="W16" s="11" t="s">
        <v>442</v>
      </c>
    </row>
    <row r="17" spans="1:23">
      <c r="A17" s="11" t="s">
        <v>608</v>
      </c>
      <c r="B17" s="11">
        <f ca="1">+IF(A17=WORLDCUP!$BI$112,1,0)</f>
        <v>0</v>
      </c>
      <c r="C17" s="11" t="str">
        <f ca="1">+WORLDCUP!BD62</f>
        <v>Ecuador</v>
      </c>
      <c r="D17" s="11" t="str">
        <f ca="1">+WORLDCUP!BD64</f>
        <v>Iran</v>
      </c>
      <c r="E17" s="11" t="str">
        <f ca="1">+WORLDCUP!BD67</f>
        <v>Algeria</v>
      </c>
      <c r="F17" s="11" t="str">
        <f ca="1">+WORLDCUP!BD60</f>
        <v>Scotland</v>
      </c>
      <c r="G17" s="11" t="str">
        <f ca="1">+WORLDCUP!BD65</f>
        <v>Uruguay</v>
      </c>
      <c r="H17" s="11" t="str">
        <f ca="1">+WORLDCUP!BD63</f>
        <v>Sweden</v>
      </c>
      <c r="I17" s="11" t="str">
        <f ca="1">+WORLDCUP!BD69</f>
        <v>Ghana</v>
      </c>
      <c r="J17" s="11" t="str">
        <f ca="1">+WORLDCUP!BD66</f>
        <v>Senegal</v>
      </c>
      <c r="N17" s="11" t="s">
        <v>608</v>
      </c>
      <c r="O17" s="11">
        <v>16</v>
      </c>
      <c r="P17" s="11" t="s">
        <v>93</v>
      </c>
      <c r="Q17" s="11" t="s">
        <v>435</v>
      </c>
      <c r="R17" s="11" t="s">
        <v>441</v>
      </c>
      <c r="S17" s="11" t="s">
        <v>91</v>
      </c>
      <c r="T17" s="11" t="s">
        <v>436</v>
      </c>
      <c r="U17" s="11" t="s">
        <v>94</v>
      </c>
      <c r="V17" s="11" t="s">
        <v>443</v>
      </c>
      <c r="W17" s="11" t="s">
        <v>440</v>
      </c>
    </row>
    <row r="18" spans="1:23">
      <c r="A18" s="11" t="s">
        <v>607</v>
      </c>
      <c r="B18" s="11">
        <f ca="1">+IF(A18=WORLDCUP!$BI$112,1,0)</f>
        <v>0</v>
      </c>
      <c r="C18" s="11" t="str">
        <f ca="1">+WORLDCUP!BD62</f>
        <v>Ecuador</v>
      </c>
      <c r="D18" s="11" t="str">
        <f ca="1">+WORLDCUP!BD64</f>
        <v>Iran</v>
      </c>
      <c r="E18" s="11" t="str">
        <f ca="1">+WORLDCUP!BD67</f>
        <v>Algeria</v>
      </c>
      <c r="F18" s="11" t="str">
        <f ca="1">+WORLDCUP!BD60</f>
        <v>Scotland</v>
      </c>
      <c r="G18" s="11" t="str">
        <f ca="1">+WORLDCUP!BD65</f>
        <v>Uruguay</v>
      </c>
      <c r="H18" s="11" t="str">
        <f ca="1">+WORLDCUP!BD63</f>
        <v>Sweden</v>
      </c>
      <c r="I18" s="11" t="str">
        <f ca="1">+WORLDCUP!BD66</f>
        <v>Senegal</v>
      </c>
      <c r="J18" s="11" t="str">
        <f ca="1">+WORLDCUP!BD68</f>
        <v>DR Congo</v>
      </c>
      <c r="N18" s="11" t="s">
        <v>607</v>
      </c>
      <c r="O18" s="11">
        <v>17</v>
      </c>
      <c r="P18" s="11" t="s">
        <v>93</v>
      </c>
      <c r="Q18" s="11" t="s">
        <v>435</v>
      </c>
      <c r="R18" s="11" t="s">
        <v>441</v>
      </c>
      <c r="S18" s="11" t="s">
        <v>91</v>
      </c>
      <c r="T18" s="11" t="s">
        <v>436</v>
      </c>
      <c r="U18" s="11" t="s">
        <v>94</v>
      </c>
      <c r="V18" s="11" t="s">
        <v>440</v>
      </c>
      <c r="W18" s="11" t="s">
        <v>442</v>
      </c>
    </row>
    <row r="19" spans="1:23">
      <c r="A19" s="11" t="s">
        <v>1182</v>
      </c>
      <c r="B19" s="11">
        <f ca="1">+IF(A19=WORLDCUP!$BI$112,1,0)</f>
        <v>0</v>
      </c>
      <c r="C19" s="11" t="str">
        <f ca="1">+WORLDCUP!BD65</f>
        <v>Uruguay</v>
      </c>
      <c r="D19" s="11" t="str">
        <f ca="1">+WORLDCUP!BD64</f>
        <v>Iran</v>
      </c>
      <c r="E19" s="11" t="str">
        <f ca="1">+WORLDCUP!BD66</f>
        <v>Senegal</v>
      </c>
      <c r="F19" s="11" t="str">
        <f ca="1">+WORLDCUP!BD60</f>
        <v>Scotland</v>
      </c>
      <c r="G19" s="11" t="str">
        <f ca="1">+WORLDCUP!BD67</f>
        <v>Algeria</v>
      </c>
      <c r="H19" s="11" t="str">
        <f ca="1">+WORLDCUP!BD61</f>
        <v>Paraguay</v>
      </c>
      <c r="I19" s="11" t="str">
        <f ca="1">+WORLDCUP!BD69</f>
        <v>Ghana</v>
      </c>
      <c r="J19" s="11" t="str">
        <f ca="1">+WORLDCUP!BD68</f>
        <v>DR Congo</v>
      </c>
      <c r="N19" s="11" t="s">
        <v>1182</v>
      </c>
      <c r="O19" s="11">
        <v>18</v>
      </c>
      <c r="P19" s="11" t="s">
        <v>436</v>
      </c>
      <c r="Q19" s="11" t="s">
        <v>435</v>
      </c>
      <c r="R19" s="11" t="s">
        <v>440</v>
      </c>
      <c r="S19" s="11" t="s">
        <v>91</v>
      </c>
      <c r="T19" s="11" t="s">
        <v>441</v>
      </c>
      <c r="U19" s="11" t="s">
        <v>92</v>
      </c>
      <c r="V19" s="11" t="s">
        <v>443</v>
      </c>
      <c r="W19" s="11" t="s">
        <v>442</v>
      </c>
    </row>
    <row r="20" spans="1:23">
      <c r="A20" s="11" t="s">
        <v>1181</v>
      </c>
      <c r="B20" s="11">
        <f ca="1">+IF(A20=WORLDCUP!$BI$112,1,0)</f>
        <v>0</v>
      </c>
      <c r="C20" s="11" t="str">
        <f ca="1">+WORLDCUP!BD60</f>
        <v>Scotland</v>
      </c>
      <c r="D20" s="11" t="str">
        <f ca="1">+WORLDCUP!BD67</f>
        <v>Algeria</v>
      </c>
      <c r="E20" s="11" t="str">
        <f ca="1">+WORLDCUP!BD66</f>
        <v>Senegal</v>
      </c>
      <c r="F20" s="11" t="str">
        <f ca="1">+WORLDCUP!BD61</f>
        <v>Paraguay</v>
      </c>
      <c r="G20" s="11" t="str">
        <f ca="1">+WORLDCUP!BD65</f>
        <v>Uruguay</v>
      </c>
      <c r="H20" s="11" t="str">
        <f ca="1">+WORLDCUP!BD63</f>
        <v>Sweden</v>
      </c>
      <c r="I20" s="11" t="str">
        <f ca="1">+WORLDCUP!BD69</f>
        <v>Ghana</v>
      </c>
      <c r="J20" s="11" t="str">
        <f ca="1">+WORLDCUP!BD68</f>
        <v>DR Congo</v>
      </c>
      <c r="N20" s="11" t="s">
        <v>1181</v>
      </c>
      <c r="O20" s="11">
        <v>19</v>
      </c>
      <c r="P20" s="11" t="s">
        <v>91</v>
      </c>
      <c r="Q20" s="11" t="s">
        <v>441</v>
      </c>
      <c r="R20" s="11" t="s">
        <v>440</v>
      </c>
      <c r="S20" s="11" t="s">
        <v>92</v>
      </c>
      <c r="T20" s="11" t="s">
        <v>436</v>
      </c>
      <c r="U20" s="11" t="s">
        <v>94</v>
      </c>
      <c r="V20" s="11" t="s">
        <v>443</v>
      </c>
      <c r="W20" s="11" t="s">
        <v>442</v>
      </c>
    </row>
    <row r="21" spans="1:23">
      <c r="A21" s="11" t="s">
        <v>1180</v>
      </c>
      <c r="B21" s="11">
        <f ca="1">+IF(A21=WORLDCUP!$BI$112,1,0)</f>
        <v>0</v>
      </c>
      <c r="C21" s="11" t="str">
        <f ca="1">+WORLDCUP!BD60</f>
        <v>Scotland</v>
      </c>
      <c r="D21" s="11" t="str">
        <f ca="1">+WORLDCUP!BD64</f>
        <v>Iran</v>
      </c>
      <c r="E21" s="11" t="str">
        <f ca="1">+WORLDCUP!BD66</f>
        <v>Senegal</v>
      </c>
      <c r="F21" s="11" t="str">
        <f ca="1">+WORLDCUP!BD61</f>
        <v>Paraguay</v>
      </c>
      <c r="G21" s="11" t="str">
        <f ca="1">+WORLDCUP!BD67</f>
        <v>Algeria</v>
      </c>
      <c r="H21" s="11" t="str">
        <f ca="1">+WORLDCUP!BD63</f>
        <v>Sweden</v>
      </c>
      <c r="I21" s="11" t="str">
        <f ca="1">+WORLDCUP!BD69</f>
        <v>Ghana</v>
      </c>
      <c r="J21" s="11" t="str">
        <f ca="1">+WORLDCUP!BD68</f>
        <v>DR Congo</v>
      </c>
      <c r="N21" s="11" t="s">
        <v>1180</v>
      </c>
      <c r="O21" s="11">
        <v>20</v>
      </c>
      <c r="P21" s="11" t="s">
        <v>91</v>
      </c>
      <c r="Q21" s="11" t="s">
        <v>435</v>
      </c>
      <c r="R21" s="11" t="s">
        <v>440</v>
      </c>
      <c r="S21" s="11" t="s">
        <v>92</v>
      </c>
      <c r="T21" s="11" t="s">
        <v>441</v>
      </c>
      <c r="U21" s="11" t="s">
        <v>94</v>
      </c>
      <c r="V21" s="11" t="s">
        <v>443</v>
      </c>
      <c r="W21" s="11" t="s">
        <v>442</v>
      </c>
    </row>
    <row r="22" spans="1:23">
      <c r="A22" s="11" t="s">
        <v>1179</v>
      </c>
      <c r="B22" s="11">
        <f ca="1">+IF(A22=WORLDCUP!$BI$112,1,0)</f>
        <v>0</v>
      </c>
      <c r="C22" s="11" t="str">
        <f ca="1">+WORLDCUP!BD60</f>
        <v>Scotland</v>
      </c>
      <c r="D22" s="11" t="str">
        <f ca="1">+WORLDCUP!BD64</f>
        <v>Iran</v>
      </c>
      <c r="E22" s="11" t="str">
        <f ca="1">+WORLDCUP!BD67</f>
        <v>Algeria</v>
      </c>
      <c r="F22" s="11" t="str">
        <f ca="1">+WORLDCUP!BD61</f>
        <v>Paraguay</v>
      </c>
      <c r="G22" s="11" t="str">
        <f ca="1">+WORLDCUP!BD65</f>
        <v>Uruguay</v>
      </c>
      <c r="H22" s="11" t="str">
        <f ca="1">+WORLDCUP!BD63</f>
        <v>Sweden</v>
      </c>
      <c r="I22" s="11" t="str">
        <f ca="1">+WORLDCUP!BD69</f>
        <v>Ghana</v>
      </c>
      <c r="J22" s="11" t="str">
        <f ca="1">+WORLDCUP!BD68</f>
        <v>DR Congo</v>
      </c>
      <c r="N22" s="11" t="s">
        <v>1179</v>
      </c>
      <c r="O22" s="11">
        <v>21</v>
      </c>
      <c r="P22" s="11" t="s">
        <v>91</v>
      </c>
      <c r="Q22" s="11" t="s">
        <v>435</v>
      </c>
      <c r="R22" s="11" t="s">
        <v>441</v>
      </c>
      <c r="S22" s="11" t="s">
        <v>92</v>
      </c>
      <c r="T22" s="11" t="s">
        <v>436</v>
      </c>
      <c r="U22" s="11" t="s">
        <v>94</v>
      </c>
      <c r="V22" s="11" t="s">
        <v>443</v>
      </c>
      <c r="W22" s="11" t="s">
        <v>442</v>
      </c>
    </row>
    <row r="23" spans="1:23">
      <c r="A23" s="11" t="s">
        <v>1178</v>
      </c>
      <c r="B23" s="11">
        <f ca="1">+IF(A23=WORLDCUP!$BI$112,1,0)</f>
        <v>0</v>
      </c>
      <c r="C23" s="11" t="str">
        <f ca="1">+WORLDCUP!BD60</f>
        <v>Scotland</v>
      </c>
      <c r="D23" s="11" t="str">
        <f ca="1">+WORLDCUP!BD64</f>
        <v>Iran</v>
      </c>
      <c r="E23" s="11" t="str">
        <f ca="1">+WORLDCUP!BD66</f>
        <v>Senegal</v>
      </c>
      <c r="F23" s="11" t="str">
        <f ca="1">+WORLDCUP!BD61</f>
        <v>Paraguay</v>
      </c>
      <c r="G23" s="11" t="str">
        <f ca="1">+WORLDCUP!BD65</f>
        <v>Uruguay</v>
      </c>
      <c r="H23" s="11" t="str">
        <f ca="1">+WORLDCUP!BD63</f>
        <v>Sweden</v>
      </c>
      <c r="I23" s="11" t="str">
        <f ca="1">+WORLDCUP!BD69</f>
        <v>Ghana</v>
      </c>
      <c r="J23" s="11" t="str">
        <f ca="1">+WORLDCUP!BD68</f>
        <v>DR Congo</v>
      </c>
      <c r="N23" s="11" t="s">
        <v>1178</v>
      </c>
      <c r="O23" s="11">
        <v>22</v>
      </c>
      <c r="P23" s="11" t="s">
        <v>91</v>
      </c>
      <c r="Q23" s="11" t="s">
        <v>435</v>
      </c>
      <c r="R23" s="11" t="s">
        <v>440</v>
      </c>
      <c r="S23" s="11" t="s">
        <v>92</v>
      </c>
      <c r="T23" s="11" t="s">
        <v>436</v>
      </c>
      <c r="U23" s="11" t="s">
        <v>94</v>
      </c>
      <c r="V23" s="11" t="s">
        <v>443</v>
      </c>
      <c r="W23" s="11" t="s">
        <v>442</v>
      </c>
    </row>
    <row r="24" spans="1:23">
      <c r="A24" s="11" t="s">
        <v>1177</v>
      </c>
      <c r="B24" s="11">
        <f ca="1">+IF(A24=WORLDCUP!$BI$112,1,0)</f>
        <v>0</v>
      </c>
      <c r="C24" s="11" t="str">
        <f ca="1">+WORLDCUP!BD60</f>
        <v>Scotland</v>
      </c>
      <c r="D24" s="11" t="str">
        <f ca="1">+WORLDCUP!BD64</f>
        <v>Iran</v>
      </c>
      <c r="E24" s="11" t="str">
        <f ca="1">+WORLDCUP!BD67</f>
        <v>Algeria</v>
      </c>
      <c r="F24" s="11" t="str">
        <f ca="1">+WORLDCUP!BD61</f>
        <v>Paraguay</v>
      </c>
      <c r="G24" s="11" t="str">
        <f ca="1">+WORLDCUP!BD65</f>
        <v>Uruguay</v>
      </c>
      <c r="H24" s="11" t="str">
        <f ca="1">+WORLDCUP!BD63</f>
        <v>Sweden</v>
      </c>
      <c r="I24" s="11" t="str">
        <f ca="1">+WORLDCUP!BD69</f>
        <v>Ghana</v>
      </c>
      <c r="J24" s="11" t="str">
        <f ca="1">+WORLDCUP!BD66</f>
        <v>Senegal</v>
      </c>
      <c r="N24" s="11" t="s">
        <v>1177</v>
      </c>
      <c r="O24" s="11">
        <v>23</v>
      </c>
      <c r="P24" s="11" t="s">
        <v>91</v>
      </c>
      <c r="Q24" s="11" t="s">
        <v>435</v>
      </c>
      <c r="R24" s="11" t="s">
        <v>441</v>
      </c>
      <c r="S24" s="11" t="s">
        <v>92</v>
      </c>
      <c r="T24" s="11" t="s">
        <v>436</v>
      </c>
      <c r="U24" s="11" t="s">
        <v>94</v>
      </c>
      <c r="V24" s="11" t="s">
        <v>443</v>
      </c>
      <c r="W24" s="11" t="s">
        <v>440</v>
      </c>
    </row>
    <row r="25" spans="1:23">
      <c r="A25" s="11" t="s">
        <v>1176</v>
      </c>
      <c r="B25" s="11">
        <f ca="1">+IF(A25=WORLDCUP!$BI$112,1,0)</f>
        <v>0</v>
      </c>
      <c r="C25" s="11" t="str">
        <f ca="1">+WORLDCUP!BD60</f>
        <v>Scotland</v>
      </c>
      <c r="D25" s="11" t="str">
        <f ca="1">+WORLDCUP!BD64</f>
        <v>Iran</v>
      </c>
      <c r="E25" s="11" t="str">
        <f ca="1">+WORLDCUP!BD67</f>
        <v>Algeria</v>
      </c>
      <c r="F25" s="11" t="str">
        <f ca="1">+WORLDCUP!BD61</f>
        <v>Paraguay</v>
      </c>
      <c r="G25" s="11" t="str">
        <f ca="1">+WORLDCUP!BD65</f>
        <v>Uruguay</v>
      </c>
      <c r="H25" s="11" t="str">
        <f ca="1">+WORLDCUP!BD63</f>
        <v>Sweden</v>
      </c>
      <c r="I25" s="11" t="str">
        <f ca="1">+WORLDCUP!BD66</f>
        <v>Senegal</v>
      </c>
      <c r="J25" s="11" t="str">
        <f ca="1">+WORLDCUP!BD68</f>
        <v>DR Congo</v>
      </c>
      <c r="N25" s="11" t="s">
        <v>1176</v>
      </c>
      <c r="O25" s="11">
        <v>24</v>
      </c>
      <c r="P25" s="11" t="s">
        <v>91</v>
      </c>
      <c r="Q25" s="11" t="s">
        <v>435</v>
      </c>
      <c r="R25" s="11" t="s">
        <v>441</v>
      </c>
      <c r="S25" s="11" t="s">
        <v>92</v>
      </c>
      <c r="T25" s="11" t="s">
        <v>436</v>
      </c>
      <c r="U25" s="11" t="s">
        <v>94</v>
      </c>
      <c r="V25" s="11" t="s">
        <v>440</v>
      </c>
      <c r="W25" s="11" t="s">
        <v>442</v>
      </c>
    </row>
    <row r="26" spans="1:23">
      <c r="A26" s="11" t="s">
        <v>1175</v>
      </c>
      <c r="B26" s="11">
        <f ca="1">+IF(A26=WORLDCUP!$BI$112,1,0)</f>
        <v>0</v>
      </c>
      <c r="C26" s="11" t="str">
        <f ca="1">+WORLDCUP!BD62</f>
        <v>Ecuador</v>
      </c>
      <c r="D26" s="11" t="str">
        <f ca="1">+WORLDCUP!BD67</f>
        <v>Algeria</v>
      </c>
      <c r="E26" s="11" t="str">
        <f ca="1">+WORLDCUP!BD66</f>
        <v>Senegal</v>
      </c>
      <c r="F26" s="11" t="str">
        <f ca="1">+WORLDCUP!BD60</f>
        <v>Scotland</v>
      </c>
      <c r="G26" s="11" t="str">
        <f ca="1">+WORLDCUP!BD65</f>
        <v>Uruguay</v>
      </c>
      <c r="H26" s="11" t="str">
        <f ca="1">+WORLDCUP!BD61</f>
        <v>Paraguay</v>
      </c>
      <c r="I26" s="11" t="str">
        <f ca="1">+WORLDCUP!BD69</f>
        <v>Ghana</v>
      </c>
      <c r="J26" s="11" t="str">
        <f ca="1">+WORLDCUP!BD68</f>
        <v>DR Congo</v>
      </c>
      <c r="N26" s="11" t="s">
        <v>1175</v>
      </c>
      <c r="O26" s="11">
        <v>25</v>
      </c>
      <c r="P26" s="11" t="s">
        <v>93</v>
      </c>
      <c r="Q26" s="11" t="s">
        <v>441</v>
      </c>
      <c r="R26" s="11" t="s">
        <v>440</v>
      </c>
      <c r="S26" s="11" t="s">
        <v>91</v>
      </c>
      <c r="T26" s="11" t="s">
        <v>436</v>
      </c>
      <c r="U26" s="11" t="s">
        <v>92</v>
      </c>
      <c r="V26" s="11" t="s">
        <v>443</v>
      </c>
      <c r="W26" s="11" t="s">
        <v>442</v>
      </c>
    </row>
    <row r="27" spans="1:23">
      <c r="A27" s="11" t="s">
        <v>1174</v>
      </c>
      <c r="B27" s="11">
        <f ca="1">+IF(A27=WORLDCUP!$BI$112,1,0)</f>
        <v>0</v>
      </c>
      <c r="C27" s="11" t="str">
        <f ca="1">+WORLDCUP!BD62</f>
        <v>Ecuador</v>
      </c>
      <c r="D27" s="11" t="str">
        <f ca="1">+WORLDCUP!BD64</f>
        <v>Iran</v>
      </c>
      <c r="E27" s="11" t="str">
        <f ca="1">+WORLDCUP!BD66</f>
        <v>Senegal</v>
      </c>
      <c r="F27" s="11" t="str">
        <f ca="1">+WORLDCUP!BD60</f>
        <v>Scotland</v>
      </c>
      <c r="G27" s="11" t="str">
        <f ca="1">+WORLDCUP!BD67</f>
        <v>Algeria</v>
      </c>
      <c r="H27" s="11" t="str">
        <f ca="1">+WORLDCUP!BD61</f>
        <v>Paraguay</v>
      </c>
      <c r="I27" s="11" t="str">
        <f ca="1">+WORLDCUP!BD69</f>
        <v>Ghana</v>
      </c>
      <c r="J27" s="11" t="str">
        <f ca="1">+WORLDCUP!BD68</f>
        <v>DR Congo</v>
      </c>
      <c r="N27" s="11" t="s">
        <v>1174</v>
      </c>
      <c r="O27" s="11">
        <v>26</v>
      </c>
      <c r="P27" s="11" t="s">
        <v>93</v>
      </c>
      <c r="Q27" s="11" t="s">
        <v>435</v>
      </c>
      <c r="R27" s="11" t="s">
        <v>440</v>
      </c>
      <c r="S27" s="11" t="s">
        <v>91</v>
      </c>
      <c r="T27" s="11" t="s">
        <v>441</v>
      </c>
      <c r="U27" s="11" t="s">
        <v>92</v>
      </c>
      <c r="V27" s="11" t="s">
        <v>443</v>
      </c>
      <c r="W27" s="11" t="s">
        <v>442</v>
      </c>
    </row>
    <row r="28" spans="1:23">
      <c r="A28" s="11" t="s">
        <v>1173</v>
      </c>
      <c r="B28" s="11">
        <f ca="1">+IF(A28=WORLDCUP!$BI$112,1,0)</f>
        <v>0</v>
      </c>
      <c r="C28" s="11" t="str">
        <f ca="1">+WORLDCUP!BD62</f>
        <v>Ecuador</v>
      </c>
      <c r="D28" s="11" t="str">
        <f ca="1">+WORLDCUP!BD64</f>
        <v>Iran</v>
      </c>
      <c r="E28" s="11" t="str">
        <f ca="1">+WORLDCUP!BD67</f>
        <v>Algeria</v>
      </c>
      <c r="F28" s="11" t="str">
        <f ca="1">+WORLDCUP!BD60</f>
        <v>Scotland</v>
      </c>
      <c r="G28" s="11" t="str">
        <f ca="1">+WORLDCUP!BD65</f>
        <v>Uruguay</v>
      </c>
      <c r="H28" s="11" t="str">
        <f ca="1">+WORLDCUP!BD61</f>
        <v>Paraguay</v>
      </c>
      <c r="I28" s="11" t="str">
        <f ca="1">+WORLDCUP!BD69</f>
        <v>Ghana</v>
      </c>
      <c r="J28" s="11" t="str">
        <f ca="1">+WORLDCUP!BD68</f>
        <v>DR Congo</v>
      </c>
      <c r="N28" s="11" t="s">
        <v>1173</v>
      </c>
      <c r="O28" s="11">
        <v>27</v>
      </c>
      <c r="P28" s="11" t="s">
        <v>93</v>
      </c>
      <c r="Q28" s="11" t="s">
        <v>435</v>
      </c>
      <c r="R28" s="11" t="s">
        <v>441</v>
      </c>
      <c r="S28" s="11" t="s">
        <v>91</v>
      </c>
      <c r="T28" s="11" t="s">
        <v>436</v>
      </c>
      <c r="U28" s="11" t="s">
        <v>92</v>
      </c>
      <c r="V28" s="11" t="s">
        <v>443</v>
      </c>
      <c r="W28" s="11" t="s">
        <v>442</v>
      </c>
    </row>
    <row r="29" spans="1:23">
      <c r="A29" s="11" t="s">
        <v>1172</v>
      </c>
      <c r="B29" s="11">
        <f ca="1">+IF(A29=WORLDCUP!$BI$112,1,0)</f>
        <v>0</v>
      </c>
      <c r="C29" s="11" t="str">
        <f ca="1">+WORLDCUP!BD62</f>
        <v>Ecuador</v>
      </c>
      <c r="D29" s="11" t="str">
        <f ca="1">+WORLDCUP!BD64</f>
        <v>Iran</v>
      </c>
      <c r="E29" s="11" t="str">
        <f ca="1">+WORLDCUP!BD66</f>
        <v>Senegal</v>
      </c>
      <c r="F29" s="11" t="str">
        <f ca="1">+WORLDCUP!BD60</f>
        <v>Scotland</v>
      </c>
      <c r="G29" s="11" t="str">
        <f ca="1">+WORLDCUP!BD65</f>
        <v>Uruguay</v>
      </c>
      <c r="H29" s="11" t="str">
        <f ca="1">+WORLDCUP!BD61</f>
        <v>Paraguay</v>
      </c>
      <c r="I29" s="11" t="str">
        <f ca="1">+WORLDCUP!BD69</f>
        <v>Ghana</v>
      </c>
      <c r="J29" s="11" t="str">
        <f ca="1">+WORLDCUP!BD68</f>
        <v>DR Congo</v>
      </c>
      <c r="N29" s="11" t="s">
        <v>1172</v>
      </c>
      <c r="O29" s="11">
        <v>28</v>
      </c>
      <c r="P29" s="11" t="s">
        <v>93</v>
      </c>
      <c r="Q29" s="11" t="s">
        <v>435</v>
      </c>
      <c r="R29" s="11" t="s">
        <v>440</v>
      </c>
      <c r="S29" s="11" t="s">
        <v>91</v>
      </c>
      <c r="T29" s="11" t="s">
        <v>436</v>
      </c>
      <c r="U29" s="11" t="s">
        <v>92</v>
      </c>
      <c r="V29" s="11" t="s">
        <v>443</v>
      </c>
      <c r="W29" s="11" t="s">
        <v>442</v>
      </c>
    </row>
    <row r="30" spans="1:23">
      <c r="A30" s="11" t="s">
        <v>1171</v>
      </c>
      <c r="B30" s="11">
        <f ca="1">+IF(A30=WORLDCUP!$BI$112,1,0)</f>
        <v>0</v>
      </c>
      <c r="C30" s="11" t="str">
        <f ca="1">+WORLDCUP!BD62</f>
        <v>Ecuador</v>
      </c>
      <c r="D30" s="11" t="str">
        <f ca="1">+WORLDCUP!BD64</f>
        <v>Iran</v>
      </c>
      <c r="E30" s="11" t="str">
        <f ca="1">+WORLDCUP!BD67</f>
        <v>Algeria</v>
      </c>
      <c r="F30" s="11" t="str">
        <f ca="1">+WORLDCUP!BD60</f>
        <v>Scotland</v>
      </c>
      <c r="G30" s="11" t="str">
        <f ca="1">+WORLDCUP!BD65</f>
        <v>Uruguay</v>
      </c>
      <c r="H30" s="11" t="str">
        <f ca="1">+WORLDCUP!BD61</f>
        <v>Paraguay</v>
      </c>
      <c r="I30" s="11" t="str">
        <f ca="1">+WORLDCUP!BD69</f>
        <v>Ghana</v>
      </c>
      <c r="J30" s="11" t="str">
        <f ca="1">+WORLDCUP!BD66</f>
        <v>Senegal</v>
      </c>
      <c r="N30" s="11" t="s">
        <v>1171</v>
      </c>
      <c r="O30" s="11">
        <v>29</v>
      </c>
      <c r="P30" s="11" t="s">
        <v>93</v>
      </c>
      <c r="Q30" s="11" t="s">
        <v>435</v>
      </c>
      <c r="R30" s="11" t="s">
        <v>441</v>
      </c>
      <c r="S30" s="11" t="s">
        <v>91</v>
      </c>
      <c r="T30" s="11" t="s">
        <v>436</v>
      </c>
      <c r="U30" s="11" t="s">
        <v>92</v>
      </c>
      <c r="V30" s="11" t="s">
        <v>443</v>
      </c>
      <c r="W30" s="11" t="s">
        <v>440</v>
      </c>
    </row>
    <row r="31" spans="1:23">
      <c r="A31" s="11" t="s">
        <v>1170</v>
      </c>
      <c r="B31" s="11">
        <f ca="1">+IF(A31=WORLDCUP!$BI$112,1,0)</f>
        <v>0</v>
      </c>
      <c r="C31" s="11" t="str">
        <f ca="1">+WORLDCUP!BD62</f>
        <v>Ecuador</v>
      </c>
      <c r="D31" s="11" t="str">
        <f ca="1">+WORLDCUP!BD64</f>
        <v>Iran</v>
      </c>
      <c r="E31" s="11" t="str">
        <f ca="1">+WORLDCUP!BD67</f>
        <v>Algeria</v>
      </c>
      <c r="F31" s="11" t="str">
        <f ca="1">+WORLDCUP!BD60</f>
        <v>Scotland</v>
      </c>
      <c r="G31" s="11" t="str">
        <f ca="1">+WORLDCUP!BD65</f>
        <v>Uruguay</v>
      </c>
      <c r="H31" s="11" t="str">
        <f ca="1">+WORLDCUP!BD61</f>
        <v>Paraguay</v>
      </c>
      <c r="I31" s="11" t="str">
        <f ca="1">+WORLDCUP!BD66</f>
        <v>Senegal</v>
      </c>
      <c r="J31" s="11" t="str">
        <f ca="1">+WORLDCUP!BD68</f>
        <v>DR Congo</v>
      </c>
      <c r="N31" s="11" t="s">
        <v>1170</v>
      </c>
      <c r="O31" s="11">
        <v>30</v>
      </c>
      <c r="P31" s="11" t="s">
        <v>93</v>
      </c>
      <c r="Q31" s="11" t="s">
        <v>435</v>
      </c>
      <c r="R31" s="11" t="s">
        <v>441</v>
      </c>
      <c r="S31" s="11" t="s">
        <v>91</v>
      </c>
      <c r="T31" s="11" t="s">
        <v>436</v>
      </c>
      <c r="U31" s="11" t="s">
        <v>92</v>
      </c>
      <c r="V31" s="11" t="s">
        <v>440</v>
      </c>
      <c r="W31" s="11" t="s">
        <v>442</v>
      </c>
    </row>
    <row r="32" spans="1:23">
      <c r="A32" s="11" t="s">
        <v>1169</v>
      </c>
      <c r="B32" s="11">
        <f ca="1">+IF(A32=WORLDCUP!$BI$112,1,0)</f>
        <v>0</v>
      </c>
      <c r="C32" s="11" t="str">
        <f ca="1">+WORLDCUP!BD60</f>
        <v>Scotland</v>
      </c>
      <c r="D32" s="11" t="str">
        <f ca="1">+WORLDCUP!BD67</f>
        <v>Algeria</v>
      </c>
      <c r="E32" s="11" t="str">
        <f ca="1">+WORLDCUP!BD62</f>
        <v>Ecuador</v>
      </c>
      <c r="F32" s="11" t="str">
        <f ca="1">+WORLDCUP!BD61</f>
        <v>Paraguay</v>
      </c>
      <c r="G32" s="11" t="str">
        <f ca="1">+WORLDCUP!BD66</f>
        <v>Senegal</v>
      </c>
      <c r="H32" s="11" t="str">
        <f ca="1">+WORLDCUP!BD63</f>
        <v>Sweden</v>
      </c>
      <c r="I32" s="11" t="str">
        <f ca="1">+WORLDCUP!BD69</f>
        <v>Ghana</v>
      </c>
      <c r="J32" s="11" t="str">
        <f ca="1">+WORLDCUP!BD68</f>
        <v>DR Congo</v>
      </c>
      <c r="N32" s="11" t="s">
        <v>1169</v>
      </c>
      <c r="O32" s="11">
        <v>31</v>
      </c>
      <c r="P32" s="11" t="s">
        <v>91</v>
      </c>
      <c r="Q32" s="11" t="s">
        <v>441</v>
      </c>
      <c r="R32" s="11" t="s">
        <v>93</v>
      </c>
      <c r="S32" s="11" t="s">
        <v>92</v>
      </c>
      <c r="T32" s="11" t="s">
        <v>440</v>
      </c>
      <c r="U32" s="11" t="s">
        <v>94</v>
      </c>
      <c r="V32" s="11" t="s">
        <v>443</v>
      </c>
      <c r="W32" s="11" t="s">
        <v>442</v>
      </c>
    </row>
    <row r="33" spans="1:23">
      <c r="A33" s="11" t="s">
        <v>1168</v>
      </c>
      <c r="B33" s="11">
        <f ca="1">+IF(A33=WORLDCUP!$BI$112,1,0)</f>
        <v>0</v>
      </c>
      <c r="C33" s="11" t="str">
        <f ca="1">+WORLDCUP!BD60</f>
        <v>Scotland</v>
      </c>
      <c r="D33" s="11" t="str">
        <f ca="1">+WORLDCUP!BD67</f>
        <v>Algeria</v>
      </c>
      <c r="E33" s="11" t="str">
        <f ca="1">+WORLDCUP!BD62</f>
        <v>Ecuador</v>
      </c>
      <c r="F33" s="11" t="str">
        <f ca="1">+WORLDCUP!BD61</f>
        <v>Paraguay</v>
      </c>
      <c r="G33" s="11" t="str">
        <f ca="1">+WORLDCUP!BD65</f>
        <v>Uruguay</v>
      </c>
      <c r="H33" s="11" t="str">
        <f ca="1">+WORLDCUP!BD63</f>
        <v>Sweden</v>
      </c>
      <c r="I33" s="11" t="str">
        <f ca="1">+WORLDCUP!BD69</f>
        <v>Ghana</v>
      </c>
      <c r="J33" s="11" t="str">
        <f ca="1">+WORLDCUP!BD68</f>
        <v>DR Congo</v>
      </c>
      <c r="N33" s="11" t="s">
        <v>1168</v>
      </c>
      <c r="O33" s="11">
        <v>32</v>
      </c>
      <c r="P33" s="11" t="s">
        <v>91</v>
      </c>
      <c r="Q33" s="11" t="s">
        <v>441</v>
      </c>
      <c r="R33" s="11" t="s">
        <v>93</v>
      </c>
      <c r="S33" s="11" t="s">
        <v>92</v>
      </c>
      <c r="T33" s="11" t="s">
        <v>436</v>
      </c>
      <c r="U33" s="11" t="s">
        <v>94</v>
      </c>
      <c r="V33" s="11" t="s">
        <v>443</v>
      </c>
      <c r="W33" s="11" t="s">
        <v>442</v>
      </c>
    </row>
    <row r="34" spans="1:23">
      <c r="A34" s="11" t="s">
        <v>1167</v>
      </c>
      <c r="B34" s="11">
        <f ca="1">+IF(A34=WORLDCUP!$BI$112,1,0)</f>
        <v>0</v>
      </c>
      <c r="C34" s="11" t="str">
        <f ca="1">+WORLDCUP!BD60</f>
        <v>Scotland</v>
      </c>
      <c r="D34" s="11" t="str">
        <f ca="1">+WORLDCUP!BD62</f>
        <v>Ecuador</v>
      </c>
      <c r="E34" s="11" t="str">
        <f ca="1">+WORLDCUP!BD66</f>
        <v>Senegal</v>
      </c>
      <c r="F34" s="11" t="str">
        <f ca="1">+WORLDCUP!BD61</f>
        <v>Paraguay</v>
      </c>
      <c r="G34" s="11" t="str">
        <f ca="1">+WORLDCUP!BD65</f>
        <v>Uruguay</v>
      </c>
      <c r="H34" s="11" t="str">
        <f ca="1">+WORLDCUP!BD63</f>
        <v>Sweden</v>
      </c>
      <c r="I34" s="11" t="str">
        <f ca="1">+WORLDCUP!BD69</f>
        <v>Ghana</v>
      </c>
      <c r="J34" s="11" t="str">
        <f ca="1">+WORLDCUP!BD68</f>
        <v>DR Congo</v>
      </c>
      <c r="N34" s="11" t="s">
        <v>1167</v>
      </c>
      <c r="O34" s="11">
        <v>33</v>
      </c>
      <c r="P34" s="11" t="s">
        <v>91</v>
      </c>
      <c r="Q34" s="11" t="s">
        <v>93</v>
      </c>
      <c r="R34" s="11" t="s">
        <v>440</v>
      </c>
      <c r="S34" s="11" t="s">
        <v>92</v>
      </c>
      <c r="T34" s="11" t="s">
        <v>436</v>
      </c>
      <c r="U34" s="11" t="s">
        <v>94</v>
      </c>
      <c r="V34" s="11" t="s">
        <v>443</v>
      </c>
      <c r="W34" s="11" t="s">
        <v>442</v>
      </c>
    </row>
    <row r="35" spans="1:23">
      <c r="A35" s="11" t="s">
        <v>1166</v>
      </c>
      <c r="B35" s="11">
        <f ca="1">+IF(A35=WORLDCUP!$BI$112,1,0)</f>
        <v>0</v>
      </c>
      <c r="C35" s="11" t="str">
        <f ca="1">+WORLDCUP!BD60</f>
        <v>Scotland</v>
      </c>
      <c r="D35" s="11" t="str">
        <f ca="1">+WORLDCUP!BD67</f>
        <v>Algeria</v>
      </c>
      <c r="E35" s="11" t="str">
        <f ca="1">+WORLDCUP!BD62</f>
        <v>Ecuador</v>
      </c>
      <c r="F35" s="11" t="str">
        <f ca="1">+WORLDCUP!BD61</f>
        <v>Paraguay</v>
      </c>
      <c r="G35" s="11" t="str">
        <f ca="1">+WORLDCUP!BD65</f>
        <v>Uruguay</v>
      </c>
      <c r="H35" s="11" t="str">
        <f ca="1">+WORLDCUP!BD63</f>
        <v>Sweden</v>
      </c>
      <c r="I35" s="11" t="str">
        <f ca="1">+WORLDCUP!BD69</f>
        <v>Ghana</v>
      </c>
      <c r="J35" s="11" t="str">
        <f ca="1">+WORLDCUP!BD66</f>
        <v>Senegal</v>
      </c>
      <c r="N35" s="11" t="s">
        <v>1166</v>
      </c>
      <c r="O35" s="11">
        <v>34</v>
      </c>
      <c r="P35" s="11" t="s">
        <v>91</v>
      </c>
      <c r="Q35" s="11" t="s">
        <v>441</v>
      </c>
      <c r="R35" s="11" t="s">
        <v>93</v>
      </c>
      <c r="S35" s="11" t="s">
        <v>92</v>
      </c>
      <c r="T35" s="11" t="s">
        <v>436</v>
      </c>
      <c r="U35" s="11" t="s">
        <v>94</v>
      </c>
      <c r="V35" s="11" t="s">
        <v>443</v>
      </c>
      <c r="W35" s="11" t="s">
        <v>440</v>
      </c>
    </row>
    <row r="36" spans="1:23">
      <c r="A36" s="11" t="s">
        <v>1165</v>
      </c>
      <c r="B36" s="11">
        <f ca="1">+IF(A36=WORLDCUP!$BI$112,1,0)</f>
        <v>0</v>
      </c>
      <c r="C36" s="11" t="str">
        <f ca="1">+WORLDCUP!BD60</f>
        <v>Scotland</v>
      </c>
      <c r="D36" s="11" t="str">
        <f ca="1">+WORLDCUP!BD67</f>
        <v>Algeria</v>
      </c>
      <c r="E36" s="11" t="str">
        <f ca="1">+WORLDCUP!BD62</f>
        <v>Ecuador</v>
      </c>
      <c r="F36" s="11" t="str">
        <f ca="1">+WORLDCUP!BD61</f>
        <v>Paraguay</v>
      </c>
      <c r="G36" s="11" t="str">
        <f ca="1">+WORLDCUP!BD65</f>
        <v>Uruguay</v>
      </c>
      <c r="H36" s="11" t="str">
        <f ca="1">+WORLDCUP!BD63</f>
        <v>Sweden</v>
      </c>
      <c r="I36" s="11" t="str">
        <f ca="1">+WORLDCUP!BD66</f>
        <v>Senegal</v>
      </c>
      <c r="J36" s="11" t="str">
        <f ca="1">+WORLDCUP!BD68</f>
        <v>DR Congo</v>
      </c>
      <c r="N36" s="11" t="s">
        <v>1165</v>
      </c>
      <c r="O36" s="11">
        <v>35</v>
      </c>
      <c r="P36" s="11" t="s">
        <v>91</v>
      </c>
      <c r="Q36" s="11" t="s">
        <v>441</v>
      </c>
      <c r="R36" s="11" t="s">
        <v>93</v>
      </c>
      <c r="S36" s="11" t="s">
        <v>92</v>
      </c>
      <c r="T36" s="11" t="s">
        <v>436</v>
      </c>
      <c r="U36" s="11" t="s">
        <v>94</v>
      </c>
      <c r="V36" s="11" t="s">
        <v>440</v>
      </c>
      <c r="W36" s="11" t="s">
        <v>442</v>
      </c>
    </row>
    <row r="37" spans="1:23">
      <c r="A37" s="11" t="s">
        <v>1164</v>
      </c>
      <c r="B37" s="11">
        <f ca="1">+IF(A37=WORLDCUP!$BI$112,1,0)</f>
        <v>0</v>
      </c>
      <c r="C37" s="11" t="str">
        <f ca="1">+WORLDCUP!BD60</f>
        <v>Scotland</v>
      </c>
      <c r="D37" s="11" t="str">
        <f ca="1">+WORLDCUP!BD64</f>
        <v>Iran</v>
      </c>
      <c r="E37" s="11" t="str">
        <f ca="1">+WORLDCUP!BD62</f>
        <v>Ecuador</v>
      </c>
      <c r="F37" s="11" t="str">
        <f ca="1">+WORLDCUP!BD61</f>
        <v>Paraguay</v>
      </c>
      <c r="G37" s="11" t="str">
        <f ca="1">+WORLDCUP!BD67</f>
        <v>Algeria</v>
      </c>
      <c r="H37" s="11" t="str">
        <f ca="1">+WORLDCUP!BD63</f>
        <v>Sweden</v>
      </c>
      <c r="I37" s="11" t="str">
        <f ca="1">+WORLDCUP!BD69</f>
        <v>Ghana</v>
      </c>
      <c r="J37" s="11" t="str">
        <f ca="1">+WORLDCUP!BD68</f>
        <v>DR Congo</v>
      </c>
      <c r="N37" s="11" t="s">
        <v>1164</v>
      </c>
      <c r="O37" s="11">
        <v>36</v>
      </c>
      <c r="P37" s="11" t="s">
        <v>91</v>
      </c>
      <c r="Q37" s="11" t="s">
        <v>435</v>
      </c>
      <c r="R37" s="11" t="s">
        <v>93</v>
      </c>
      <c r="S37" s="11" t="s">
        <v>92</v>
      </c>
      <c r="T37" s="11" t="s">
        <v>441</v>
      </c>
      <c r="U37" s="11" t="s">
        <v>94</v>
      </c>
      <c r="V37" s="11" t="s">
        <v>443</v>
      </c>
      <c r="W37" s="11" t="s">
        <v>442</v>
      </c>
    </row>
    <row r="38" spans="1:23">
      <c r="A38" s="11" t="s">
        <v>1163</v>
      </c>
      <c r="B38" s="11">
        <f ca="1">+IF(A38=WORLDCUP!$BI$112,1,0)</f>
        <v>0</v>
      </c>
      <c r="C38" s="11" t="str">
        <f ca="1">+WORLDCUP!BD60</f>
        <v>Scotland</v>
      </c>
      <c r="D38" s="11" t="str">
        <f ca="1">+WORLDCUP!BD64</f>
        <v>Iran</v>
      </c>
      <c r="E38" s="11" t="str">
        <f ca="1">+WORLDCUP!BD62</f>
        <v>Ecuador</v>
      </c>
      <c r="F38" s="11" t="str">
        <f ca="1">+WORLDCUP!BD61</f>
        <v>Paraguay</v>
      </c>
      <c r="G38" s="11" t="str">
        <f ca="1">+WORLDCUP!BD66</f>
        <v>Senegal</v>
      </c>
      <c r="H38" s="11" t="str">
        <f ca="1">+WORLDCUP!BD63</f>
        <v>Sweden</v>
      </c>
      <c r="I38" s="11" t="str">
        <f ca="1">+WORLDCUP!BD69</f>
        <v>Ghana</v>
      </c>
      <c r="J38" s="11" t="str">
        <f ca="1">+WORLDCUP!BD68</f>
        <v>DR Congo</v>
      </c>
      <c r="N38" s="11" t="s">
        <v>1163</v>
      </c>
      <c r="O38" s="11">
        <v>37</v>
      </c>
      <c r="P38" s="11" t="s">
        <v>91</v>
      </c>
      <c r="Q38" s="11" t="s">
        <v>435</v>
      </c>
      <c r="R38" s="11" t="s">
        <v>93</v>
      </c>
      <c r="S38" s="11" t="s">
        <v>92</v>
      </c>
      <c r="T38" s="11" t="s">
        <v>440</v>
      </c>
      <c r="U38" s="11" t="s">
        <v>94</v>
      </c>
      <c r="V38" s="11" t="s">
        <v>443</v>
      </c>
      <c r="W38" s="11" t="s">
        <v>442</v>
      </c>
    </row>
    <row r="39" spans="1:23">
      <c r="A39" s="11" t="s">
        <v>1162</v>
      </c>
      <c r="B39" s="11">
        <f ca="1">+IF(A39=WORLDCUP!$BI$112,1,0)</f>
        <v>0</v>
      </c>
      <c r="C39" s="11" t="str">
        <f ca="1">+WORLDCUP!BD60</f>
        <v>Scotland</v>
      </c>
      <c r="D39" s="11" t="str">
        <f ca="1">+WORLDCUP!BD64</f>
        <v>Iran</v>
      </c>
      <c r="E39" s="11" t="str">
        <f ca="1">+WORLDCUP!BD62</f>
        <v>Ecuador</v>
      </c>
      <c r="F39" s="11" t="str">
        <f ca="1">+WORLDCUP!BD61</f>
        <v>Paraguay</v>
      </c>
      <c r="G39" s="11" t="str">
        <f ca="1">+WORLDCUP!BD67</f>
        <v>Algeria</v>
      </c>
      <c r="H39" s="11" t="str">
        <f ca="1">+WORLDCUP!BD63</f>
        <v>Sweden</v>
      </c>
      <c r="I39" s="11" t="str">
        <f ca="1">+WORLDCUP!BD69</f>
        <v>Ghana</v>
      </c>
      <c r="J39" s="11" t="str">
        <f ca="1">+WORLDCUP!BD66</f>
        <v>Senegal</v>
      </c>
      <c r="N39" s="11" t="s">
        <v>1162</v>
      </c>
      <c r="O39" s="11">
        <v>38</v>
      </c>
      <c r="P39" s="11" t="s">
        <v>91</v>
      </c>
      <c r="Q39" s="11" t="s">
        <v>435</v>
      </c>
      <c r="R39" s="11" t="s">
        <v>93</v>
      </c>
      <c r="S39" s="11" t="s">
        <v>92</v>
      </c>
      <c r="T39" s="11" t="s">
        <v>441</v>
      </c>
      <c r="U39" s="11" t="s">
        <v>94</v>
      </c>
      <c r="V39" s="11" t="s">
        <v>443</v>
      </c>
      <c r="W39" s="11" t="s">
        <v>440</v>
      </c>
    </row>
    <row r="40" spans="1:23">
      <c r="A40" s="11" t="s">
        <v>1161</v>
      </c>
      <c r="B40" s="11">
        <f ca="1">+IF(A40=WORLDCUP!$BI$112,1,0)</f>
        <v>0</v>
      </c>
      <c r="C40" s="11" t="str">
        <f ca="1">+WORLDCUP!BD60</f>
        <v>Scotland</v>
      </c>
      <c r="D40" s="11" t="str">
        <f ca="1">+WORLDCUP!BD64</f>
        <v>Iran</v>
      </c>
      <c r="E40" s="11" t="str">
        <f ca="1">+WORLDCUP!BD62</f>
        <v>Ecuador</v>
      </c>
      <c r="F40" s="11" t="str">
        <f ca="1">+WORLDCUP!BD61</f>
        <v>Paraguay</v>
      </c>
      <c r="G40" s="11" t="str">
        <f ca="1">+WORLDCUP!BD67</f>
        <v>Algeria</v>
      </c>
      <c r="H40" s="11" t="str">
        <f ca="1">+WORLDCUP!BD63</f>
        <v>Sweden</v>
      </c>
      <c r="I40" s="11" t="str">
        <f ca="1">+WORLDCUP!BD66</f>
        <v>Senegal</v>
      </c>
      <c r="J40" s="11" t="str">
        <f ca="1">+WORLDCUP!BD68</f>
        <v>DR Congo</v>
      </c>
      <c r="N40" s="11" t="s">
        <v>1161</v>
      </c>
      <c r="O40" s="11">
        <v>39</v>
      </c>
      <c r="P40" s="11" t="s">
        <v>91</v>
      </c>
      <c r="Q40" s="11" t="s">
        <v>435</v>
      </c>
      <c r="R40" s="11" t="s">
        <v>93</v>
      </c>
      <c r="S40" s="11" t="s">
        <v>92</v>
      </c>
      <c r="T40" s="11" t="s">
        <v>441</v>
      </c>
      <c r="U40" s="11" t="s">
        <v>94</v>
      </c>
      <c r="V40" s="11" t="s">
        <v>440</v>
      </c>
      <c r="W40" s="11" t="s">
        <v>442</v>
      </c>
    </row>
    <row r="41" spans="1:23">
      <c r="A41" s="11" t="s">
        <v>474</v>
      </c>
      <c r="B41" s="11">
        <f ca="1">+IF(A41=WORLDCUP!$BI$112,1,0)</f>
        <v>0</v>
      </c>
      <c r="C41" s="11" t="str">
        <f ca="1">+WORLDCUP!BD60</f>
        <v>Scotland</v>
      </c>
      <c r="D41" s="11" t="str">
        <f ca="1">+WORLDCUP!BD64</f>
        <v>Iran</v>
      </c>
      <c r="E41" s="11" t="str">
        <f ca="1">+WORLDCUP!BD62</f>
        <v>Ecuador</v>
      </c>
      <c r="F41" s="11" t="str">
        <f ca="1">+WORLDCUP!BD61</f>
        <v>Paraguay</v>
      </c>
      <c r="G41" s="11" t="str">
        <f ca="1">+WORLDCUP!BD65</f>
        <v>Uruguay</v>
      </c>
      <c r="H41" s="11" t="str">
        <f ca="1">+WORLDCUP!BD63</f>
        <v>Sweden</v>
      </c>
      <c r="I41" s="11" t="str">
        <f ca="1">+WORLDCUP!BD69</f>
        <v>Ghana</v>
      </c>
      <c r="J41" s="11" t="str">
        <f ca="1">+WORLDCUP!BD68</f>
        <v>DR Congo</v>
      </c>
      <c r="N41" s="11" t="s">
        <v>474</v>
      </c>
      <c r="O41" s="11">
        <v>40</v>
      </c>
      <c r="P41" s="11" t="s">
        <v>91</v>
      </c>
      <c r="Q41" s="11" t="s">
        <v>435</v>
      </c>
      <c r="R41" s="11" t="s">
        <v>93</v>
      </c>
      <c r="S41" s="11" t="s">
        <v>92</v>
      </c>
      <c r="T41" s="11" t="s">
        <v>436</v>
      </c>
      <c r="U41" s="11" t="s">
        <v>94</v>
      </c>
      <c r="V41" s="11" t="s">
        <v>443</v>
      </c>
      <c r="W41" s="11" t="s">
        <v>442</v>
      </c>
    </row>
    <row r="42" spans="1:23">
      <c r="A42" s="11" t="s">
        <v>473</v>
      </c>
      <c r="B42" s="11">
        <f ca="1">+IF(A42=WORLDCUP!$BI$112,1,0)</f>
        <v>0</v>
      </c>
      <c r="C42" s="11" t="str">
        <f ca="1">+WORLDCUP!BD60</f>
        <v>Scotland</v>
      </c>
      <c r="D42" s="11" t="str">
        <f ca="1">+WORLDCUP!BD64</f>
        <v>Iran</v>
      </c>
      <c r="E42" s="11" t="str">
        <f ca="1">+WORLDCUP!BD67</f>
        <v>Algeria</v>
      </c>
      <c r="F42" s="11" t="str">
        <f ca="1">+WORLDCUP!BD61</f>
        <v>Paraguay</v>
      </c>
      <c r="G42" s="11" t="str">
        <f ca="1">+WORLDCUP!BD65</f>
        <v>Uruguay</v>
      </c>
      <c r="H42" s="11" t="str">
        <f ca="1">+WORLDCUP!BD63</f>
        <v>Sweden</v>
      </c>
      <c r="I42" s="11" t="str">
        <f ca="1">+WORLDCUP!BD69</f>
        <v>Ghana</v>
      </c>
      <c r="J42" s="11" t="str">
        <f ca="1">+WORLDCUP!BD62</f>
        <v>Ecuador</v>
      </c>
      <c r="N42" s="11" t="s">
        <v>473</v>
      </c>
      <c r="O42" s="11">
        <v>41</v>
      </c>
      <c r="P42" s="11" t="s">
        <v>91</v>
      </c>
      <c r="Q42" s="11" t="s">
        <v>435</v>
      </c>
      <c r="R42" s="11" t="s">
        <v>441</v>
      </c>
      <c r="S42" s="11" t="s">
        <v>92</v>
      </c>
      <c r="T42" s="11" t="s">
        <v>436</v>
      </c>
      <c r="U42" s="11" t="s">
        <v>94</v>
      </c>
      <c r="V42" s="11" t="s">
        <v>443</v>
      </c>
      <c r="W42" s="11" t="s">
        <v>93</v>
      </c>
    </row>
    <row r="43" spans="1:23">
      <c r="A43" s="11" t="s">
        <v>472</v>
      </c>
      <c r="B43" s="11">
        <f ca="1">+IF(A43=WORLDCUP!$BI$112,1,0)</f>
        <v>0</v>
      </c>
      <c r="C43" s="11" t="str">
        <f ca="1">+WORLDCUP!BD60</f>
        <v>Scotland</v>
      </c>
      <c r="D43" s="11" t="str">
        <f ca="1">+WORLDCUP!BD64</f>
        <v>Iran</v>
      </c>
      <c r="E43" s="11" t="str">
        <f ca="1">+WORLDCUP!BD67</f>
        <v>Algeria</v>
      </c>
      <c r="F43" s="11" t="str">
        <f ca="1">+WORLDCUP!BD61</f>
        <v>Paraguay</v>
      </c>
      <c r="G43" s="11" t="str">
        <f ca="1">+WORLDCUP!BD65</f>
        <v>Uruguay</v>
      </c>
      <c r="H43" s="11" t="str">
        <f ca="1">+WORLDCUP!BD63</f>
        <v>Sweden</v>
      </c>
      <c r="I43" s="11" t="str">
        <f ca="1">+WORLDCUP!BD62</f>
        <v>Ecuador</v>
      </c>
      <c r="J43" s="11" t="str">
        <f ca="1">+WORLDCUP!BD68</f>
        <v>DR Congo</v>
      </c>
      <c r="N43" s="11" t="s">
        <v>472</v>
      </c>
      <c r="O43" s="11">
        <v>42</v>
      </c>
      <c r="P43" s="11" t="s">
        <v>91</v>
      </c>
      <c r="Q43" s="11" t="s">
        <v>435</v>
      </c>
      <c r="R43" s="11" t="s">
        <v>441</v>
      </c>
      <c r="S43" s="11" t="s">
        <v>92</v>
      </c>
      <c r="T43" s="11" t="s">
        <v>436</v>
      </c>
      <c r="U43" s="11" t="s">
        <v>94</v>
      </c>
      <c r="V43" s="11" t="s">
        <v>93</v>
      </c>
      <c r="W43" s="11" t="s">
        <v>442</v>
      </c>
    </row>
    <row r="44" spans="1:23">
      <c r="A44" s="11" t="s">
        <v>471</v>
      </c>
      <c r="B44" s="11">
        <f ca="1">+IF(A44=WORLDCUP!$BI$112,1,0)</f>
        <v>0</v>
      </c>
      <c r="C44" s="11" t="str">
        <f ca="1">+WORLDCUP!BD60</f>
        <v>Scotland</v>
      </c>
      <c r="D44" s="11" t="str">
        <f ca="1">+WORLDCUP!BD64</f>
        <v>Iran</v>
      </c>
      <c r="E44" s="11" t="str">
        <f ca="1">+WORLDCUP!BD62</f>
        <v>Ecuador</v>
      </c>
      <c r="F44" s="11" t="str">
        <f ca="1">+WORLDCUP!BD61</f>
        <v>Paraguay</v>
      </c>
      <c r="G44" s="11" t="str">
        <f ca="1">+WORLDCUP!BD65</f>
        <v>Uruguay</v>
      </c>
      <c r="H44" s="11" t="str">
        <f ca="1">+WORLDCUP!BD63</f>
        <v>Sweden</v>
      </c>
      <c r="I44" s="11" t="str">
        <f ca="1">+WORLDCUP!BD69</f>
        <v>Ghana</v>
      </c>
      <c r="J44" s="11" t="str">
        <f ca="1">+WORLDCUP!BD66</f>
        <v>Senegal</v>
      </c>
      <c r="N44" s="11" t="s">
        <v>471</v>
      </c>
      <c r="O44" s="11">
        <v>43</v>
      </c>
      <c r="P44" s="11" t="s">
        <v>91</v>
      </c>
      <c r="Q44" s="11" t="s">
        <v>435</v>
      </c>
      <c r="R44" s="11" t="s">
        <v>93</v>
      </c>
      <c r="S44" s="11" t="s">
        <v>92</v>
      </c>
      <c r="T44" s="11" t="s">
        <v>436</v>
      </c>
      <c r="U44" s="11" t="s">
        <v>94</v>
      </c>
      <c r="V44" s="11" t="s">
        <v>443</v>
      </c>
      <c r="W44" s="11" t="s">
        <v>440</v>
      </c>
    </row>
    <row r="45" spans="1:23">
      <c r="A45" s="11" t="s">
        <v>470</v>
      </c>
      <c r="B45" s="11">
        <f ca="1">+IF(A45=WORLDCUP!$BI$112,1,0)</f>
        <v>0</v>
      </c>
      <c r="C45" s="11" t="str">
        <f ca="1">+WORLDCUP!BD60</f>
        <v>Scotland</v>
      </c>
      <c r="D45" s="11" t="str">
        <f ca="1">+WORLDCUP!BD64</f>
        <v>Iran</v>
      </c>
      <c r="E45" s="11" t="str">
        <f ca="1">+WORLDCUP!BD62</f>
        <v>Ecuador</v>
      </c>
      <c r="F45" s="11" t="str">
        <f ca="1">+WORLDCUP!BD61</f>
        <v>Paraguay</v>
      </c>
      <c r="G45" s="11" t="str">
        <f ca="1">+WORLDCUP!BD65</f>
        <v>Uruguay</v>
      </c>
      <c r="H45" s="11" t="str">
        <f ca="1">+WORLDCUP!BD63</f>
        <v>Sweden</v>
      </c>
      <c r="I45" s="11" t="str">
        <f ca="1">+WORLDCUP!BD66</f>
        <v>Senegal</v>
      </c>
      <c r="J45" s="11" t="str">
        <f ca="1">+WORLDCUP!BD68</f>
        <v>DR Congo</v>
      </c>
      <c r="N45" s="11" t="s">
        <v>470</v>
      </c>
      <c r="O45" s="11">
        <v>44</v>
      </c>
      <c r="P45" s="11" t="s">
        <v>91</v>
      </c>
      <c r="Q45" s="11" t="s">
        <v>435</v>
      </c>
      <c r="R45" s="11" t="s">
        <v>93</v>
      </c>
      <c r="S45" s="11" t="s">
        <v>92</v>
      </c>
      <c r="T45" s="11" t="s">
        <v>436</v>
      </c>
      <c r="U45" s="11" t="s">
        <v>94</v>
      </c>
      <c r="V45" s="11" t="s">
        <v>440</v>
      </c>
      <c r="W45" s="11" t="s">
        <v>442</v>
      </c>
    </row>
    <row r="46" spans="1:23">
      <c r="A46" s="11" t="s">
        <v>469</v>
      </c>
      <c r="B46" s="11">
        <f ca="1">+IF(A46=WORLDCUP!$BI$112,1,0)</f>
        <v>0</v>
      </c>
      <c r="C46" s="11" t="str">
        <f ca="1">+WORLDCUP!BD60</f>
        <v>Scotland</v>
      </c>
      <c r="D46" s="11" t="str">
        <f ca="1">+WORLDCUP!BD64</f>
        <v>Iran</v>
      </c>
      <c r="E46" s="11" t="str">
        <f ca="1">+WORLDCUP!BD67</f>
        <v>Algeria</v>
      </c>
      <c r="F46" s="11" t="str">
        <f ca="1">+WORLDCUP!BD61</f>
        <v>Paraguay</v>
      </c>
      <c r="G46" s="11" t="str">
        <f ca="1">+WORLDCUP!BD65</f>
        <v>Uruguay</v>
      </c>
      <c r="H46" s="11" t="str">
        <f ca="1">+WORLDCUP!BD63</f>
        <v>Sweden</v>
      </c>
      <c r="I46" s="11" t="str">
        <f ca="1">+WORLDCUP!BD62</f>
        <v>Ecuador</v>
      </c>
      <c r="J46" s="11" t="str">
        <f ca="1">+WORLDCUP!BD66</f>
        <v>Senegal</v>
      </c>
      <c r="N46" s="11" t="s">
        <v>469</v>
      </c>
      <c r="O46" s="11">
        <v>45</v>
      </c>
      <c r="P46" s="11" t="s">
        <v>91</v>
      </c>
      <c r="Q46" s="11" t="s">
        <v>435</v>
      </c>
      <c r="R46" s="11" t="s">
        <v>441</v>
      </c>
      <c r="S46" s="11" t="s">
        <v>92</v>
      </c>
      <c r="T46" s="11" t="s">
        <v>436</v>
      </c>
      <c r="U46" s="11" t="s">
        <v>94</v>
      </c>
      <c r="V46" s="11" t="s">
        <v>93</v>
      </c>
      <c r="W46" s="11" t="s">
        <v>440</v>
      </c>
    </row>
    <row r="47" spans="1:23">
      <c r="A47" s="11" t="s">
        <v>606</v>
      </c>
      <c r="B47" s="11">
        <f ca="1">+IF(A47=WORLDCUP!$BI$112,1,0)</f>
        <v>0</v>
      </c>
      <c r="C47" s="11" t="str">
        <f ca="1">+WORLDCUP!BD65</f>
        <v>Uruguay</v>
      </c>
      <c r="D47" s="11" t="str">
        <f ca="1">+WORLDCUP!BD67</f>
        <v>Algeria</v>
      </c>
      <c r="E47" s="11" t="str">
        <f ca="1">+WORLDCUP!BD59</f>
        <v>Bosnia and Herzegovina</v>
      </c>
      <c r="F47" s="11" t="str">
        <f ca="1">+WORLDCUP!BD63</f>
        <v>Sweden</v>
      </c>
      <c r="G47" s="11" t="str">
        <f ca="1">+WORLDCUP!BD66</f>
        <v>Senegal</v>
      </c>
      <c r="H47" s="11" t="str">
        <f ca="1">+WORLDCUP!BD64</f>
        <v>Iran</v>
      </c>
      <c r="I47" s="11" t="str">
        <f ca="1">+WORLDCUP!BD69</f>
        <v>Ghana</v>
      </c>
      <c r="J47" s="11" t="str">
        <f ca="1">+WORLDCUP!BD68</f>
        <v>DR Congo</v>
      </c>
      <c r="N47" s="11" t="s">
        <v>606</v>
      </c>
      <c r="O47" s="11">
        <v>46</v>
      </c>
      <c r="P47" s="11" t="s">
        <v>436</v>
      </c>
      <c r="Q47" s="11" t="s">
        <v>441</v>
      </c>
      <c r="R47" s="11" t="s">
        <v>90</v>
      </c>
      <c r="S47" s="11" t="s">
        <v>94</v>
      </c>
      <c r="T47" s="11" t="s">
        <v>440</v>
      </c>
      <c r="U47" s="11" t="s">
        <v>435</v>
      </c>
      <c r="V47" s="11" t="s">
        <v>443</v>
      </c>
      <c r="W47" s="11" t="s">
        <v>442</v>
      </c>
    </row>
    <row r="48" spans="1:23">
      <c r="A48" s="11" t="s">
        <v>1160</v>
      </c>
      <c r="B48" s="11">
        <f ca="1">+IF(A48=WORLDCUP!$BI$112,1,0)</f>
        <v>0</v>
      </c>
      <c r="C48" s="11" t="str">
        <f ca="1">+WORLDCUP!BD62</f>
        <v>Ecuador</v>
      </c>
      <c r="D48" s="11" t="str">
        <f ca="1">+WORLDCUP!BD67</f>
        <v>Algeria</v>
      </c>
      <c r="E48" s="11" t="str">
        <f ca="1">+WORLDCUP!BD66</f>
        <v>Senegal</v>
      </c>
      <c r="F48" s="11" t="str">
        <f ca="1">+WORLDCUP!BD59</f>
        <v>Bosnia and Herzegovina</v>
      </c>
      <c r="G48" s="11" t="str">
        <f ca="1">+WORLDCUP!BD65</f>
        <v>Uruguay</v>
      </c>
      <c r="H48" s="11" t="str">
        <f ca="1">+WORLDCUP!BD64</f>
        <v>Iran</v>
      </c>
      <c r="I48" s="11" t="str">
        <f ca="1">+WORLDCUP!BD69</f>
        <v>Ghana</v>
      </c>
      <c r="J48" s="11" t="str">
        <f ca="1">+WORLDCUP!BD68</f>
        <v>DR Congo</v>
      </c>
      <c r="N48" s="11" t="s">
        <v>1160</v>
      </c>
      <c r="O48" s="11">
        <v>47</v>
      </c>
      <c r="P48" s="11" t="s">
        <v>93</v>
      </c>
      <c r="Q48" s="11" t="s">
        <v>441</v>
      </c>
      <c r="R48" s="11" t="s">
        <v>440</v>
      </c>
      <c r="S48" s="11" t="s">
        <v>90</v>
      </c>
      <c r="T48" s="11" t="s">
        <v>436</v>
      </c>
      <c r="U48" s="11" t="s">
        <v>435</v>
      </c>
      <c r="V48" s="11" t="s">
        <v>443</v>
      </c>
      <c r="W48" s="11" t="s">
        <v>442</v>
      </c>
    </row>
    <row r="49" spans="1:23">
      <c r="A49" s="11" t="s">
        <v>1159</v>
      </c>
      <c r="B49" s="11">
        <f ca="1">+IF(A49=WORLDCUP!$BI$112,1,0)</f>
        <v>0</v>
      </c>
      <c r="C49" s="11" t="str">
        <f ca="1">+WORLDCUP!BD62</f>
        <v>Ecuador</v>
      </c>
      <c r="D49" s="11" t="str">
        <f ca="1">+WORLDCUP!BD67</f>
        <v>Algeria</v>
      </c>
      <c r="E49" s="11" t="str">
        <f ca="1">+WORLDCUP!BD59</f>
        <v>Bosnia and Herzegovina</v>
      </c>
      <c r="F49" s="11" t="str">
        <f ca="1">+WORLDCUP!BD63</f>
        <v>Sweden</v>
      </c>
      <c r="G49" s="11" t="str">
        <f ca="1">+WORLDCUP!BD66</f>
        <v>Senegal</v>
      </c>
      <c r="H49" s="11" t="str">
        <f ca="1">+WORLDCUP!BD65</f>
        <v>Uruguay</v>
      </c>
      <c r="I49" s="11" t="str">
        <f ca="1">+WORLDCUP!BD69</f>
        <v>Ghana</v>
      </c>
      <c r="J49" s="11" t="str">
        <f ca="1">+WORLDCUP!BD68</f>
        <v>DR Congo</v>
      </c>
      <c r="N49" s="11" t="s">
        <v>1159</v>
      </c>
      <c r="O49" s="11">
        <v>48</v>
      </c>
      <c r="P49" s="11" t="s">
        <v>93</v>
      </c>
      <c r="Q49" s="11" t="s">
        <v>441</v>
      </c>
      <c r="R49" s="11" t="s">
        <v>90</v>
      </c>
      <c r="S49" s="11" t="s">
        <v>94</v>
      </c>
      <c r="T49" s="11" t="s">
        <v>440</v>
      </c>
      <c r="U49" s="11" t="s">
        <v>436</v>
      </c>
      <c r="V49" s="11" t="s">
        <v>443</v>
      </c>
      <c r="W49" s="11" t="s">
        <v>442</v>
      </c>
    </row>
    <row r="50" spans="1:23">
      <c r="A50" s="11" t="s">
        <v>1158</v>
      </c>
      <c r="B50" s="11">
        <f ca="1">+IF(A50=WORLDCUP!$BI$112,1,0)</f>
        <v>0</v>
      </c>
      <c r="C50" s="11" t="str">
        <f ca="1">+WORLDCUP!BD62</f>
        <v>Ecuador</v>
      </c>
      <c r="D50" s="11" t="str">
        <f ca="1">+WORLDCUP!BD67</f>
        <v>Algeria</v>
      </c>
      <c r="E50" s="11" t="str">
        <f ca="1">+WORLDCUP!BD59</f>
        <v>Bosnia and Herzegovina</v>
      </c>
      <c r="F50" s="11" t="str">
        <f ca="1">+WORLDCUP!BD63</f>
        <v>Sweden</v>
      </c>
      <c r="G50" s="11" t="str">
        <f ca="1">+WORLDCUP!BD66</f>
        <v>Senegal</v>
      </c>
      <c r="H50" s="11" t="str">
        <f ca="1">+WORLDCUP!BD64</f>
        <v>Iran</v>
      </c>
      <c r="I50" s="11" t="str">
        <f ca="1">+WORLDCUP!BD69</f>
        <v>Ghana</v>
      </c>
      <c r="J50" s="11" t="str">
        <f ca="1">+WORLDCUP!BD68</f>
        <v>DR Congo</v>
      </c>
      <c r="N50" s="11" t="s">
        <v>1158</v>
      </c>
      <c r="O50" s="11">
        <v>49</v>
      </c>
      <c r="P50" s="11" t="s">
        <v>93</v>
      </c>
      <c r="Q50" s="11" t="s">
        <v>441</v>
      </c>
      <c r="R50" s="11" t="s">
        <v>90</v>
      </c>
      <c r="S50" s="11" t="s">
        <v>94</v>
      </c>
      <c r="T50" s="11" t="s">
        <v>440</v>
      </c>
      <c r="U50" s="11" t="s">
        <v>435</v>
      </c>
      <c r="V50" s="11" t="s">
        <v>443</v>
      </c>
      <c r="W50" s="11" t="s">
        <v>442</v>
      </c>
    </row>
    <row r="51" spans="1:23">
      <c r="A51" s="11" t="s">
        <v>1157</v>
      </c>
      <c r="B51" s="11">
        <f ca="1">+IF(A51=WORLDCUP!$BI$112,1,0)</f>
        <v>0</v>
      </c>
      <c r="C51" s="11" t="str">
        <f ca="1">+WORLDCUP!BD62</f>
        <v>Ecuador</v>
      </c>
      <c r="D51" s="11" t="str">
        <f ca="1">+WORLDCUP!BD67</f>
        <v>Algeria</v>
      </c>
      <c r="E51" s="11" t="str">
        <f ca="1">+WORLDCUP!BD59</f>
        <v>Bosnia and Herzegovina</v>
      </c>
      <c r="F51" s="11" t="str">
        <f ca="1">+WORLDCUP!BD63</f>
        <v>Sweden</v>
      </c>
      <c r="G51" s="11" t="str">
        <f ca="1">+WORLDCUP!BD65</f>
        <v>Uruguay</v>
      </c>
      <c r="H51" s="11" t="str">
        <f ca="1">+WORLDCUP!BD64</f>
        <v>Iran</v>
      </c>
      <c r="I51" s="11" t="str">
        <f ca="1">+WORLDCUP!BD69</f>
        <v>Ghana</v>
      </c>
      <c r="J51" s="11" t="str">
        <f ca="1">+WORLDCUP!BD68</f>
        <v>DR Congo</v>
      </c>
      <c r="N51" s="11" t="s">
        <v>1157</v>
      </c>
      <c r="O51" s="11">
        <v>50</v>
      </c>
      <c r="P51" s="11" t="s">
        <v>93</v>
      </c>
      <c r="Q51" s="11" t="s">
        <v>441</v>
      </c>
      <c r="R51" s="11" t="s">
        <v>90</v>
      </c>
      <c r="S51" s="11" t="s">
        <v>94</v>
      </c>
      <c r="T51" s="11" t="s">
        <v>436</v>
      </c>
      <c r="U51" s="11" t="s">
        <v>435</v>
      </c>
      <c r="V51" s="11" t="s">
        <v>443</v>
      </c>
      <c r="W51" s="11" t="s">
        <v>442</v>
      </c>
    </row>
    <row r="52" spans="1:23">
      <c r="A52" s="11" t="s">
        <v>605</v>
      </c>
      <c r="B52" s="11">
        <f ca="1">+IF(A52=WORLDCUP!$BI$112,1,0)</f>
        <v>0</v>
      </c>
      <c r="C52" s="11" t="str">
        <f ca="1">+WORLDCUP!BD62</f>
        <v>Ecuador</v>
      </c>
      <c r="D52" s="11" t="str">
        <f ca="1">+WORLDCUP!BD64</f>
        <v>Iran</v>
      </c>
      <c r="E52" s="11" t="str">
        <f ca="1">+WORLDCUP!BD59</f>
        <v>Bosnia and Herzegovina</v>
      </c>
      <c r="F52" s="11" t="str">
        <f ca="1">+WORLDCUP!BD63</f>
        <v>Sweden</v>
      </c>
      <c r="G52" s="11" t="str">
        <f ca="1">+WORLDCUP!BD66</f>
        <v>Senegal</v>
      </c>
      <c r="H52" s="11" t="str">
        <f ca="1">+WORLDCUP!BD65</f>
        <v>Uruguay</v>
      </c>
      <c r="I52" s="11" t="str">
        <f ca="1">+WORLDCUP!BD69</f>
        <v>Ghana</v>
      </c>
      <c r="J52" s="11" t="str">
        <f ca="1">+WORLDCUP!BD68</f>
        <v>DR Congo</v>
      </c>
      <c r="N52" s="11" t="s">
        <v>605</v>
      </c>
      <c r="O52" s="11">
        <v>51</v>
      </c>
      <c r="P52" s="11" t="s">
        <v>93</v>
      </c>
      <c r="Q52" s="11" t="s">
        <v>435</v>
      </c>
      <c r="R52" s="11" t="s">
        <v>90</v>
      </c>
      <c r="S52" s="11" t="s">
        <v>94</v>
      </c>
      <c r="T52" s="11" t="s">
        <v>440</v>
      </c>
      <c r="U52" s="11" t="s">
        <v>436</v>
      </c>
      <c r="V52" s="11" t="s">
        <v>443</v>
      </c>
      <c r="W52" s="11" t="s">
        <v>442</v>
      </c>
    </row>
    <row r="53" spans="1:23">
      <c r="A53" s="11" t="s">
        <v>604</v>
      </c>
      <c r="B53" s="11">
        <f ca="1">+IF(A53=WORLDCUP!$BI$112,1,0)</f>
        <v>0</v>
      </c>
      <c r="C53" s="11" t="str">
        <f ca="1">+WORLDCUP!BD62</f>
        <v>Ecuador</v>
      </c>
      <c r="D53" s="11" t="str">
        <f ca="1">+WORLDCUP!BD67</f>
        <v>Algeria</v>
      </c>
      <c r="E53" s="11" t="str">
        <f ca="1">+WORLDCUP!BD59</f>
        <v>Bosnia and Herzegovina</v>
      </c>
      <c r="F53" s="11" t="str">
        <f ca="1">+WORLDCUP!BD63</f>
        <v>Sweden</v>
      </c>
      <c r="G53" s="11" t="str">
        <f ca="1">+WORLDCUP!BD65</f>
        <v>Uruguay</v>
      </c>
      <c r="H53" s="11" t="str">
        <f ca="1">+WORLDCUP!BD64</f>
        <v>Iran</v>
      </c>
      <c r="I53" s="11" t="str">
        <f ca="1">+WORLDCUP!BD69</f>
        <v>Ghana</v>
      </c>
      <c r="J53" s="11" t="str">
        <f ca="1">+WORLDCUP!BD66</f>
        <v>Senegal</v>
      </c>
      <c r="N53" s="11" t="s">
        <v>604</v>
      </c>
      <c r="O53" s="11">
        <v>52</v>
      </c>
      <c r="P53" s="11" t="s">
        <v>93</v>
      </c>
      <c r="Q53" s="11" t="s">
        <v>441</v>
      </c>
      <c r="R53" s="11" t="s">
        <v>90</v>
      </c>
      <c r="S53" s="11" t="s">
        <v>94</v>
      </c>
      <c r="T53" s="11" t="s">
        <v>436</v>
      </c>
      <c r="U53" s="11" t="s">
        <v>435</v>
      </c>
      <c r="V53" s="11" t="s">
        <v>443</v>
      </c>
      <c r="W53" s="11" t="s">
        <v>440</v>
      </c>
    </row>
    <row r="54" spans="1:23">
      <c r="A54" s="11" t="s">
        <v>603</v>
      </c>
      <c r="B54" s="11">
        <f ca="1">+IF(A54=WORLDCUP!$BI$112,1,0)</f>
        <v>0</v>
      </c>
      <c r="C54" s="11" t="str">
        <f ca="1">+WORLDCUP!BD62</f>
        <v>Ecuador</v>
      </c>
      <c r="D54" s="11" t="str">
        <f ca="1">+WORLDCUP!BD67</f>
        <v>Algeria</v>
      </c>
      <c r="E54" s="11" t="str">
        <f ca="1">+WORLDCUP!BD59</f>
        <v>Bosnia and Herzegovina</v>
      </c>
      <c r="F54" s="11" t="str">
        <f ca="1">+WORLDCUP!BD63</f>
        <v>Sweden</v>
      </c>
      <c r="G54" s="11" t="str">
        <f ca="1">+WORLDCUP!BD65</f>
        <v>Uruguay</v>
      </c>
      <c r="H54" s="11" t="str">
        <f ca="1">+WORLDCUP!BD64</f>
        <v>Iran</v>
      </c>
      <c r="I54" s="11" t="str">
        <f ca="1">+WORLDCUP!BD66</f>
        <v>Senegal</v>
      </c>
      <c r="J54" s="11" t="str">
        <f ca="1">+WORLDCUP!BD68</f>
        <v>DR Congo</v>
      </c>
      <c r="N54" s="11" t="s">
        <v>603</v>
      </c>
      <c r="O54" s="11">
        <v>53</v>
      </c>
      <c r="P54" s="11" t="s">
        <v>93</v>
      </c>
      <c r="Q54" s="11" t="s">
        <v>441</v>
      </c>
      <c r="R54" s="11" t="s">
        <v>90</v>
      </c>
      <c r="S54" s="11" t="s">
        <v>94</v>
      </c>
      <c r="T54" s="11" t="s">
        <v>436</v>
      </c>
      <c r="U54" s="11" t="s">
        <v>435</v>
      </c>
      <c r="V54" s="11" t="s">
        <v>440</v>
      </c>
      <c r="W54" s="11" t="s">
        <v>442</v>
      </c>
    </row>
    <row r="55" spans="1:23">
      <c r="A55" s="11" t="s">
        <v>1156</v>
      </c>
      <c r="B55" s="11">
        <f ca="1">+IF(A55=WORLDCUP!$BI$112,1,0)</f>
        <v>0</v>
      </c>
      <c r="C55" s="11" t="str">
        <f ca="1">+WORLDCUP!BD65</f>
        <v>Uruguay</v>
      </c>
      <c r="D55" s="11" t="str">
        <f ca="1">+WORLDCUP!BD67</f>
        <v>Algeria</v>
      </c>
      <c r="E55" s="11" t="str">
        <f ca="1">+WORLDCUP!BD59</f>
        <v>Bosnia and Herzegovina</v>
      </c>
      <c r="F55" s="11" t="str">
        <f ca="1">+WORLDCUP!BD61</f>
        <v>Paraguay</v>
      </c>
      <c r="G55" s="11" t="str">
        <f ca="1">+WORLDCUP!BD66</f>
        <v>Senegal</v>
      </c>
      <c r="H55" s="11" t="str">
        <f ca="1">+WORLDCUP!BD64</f>
        <v>Iran</v>
      </c>
      <c r="I55" s="11" t="str">
        <f ca="1">+WORLDCUP!BD69</f>
        <v>Ghana</v>
      </c>
      <c r="J55" s="11" t="str">
        <f ca="1">+WORLDCUP!BD68</f>
        <v>DR Congo</v>
      </c>
      <c r="N55" s="11" t="s">
        <v>1156</v>
      </c>
      <c r="O55" s="11">
        <v>54</v>
      </c>
      <c r="P55" s="11" t="s">
        <v>436</v>
      </c>
      <c r="Q55" s="11" t="s">
        <v>441</v>
      </c>
      <c r="R55" s="11" t="s">
        <v>90</v>
      </c>
      <c r="S55" s="11" t="s">
        <v>92</v>
      </c>
      <c r="T55" s="11" t="s">
        <v>440</v>
      </c>
      <c r="U55" s="11" t="s">
        <v>435</v>
      </c>
      <c r="V55" s="11" t="s">
        <v>443</v>
      </c>
      <c r="W55" s="11" t="s">
        <v>442</v>
      </c>
    </row>
    <row r="56" spans="1:23">
      <c r="A56" s="11" t="s">
        <v>1155</v>
      </c>
      <c r="B56" s="11">
        <f ca="1">+IF(A56=WORLDCUP!$BI$112,1,0)</f>
        <v>0</v>
      </c>
      <c r="C56" s="11" t="str">
        <f ca="1">+WORLDCUP!BD65</f>
        <v>Uruguay</v>
      </c>
      <c r="D56" s="11" t="str">
        <f ca="1">+WORLDCUP!BD67</f>
        <v>Algeria</v>
      </c>
      <c r="E56" s="11" t="str">
        <f ca="1">+WORLDCUP!BD59</f>
        <v>Bosnia and Herzegovina</v>
      </c>
      <c r="F56" s="11" t="str">
        <f ca="1">+WORLDCUP!BD61</f>
        <v>Paraguay</v>
      </c>
      <c r="G56" s="11" t="str">
        <f ca="1">+WORLDCUP!BD66</f>
        <v>Senegal</v>
      </c>
      <c r="H56" s="11" t="str">
        <f ca="1">+WORLDCUP!BD63</f>
        <v>Sweden</v>
      </c>
      <c r="I56" s="11" t="str">
        <f ca="1">+WORLDCUP!BD69</f>
        <v>Ghana</v>
      </c>
      <c r="J56" s="11" t="str">
        <f ca="1">+WORLDCUP!BD68</f>
        <v>DR Congo</v>
      </c>
      <c r="N56" s="11" t="s">
        <v>1155</v>
      </c>
      <c r="O56" s="11">
        <v>55</v>
      </c>
      <c r="P56" s="11" t="s">
        <v>436</v>
      </c>
      <c r="Q56" s="11" t="s">
        <v>441</v>
      </c>
      <c r="R56" s="11" t="s">
        <v>90</v>
      </c>
      <c r="S56" s="11" t="s">
        <v>92</v>
      </c>
      <c r="T56" s="11" t="s">
        <v>440</v>
      </c>
      <c r="U56" s="11" t="s">
        <v>94</v>
      </c>
      <c r="V56" s="11" t="s">
        <v>443</v>
      </c>
      <c r="W56" s="11" t="s">
        <v>442</v>
      </c>
    </row>
    <row r="57" spans="1:23">
      <c r="A57" s="11" t="s">
        <v>1154</v>
      </c>
      <c r="B57" s="11">
        <f ca="1">+IF(A57=WORLDCUP!$BI$112,1,0)</f>
        <v>0</v>
      </c>
      <c r="C57" s="11" t="str">
        <f ca="1">+WORLDCUP!BD66</f>
        <v>Senegal</v>
      </c>
      <c r="D57" s="11" t="str">
        <f ca="1">+WORLDCUP!BD64</f>
        <v>Iran</v>
      </c>
      <c r="E57" s="11" t="str">
        <f ca="1">+WORLDCUP!BD59</f>
        <v>Bosnia and Herzegovina</v>
      </c>
      <c r="F57" s="11" t="str">
        <f ca="1">+WORLDCUP!BD61</f>
        <v>Paraguay</v>
      </c>
      <c r="G57" s="11" t="str">
        <f ca="1">+WORLDCUP!BD67</f>
        <v>Algeria</v>
      </c>
      <c r="H57" s="11" t="str">
        <f ca="1">+WORLDCUP!BD63</f>
        <v>Sweden</v>
      </c>
      <c r="I57" s="11" t="str">
        <f ca="1">+WORLDCUP!BD69</f>
        <v>Ghana</v>
      </c>
      <c r="J57" s="11" t="str">
        <f ca="1">+WORLDCUP!BD68</f>
        <v>DR Congo</v>
      </c>
      <c r="N57" s="11" t="s">
        <v>1154</v>
      </c>
      <c r="O57" s="11">
        <v>56</v>
      </c>
      <c r="P57" s="11" t="s">
        <v>440</v>
      </c>
      <c r="Q57" s="11" t="s">
        <v>435</v>
      </c>
      <c r="R57" s="11" t="s">
        <v>90</v>
      </c>
      <c r="S57" s="11" t="s">
        <v>92</v>
      </c>
      <c r="T57" s="11" t="s">
        <v>441</v>
      </c>
      <c r="U57" s="11" t="s">
        <v>94</v>
      </c>
      <c r="V57" s="11" t="s">
        <v>443</v>
      </c>
      <c r="W57" s="11" t="s">
        <v>442</v>
      </c>
    </row>
    <row r="58" spans="1:23">
      <c r="A58" s="11" t="s">
        <v>1153</v>
      </c>
      <c r="B58" s="11">
        <f ca="1">+IF(A58=WORLDCUP!$BI$112,1,0)</f>
        <v>0</v>
      </c>
      <c r="C58" s="11" t="str">
        <f ca="1">+WORLDCUP!BD65</f>
        <v>Uruguay</v>
      </c>
      <c r="D58" s="11" t="str">
        <f ca="1">+WORLDCUP!BD64</f>
        <v>Iran</v>
      </c>
      <c r="E58" s="11" t="str">
        <f ca="1">+WORLDCUP!BD59</f>
        <v>Bosnia and Herzegovina</v>
      </c>
      <c r="F58" s="11" t="str">
        <f ca="1">+WORLDCUP!BD61</f>
        <v>Paraguay</v>
      </c>
      <c r="G58" s="11" t="str">
        <f ca="1">+WORLDCUP!BD67</f>
        <v>Algeria</v>
      </c>
      <c r="H58" s="11" t="str">
        <f ca="1">+WORLDCUP!BD63</f>
        <v>Sweden</v>
      </c>
      <c r="I58" s="11" t="str">
        <f ca="1">+WORLDCUP!BD69</f>
        <v>Ghana</v>
      </c>
      <c r="J58" s="11" t="str">
        <f ca="1">+WORLDCUP!BD68</f>
        <v>DR Congo</v>
      </c>
      <c r="N58" s="11" t="s">
        <v>1153</v>
      </c>
      <c r="O58" s="11">
        <v>57</v>
      </c>
      <c r="P58" s="11" t="s">
        <v>436</v>
      </c>
      <c r="Q58" s="11" t="s">
        <v>435</v>
      </c>
      <c r="R58" s="11" t="s">
        <v>90</v>
      </c>
      <c r="S58" s="11" t="s">
        <v>92</v>
      </c>
      <c r="T58" s="11" t="s">
        <v>441</v>
      </c>
      <c r="U58" s="11" t="s">
        <v>94</v>
      </c>
      <c r="V58" s="11" t="s">
        <v>443</v>
      </c>
      <c r="W58" s="11" t="s">
        <v>442</v>
      </c>
    </row>
    <row r="59" spans="1:23">
      <c r="A59" s="11" t="s">
        <v>1152</v>
      </c>
      <c r="B59" s="11">
        <f ca="1">+IF(A59=WORLDCUP!$BI$112,1,0)</f>
        <v>0</v>
      </c>
      <c r="C59" s="11" t="str">
        <f ca="1">+WORLDCUP!BD65</f>
        <v>Uruguay</v>
      </c>
      <c r="D59" s="11" t="str">
        <f ca="1">+WORLDCUP!BD64</f>
        <v>Iran</v>
      </c>
      <c r="E59" s="11" t="str">
        <f ca="1">+WORLDCUP!BD59</f>
        <v>Bosnia and Herzegovina</v>
      </c>
      <c r="F59" s="11" t="str">
        <f ca="1">+WORLDCUP!BD61</f>
        <v>Paraguay</v>
      </c>
      <c r="G59" s="11" t="str">
        <f ca="1">+WORLDCUP!BD66</f>
        <v>Senegal</v>
      </c>
      <c r="H59" s="11" t="str">
        <f ca="1">+WORLDCUP!BD63</f>
        <v>Sweden</v>
      </c>
      <c r="I59" s="11" t="str">
        <f ca="1">+WORLDCUP!BD69</f>
        <v>Ghana</v>
      </c>
      <c r="J59" s="11" t="str">
        <f ca="1">+WORLDCUP!BD68</f>
        <v>DR Congo</v>
      </c>
      <c r="N59" s="11" t="s">
        <v>1152</v>
      </c>
      <c r="O59" s="11">
        <v>58</v>
      </c>
      <c r="P59" s="11" t="s">
        <v>436</v>
      </c>
      <c r="Q59" s="11" t="s">
        <v>435</v>
      </c>
      <c r="R59" s="11" t="s">
        <v>90</v>
      </c>
      <c r="S59" s="11" t="s">
        <v>92</v>
      </c>
      <c r="T59" s="11" t="s">
        <v>440</v>
      </c>
      <c r="U59" s="11" t="s">
        <v>94</v>
      </c>
      <c r="V59" s="11" t="s">
        <v>443</v>
      </c>
      <c r="W59" s="11" t="s">
        <v>442</v>
      </c>
    </row>
    <row r="60" spans="1:23">
      <c r="A60" s="11" t="s">
        <v>1151</v>
      </c>
      <c r="B60" s="11">
        <f ca="1">+IF(A60=WORLDCUP!$BI$112,1,0)</f>
        <v>0</v>
      </c>
      <c r="C60" s="11" t="str">
        <f ca="1">+WORLDCUP!BD65</f>
        <v>Uruguay</v>
      </c>
      <c r="D60" s="11" t="str">
        <f ca="1">+WORLDCUP!BD64</f>
        <v>Iran</v>
      </c>
      <c r="E60" s="11" t="str">
        <f ca="1">+WORLDCUP!BD59</f>
        <v>Bosnia and Herzegovina</v>
      </c>
      <c r="F60" s="11" t="str">
        <f ca="1">+WORLDCUP!BD61</f>
        <v>Paraguay</v>
      </c>
      <c r="G60" s="11" t="str">
        <f ca="1">+WORLDCUP!BD67</f>
        <v>Algeria</v>
      </c>
      <c r="H60" s="11" t="str">
        <f ca="1">+WORLDCUP!BD63</f>
        <v>Sweden</v>
      </c>
      <c r="I60" s="11" t="str">
        <f ca="1">+WORLDCUP!BD69</f>
        <v>Ghana</v>
      </c>
      <c r="J60" s="11" t="str">
        <f ca="1">+WORLDCUP!BD66</f>
        <v>Senegal</v>
      </c>
      <c r="N60" s="11" t="s">
        <v>1151</v>
      </c>
      <c r="O60" s="11">
        <v>59</v>
      </c>
      <c r="P60" s="11" t="s">
        <v>436</v>
      </c>
      <c r="Q60" s="11" t="s">
        <v>435</v>
      </c>
      <c r="R60" s="11" t="s">
        <v>90</v>
      </c>
      <c r="S60" s="11" t="s">
        <v>92</v>
      </c>
      <c r="T60" s="11" t="s">
        <v>441</v>
      </c>
      <c r="U60" s="11" t="s">
        <v>94</v>
      </c>
      <c r="V60" s="11" t="s">
        <v>443</v>
      </c>
      <c r="W60" s="11" t="s">
        <v>440</v>
      </c>
    </row>
    <row r="61" spans="1:23">
      <c r="A61" s="11" t="s">
        <v>1150</v>
      </c>
      <c r="B61" s="11">
        <f ca="1">+IF(A61=WORLDCUP!$BI$112,1,0)</f>
        <v>0</v>
      </c>
      <c r="C61" s="11" t="str">
        <f ca="1">+WORLDCUP!BD65</f>
        <v>Uruguay</v>
      </c>
      <c r="D61" s="11" t="str">
        <f ca="1">+WORLDCUP!BD64</f>
        <v>Iran</v>
      </c>
      <c r="E61" s="11" t="str">
        <f ca="1">+WORLDCUP!BD59</f>
        <v>Bosnia and Herzegovina</v>
      </c>
      <c r="F61" s="11" t="str">
        <f ca="1">+WORLDCUP!BD61</f>
        <v>Paraguay</v>
      </c>
      <c r="G61" s="11" t="str">
        <f ca="1">+WORLDCUP!BD67</f>
        <v>Algeria</v>
      </c>
      <c r="H61" s="11" t="str">
        <f ca="1">+WORLDCUP!BD63</f>
        <v>Sweden</v>
      </c>
      <c r="I61" s="11" t="str">
        <f ca="1">+WORLDCUP!BD66</f>
        <v>Senegal</v>
      </c>
      <c r="J61" s="11" t="str">
        <f ca="1">+WORLDCUP!BD68</f>
        <v>DR Congo</v>
      </c>
      <c r="N61" s="11" t="s">
        <v>1150</v>
      </c>
      <c r="O61" s="11">
        <v>60</v>
      </c>
      <c r="P61" s="11" t="s">
        <v>436</v>
      </c>
      <c r="Q61" s="11" t="s">
        <v>435</v>
      </c>
      <c r="R61" s="11" t="s">
        <v>90</v>
      </c>
      <c r="S61" s="11" t="s">
        <v>92</v>
      </c>
      <c r="T61" s="11" t="s">
        <v>441</v>
      </c>
      <c r="U61" s="11" t="s">
        <v>94</v>
      </c>
      <c r="V61" s="11" t="s">
        <v>440</v>
      </c>
      <c r="W61" s="11" t="s">
        <v>442</v>
      </c>
    </row>
    <row r="62" spans="1:23">
      <c r="A62" s="11" t="s">
        <v>1149</v>
      </c>
      <c r="B62" s="11">
        <f ca="1">+IF(A62=WORLDCUP!$BI$112,1,0)</f>
        <v>0</v>
      </c>
      <c r="C62" s="11" t="str">
        <f ca="1">+WORLDCUP!BD62</f>
        <v>Ecuador</v>
      </c>
      <c r="D62" s="11" t="str">
        <f ca="1">+WORLDCUP!BD67</f>
        <v>Algeria</v>
      </c>
      <c r="E62" s="11" t="str">
        <f ca="1">+WORLDCUP!BD59</f>
        <v>Bosnia and Herzegovina</v>
      </c>
      <c r="F62" s="11" t="str">
        <f ca="1">+WORLDCUP!BD61</f>
        <v>Paraguay</v>
      </c>
      <c r="G62" s="11" t="str">
        <f ca="1">+WORLDCUP!BD66</f>
        <v>Senegal</v>
      </c>
      <c r="H62" s="11" t="str">
        <f ca="1">+WORLDCUP!BD65</f>
        <v>Uruguay</v>
      </c>
      <c r="I62" s="11" t="str">
        <f ca="1">+WORLDCUP!BD69</f>
        <v>Ghana</v>
      </c>
      <c r="J62" s="11" t="str">
        <f ca="1">+WORLDCUP!BD68</f>
        <v>DR Congo</v>
      </c>
      <c r="N62" s="11" t="s">
        <v>1149</v>
      </c>
      <c r="O62" s="11">
        <v>61</v>
      </c>
      <c r="P62" s="11" t="s">
        <v>93</v>
      </c>
      <c r="Q62" s="11" t="s">
        <v>441</v>
      </c>
      <c r="R62" s="11" t="s">
        <v>90</v>
      </c>
      <c r="S62" s="11" t="s">
        <v>92</v>
      </c>
      <c r="T62" s="11" t="s">
        <v>440</v>
      </c>
      <c r="U62" s="11" t="s">
        <v>436</v>
      </c>
      <c r="V62" s="11" t="s">
        <v>443</v>
      </c>
      <c r="W62" s="11" t="s">
        <v>442</v>
      </c>
    </row>
    <row r="63" spans="1:23">
      <c r="A63" s="11" t="s">
        <v>1148</v>
      </c>
      <c r="B63" s="11">
        <f ca="1">+IF(A63=WORLDCUP!$BI$112,1,0)</f>
        <v>0</v>
      </c>
      <c r="C63" s="11" t="str">
        <f ca="1">+WORLDCUP!BD62</f>
        <v>Ecuador</v>
      </c>
      <c r="D63" s="11" t="str">
        <f ca="1">+WORLDCUP!BD67</f>
        <v>Algeria</v>
      </c>
      <c r="E63" s="11" t="str">
        <f ca="1">+WORLDCUP!BD59</f>
        <v>Bosnia and Herzegovina</v>
      </c>
      <c r="F63" s="11" t="str">
        <f ca="1">+WORLDCUP!BD61</f>
        <v>Paraguay</v>
      </c>
      <c r="G63" s="11" t="str">
        <f ca="1">+WORLDCUP!BD66</f>
        <v>Senegal</v>
      </c>
      <c r="H63" s="11" t="str">
        <f ca="1">+WORLDCUP!BD64</f>
        <v>Iran</v>
      </c>
      <c r="I63" s="11" t="str">
        <f ca="1">+WORLDCUP!BD69</f>
        <v>Ghana</v>
      </c>
      <c r="J63" s="11" t="str">
        <f ca="1">+WORLDCUP!BD68</f>
        <v>DR Congo</v>
      </c>
      <c r="N63" s="11" t="s">
        <v>1148</v>
      </c>
      <c r="O63" s="11">
        <v>62</v>
      </c>
      <c r="P63" s="11" t="s">
        <v>93</v>
      </c>
      <c r="Q63" s="11" t="s">
        <v>441</v>
      </c>
      <c r="R63" s="11" t="s">
        <v>90</v>
      </c>
      <c r="S63" s="11" t="s">
        <v>92</v>
      </c>
      <c r="T63" s="11" t="s">
        <v>440</v>
      </c>
      <c r="U63" s="11" t="s">
        <v>435</v>
      </c>
      <c r="V63" s="11" t="s">
        <v>443</v>
      </c>
      <c r="W63" s="11" t="s">
        <v>442</v>
      </c>
    </row>
    <row r="64" spans="1:23">
      <c r="A64" s="11" t="s">
        <v>1147</v>
      </c>
      <c r="B64" s="11">
        <f ca="1">+IF(A64=WORLDCUP!$BI$112,1,0)</f>
        <v>0</v>
      </c>
      <c r="C64" s="11" t="str">
        <f ca="1">+WORLDCUP!BD62</f>
        <v>Ecuador</v>
      </c>
      <c r="D64" s="11" t="str">
        <f ca="1">+WORLDCUP!BD67</f>
        <v>Algeria</v>
      </c>
      <c r="E64" s="11" t="str">
        <f ca="1">+WORLDCUP!BD59</f>
        <v>Bosnia and Herzegovina</v>
      </c>
      <c r="F64" s="11" t="str">
        <f ca="1">+WORLDCUP!BD61</f>
        <v>Paraguay</v>
      </c>
      <c r="G64" s="11" t="str">
        <f ca="1">+WORLDCUP!BD65</f>
        <v>Uruguay</v>
      </c>
      <c r="H64" s="11" t="str">
        <f ca="1">+WORLDCUP!BD64</f>
        <v>Iran</v>
      </c>
      <c r="I64" s="11" t="str">
        <f ca="1">+WORLDCUP!BD69</f>
        <v>Ghana</v>
      </c>
      <c r="J64" s="11" t="str">
        <f ca="1">+WORLDCUP!BD68</f>
        <v>DR Congo</v>
      </c>
      <c r="N64" s="11" t="s">
        <v>1147</v>
      </c>
      <c r="O64" s="11">
        <v>63</v>
      </c>
      <c r="P64" s="11" t="s">
        <v>93</v>
      </c>
      <c r="Q64" s="11" t="s">
        <v>441</v>
      </c>
      <c r="R64" s="11" t="s">
        <v>90</v>
      </c>
      <c r="S64" s="11" t="s">
        <v>92</v>
      </c>
      <c r="T64" s="11" t="s">
        <v>436</v>
      </c>
      <c r="U64" s="11" t="s">
        <v>435</v>
      </c>
      <c r="V64" s="11" t="s">
        <v>443</v>
      </c>
      <c r="W64" s="11" t="s">
        <v>442</v>
      </c>
    </row>
    <row r="65" spans="1:23">
      <c r="A65" s="11" t="s">
        <v>1146</v>
      </c>
      <c r="B65" s="11">
        <f ca="1">+IF(A65=WORLDCUP!$BI$112,1,0)</f>
        <v>0</v>
      </c>
      <c r="C65" s="11" t="str">
        <f ca="1">+WORLDCUP!BD62</f>
        <v>Ecuador</v>
      </c>
      <c r="D65" s="11" t="str">
        <f ca="1">+WORLDCUP!BD64</f>
        <v>Iran</v>
      </c>
      <c r="E65" s="11" t="str">
        <f ca="1">+WORLDCUP!BD59</f>
        <v>Bosnia and Herzegovina</v>
      </c>
      <c r="F65" s="11" t="str">
        <f ca="1">+WORLDCUP!BD61</f>
        <v>Paraguay</v>
      </c>
      <c r="G65" s="11" t="str">
        <f ca="1">+WORLDCUP!BD66</f>
        <v>Senegal</v>
      </c>
      <c r="H65" s="11" t="str">
        <f ca="1">+WORLDCUP!BD65</f>
        <v>Uruguay</v>
      </c>
      <c r="I65" s="11" t="str">
        <f ca="1">+WORLDCUP!BD69</f>
        <v>Ghana</v>
      </c>
      <c r="J65" s="11" t="str">
        <f ca="1">+WORLDCUP!BD68</f>
        <v>DR Congo</v>
      </c>
      <c r="N65" s="11" t="s">
        <v>1146</v>
      </c>
      <c r="O65" s="11">
        <v>64</v>
      </c>
      <c r="P65" s="11" t="s">
        <v>93</v>
      </c>
      <c r="Q65" s="11" t="s">
        <v>435</v>
      </c>
      <c r="R65" s="11" t="s">
        <v>90</v>
      </c>
      <c r="S65" s="11" t="s">
        <v>92</v>
      </c>
      <c r="T65" s="11" t="s">
        <v>440</v>
      </c>
      <c r="U65" s="11" t="s">
        <v>436</v>
      </c>
      <c r="V65" s="11" t="s">
        <v>443</v>
      </c>
      <c r="W65" s="11" t="s">
        <v>442</v>
      </c>
    </row>
    <row r="66" spans="1:23">
      <c r="A66" s="11" t="s">
        <v>1145</v>
      </c>
      <c r="B66" s="11">
        <f ca="1">+IF(A66=WORLDCUP!$BI$112,1,0)</f>
        <v>0</v>
      </c>
      <c r="C66" s="11" t="str">
        <f ca="1">+WORLDCUP!BD62</f>
        <v>Ecuador</v>
      </c>
      <c r="D66" s="11" t="str">
        <f ca="1">+WORLDCUP!BD67</f>
        <v>Algeria</v>
      </c>
      <c r="E66" s="11" t="str">
        <f ca="1">+WORLDCUP!BD59</f>
        <v>Bosnia and Herzegovina</v>
      </c>
      <c r="F66" s="11" t="str">
        <f ca="1">+WORLDCUP!BD61</f>
        <v>Paraguay</v>
      </c>
      <c r="G66" s="11" t="str">
        <f ca="1">+WORLDCUP!BD65</f>
        <v>Uruguay</v>
      </c>
      <c r="H66" s="11" t="str">
        <f ca="1">+WORLDCUP!BD64</f>
        <v>Iran</v>
      </c>
      <c r="I66" s="11" t="str">
        <f ca="1">+WORLDCUP!BD69</f>
        <v>Ghana</v>
      </c>
      <c r="J66" s="11" t="str">
        <f ca="1">+WORLDCUP!BD66</f>
        <v>Senegal</v>
      </c>
      <c r="N66" s="11" t="s">
        <v>1145</v>
      </c>
      <c r="O66" s="11">
        <v>65</v>
      </c>
      <c r="P66" s="11" t="s">
        <v>93</v>
      </c>
      <c r="Q66" s="11" t="s">
        <v>441</v>
      </c>
      <c r="R66" s="11" t="s">
        <v>90</v>
      </c>
      <c r="S66" s="11" t="s">
        <v>92</v>
      </c>
      <c r="T66" s="11" t="s">
        <v>436</v>
      </c>
      <c r="U66" s="11" t="s">
        <v>435</v>
      </c>
      <c r="V66" s="11" t="s">
        <v>443</v>
      </c>
      <c r="W66" s="11" t="s">
        <v>440</v>
      </c>
    </row>
    <row r="67" spans="1:23">
      <c r="A67" s="11" t="s">
        <v>1144</v>
      </c>
      <c r="B67" s="11">
        <f ca="1">+IF(A67=WORLDCUP!$BI$112,1,0)</f>
        <v>0</v>
      </c>
      <c r="C67" s="11" t="str">
        <f ca="1">+WORLDCUP!BD62</f>
        <v>Ecuador</v>
      </c>
      <c r="D67" s="11" t="str">
        <f ca="1">+WORLDCUP!BD67</f>
        <v>Algeria</v>
      </c>
      <c r="E67" s="11" t="str">
        <f ca="1">+WORLDCUP!BD59</f>
        <v>Bosnia and Herzegovina</v>
      </c>
      <c r="F67" s="11" t="str">
        <f ca="1">+WORLDCUP!BD61</f>
        <v>Paraguay</v>
      </c>
      <c r="G67" s="11" t="str">
        <f ca="1">+WORLDCUP!BD65</f>
        <v>Uruguay</v>
      </c>
      <c r="H67" s="11" t="str">
        <f ca="1">+WORLDCUP!BD64</f>
        <v>Iran</v>
      </c>
      <c r="I67" s="11" t="str">
        <f ca="1">+WORLDCUP!BD66</f>
        <v>Senegal</v>
      </c>
      <c r="J67" s="11" t="str">
        <f ca="1">+WORLDCUP!BD68</f>
        <v>DR Congo</v>
      </c>
      <c r="N67" s="11" t="s">
        <v>1144</v>
      </c>
      <c r="O67" s="11">
        <v>66</v>
      </c>
      <c r="P67" s="11" t="s">
        <v>93</v>
      </c>
      <c r="Q67" s="11" t="s">
        <v>441</v>
      </c>
      <c r="R67" s="11" t="s">
        <v>90</v>
      </c>
      <c r="S67" s="11" t="s">
        <v>92</v>
      </c>
      <c r="T67" s="11" t="s">
        <v>436</v>
      </c>
      <c r="U67" s="11" t="s">
        <v>435</v>
      </c>
      <c r="V67" s="11" t="s">
        <v>440</v>
      </c>
      <c r="W67" s="11" t="s">
        <v>442</v>
      </c>
    </row>
    <row r="68" spans="1:23">
      <c r="A68" s="11" t="s">
        <v>1143</v>
      </c>
      <c r="B68" s="11">
        <f ca="1">+IF(A68=WORLDCUP!$BI$112,1,0)</f>
        <v>1</v>
      </c>
      <c r="C68" s="11" t="str">
        <f ca="1">+WORLDCUP!BD62</f>
        <v>Ecuador</v>
      </c>
      <c r="D68" s="11" t="str">
        <f ca="1">+WORLDCUP!BD67</f>
        <v>Algeria</v>
      </c>
      <c r="E68" s="11" t="str">
        <f ca="1">+WORLDCUP!BD59</f>
        <v>Bosnia and Herzegovina</v>
      </c>
      <c r="F68" s="11" t="str">
        <f ca="1">+WORLDCUP!BD61</f>
        <v>Paraguay</v>
      </c>
      <c r="G68" s="11" t="str">
        <f ca="1">+WORLDCUP!BD66</f>
        <v>Senegal</v>
      </c>
      <c r="H68" s="11" t="str">
        <f ca="1">+WORLDCUP!BD63</f>
        <v>Sweden</v>
      </c>
      <c r="I68" s="11" t="str">
        <f ca="1">+WORLDCUP!BD69</f>
        <v>Ghana</v>
      </c>
      <c r="J68" s="11" t="str">
        <f ca="1">+WORLDCUP!BD68</f>
        <v>DR Congo</v>
      </c>
      <c r="N68" s="11" t="s">
        <v>1143</v>
      </c>
      <c r="O68" s="11">
        <v>67</v>
      </c>
      <c r="P68" s="11" t="s">
        <v>93</v>
      </c>
      <c r="Q68" s="11" t="s">
        <v>441</v>
      </c>
      <c r="R68" s="11" t="s">
        <v>90</v>
      </c>
      <c r="S68" s="11" t="s">
        <v>92</v>
      </c>
      <c r="T68" s="11" t="s">
        <v>440</v>
      </c>
      <c r="U68" s="11" t="s">
        <v>94</v>
      </c>
      <c r="V68" s="11" t="s">
        <v>443</v>
      </c>
      <c r="W68" s="11" t="s">
        <v>442</v>
      </c>
    </row>
    <row r="69" spans="1:23">
      <c r="A69" s="11" t="s">
        <v>1142</v>
      </c>
      <c r="B69" s="11">
        <f ca="1">+IF(A69=WORLDCUP!$BI$112,1,0)</f>
        <v>0</v>
      </c>
      <c r="C69" s="11" t="str">
        <f ca="1">+WORLDCUP!BD62</f>
        <v>Ecuador</v>
      </c>
      <c r="D69" s="11" t="str">
        <f ca="1">+WORLDCUP!BD67</f>
        <v>Algeria</v>
      </c>
      <c r="E69" s="11" t="str">
        <f ca="1">+WORLDCUP!BD59</f>
        <v>Bosnia and Herzegovina</v>
      </c>
      <c r="F69" s="11" t="str">
        <f ca="1">+WORLDCUP!BD61</f>
        <v>Paraguay</v>
      </c>
      <c r="G69" s="11" t="str">
        <f ca="1">+WORLDCUP!BD65</f>
        <v>Uruguay</v>
      </c>
      <c r="H69" s="11" t="str">
        <f ca="1">+WORLDCUP!BD63</f>
        <v>Sweden</v>
      </c>
      <c r="I69" s="11" t="str">
        <f ca="1">+WORLDCUP!BD69</f>
        <v>Ghana</v>
      </c>
      <c r="J69" s="11" t="str">
        <f ca="1">+WORLDCUP!BD68</f>
        <v>DR Congo</v>
      </c>
      <c r="N69" s="11" t="s">
        <v>1142</v>
      </c>
      <c r="O69" s="11">
        <v>68</v>
      </c>
      <c r="P69" s="11" t="s">
        <v>93</v>
      </c>
      <c r="Q69" s="11" t="s">
        <v>441</v>
      </c>
      <c r="R69" s="11" t="s">
        <v>90</v>
      </c>
      <c r="S69" s="11" t="s">
        <v>92</v>
      </c>
      <c r="T69" s="11" t="s">
        <v>436</v>
      </c>
      <c r="U69" s="11" t="s">
        <v>94</v>
      </c>
      <c r="V69" s="11" t="s">
        <v>443</v>
      </c>
      <c r="W69" s="11" t="s">
        <v>442</v>
      </c>
    </row>
    <row r="70" spans="1:23">
      <c r="A70" s="11" t="s">
        <v>1141</v>
      </c>
      <c r="B70" s="11">
        <f ca="1">+IF(A70=WORLDCUP!$BI$112,1,0)</f>
        <v>0</v>
      </c>
      <c r="C70" s="11" t="str">
        <f ca="1">+WORLDCUP!BD62</f>
        <v>Ecuador</v>
      </c>
      <c r="D70" s="11" t="str">
        <f ca="1">+WORLDCUP!BD66</f>
        <v>Senegal</v>
      </c>
      <c r="E70" s="11" t="str">
        <f ca="1">+WORLDCUP!BD59</f>
        <v>Bosnia and Herzegovina</v>
      </c>
      <c r="F70" s="11" t="str">
        <f ca="1">+WORLDCUP!BD61</f>
        <v>Paraguay</v>
      </c>
      <c r="G70" s="11" t="str">
        <f ca="1">+WORLDCUP!BD65</f>
        <v>Uruguay</v>
      </c>
      <c r="H70" s="11" t="str">
        <f ca="1">+WORLDCUP!BD63</f>
        <v>Sweden</v>
      </c>
      <c r="I70" s="11" t="str">
        <f ca="1">+WORLDCUP!BD69</f>
        <v>Ghana</v>
      </c>
      <c r="J70" s="11" t="str">
        <f ca="1">+WORLDCUP!BD68</f>
        <v>DR Congo</v>
      </c>
      <c r="N70" s="11" t="s">
        <v>1141</v>
      </c>
      <c r="O70" s="11">
        <v>69</v>
      </c>
      <c r="P70" s="11" t="s">
        <v>93</v>
      </c>
      <c r="Q70" s="11" t="s">
        <v>440</v>
      </c>
      <c r="R70" s="11" t="s">
        <v>90</v>
      </c>
      <c r="S70" s="11" t="s">
        <v>92</v>
      </c>
      <c r="T70" s="11" t="s">
        <v>436</v>
      </c>
      <c r="U70" s="11" t="s">
        <v>94</v>
      </c>
      <c r="V70" s="11" t="s">
        <v>443</v>
      </c>
      <c r="W70" s="11" t="s">
        <v>442</v>
      </c>
    </row>
    <row r="71" spans="1:23">
      <c r="A71" s="11" t="s">
        <v>1140</v>
      </c>
      <c r="B71" s="11">
        <f ca="1">+IF(A71=WORLDCUP!$BI$112,1,0)</f>
        <v>0</v>
      </c>
      <c r="C71" s="11" t="str">
        <f ca="1">+WORLDCUP!BD62</f>
        <v>Ecuador</v>
      </c>
      <c r="D71" s="11" t="str">
        <f ca="1">+WORLDCUP!BD67</f>
        <v>Algeria</v>
      </c>
      <c r="E71" s="11" t="str">
        <f ca="1">+WORLDCUP!BD59</f>
        <v>Bosnia and Herzegovina</v>
      </c>
      <c r="F71" s="11" t="str">
        <f ca="1">+WORLDCUP!BD61</f>
        <v>Paraguay</v>
      </c>
      <c r="G71" s="11" t="str">
        <f ca="1">+WORLDCUP!BD65</f>
        <v>Uruguay</v>
      </c>
      <c r="H71" s="11" t="str">
        <f ca="1">+WORLDCUP!BD63</f>
        <v>Sweden</v>
      </c>
      <c r="I71" s="11" t="str">
        <f ca="1">+WORLDCUP!BD69</f>
        <v>Ghana</v>
      </c>
      <c r="J71" s="11" t="str">
        <f ca="1">+WORLDCUP!BD66</f>
        <v>Senegal</v>
      </c>
      <c r="N71" s="11" t="s">
        <v>1140</v>
      </c>
      <c r="O71" s="11">
        <v>70</v>
      </c>
      <c r="P71" s="11" t="s">
        <v>93</v>
      </c>
      <c r="Q71" s="11" t="s">
        <v>441</v>
      </c>
      <c r="R71" s="11" t="s">
        <v>90</v>
      </c>
      <c r="S71" s="11" t="s">
        <v>92</v>
      </c>
      <c r="T71" s="11" t="s">
        <v>436</v>
      </c>
      <c r="U71" s="11" t="s">
        <v>94</v>
      </c>
      <c r="V71" s="11" t="s">
        <v>443</v>
      </c>
      <c r="W71" s="11" t="s">
        <v>440</v>
      </c>
    </row>
    <row r="72" spans="1:23">
      <c r="A72" s="11" t="s">
        <v>1139</v>
      </c>
      <c r="B72" s="11">
        <f ca="1">+IF(A72=WORLDCUP!$BI$112,1,0)</f>
        <v>0</v>
      </c>
      <c r="C72" s="11" t="str">
        <f ca="1">+WORLDCUP!BD62</f>
        <v>Ecuador</v>
      </c>
      <c r="D72" s="11" t="str">
        <f ca="1">+WORLDCUP!BD67</f>
        <v>Algeria</v>
      </c>
      <c r="E72" s="11" t="str">
        <f ca="1">+WORLDCUP!BD59</f>
        <v>Bosnia and Herzegovina</v>
      </c>
      <c r="F72" s="11" t="str">
        <f ca="1">+WORLDCUP!BD61</f>
        <v>Paraguay</v>
      </c>
      <c r="G72" s="11" t="str">
        <f ca="1">+WORLDCUP!BD65</f>
        <v>Uruguay</v>
      </c>
      <c r="H72" s="11" t="str">
        <f ca="1">+WORLDCUP!BD63</f>
        <v>Sweden</v>
      </c>
      <c r="I72" s="11" t="str">
        <f ca="1">+WORLDCUP!BD66</f>
        <v>Senegal</v>
      </c>
      <c r="J72" s="11" t="str">
        <f ca="1">+WORLDCUP!BD68</f>
        <v>DR Congo</v>
      </c>
      <c r="N72" s="11" t="s">
        <v>1139</v>
      </c>
      <c r="O72" s="11">
        <v>71</v>
      </c>
      <c r="P72" s="11" t="s">
        <v>93</v>
      </c>
      <c r="Q72" s="11" t="s">
        <v>441</v>
      </c>
      <c r="R72" s="11" t="s">
        <v>90</v>
      </c>
      <c r="S72" s="11" t="s">
        <v>92</v>
      </c>
      <c r="T72" s="11" t="s">
        <v>436</v>
      </c>
      <c r="U72" s="11" t="s">
        <v>94</v>
      </c>
      <c r="V72" s="11" t="s">
        <v>440</v>
      </c>
      <c r="W72" s="11" t="s">
        <v>442</v>
      </c>
    </row>
    <row r="73" spans="1:23">
      <c r="A73" s="11" t="s">
        <v>1138</v>
      </c>
      <c r="B73" s="11">
        <f ca="1">+IF(A73=WORLDCUP!$BI$112,1,0)</f>
        <v>0</v>
      </c>
      <c r="C73" s="11" t="str">
        <f ca="1">+WORLDCUP!BD62</f>
        <v>Ecuador</v>
      </c>
      <c r="D73" s="11" t="str">
        <f ca="1">+WORLDCUP!BD64</f>
        <v>Iran</v>
      </c>
      <c r="E73" s="11" t="str">
        <f ca="1">+WORLDCUP!BD59</f>
        <v>Bosnia and Herzegovina</v>
      </c>
      <c r="F73" s="11" t="str">
        <f ca="1">+WORLDCUP!BD61</f>
        <v>Paraguay</v>
      </c>
      <c r="G73" s="11" t="str">
        <f ca="1">+WORLDCUP!BD67</f>
        <v>Algeria</v>
      </c>
      <c r="H73" s="11" t="str">
        <f ca="1">+WORLDCUP!BD63</f>
        <v>Sweden</v>
      </c>
      <c r="I73" s="11" t="str">
        <f ca="1">+WORLDCUP!BD69</f>
        <v>Ghana</v>
      </c>
      <c r="J73" s="11" t="str">
        <f ca="1">+WORLDCUP!BD68</f>
        <v>DR Congo</v>
      </c>
      <c r="N73" s="11" t="s">
        <v>1138</v>
      </c>
      <c r="O73" s="11">
        <v>72</v>
      </c>
      <c r="P73" s="11" t="s">
        <v>93</v>
      </c>
      <c r="Q73" s="11" t="s">
        <v>435</v>
      </c>
      <c r="R73" s="11" t="s">
        <v>90</v>
      </c>
      <c r="S73" s="11" t="s">
        <v>92</v>
      </c>
      <c r="T73" s="11" t="s">
        <v>441</v>
      </c>
      <c r="U73" s="11" t="s">
        <v>94</v>
      </c>
      <c r="V73" s="11" t="s">
        <v>443</v>
      </c>
      <c r="W73" s="11" t="s">
        <v>442</v>
      </c>
    </row>
    <row r="74" spans="1:23">
      <c r="A74" s="11" t="s">
        <v>1137</v>
      </c>
      <c r="B74" s="11">
        <f ca="1">+IF(A74=WORLDCUP!$BI$112,1,0)</f>
        <v>0</v>
      </c>
      <c r="C74" s="11" t="str">
        <f ca="1">+WORLDCUP!BD62</f>
        <v>Ecuador</v>
      </c>
      <c r="D74" s="11" t="str">
        <f ca="1">+WORLDCUP!BD64</f>
        <v>Iran</v>
      </c>
      <c r="E74" s="11" t="str">
        <f ca="1">+WORLDCUP!BD59</f>
        <v>Bosnia and Herzegovina</v>
      </c>
      <c r="F74" s="11" t="str">
        <f ca="1">+WORLDCUP!BD61</f>
        <v>Paraguay</v>
      </c>
      <c r="G74" s="11" t="str">
        <f ca="1">+WORLDCUP!BD66</f>
        <v>Senegal</v>
      </c>
      <c r="H74" s="11" t="str">
        <f ca="1">+WORLDCUP!BD63</f>
        <v>Sweden</v>
      </c>
      <c r="I74" s="11" t="str">
        <f ca="1">+WORLDCUP!BD69</f>
        <v>Ghana</v>
      </c>
      <c r="J74" s="11" t="str">
        <f ca="1">+WORLDCUP!BD68</f>
        <v>DR Congo</v>
      </c>
      <c r="N74" s="11" t="s">
        <v>1137</v>
      </c>
      <c r="O74" s="11">
        <v>73</v>
      </c>
      <c r="P74" s="11" t="s">
        <v>93</v>
      </c>
      <c r="Q74" s="11" t="s">
        <v>435</v>
      </c>
      <c r="R74" s="11" t="s">
        <v>90</v>
      </c>
      <c r="S74" s="11" t="s">
        <v>92</v>
      </c>
      <c r="T74" s="11" t="s">
        <v>440</v>
      </c>
      <c r="U74" s="11" t="s">
        <v>94</v>
      </c>
      <c r="V74" s="11" t="s">
        <v>443</v>
      </c>
      <c r="W74" s="11" t="s">
        <v>442</v>
      </c>
    </row>
    <row r="75" spans="1:23">
      <c r="A75" s="11" t="s">
        <v>1136</v>
      </c>
      <c r="B75" s="11">
        <f ca="1">+IF(A75=WORLDCUP!$BI$112,1,0)</f>
        <v>0</v>
      </c>
      <c r="C75" s="11" t="str">
        <f ca="1">+WORLDCUP!BD62</f>
        <v>Ecuador</v>
      </c>
      <c r="D75" s="11" t="str">
        <f ca="1">+WORLDCUP!BD64</f>
        <v>Iran</v>
      </c>
      <c r="E75" s="11" t="str">
        <f ca="1">+WORLDCUP!BD59</f>
        <v>Bosnia and Herzegovina</v>
      </c>
      <c r="F75" s="11" t="str">
        <f ca="1">+WORLDCUP!BD61</f>
        <v>Paraguay</v>
      </c>
      <c r="G75" s="11" t="str">
        <f ca="1">+WORLDCUP!BD67</f>
        <v>Algeria</v>
      </c>
      <c r="H75" s="11" t="str">
        <f ca="1">+WORLDCUP!BD63</f>
        <v>Sweden</v>
      </c>
      <c r="I75" s="11" t="str">
        <f ca="1">+WORLDCUP!BD69</f>
        <v>Ghana</v>
      </c>
      <c r="J75" s="11" t="str">
        <f ca="1">+WORLDCUP!BD66</f>
        <v>Senegal</v>
      </c>
      <c r="N75" s="11" t="s">
        <v>1136</v>
      </c>
      <c r="O75" s="11">
        <v>74</v>
      </c>
      <c r="P75" s="11" t="s">
        <v>93</v>
      </c>
      <c r="Q75" s="11" t="s">
        <v>435</v>
      </c>
      <c r="R75" s="11" t="s">
        <v>90</v>
      </c>
      <c r="S75" s="11" t="s">
        <v>92</v>
      </c>
      <c r="T75" s="11" t="s">
        <v>441</v>
      </c>
      <c r="U75" s="11" t="s">
        <v>94</v>
      </c>
      <c r="V75" s="11" t="s">
        <v>443</v>
      </c>
      <c r="W75" s="11" t="s">
        <v>440</v>
      </c>
    </row>
    <row r="76" spans="1:23">
      <c r="A76" s="11" t="s">
        <v>1135</v>
      </c>
      <c r="B76" s="11">
        <f ca="1">+IF(A76=WORLDCUP!$BI$112,1,0)</f>
        <v>0</v>
      </c>
      <c r="C76" s="11" t="str">
        <f ca="1">+WORLDCUP!BD62</f>
        <v>Ecuador</v>
      </c>
      <c r="D76" s="11" t="str">
        <f ca="1">+WORLDCUP!BD64</f>
        <v>Iran</v>
      </c>
      <c r="E76" s="11" t="str">
        <f ca="1">+WORLDCUP!BD59</f>
        <v>Bosnia and Herzegovina</v>
      </c>
      <c r="F76" s="11" t="str">
        <f ca="1">+WORLDCUP!BD61</f>
        <v>Paraguay</v>
      </c>
      <c r="G76" s="11" t="str">
        <f ca="1">+WORLDCUP!BD67</f>
        <v>Algeria</v>
      </c>
      <c r="H76" s="11" t="str">
        <f ca="1">+WORLDCUP!BD63</f>
        <v>Sweden</v>
      </c>
      <c r="I76" s="11" t="str">
        <f ca="1">+WORLDCUP!BD66</f>
        <v>Senegal</v>
      </c>
      <c r="J76" s="11" t="str">
        <f ca="1">+WORLDCUP!BD68</f>
        <v>DR Congo</v>
      </c>
      <c r="N76" s="11" t="s">
        <v>1135</v>
      </c>
      <c r="O76" s="11">
        <v>75</v>
      </c>
      <c r="P76" s="11" t="s">
        <v>93</v>
      </c>
      <c r="Q76" s="11" t="s">
        <v>435</v>
      </c>
      <c r="R76" s="11" t="s">
        <v>90</v>
      </c>
      <c r="S76" s="11" t="s">
        <v>92</v>
      </c>
      <c r="T76" s="11" t="s">
        <v>441</v>
      </c>
      <c r="U76" s="11" t="s">
        <v>94</v>
      </c>
      <c r="V76" s="11" t="s">
        <v>440</v>
      </c>
      <c r="W76" s="11" t="s">
        <v>442</v>
      </c>
    </row>
    <row r="77" spans="1:23">
      <c r="A77" s="11" t="s">
        <v>602</v>
      </c>
      <c r="B77" s="11">
        <f ca="1">+IF(A77=WORLDCUP!$BI$112,1,0)</f>
        <v>0</v>
      </c>
      <c r="C77" s="11" t="str">
        <f ca="1">+WORLDCUP!BD62</f>
        <v>Ecuador</v>
      </c>
      <c r="D77" s="11" t="str">
        <f ca="1">+WORLDCUP!BD64</f>
        <v>Iran</v>
      </c>
      <c r="E77" s="11" t="str">
        <f ca="1">+WORLDCUP!BD59</f>
        <v>Bosnia and Herzegovina</v>
      </c>
      <c r="F77" s="11" t="str">
        <f ca="1">+WORLDCUP!BD61</f>
        <v>Paraguay</v>
      </c>
      <c r="G77" s="11" t="str">
        <f ca="1">+WORLDCUP!BD65</f>
        <v>Uruguay</v>
      </c>
      <c r="H77" s="11" t="str">
        <f ca="1">+WORLDCUP!BD63</f>
        <v>Sweden</v>
      </c>
      <c r="I77" s="11" t="str">
        <f ca="1">+WORLDCUP!BD69</f>
        <v>Ghana</v>
      </c>
      <c r="J77" s="11" t="str">
        <f ca="1">+WORLDCUP!BD68</f>
        <v>DR Congo</v>
      </c>
      <c r="N77" s="11" t="s">
        <v>602</v>
      </c>
      <c r="O77" s="11">
        <v>76</v>
      </c>
      <c r="P77" s="11" t="s">
        <v>93</v>
      </c>
      <c r="Q77" s="11" t="s">
        <v>435</v>
      </c>
      <c r="R77" s="11" t="s">
        <v>90</v>
      </c>
      <c r="S77" s="11" t="s">
        <v>92</v>
      </c>
      <c r="T77" s="11" t="s">
        <v>436</v>
      </c>
      <c r="U77" s="11" t="s">
        <v>94</v>
      </c>
      <c r="V77" s="11" t="s">
        <v>443</v>
      </c>
      <c r="W77" s="11" t="s">
        <v>442</v>
      </c>
    </row>
    <row r="78" spans="1:23">
      <c r="A78" s="11" t="s">
        <v>601</v>
      </c>
      <c r="B78" s="11">
        <f ca="1">+IF(A78=WORLDCUP!$BI$112,1,0)</f>
        <v>0</v>
      </c>
      <c r="C78" s="11" t="str">
        <f ca="1">+WORLDCUP!BD65</f>
        <v>Uruguay</v>
      </c>
      <c r="D78" s="11" t="str">
        <f ca="1">+WORLDCUP!BD64</f>
        <v>Iran</v>
      </c>
      <c r="E78" s="11" t="str">
        <f ca="1">+WORLDCUP!BD59</f>
        <v>Bosnia and Herzegovina</v>
      </c>
      <c r="F78" s="11" t="str">
        <f ca="1">+WORLDCUP!BD61</f>
        <v>Paraguay</v>
      </c>
      <c r="G78" s="11" t="str">
        <f ca="1">+WORLDCUP!BD67</f>
        <v>Algeria</v>
      </c>
      <c r="H78" s="11" t="str">
        <f ca="1">+WORLDCUP!BD63</f>
        <v>Sweden</v>
      </c>
      <c r="I78" s="11" t="str">
        <f ca="1">+WORLDCUP!BD69</f>
        <v>Ghana</v>
      </c>
      <c r="J78" s="11" t="str">
        <f ca="1">+WORLDCUP!BD62</f>
        <v>Ecuador</v>
      </c>
      <c r="N78" s="11" t="s">
        <v>601</v>
      </c>
      <c r="O78" s="11">
        <v>77</v>
      </c>
      <c r="P78" s="11" t="s">
        <v>436</v>
      </c>
      <c r="Q78" s="11" t="s">
        <v>435</v>
      </c>
      <c r="R78" s="11" t="s">
        <v>90</v>
      </c>
      <c r="S78" s="11" t="s">
        <v>92</v>
      </c>
      <c r="T78" s="11" t="s">
        <v>441</v>
      </c>
      <c r="U78" s="11" t="s">
        <v>94</v>
      </c>
      <c r="V78" s="11" t="s">
        <v>443</v>
      </c>
      <c r="W78" s="11" t="s">
        <v>93</v>
      </c>
    </row>
    <row r="79" spans="1:23">
      <c r="A79" s="11" t="s">
        <v>600</v>
      </c>
      <c r="B79" s="11">
        <f ca="1">+IF(A79=WORLDCUP!$BI$112,1,0)</f>
        <v>0</v>
      </c>
      <c r="C79" s="11" t="str">
        <f ca="1">+WORLDCUP!BD65</f>
        <v>Uruguay</v>
      </c>
      <c r="D79" s="11" t="str">
        <f ca="1">+WORLDCUP!BD64</f>
        <v>Iran</v>
      </c>
      <c r="E79" s="11" t="str">
        <f ca="1">+WORLDCUP!BD59</f>
        <v>Bosnia and Herzegovina</v>
      </c>
      <c r="F79" s="11" t="str">
        <f ca="1">+WORLDCUP!BD61</f>
        <v>Paraguay</v>
      </c>
      <c r="G79" s="11" t="str">
        <f ca="1">+WORLDCUP!BD67</f>
        <v>Algeria</v>
      </c>
      <c r="H79" s="11" t="str">
        <f ca="1">+WORLDCUP!BD63</f>
        <v>Sweden</v>
      </c>
      <c r="I79" s="11" t="str">
        <f ca="1">+WORLDCUP!BD62</f>
        <v>Ecuador</v>
      </c>
      <c r="J79" s="11" t="str">
        <f ca="1">+WORLDCUP!BD68</f>
        <v>DR Congo</v>
      </c>
      <c r="N79" s="11" t="s">
        <v>600</v>
      </c>
      <c r="O79" s="11">
        <v>78</v>
      </c>
      <c r="P79" s="11" t="s">
        <v>436</v>
      </c>
      <c r="Q79" s="11" t="s">
        <v>435</v>
      </c>
      <c r="R79" s="11" t="s">
        <v>90</v>
      </c>
      <c r="S79" s="11" t="s">
        <v>92</v>
      </c>
      <c r="T79" s="11" t="s">
        <v>441</v>
      </c>
      <c r="U79" s="11" t="s">
        <v>94</v>
      </c>
      <c r="V79" s="11" t="s">
        <v>93</v>
      </c>
      <c r="W79" s="11" t="s">
        <v>442</v>
      </c>
    </row>
    <row r="80" spans="1:23">
      <c r="A80" s="11" t="s">
        <v>599</v>
      </c>
      <c r="B80" s="11">
        <f ca="1">+IF(A80=WORLDCUP!$BI$112,1,0)</f>
        <v>0</v>
      </c>
      <c r="C80" s="11" t="str">
        <f ca="1">+WORLDCUP!BD62</f>
        <v>Ecuador</v>
      </c>
      <c r="D80" s="11" t="str">
        <f ca="1">+WORLDCUP!BD64</f>
        <v>Iran</v>
      </c>
      <c r="E80" s="11" t="str">
        <f ca="1">+WORLDCUP!BD59</f>
        <v>Bosnia and Herzegovina</v>
      </c>
      <c r="F80" s="11" t="str">
        <f ca="1">+WORLDCUP!BD61</f>
        <v>Paraguay</v>
      </c>
      <c r="G80" s="11" t="str">
        <f ca="1">+WORLDCUP!BD65</f>
        <v>Uruguay</v>
      </c>
      <c r="H80" s="11" t="str">
        <f ca="1">+WORLDCUP!BD63</f>
        <v>Sweden</v>
      </c>
      <c r="I80" s="11" t="str">
        <f ca="1">+WORLDCUP!BD69</f>
        <v>Ghana</v>
      </c>
      <c r="J80" s="11" t="str">
        <f ca="1">+WORLDCUP!BD66</f>
        <v>Senegal</v>
      </c>
      <c r="N80" s="11" t="s">
        <v>599</v>
      </c>
      <c r="O80" s="11">
        <v>79</v>
      </c>
      <c r="P80" s="11" t="s">
        <v>93</v>
      </c>
      <c r="Q80" s="11" t="s">
        <v>435</v>
      </c>
      <c r="R80" s="11" t="s">
        <v>90</v>
      </c>
      <c r="S80" s="11" t="s">
        <v>92</v>
      </c>
      <c r="T80" s="11" t="s">
        <v>436</v>
      </c>
      <c r="U80" s="11" t="s">
        <v>94</v>
      </c>
      <c r="V80" s="11" t="s">
        <v>443</v>
      </c>
      <c r="W80" s="11" t="s">
        <v>440</v>
      </c>
    </row>
    <row r="81" spans="1:23">
      <c r="A81" s="11" t="s">
        <v>598</v>
      </c>
      <c r="B81" s="11">
        <f ca="1">+IF(A81=WORLDCUP!$BI$112,1,0)</f>
        <v>0</v>
      </c>
      <c r="C81" s="11" t="str">
        <f ca="1">+WORLDCUP!BD62</f>
        <v>Ecuador</v>
      </c>
      <c r="D81" s="11" t="str">
        <f ca="1">+WORLDCUP!BD64</f>
        <v>Iran</v>
      </c>
      <c r="E81" s="11" t="str">
        <f ca="1">+WORLDCUP!BD59</f>
        <v>Bosnia and Herzegovina</v>
      </c>
      <c r="F81" s="11" t="str">
        <f ca="1">+WORLDCUP!BD61</f>
        <v>Paraguay</v>
      </c>
      <c r="G81" s="11" t="str">
        <f ca="1">+WORLDCUP!BD65</f>
        <v>Uruguay</v>
      </c>
      <c r="H81" s="11" t="str">
        <f ca="1">+WORLDCUP!BD63</f>
        <v>Sweden</v>
      </c>
      <c r="I81" s="11" t="str">
        <f ca="1">+WORLDCUP!BD66</f>
        <v>Senegal</v>
      </c>
      <c r="J81" s="11" t="str">
        <f ca="1">+WORLDCUP!BD68</f>
        <v>DR Congo</v>
      </c>
      <c r="N81" s="11" t="s">
        <v>598</v>
      </c>
      <c r="O81" s="11">
        <v>80</v>
      </c>
      <c r="P81" s="11" t="s">
        <v>93</v>
      </c>
      <c r="Q81" s="11" t="s">
        <v>435</v>
      </c>
      <c r="R81" s="11" t="s">
        <v>90</v>
      </c>
      <c r="S81" s="11" t="s">
        <v>92</v>
      </c>
      <c r="T81" s="11" t="s">
        <v>436</v>
      </c>
      <c r="U81" s="11" t="s">
        <v>94</v>
      </c>
      <c r="V81" s="11" t="s">
        <v>440</v>
      </c>
      <c r="W81" s="11" t="s">
        <v>442</v>
      </c>
    </row>
    <row r="82" spans="1:23">
      <c r="A82" s="11" t="s">
        <v>597</v>
      </c>
      <c r="B82" s="11">
        <f ca="1">+IF(A82=WORLDCUP!$BI$112,1,0)</f>
        <v>0</v>
      </c>
      <c r="C82" s="11" t="str">
        <f ca="1">+WORLDCUP!BD65</f>
        <v>Uruguay</v>
      </c>
      <c r="D82" s="11" t="str">
        <f ca="1">+WORLDCUP!BD64</f>
        <v>Iran</v>
      </c>
      <c r="E82" s="11" t="str">
        <f ca="1">+WORLDCUP!BD59</f>
        <v>Bosnia and Herzegovina</v>
      </c>
      <c r="F82" s="11" t="str">
        <f ca="1">+WORLDCUP!BD61</f>
        <v>Paraguay</v>
      </c>
      <c r="G82" s="11" t="str">
        <f ca="1">+WORLDCUP!BD67</f>
        <v>Algeria</v>
      </c>
      <c r="H82" s="11" t="str">
        <f ca="1">+WORLDCUP!BD63</f>
        <v>Sweden</v>
      </c>
      <c r="I82" s="11" t="str">
        <f ca="1">+WORLDCUP!BD62</f>
        <v>Ecuador</v>
      </c>
      <c r="J82" s="11" t="str">
        <f ca="1">+WORLDCUP!BD66</f>
        <v>Senegal</v>
      </c>
      <c r="N82" s="11" t="s">
        <v>597</v>
      </c>
      <c r="O82" s="11">
        <v>81</v>
      </c>
      <c r="P82" s="11" t="s">
        <v>436</v>
      </c>
      <c r="Q82" s="11" t="s">
        <v>435</v>
      </c>
      <c r="R82" s="11" t="s">
        <v>90</v>
      </c>
      <c r="S82" s="11" t="s">
        <v>92</v>
      </c>
      <c r="T82" s="11" t="s">
        <v>441</v>
      </c>
      <c r="U82" s="11" t="s">
        <v>94</v>
      </c>
      <c r="V82" s="11" t="s">
        <v>93</v>
      </c>
      <c r="W82" s="11" t="s">
        <v>440</v>
      </c>
    </row>
    <row r="83" spans="1:23">
      <c r="A83" s="11" t="s">
        <v>1134</v>
      </c>
      <c r="B83" s="11">
        <f ca="1">+IF(A83=WORLDCUP!$BI$112,1,0)</f>
        <v>0</v>
      </c>
      <c r="C83" s="11" t="str">
        <f ca="1">+WORLDCUP!BD65</f>
        <v>Uruguay</v>
      </c>
      <c r="D83" s="11" t="str">
        <f ca="1">+WORLDCUP!BD67</f>
        <v>Algeria</v>
      </c>
      <c r="E83" s="11" t="str">
        <f ca="1">+WORLDCUP!BD59</f>
        <v>Bosnia and Herzegovina</v>
      </c>
      <c r="F83" s="11" t="str">
        <f ca="1">+WORLDCUP!BD60</f>
        <v>Scotland</v>
      </c>
      <c r="G83" s="11" t="str">
        <f ca="1">+WORLDCUP!BD66</f>
        <v>Senegal</v>
      </c>
      <c r="H83" s="11" t="str">
        <f ca="1">+WORLDCUP!BD64</f>
        <v>Iran</v>
      </c>
      <c r="I83" s="11" t="str">
        <f ca="1">+WORLDCUP!BD69</f>
        <v>Ghana</v>
      </c>
      <c r="J83" s="11" t="str">
        <f ca="1">+WORLDCUP!BD68</f>
        <v>DR Congo</v>
      </c>
      <c r="N83" s="11" t="s">
        <v>1134</v>
      </c>
      <c r="O83" s="11">
        <v>82</v>
      </c>
      <c r="P83" s="11" t="s">
        <v>436</v>
      </c>
      <c r="Q83" s="11" t="s">
        <v>441</v>
      </c>
      <c r="R83" s="11" t="s">
        <v>90</v>
      </c>
      <c r="S83" s="11" t="s">
        <v>91</v>
      </c>
      <c r="T83" s="11" t="s">
        <v>440</v>
      </c>
      <c r="U83" s="11" t="s">
        <v>435</v>
      </c>
      <c r="V83" s="11" t="s">
        <v>443</v>
      </c>
      <c r="W83" s="11" t="s">
        <v>442</v>
      </c>
    </row>
    <row r="84" spans="1:23">
      <c r="A84" s="11" t="s">
        <v>1133</v>
      </c>
      <c r="B84" s="11">
        <f ca="1">+IF(A84=WORLDCUP!$BI$112,1,0)</f>
        <v>0</v>
      </c>
      <c r="C84" s="11" t="str">
        <f ca="1">+WORLDCUP!BD65</f>
        <v>Uruguay</v>
      </c>
      <c r="D84" s="11" t="str">
        <f ca="1">+WORLDCUP!BD67</f>
        <v>Algeria</v>
      </c>
      <c r="E84" s="11" t="str">
        <f ca="1">+WORLDCUP!BD59</f>
        <v>Bosnia and Herzegovina</v>
      </c>
      <c r="F84" s="11" t="str">
        <f ca="1">+WORLDCUP!BD60</f>
        <v>Scotland</v>
      </c>
      <c r="G84" s="11" t="str">
        <f ca="1">+WORLDCUP!BD66</f>
        <v>Senegal</v>
      </c>
      <c r="H84" s="11" t="str">
        <f ca="1">+WORLDCUP!BD63</f>
        <v>Sweden</v>
      </c>
      <c r="I84" s="11" t="str">
        <f ca="1">+WORLDCUP!BD69</f>
        <v>Ghana</v>
      </c>
      <c r="J84" s="11" t="str">
        <f ca="1">+WORLDCUP!BD68</f>
        <v>DR Congo</v>
      </c>
      <c r="N84" s="11" t="s">
        <v>1133</v>
      </c>
      <c r="O84" s="11">
        <v>83</v>
      </c>
      <c r="P84" s="11" t="s">
        <v>436</v>
      </c>
      <c r="Q84" s="11" t="s">
        <v>441</v>
      </c>
      <c r="R84" s="11" t="s">
        <v>90</v>
      </c>
      <c r="S84" s="11" t="s">
        <v>91</v>
      </c>
      <c r="T84" s="11" t="s">
        <v>440</v>
      </c>
      <c r="U84" s="11" t="s">
        <v>94</v>
      </c>
      <c r="V84" s="11" t="s">
        <v>443</v>
      </c>
      <c r="W84" s="11" t="s">
        <v>442</v>
      </c>
    </row>
    <row r="85" spans="1:23">
      <c r="A85" s="11" t="s">
        <v>1132</v>
      </c>
      <c r="B85" s="11">
        <f ca="1">+IF(A85=WORLDCUP!$BI$112,1,0)</f>
        <v>0</v>
      </c>
      <c r="C85" s="11" t="str">
        <f ca="1">+WORLDCUP!BD66</f>
        <v>Senegal</v>
      </c>
      <c r="D85" s="11" t="str">
        <f ca="1">+WORLDCUP!BD64</f>
        <v>Iran</v>
      </c>
      <c r="E85" s="11" t="str">
        <f ca="1">+WORLDCUP!BD59</f>
        <v>Bosnia and Herzegovina</v>
      </c>
      <c r="F85" s="11" t="str">
        <f ca="1">+WORLDCUP!BD60</f>
        <v>Scotland</v>
      </c>
      <c r="G85" s="11" t="str">
        <f ca="1">+WORLDCUP!BD67</f>
        <v>Algeria</v>
      </c>
      <c r="H85" s="11" t="str">
        <f ca="1">+WORLDCUP!BD63</f>
        <v>Sweden</v>
      </c>
      <c r="I85" s="11" t="str">
        <f ca="1">+WORLDCUP!BD69</f>
        <v>Ghana</v>
      </c>
      <c r="J85" s="11" t="str">
        <f ca="1">+WORLDCUP!BD68</f>
        <v>DR Congo</v>
      </c>
      <c r="N85" s="11" t="s">
        <v>1132</v>
      </c>
      <c r="O85" s="11">
        <v>84</v>
      </c>
      <c r="P85" s="11" t="s">
        <v>440</v>
      </c>
      <c r="Q85" s="11" t="s">
        <v>435</v>
      </c>
      <c r="R85" s="11" t="s">
        <v>90</v>
      </c>
      <c r="S85" s="11" t="s">
        <v>91</v>
      </c>
      <c r="T85" s="11" t="s">
        <v>441</v>
      </c>
      <c r="U85" s="11" t="s">
        <v>94</v>
      </c>
      <c r="V85" s="11" t="s">
        <v>443</v>
      </c>
      <c r="W85" s="11" t="s">
        <v>442</v>
      </c>
    </row>
    <row r="86" spans="1:23">
      <c r="A86" s="11" t="s">
        <v>1131</v>
      </c>
      <c r="B86" s="11">
        <f ca="1">+IF(A86=WORLDCUP!$BI$112,1,0)</f>
        <v>0</v>
      </c>
      <c r="C86" s="11" t="str">
        <f ca="1">+WORLDCUP!BD65</f>
        <v>Uruguay</v>
      </c>
      <c r="D86" s="11" t="str">
        <f ca="1">+WORLDCUP!BD64</f>
        <v>Iran</v>
      </c>
      <c r="E86" s="11" t="str">
        <f ca="1">+WORLDCUP!BD59</f>
        <v>Bosnia and Herzegovina</v>
      </c>
      <c r="F86" s="11" t="str">
        <f ca="1">+WORLDCUP!BD60</f>
        <v>Scotland</v>
      </c>
      <c r="G86" s="11" t="str">
        <f ca="1">+WORLDCUP!BD67</f>
        <v>Algeria</v>
      </c>
      <c r="H86" s="11" t="str">
        <f ca="1">+WORLDCUP!BD63</f>
        <v>Sweden</v>
      </c>
      <c r="I86" s="11" t="str">
        <f ca="1">+WORLDCUP!BD69</f>
        <v>Ghana</v>
      </c>
      <c r="J86" s="11" t="str">
        <f ca="1">+WORLDCUP!BD68</f>
        <v>DR Congo</v>
      </c>
      <c r="N86" s="11" t="s">
        <v>1131</v>
      </c>
      <c r="O86" s="11">
        <v>85</v>
      </c>
      <c r="P86" s="11" t="s">
        <v>436</v>
      </c>
      <c r="Q86" s="11" t="s">
        <v>435</v>
      </c>
      <c r="R86" s="11" t="s">
        <v>90</v>
      </c>
      <c r="S86" s="11" t="s">
        <v>91</v>
      </c>
      <c r="T86" s="11" t="s">
        <v>441</v>
      </c>
      <c r="U86" s="11" t="s">
        <v>94</v>
      </c>
      <c r="V86" s="11" t="s">
        <v>443</v>
      </c>
      <c r="W86" s="11" t="s">
        <v>442</v>
      </c>
    </row>
    <row r="87" spans="1:23">
      <c r="A87" s="11" t="s">
        <v>1130</v>
      </c>
      <c r="B87" s="11">
        <f ca="1">+IF(A87=WORLDCUP!$BI$112,1,0)</f>
        <v>0</v>
      </c>
      <c r="C87" s="11" t="str">
        <f ca="1">+WORLDCUP!BD65</f>
        <v>Uruguay</v>
      </c>
      <c r="D87" s="11" t="str">
        <f ca="1">+WORLDCUP!BD64</f>
        <v>Iran</v>
      </c>
      <c r="E87" s="11" t="str">
        <f ca="1">+WORLDCUP!BD59</f>
        <v>Bosnia and Herzegovina</v>
      </c>
      <c r="F87" s="11" t="str">
        <f ca="1">+WORLDCUP!BD60</f>
        <v>Scotland</v>
      </c>
      <c r="G87" s="11" t="str">
        <f ca="1">+WORLDCUP!BD66</f>
        <v>Senegal</v>
      </c>
      <c r="H87" s="11" t="str">
        <f ca="1">+WORLDCUP!BD63</f>
        <v>Sweden</v>
      </c>
      <c r="I87" s="11" t="str">
        <f ca="1">+WORLDCUP!BD69</f>
        <v>Ghana</v>
      </c>
      <c r="J87" s="11" t="str">
        <f ca="1">+WORLDCUP!BD68</f>
        <v>DR Congo</v>
      </c>
      <c r="N87" s="11" t="s">
        <v>1130</v>
      </c>
      <c r="O87" s="11">
        <v>86</v>
      </c>
      <c r="P87" s="11" t="s">
        <v>436</v>
      </c>
      <c r="Q87" s="11" t="s">
        <v>435</v>
      </c>
      <c r="R87" s="11" t="s">
        <v>90</v>
      </c>
      <c r="S87" s="11" t="s">
        <v>91</v>
      </c>
      <c r="T87" s="11" t="s">
        <v>440</v>
      </c>
      <c r="U87" s="11" t="s">
        <v>94</v>
      </c>
      <c r="V87" s="11" t="s">
        <v>443</v>
      </c>
      <c r="W87" s="11" t="s">
        <v>442</v>
      </c>
    </row>
    <row r="88" spans="1:23">
      <c r="A88" s="11" t="s">
        <v>1129</v>
      </c>
      <c r="B88" s="11">
        <f ca="1">+IF(A88=WORLDCUP!$BI$112,1,0)</f>
        <v>0</v>
      </c>
      <c r="C88" s="11" t="str">
        <f ca="1">+WORLDCUP!BD65</f>
        <v>Uruguay</v>
      </c>
      <c r="D88" s="11" t="str">
        <f ca="1">+WORLDCUP!BD64</f>
        <v>Iran</v>
      </c>
      <c r="E88" s="11" t="str">
        <f ca="1">+WORLDCUP!BD59</f>
        <v>Bosnia and Herzegovina</v>
      </c>
      <c r="F88" s="11" t="str">
        <f ca="1">+WORLDCUP!BD60</f>
        <v>Scotland</v>
      </c>
      <c r="G88" s="11" t="str">
        <f ca="1">+WORLDCUP!BD67</f>
        <v>Algeria</v>
      </c>
      <c r="H88" s="11" t="str">
        <f ca="1">+WORLDCUP!BD63</f>
        <v>Sweden</v>
      </c>
      <c r="I88" s="11" t="str">
        <f ca="1">+WORLDCUP!BD69</f>
        <v>Ghana</v>
      </c>
      <c r="J88" s="11" t="str">
        <f ca="1">+WORLDCUP!BD66</f>
        <v>Senegal</v>
      </c>
      <c r="N88" s="11" t="s">
        <v>1129</v>
      </c>
      <c r="O88" s="11">
        <v>87</v>
      </c>
      <c r="P88" s="11" t="s">
        <v>436</v>
      </c>
      <c r="Q88" s="11" t="s">
        <v>435</v>
      </c>
      <c r="R88" s="11" t="s">
        <v>90</v>
      </c>
      <c r="S88" s="11" t="s">
        <v>91</v>
      </c>
      <c r="T88" s="11" t="s">
        <v>441</v>
      </c>
      <c r="U88" s="11" t="s">
        <v>94</v>
      </c>
      <c r="V88" s="11" t="s">
        <v>443</v>
      </c>
      <c r="W88" s="11" t="s">
        <v>440</v>
      </c>
    </row>
    <row r="89" spans="1:23">
      <c r="A89" s="11" t="s">
        <v>1128</v>
      </c>
      <c r="B89" s="11">
        <f ca="1">+IF(A89=WORLDCUP!$BI$112,1,0)</f>
        <v>0</v>
      </c>
      <c r="C89" s="11" t="str">
        <f ca="1">+WORLDCUP!BD65</f>
        <v>Uruguay</v>
      </c>
      <c r="D89" s="11" t="str">
        <f ca="1">+WORLDCUP!BD64</f>
        <v>Iran</v>
      </c>
      <c r="E89" s="11" t="str">
        <f ca="1">+WORLDCUP!BD59</f>
        <v>Bosnia and Herzegovina</v>
      </c>
      <c r="F89" s="11" t="str">
        <f ca="1">+WORLDCUP!BD60</f>
        <v>Scotland</v>
      </c>
      <c r="G89" s="11" t="str">
        <f ca="1">+WORLDCUP!BD67</f>
        <v>Algeria</v>
      </c>
      <c r="H89" s="11" t="str">
        <f ca="1">+WORLDCUP!BD63</f>
        <v>Sweden</v>
      </c>
      <c r="I89" s="11" t="str">
        <f ca="1">+WORLDCUP!BD66</f>
        <v>Senegal</v>
      </c>
      <c r="J89" s="11" t="str">
        <f ca="1">+WORLDCUP!BD68</f>
        <v>DR Congo</v>
      </c>
      <c r="N89" s="11" t="s">
        <v>1128</v>
      </c>
      <c r="O89" s="11">
        <v>88</v>
      </c>
      <c r="P89" s="11" t="s">
        <v>436</v>
      </c>
      <c r="Q89" s="11" t="s">
        <v>435</v>
      </c>
      <c r="R89" s="11" t="s">
        <v>90</v>
      </c>
      <c r="S89" s="11" t="s">
        <v>91</v>
      </c>
      <c r="T89" s="11" t="s">
        <v>441</v>
      </c>
      <c r="U89" s="11" t="s">
        <v>94</v>
      </c>
      <c r="V89" s="11" t="s">
        <v>440</v>
      </c>
      <c r="W89" s="11" t="s">
        <v>442</v>
      </c>
    </row>
    <row r="90" spans="1:23">
      <c r="A90" s="11" t="s">
        <v>1127</v>
      </c>
      <c r="B90" s="11">
        <f ca="1">+IF(A90=WORLDCUP!$BI$112,1,0)</f>
        <v>0</v>
      </c>
      <c r="C90" s="11" t="str">
        <f ca="1">+WORLDCUP!BD62</f>
        <v>Ecuador</v>
      </c>
      <c r="D90" s="11" t="str">
        <f ca="1">+WORLDCUP!BD67</f>
        <v>Algeria</v>
      </c>
      <c r="E90" s="11" t="str">
        <f ca="1">+WORLDCUP!BD59</f>
        <v>Bosnia and Herzegovina</v>
      </c>
      <c r="F90" s="11" t="str">
        <f ca="1">+WORLDCUP!BD60</f>
        <v>Scotland</v>
      </c>
      <c r="G90" s="11" t="str">
        <f ca="1">+WORLDCUP!BD66</f>
        <v>Senegal</v>
      </c>
      <c r="H90" s="11" t="str">
        <f ca="1">+WORLDCUP!BD65</f>
        <v>Uruguay</v>
      </c>
      <c r="I90" s="11" t="str">
        <f ca="1">+WORLDCUP!BD69</f>
        <v>Ghana</v>
      </c>
      <c r="J90" s="11" t="str">
        <f ca="1">+WORLDCUP!BD68</f>
        <v>DR Congo</v>
      </c>
      <c r="N90" s="11" t="s">
        <v>1127</v>
      </c>
      <c r="O90" s="11">
        <v>89</v>
      </c>
      <c r="P90" s="11" t="s">
        <v>93</v>
      </c>
      <c r="Q90" s="11" t="s">
        <v>441</v>
      </c>
      <c r="R90" s="11" t="s">
        <v>90</v>
      </c>
      <c r="S90" s="11" t="s">
        <v>91</v>
      </c>
      <c r="T90" s="11" t="s">
        <v>440</v>
      </c>
      <c r="U90" s="11" t="s">
        <v>436</v>
      </c>
      <c r="V90" s="11" t="s">
        <v>443</v>
      </c>
      <c r="W90" s="11" t="s">
        <v>442</v>
      </c>
    </row>
    <row r="91" spans="1:23">
      <c r="A91" s="11" t="s">
        <v>1126</v>
      </c>
      <c r="B91" s="11">
        <f ca="1">+IF(A91=WORLDCUP!$BI$112,1,0)</f>
        <v>0</v>
      </c>
      <c r="C91" s="11" t="str">
        <f ca="1">+WORLDCUP!BD62</f>
        <v>Ecuador</v>
      </c>
      <c r="D91" s="11" t="str">
        <f ca="1">+WORLDCUP!BD67</f>
        <v>Algeria</v>
      </c>
      <c r="E91" s="11" t="str">
        <f ca="1">+WORLDCUP!BD59</f>
        <v>Bosnia and Herzegovina</v>
      </c>
      <c r="F91" s="11" t="str">
        <f ca="1">+WORLDCUP!BD60</f>
        <v>Scotland</v>
      </c>
      <c r="G91" s="11" t="str">
        <f ca="1">+WORLDCUP!BD66</f>
        <v>Senegal</v>
      </c>
      <c r="H91" s="11" t="str">
        <f ca="1">+WORLDCUP!BD64</f>
        <v>Iran</v>
      </c>
      <c r="I91" s="11" t="str">
        <f ca="1">+WORLDCUP!BD69</f>
        <v>Ghana</v>
      </c>
      <c r="J91" s="11" t="str">
        <f ca="1">+WORLDCUP!BD68</f>
        <v>DR Congo</v>
      </c>
      <c r="N91" s="11" t="s">
        <v>1126</v>
      </c>
      <c r="O91" s="11">
        <v>90</v>
      </c>
      <c r="P91" s="11" t="s">
        <v>93</v>
      </c>
      <c r="Q91" s="11" t="s">
        <v>441</v>
      </c>
      <c r="R91" s="11" t="s">
        <v>90</v>
      </c>
      <c r="S91" s="11" t="s">
        <v>91</v>
      </c>
      <c r="T91" s="11" t="s">
        <v>440</v>
      </c>
      <c r="U91" s="11" t="s">
        <v>435</v>
      </c>
      <c r="V91" s="11" t="s">
        <v>443</v>
      </c>
      <c r="W91" s="11" t="s">
        <v>442</v>
      </c>
    </row>
    <row r="92" spans="1:23">
      <c r="A92" s="11" t="s">
        <v>1125</v>
      </c>
      <c r="B92" s="11">
        <f ca="1">+IF(A92=WORLDCUP!$BI$112,1,0)</f>
        <v>0</v>
      </c>
      <c r="C92" s="11" t="str">
        <f ca="1">+WORLDCUP!BD62</f>
        <v>Ecuador</v>
      </c>
      <c r="D92" s="11" t="str">
        <f ca="1">+WORLDCUP!BD67</f>
        <v>Algeria</v>
      </c>
      <c r="E92" s="11" t="str">
        <f ca="1">+WORLDCUP!BD59</f>
        <v>Bosnia and Herzegovina</v>
      </c>
      <c r="F92" s="11" t="str">
        <f ca="1">+WORLDCUP!BD60</f>
        <v>Scotland</v>
      </c>
      <c r="G92" s="11" t="str">
        <f ca="1">+WORLDCUP!BD65</f>
        <v>Uruguay</v>
      </c>
      <c r="H92" s="11" t="str">
        <f ca="1">+WORLDCUP!BD64</f>
        <v>Iran</v>
      </c>
      <c r="I92" s="11" t="str">
        <f ca="1">+WORLDCUP!BD69</f>
        <v>Ghana</v>
      </c>
      <c r="J92" s="11" t="str">
        <f ca="1">+WORLDCUP!BD68</f>
        <v>DR Congo</v>
      </c>
      <c r="N92" s="11" t="s">
        <v>1125</v>
      </c>
      <c r="O92" s="11">
        <v>91</v>
      </c>
      <c r="P92" s="11" t="s">
        <v>93</v>
      </c>
      <c r="Q92" s="11" t="s">
        <v>441</v>
      </c>
      <c r="R92" s="11" t="s">
        <v>90</v>
      </c>
      <c r="S92" s="11" t="s">
        <v>91</v>
      </c>
      <c r="T92" s="11" t="s">
        <v>436</v>
      </c>
      <c r="U92" s="11" t="s">
        <v>435</v>
      </c>
      <c r="V92" s="11" t="s">
        <v>443</v>
      </c>
      <c r="W92" s="11" t="s">
        <v>442</v>
      </c>
    </row>
    <row r="93" spans="1:23">
      <c r="A93" s="11" t="s">
        <v>1124</v>
      </c>
      <c r="B93" s="11">
        <f ca="1">+IF(A93=WORLDCUP!$BI$112,1,0)</f>
        <v>0</v>
      </c>
      <c r="C93" s="11" t="str">
        <f ca="1">+WORLDCUP!BD62</f>
        <v>Ecuador</v>
      </c>
      <c r="D93" s="11" t="str">
        <f ca="1">+WORLDCUP!BD64</f>
        <v>Iran</v>
      </c>
      <c r="E93" s="11" t="str">
        <f ca="1">+WORLDCUP!BD59</f>
        <v>Bosnia and Herzegovina</v>
      </c>
      <c r="F93" s="11" t="str">
        <f ca="1">+WORLDCUP!BD60</f>
        <v>Scotland</v>
      </c>
      <c r="G93" s="11" t="str">
        <f ca="1">+WORLDCUP!BD66</f>
        <v>Senegal</v>
      </c>
      <c r="H93" s="11" t="str">
        <f ca="1">+WORLDCUP!BD65</f>
        <v>Uruguay</v>
      </c>
      <c r="I93" s="11" t="str">
        <f ca="1">+WORLDCUP!BD69</f>
        <v>Ghana</v>
      </c>
      <c r="J93" s="11" t="str">
        <f ca="1">+WORLDCUP!BD68</f>
        <v>DR Congo</v>
      </c>
      <c r="N93" s="11" t="s">
        <v>1124</v>
      </c>
      <c r="O93" s="11">
        <v>92</v>
      </c>
      <c r="P93" s="11" t="s">
        <v>93</v>
      </c>
      <c r="Q93" s="11" t="s">
        <v>435</v>
      </c>
      <c r="R93" s="11" t="s">
        <v>90</v>
      </c>
      <c r="S93" s="11" t="s">
        <v>91</v>
      </c>
      <c r="T93" s="11" t="s">
        <v>440</v>
      </c>
      <c r="U93" s="11" t="s">
        <v>436</v>
      </c>
      <c r="V93" s="11" t="s">
        <v>443</v>
      </c>
      <c r="W93" s="11" t="s">
        <v>442</v>
      </c>
    </row>
    <row r="94" spans="1:23">
      <c r="A94" s="11" t="s">
        <v>1123</v>
      </c>
      <c r="B94" s="11">
        <f ca="1">+IF(A94=WORLDCUP!$BI$112,1,0)</f>
        <v>0</v>
      </c>
      <c r="C94" s="11" t="str">
        <f ca="1">+WORLDCUP!BD62</f>
        <v>Ecuador</v>
      </c>
      <c r="D94" s="11" t="str">
        <f ca="1">+WORLDCUP!BD67</f>
        <v>Algeria</v>
      </c>
      <c r="E94" s="11" t="str">
        <f ca="1">+WORLDCUP!BD59</f>
        <v>Bosnia and Herzegovina</v>
      </c>
      <c r="F94" s="11" t="str">
        <f ca="1">+WORLDCUP!BD60</f>
        <v>Scotland</v>
      </c>
      <c r="G94" s="11" t="str">
        <f ca="1">+WORLDCUP!BD65</f>
        <v>Uruguay</v>
      </c>
      <c r="H94" s="11" t="str">
        <f ca="1">+WORLDCUP!BD64</f>
        <v>Iran</v>
      </c>
      <c r="I94" s="11" t="str">
        <f ca="1">+WORLDCUP!BD69</f>
        <v>Ghana</v>
      </c>
      <c r="J94" s="11" t="str">
        <f ca="1">+WORLDCUP!BD66</f>
        <v>Senegal</v>
      </c>
      <c r="N94" s="11" t="s">
        <v>1123</v>
      </c>
      <c r="O94" s="11">
        <v>93</v>
      </c>
      <c r="P94" s="11" t="s">
        <v>93</v>
      </c>
      <c r="Q94" s="11" t="s">
        <v>441</v>
      </c>
      <c r="R94" s="11" t="s">
        <v>90</v>
      </c>
      <c r="S94" s="11" t="s">
        <v>91</v>
      </c>
      <c r="T94" s="11" t="s">
        <v>436</v>
      </c>
      <c r="U94" s="11" t="s">
        <v>435</v>
      </c>
      <c r="V94" s="11" t="s">
        <v>443</v>
      </c>
      <c r="W94" s="11" t="s">
        <v>440</v>
      </c>
    </row>
    <row r="95" spans="1:23">
      <c r="A95" s="11" t="s">
        <v>1122</v>
      </c>
      <c r="B95" s="11">
        <f ca="1">+IF(A95=WORLDCUP!$BI$112,1,0)</f>
        <v>0</v>
      </c>
      <c r="C95" s="11" t="str">
        <f ca="1">+WORLDCUP!BD62</f>
        <v>Ecuador</v>
      </c>
      <c r="D95" s="11" t="str">
        <f ca="1">+WORLDCUP!BD67</f>
        <v>Algeria</v>
      </c>
      <c r="E95" s="11" t="str">
        <f ca="1">+WORLDCUP!BD59</f>
        <v>Bosnia and Herzegovina</v>
      </c>
      <c r="F95" s="11" t="str">
        <f ca="1">+WORLDCUP!BD60</f>
        <v>Scotland</v>
      </c>
      <c r="G95" s="11" t="str">
        <f ca="1">+WORLDCUP!BD65</f>
        <v>Uruguay</v>
      </c>
      <c r="H95" s="11" t="str">
        <f ca="1">+WORLDCUP!BD64</f>
        <v>Iran</v>
      </c>
      <c r="I95" s="11" t="str">
        <f ca="1">+WORLDCUP!BD66</f>
        <v>Senegal</v>
      </c>
      <c r="J95" s="11" t="str">
        <f ca="1">+WORLDCUP!BD68</f>
        <v>DR Congo</v>
      </c>
      <c r="N95" s="11" t="s">
        <v>1122</v>
      </c>
      <c r="O95" s="11">
        <v>94</v>
      </c>
      <c r="P95" s="11" t="s">
        <v>93</v>
      </c>
      <c r="Q95" s="11" t="s">
        <v>441</v>
      </c>
      <c r="R95" s="11" t="s">
        <v>90</v>
      </c>
      <c r="S95" s="11" t="s">
        <v>91</v>
      </c>
      <c r="T95" s="11" t="s">
        <v>436</v>
      </c>
      <c r="U95" s="11" t="s">
        <v>435</v>
      </c>
      <c r="V95" s="11" t="s">
        <v>440</v>
      </c>
      <c r="W95" s="11" t="s">
        <v>442</v>
      </c>
    </row>
    <row r="96" spans="1:23">
      <c r="A96" s="11" t="s">
        <v>1121</v>
      </c>
      <c r="B96" s="11">
        <f ca="1">+IF(A96=WORLDCUP!$BI$112,1,0)</f>
        <v>0</v>
      </c>
      <c r="C96" s="11" t="str">
        <f ca="1">+WORLDCUP!BD62</f>
        <v>Ecuador</v>
      </c>
      <c r="D96" s="11" t="str">
        <f ca="1">+WORLDCUP!BD67</f>
        <v>Algeria</v>
      </c>
      <c r="E96" s="11" t="str">
        <f ca="1">+WORLDCUP!BD59</f>
        <v>Bosnia and Herzegovina</v>
      </c>
      <c r="F96" s="11" t="str">
        <f ca="1">+WORLDCUP!BD60</f>
        <v>Scotland</v>
      </c>
      <c r="G96" s="11" t="str">
        <f ca="1">+WORLDCUP!BD66</f>
        <v>Senegal</v>
      </c>
      <c r="H96" s="11" t="str">
        <f ca="1">+WORLDCUP!BD63</f>
        <v>Sweden</v>
      </c>
      <c r="I96" s="11" t="str">
        <f ca="1">+WORLDCUP!BD69</f>
        <v>Ghana</v>
      </c>
      <c r="J96" s="11" t="str">
        <f ca="1">+WORLDCUP!BD68</f>
        <v>DR Congo</v>
      </c>
      <c r="N96" s="11" t="s">
        <v>1121</v>
      </c>
      <c r="O96" s="11">
        <v>95</v>
      </c>
      <c r="P96" s="11" t="s">
        <v>93</v>
      </c>
      <c r="Q96" s="11" t="s">
        <v>441</v>
      </c>
      <c r="R96" s="11" t="s">
        <v>90</v>
      </c>
      <c r="S96" s="11" t="s">
        <v>91</v>
      </c>
      <c r="T96" s="11" t="s">
        <v>440</v>
      </c>
      <c r="U96" s="11" t="s">
        <v>94</v>
      </c>
      <c r="V96" s="11" t="s">
        <v>443</v>
      </c>
      <c r="W96" s="11" t="s">
        <v>442</v>
      </c>
    </row>
    <row r="97" spans="1:23">
      <c r="A97" s="11" t="s">
        <v>1120</v>
      </c>
      <c r="B97" s="11">
        <f ca="1">+IF(A97=WORLDCUP!$BI$112,1,0)</f>
        <v>0</v>
      </c>
      <c r="C97" s="11" t="str">
        <f ca="1">+WORLDCUP!BD62</f>
        <v>Ecuador</v>
      </c>
      <c r="D97" s="11" t="str">
        <f ca="1">+WORLDCUP!BD67</f>
        <v>Algeria</v>
      </c>
      <c r="E97" s="11" t="str">
        <f ca="1">+WORLDCUP!BD59</f>
        <v>Bosnia and Herzegovina</v>
      </c>
      <c r="F97" s="11" t="str">
        <f ca="1">+WORLDCUP!BD60</f>
        <v>Scotland</v>
      </c>
      <c r="G97" s="11" t="str">
        <f ca="1">+WORLDCUP!BD65</f>
        <v>Uruguay</v>
      </c>
      <c r="H97" s="11" t="str">
        <f ca="1">+WORLDCUP!BD63</f>
        <v>Sweden</v>
      </c>
      <c r="I97" s="11" t="str">
        <f ca="1">+WORLDCUP!BD69</f>
        <v>Ghana</v>
      </c>
      <c r="J97" s="11" t="str">
        <f ca="1">+WORLDCUP!BD68</f>
        <v>DR Congo</v>
      </c>
      <c r="N97" s="11" t="s">
        <v>1120</v>
      </c>
      <c r="O97" s="11">
        <v>96</v>
      </c>
      <c r="P97" s="11" t="s">
        <v>93</v>
      </c>
      <c r="Q97" s="11" t="s">
        <v>441</v>
      </c>
      <c r="R97" s="11" t="s">
        <v>90</v>
      </c>
      <c r="S97" s="11" t="s">
        <v>91</v>
      </c>
      <c r="T97" s="11" t="s">
        <v>436</v>
      </c>
      <c r="U97" s="11" t="s">
        <v>94</v>
      </c>
      <c r="V97" s="11" t="s">
        <v>443</v>
      </c>
      <c r="W97" s="11" t="s">
        <v>442</v>
      </c>
    </row>
    <row r="98" spans="1:23">
      <c r="A98" s="11" t="s">
        <v>1119</v>
      </c>
      <c r="B98" s="11">
        <f ca="1">+IF(A98=WORLDCUP!$BI$112,1,0)</f>
        <v>0</v>
      </c>
      <c r="C98" s="11" t="str">
        <f ca="1">+WORLDCUP!BD62</f>
        <v>Ecuador</v>
      </c>
      <c r="D98" s="11" t="str">
        <f ca="1">+WORLDCUP!BD66</f>
        <v>Senegal</v>
      </c>
      <c r="E98" s="11" t="str">
        <f ca="1">+WORLDCUP!BD59</f>
        <v>Bosnia and Herzegovina</v>
      </c>
      <c r="F98" s="11" t="str">
        <f ca="1">+WORLDCUP!BD60</f>
        <v>Scotland</v>
      </c>
      <c r="G98" s="11" t="str">
        <f ca="1">+WORLDCUP!BD65</f>
        <v>Uruguay</v>
      </c>
      <c r="H98" s="11" t="str">
        <f ca="1">+WORLDCUP!BD63</f>
        <v>Sweden</v>
      </c>
      <c r="I98" s="11" t="str">
        <f ca="1">+WORLDCUP!BD69</f>
        <v>Ghana</v>
      </c>
      <c r="J98" s="11" t="str">
        <f ca="1">+WORLDCUP!BD68</f>
        <v>DR Congo</v>
      </c>
      <c r="N98" s="11" t="s">
        <v>1119</v>
      </c>
      <c r="O98" s="11">
        <v>97</v>
      </c>
      <c r="P98" s="11" t="s">
        <v>93</v>
      </c>
      <c r="Q98" s="11" t="s">
        <v>440</v>
      </c>
      <c r="R98" s="11" t="s">
        <v>90</v>
      </c>
      <c r="S98" s="11" t="s">
        <v>91</v>
      </c>
      <c r="T98" s="11" t="s">
        <v>436</v>
      </c>
      <c r="U98" s="11" t="s">
        <v>94</v>
      </c>
      <c r="V98" s="11" t="s">
        <v>443</v>
      </c>
      <c r="W98" s="11" t="s">
        <v>442</v>
      </c>
    </row>
    <row r="99" spans="1:23">
      <c r="A99" s="11" t="s">
        <v>1118</v>
      </c>
      <c r="B99" s="11">
        <f ca="1">+IF(A99=WORLDCUP!$BI$112,1,0)</f>
        <v>0</v>
      </c>
      <c r="C99" s="11" t="str">
        <f ca="1">+WORLDCUP!BD62</f>
        <v>Ecuador</v>
      </c>
      <c r="D99" s="11" t="str">
        <f ca="1">+WORLDCUP!BD67</f>
        <v>Algeria</v>
      </c>
      <c r="E99" s="11" t="str">
        <f ca="1">+WORLDCUP!BD59</f>
        <v>Bosnia and Herzegovina</v>
      </c>
      <c r="F99" s="11" t="str">
        <f ca="1">+WORLDCUP!BD60</f>
        <v>Scotland</v>
      </c>
      <c r="G99" s="11" t="str">
        <f ca="1">+WORLDCUP!BD65</f>
        <v>Uruguay</v>
      </c>
      <c r="H99" s="11" t="str">
        <f ca="1">+WORLDCUP!BD63</f>
        <v>Sweden</v>
      </c>
      <c r="I99" s="11" t="str">
        <f ca="1">+WORLDCUP!BD69</f>
        <v>Ghana</v>
      </c>
      <c r="J99" s="11" t="str">
        <f ca="1">+WORLDCUP!BD66</f>
        <v>Senegal</v>
      </c>
      <c r="N99" s="11" t="s">
        <v>1118</v>
      </c>
      <c r="O99" s="11">
        <v>98</v>
      </c>
      <c r="P99" s="11" t="s">
        <v>93</v>
      </c>
      <c r="Q99" s="11" t="s">
        <v>441</v>
      </c>
      <c r="R99" s="11" t="s">
        <v>90</v>
      </c>
      <c r="S99" s="11" t="s">
        <v>91</v>
      </c>
      <c r="T99" s="11" t="s">
        <v>436</v>
      </c>
      <c r="U99" s="11" t="s">
        <v>94</v>
      </c>
      <c r="V99" s="11" t="s">
        <v>443</v>
      </c>
      <c r="W99" s="11" t="s">
        <v>440</v>
      </c>
    </row>
    <row r="100" spans="1:23">
      <c r="A100" s="11" t="s">
        <v>1117</v>
      </c>
      <c r="B100" s="11">
        <f ca="1">+IF(A100=WORLDCUP!$BI$112,1,0)</f>
        <v>0</v>
      </c>
      <c r="C100" s="11" t="str">
        <f ca="1">+WORLDCUP!BD62</f>
        <v>Ecuador</v>
      </c>
      <c r="D100" s="11" t="str">
        <f ca="1">+WORLDCUP!BD67</f>
        <v>Algeria</v>
      </c>
      <c r="E100" s="11" t="str">
        <f ca="1">+WORLDCUP!BD59</f>
        <v>Bosnia and Herzegovina</v>
      </c>
      <c r="F100" s="11" t="str">
        <f ca="1">+WORLDCUP!BD60</f>
        <v>Scotland</v>
      </c>
      <c r="G100" s="11" t="str">
        <f ca="1">+WORLDCUP!BD65</f>
        <v>Uruguay</v>
      </c>
      <c r="H100" s="11" t="str">
        <f ca="1">+WORLDCUP!BD63</f>
        <v>Sweden</v>
      </c>
      <c r="I100" s="11" t="str">
        <f ca="1">+WORLDCUP!BD66</f>
        <v>Senegal</v>
      </c>
      <c r="J100" s="11" t="str">
        <f ca="1">+WORLDCUP!BD68</f>
        <v>DR Congo</v>
      </c>
      <c r="N100" s="11" t="s">
        <v>1117</v>
      </c>
      <c r="O100" s="11">
        <v>99</v>
      </c>
      <c r="P100" s="11" t="s">
        <v>93</v>
      </c>
      <c r="Q100" s="11" t="s">
        <v>441</v>
      </c>
      <c r="R100" s="11" t="s">
        <v>90</v>
      </c>
      <c r="S100" s="11" t="s">
        <v>91</v>
      </c>
      <c r="T100" s="11" t="s">
        <v>436</v>
      </c>
      <c r="U100" s="11" t="s">
        <v>94</v>
      </c>
      <c r="V100" s="11" t="s">
        <v>440</v>
      </c>
      <c r="W100" s="11" t="s">
        <v>442</v>
      </c>
    </row>
    <row r="101" spans="1:23">
      <c r="A101" s="11" t="s">
        <v>1116</v>
      </c>
      <c r="B101" s="11">
        <f ca="1">+IF(A101=WORLDCUP!$BI$112,1,0)</f>
        <v>0</v>
      </c>
      <c r="C101" s="11" t="str">
        <f ca="1">+WORLDCUP!BD62</f>
        <v>Ecuador</v>
      </c>
      <c r="D101" s="11" t="str">
        <f ca="1">+WORLDCUP!BD64</f>
        <v>Iran</v>
      </c>
      <c r="E101" s="11" t="str">
        <f ca="1">+WORLDCUP!BD59</f>
        <v>Bosnia and Herzegovina</v>
      </c>
      <c r="F101" s="11" t="str">
        <f ca="1">+WORLDCUP!BD60</f>
        <v>Scotland</v>
      </c>
      <c r="G101" s="11" t="str">
        <f ca="1">+WORLDCUP!BD67</f>
        <v>Algeria</v>
      </c>
      <c r="H101" s="11" t="str">
        <f ca="1">+WORLDCUP!BD63</f>
        <v>Sweden</v>
      </c>
      <c r="I101" s="11" t="str">
        <f ca="1">+WORLDCUP!BD69</f>
        <v>Ghana</v>
      </c>
      <c r="J101" s="11" t="str">
        <f ca="1">+WORLDCUP!BD68</f>
        <v>DR Congo</v>
      </c>
      <c r="N101" s="11" t="s">
        <v>1116</v>
      </c>
      <c r="O101" s="11">
        <v>100</v>
      </c>
      <c r="P101" s="11" t="s">
        <v>93</v>
      </c>
      <c r="Q101" s="11" t="s">
        <v>435</v>
      </c>
      <c r="R101" s="11" t="s">
        <v>90</v>
      </c>
      <c r="S101" s="11" t="s">
        <v>91</v>
      </c>
      <c r="T101" s="11" t="s">
        <v>441</v>
      </c>
      <c r="U101" s="11" t="s">
        <v>94</v>
      </c>
      <c r="V101" s="11" t="s">
        <v>443</v>
      </c>
      <c r="W101" s="11" t="s">
        <v>442</v>
      </c>
    </row>
    <row r="102" spans="1:23">
      <c r="A102" s="11" t="s">
        <v>1115</v>
      </c>
      <c r="B102" s="11">
        <f ca="1">+IF(A102=WORLDCUP!$BI$112,1,0)</f>
        <v>0</v>
      </c>
      <c r="C102" s="11" t="str">
        <f ca="1">+WORLDCUP!BD62</f>
        <v>Ecuador</v>
      </c>
      <c r="D102" s="11" t="str">
        <f ca="1">+WORLDCUP!BD64</f>
        <v>Iran</v>
      </c>
      <c r="E102" s="11" t="str">
        <f ca="1">+WORLDCUP!BD59</f>
        <v>Bosnia and Herzegovina</v>
      </c>
      <c r="F102" s="11" t="str">
        <f ca="1">+WORLDCUP!BD60</f>
        <v>Scotland</v>
      </c>
      <c r="G102" s="11" t="str">
        <f ca="1">+WORLDCUP!BD66</f>
        <v>Senegal</v>
      </c>
      <c r="H102" s="11" t="str">
        <f ca="1">+WORLDCUP!BD63</f>
        <v>Sweden</v>
      </c>
      <c r="I102" s="11" t="str">
        <f ca="1">+WORLDCUP!BD69</f>
        <v>Ghana</v>
      </c>
      <c r="J102" s="11" t="str">
        <f ca="1">+WORLDCUP!BD68</f>
        <v>DR Congo</v>
      </c>
      <c r="N102" s="11" t="s">
        <v>1115</v>
      </c>
      <c r="O102" s="11">
        <v>101</v>
      </c>
      <c r="P102" s="11" t="s">
        <v>93</v>
      </c>
      <c r="Q102" s="11" t="s">
        <v>435</v>
      </c>
      <c r="R102" s="11" t="s">
        <v>90</v>
      </c>
      <c r="S102" s="11" t="s">
        <v>91</v>
      </c>
      <c r="T102" s="11" t="s">
        <v>440</v>
      </c>
      <c r="U102" s="11" t="s">
        <v>94</v>
      </c>
      <c r="V102" s="11" t="s">
        <v>443</v>
      </c>
      <c r="W102" s="11" t="s">
        <v>442</v>
      </c>
    </row>
    <row r="103" spans="1:23">
      <c r="A103" s="11" t="s">
        <v>1114</v>
      </c>
      <c r="B103" s="11">
        <f ca="1">+IF(A103=WORLDCUP!$BI$112,1,0)</f>
        <v>0</v>
      </c>
      <c r="C103" s="11" t="str">
        <f ca="1">+WORLDCUP!BD62</f>
        <v>Ecuador</v>
      </c>
      <c r="D103" s="11" t="str">
        <f ca="1">+WORLDCUP!BD64</f>
        <v>Iran</v>
      </c>
      <c r="E103" s="11" t="str">
        <f ca="1">+WORLDCUP!BD59</f>
        <v>Bosnia and Herzegovina</v>
      </c>
      <c r="F103" s="11" t="str">
        <f ca="1">+WORLDCUP!BD60</f>
        <v>Scotland</v>
      </c>
      <c r="G103" s="11" t="str">
        <f ca="1">+WORLDCUP!BD67</f>
        <v>Algeria</v>
      </c>
      <c r="H103" s="11" t="str">
        <f ca="1">+WORLDCUP!BD63</f>
        <v>Sweden</v>
      </c>
      <c r="I103" s="11" t="str">
        <f ca="1">+WORLDCUP!BD69</f>
        <v>Ghana</v>
      </c>
      <c r="J103" s="11" t="str">
        <f ca="1">+WORLDCUP!BD66</f>
        <v>Senegal</v>
      </c>
      <c r="N103" s="11" t="s">
        <v>1114</v>
      </c>
      <c r="O103" s="11">
        <v>102</v>
      </c>
      <c r="P103" s="11" t="s">
        <v>93</v>
      </c>
      <c r="Q103" s="11" t="s">
        <v>435</v>
      </c>
      <c r="R103" s="11" t="s">
        <v>90</v>
      </c>
      <c r="S103" s="11" t="s">
        <v>91</v>
      </c>
      <c r="T103" s="11" t="s">
        <v>441</v>
      </c>
      <c r="U103" s="11" t="s">
        <v>94</v>
      </c>
      <c r="V103" s="11" t="s">
        <v>443</v>
      </c>
      <c r="W103" s="11" t="s">
        <v>440</v>
      </c>
    </row>
    <row r="104" spans="1:23">
      <c r="A104" s="11" t="s">
        <v>1113</v>
      </c>
      <c r="B104" s="11">
        <f ca="1">+IF(A104=WORLDCUP!$BI$112,1,0)</f>
        <v>0</v>
      </c>
      <c r="C104" s="11" t="str">
        <f ca="1">+WORLDCUP!BD62</f>
        <v>Ecuador</v>
      </c>
      <c r="D104" s="11" t="str">
        <f ca="1">+WORLDCUP!BD64</f>
        <v>Iran</v>
      </c>
      <c r="E104" s="11" t="str">
        <f ca="1">+WORLDCUP!BD59</f>
        <v>Bosnia and Herzegovina</v>
      </c>
      <c r="F104" s="11" t="str">
        <f ca="1">+WORLDCUP!BD60</f>
        <v>Scotland</v>
      </c>
      <c r="G104" s="11" t="str">
        <f ca="1">+WORLDCUP!BD67</f>
        <v>Algeria</v>
      </c>
      <c r="H104" s="11" t="str">
        <f ca="1">+WORLDCUP!BD63</f>
        <v>Sweden</v>
      </c>
      <c r="I104" s="11" t="str">
        <f ca="1">+WORLDCUP!BD66</f>
        <v>Senegal</v>
      </c>
      <c r="J104" s="11" t="str">
        <f ca="1">+WORLDCUP!BD68</f>
        <v>DR Congo</v>
      </c>
      <c r="N104" s="11" t="s">
        <v>1113</v>
      </c>
      <c r="O104" s="11">
        <v>103</v>
      </c>
      <c r="P104" s="11" t="s">
        <v>93</v>
      </c>
      <c r="Q104" s="11" t="s">
        <v>435</v>
      </c>
      <c r="R104" s="11" t="s">
        <v>90</v>
      </c>
      <c r="S104" s="11" t="s">
        <v>91</v>
      </c>
      <c r="T104" s="11" t="s">
        <v>441</v>
      </c>
      <c r="U104" s="11" t="s">
        <v>94</v>
      </c>
      <c r="V104" s="11" t="s">
        <v>440</v>
      </c>
      <c r="W104" s="11" t="s">
        <v>442</v>
      </c>
    </row>
    <row r="105" spans="1:23">
      <c r="A105" s="11" t="s">
        <v>1112</v>
      </c>
      <c r="B105" s="11">
        <f ca="1">+IF(A105=WORLDCUP!$BI$112,1,0)</f>
        <v>0</v>
      </c>
      <c r="C105" s="11" t="str">
        <f ca="1">+WORLDCUP!BD62</f>
        <v>Ecuador</v>
      </c>
      <c r="D105" s="11" t="str">
        <f ca="1">+WORLDCUP!BD64</f>
        <v>Iran</v>
      </c>
      <c r="E105" s="11" t="str">
        <f ca="1">+WORLDCUP!BD59</f>
        <v>Bosnia and Herzegovina</v>
      </c>
      <c r="F105" s="11" t="str">
        <f ca="1">+WORLDCUP!BD60</f>
        <v>Scotland</v>
      </c>
      <c r="G105" s="11" t="str">
        <f ca="1">+WORLDCUP!BD65</f>
        <v>Uruguay</v>
      </c>
      <c r="H105" s="11" t="str">
        <f ca="1">+WORLDCUP!BD63</f>
        <v>Sweden</v>
      </c>
      <c r="I105" s="11" t="str">
        <f ca="1">+WORLDCUP!BD69</f>
        <v>Ghana</v>
      </c>
      <c r="J105" s="11" t="str">
        <f ca="1">+WORLDCUP!BD68</f>
        <v>DR Congo</v>
      </c>
      <c r="N105" s="11" t="s">
        <v>1112</v>
      </c>
      <c r="O105" s="11">
        <v>104</v>
      </c>
      <c r="P105" s="11" t="s">
        <v>93</v>
      </c>
      <c r="Q105" s="11" t="s">
        <v>435</v>
      </c>
      <c r="R105" s="11" t="s">
        <v>90</v>
      </c>
      <c r="S105" s="11" t="s">
        <v>91</v>
      </c>
      <c r="T105" s="11" t="s">
        <v>436</v>
      </c>
      <c r="U105" s="11" t="s">
        <v>94</v>
      </c>
      <c r="V105" s="11" t="s">
        <v>443</v>
      </c>
      <c r="W105" s="11" t="s">
        <v>442</v>
      </c>
    </row>
    <row r="106" spans="1:23">
      <c r="A106" s="11" t="s">
        <v>1111</v>
      </c>
      <c r="B106" s="11">
        <f ca="1">+IF(A106=WORLDCUP!$BI$112,1,0)</f>
        <v>0</v>
      </c>
      <c r="C106" s="11" t="str">
        <f ca="1">+WORLDCUP!BD65</f>
        <v>Uruguay</v>
      </c>
      <c r="D106" s="11" t="str">
        <f ca="1">+WORLDCUP!BD64</f>
        <v>Iran</v>
      </c>
      <c r="E106" s="11" t="str">
        <f ca="1">+WORLDCUP!BD59</f>
        <v>Bosnia and Herzegovina</v>
      </c>
      <c r="F106" s="11" t="str">
        <f ca="1">+WORLDCUP!BD60</f>
        <v>Scotland</v>
      </c>
      <c r="G106" s="11" t="str">
        <f ca="1">+WORLDCUP!BD67</f>
        <v>Algeria</v>
      </c>
      <c r="H106" s="11" t="str">
        <f ca="1">+WORLDCUP!BD63</f>
        <v>Sweden</v>
      </c>
      <c r="I106" s="11" t="str">
        <f ca="1">+WORLDCUP!BD69</f>
        <v>Ghana</v>
      </c>
      <c r="J106" s="11" t="str">
        <f ca="1">+WORLDCUP!BD62</f>
        <v>Ecuador</v>
      </c>
      <c r="N106" s="11" t="s">
        <v>1111</v>
      </c>
      <c r="O106" s="11">
        <v>105</v>
      </c>
      <c r="P106" s="11" t="s">
        <v>436</v>
      </c>
      <c r="Q106" s="11" t="s">
        <v>435</v>
      </c>
      <c r="R106" s="11" t="s">
        <v>90</v>
      </c>
      <c r="S106" s="11" t="s">
        <v>91</v>
      </c>
      <c r="T106" s="11" t="s">
        <v>441</v>
      </c>
      <c r="U106" s="11" t="s">
        <v>94</v>
      </c>
      <c r="V106" s="11" t="s">
        <v>443</v>
      </c>
      <c r="W106" s="11" t="s">
        <v>93</v>
      </c>
    </row>
    <row r="107" spans="1:23">
      <c r="A107" s="11" t="s">
        <v>1110</v>
      </c>
      <c r="B107" s="11">
        <f ca="1">+IF(A107=WORLDCUP!$BI$112,1,0)</f>
        <v>0</v>
      </c>
      <c r="C107" s="11" t="str">
        <f ca="1">+WORLDCUP!BD65</f>
        <v>Uruguay</v>
      </c>
      <c r="D107" s="11" t="str">
        <f ca="1">+WORLDCUP!BD64</f>
        <v>Iran</v>
      </c>
      <c r="E107" s="11" t="str">
        <f ca="1">+WORLDCUP!BD59</f>
        <v>Bosnia and Herzegovina</v>
      </c>
      <c r="F107" s="11" t="str">
        <f ca="1">+WORLDCUP!BD60</f>
        <v>Scotland</v>
      </c>
      <c r="G107" s="11" t="str">
        <f ca="1">+WORLDCUP!BD67</f>
        <v>Algeria</v>
      </c>
      <c r="H107" s="11" t="str">
        <f ca="1">+WORLDCUP!BD63</f>
        <v>Sweden</v>
      </c>
      <c r="I107" s="11" t="str">
        <f ca="1">+WORLDCUP!BD62</f>
        <v>Ecuador</v>
      </c>
      <c r="J107" s="11" t="str">
        <f ca="1">+WORLDCUP!BD68</f>
        <v>DR Congo</v>
      </c>
      <c r="N107" s="11" t="s">
        <v>1110</v>
      </c>
      <c r="O107" s="11">
        <v>106</v>
      </c>
      <c r="P107" s="11" t="s">
        <v>436</v>
      </c>
      <c r="Q107" s="11" t="s">
        <v>435</v>
      </c>
      <c r="R107" s="11" t="s">
        <v>90</v>
      </c>
      <c r="S107" s="11" t="s">
        <v>91</v>
      </c>
      <c r="T107" s="11" t="s">
        <v>441</v>
      </c>
      <c r="U107" s="11" t="s">
        <v>94</v>
      </c>
      <c r="V107" s="11" t="s">
        <v>93</v>
      </c>
      <c r="W107" s="11" t="s">
        <v>442</v>
      </c>
    </row>
    <row r="108" spans="1:23">
      <c r="A108" s="11" t="s">
        <v>1109</v>
      </c>
      <c r="B108" s="11">
        <f ca="1">+IF(A108=WORLDCUP!$BI$112,1,0)</f>
        <v>0</v>
      </c>
      <c r="C108" s="11" t="str">
        <f ca="1">+WORLDCUP!BD62</f>
        <v>Ecuador</v>
      </c>
      <c r="D108" s="11" t="str">
        <f ca="1">+WORLDCUP!BD64</f>
        <v>Iran</v>
      </c>
      <c r="E108" s="11" t="str">
        <f ca="1">+WORLDCUP!BD59</f>
        <v>Bosnia and Herzegovina</v>
      </c>
      <c r="F108" s="11" t="str">
        <f ca="1">+WORLDCUP!BD60</f>
        <v>Scotland</v>
      </c>
      <c r="G108" s="11" t="str">
        <f ca="1">+WORLDCUP!BD65</f>
        <v>Uruguay</v>
      </c>
      <c r="H108" s="11" t="str">
        <f ca="1">+WORLDCUP!BD63</f>
        <v>Sweden</v>
      </c>
      <c r="I108" s="11" t="str">
        <f ca="1">+WORLDCUP!BD69</f>
        <v>Ghana</v>
      </c>
      <c r="J108" s="11" t="str">
        <f ca="1">+WORLDCUP!BD66</f>
        <v>Senegal</v>
      </c>
      <c r="N108" s="11" t="s">
        <v>1109</v>
      </c>
      <c r="O108" s="11">
        <v>107</v>
      </c>
      <c r="P108" s="11" t="s">
        <v>93</v>
      </c>
      <c r="Q108" s="11" t="s">
        <v>435</v>
      </c>
      <c r="R108" s="11" t="s">
        <v>90</v>
      </c>
      <c r="S108" s="11" t="s">
        <v>91</v>
      </c>
      <c r="T108" s="11" t="s">
        <v>436</v>
      </c>
      <c r="U108" s="11" t="s">
        <v>94</v>
      </c>
      <c r="V108" s="11" t="s">
        <v>443</v>
      </c>
      <c r="W108" s="11" t="s">
        <v>440</v>
      </c>
    </row>
    <row r="109" spans="1:23">
      <c r="A109" s="11" t="s">
        <v>1108</v>
      </c>
      <c r="B109" s="11">
        <f ca="1">+IF(A109=WORLDCUP!$BI$112,1,0)</f>
        <v>0</v>
      </c>
      <c r="C109" s="11" t="str">
        <f ca="1">+WORLDCUP!BD62</f>
        <v>Ecuador</v>
      </c>
      <c r="D109" s="11" t="str">
        <f ca="1">+WORLDCUP!BD64</f>
        <v>Iran</v>
      </c>
      <c r="E109" s="11" t="str">
        <f ca="1">+WORLDCUP!BD59</f>
        <v>Bosnia and Herzegovina</v>
      </c>
      <c r="F109" s="11" t="str">
        <f ca="1">+WORLDCUP!BD60</f>
        <v>Scotland</v>
      </c>
      <c r="G109" s="11" t="str">
        <f ca="1">+WORLDCUP!BD65</f>
        <v>Uruguay</v>
      </c>
      <c r="H109" s="11" t="str">
        <f ca="1">+WORLDCUP!BD63</f>
        <v>Sweden</v>
      </c>
      <c r="I109" s="11" t="str">
        <f ca="1">+WORLDCUP!BD66</f>
        <v>Senegal</v>
      </c>
      <c r="J109" s="11" t="str">
        <f ca="1">+WORLDCUP!BD68</f>
        <v>DR Congo</v>
      </c>
      <c r="N109" s="11" t="s">
        <v>1108</v>
      </c>
      <c r="O109" s="11">
        <v>108</v>
      </c>
      <c r="P109" s="11" t="s">
        <v>93</v>
      </c>
      <c r="Q109" s="11" t="s">
        <v>435</v>
      </c>
      <c r="R109" s="11" t="s">
        <v>90</v>
      </c>
      <c r="S109" s="11" t="s">
        <v>91</v>
      </c>
      <c r="T109" s="11" t="s">
        <v>436</v>
      </c>
      <c r="U109" s="11" t="s">
        <v>94</v>
      </c>
      <c r="V109" s="11" t="s">
        <v>440</v>
      </c>
      <c r="W109" s="11" t="s">
        <v>442</v>
      </c>
    </row>
    <row r="110" spans="1:23">
      <c r="A110" s="11" t="s">
        <v>1107</v>
      </c>
      <c r="B110" s="11">
        <f ca="1">+IF(A110=WORLDCUP!$BI$112,1,0)</f>
        <v>0</v>
      </c>
      <c r="C110" s="11" t="str">
        <f ca="1">+WORLDCUP!BD65</f>
        <v>Uruguay</v>
      </c>
      <c r="D110" s="11" t="str">
        <f ca="1">+WORLDCUP!BD64</f>
        <v>Iran</v>
      </c>
      <c r="E110" s="11" t="str">
        <f ca="1">+WORLDCUP!BD59</f>
        <v>Bosnia and Herzegovina</v>
      </c>
      <c r="F110" s="11" t="str">
        <f ca="1">+WORLDCUP!BD60</f>
        <v>Scotland</v>
      </c>
      <c r="G110" s="11" t="str">
        <f ca="1">+WORLDCUP!BD67</f>
        <v>Algeria</v>
      </c>
      <c r="H110" s="11" t="str">
        <f ca="1">+WORLDCUP!BD63</f>
        <v>Sweden</v>
      </c>
      <c r="I110" s="11" t="str">
        <f ca="1">+WORLDCUP!BD62</f>
        <v>Ecuador</v>
      </c>
      <c r="J110" s="11" t="str">
        <f ca="1">+WORLDCUP!BD66</f>
        <v>Senegal</v>
      </c>
      <c r="N110" s="11" t="s">
        <v>1107</v>
      </c>
      <c r="O110" s="11">
        <v>109</v>
      </c>
      <c r="P110" s="11" t="s">
        <v>436</v>
      </c>
      <c r="Q110" s="11" t="s">
        <v>435</v>
      </c>
      <c r="R110" s="11" t="s">
        <v>90</v>
      </c>
      <c r="S110" s="11" t="s">
        <v>91</v>
      </c>
      <c r="T110" s="11" t="s">
        <v>441</v>
      </c>
      <c r="U110" s="11" t="s">
        <v>94</v>
      </c>
      <c r="V110" s="11" t="s">
        <v>93</v>
      </c>
      <c r="W110" s="11" t="s">
        <v>440</v>
      </c>
    </row>
    <row r="111" spans="1:23">
      <c r="A111" s="11" t="s">
        <v>1106</v>
      </c>
      <c r="B111" s="11">
        <f ca="1">+IF(A111=WORLDCUP!$BI$112,1,0)</f>
        <v>0</v>
      </c>
      <c r="C111" s="11" t="str">
        <f ca="1">+WORLDCUP!BD65</f>
        <v>Uruguay</v>
      </c>
      <c r="D111" s="11" t="str">
        <f ca="1">+WORLDCUP!BD67</f>
        <v>Algeria</v>
      </c>
      <c r="E111" s="11" t="str">
        <f ca="1">+WORLDCUP!BD59</f>
        <v>Bosnia and Herzegovina</v>
      </c>
      <c r="F111" s="11" t="str">
        <f ca="1">+WORLDCUP!BD60</f>
        <v>Scotland</v>
      </c>
      <c r="G111" s="11" t="str">
        <f ca="1">+WORLDCUP!BD66</f>
        <v>Senegal</v>
      </c>
      <c r="H111" s="11" t="str">
        <f ca="1">+WORLDCUP!BD61</f>
        <v>Paraguay</v>
      </c>
      <c r="I111" s="11" t="str">
        <f ca="1">+WORLDCUP!BD69</f>
        <v>Ghana</v>
      </c>
      <c r="J111" s="11" t="str">
        <f ca="1">+WORLDCUP!BD68</f>
        <v>DR Congo</v>
      </c>
      <c r="N111" s="11" t="s">
        <v>1106</v>
      </c>
      <c r="O111" s="11">
        <v>110</v>
      </c>
      <c r="P111" s="11" t="s">
        <v>436</v>
      </c>
      <c r="Q111" s="11" t="s">
        <v>441</v>
      </c>
      <c r="R111" s="11" t="s">
        <v>90</v>
      </c>
      <c r="S111" s="11" t="s">
        <v>91</v>
      </c>
      <c r="T111" s="11" t="s">
        <v>440</v>
      </c>
      <c r="U111" s="11" t="s">
        <v>92</v>
      </c>
      <c r="V111" s="11" t="s">
        <v>443</v>
      </c>
      <c r="W111" s="11" t="s">
        <v>442</v>
      </c>
    </row>
    <row r="112" spans="1:23">
      <c r="A112" s="11" t="s">
        <v>1105</v>
      </c>
      <c r="B112" s="11">
        <f ca="1">+IF(A112=WORLDCUP!$BI$112,1,0)</f>
        <v>0</v>
      </c>
      <c r="C112" s="11" t="str">
        <f ca="1">+WORLDCUP!BD66</f>
        <v>Senegal</v>
      </c>
      <c r="D112" s="11" t="str">
        <f ca="1">+WORLDCUP!BD64</f>
        <v>Iran</v>
      </c>
      <c r="E112" s="11" t="str">
        <f ca="1">+WORLDCUP!BD59</f>
        <v>Bosnia and Herzegovina</v>
      </c>
      <c r="F112" s="11" t="str">
        <f ca="1">+WORLDCUP!BD60</f>
        <v>Scotland</v>
      </c>
      <c r="G112" s="11" t="str">
        <f ca="1">+WORLDCUP!BD67</f>
        <v>Algeria</v>
      </c>
      <c r="H112" s="11" t="str">
        <f ca="1">+WORLDCUP!BD61</f>
        <v>Paraguay</v>
      </c>
      <c r="I112" s="11" t="str">
        <f ca="1">+WORLDCUP!BD69</f>
        <v>Ghana</v>
      </c>
      <c r="J112" s="11" t="str">
        <f ca="1">+WORLDCUP!BD68</f>
        <v>DR Congo</v>
      </c>
      <c r="N112" s="11" t="s">
        <v>1105</v>
      </c>
      <c r="O112" s="11">
        <v>111</v>
      </c>
      <c r="P112" s="11" t="s">
        <v>440</v>
      </c>
      <c r="Q112" s="11" t="s">
        <v>435</v>
      </c>
      <c r="R112" s="11" t="s">
        <v>90</v>
      </c>
      <c r="S112" s="11" t="s">
        <v>91</v>
      </c>
      <c r="T112" s="11" t="s">
        <v>441</v>
      </c>
      <c r="U112" s="11" t="s">
        <v>92</v>
      </c>
      <c r="V112" s="11" t="s">
        <v>443</v>
      </c>
      <c r="W112" s="11" t="s">
        <v>442</v>
      </c>
    </row>
    <row r="113" spans="1:23">
      <c r="A113" s="11" t="s">
        <v>1104</v>
      </c>
      <c r="B113" s="11">
        <f ca="1">+IF(A113=WORLDCUP!$BI$112,1,0)</f>
        <v>0</v>
      </c>
      <c r="C113" s="11" t="str">
        <f ca="1">+WORLDCUP!BD65</f>
        <v>Uruguay</v>
      </c>
      <c r="D113" s="11" t="str">
        <f ca="1">+WORLDCUP!BD64</f>
        <v>Iran</v>
      </c>
      <c r="E113" s="11" t="str">
        <f ca="1">+WORLDCUP!BD59</f>
        <v>Bosnia and Herzegovina</v>
      </c>
      <c r="F113" s="11" t="str">
        <f ca="1">+WORLDCUP!BD60</f>
        <v>Scotland</v>
      </c>
      <c r="G113" s="11" t="str">
        <f ca="1">+WORLDCUP!BD67</f>
        <v>Algeria</v>
      </c>
      <c r="H113" s="11" t="str">
        <f ca="1">+WORLDCUP!BD61</f>
        <v>Paraguay</v>
      </c>
      <c r="I113" s="11" t="str">
        <f ca="1">+WORLDCUP!BD69</f>
        <v>Ghana</v>
      </c>
      <c r="J113" s="11" t="str">
        <f ca="1">+WORLDCUP!BD68</f>
        <v>DR Congo</v>
      </c>
      <c r="N113" s="11" t="s">
        <v>1104</v>
      </c>
      <c r="O113" s="11">
        <v>112</v>
      </c>
      <c r="P113" s="11" t="s">
        <v>436</v>
      </c>
      <c r="Q113" s="11" t="s">
        <v>435</v>
      </c>
      <c r="R113" s="11" t="s">
        <v>90</v>
      </c>
      <c r="S113" s="11" t="s">
        <v>91</v>
      </c>
      <c r="T113" s="11" t="s">
        <v>441</v>
      </c>
      <c r="U113" s="11" t="s">
        <v>92</v>
      </c>
      <c r="V113" s="11" t="s">
        <v>443</v>
      </c>
      <c r="W113" s="11" t="s">
        <v>442</v>
      </c>
    </row>
    <row r="114" spans="1:23">
      <c r="A114" s="11" t="s">
        <v>1103</v>
      </c>
      <c r="B114" s="11">
        <f ca="1">+IF(A114=WORLDCUP!$BI$112,1,0)</f>
        <v>0</v>
      </c>
      <c r="C114" s="11" t="str">
        <f ca="1">+WORLDCUP!BD65</f>
        <v>Uruguay</v>
      </c>
      <c r="D114" s="11" t="str">
        <f ca="1">+WORLDCUP!BD64</f>
        <v>Iran</v>
      </c>
      <c r="E114" s="11" t="str">
        <f ca="1">+WORLDCUP!BD59</f>
        <v>Bosnia and Herzegovina</v>
      </c>
      <c r="F114" s="11" t="str">
        <f ca="1">+WORLDCUP!BD60</f>
        <v>Scotland</v>
      </c>
      <c r="G114" s="11" t="str">
        <f ca="1">+WORLDCUP!BD66</f>
        <v>Senegal</v>
      </c>
      <c r="H114" s="11" t="str">
        <f ca="1">+WORLDCUP!BD61</f>
        <v>Paraguay</v>
      </c>
      <c r="I114" s="11" t="str">
        <f ca="1">+WORLDCUP!BD69</f>
        <v>Ghana</v>
      </c>
      <c r="J114" s="11" t="str">
        <f ca="1">+WORLDCUP!BD68</f>
        <v>DR Congo</v>
      </c>
      <c r="N114" s="11" t="s">
        <v>1103</v>
      </c>
      <c r="O114" s="11">
        <v>113</v>
      </c>
      <c r="P114" s="11" t="s">
        <v>436</v>
      </c>
      <c r="Q114" s="11" t="s">
        <v>435</v>
      </c>
      <c r="R114" s="11" t="s">
        <v>90</v>
      </c>
      <c r="S114" s="11" t="s">
        <v>91</v>
      </c>
      <c r="T114" s="11" t="s">
        <v>440</v>
      </c>
      <c r="U114" s="11" t="s">
        <v>92</v>
      </c>
      <c r="V114" s="11" t="s">
        <v>443</v>
      </c>
      <c r="W114" s="11" t="s">
        <v>442</v>
      </c>
    </row>
    <row r="115" spans="1:23">
      <c r="A115" s="11" t="s">
        <v>1102</v>
      </c>
      <c r="B115" s="11">
        <f ca="1">+IF(A115=WORLDCUP!$BI$112,1,0)</f>
        <v>0</v>
      </c>
      <c r="C115" s="11" t="str">
        <f ca="1">+WORLDCUP!BD65</f>
        <v>Uruguay</v>
      </c>
      <c r="D115" s="11" t="str">
        <f ca="1">+WORLDCUP!BD64</f>
        <v>Iran</v>
      </c>
      <c r="E115" s="11" t="str">
        <f ca="1">+WORLDCUP!BD59</f>
        <v>Bosnia and Herzegovina</v>
      </c>
      <c r="F115" s="11" t="str">
        <f ca="1">+WORLDCUP!BD60</f>
        <v>Scotland</v>
      </c>
      <c r="G115" s="11" t="str">
        <f ca="1">+WORLDCUP!BD67</f>
        <v>Algeria</v>
      </c>
      <c r="H115" s="11" t="str">
        <f ca="1">+WORLDCUP!BD61</f>
        <v>Paraguay</v>
      </c>
      <c r="I115" s="11" t="str">
        <f ca="1">+WORLDCUP!BD69</f>
        <v>Ghana</v>
      </c>
      <c r="J115" s="11" t="str">
        <f ca="1">+WORLDCUP!BD66</f>
        <v>Senegal</v>
      </c>
      <c r="N115" s="11" t="s">
        <v>1102</v>
      </c>
      <c r="O115" s="11">
        <v>114</v>
      </c>
      <c r="P115" s="11" t="s">
        <v>436</v>
      </c>
      <c r="Q115" s="11" t="s">
        <v>435</v>
      </c>
      <c r="R115" s="11" t="s">
        <v>90</v>
      </c>
      <c r="S115" s="11" t="s">
        <v>91</v>
      </c>
      <c r="T115" s="11" t="s">
        <v>441</v>
      </c>
      <c r="U115" s="11" t="s">
        <v>92</v>
      </c>
      <c r="V115" s="11" t="s">
        <v>443</v>
      </c>
      <c r="W115" s="11" t="s">
        <v>440</v>
      </c>
    </row>
    <row r="116" spans="1:23">
      <c r="A116" s="11" t="s">
        <v>1101</v>
      </c>
      <c r="B116" s="11">
        <f ca="1">+IF(A116=WORLDCUP!$BI$112,1,0)</f>
        <v>0</v>
      </c>
      <c r="C116" s="11" t="str">
        <f ca="1">+WORLDCUP!BD65</f>
        <v>Uruguay</v>
      </c>
      <c r="D116" s="11" t="str">
        <f ca="1">+WORLDCUP!BD64</f>
        <v>Iran</v>
      </c>
      <c r="E116" s="11" t="str">
        <f ca="1">+WORLDCUP!BD59</f>
        <v>Bosnia and Herzegovina</v>
      </c>
      <c r="F116" s="11" t="str">
        <f ca="1">+WORLDCUP!BD60</f>
        <v>Scotland</v>
      </c>
      <c r="G116" s="11" t="str">
        <f ca="1">+WORLDCUP!BD67</f>
        <v>Algeria</v>
      </c>
      <c r="H116" s="11" t="str">
        <f ca="1">+WORLDCUP!BD61</f>
        <v>Paraguay</v>
      </c>
      <c r="I116" s="11" t="str">
        <f ca="1">+WORLDCUP!BD66</f>
        <v>Senegal</v>
      </c>
      <c r="J116" s="11" t="str">
        <f ca="1">+WORLDCUP!BD68</f>
        <v>DR Congo</v>
      </c>
      <c r="N116" s="11" t="s">
        <v>1101</v>
      </c>
      <c r="O116" s="11">
        <v>115</v>
      </c>
      <c r="P116" s="11" t="s">
        <v>436</v>
      </c>
      <c r="Q116" s="11" t="s">
        <v>435</v>
      </c>
      <c r="R116" s="11" t="s">
        <v>90</v>
      </c>
      <c r="S116" s="11" t="s">
        <v>91</v>
      </c>
      <c r="T116" s="11" t="s">
        <v>441</v>
      </c>
      <c r="U116" s="11" t="s">
        <v>92</v>
      </c>
      <c r="V116" s="11" t="s">
        <v>440</v>
      </c>
      <c r="W116" s="11" t="s">
        <v>442</v>
      </c>
    </row>
    <row r="117" spans="1:23">
      <c r="A117" s="11" t="s">
        <v>1100</v>
      </c>
      <c r="B117" s="11">
        <f ca="1">+IF(A117=WORLDCUP!$BI$112,1,0)</f>
        <v>0</v>
      </c>
      <c r="C117" s="11" t="str">
        <f ca="1">+WORLDCUP!BD60</f>
        <v>Scotland</v>
      </c>
      <c r="D117" s="11" t="str">
        <f ca="1">+WORLDCUP!BD67</f>
        <v>Algeria</v>
      </c>
      <c r="E117" s="11" t="str">
        <f ca="1">+WORLDCUP!BD59</f>
        <v>Bosnia and Herzegovina</v>
      </c>
      <c r="F117" s="11" t="str">
        <f ca="1">+WORLDCUP!BD61</f>
        <v>Paraguay</v>
      </c>
      <c r="G117" s="11" t="str">
        <f ca="1">+WORLDCUP!BD66</f>
        <v>Senegal</v>
      </c>
      <c r="H117" s="11" t="str">
        <f ca="1">+WORLDCUP!BD63</f>
        <v>Sweden</v>
      </c>
      <c r="I117" s="11" t="str">
        <f ca="1">+WORLDCUP!BD69</f>
        <v>Ghana</v>
      </c>
      <c r="J117" s="11" t="str">
        <f ca="1">+WORLDCUP!BD68</f>
        <v>DR Congo</v>
      </c>
      <c r="N117" s="11" t="s">
        <v>1100</v>
      </c>
      <c r="O117" s="11">
        <v>116</v>
      </c>
      <c r="P117" s="11" t="s">
        <v>91</v>
      </c>
      <c r="Q117" s="11" t="s">
        <v>441</v>
      </c>
      <c r="R117" s="11" t="s">
        <v>90</v>
      </c>
      <c r="S117" s="11" t="s">
        <v>92</v>
      </c>
      <c r="T117" s="11" t="s">
        <v>440</v>
      </c>
      <c r="U117" s="11" t="s">
        <v>94</v>
      </c>
      <c r="V117" s="11" t="s">
        <v>443</v>
      </c>
      <c r="W117" s="11" t="s">
        <v>442</v>
      </c>
    </row>
    <row r="118" spans="1:23">
      <c r="A118" s="11" t="s">
        <v>1099</v>
      </c>
      <c r="B118" s="11">
        <f ca="1">+IF(A118=WORLDCUP!$BI$112,1,0)</f>
        <v>0</v>
      </c>
      <c r="C118" s="11" t="str">
        <f ca="1">+WORLDCUP!BD60</f>
        <v>Scotland</v>
      </c>
      <c r="D118" s="11" t="str">
        <f ca="1">+WORLDCUP!BD67</f>
        <v>Algeria</v>
      </c>
      <c r="E118" s="11" t="str">
        <f ca="1">+WORLDCUP!BD59</f>
        <v>Bosnia and Herzegovina</v>
      </c>
      <c r="F118" s="11" t="str">
        <f ca="1">+WORLDCUP!BD61</f>
        <v>Paraguay</v>
      </c>
      <c r="G118" s="11" t="str">
        <f ca="1">+WORLDCUP!BD65</f>
        <v>Uruguay</v>
      </c>
      <c r="H118" s="11" t="str">
        <f ca="1">+WORLDCUP!BD63</f>
        <v>Sweden</v>
      </c>
      <c r="I118" s="11" t="str">
        <f ca="1">+WORLDCUP!BD69</f>
        <v>Ghana</v>
      </c>
      <c r="J118" s="11" t="str">
        <f ca="1">+WORLDCUP!BD68</f>
        <v>DR Congo</v>
      </c>
      <c r="N118" s="11" t="s">
        <v>1099</v>
      </c>
      <c r="O118" s="11">
        <v>117</v>
      </c>
      <c r="P118" s="11" t="s">
        <v>91</v>
      </c>
      <c r="Q118" s="11" t="s">
        <v>441</v>
      </c>
      <c r="R118" s="11" t="s">
        <v>90</v>
      </c>
      <c r="S118" s="11" t="s">
        <v>92</v>
      </c>
      <c r="T118" s="11" t="s">
        <v>436</v>
      </c>
      <c r="U118" s="11" t="s">
        <v>94</v>
      </c>
      <c r="V118" s="11" t="s">
        <v>443</v>
      </c>
      <c r="W118" s="11" t="s">
        <v>442</v>
      </c>
    </row>
    <row r="119" spans="1:23">
      <c r="A119" s="11" t="s">
        <v>1098</v>
      </c>
      <c r="B119" s="11">
        <f ca="1">+IF(A119=WORLDCUP!$BI$112,1,0)</f>
        <v>0</v>
      </c>
      <c r="C119" s="11" t="str">
        <f ca="1">+WORLDCUP!BD60</f>
        <v>Scotland</v>
      </c>
      <c r="D119" s="11" t="str">
        <f ca="1">+WORLDCUP!BD66</f>
        <v>Senegal</v>
      </c>
      <c r="E119" s="11" t="str">
        <f ca="1">+WORLDCUP!BD59</f>
        <v>Bosnia and Herzegovina</v>
      </c>
      <c r="F119" s="11" t="str">
        <f ca="1">+WORLDCUP!BD61</f>
        <v>Paraguay</v>
      </c>
      <c r="G119" s="11" t="str">
        <f ca="1">+WORLDCUP!BD65</f>
        <v>Uruguay</v>
      </c>
      <c r="H119" s="11" t="str">
        <f ca="1">+WORLDCUP!BD63</f>
        <v>Sweden</v>
      </c>
      <c r="I119" s="11" t="str">
        <f ca="1">+WORLDCUP!BD69</f>
        <v>Ghana</v>
      </c>
      <c r="J119" s="11" t="str">
        <f ca="1">+WORLDCUP!BD68</f>
        <v>DR Congo</v>
      </c>
      <c r="N119" s="11" t="s">
        <v>1098</v>
      </c>
      <c r="O119" s="11">
        <v>118</v>
      </c>
      <c r="P119" s="11" t="s">
        <v>91</v>
      </c>
      <c r="Q119" s="11" t="s">
        <v>440</v>
      </c>
      <c r="R119" s="11" t="s">
        <v>90</v>
      </c>
      <c r="S119" s="11" t="s">
        <v>92</v>
      </c>
      <c r="T119" s="11" t="s">
        <v>436</v>
      </c>
      <c r="U119" s="11" t="s">
        <v>94</v>
      </c>
      <c r="V119" s="11" t="s">
        <v>443</v>
      </c>
      <c r="W119" s="11" t="s">
        <v>442</v>
      </c>
    </row>
    <row r="120" spans="1:23">
      <c r="A120" s="11" t="s">
        <v>1097</v>
      </c>
      <c r="B120" s="11">
        <f ca="1">+IF(A120=WORLDCUP!$BI$112,1,0)</f>
        <v>0</v>
      </c>
      <c r="C120" s="11" t="str">
        <f ca="1">+WORLDCUP!BD60</f>
        <v>Scotland</v>
      </c>
      <c r="D120" s="11" t="str">
        <f ca="1">+WORLDCUP!BD67</f>
        <v>Algeria</v>
      </c>
      <c r="E120" s="11" t="str">
        <f ca="1">+WORLDCUP!BD59</f>
        <v>Bosnia and Herzegovina</v>
      </c>
      <c r="F120" s="11" t="str">
        <f ca="1">+WORLDCUP!BD61</f>
        <v>Paraguay</v>
      </c>
      <c r="G120" s="11" t="str">
        <f ca="1">+WORLDCUP!BD65</f>
        <v>Uruguay</v>
      </c>
      <c r="H120" s="11" t="str">
        <f ca="1">+WORLDCUP!BD63</f>
        <v>Sweden</v>
      </c>
      <c r="I120" s="11" t="str">
        <f ca="1">+WORLDCUP!BD69</f>
        <v>Ghana</v>
      </c>
      <c r="J120" s="11" t="str">
        <f ca="1">+WORLDCUP!BD66</f>
        <v>Senegal</v>
      </c>
      <c r="N120" s="11" t="s">
        <v>1097</v>
      </c>
      <c r="O120" s="11">
        <v>119</v>
      </c>
      <c r="P120" s="11" t="s">
        <v>91</v>
      </c>
      <c r="Q120" s="11" t="s">
        <v>441</v>
      </c>
      <c r="R120" s="11" t="s">
        <v>90</v>
      </c>
      <c r="S120" s="11" t="s">
        <v>92</v>
      </c>
      <c r="T120" s="11" t="s">
        <v>436</v>
      </c>
      <c r="U120" s="11" t="s">
        <v>94</v>
      </c>
      <c r="V120" s="11" t="s">
        <v>443</v>
      </c>
      <c r="W120" s="11" t="s">
        <v>440</v>
      </c>
    </row>
    <row r="121" spans="1:23">
      <c r="A121" s="11" t="s">
        <v>1096</v>
      </c>
      <c r="B121" s="11">
        <f ca="1">+IF(A121=WORLDCUP!$BI$112,1,0)</f>
        <v>0</v>
      </c>
      <c r="C121" s="11" t="str">
        <f ca="1">+WORLDCUP!BD60</f>
        <v>Scotland</v>
      </c>
      <c r="D121" s="11" t="str">
        <f ca="1">+WORLDCUP!BD67</f>
        <v>Algeria</v>
      </c>
      <c r="E121" s="11" t="str">
        <f ca="1">+WORLDCUP!BD59</f>
        <v>Bosnia and Herzegovina</v>
      </c>
      <c r="F121" s="11" t="str">
        <f ca="1">+WORLDCUP!BD61</f>
        <v>Paraguay</v>
      </c>
      <c r="G121" s="11" t="str">
        <f ca="1">+WORLDCUP!BD65</f>
        <v>Uruguay</v>
      </c>
      <c r="H121" s="11" t="str">
        <f ca="1">+WORLDCUP!BD63</f>
        <v>Sweden</v>
      </c>
      <c r="I121" s="11" t="str">
        <f ca="1">+WORLDCUP!BD66</f>
        <v>Senegal</v>
      </c>
      <c r="J121" s="11" t="str">
        <f ca="1">+WORLDCUP!BD68</f>
        <v>DR Congo</v>
      </c>
      <c r="N121" s="11" t="s">
        <v>1096</v>
      </c>
      <c r="O121" s="11">
        <v>120</v>
      </c>
      <c r="P121" s="11" t="s">
        <v>91</v>
      </c>
      <c r="Q121" s="11" t="s">
        <v>441</v>
      </c>
      <c r="R121" s="11" t="s">
        <v>90</v>
      </c>
      <c r="S121" s="11" t="s">
        <v>92</v>
      </c>
      <c r="T121" s="11" t="s">
        <v>436</v>
      </c>
      <c r="U121" s="11" t="s">
        <v>94</v>
      </c>
      <c r="V121" s="11" t="s">
        <v>440</v>
      </c>
      <c r="W121" s="11" t="s">
        <v>442</v>
      </c>
    </row>
    <row r="122" spans="1:23">
      <c r="A122" s="11" t="s">
        <v>1095</v>
      </c>
      <c r="B122" s="11">
        <f ca="1">+IF(A122=WORLDCUP!$BI$112,1,0)</f>
        <v>0</v>
      </c>
      <c r="C122" s="11" t="str">
        <f ca="1">+WORLDCUP!BD60</f>
        <v>Scotland</v>
      </c>
      <c r="D122" s="11" t="str">
        <f ca="1">+WORLDCUP!BD64</f>
        <v>Iran</v>
      </c>
      <c r="E122" s="11" t="str">
        <f ca="1">+WORLDCUP!BD59</f>
        <v>Bosnia and Herzegovina</v>
      </c>
      <c r="F122" s="11" t="str">
        <f ca="1">+WORLDCUP!BD61</f>
        <v>Paraguay</v>
      </c>
      <c r="G122" s="11" t="str">
        <f ca="1">+WORLDCUP!BD67</f>
        <v>Algeria</v>
      </c>
      <c r="H122" s="11" t="str">
        <f ca="1">+WORLDCUP!BD63</f>
        <v>Sweden</v>
      </c>
      <c r="I122" s="11" t="str">
        <f ca="1">+WORLDCUP!BD69</f>
        <v>Ghana</v>
      </c>
      <c r="J122" s="11" t="str">
        <f ca="1">+WORLDCUP!BD68</f>
        <v>DR Congo</v>
      </c>
      <c r="N122" s="11" t="s">
        <v>1095</v>
      </c>
      <c r="O122" s="11">
        <v>121</v>
      </c>
      <c r="P122" s="11" t="s">
        <v>91</v>
      </c>
      <c r="Q122" s="11" t="s">
        <v>435</v>
      </c>
      <c r="R122" s="11" t="s">
        <v>90</v>
      </c>
      <c r="S122" s="11" t="s">
        <v>92</v>
      </c>
      <c r="T122" s="11" t="s">
        <v>441</v>
      </c>
      <c r="U122" s="11" t="s">
        <v>94</v>
      </c>
      <c r="V122" s="11" t="s">
        <v>443</v>
      </c>
      <c r="W122" s="11" t="s">
        <v>442</v>
      </c>
    </row>
    <row r="123" spans="1:23">
      <c r="A123" s="11" t="s">
        <v>1094</v>
      </c>
      <c r="B123" s="11">
        <f ca="1">+IF(A123=WORLDCUP!$BI$112,1,0)</f>
        <v>0</v>
      </c>
      <c r="C123" s="11" t="str">
        <f ca="1">+WORLDCUP!BD60</f>
        <v>Scotland</v>
      </c>
      <c r="D123" s="11" t="str">
        <f ca="1">+WORLDCUP!BD64</f>
        <v>Iran</v>
      </c>
      <c r="E123" s="11" t="str">
        <f ca="1">+WORLDCUP!BD59</f>
        <v>Bosnia and Herzegovina</v>
      </c>
      <c r="F123" s="11" t="str">
        <f ca="1">+WORLDCUP!BD61</f>
        <v>Paraguay</v>
      </c>
      <c r="G123" s="11" t="str">
        <f ca="1">+WORLDCUP!BD66</f>
        <v>Senegal</v>
      </c>
      <c r="H123" s="11" t="str">
        <f ca="1">+WORLDCUP!BD63</f>
        <v>Sweden</v>
      </c>
      <c r="I123" s="11" t="str">
        <f ca="1">+WORLDCUP!BD69</f>
        <v>Ghana</v>
      </c>
      <c r="J123" s="11" t="str">
        <f ca="1">+WORLDCUP!BD68</f>
        <v>DR Congo</v>
      </c>
      <c r="N123" s="11" t="s">
        <v>1094</v>
      </c>
      <c r="O123" s="11">
        <v>122</v>
      </c>
      <c r="P123" s="11" t="s">
        <v>91</v>
      </c>
      <c r="Q123" s="11" t="s">
        <v>435</v>
      </c>
      <c r="R123" s="11" t="s">
        <v>90</v>
      </c>
      <c r="S123" s="11" t="s">
        <v>92</v>
      </c>
      <c r="T123" s="11" t="s">
        <v>440</v>
      </c>
      <c r="U123" s="11" t="s">
        <v>94</v>
      </c>
      <c r="V123" s="11" t="s">
        <v>443</v>
      </c>
      <c r="W123" s="11" t="s">
        <v>442</v>
      </c>
    </row>
    <row r="124" spans="1:23">
      <c r="A124" s="11" t="s">
        <v>1093</v>
      </c>
      <c r="B124" s="11">
        <f ca="1">+IF(A124=WORLDCUP!$BI$112,1,0)</f>
        <v>0</v>
      </c>
      <c r="C124" s="11" t="str">
        <f ca="1">+WORLDCUP!BD60</f>
        <v>Scotland</v>
      </c>
      <c r="D124" s="11" t="str">
        <f ca="1">+WORLDCUP!BD64</f>
        <v>Iran</v>
      </c>
      <c r="E124" s="11" t="str">
        <f ca="1">+WORLDCUP!BD59</f>
        <v>Bosnia and Herzegovina</v>
      </c>
      <c r="F124" s="11" t="str">
        <f ca="1">+WORLDCUP!BD61</f>
        <v>Paraguay</v>
      </c>
      <c r="G124" s="11" t="str">
        <f ca="1">+WORLDCUP!BD67</f>
        <v>Algeria</v>
      </c>
      <c r="H124" s="11" t="str">
        <f ca="1">+WORLDCUP!BD63</f>
        <v>Sweden</v>
      </c>
      <c r="I124" s="11" t="str">
        <f ca="1">+WORLDCUP!BD69</f>
        <v>Ghana</v>
      </c>
      <c r="J124" s="11" t="str">
        <f ca="1">+WORLDCUP!BD66</f>
        <v>Senegal</v>
      </c>
      <c r="N124" s="11" t="s">
        <v>1093</v>
      </c>
      <c r="O124" s="11">
        <v>123</v>
      </c>
      <c r="P124" s="11" t="s">
        <v>91</v>
      </c>
      <c r="Q124" s="11" t="s">
        <v>435</v>
      </c>
      <c r="R124" s="11" t="s">
        <v>90</v>
      </c>
      <c r="S124" s="11" t="s">
        <v>92</v>
      </c>
      <c r="T124" s="11" t="s">
        <v>441</v>
      </c>
      <c r="U124" s="11" t="s">
        <v>94</v>
      </c>
      <c r="V124" s="11" t="s">
        <v>443</v>
      </c>
      <c r="W124" s="11" t="s">
        <v>440</v>
      </c>
    </row>
    <row r="125" spans="1:23">
      <c r="A125" s="11" t="s">
        <v>1092</v>
      </c>
      <c r="B125" s="11">
        <f ca="1">+IF(A125=WORLDCUP!$BI$112,1,0)</f>
        <v>0</v>
      </c>
      <c r="C125" s="11" t="str">
        <f ca="1">+WORLDCUP!BD60</f>
        <v>Scotland</v>
      </c>
      <c r="D125" s="11" t="str">
        <f ca="1">+WORLDCUP!BD64</f>
        <v>Iran</v>
      </c>
      <c r="E125" s="11" t="str">
        <f ca="1">+WORLDCUP!BD59</f>
        <v>Bosnia and Herzegovina</v>
      </c>
      <c r="F125" s="11" t="str">
        <f ca="1">+WORLDCUP!BD61</f>
        <v>Paraguay</v>
      </c>
      <c r="G125" s="11" t="str">
        <f ca="1">+WORLDCUP!BD67</f>
        <v>Algeria</v>
      </c>
      <c r="H125" s="11" t="str">
        <f ca="1">+WORLDCUP!BD63</f>
        <v>Sweden</v>
      </c>
      <c r="I125" s="11" t="str">
        <f ca="1">+WORLDCUP!BD66</f>
        <v>Senegal</v>
      </c>
      <c r="J125" s="11" t="str">
        <f ca="1">+WORLDCUP!BD68</f>
        <v>DR Congo</v>
      </c>
      <c r="N125" s="11" t="s">
        <v>1092</v>
      </c>
      <c r="O125" s="11">
        <v>124</v>
      </c>
      <c r="P125" s="11" t="s">
        <v>91</v>
      </c>
      <c r="Q125" s="11" t="s">
        <v>435</v>
      </c>
      <c r="R125" s="11" t="s">
        <v>90</v>
      </c>
      <c r="S125" s="11" t="s">
        <v>92</v>
      </c>
      <c r="T125" s="11" t="s">
        <v>441</v>
      </c>
      <c r="U125" s="11" t="s">
        <v>94</v>
      </c>
      <c r="V125" s="11" t="s">
        <v>440</v>
      </c>
      <c r="W125" s="11" t="s">
        <v>442</v>
      </c>
    </row>
    <row r="126" spans="1:23">
      <c r="A126" s="11" t="s">
        <v>1091</v>
      </c>
      <c r="B126" s="11">
        <f ca="1">+IF(A126=WORLDCUP!$BI$112,1,0)</f>
        <v>0</v>
      </c>
      <c r="C126" s="11" t="str">
        <f ca="1">+WORLDCUP!BD60</f>
        <v>Scotland</v>
      </c>
      <c r="D126" s="11" t="str">
        <f ca="1">+WORLDCUP!BD64</f>
        <v>Iran</v>
      </c>
      <c r="E126" s="11" t="str">
        <f ca="1">+WORLDCUP!BD59</f>
        <v>Bosnia and Herzegovina</v>
      </c>
      <c r="F126" s="11" t="str">
        <f ca="1">+WORLDCUP!BD61</f>
        <v>Paraguay</v>
      </c>
      <c r="G126" s="11" t="str">
        <f ca="1">+WORLDCUP!BD65</f>
        <v>Uruguay</v>
      </c>
      <c r="H126" s="11" t="str">
        <f ca="1">+WORLDCUP!BD63</f>
        <v>Sweden</v>
      </c>
      <c r="I126" s="11" t="str">
        <f ca="1">+WORLDCUP!BD69</f>
        <v>Ghana</v>
      </c>
      <c r="J126" s="11" t="str">
        <f ca="1">+WORLDCUP!BD68</f>
        <v>DR Congo</v>
      </c>
      <c r="N126" s="11" t="s">
        <v>1091</v>
      </c>
      <c r="O126" s="11">
        <v>125</v>
      </c>
      <c r="P126" s="11" t="s">
        <v>91</v>
      </c>
      <c r="Q126" s="11" t="s">
        <v>435</v>
      </c>
      <c r="R126" s="11" t="s">
        <v>90</v>
      </c>
      <c r="S126" s="11" t="s">
        <v>92</v>
      </c>
      <c r="T126" s="11" t="s">
        <v>436</v>
      </c>
      <c r="U126" s="11" t="s">
        <v>94</v>
      </c>
      <c r="V126" s="11" t="s">
        <v>443</v>
      </c>
      <c r="W126" s="11" t="s">
        <v>442</v>
      </c>
    </row>
    <row r="127" spans="1:23">
      <c r="A127" s="11" t="s">
        <v>1090</v>
      </c>
      <c r="B127" s="11">
        <f ca="1">+IF(A127=WORLDCUP!$BI$112,1,0)</f>
        <v>0</v>
      </c>
      <c r="C127" s="11" t="str">
        <f ca="1">+WORLDCUP!BD60</f>
        <v>Scotland</v>
      </c>
      <c r="D127" s="11" t="str">
        <f ca="1">+WORLDCUP!BD64</f>
        <v>Iran</v>
      </c>
      <c r="E127" s="11" t="str">
        <f ca="1">+WORLDCUP!BD59</f>
        <v>Bosnia and Herzegovina</v>
      </c>
      <c r="F127" s="11" t="str">
        <f ca="1">+WORLDCUP!BD61</f>
        <v>Paraguay</v>
      </c>
      <c r="G127" s="11" t="str">
        <f ca="1">+WORLDCUP!BD65</f>
        <v>Uruguay</v>
      </c>
      <c r="H127" s="11" t="str">
        <f ca="1">+WORLDCUP!BD63</f>
        <v>Sweden</v>
      </c>
      <c r="I127" s="11" t="str">
        <f ca="1">+WORLDCUP!BD69</f>
        <v>Ghana</v>
      </c>
      <c r="J127" s="11" t="str">
        <f ca="1">+WORLDCUP!BD67</f>
        <v>Algeria</v>
      </c>
      <c r="N127" s="11" t="s">
        <v>1090</v>
      </c>
      <c r="O127" s="11">
        <v>126</v>
      </c>
      <c r="P127" s="11" t="s">
        <v>91</v>
      </c>
      <c r="Q127" s="11" t="s">
        <v>435</v>
      </c>
      <c r="R127" s="11" t="s">
        <v>90</v>
      </c>
      <c r="S127" s="11" t="s">
        <v>92</v>
      </c>
      <c r="T127" s="11" t="s">
        <v>436</v>
      </c>
      <c r="U127" s="11" t="s">
        <v>94</v>
      </c>
      <c r="V127" s="11" t="s">
        <v>443</v>
      </c>
      <c r="W127" s="11" t="s">
        <v>441</v>
      </c>
    </row>
    <row r="128" spans="1:23">
      <c r="A128" s="11" t="s">
        <v>1089</v>
      </c>
      <c r="B128" s="11">
        <f ca="1">+IF(A128=WORLDCUP!$BI$112,1,0)</f>
        <v>0</v>
      </c>
      <c r="C128" s="11" t="str">
        <f ca="1">+WORLDCUP!BD65</f>
        <v>Uruguay</v>
      </c>
      <c r="D128" s="11" t="str">
        <f ca="1">+WORLDCUP!BD64</f>
        <v>Iran</v>
      </c>
      <c r="E128" s="11" t="str">
        <f ca="1">+WORLDCUP!BD59</f>
        <v>Bosnia and Herzegovina</v>
      </c>
      <c r="F128" s="11" t="str">
        <f ca="1">+WORLDCUP!BD60</f>
        <v>Scotland</v>
      </c>
      <c r="G128" s="11" t="str">
        <f ca="1">+WORLDCUP!BD67</f>
        <v>Algeria</v>
      </c>
      <c r="H128" s="11" t="str">
        <f ca="1">+WORLDCUP!BD63</f>
        <v>Sweden</v>
      </c>
      <c r="I128" s="11" t="str">
        <f ca="1">+WORLDCUP!BD61</f>
        <v>Paraguay</v>
      </c>
      <c r="J128" s="11" t="str">
        <f ca="1">+WORLDCUP!BD68</f>
        <v>DR Congo</v>
      </c>
      <c r="N128" s="11" t="s">
        <v>1089</v>
      </c>
      <c r="O128" s="11">
        <v>127</v>
      </c>
      <c r="P128" s="11" t="s">
        <v>436</v>
      </c>
      <c r="Q128" s="11" t="s">
        <v>435</v>
      </c>
      <c r="R128" s="11" t="s">
        <v>90</v>
      </c>
      <c r="S128" s="11" t="s">
        <v>91</v>
      </c>
      <c r="T128" s="11" t="s">
        <v>441</v>
      </c>
      <c r="U128" s="11" t="s">
        <v>94</v>
      </c>
      <c r="V128" s="11" t="s">
        <v>92</v>
      </c>
      <c r="W128" s="11" t="s">
        <v>442</v>
      </c>
    </row>
    <row r="129" spans="1:23">
      <c r="A129" s="11" t="s">
        <v>1088</v>
      </c>
      <c r="B129" s="11">
        <f ca="1">+IF(A129=WORLDCUP!$BI$112,1,0)</f>
        <v>0</v>
      </c>
      <c r="C129" s="11" t="str">
        <f ca="1">+WORLDCUP!BD60</f>
        <v>Scotland</v>
      </c>
      <c r="D129" s="11" t="str">
        <f ca="1">+WORLDCUP!BD64</f>
        <v>Iran</v>
      </c>
      <c r="E129" s="11" t="str">
        <f ca="1">+WORLDCUP!BD59</f>
        <v>Bosnia and Herzegovina</v>
      </c>
      <c r="F129" s="11" t="str">
        <f ca="1">+WORLDCUP!BD61</f>
        <v>Paraguay</v>
      </c>
      <c r="G129" s="11" t="str">
        <f ca="1">+WORLDCUP!BD65</f>
        <v>Uruguay</v>
      </c>
      <c r="H129" s="11" t="str">
        <f ca="1">+WORLDCUP!BD63</f>
        <v>Sweden</v>
      </c>
      <c r="I129" s="11" t="str">
        <f ca="1">+WORLDCUP!BD69</f>
        <v>Ghana</v>
      </c>
      <c r="J129" s="11" t="str">
        <f ca="1">+WORLDCUP!BD66</f>
        <v>Senegal</v>
      </c>
      <c r="N129" s="11" t="s">
        <v>1088</v>
      </c>
      <c r="O129" s="11">
        <v>128</v>
      </c>
      <c r="P129" s="11" t="s">
        <v>91</v>
      </c>
      <c r="Q129" s="11" t="s">
        <v>435</v>
      </c>
      <c r="R129" s="11" t="s">
        <v>90</v>
      </c>
      <c r="S129" s="11" t="s">
        <v>92</v>
      </c>
      <c r="T129" s="11" t="s">
        <v>436</v>
      </c>
      <c r="U129" s="11" t="s">
        <v>94</v>
      </c>
      <c r="V129" s="11" t="s">
        <v>443</v>
      </c>
      <c r="W129" s="11" t="s">
        <v>440</v>
      </c>
    </row>
    <row r="130" spans="1:23">
      <c r="A130" s="11" t="s">
        <v>1087</v>
      </c>
      <c r="B130" s="11">
        <f ca="1">+IF(A130=WORLDCUP!$BI$112,1,0)</f>
        <v>0</v>
      </c>
      <c r="C130" s="11" t="str">
        <f ca="1">+WORLDCUP!BD60</f>
        <v>Scotland</v>
      </c>
      <c r="D130" s="11" t="str">
        <f ca="1">+WORLDCUP!BD64</f>
        <v>Iran</v>
      </c>
      <c r="E130" s="11" t="str">
        <f ca="1">+WORLDCUP!BD59</f>
        <v>Bosnia and Herzegovina</v>
      </c>
      <c r="F130" s="11" t="str">
        <f ca="1">+WORLDCUP!BD61</f>
        <v>Paraguay</v>
      </c>
      <c r="G130" s="11" t="str">
        <f ca="1">+WORLDCUP!BD65</f>
        <v>Uruguay</v>
      </c>
      <c r="H130" s="11" t="str">
        <f ca="1">+WORLDCUP!BD63</f>
        <v>Sweden</v>
      </c>
      <c r="I130" s="11" t="str">
        <f ca="1">+WORLDCUP!BD66</f>
        <v>Senegal</v>
      </c>
      <c r="J130" s="11" t="str">
        <f ca="1">+WORLDCUP!BD68</f>
        <v>DR Congo</v>
      </c>
      <c r="N130" s="11" t="s">
        <v>1087</v>
      </c>
      <c r="O130" s="11">
        <v>129</v>
      </c>
      <c r="P130" s="11" t="s">
        <v>91</v>
      </c>
      <c r="Q130" s="11" t="s">
        <v>435</v>
      </c>
      <c r="R130" s="11" t="s">
        <v>90</v>
      </c>
      <c r="S130" s="11" t="s">
        <v>92</v>
      </c>
      <c r="T130" s="11" t="s">
        <v>436</v>
      </c>
      <c r="U130" s="11" t="s">
        <v>94</v>
      </c>
      <c r="V130" s="11" t="s">
        <v>440</v>
      </c>
      <c r="W130" s="11" t="s">
        <v>442</v>
      </c>
    </row>
    <row r="131" spans="1:23">
      <c r="A131" s="11" t="s">
        <v>1086</v>
      </c>
      <c r="B131" s="11">
        <f ca="1">+IF(A131=WORLDCUP!$BI$112,1,0)</f>
        <v>0</v>
      </c>
      <c r="C131" s="11" t="str">
        <f ca="1">+WORLDCUP!BD65</f>
        <v>Uruguay</v>
      </c>
      <c r="D131" s="11" t="str">
        <f ca="1">+WORLDCUP!BD64</f>
        <v>Iran</v>
      </c>
      <c r="E131" s="11" t="str">
        <f ca="1">+WORLDCUP!BD59</f>
        <v>Bosnia and Herzegovina</v>
      </c>
      <c r="F131" s="11" t="str">
        <f ca="1">+WORLDCUP!BD60</f>
        <v>Scotland</v>
      </c>
      <c r="G131" s="11" t="str">
        <f ca="1">+WORLDCUP!BD67</f>
        <v>Algeria</v>
      </c>
      <c r="H131" s="11" t="str">
        <f ca="1">+WORLDCUP!BD63</f>
        <v>Sweden</v>
      </c>
      <c r="I131" s="11" t="str">
        <f ca="1">+WORLDCUP!BD61</f>
        <v>Paraguay</v>
      </c>
      <c r="J131" s="11" t="str">
        <f ca="1">+WORLDCUP!BD66</f>
        <v>Senegal</v>
      </c>
      <c r="N131" s="11" t="s">
        <v>1086</v>
      </c>
      <c r="O131" s="11">
        <v>130</v>
      </c>
      <c r="P131" s="11" t="s">
        <v>436</v>
      </c>
      <c r="Q131" s="11" t="s">
        <v>435</v>
      </c>
      <c r="R131" s="11" t="s">
        <v>90</v>
      </c>
      <c r="S131" s="11" t="s">
        <v>91</v>
      </c>
      <c r="T131" s="11" t="s">
        <v>441</v>
      </c>
      <c r="U131" s="11" t="s">
        <v>94</v>
      </c>
      <c r="V131" s="11" t="s">
        <v>92</v>
      </c>
      <c r="W131" s="11" t="s">
        <v>440</v>
      </c>
    </row>
    <row r="132" spans="1:23">
      <c r="A132" s="11" t="s">
        <v>1085</v>
      </c>
      <c r="B132" s="11">
        <f ca="1">+IF(A132=WORLDCUP!$BI$112,1,0)</f>
        <v>0</v>
      </c>
      <c r="C132" s="11" t="str">
        <f ca="1">+WORLDCUP!BD62</f>
        <v>Ecuador</v>
      </c>
      <c r="D132" s="11" t="str">
        <f ca="1">+WORLDCUP!BD67</f>
        <v>Algeria</v>
      </c>
      <c r="E132" s="11" t="str">
        <f ca="1">+WORLDCUP!BD59</f>
        <v>Bosnia and Herzegovina</v>
      </c>
      <c r="F132" s="11" t="str">
        <f ca="1">+WORLDCUP!BD60</f>
        <v>Scotland</v>
      </c>
      <c r="G132" s="11" t="str">
        <f ca="1">+WORLDCUP!BD66</f>
        <v>Senegal</v>
      </c>
      <c r="H132" s="11" t="str">
        <f ca="1">+WORLDCUP!BD61</f>
        <v>Paraguay</v>
      </c>
      <c r="I132" s="11" t="str">
        <f ca="1">+WORLDCUP!BD69</f>
        <v>Ghana</v>
      </c>
      <c r="J132" s="11" t="str">
        <f ca="1">+WORLDCUP!BD68</f>
        <v>DR Congo</v>
      </c>
      <c r="N132" s="11" t="s">
        <v>1085</v>
      </c>
      <c r="O132" s="11">
        <v>131</v>
      </c>
      <c r="P132" s="11" t="s">
        <v>93</v>
      </c>
      <c r="Q132" s="11" t="s">
        <v>441</v>
      </c>
      <c r="R132" s="11" t="s">
        <v>90</v>
      </c>
      <c r="S132" s="11" t="s">
        <v>91</v>
      </c>
      <c r="T132" s="11" t="s">
        <v>440</v>
      </c>
      <c r="U132" s="11" t="s">
        <v>92</v>
      </c>
      <c r="V132" s="11" t="s">
        <v>443</v>
      </c>
      <c r="W132" s="11" t="s">
        <v>442</v>
      </c>
    </row>
    <row r="133" spans="1:23">
      <c r="A133" s="11" t="s">
        <v>1084</v>
      </c>
      <c r="B133" s="11">
        <f ca="1">+IF(A133=WORLDCUP!$BI$112,1,0)</f>
        <v>0</v>
      </c>
      <c r="C133" s="11" t="str">
        <f ca="1">+WORLDCUP!BD62</f>
        <v>Ecuador</v>
      </c>
      <c r="D133" s="11" t="str">
        <f ca="1">+WORLDCUP!BD67</f>
        <v>Algeria</v>
      </c>
      <c r="E133" s="11" t="str">
        <f ca="1">+WORLDCUP!BD59</f>
        <v>Bosnia and Herzegovina</v>
      </c>
      <c r="F133" s="11" t="str">
        <f ca="1">+WORLDCUP!BD60</f>
        <v>Scotland</v>
      </c>
      <c r="G133" s="11" t="str">
        <f ca="1">+WORLDCUP!BD65</f>
        <v>Uruguay</v>
      </c>
      <c r="H133" s="11" t="str">
        <f ca="1">+WORLDCUP!BD61</f>
        <v>Paraguay</v>
      </c>
      <c r="I133" s="11" t="str">
        <f ca="1">+WORLDCUP!BD69</f>
        <v>Ghana</v>
      </c>
      <c r="J133" s="11" t="str">
        <f ca="1">+WORLDCUP!BD68</f>
        <v>DR Congo</v>
      </c>
      <c r="N133" s="11" t="s">
        <v>1084</v>
      </c>
      <c r="O133" s="11">
        <v>132</v>
      </c>
      <c r="P133" s="11" t="s">
        <v>93</v>
      </c>
      <c r="Q133" s="11" t="s">
        <v>441</v>
      </c>
      <c r="R133" s="11" t="s">
        <v>90</v>
      </c>
      <c r="S133" s="11" t="s">
        <v>91</v>
      </c>
      <c r="T133" s="11" t="s">
        <v>436</v>
      </c>
      <c r="U133" s="11" t="s">
        <v>92</v>
      </c>
      <c r="V133" s="11" t="s">
        <v>443</v>
      </c>
      <c r="W133" s="11" t="s">
        <v>442</v>
      </c>
    </row>
    <row r="134" spans="1:23">
      <c r="A134" s="11" t="s">
        <v>1083</v>
      </c>
      <c r="B134" s="11">
        <f ca="1">+IF(A134=WORLDCUP!$BI$112,1,0)</f>
        <v>0</v>
      </c>
      <c r="C134" s="11" t="str">
        <f ca="1">+WORLDCUP!BD62</f>
        <v>Ecuador</v>
      </c>
      <c r="D134" s="11" t="str">
        <f ca="1">+WORLDCUP!BD66</f>
        <v>Senegal</v>
      </c>
      <c r="E134" s="11" t="str">
        <f ca="1">+WORLDCUP!BD59</f>
        <v>Bosnia and Herzegovina</v>
      </c>
      <c r="F134" s="11" t="str">
        <f ca="1">+WORLDCUP!BD60</f>
        <v>Scotland</v>
      </c>
      <c r="G134" s="11" t="str">
        <f ca="1">+WORLDCUP!BD65</f>
        <v>Uruguay</v>
      </c>
      <c r="H134" s="11" t="str">
        <f ca="1">+WORLDCUP!BD61</f>
        <v>Paraguay</v>
      </c>
      <c r="I134" s="11" t="str">
        <f ca="1">+WORLDCUP!BD69</f>
        <v>Ghana</v>
      </c>
      <c r="J134" s="11" t="str">
        <f ca="1">+WORLDCUP!BD68</f>
        <v>DR Congo</v>
      </c>
      <c r="N134" s="11" t="s">
        <v>1083</v>
      </c>
      <c r="O134" s="11">
        <v>133</v>
      </c>
      <c r="P134" s="11" t="s">
        <v>93</v>
      </c>
      <c r="Q134" s="11" t="s">
        <v>440</v>
      </c>
      <c r="R134" s="11" t="s">
        <v>90</v>
      </c>
      <c r="S134" s="11" t="s">
        <v>91</v>
      </c>
      <c r="T134" s="11" t="s">
        <v>436</v>
      </c>
      <c r="U134" s="11" t="s">
        <v>92</v>
      </c>
      <c r="V134" s="11" t="s">
        <v>443</v>
      </c>
      <c r="W134" s="11" t="s">
        <v>442</v>
      </c>
    </row>
    <row r="135" spans="1:23">
      <c r="A135" s="11" t="s">
        <v>1082</v>
      </c>
      <c r="B135" s="11">
        <f ca="1">+IF(A135=WORLDCUP!$BI$112,1,0)</f>
        <v>0</v>
      </c>
      <c r="C135" s="11" t="str">
        <f ca="1">+WORLDCUP!BD62</f>
        <v>Ecuador</v>
      </c>
      <c r="D135" s="11" t="str">
        <f ca="1">+WORLDCUP!BD67</f>
        <v>Algeria</v>
      </c>
      <c r="E135" s="11" t="str">
        <f ca="1">+WORLDCUP!BD59</f>
        <v>Bosnia and Herzegovina</v>
      </c>
      <c r="F135" s="11" t="str">
        <f ca="1">+WORLDCUP!BD60</f>
        <v>Scotland</v>
      </c>
      <c r="G135" s="11" t="str">
        <f ca="1">+WORLDCUP!BD65</f>
        <v>Uruguay</v>
      </c>
      <c r="H135" s="11" t="str">
        <f ca="1">+WORLDCUP!BD61</f>
        <v>Paraguay</v>
      </c>
      <c r="I135" s="11" t="str">
        <f ca="1">+WORLDCUP!BD69</f>
        <v>Ghana</v>
      </c>
      <c r="J135" s="11" t="str">
        <f ca="1">+WORLDCUP!BD66</f>
        <v>Senegal</v>
      </c>
      <c r="N135" s="11" t="s">
        <v>1082</v>
      </c>
      <c r="O135" s="11">
        <v>134</v>
      </c>
      <c r="P135" s="11" t="s">
        <v>93</v>
      </c>
      <c r="Q135" s="11" t="s">
        <v>441</v>
      </c>
      <c r="R135" s="11" t="s">
        <v>90</v>
      </c>
      <c r="S135" s="11" t="s">
        <v>91</v>
      </c>
      <c r="T135" s="11" t="s">
        <v>436</v>
      </c>
      <c r="U135" s="11" t="s">
        <v>92</v>
      </c>
      <c r="V135" s="11" t="s">
        <v>443</v>
      </c>
      <c r="W135" s="11" t="s">
        <v>440</v>
      </c>
    </row>
    <row r="136" spans="1:23">
      <c r="A136" s="11" t="s">
        <v>1081</v>
      </c>
      <c r="B136" s="11">
        <f ca="1">+IF(A136=WORLDCUP!$BI$112,1,0)</f>
        <v>0</v>
      </c>
      <c r="C136" s="11" t="str">
        <f ca="1">+WORLDCUP!BD62</f>
        <v>Ecuador</v>
      </c>
      <c r="D136" s="11" t="str">
        <f ca="1">+WORLDCUP!BD67</f>
        <v>Algeria</v>
      </c>
      <c r="E136" s="11" t="str">
        <f ca="1">+WORLDCUP!BD59</f>
        <v>Bosnia and Herzegovina</v>
      </c>
      <c r="F136" s="11" t="str">
        <f ca="1">+WORLDCUP!BD60</f>
        <v>Scotland</v>
      </c>
      <c r="G136" s="11" t="str">
        <f ca="1">+WORLDCUP!BD65</f>
        <v>Uruguay</v>
      </c>
      <c r="H136" s="11" t="str">
        <f ca="1">+WORLDCUP!BD61</f>
        <v>Paraguay</v>
      </c>
      <c r="I136" s="11" t="str">
        <f ca="1">+WORLDCUP!BD66</f>
        <v>Senegal</v>
      </c>
      <c r="J136" s="11" t="str">
        <f ca="1">+WORLDCUP!BD68</f>
        <v>DR Congo</v>
      </c>
      <c r="N136" s="11" t="s">
        <v>1081</v>
      </c>
      <c r="O136" s="11">
        <v>135</v>
      </c>
      <c r="P136" s="11" t="s">
        <v>93</v>
      </c>
      <c r="Q136" s="11" t="s">
        <v>441</v>
      </c>
      <c r="R136" s="11" t="s">
        <v>90</v>
      </c>
      <c r="S136" s="11" t="s">
        <v>91</v>
      </c>
      <c r="T136" s="11" t="s">
        <v>436</v>
      </c>
      <c r="U136" s="11" t="s">
        <v>92</v>
      </c>
      <c r="V136" s="11" t="s">
        <v>440</v>
      </c>
      <c r="W136" s="11" t="s">
        <v>442</v>
      </c>
    </row>
    <row r="137" spans="1:23">
      <c r="A137" s="11" t="s">
        <v>1080</v>
      </c>
      <c r="B137" s="11">
        <f ca="1">+IF(A137=WORLDCUP!$BI$112,1,0)</f>
        <v>0</v>
      </c>
      <c r="C137" s="11" t="str">
        <f ca="1">+WORLDCUP!BD62</f>
        <v>Ecuador</v>
      </c>
      <c r="D137" s="11" t="str">
        <f ca="1">+WORLDCUP!BD64</f>
        <v>Iran</v>
      </c>
      <c r="E137" s="11" t="str">
        <f ca="1">+WORLDCUP!BD59</f>
        <v>Bosnia and Herzegovina</v>
      </c>
      <c r="F137" s="11" t="str">
        <f ca="1">+WORLDCUP!BD60</f>
        <v>Scotland</v>
      </c>
      <c r="G137" s="11" t="str">
        <f ca="1">+WORLDCUP!BD67</f>
        <v>Algeria</v>
      </c>
      <c r="H137" s="11" t="str">
        <f ca="1">+WORLDCUP!BD61</f>
        <v>Paraguay</v>
      </c>
      <c r="I137" s="11" t="str">
        <f ca="1">+WORLDCUP!BD69</f>
        <v>Ghana</v>
      </c>
      <c r="J137" s="11" t="str">
        <f ca="1">+WORLDCUP!BD68</f>
        <v>DR Congo</v>
      </c>
      <c r="N137" s="11" t="s">
        <v>1080</v>
      </c>
      <c r="O137" s="11">
        <v>136</v>
      </c>
      <c r="P137" s="11" t="s">
        <v>93</v>
      </c>
      <c r="Q137" s="11" t="s">
        <v>435</v>
      </c>
      <c r="R137" s="11" t="s">
        <v>90</v>
      </c>
      <c r="S137" s="11" t="s">
        <v>91</v>
      </c>
      <c r="T137" s="11" t="s">
        <v>441</v>
      </c>
      <c r="U137" s="11" t="s">
        <v>92</v>
      </c>
      <c r="V137" s="11" t="s">
        <v>443</v>
      </c>
      <c r="W137" s="11" t="s">
        <v>442</v>
      </c>
    </row>
    <row r="138" spans="1:23">
      <c r="A138" s="11" t="s">
        <v>1079</v>
      </c>
      <c r="B138" s="11">
        <f ca="1">+IF(A138=WORLDCUP!$BI$112,1,0)</f>
        <v>0</v>
      </c>
      <c r="C138" s="11" t="str">
        <f ca="1">+WORLDCUP!BD62</f>
        <v>Ecuador</v>
      </c>
      <c r="D138" s="11" t="str">
        <f ca="1">+WORLDCUP!BD64</f>
        <v>Iran</v>
      </c>
      <c r="E138" s="11" t="str">
        <f ca="1">+WORLDCUP!BD59</f>
        <v>Bosnia and Herzegovina</v>
      </c>
      <c r="F138" s="11" t="str">
        <f ca="1">+WORLDCUP!BD60</f>
        <v>Scotland</v>
      </c>
      <c r="G138" s="11" t="str">
        <f ca="1">+WORLDCUP!BD66</f>
        <v>Senegal</v>
      </c>
      <c r="H138" s="11" t="str">
        <f ca="1">+WORLDCUP!BD61</f>
        <v>Paraguay</v>
      </c>
      <c r="I138" s="11" t="str">
        <f ca="1">+WORLDCUP!BD69</f>
        <v>Ghana</v>
      </c>
      <c r="J138" s="11" t="str">
        <f ca="1">+WORLDCUP!BD68</f>
        <v>DR Congo</v>
      </c>
      <c r="N138" s="11" t="s">
        <v>1079</v>
      </c>
      <c r="O138" s="11">
        <v>137</v>
      </c>
      <c r="P138" s="11" t="s">
        <v>93</v>
      </c>
      <c r="Q138" s="11" t="s">
        <v>435</v>
      </c>
      <c r="R138" s="11" t="s">
        <v>90</v>
      </c>
      <c r="S138" s="11" t="s">
        <v>91</v>
      </c>
      <c r="T138" s="11" t="s">
        <v>440</v>
      </c>
      <c r="U138" s="11" t="s">
        <v>92</v>
      </c>
      <c r="V138" s="11" t="s">
        <v>443</v>
      </c>
      <c r="W138" s="11" t="s">
        <v>442</v>
      </c>
    </row>
    <row r="139" spans="1:23">
      <c r="A139" s="11" t="s">
        <v>1078</v>
      </c>
      <c r="B139" s="11">
        <f ca="1">+IF(A139=WORLDCUP!$BI$112,1,0)</f>
        <v>0</v>
      </c>
      <c r="C139" s="11" t="str">
        <f ca="1">+WORLDCUP!BD62</f>
        <v>Ecuador</v>
      </c>
      <c r="D139" s="11" t="str">
        <f ca="1">+WORLDCUP!BD64</f>
        <v>Iran</v>
      </c>
      <c r="E139" s="11" t="str">
        <f ca="1">+WORLDCUP!BD59</f>
        <v>Bosnia and Herzegovina</v>
      </c>
      <c r="F139" s="11" t="str">
        <f ca="1">+WORLDCUP!BD60</f>
        <v>Scotland</v>
      </c>
      <c r="G139" s="11" t="str">
        <f ca="1">+WORLDCUP!BD67</f>
        <v>Algeria</v>
      </c>
      <c r="H139" s="11" t="str">
        <f ca="1">+WORLDCUP!BD61</f>
        <v>Paraguay</v>
      </c>
      <c r="I139" s="11" t="str">
        <f ca="1">+WORLDCUP!BD69</f>
        <v>Ghana</v>
      </c>
      <c r="J139" s="11" t="str">
        <f ca="1">+WORLDCUP!BD66</f>
        <v>Senegal</v>
      </c>
      <c r="N139" s="11" t="s">
        <v>1078</v>
      </c>
      <c r="O139" s="11">
        <v>138</v>
      </c>
      <c r="P139" s="11" t="s">
        <v>93</v>
      </c>
      <c r="Q139" s="11" t="s">
        <v>435</v>
      </c>
      <c r="R139" s="11" t="s">
        <v>90</v>
      </c>
      <c r="S139" s="11" t="s">
        <v>91</v>
      </c>
      <c r="T139" s="11" t="s">
        <v>441</v>
      </c>
      <c r="U139" s="11" t="s">
        <v>92</v>
      </c>
      <c r="V139" s="11" t="s">
        <v>443</v>
      </c>
      <c r="W139" s="11" t="s">
        <v>440</v>
      </c>
    </row>
    <row r="140" spans="1:23">
      <c r="A140" s="11" t="s">
        <v>1077</v>
      </c>
      <c r="B140" s="11">
        <f ca="1">+IF(A140=WORLDCUP!$BI$112,1,0)</f>
        <v>0</v>
      </c>
      <c r="C140" s="11" t="str">
        <f ca="1">+WORLDCUP!BD62</f>
        <v>Ecuador</v>
      </c>
      <c r="D140" s="11" t="str">
        <f ca="1">+WORLDCUP!BD64</f>
        <v>Iran</v>
      </c>
      <c r="E140" s="11" t="str">
        <f ca="1">+WORLDCUP!BD59</f>
        <v>Bosnia and Herzegovina</v>
      </c>
      <c r="F140" s="11" t="str">
        <f ca="1">+WORLDCUP!BD60</f>
        <v>Scotland</v>
      </c>
      <c r="G140" s="11" t="str">
        <f ca="1">+WORLDCUP!BD67</f>
        <v>Algeria</v>
      </c>
      <c r="H140" s="11" t="str">
        <f ca="1">+WORLDCUP!BD61</f>
        <v>Paraguay</v>
      </c>
      <c r="I140" s="11" t="str">
        <f ca="1">+WORLDCUP!BD66</f>
        <v>Senegal</v>
      </c>
      <c r="J140" s="11" t="str">
        <f ca="1">+WORLDCUP!BD68</f>
        <v>DR Congo</v>
      </c>
      <c r="N140" s="11" t="s">
        <v>1077</v>
      </c>
      <c r="O140" s="11">
        <v>139</v>
      </c>
      <c r="P140" s="11" t="s">
        <v>93</v>
      </c>
      <c r="Q140" s="11" t="s">
        <v>435</v>
      </c>
      <c r="R140" s="11" t="s">
        <v>90</v>
      </c>
      <c r="S140" s="11" t="s">
        <v>91</v>
      </c>
      <c r="T140" s="11" t="s">
        <v>441</v>
      </c>
      <c r="U140" s="11" t="s">
        <v>92</v>
      </c>
      <c r="V140" s="11" t="s">
        <v>440</v>
      </c>
      <c r="W140" s="11" t="s">
        <v>442</v>
      </c>
    </row>
    <row r="141" spans="1:23">
      <c r="A141" s="11" t="s">
        <v>1076</v>
      </c>
      <c r="B141" s="11">
        <f ca="1">+IF(A141=WORLDCUP!$BI$112,1,0)</f>
        <v>0</v>
      </c>
      <c r="C141" s="11" t="str">
        <f ca="1">+WORLDCUP!BD62</f>
        <v>Ecuador</v>
      </c>
      <c r="D141" s="11" t="str">
        <f ca="1">+WORLDCUP!BD64</f>
        <v>Iran</v>
      </c>
      <c r="E141" s="11" t="str">
        <f ca="1">+WORLDCUP!BD59</f>
        <v>Bosnia and Herzegovina</v>
      </c>
      <c r="F141" s="11" t="str">
        <f ca="1">+WORLDCUP!BD60</f>
        <v>Scotland</v>
      </c>
      <c r="G141" s="11" t="str">
        <f ca="1">+WORLDCUP!BD65</f>
        <v>Uruguay</v>
      </c>
      <c r="H141" s="11" t="str">
        <f ca="1">+WORLDCUP!BD61</f>
        <v>Paraguay</v>
      </c>
      <c r="I141" s="11" t="str">
        <f ca="1">+WORLDCUP!BD69</f>
        <v>Ghana</v>
      </c>
      <c r="J141" s="11" t="str">
        <f ca="1">+WORLDCUP!BD68</f>
        <v>DR Congo</v>
      </c>
      <c r="N141" s="11" t="s">
        <v>1076</v>
      </c>
      <c r="O141" s="11">
        <v>140</v>
      </c>
      <c r="P141" s="11" t="s">
        <v>93</v>
      </c>
      <c r="Q141" s="11" t="s">
        <v>435</v>
      </c>
      <c r="R141" s="11" t="s">
        <v>90</v>
      </c>
      <c r="S141" s="11" t="s">
        <v>91</v>
      </c>
      <c r="T141" s="11" t="s">
        <v>436</v>
      </c>
      <c r="U141" s="11" t="s">
        <v>92</v>
      </c>
      <c r="V141" s="11" t="s">
        <v>443</v>
      </c>
      <c r="W141" s="11" t="s">
        <v>442</v>
      </c>
    </row>
    <row r="142" spans="1:23">
      <c r="A142" s="11" t="s">
        <v>1075</v>
      </c>
      <c r="B142" s="11">
        <f ca="1">+IF(A142=WORLDCUP!$BI$112,1,0)</f>
        <v>0</v>
      </c>
      <c r="C142" s="11" t="str">
        <f ca="1">+WORLDCUP!BD65</f>
        <v>Uruguay</v>
      </c>
      <c r="D142" s="11" t="str">
        <f ca="1">+WORLDCUP!BD64</f>
        <v>Iran</v>
      </c>
      <c r="E142" s="11" t="str">
        <f ca="1">+WORLDCUP!BD59</f>
        <v>Bosnia and Herzegovina</v>
      </c>
      <c r="F142" s="11" t="str">
        <f ca="1">+WORLDCUP!BD60</f>
        <v>Scotland</v>
      </c>
      <c r="G142" s="11" t="str">
        <f ca="1">+WORLDCUP!BD67</f>
        <v>Algeria</v>
      </c>
      <c r="H142" s="11" t="str">
        <f ca="1">+WORLDCUP!BD61</f>
        <v>Paraguay</v>
      </c>
      <c r="I142" s="11" t="str">
        <f ca="1">+WORLDCUP!BD69</f>
        <v>Ghana</v>
      </c>
      <c r="J142" s="11" t="str">
        <f ca="1">+WORLDCUP!BD62</f>
        <v>Ecuador</v>
      </c>
      <c r="N142" s="11" t="s">
        <v>1075</v>
      </c>
      <c r="O142" s="11">
        <v>141</v>
      </c>
      <c r="P142" s="11" t="s">
        <v>436</v>
      </c>
      <c r="Q142" s="11" t="s">
        <v>435</v>
      </c>
      <c r="R142" s="11" t="s">
        <v>90</v>
      </c>
      <c r="S142" s="11" t="s">
        <v>91</v>
      </c>
      <c r="T142" s="11" t="s">
        <v>441</v>
      </c>
      <c r="U142" s="11" t="s">
        <v>92</v>
      </c>
      <c r="V142" s="11" t="s">
        <v>443</v>
      </c>
      <c r="W142" s="11" t="s">
        <v>93</v>
      </c>
    </row>
    <row r="143" spans="1:23">
      <c r="A143" s="11" t="s">
        <v>1074</v>
      </c>
      <c r="B143" s="11">
        <f ca="1">+IF(A143=WORLDCUP!$BI$112,1,0)</f>
        <v>0</v>
      </c>
      <c r="C143" s="11" t="str">
        <f ca="1">+WORLDCUP!BD65</f>
        <v>Uruguay</v>
      </c>
      <c r="D143" s="11" t="str">
        <f ca="1">+WORLDCUP!BD64</f>
        <v>Iran</v>
      </c>
      <c r="E143" s="11" t="str">
        <f ca="1">+WORLDCUP!BD59</f>
        <v>Bosnia and Herzegovina</v>
      </c>
      <c r="F143" s="11" t="str">
        <f ca="1">+WORLDCUP!BD60</f>
        <v>Scotland</v>
      </c>
      <c r="G143" s="11" t="str">
        <f ca="1">+WORLDCUP!BD67</f>
        <v>Algeria</v>
      </c>
      <c r="H143" s="11" t="str">
        <f ca="1">+WORLDCUP!BD61</f>
        <v>Paraguay</v>
      </c>
      <c r="I143" s="11" t="str">
        <f ca="1">+WORLDCUP!BD62</f>
        <v>Ecuador</v>
      </c>
      <c r="J143" s="11" t="str">
        <f ca="1">+WORLDCUP!BD68</f>
        <v>DR Congo</v>
      </c>
      <c r="N143" s="11" t="s">
        <v>1074</v>
      </c>
      <c r="O143" s="11">
        <v>142</v>
      </c>
      <c r="P143" s="11" t="s">
        <v>436</v>
      </c>
      <c r="Q143" s="11" t="s">
        <v>435</v>
      </c>
      <c r="R143" s="11" t="s">
        <v>90</v>
      </c>
      <c r="S143" s="11" t="s">
        <v>91</v>
      </c>
      <c r="T143" s="11" t="s">
        <v>441</v>
      </c>
      <c r="U143" s="11" t="s">
        <v>92</v>
      </c>
      <c r="V143" s="11" t="s">
        <v>93</v>
      </c>
      <c r="W143" s="11" t="s">
        <v>442</v>
      </c>
    </row>
    <row r="144" spans="1:23">
      <c r="A144" s="11" t="s">
        <v>1073</v>
      </c>
      <c r="B144" s="11">
        <f ca="1">+IF(A144=WORLDCUP!$BI$112,1,0)</f>
        <v>0</v>
      </c>
      <c r="C144" s="11" t="str">
        <f ca="1">+WORLDCUP!BD62</f>
        <v>Ecuador</v>
      </c>
      <c r="D144" s="11" t="str">
        <f ca="1">+WORLDCUP!BD64</f>
        <v>Iran</v>
      </c>
      <c r="E144" s="11" t="str">
        <f ca="1">+WORLDCUP!BD59</f>
        <v>Bosnia and Herzegovina</v>
      </c>
      <c r="F144" s="11" t="str">
        <f ca="1">+WORLDCUP!BD60</f>
        <v>Scotland</v>
      </c>
      <c r="G144" s="11" t="str">
        <f ca="1">+WORLDCUP!BD65</f>
        <v>Uruguay</v>
      </c>
      <c r="H144" s="11" t="str">
        <f ca="1">+WORLDCUP!BD61</f>
        <v>Paraguay</v>
      </c>
      <c r="I144" s="11" t="str">
        <f ca="1">+WORLDCUP!BD69</f>
        <v>Ghana</v>
      </c>
      <c r="J144" s="11" t="str">
        <f ca="1">+WORLDCUP!BD66</f>
        <v>Senegal</v>
      </c>
      <c r="N144" s="11" t="s">
        <v>1073</v>
      </c>
      <c r="O144" s="11">
        <v>143</v>
      </c>
      <c r="P144" s="11" t="s">
        <v>93</v>
      </c>
      <c r="Q144" s="11" t="s">
        <v>435</v>
      </c>
      <c r="R144" s="11" t="s">
        <v>90</v>
      </c>
      <c r="S144" s="11" t="s">
        <v>91</v>
      </c>
      <c r="T144" s="11" t="s">
        <v>436</v>
      </c>
      <c r="U144" s="11" t="s">
        <v>92</v>
      </c>
      <c r="V144" s="11" t="s">
        <v>443</v>
      </c>
      <c r="W144" s="11" t="s">
        <v>440</v>
      </c>
    </row>
    <row r="145" spans="1:23">
      <c r="A145" s="11" t="s">
        <v>1072</v>
      </c>
      <c r="B145" s="11">
        <f ca="1">+IF(A145=WORLDCUP!$BI$112,1,0)</f>
        <v>0</v>
      </c>
      <c r="C145" s="11" t="str">
        <f ca="1">+WORLDCUP!BD62</f>
        <v>Ecuador</v>
      </c>
      <c r="D145" s="11" t="str">
        <f ca="1">+WORLDCUP!BD64</f>
        <v>Iran</v>
      </c>
      <c r="E145" s="11" t="str">
        <f ca="1">+WORLDCUP!BD59</f>
        <v>Bosnia and Herzegovina</v>
      </c>
      <c r="F145" s="11" t="str">
        <f ca="1">+WORLDCUP!BD60</f>
        <v>Scotland</v>
      </c>
      <c r="G145" s="11" t="str">
        <f ca="1">+WORLDCUP!BD65</f>
        <v>Uruguay</v>
      </c>
      <c r="H145" s="11" t="str">
        <f ca="1">+WORLDCUP!BD61</f>
        <v>Paraguay</v>
      </c>
      <c r="I145" s="11" t="str">
        <f ca="1">+WORLDCUP!BD66</f>
        <v>Senegal</v>
      </c>
      <c r="J145" s="11" t="str">
        <f ca="1">+WORLDCUP!BD68</f>
        <v>DR Congo</v>
      </c>
      <c r="N145" s="11" t="s">
        <v>1072</v>
      </c>
      <c r="O145" s="11">
        <v>144</v>
      </c>
      <c r="P145" s="11" t="s">
        <v>93</v>
      </c>
      <c r="Q145" s="11" t="s">
        <v>435</v>
      </c>
      <c r="R145" s="11" t="s">
        <v>90</v>
      </c>
      <c r="S145" s="11" t="s">
        <v>91</v>
      </c>
      <c r="T145" s="11" t="s">
        <v>436</v>
      </c>
      <c r="U145" s="11" t="s">
        <v>92</v>
      </c>
      <c r="V145" s="11" t="s">
        <v>440</v>
      </c>
      <c r="W145" s="11" t="s">
        <v>442</v>
      </c>
    </row>
    <row r="146" spans="1:23">
      <c r="A146" s="11" t="s">
        <v>1071</v>
      </c>
      <c r="B146" s="11">
        <f ca="1">+IF(A146=WORLDCUP!$BI$112,1,0)</f>
        <v>0</v>
      </c>
      <c r="C146" s="11" t="str">
        <f ca="1">+WORLDCUP!BD65</f>
        <v>Uruguay</v>
      </c>
      <c r="D146" s="11" t="str">
        <f ca="1">+WORLDCUP!BD64</f>
        <v>Iran</v>
      </c>
      <c r="E146" s="11" t="str">
        <f ca="1">+WORLDCUP!BD59</f>
        <v>Bosnia and Herzegovina</v>
      </c>
      <c r="F146" s="11" t="str">
        <f ca="1">+WORLDCUP!BD60</f>
        <v>Scotland</v>
      </c>
      <c r="G146" s="11" t="str">
        <f ca="1">+WORLDCUP!BD67</f>
        <v>Algeria</v>
      </c>
      <c r="H146" s="11" t="str">
        <f ca="1">+WORLDCUP!BD61</f>
        <v>Paraguay</v>
      </c>
      <c r="I146" s="11" t="str">
        <f ca="1">+WORLDCUP!BD62</f>
        <v>Ecuador</v>
      </c>
      <c r="J146" s="11" t="str">
        <f ca="1">+WORLDCUP!BD66</f>
        <v>Senegal</v>
      </c>
      <c r="N146" s="11" t="s">
        <v>1071</v>
      </c>
      <c r="O146" s="11">
        <v>145</v>
      </c>
      <c r="P146" s="11" t="s">
        <v>436</v>
      </c>
      <c r="Q146" s="11" t="s">
        <v>435</v>
      </c>
      <c r="R146" s="11" t="s">
        <v>90</v>
      </c>
      <c r="S146" s="11" t="s">
        <v>91</v>
      </c>
      <c r="T146" s="11" t="s">
        <v>441</v>
      </c>
      <c r="U146" s="11" t="s">
        <v>92</v>
      </c>
      <c r="V146" s="11" t="s">
        <v>93</v>
      </c>
      <c r="W146" s="11" t="s">
        <v>440</v>
      </c>
    </row>
    <row r="147" spans="1:23">
      <c r="A147" s="11" t="s">
        <v>1070</v>
      </c>
      <c r="B147" s="11">
        <f ca="1">+IF(A147=WORLDCUP!$BI$112,1,0)</f>
        <v>0</v>
      </c>
      <c r="C147" s="11" t="str">
        <f ca="1">+WORLDCUP!BD60</f>
        <v>Scotland</v>
      </c>
      <c r="D147" s="11" t="str">
        <f ca="1">+WORLDCUP!BD67</f>
        <v>Algeria</v>
      </c>
      <c r="E147" s="11" t="str">
        <f ca="1">+WORLDCUP!BD59</f>
        <v>Bosnia and Herzegovina</v>
      </c>
      <c r="F147" s="11" t="str">
        <f ca="1">+WORLDCUP!BD61</f>
        <v>Paraguay</v>
      </c>
      <c r="G147" s="11" t="str">
        <f ca="1">+WORLDCUP!BD62</f>
        <v>Ecuador</v>
      </c>
      <c r="H147" s="11" t="str">
        <f ca="1">+WORLDCUP!BD63</f>
        <v>Sweden</v>
      </c>
      <c r="I147" s="11" t="str">
        <f ca="1">+WORLDCUP!BD69</f>
        <v>Ghana</v>
      </c>
      <c r="J147" s="11" t="str">
        <f ca="1">+WORLDCUP!BD68</f>
        <v>DR Congo</v>
      </c>
      <c r="N147" s="11" t="s">
        <v>1070</v>
      </c>
      <c r="O147" s="11">
        <v>146</v>
      </c>
      <c r="P147" s="11" t="s">
        <v>91</v>
      </c>
      <c r="Q147" s="11" t="s">
        <v>441</v>
      </c>
      <c r="R147" s="11" t="s">
        <v>90</v>
      </c>
      <c r="S147" s="11" t="s">
        <v>92</v>
      </c>
      <c r="T147" s="11" t="s">
        <v>93</v>
      </c>
      <c r="U147" s="11" t="s">
        <v>94</v>
      </c>
      <c r="V147" s="11" t="s">
        <v>443</v>
      </c>
      <c r="W147" s="11" t="s">
        <v>442</v>
      </c>
    </row>
    <row r="148" spans="1:23">
      <c r="A148" s="11" t="s">
        <v>1069</v>
      </c>
      <c r="B148" s="11">
        <f ca="1">+IF(A148=WORLDCUP!$BI$112,1,0)</f>
        <v>0</v>
      </c>
      <c r="C148" s="11" t="str">
        <f ca="1">+WORLDCUP!BD60</f>
        <v>Scotland</v>
      </c>
      <c r="D148" s="11" t="str">
        <f ca="1">+WORLDCUP!BD62</f>
        <v>Ecuador</v>
      </c>
      <c r="E148" s="11" t="str">
        <f ca="1">+WORLDCUP!BD59</f>
        <v>Bosnia and Herzegovina</v>
      </c>
      <c r="F148" s="11" t="str">
        <f ca="1">+WORLDCUP!BD61</f>
        <v>Paraguay</v>
      </c>
      <c r="G148" s="11" t="str">
        <f ca="1">+WORLDCUP!BD66</f>
        <v>Senegal</v>
      </c>
      <c r="H148" s="11" t="str">
        <f ca="1">+WORLDCUP!BD63</f>
        <v>Sweden</v>
      </c>
      <c r="I148" s="11" t="str">
        <f ca="1">+WORLDCUP!BD69</f>
        <v>Ghana</v>
      </c>
      <c r="J148" s="11" t="str">
        <f ca="1">+WORLDCUP!BD68</f>
        <v>DR Congo</v>
      </c>
      <c r="N148" s="11" t="s">
        <v>1069</v>
      </c>
      <c r="O148" s="11">
        <v>147</v>
      </c>
      <c r="P148" s="11" t="s">
        <v>91</v>
      </c>
      <c r="Q148" s="11" t="s">
        <v>93</v>
      </c>
      <c r="R148" s="11" t="s">
        <v>90</v>
      </c>
      <c r="S148" s="11" t="s">
        <v>92</v>
      </c>
      <c r="T148" s="11" t="s">
        <v>440</v>
      </c>
      <c r="U148" s="11" t="s">
        <v>94</v>
      </c>
      <c r="V148" s="11" t="s">
        <v>443</v>
      </c>
      <c r="W148" s="11" t="s">
        <v>442</v>
      </c>
    </row>
    <row r="149" spans="1:23">
      <c r="A149" s="11" t="s">
        <v>1068</v>
      </c>
      <c r="B149" s="11">
        <f ca="1">+IF(A149=WORLDCUP!$BI$112,1,0)</f>
        <v>0</v>
      </c>
      <c r="C149" s="11" t="str">
        <f ca="1">+WORLDCUP!BD60</f>
        <v>Scotland</v>
      </c>
      <c r="D149" s="11" t="str">
        <f ca="1">+WORLDCUP!BD67</f>
        <v>Algeria</v>
      </c>
      <c r="E149" s="11" t="str">
        <f ca="1">+WORLDCUP!BD59</f>
        <v>Bosnia and Herzegovina</v>
      </c>
      <c r="F149" s="11" t="str">
        <f ca="1">+WORLDCUP!BD61</f>
        <v>Paraguay</v>
      </c>
      <c r="G149" s="11" t="str">
        <f ca="1">+WORLDCUP!BD62</f>
        <v>Ecuador</v>
      </c>
      <c r="H149" s="11" t="str">
        <f ca="1">+WORLDCUP!BD63</f>
        <v>Sweden</v>
      </c>
      <c r="I149" s="11" t="str">
        <f ca="1">+WORLDCUP!BD69</f>
        <v>Ghana</v>
      </c>
      <c r="J149" s="11" t="str">
        <f ca="1">+WORLDCUP!BD66</f>
        <v>Senegal</v>
      </c>
      <c r="N149" s="11" t="s">
        <v>1068</v>
      </c>
      <c r="O149" s="11">
        <v>148</v>
      </c>
      <c r="P149" s="11" t="s">
        <v>91</v>
      </c>
      <c r="Q149" s="11" t="s">
        <v>441</v>
      </c>
      <c r="R149" s="11" t="s">
        <v>90</v>
      </c>
      <c r="S149" s="11" t="s">
        <v>92</v>
      </c>
      <c r="T149" s="11" t="s">
        <v>93</v>
      </c>
      <c r="U149" s="11" t="s">
        <v>94</v>
      </c>
      <c r="V149" s="11" t="s">
        <v>443</v>
      </c>
      <c r="W149" s="11" t="s">
        <v>440</v>
      </c>
    </row>
    <row r="150" spans="1:23">
      <c r="A150" s="11" t="s">
        <v>1067</v>
      </c>
      <c r="B150" s="11">
        <f ca="1">+IF(A150=WORLDCUP!$BI$112,1,0)</f>
        <v>0</v>
      </c>
      <c r="C150" s="11" t="str">
        <f ca="1">+WORLDCUP!BD60</f>
        <v>Scotland</v>
      </c>
      <c r="D150" s="11" t="str">
        <f ca="1">+WORLDCUP!BD67</f>
        <v>Algeria</v>
      </c>
      <c r="E150" s="11" t="str">
        <f ca="1">+WORLDCUP!BD59</f>
        <v>Bosnia and Herzegovina</v>
      </c>
      <c r="F150" s="11" t="str">
        <f ca="1">+WORLDCUP!BD61</f>
        <v>Paraguay</v>
      </c>
      <c r="G150" s="11" t="str">
        <f ca="1">+WORLDCUP!BD62</f>
        <v>Ecuador</v>
      </c>
      <c r="H150" s="11" t="str">
        <f ca="1">+WORLDCUP!BD63</f>
        <v>Sweden</v>
      </c>
      <c r="I150" s="11" t="str">
        <f ca="1">+WORLDCUP!BD66</f>
        <v>Senegal</v>
      </c>
      <c r="J150" s="11" t="str">
        <f ca="1">+WORLDCUP!BD68</f>
        <v>DR Congo</v>
      </c>
      <c r="N150" s="11" t="s">
        <v>1067</v>
      </c>
      <c r="O150" s="11">
        <v>149</v>
      </c>
      <c r="P150" s="11" t="s">
        <v>91</v>
      </c>
      <c r="Q150" s="11" t="s">
        <v>441</v>
      </c>
      <c r="R150" s="11" t="s">
        <v>90</v>
      </c>
      <c r="S150" s="11" t="s">
        <v>92</v>
      </c>
      <c r="T150" s="11" t="s">
        <v>93</v>
      </c>
      <c r="U150" s="11" t="s">
        <v>94</v>
      </c>
      <c r="V150" s="11" t="s">
        <v>440</v>
      </c>
      <c r="W150" s="11" t="s">
        <v>442</v>
      </c>
    </row>
    <row r="151" spans="1:23">
      <c r="A151" s="11" t="s">
        <v>1066</v>
      </c>
      <c r="B151" s="11">
        <f ca="1">+IF(A151=WORLDCUP!$BI$112,1,0)</f>
        <v>0</v>
      </c>
      <c r="C151" s="11" t="str">
        <f ca="1">+WORLDCUP!BD60</f>
        <v>Scotland</v>
      </c>
      <c r="D151" s="11" t="str">
        <f ca="1">+WORLDCUP!BD62</f>
        <v>Ecuador</v>
      </c>
      <c r="E151" s="11" t="str">
        <f ca="1">+WORLDCUP!BD59</f>
        <v>Bosnia and Herzegovina</v>
      </c>
      <c r="F151" s="11" t="str">
        <f ca="1">+WORLDCUP!BD61</f>
        <v>Paraguay</v>
      </c>
      <c r="G151" s="11" t="str">
        <f ca="1">+WORLDCUP!BD65</f>
        <v>Uruguay</v>
      </c>
      <c r="H151" s="11" t="str">
        <f ca="1">+WORLDCUP!BD63</f>
        <v>Sweden</v>
      </c>
      <c r="I151" s="11" t="str">
        <f ca="1">+WORLDCUP!BD69</f>
        <v>Ghana</v>
      </c>
      <c r="J151" s="11" t="str">
        <f ca="1">+WORLDCUP!BD68</f>
        <v>DR Congo</v>
      </c>
      <c r="N151" s="11" t="s">
        <v>1066</v>
      </c>
      <c r="O151" s="11">
        <v>150</v>
      </c>
      <c r="P151" s="11" t="s">
        <v>91</v>
      </c>
      <c r="Q151" s="11" t="s">
        <v>93</v>
      </c>
      <c r="R151" s="11" t="s">
        <v>90</v>
      </c>
      <c r="S151" s="11" t="s">
        <v>92</v>
      </c>
      <c r="T151" s="11" t="s">
        <v>436</v>
      </c>
      <c r="U151" s="11" t="s">
        <v>94</v>
      </c>
      <c r="V151" s="11" t="s">
        <v>443</v>
      </c>
      <c r="W151" s="11" t="s">
        <v>442</v>
      </c>
    </row>
    <row r="152" spans="1:23">
      <c r="A152" s="11" t="s">
        <v>1065</v>
      </c>
      <c r="B152" s="11">
        <f ca="1">+IF(A152=WORLDCUP!$BI$112,1,0)</f>
        <v>0</v>
      </c>
      <c r="C152" s="11" t="str">
        <f ca="1">+WORLDCUP!BD60</f>
        <v>Scotland</v>
      </c>
      <c r="D152" s="11" t="str">
        <f ca="1">+WORLDCUP!BD67</f>
        <v>Algeria</v>
      </c>
      <c r="E152" s="11" t="str">
        <f ca="1">+WORLDCUP!BD59</f>
        <v>Bosnia and Herzegovina</v>
      </c>
      <c r="F152" s="11" t="str">
        <f ca="1">+WORLDCUP!BD61</f>
        <v>Paraguay</v>
      </c>
      <c r="G152" s="11" t="str">
        <f ca="1">+WORLDCUP!BD65</f>
        <v>Uruguay</v>
      </c>
      <c r="H152" s="11" t="str">
        <f ca="1">+WORLDCUP!BD63</f>
        <v>Sweden</v>
      </c>
      <c r="I152" s="11" t="str">
        <f ca="1">+WORLDCUP!BD69</f>
        <v>Ghana</v>
      </c>
      <c r="J152" s="11" t="str">
        <f ca="1">+WORLDCUP!BD62</f>
        <v>Ecuador</v>
      </c>
      <c r="N152" s="11" t="s">
        <v>1065</v>
      </c>
      <c r="O152" s="11">
        <v>151</v>
      </c>
      <c r="P152" s="11" t="s">
        <v>91</v>
      </c>
      <c r="Q152" s="11" t="s">
        <v>441</v>
      </c>
      <c r="R152" s="11" t="s">
        <v>90</v>
      </c>
      <c r="S152" s="11" t="s">
        <v>92</v>
      </c>
      <c r="T152" s="11" t="s">
        <v>436</v>
      </c>
      <c r="U152" s="11" t="s">
        <v>94</v>
      </c>
      <c r="V152" s="11" t="s">
        <v>443</v>
      </c>
      <c r="W152" s="11" t="s">
        <v>93</v>
      </c>
    </row>
    <row r="153" spans="1:23">
      <c r="A153" s="11" t="s">
        <v>1064</v>
      </c>
      <c r="B153" s="11">
        <f ca="1">+IF(A153=WORLDCUP!$BI$112,1,0)</f>
        <v>0</v>
      </c>
      <c r="C153" s="11" t="str">
        <f ca="1">+WORLDCUP!BD60</f>
        <v>Scotland</v>
      </c>
      <c r="D153" s="11" t="str">
        <f ca="1">+WORLDCUP!BD67</f>
        <v>Algeria</v>
      </c>
      <c r="E153" s="11" t="str">
        <f ca="1">+WORLDCUP!BD59</f>
        <v>Bosnia and Herzegovina</v>
      </c>
      <c r="F153" s="11" t="str">
        <f ca="1">+WORLDCUP!BD61</f>
        <v>Paraguay</v>
      </c>
      <c r="G153" s="11" t="str">
        <f ca="1">+WORLDCUP!BD65</f>
        <v>Uruguay</v>
      </c>
      <c r="H153" s="11" t="str">
        <f ca="1">+WORLDCUP!BD63</f>
        <v>Sweden</v>
      </c>
      <c r="I153" s="11" t="str">
        <f ca="1">+WORLDCUP!BD62</f>
        <v>Ecuador</v>
      </c>
      <c r="J153" s="11" t="str">
        <f ca="1">+WORLDCUP!BD68</f>
        <v>DR Congo</v>
      </c>
      <c r="N153" s="11" t="s">
        <v>1064</v>
      </c>
      <c r="O153" s="11">
        <v>152</v>
      </c>
      <c r="P153" s="11" t="s">
        <v>91</v>
      </c>
      <c r="Q153" s="11" t="s">
        <v>441</v>
      </c>
      <c r="R153" s="11" t="s">
        <v>90</v>
      </c>
      <c r="S153" s="11" t="s">
        <v>92</v>
      </c>
      <c r="T153" s="11" t="s">
        <v>436</v>
      </c>
      <c r="U153" s="11" t="s">
        <v>94</v>
      </c>
      <c r="V153" s="11" t="s">
        <v>93</v>
      </c>
      <c r="W153" s="11" t="s">
        <v>442</v>
      </c>
    </row>
    <row r="154" spans="1:23">
      <c r="A154" s="11" t="s">
        <v>1063</v>
      </c>
      <c r="B154" s="11">
        <f ca="1">+IF(A154=WORLDCUP!$BI$112,1,0)</f>
        <v>0</v>
      </c>
      <c r="C154" s="11" t="str">
        <f ca="1">+WORLDCUP!BD60</f>
        <v>Scotland</v>
      </c>
      <c r="D154" s="11" t="str">
        <f ca="1">+WORLDCUP!BD62</f>
        <v>Ecuador</v>
      </c>
      <c r="E154" s="11" t="str">
        <f ca="1">+WORLDCUP!BD59</f>
        <v>Bosnia and Herzegovina</v>
      </c>
      <c r="F154" s="11" t="str">
        <f ca="1">+WORLDCUP!BD61</f>
        <v>Paraguay</v>
      </c>
      <c r="G154" s="11" t="str">
        <f ca="1">+WORLDCUP!BD65</f>
        <v>Uruguay</v>
      </c>
      <c r="H154" s="11" t="str">
        <f ca="1">+WORLDCUP!BD63</f>
        <v>Sweden</v>
      </c>
      <c r="I154" s="11" t="str">
        <f ca="1">+WORLDCUP!BD69</f>
        <v>Ghana</v>
      </c>
      <c r="J154" s="11" t="str">
        <f ca="1">+WORLDCUP!BD66</f>
        <v>Senegal</v>
      </c>
      <c r="N154" s="11" t="s">
        <v>1063</v>
      </c>
      <c r="O154" s="11">
        <v>153</v>
      </c>
      <c r="P154" s="11" t="s">
        <v>91</v>
      </c>
      <c r="Q154" s="11" t="s">
        <v>93</v>
      </c>
      <c r="R154" s="11" t="s">
        <v>90</v>
      </c>
      <c r="S154" s="11" t="s">
        <v>92</v>
      </c>
      <c r="T154" s="11" t="s">
        <v>436</v>
      </c>
      <c r="U154" s="11" t="s">
        <v>94</v>
      </c>
      <c r="V154" s="11" t="s">
        <v>443</v>
      </c>
      <c r="W154" s="11" t="s">
        <v>440</v>
      </c>
    </row>
    <row r="155" spans="1:23">
      <c r="A155" s="11" t="s">
        <v>1062</v>
      </c>
      <c r="B155" s="11">
        <f ca="1">+IF(A155=WORLDCUP!$BI$112,1,0)</f>
        <v>0</v>
      </c>
      <c r="C155" s="11" t="str">
        <f ca="1">+WORLDCUP!BD60</f>
        <v>Scotland</v>
      </c>
      <c r="D155" s="11" t="str">
        <f ca="1">+WORLDCUP!BD62</f>
        <v>Ecuador</v>
      </c>
      <c r="E155" s="11" t="str">
        <f ca="1">+WORLDCUP!BD59</f>
        <v>Bosnia and Herzegovina</v>
      </c>
      <c r="F155" s="11" t="str">
        <f ca="1">+WORLDCUP!BD61</f>
        <v>Paraguay</v>
      </c>
      <c r="G155" s="11" t="str">
        <f ca="1">+WORLDCUP!BD65</f>
        <v>Uruguay</v>
      </c>
      <c r="H155" s="11" t="str">
        <f ca="1">+WORLDCUP!BD63</f>
        <v>Sweden</v>
      </c>
      <c r="I155" s="11" t="str">
        <f ca="1">+WORLDCUP!BD66</f>
        <v>Senegal</v>
      </c>
      <c r="J155" s="11" t="str">
        <f ca="1">+WORLDCUP!BD68</f>
        <v>DR Congo</v>
      </c>
      <c r="N155" s="11" t="s">
        <v>1062</v>
      </c>
      <c r="O155" s="11">
        <v>154</v>
      </c>
      <c r="P155" s="11" t="s">
        <v>91</v>
      </c>
      <c r="Q155" s="11" t="s">
        <v>93</v>
      </c>
      <c r="R155" s="11" t="s">
        <v>90</v>
      </c>
      <c r="S155" s="11" t="s">
        <v>92</v>
      </c>
      <c r="T155" s="11" t="s">
        <v>436</v>
      </c>
      <c r="U155" s="11" t="s">
        <v>94</v>
      </c>
      <c r="V155" s="11" t="s">
        <v>440</v>
      </c>
      <c r="W155" s="11" t="s">
        <v>442</v>
      </c>
    </row>
    <row r="156" spans="1:23">
      <c r="A156" s="11" t="s">
        <v>1061</v>
      </c>
      <c r="B156" s="11">
        <f ca="1">+IF(A156=WORLDCUP!$BI$112,1,0)</f>
        <v>0</v>
      </c>
      <c r="C156" s="11" t="str">
        <f ca="1">+WORLDCUP!BD60</f>
        <v>Scotland</v>
      </c>
      <c r="D156" s="11" t="str">
        <f ca="1">+WORLDCUP!BD67</f>
        <v>Algeria</v>
      </c>
      <c r="E156" s="11" t="str">
        <f ca="1">+WORLDCUP!BD59</f>
        <v>Bosnia and Herzegovina</v>
      </c>
      <c r="F156" s="11" t="str">
        <f ca="1">+WORLDCUP!BD61</f>
        <v>Paraguay</v>
      </c>
      <c r="G156" s="11" t="str">
        <f ca="1">+WORLDCUP!BD65</f>
        <v>Uruguay</v>
      </c>
      <c r="H156" s="11" t="str">
        <f ca="1">+WORLDCUP!BD63</f>
        <v>Sweden</v>
      </c>
      <c r="I156" s="11" t="str">
        <f ca="1">+WORLDCUP!BD62</f>
        <v>Ecuador</v>
      </c>
      <c r="J156" s="11" t="str">
        <f ca="1">+WORLDCUP!BD66</f>
        <v>Senegal</v>
      </c>
      <c r="N156" s="11" t="s">
        <v>1061</v>
      </c>
      <c r="O156" s="11">
        <v>155</v>
      </c>
      <c r="P156" s="11" t="s">
        <v>91</v>
      </c>
      <c r="Q156" s="11" t="s">
        <v>441</v>
      </c>
      <c r="R156" s="11" t="s">
        <v>90</v>
      </c>
      <c r="S156" s="11" t="s">
        <v>92</v>
      </c>
      <c r="T156" s="11" t="s">
        <v>436</v>
      </c>
      <c r="U156" s="11" t="s">
        <v>94</v>
      </c>
      <c r="V156" s="11" t="s">
        <v>93</v>
      </c>
      <c r="W156" s="11" t="s">
        <v>440</v>
      </c>
    </row>
    <row r="157" spans="1:23">
      <c r="A157" s="11" t="s">
        <v>475</v>
      </c>
      <c r="B157" s="11">
        <f ca="1">+IF(A157=WORLDCUP!$BI$112,1,0)</f>
        <v>0</v>
      </c>
      <c r="C157" s="11" t="str">
        <f ca="1">+WORLDCUP!BD60</f>
        <v>Scotland</v>
      </c>
      <c r="D157" s="11" t="str">
        <f ca="1">+WORLDCUP!BD64</f>
        <v>Iran</v>
      </c>
      <c r="E157" s="11" t="str">
        <f ca="1">+WORLDCUP!BD59</f>
        <v>Bosnia and Herzegovina</v>
      </c>
      <c r="F157" s="11" t="str">
        <f ca="1">+WORLDCUP!BD61</f>
        <v>Paraguay</v>
      </c>
      <c r="G157" s="11" t="str">
        <f ca="1">+WORLDCUP!BD62</f>
        <v>Ecuador</v>
      </c>
      <c r="H157" s="11" t="str">
        <f ca="1">+WORLDCUP!BD63</f>
        <v>Sweden</v>
      </c>
      <c r="I157" s="11" t="str">
        <f ca="1">+WORLDCUP!BD69</f>
        <v>Ghana</v>
      </c>
      <c r="J157" s="11" t="str">
        <f ca="1">+WORLDCUP!BD68</f>
        <v>DR Congo</v>
      </c>
      <c r="N157" s="11" t="s">
        <v>475</v>
      </c>
      <c r="O157" s="11">
        <v>156</v>
      </c>
      <c r="P157" s="11" t="s">
        <v>91</v>
      </c>
      <c r="Q157" s="11" t="s">
        <v>435</v>
      </c>
      <c r="R157" s="11" t="s">
        <v>90</v>
      </c>
      <c r="S157" s="11" t="s">
        <v>92</v>
      </c>
      <c r="T157" s="11" t="s">
        <v>93</v>
      </c>
      <c r="U157" s="11" t="s">
        <v>94</v>
      </c>
      <c r="V157" s="11" t="s">
        <v>443</v>
      </c>
      <c r="W157" s="11" t="s">
        <v>442</v>
      </c>
    </row>
    <row r="158" spans="1:23">
      <c r="A158" s="11" t="s">
        <v>468</v>
      </c>
      <c r="B158" s="11">
        <f ca="1">+IF(A158=WORLDCUP!$BI$112,1,0)</f>
        <v>0</v>
      </c>
      <c r="C158" s="11" t="str">
        <f ca="1">+WORLDCUP!BD60</f>
        <v>Scotland</v>
      </c>
      <c r="D158" s="11" t="str">
        <f ca="1">+WORLDCUP!BD64</f>
        <v>Iran</v>
      </c>
      <c r="E158" s="11" t="str">
        <f ca="1">+WORLDCUP!BD59</f>
        <v>Bosnia and Herzegovina</v>
      </c>
      <c r="F158" s="11" t="str">
        <f ca="1">+WORLDCUP!BD61</f>
        <v>Paraguay</v>
      </c>
      <c r="G158" s="11" t="str">
        <f ca="1">+WORLDCUP!BD67</f>
        <v>Algeria</v>
      </c>
      <c r="H158" s="11" t="str">
        <f ca="1">+WORLDCUP!BD63</f>
        <v>Sweden</v>
      </c>
      <c r="I158" s="11" t="str">
        <f ca="1">+WORLDCUP!BD69</f>
        <v>Ghana</v>
      </c>
      <c r="J158" s="11" t="str">
        <f ca="1">+WORLDCUP!BD62</f>
        <v>Ecuador</v>
      </c>
      <c r="N158" s="11" t="s">
        <v>468</v>
      </c>
      <c r="O158" s="11">
        <v>157</v>
      </c>
      <c r="P158" s="11" t="s">
        <v>91</v>
      </c>
      <c r="Q158" s="11" t="s">
        <v>435</v>
      </c>
      <c r="R158" s="11" t="s">
        <v>90</v>
      </c>
      <c r="S158" s="11" t="s">
        <v>92</v>
      </c>
      <c r="T158" s="11" t="s">
        <v>441</v>
      </c>
      <c r="U158" s="11" t="s">
        <v>94</v>
      </c>
      <c r="V158" s="11" t="s">
        <v>443</v>
      </c>
      <c r="W158" s="11" t="s">
        <v>93</v>
      </c>
    </row>
    <row r="159" spans="1:23">
      <c r="A159" s="11" t="s">
        <v>467</v>
      </c>
      <c r="B159" s="11">
        <f ca="1">+IF(A159=WORLDCUP!$BI$112,1,0)</f>
        <v>0</v>
      </c>
      <c r="C159" s="11" t="str">
        <f ca="1">+WORLDCUP!BD60</f>
        <v>Scotland</v>
      </c>
      <c r="D159" s="11" t="str">
        <f ca="1">+WORLDCUP!BD64</f>
        <v>Iran</v>
      </c>
      <c r="E159" s="11" t="str">
        <f ca="1">+WORLDCUP!BD59</f>
        <v>Bosnia and Herzegovina</v>
      </c>
      <c r="F159" s="11" t="str">
        <f ca="1">+WORLDCUP!BD61</f>
        <v>Paraguay</v>
      </c>
      <c r="G159" s="11" t="str">
        <f ca="1">+WORLDCUP!BD67</f>
        <v>Algeria</v>
      </c>
      <c r="H159" s="11" t="str">
        <f ca="1">+WORLDCUP!BD63</f>
        <v>Sweden</v>
      </c>
      <c r="I159" s="11" t="str">
        <f ca="1">+WORLDCUP!BD62</f>
        <v>Ecuador</v>
      </c>
      <c r="J159" s="11" t="str">
        <f ca="1">+WORLDCUP!BD68</f>
        <v>DR Congo</v>
      </c>
      <c r="N159" s="11" t="s">
        <v>467</v>
      </c>
      <c r="O159" s="11">
        <v>158</v>
      </c>
      <c r="P159" s="11" t="s">
        <v>91</v>
      </c>
      <c r="Q159" s="11" t="s">
        <v>435</v>
      </c>
      <c r="R159" s="11" t="s">
        <v>90</v>
      </c>
      <c r="S159" s="11" t="s">
        <v>92</v>
      </c>
      <c r="T159" s="11" t="s">
        <v>441</v>
      </c>
      <c r="U159" s="11" t="s">
        <v>94</v>
      </c>
      <c r="V159" s="11" t="s">
        <v>93</v>
      </c>
      <c r="W159" s="11" t="s">
        <v>442</v>
      </c>
    </row>
    <row r="160" spans="1:23">
      <c r="A160" s="11" t="s">
        <v>466</v>
      </c>
      <c r="B160" s="11">
        <f ca="1">+IF(A160=WORLDCUP!$BI$112,1,0)</f>
        <v>0</v>
      </c>
      <c r="C160" s="11" t="str">
        <f ca="1">+WORLDCUP!BD60</f>
        <v>Scotland</v>
      </c>
      <c r="D160" s="11" t="str">
        <f ca="1">+WORLDCUP!BD64</f>
        <v>Iran</v>
      </c>
      <c r="E160" s="11" t="str">
        <f ca="1">+WORLDCUP!BD59</f>
        <v>Bosnia and Herzegovina</v>
      </c>
      <c r="F160" s="11" t="str">
        <f ca="1">+WORLDCUP!BD61</f>
        <v>Paraguay</v>
      </c>
      <c r="G160" s="11" t="str">
        <f ca="1">+WORLDCUP!BD62</f>
        <v>Ecuador</v>
      </c>
      <c r="H160" s="11" t="str">
        <f ca="1">+WORLDCUP!BD63</f>
        <v>Sweden</v>
      </c>
      <c r="I160" s="11" t="str">
        <f ca="1">+WORLDCUP!BD69</f>
        <v>Ghana</v>
      </c>
      <c r="J160" s="11" t="str">
        <f ca="1">+WORLDCUP!BD66</f>
        <v>Senegal</v>
      </c>
      <c r="N160" s="11" t="s">
        <v>466</v>
      </c>
      <c r="O160" s="11">
        <v>159</v>
      </c>
      <c r="P160" s="11" t="s">
        <v>91</v>
      </c>
      <c r="Q160" s="11" t="s">
        <v>435</v>
      </c>
      <c r="R160" s="11" t="s">
        <v>90</v>
      </c>
      <c r="S160" s="11" t="s">
        <v>92</v>
      </c>
      <c r="T160" s="11" t="s">
        <v>93</v>
      </c>
      <c r="U160" s="11" t="s">
        <v>94</v>
      </c>
      <c r="V160" s="11" t="s">
        <v>443</v>
      </c>
      <c r="W160" s="11" t="s">
        <v>440</v>
      </c>
    </row>
    <row r="161" spans="1:23">
      <c r="A161" s="11" t="s">
        <v>465</v>
      </c>
      <c r="B161" s="11">
        <f ca="1">+IF(A161=WORLDCUP!$BI$112,1,0)</f>
        <v>0</v>
      </c>
      <c r="C161" s="11" t="str">
        <f ca="1">+WORLDCUP!BD60</f>
        <v>Scotland</v>
      </c>
      <c r="D161" s="11" t="str">
        <f ca="1">+WORLDCUP!BD64</f>
        <v>Iran</v>
      </c>
      <c r="E161" s="11" t="str">
        <f ca="1">+WORLDCUP!BD59</f>
        <v>Bosnia and Herzegovina</v>
      </c>
      <c r="F161" s="11" t="str">
        <f ca="1">+WORLDCUP!BD61</f>
        <v>Paraguay</v>
      </c>
      <c r="G161" s="11" t="str">
        <f ca="1">+WORLDCUP!BD62</f>
        <v>Ecuador</v>
      </c>
      <c r="H161" s="11" t="str">
        <f ca="1">+WORLDCUP!BD63</f>
        <v>Sweden</v>
      </c>
      <c r="I161" s="11" t="str">
        <f ca="1">+WORLDCUP!BD66</f>
        <v>Senegal</v>
      </c>
      <c r="J161" s="11" t="str">
        <f ca="1">+WORLDCUP!BD68</f>
        <v>DR Congo</v>
      </c>
      <c r="N161" s="11" t="s">
        <v>465</v>
      </c>
      <c r="O161" s="11">
        <v>160</v>
      </c>
      <c r="P161" s="11" t="s">
        <v>91</v>
      </c>
      <c r="Q161" s="11" t="s">
        <v>435</v>
      </c>
      <c r="R161" s="11" t="s">
        <v>90</v>
      </c>
      <c r="S161" s="11" t="s">
        <v>92</v>
      </c>
      <c r="T161" s="11" t="s">
        <v>93</v>
      </c>
      <c r="U161" s="11" t="s">
        <v>94</v>
      </c>
      <c r="V161" s="11" t="s">
        <v>440</v>
      </c>
      <c r="W161" s="11" t="s">
        <v>442</v>
      </c>
    </row>
    <row r="162" spans="1:23">
      <c r="A162" s="11" t="s">
        <v>464</v>
      </c>
      <c r="B162" s="11">
        <f ca="1">+IF(A162=WORLDCUP!$BI$112,1,0)</f>
        <v>0</v>
      </c>
      <c r="C162" s="11" t="str">
        <f ca="1">+WORLDCUP!BD60</f>
        <v>Scotland</v>
      </c>
      <c r="D162" s="11" t="str">
        <f ca="1">+WORLDCUP!BD64</f>
        <v>Iran</v>
      </c>
      <c r="E162" s="11" t="str">
        <f ca="1">+WORLDCUP!BD59</f>
        <v>Bosnia and Herzegovina</v>
      </c>
      <c r="F162" s="11" t="str">
        <f ca="1">+WORLDCUP!BD61</f>
        <v>Paraguay</v>
      </c>
      <c r="G162" s="11" t="str">
        <f ca="1">+WORLDCUP!BD67</f>
        <v>Algeria</v>
      </c>
      <c r="H162" s="11" t="str">
        <f ca="1">+WORLDCUP!BD63</f>
        <v>Sweden</v>
      </c>
      <c r="I162" s="11" t="str">
        <f ca="1">+WORLDCUP!BD62</f>
        <v>Ecuador</v>
      </c>
      <c r="J162" s="11" t="str">
        <f ca="1">+WORLDCUP!BD66</f>
        <v>Senegal</v>
      </c>
      <c r="N162" s="11" t="s">
        <v>464</v>
      </c>
      <c r="O162" s="11">
        <v>161</v>
      </c>
      <c r="P162" s="11" t="s">
        <v>91</v>
      </c>
      <c r="Q162" s="11" t="s">
        <v>435</v>
      </c>
      <c r="R162" s="11" t="s">
        <v>90</v>
      </c>
      <c r="S162" s="11" t="s">
        <v>92</v>
      </c>
      <c r="T162" s="11" t="s">
        <v>441</v>
      </c>
      <c r="U162" s="11" t="s">
        <v>94</v>
      </c>
      <c r="V162" s="11" t="s">
        <v>93</v>
      </c>
      <c r="W162" s="11" t="s">
        <v>440</v>
      </c>
    </row>
    <row r="163" spans="1:23">
      <c r="A163" s="11" t="s">
        <v>463</v>
      </c>
      <c r="B163" s="11">
        <f ca="1">+IF(A163=WORLDCUP!$BI$112,1,0)</f>
        <v>0</v>
      </c>
      <c r="C163" s="11" t="str">
        <f ca="1">+WORLDCUP!BD60</f>
        <v>Scotland</v>
      </c>
      <c r="D163" s="11" t="str">
        <f ca="1">+WORLDCUP!BD64</f>
        <v>Iran</v>
      </c>
      <c r="E163" s="11" t="str">
        <f ca="1">+WORLDCUP!BD59</f>
        <v>Bosnia and Herzegovina</v>
      </c>
      <c r="F163" s="11" t="str">
        <f ca="1">+WORLDCUP!BD61</f>
        <v>Paraguay</v>
      </c>
      <c r="G163" s="11" t="str">
        <f ca="1">+WORLDCUP!BD65</f>
        <v>Uruguay</v>
      </c>
      <c r="H163" s="11" t="str">
        <f ca="1">+WORLDCUP!BD63</f>
        <v>Sweden</v>
      </c>
      <c r="I163" s="11" t="str">
        <f ca="1">+WORLDCUP!BD69</f>
        <v>Ghana</v>
      </c>
      <c r="J163" s="11" t="str">
        <f ca="1">+WORLDCUP!BD62</f>
        <v>Ecuador</v>
      </c>
      <c r="N163" s="11" t="s">
        <v>463</v>
      </c>
      <c r="O163" s="11">
        <v>162</v>
      </c>
      <c r="P163" s="11" t="s">
        <v>91</v>
      </c>
      <c r="Q163" s="11" t="s">
        <v>435</v>
      </c>
      <c r="R163" s="11" t="s">
        <v>90</v>
      </c>
      <c r="S163" s="11" t="s">
        <v>92</v>
      </c>
      <c r="T163" s="11" t="s">
        <v>436</v>
      </c>
      <c r="U163" s="11" t="s">
        <v>94</v>
      </c>
      <c r="V163" s="11" t="s">
        <v>443</v>
      </c>
      <c r="W163" s="11" t="s">
        <v>93</v>
      </c>
    </row>
    <row r="164" spans="1:23">
      <c r="A164" s="11" t="s">
        <v>462</v>
      </c>
      <c r="B164" s="11">
        <f ca="1">+IF(A164=WORLDCUP!$BI$112,1,0)</f>
        <v>0</v>
      </c>
      <c r="C164" s="11" t="str">
        <f ca="1">+WORLDCUP!BD60</f>
        <v>Scotland</v>
      </c>
      <c r="D164" s="11" t="str">
        <f ca="1">+WORLDCUP!BD64</f>
        <v>Iran</v>
      </c>
      <c r="E164" s="11" t="str">
        <f ca="1">+WORLDCUP!BD59</f>
        <v>Bosnia and Herzegovina</v>
      </c>
      <c r="F164" s="11" t="str">
        <f ca="1">+WORLDCUP!BD61</f>
        <v>Paraguay</v>
      </c>
      <c r="G164" s="11" t="str">
        <f ca="1">+WORLDCUP!BD65</f>
        <v>Uruguay</v>
      </c>
      <c r="H164" s="11" t="str">
        <f ca="1">+WORLDCUP!BD63</f>
        <v>Sweden</v>
      </c>
      <c r="I164" s="11" t="str">
        <f ca="1">+WORLDCUP!BD62</f>
        <v>Ecuador</v>
      </c>
      <c r="J164" s="11" t="str">
        <f ca="1">+WORLDCUP!BD68</f>
        <v>DR Congo</v>
      </c>
      <c r="N164" s="11" t="s">
        <v>462</v>
      </c>
      <c r="O164" s="11">
        <v>163</v>
      </c>
      <c r="P164" s="11" t="s">
        <v>91</v>
      </c>
      <c r="Q164" s="11" t="s">
        <v>435</v>
      </c>
      <c r="R164" s="11" t="s">
        <v>90</v>
      </c>
      <c r="S164" s="11" t="s">
        <v>92</v>
      </c>
      <c r="T164" s="11" t="s">
        <v>436</v>
      </c>
      <c r="U164" s="11" t="s">
        <v>94</v>
      </c>
      <c r="V164" s="11" t="s">
        <v>93</v>
      </c>
      <c r="W164" s="11" t="s">
        <v>442</v>
      </c>
    </row>
    <row r="165" spans="1:23">
      <c r="A165" s="11" t="s">
        <v>461</v>
      </c>
      <c r="B165" s="11">
        <f ca="1">+IF(A165=WORLDCUP!$BI$112,1,0)</f>
        <v>0</v>
      </c>
      <c r="C165" s="11" t="str">
        <f ca="1">+WORLDCUP!BD65</f>
        <v>Uruguay</v>
      </c>
      <c r="D165" s="11" t="str">
        <f ca="1">+WORLDCUP!BD64</f>
        <v>Iran</v>
      </c>
      <c r="E165" s="11" t="str">
        <f ca="1">+WORLDCUP!BD59</f>
        <v>Bosnia and Herzegovina</v>
      </c>
      <c r="F165" s="11" t="str">
        <f ca="1">+WORLDCUP!BD60</f>
        <v>Scotland</v>
      </c>
      <c r="G165" s="11" t="str">
        <f ca="1">+WORLDCUP!BD67</f>
        <v>Algeria</v>
      </c>
      <c r="H165" s="11" t="str">
        <f ca="1">+WORLDCUP!BD63</f>
        <v>Sweden</v>
      </c>
      <c r="I165" s="11" t="str">
        <f ca="1">+WORLDCUP!BD61</f>
        <v>Paraguay</v>
      </c>
      <c r="J165" s="11" t="str">
        <f ca="1">+WORLDCUP!BD62</f>
        <v>Ecuador</v>
      </c>
      <c r="N165" s="11" t="s">
        <v>461</v>
      </c>
      <c r="O165" s="11">
        <v>164</v>
      </c>
      <c r="P165" s="11" t="s">
        <v>436</v>
      </c>
      <c r="Q165" s="11" t="s">
        <v>435</v>
      </c>
      <c r="R165" s="11" t="s">
        <v>90</v>
      </c>
      <c r="S165" s="11" t="s">
        <v>91</v>
      </c>
      <c r="T165" s="11" t="s">
        <v>441</v>
      </c>
      <c r="U165" s="11" t="s">
        <v>94</v>
      </c>
      <c r="V165" s="11" t="s">
        <v>92</v>
      </c>
      <c r="W165" s="11" t="s">
        <v>93</v>
      </c>
    </row>
    <row r="166" spans="1:23">
      <c r="A166" s="11" t="s">
        <v>460</v>
      </c>
      <c r="B166" s="11">
        <f ca="1">+IF(A166=WORLDCUP!$BI$112,1,0)</f>
        <v>0</v>
      </c>
      <c r="C166" s="11" t="str">
        <f ca="1">+WORLDCUP!BD60</f>
        <v>Scotland</v>
      </c>
      <c r="D166" s="11" t="str">
        <f ca="1">+WORLDCUP!BD64</f>
        <v>Iran</v>
      </c>
      <c r="E166" s="11" t="str">
        <f ca="1">+WORLDCUP!BD59</f>
        <v>Bosnia and Herzegovina</v>
      </c>
      <c r="F166" s="11" t="str">
        <f ca="1">+WORLDCUP!BD61</f>
        <v>Paraguay</v>
      </c>
      <c r="G166" s="11" t="str">
        <f ca="1">+WORLDCUP!BD65</f>
        <v>Uruguay</v>
      </c>
      <c r="H166" s="11" t="str">
        <f ca="1">+WORLDCUP!BD63</f>
        <v>Sweden</v>
      </c>
      <c r="I166" s="11" t="str">
        <f ca="1">+WORLDCUP!BD62</f>
        <v>Ecuador</v>
      </c>
      <c r="J166" s="11" t="str">
        <f ca="1">+WORLDCUP!BD66</f>
        <v>Senegal</v>
      </c>
      <c r="N166" s="11" t="s">
        <v>460</v>
      </c>
      <c r="O166" s="11">
        <v>165</v>
      </c>
      <c r="P166" s="11" t="s">
        <v>91</v>
      </c>
      <c r="Q166" s="11" t="s">
        <v>435</v>
      </c>
      <c r="R166" s="11" t="s">
        <v>90</v>
      </c>
      <c r="S166" s="11" t="s">
        <v>92</v>
      </c>
      <c r="T166" s="11" t="s">
        <v>436</v>
      </c>
      <c r="U166" s="11" t="s">
        <v>94</v>
      </c>
      <c r="V166" s="11" t="s">
        <v>93</v>
      </c>
      <c r="W166" s="11" t="s">
        <v>440</v>
      </c>
    </row>
    <row r="167" spans="1:23">
      <c r="A167" s="11" t="s">
        <v>596</v>
      </c>
      <c r="B167" s="11">
        <f ca="1">+IF(A167=WORLDCUP!$BI$112,1,0)</f>
        <v>0</v>
      </c>
      <c r="C167" s="11" t="str">
        <f ca="1">+WORLDCUP!BD65</f>
        <v>Uruguay</v>
      </c>
      <c r="D167" s="11" t="str">
        <f ca="1">+WORLDCUP!BD67</f>
        <v>Algeria</v>
      </c>
      <c r="E167" s="11" t="str">
        <f ca="1">+WORLDCUP!BD66</f>
        <v>Senegal</v>
      </c>
      <c r="F167" s="11" t="str">
        <f ca="1">+WORLDCUP!BD63</f>
        <v>Sweden</v>
      </c>
      <c r="G167" s="11" t="str">
        <f ca="1">+WORLDCUP!BD58</f>
        <v>South Korea</v>
      </c>
      <c r="H167" s="11" t="str">
        <f ca="1">+WORLDCUP!BD64</f>
        <v>Iran</v>
      </c>
      <c r="I167" s="11" t="str">
        <f ca="1">+WORLDCUP!BD69</f>
        <v>Ghana</v>
      </c>
      <c r="J167" s="11" t="str">
        <f ca="1">+WORLDCUP!BD68</f>
        <v>DR Congo</v>
      </c>
      <c r="N167" s="11" t="s">
        <v>596</v>
      </c>
      <c r="O167" s="11">
        <v>166</v>
      </c>
      <c r="P167" s="11" t="s">
        <v>436</v>
      </c>
      <c r="Q167" s="11" t="s">
        <v>441</v>
      </c>
      <c r="R167" s="11" t="s">
        <v>440</v>
      </c>
      <c r="S167" s="11" t="s">
        <v>94</v>
      </c>
      <c r="T167" s="11" t="s">
        <v>89</v>
      </c>
      <c r="U167" s="11" t="s">
        <v>435</v>
      </c>
      <c r="V167" s="11" t="s">
        <v>443</v>
      </c>
      <c r="W167" s="11" t="s">
        <v>442</v>
      </c>
    </row>
    <row r="168" spans="1:23">
      <c r="A168" s="11" t="s">
        <v>1060</v>
      </c>
      <c r="B168" s="11">
        <f ca="1">+IF(A168=WORLDCUP!$BI$112,1,0)</f>
        <v>0</v>
      </c>
      <c r="C168" s="11" t="str">
        <f ca="1">+WORLDCUP!BD62</f>
        <v>Ecuador</v>
      </c>
      <c r="D168" s="11" t="str">
        <f ca="1">+WORLDCUP!BD67</f>
        <v>Algeria</v>
      </c>
      <c r="E168" s="11" t="str">
        <f ca="1">+WORLDCUP!BD66</f>
        <v>Senegal</v>
      </c>
      <c r="F168" s="11" t="str">
        <f ca="1">+WORLDCUP!BD58</f>
        <v>South Korea</v>
      </c>
      <c r="G168" s="11" t="str">
        <f ca="1">+WORLDCUP!BD65</f>
        <v>Uruguay</v>
      </c>
      <c r="H168" s="11" t="str">
        <f ca="1">+WORLDCUP!BD64</f>
        <v>Iran</v>
      </c>
      <c r="I168" s="11" t="str">
        <f ca="1">+WORLDCUP!BD69</f>
        <v>Ghana</v>
      </c>
      <c r="J168" s="11" t="str">
        <f ca="1">+WORLDCUP!BD68</f>
        <v>DR Congo</v>
      </c>
      <c r="N168" s="11" t="s">
        <v>1060</v>
      </c>
      <c r="O168" s="11">
        <v>167</v>
      </c>
      <c r="P168" s="11" t="s">
        <v>93</v>
      </c>
      <c r="Q168" s="11" t="s">
        <v>441</v>
      </c>
      <c r="R168" s="11" t="s">
        <v>440</v>
      </c>
      <c r="S168" s="11" t="s">
        <v>89</v>
      </c>
      <c r="T168" s="11" t="s">
        <v>436</v>
      </c>
      <c r="U168" s="11" t="s">
        <v>435</v>
      </c>
      <c r="V168" s="11" t="s">
        <v>443</v>
      </c>
      <c r="W168" s="11" t="s">
        <v>442</v>
      </c>
    </row>
    <row r="169" spans="1:23">
      <c r="A169" s="11" t="s">
        <v>1059</v>
      </c>
      <c r="B169" s="11">
        <f ca="1">+IF(A169=WORLDCUP!$BI$112,1,0)</f>
        <v>0</v>
      </c>
      <c r="C169" s="11" t="str">
        <f ca="1">+WORLDCUP!BD62</f>
        <v>Ecuador</v>
      </c>
      <c r="D169" s="11" t="str">
        <f ca="1">+WORLDCUP!BD67</f>
        <v>Algeria</v>
      </c>
      <c r="E169" s="11" t="str">
        <f ca="1">+WORLDCUP!BD66</f>
        <v>Senegal</v>
      </c>
      <c r="F169" s="11" t="str">
        <f ca="1">+WORLDCUP!BD63</f>
        <v>Sweden</v>
      </c>
      <c r="G169" s="11" t="str">
        <f ca="1">+WORLDCUP!BD58</f>
        <v>South Korea</v>
      </c>
      <c r="H169" s="11" t="str">
        <f ca="1">+WORLDCUP!BD65</f>
        <v>Uruguay</v>
      </c>
      <c r="I169" s="11" t="str">
        <f ca="1">+WORLDCUP!BD69</f>
        <v>Ghana</v>
      </c>
      <c r="J169" s="11" t="str">
        <f ca="1">+WORLDCUP!BD68</f>
        <v>DR Congo</v>
      </c>
      <c r="N169" s="11" t="s">
        <v>1059</v>
      </c>
      <c r="O169" s="11">
        <v>168</v>
      </c>
      <c r="P169" s="11" t="s">
        <v>93</v>
      </c>
      <c r="Q169" s="11" t="s">
        <v>441</v>
      </c>
      <c r="R169" s="11" t="s">
        <v>440</v>
      </c>
      <c r="S169" s="11" t="s">
        <v>94</v>
      </c>
      <c r="T169" s="11" t="s">
        <v>89</v>
      </c>
      <c r="U169" s="11" t="s">
        <v>436</v>
      </c>
      <c r="V169" s="11" t="s">
        <v>443</v>
      </c>
      <c r="W169" s="11" t="s">
        <v>442</v>
      </c>
    </row>
    <row r="170" spans="1:23">
      <c r="A170" s="11" t="s">
        <v>1058</v>
      </c>
      <c r="B170" s="11">
        <f ca="1">+IF(A170=WORLDCUP!$BI$112,1,0)</f>
        <v>0</v>
      </c>
      <c r="C170" s="11" t="str">
        <f ca="1">+WORLDCUP!BD62</f>
        <v>Ecuador</v>
      </c>
      <c r="D170" s="11" t="str">
        <f ca="1">+WORLDCUP!BD67</f>
        <v>Algeria</v>
      </c>
      <c r="E170" s="11" t="str">
        <f ca="1">+WORLDCUP!BD66</f>
        <v>Senegal</v>
      </c>
      <c r="F170" s="11" t="str">
        <f ca="1">+WORLDCUP!BD63</f>
        <v>Sweden</v>
      </c>
      <c r="G170" s="11" t="str">
        <f ca="1">+WORLDCUP!BD58</f>
        <v>South Korea</v>
      </c>
      <c r="H170" s="11" t="str">
        <f ca="1">+WORLDCUP!BD64</f>
        <v>Iran</v>
      </c>
      <c r="I170" s="11" t="str">
        <f ca="1">+WORLDCUP!BD69</f>
        <v>Ghana</v>
      </c>
      <c r="J170" s="11" t="str">
        <f ca="1">+WORLDCUP!BD68</f>
        <v>DR Congo</v>
      </c>
      <c r="N170" s="11" t="s">
        <v>1058</v>
      </c>
      <c r="O170" s="11">
        <v>169</v>
      </c>
      <c r="P170" s="11" t="s">
        <v>93</v>
      </c>
      <c r="Q170" s="11" t="s">
        <v>441</v>
      </c>
      <c r="R170" s="11" t="s">
        <v>440</v>
      </c>
      <c r="S170" s="11" t="s">
        <v>94</v>
      </c>
      <c r="T170" s="11" t="s">
        <v>89</v>
      </c>
      <c r="U170" s="11" t="s">
        <v>435</v>
      </c>
      <c r="V170" s="11" t="s">
        <v>443</v>
      </c>
      <c r="W170" s="11" t="s">
        <v>442</v>
      </c>
    </row>
    <row r="171" spans="1:23">
      <c r="A171" s="11" t="s">
        <v>1057</v>
      </c>
      <c r="B171" s="11">
        <f ca="1">+IF(A171=WORLDCUP!$BI$112,1,0)</f>
        <v>0</v>
      </c>
      <c r="C171" s="11" t="str">
        <f ca="1">+WORLDCUP!BD62</f>
        <v>Ecuador</v>
      </c>
      <c r="D171" s="11" t="str">
        <f ca="1">+WORLDCUP!BD64</f>
        <v>Iran</v>
      </c>
      <c r="E171" s="11" t="str">
        <f ca="1">+WORLDCUP!BD67</f>
        <v>Algeria</v>
      </c>
      <c r="F171" s="11" t="str">
        <f ca="1">+WORLDCUP!BD63</f>
        <v>Sweden</v>
      </c>
      <c r="G171" s="11" t="str">
        <f ca="1">+WORLDCUP!BD58</f>
        <v>South Korea</v>
      </c>
      <c r="H171" s="11" t="str">
        <f ca="1">+WORLDCUP!BD65</f>
        <v>Uruguay</v>
      </c>
      <c r="I171" s="11" t="str">
        <f ca="1">+WORLDCUP!BD69</f>
        <v>Ghana</v>
      </c>
      <c r="J171" s="11" t="str">
        <f ca="1">+WORLDCUP!BD68</f>
        <v>DR Congo</v>
      </c>
      <c r="N171" s="11" t="s">
        <v>1057</v>
      </c>
      <c r="O171" s="11">
        <v>170</v>
      </c>
      <c r="P171" s="11" t="s">
        <v>93</v>
      </c>
      <c r="Q171" s="11" t="s">
        <v>435</v>
      </c>
      <c r="R171" s="11" t="s">
        <v>441</v>
      </c>
      <c r="S171" s="11" t="s">
        <v>94</v>
      </c>
      <c r="T171" s="11" t="s">
        <v>89</v>
      </c>
      <c r="U171" s="11" t="s">
        <v>436</v>
      </c>
      <c r="V171" s="11" t="s">
        <v>443</v>
      </c>
      <c r="W171" s="11" t="s">
        <v>442</v>
      </c>
    </row>
    <row r="172" spans="1:23">
      <c r="A172" s="11" t="s">
        <v>593</v>
      </c>
      <c r="B172" s="11">
        <f ca="1">+IF(A172=WORLDCUP!$BI$112,1,0)</f>
        <v>0</v>
      </c>
      <c r="C172" s="11" t="str">
        <f ca="1">+WORLDCUP!BD62</f>
        <v>Ecuador</v>
      </c>
      <c r="D172" s="11" t="str">
        <f ca="1">+WORLDCUP!BD64</f>
        <v>Iran</v>
      </c>
      <c r="E172" s="11" t="str">
        <f ca="1">+WORLDCUP!BD66</f>
        <v>Senegal</v>
      </c>
      <c r="F172" s="11" t="str">
        <f ca="1">+WORLDCUP!BD63</f>
        <v>Sweden</v>
      </c>
      <c r="G172" s="11" t="str">
        <f ca="1">+WORLDCUP!BD58</f>
        <v>South Korea</v>
      </c>
      <c r="H172" s="11" t="str">
        <f ca="1">+WORLDCUP!BD65</f>
        <v>Uruguay</v>
      </c>
      <c r="I172" s="11" t="str">
        <f ca="1">+WORLDCUP!BD69</f>
        <v>Ghana</v>
      </c>
      <c r="J172" s="11" t="str">
        <f ca="1">+WORLDCUP!BD68</f>
        <v>DR Congo</v>
      </c>
      <c r="N172" s="11" t="s">
        <v>593</v>
      </c>
      <c r="O172" s="11">
        <v>171</v>
      </c>
      <c r="P172" s="11" t="s">
        <v>93</v>
      </c>
      <c r="Q172" s="11" t="s">
        <v>435</v>
      </c>
      <c r="R172" s="11" t="s">
        <v>440</v>
      </c>
      <c r="S172" s="11" t="s">
        <v>94</v>
      </c>
      <c r="T172" s="11" t="s">
        <v>89</v>
      </c>
      <c r="U172" s="11" t="s">
        <v>436</v>
      </c>
      <c r="V172" s="11" t="s">
        <v>443</v>
      </c>
      <c r="W172" s="11" t="s">
        <v>442</v>
      </c>
    </row>
    <row r="173" spans="1:23">
      <c r="A173" s="11" t="s">
        <v>595</v>
      </c>
      <c r="B173" s="11">
        <f ca="1">+IF(A173=WORLDCUP!$BI$112,1,0)</f>
        <v>0</v>
      </c>
      <c r="C173" s="11" t="str">
        <f ca="1">+WORLDCUP!BD62</f>
        <v>Ecuador</v>
      </c>
      <c r="D173" s="11" t="str">
        <f ca="1">+WORLDCUP!BD64</f>
        <v>Iran</v>
      </c>
      <c r="E173" s="11" t="str">
        <f ca="1">+WORLDCUP!BD67</f>
        <v>Algeria</v>
      </c>
      <c r="F173" s="11" t="str">
        <f ca="1">+WORLDCUP!BD63</f>
        <v>Sweden</v>
      </c>
      <c r="G173" s="11" t="str">
        <f ca="1">+WORLDCUP!BD58</f>
        <v>South Korea</v>
      </c>
      <c r="H173" s="11" t="str">
        <f ca="1">+WORLDCUP!BD65</f>
        <v>Uruguay</v>
      </c>
      <c r="I173" s="11" t="str">
        <f ca="1">+WORLDCUP!BD69</f>
        <v>Ghana</v>
      </c>
      <c r="J173" s="11" t="str">
        <f ca="1">+WORLDCUP!BD66</f>
        <v>Senegal</v>
      </c>
      <c r="N173" s="11" t="s">
        <v>595</v>
      </c>
      <c r="O173" s="11">
        <v>172</v>
      </c>
      <c r="P173" s="11" t="s">
        <v>93</v>
      </c>
      <c r="Q173" s="11" t="s">
        <v>435</v>
      </c>
      <c r="R173" s="11" t="s">
        <v>441</v>
      </c>
      <c r="S173" s="11" t="s">
        <v>94</v>
      </c>
      <c r="T173" s="11" t="s">
        <v>89</v>
      </c>
      <c r="U173" s="11" t="s">
        <v>436</v>
      </c>
      <c r="V173" s="11" t="s">
        <v>443</v>
      </c>
      <c r="W173" s="11" t="s">
        <v>440</v>
      </c>
    </row>
    <row r="174" spans="1:23">
      <c r="A174" s="11" t="s">
        <v>594</v>
      </c>
      <c r="B174" s="11">
        <f ca="1">+IF(A174=WORLDCUP!$BI$112,1,0)</f>
        <v>0</v>
      </c>
      <c r="C174" s="11" t="str">
        <f ca="1">+WORLDCUP!BD62</f>
        <v>Ecuador</v>
      </c>
      <c r="D174" s="11" t="str">
        <f ca="1">+WORLDCUP!BD64</f>
        <v>Iran</v>
      </c>
      <c r="E174" s="11" t="str">
        <f ca="1">+WORLDCUP!BD67</f>
        <v>Algeria</v>
      </c>
      <c r="F174" s="11" t="str">
        <f ca="1">+WORLDCUP!BD63</f>
        <v>Sweden</v>
      </c>
      <c r="G174" s="11" t="str">
        <f ca="1">+WORLDCUP!BD58</f>
        <v>South Korea</v>
      </c>
      <c r="H174" s="11" t="str">
        <f ca="1">+WORLDCUP!BD65</f>
        <v>Uruguay</v>
      </c>
      <c r="I174" s="11" t="str">
        <f ca="1">+WORLDCUP!BD66</f>
        <v>Senegal</v>
      </c>
      <c r="J174" s="11" t="str">
        <f ca="1">+WORLDCUP!BD68</f>
        <v>DR Congo</v>
      </c>
      <c r="N174" s="11" t="s">
        <v>594</v>
      </c>
      <c r="O174" s="11">
        <v>173</v>
      </c>
      <c r="P174" s="11" t="s">
        <v>93</v>
      </c>
      <c r="Q174" s="11" t="s">
        <v>435</v>
      </c>
      <c r="R174" s="11" t="s">
        <v>441</v>
      </c>
      <c r="S174" s="11" t="s">
        <v>94</v>
      </c>
      <c r="T174" s="11" t="s">
        <v>89</v>
      </c>
      <c r="U174" s="11" t="s">
        <v>436</v>
      </c>
      <c r="V174" s="11" t="s">
        <v>440</v>
      </c>
      <c r="W174" s="11" t="s">
        <v>442</v>
      </c>
    </row>
    <row r="175" spans="1:23">
      <c r="A175" s="11" t="s">
        <v>1056</v>
      </c>
      <c r="B175" s="11">
        <f ca="1">+IF(A175=WORLDCUP!$BI$112,1,0)</f>
        <v>0</v>
      </c>
      <c r="C175" s="11" t="str">
        <f ca="1">+WORLDCUP!BD65</f>
        <v>Uruguay</v>
      </c>
      <c r="D175" s="11" t="str">
        <f ca="1">+WORLDCUP!BD67</f>
        <v>Algeria</v>
      </c>
      <c r="E175" s="11" t="str">
        <f ca="1">+WORLDCUP!BD66</f>
        <v>Senegal</v>
      </c>
      <c r="F175" s="11" t="str">
        <f ca="1">+WORLDCUP!BD61</f>
        <v>Paraguay</v>
      </c>
      <c r="G175" s="11" t="str">
        <f ca="1">+WORLDCUP!BD58</f>
        <v>South Korea</v>
      </c>
      <c r="H175" s="11" t="str">
        <f ca="1">+WORLDCUP!BD64</f>
        <v>Iran</v>
      </c>
      <c r="I175" s="11" t="str">
        <f ca="1">+WORLDCUP!BD69</f>
        <v>Ghana</v>
      </c>
      <c r="J175" s="11" t="str">
        <f ca="1">+WORLDCUP!BD68</f>
        <v>DR Congo</v>
      </c>
      <c r="N175" s="11" t="s">
        <v>1056</v>
      </c>
      <c r="O175" s="11">
        <v>174</v>
      </c>
      <c r="P175" s="11" t="s">
        <v>436</v>
      </c>
      <c r="Q175" s="11" t="s">
        <v>441</v>
      </c>
      <c r="R175" s="11" t="s">
        <v>440</v>
      </c>
      <c r="S175" s="11" t="s">
        <v>92</v>
      </c>
      <c r="T175" s="11" t="s">
        <v>89</v>
      </c>
      <c r="U175" s="11" t="s">
        <v>435</v>
      </c>
      <c r="V175" s="11" t="s">
        <v>443</v>
      </c>
      <c r="W175" s="11" t="s">
        <v>442</v>
      </c>
    </row>
    <row r="176" spans="1:23">
      <c r="A176" s="11" t="s">
        <v>1055</v>
      </c>
      <c r="B176" s="11">
        <f ca="1">+IF(A176=WORLDCUP!$BI$112,1,0)</f>
        <v>0</v>
      </c>
      <c r="C176" s="11" t="str">
        <f ca="1">+WORLDCUP!BD65</f>
        <v>Uruguay</v>
      </c>
      <c r="D176" s="11" t="str">
        <f ca="1">+WORLDCUP!BD67</f>
        <v>Algeria</v>
      </c>
      <c r="E176" s="11" t="str">
        <f ca="1">+WORLDCUP!BD66</f>
        <v>Senegal</v>
      </c>
      <c r="F176" s="11" t="str">
        <f ca="1">+WORLDCUP!BD61</f>
        <v>Paraguay</v>
      </c>
      <c r="G176" s="11" t="str">
        <f ca="1">+WORLDCUP!BD58</f>
        <v>South Korea</v>
      </c>
      <c r="H176" s="11" t="str">
        <f ca="1">+WORLDCUP!BD63</f>
        <v>Sweden</v>
      </c>
      <c r="I176" s="11" t="str">
        <f ca="1">+WORLDCUP!BD69</f>
        <v>Ghana</v>
      </c>
      <c r="J176" s="11" t="str">
        <f ca="1">+WORLDCUP!BD68</f>
        <v>DR Congo</v>
      </c>
      <c r="N176" s="11" t="s">
        <v>1055</v>
      </c>
      <c r="O176" s="11">
        <v>175</v>
      </c>
      <c r="P176" s="11" t="s">
        <v>436</v>
      </c>
      <c r="Q176" s="11" t="s">
        <v>441</v>
      </c>
      <c r="R176" s="11" t="s">
        <v>440</v>
      </c>
      <c r="S176" s="11" t="s">
        <v>92</v>
      </c>
      <c r="T176" s="11" t="s">
        <v>89</v>
      </c>
      <c r="U176" s="11" t="s">
        <v>94</v>
      </c>
      <c r="V176" s="11" t="s">
        <v>443</v>
      </c>
      <c r="W176" s="11" t="s">
        <v>442</v>
      </c>
    </row>
    <row r="177" spans="1:23">
      <c r="A177" s="11" t="s">
        <v>1054</v>
      </c>
      <c r="B177" s="11">
        <f ca="1">+IF(A177=WORLDCUP!$BI$112,1,0)</f>
        <v>0</v>
      </c>
      <c r="C177" s="11" t="str">
        <f ca="1">+WORLDCUP!BD66</f>
        <v>Senegal</v>
      </c>
      <c r="D177" s="11" t="str">
        <f ca="1">+WORLDCUP!BD64</f>
        <v>Iran</v>
      </c>
      <c r="E177" s="11" t="str">
        <f ca="1">+WORLDCUP!BD67</f>
        <v>Algeria</v>
      </c>
      <c r="F177" s="11" t="str">
        <f ca="1">+WORLDCUP!BD61</f>
        <v>Paraguay</v>
      </c>
      <c r="G177" s="11" t="str">
        <f ca="1">+WORLDCUP!BD58</f>
        <v>South Korea</v>
      </c>
      <c r="H177" s="11" t="str">
        <f ca="1">+WORLDCUP!BD63</f>
        <v>Sweden</v>
      </c>
      <c r="I177" s="11" t="str">
        <f ca="1">+WORLDCUP!BD69</f>
        <v>Ghana</v>
      </c>
      <c r="J177" s="11" t="str">
        <f ca="1">+WORLDCUP!BD68</f>
        <v>DR Congo</v>
      </c>
      <c r="N177" s="11" t="s">
        <v>1054</v>
      </c>
      <c r="O177" s="11">
        <v>176</v>
      </c>
      <c r="P177" s="11" t="s">
        <v>440</v>
      </c>
      <c r="Q177" s="11" t="s">
        <v>435</v>
      </c>
      <c r="R177" s="11" t="s">
        <v>441</v>
      </c>
      <c r="S177" s="11" t="s">
        <v>92</v>
      </c>
      <c r="T177" s="11" t="s">
        <v>89</v>
      </c>
      <c r="U177" s="11" t="s">
        <v>94</v>
      </c>
      <c r="V177" s="11" t="s">
        <v>443</v>
      </c>
      <c r="W177" s="11" t="s">
        <v>442</v>
      </c>
    </row>
    <row r="178" spans="1:23">
      <c r="A178" s="11" t="s">
        <v>1053</v>
      </c>
      <c r="B178" s="11">
        <f ca="1">+IF(A178=WORLDCUP!$BI$112,1,0)</f>
        <v>0</v>
      </c>
      <c r="C178" s="11" t="str">
        <f ca="1">+WORLDCUP!BD65</f>
        <v>Uruguay</v>
      </c>
      <c r="D178" s="11" t="str">
        <f ca="1">+WORLDCUP!BD64</f>
        <v>Iran</v>
      </c>
      <c r="E178" s="11" t="str">
        <f ca="1">+WORLDCUP!BD67</f>
        <v>Algeria</v>
      </c>
      <c r="F178" s="11" t="str">
        <f ca="1">+WORLDCUP!BD61</f>
        <v>Paraguay</v>
      </c>
      <c r="G178" s="11" t="str">
        <f ca="1">+WORLDCUP!BD58</f>
        <v>South Korea</v>
      </c>
      <c r="H178" s="11" t="str">
        <f ca="1">+WORLDCUP!BD63</f>
        <v>Sweden</v>
      </c>
      <c r="I178" s="11" t="str">
        <f ca="1">+WORLDCUP!BD69</f>
        <v>Ghana</v>
      </c>
      <c r="J178" s="11" t="str">
        <f ca="1">+WORLDCUP!BD68</f>
        <v>DR Congo</v>
      </c>
      <c r="N178" s="11" t="s">
        <v>1053</v>
      </c>
      <c r="O178" s="11">
        <v>177</v>
      </c>
      <c r="P178" s="11" t="s">
        <v>436</v>
      </c>
      <c r="Q178" s="11" t="s">
        <v>435</v>
      </c>
      <c r="R178" s="11" t="s">
        <v>441</v>
      </c>
      <c r="S178" s="11" t="s">
        <v>92</v>
      </c>
      <c r="T178" s="11" t="s">
        <v>89</v>
      </c>
      <c r="U178" s="11" t="s">
        <v>94</v>
      </c>
      <c r="V178" s="11" t="s">
        <v>443</v>
      </c>
      <c r="W178" s="11" t="s">
        <v>442</v>
      </c>
    </row>
    <row r="179" spans="1:23">
      <c r="A179" s="11" t="s">
        <v>1052</v>
      </c>
      <c r="B179" s="11">
        <f ca="1">+IF(A179=WORLDCUP!$BI$112,1,0)</f>
        <v>0</v>
      </c>
      <c r="C179" s="11" t="str">
        <f ca="1">+WORLDCUP!BD65</f>
        <v>Uruguay</v>
      </c>
      <c r="D179" s="11" t="str">
        <f ca="1">+WORLDCUP!BD64</f>
        <v>Iran</v>
      </c>
      <c r="E179" s="11" t="str">
        <f ca="1">+WORLDCUP!BD66</f>
        <v>Senegal</v>
      </c>
      <c r="F179" s="11" t="str">
        <f ca="1">+WORLDCUP!BD61</f>
        <v>Paraguay</v>
      </c>
      <c r="G179" s="11" t="str">
        <f ca="1">+WORLDCUP!BD58</f>
        <v>South Korea</v>
      </c>
      <c r="H179" s="11" t="str">
        <f ca="1">+WORLDCUP!BD63</f>
        <v>Sweden</v>
      </c>
      <c r="I179" s="11" t="str">
        <f ca="1">+WORLDCUP!BD69</f>
        <v>Ghana</v>
      </c>
      <c r="J179" s="11" t="str">
        <f ca="1">+WORLDCUP!BD68</f>
        <v>DR Congo</v>
      </c>
      <c r="N179" s="11" t="s">
        <v>1052</v>
      </c>
      <c r="O179" s="11">
        <v>178</v>
      </c>
      <c r="P179" s="11" t="s">
        <v>436</v>
      </c>
      <c r="Q179" s="11" t="s">
        <v>435</v>
      </c>
      <c r="R179" s="11" t="s">
        <v>440</v>
      </c>
      <c r="S179" s="11" t="s">
        <v>92</v>
      </c>
      <c r="T179" s="11" t="s">
        <v>89</v>
      </c>
      <c r="U179" s="11" t="s">
        <v>94</v>
      </c>
      <c r="V179" s="11" t="s">
        <v>443</v>
      </c>
      <c r="W179" s="11" t="s">
        <v>442</v>
      </c>
    </row>
    <row r="180" spans="1:23">
      <c r="A180" s="11" t="s">
        <v>1051</v>
      </c>
      <c r="B180" s="11">
        <f ca="1">+IF(A180=WORLDCUP!$BI$112,1,0)</f>
        <v>0</v>
      </c>
      <c r="C180" s="11" t="str">
        <f ca="1">+WORLDCUP!BD65</f>
        <v>Uruguay</v>
      </c>
      <c r="D180" s="11" t="str">
        <f ca="1">+WORLDCUP!BD64</f>
        <v>Iran</v>
      </c>
      <c r="E180" s="11" t="str">
        <f ca="1">+WORLDCUP!BD67</f>
        <v>Algeria</v>
      </c>
      <c r="F180" s="11" t="str">
        <f ca="1">+WORLDCUP!BD61</f>
        <v>Paraguay</v>
      </c>
      <c r="G180" s="11" t="str">
        <f ca="1">+WORLDCUP!BD58</f>
        <v>South Korea</v>
      </c>
      <c r="H180" s="11" t="str">
        <f ca="1">+WORLDCUP!BD63</f>
        <v>Sweden</v>
      </c>
      <c r="I180" s="11" t="str">
        <f ca="1">+WORLDCUP!BD69</f>
        <v>Ghana</v>
      </c>
      <c r="J180" s="11" t="str">
        <f ca="1">+WORLDCUP!BD66</f>
        <v>Senegal</v>
      </c>
      <c r="N180" s="11" t="s">
        <v>1051</v>
      </c>
      <c r="O180" s="11">
        <v>179</v>
      </c>
      <c r="P180" s="11" t="s">
        <v>436</v>
      </c>
      <c r="Q180" s="11" t="s">
        <v>435</v>
      </c>
      <c r="R180" s="11" t="s">
        <v>441</v>
      </c>
      <c r="S180" s="11" t="s">
        <v>92</v>
      </c>
      <c r="T180" s="11" t="s">
        <v>89</v>
      </c>
      <c r="U180" s="11" t="s">
        <v>94</v>
      </c>
      <c r="V180" s="11" t="s">
        <v>443</v>
      </c>
      <c r="W180" s="11" t="s">
        <v>440</v>
      </c>
    </row>
    <row r="181" spans="1:23">
      <c r="A181" s="11" t="s">
        <v>1050</v>
      </c>
      <c r="B181" s="11">
        <f ca="1">+IF(A181=WORLDCUP!$BI$112,1,0)</f>
        <v>0</v>
      </c>
      <c r="C181" s="11" t="str">
        <f ca="1">+WORLDCUP!BD65</f>
        <v>Uruguay</v>
      </c>
      <c r="D181" s="11" t="str">
        <f ca="1">+WORLDCUP!BD64</f>
        <v>Iran</v>
      </c>
      <c r="E181" s="11" t="str">
        <f ca="1">+WORLDCUP!BD67</f>
        <v>Algeria</v>
      </c>
      <c r="F181" s="11" t="str">
        <f ca="1">+WORLDCUP!BD61</f>
        <v>Paraguay</v>
      </c>
      <c r="G181" s="11" t="str">
        <f ca="1">+WORLDCUP!BD58</f>
        <v>South Korea</v>
      </c>
      <c r="H181" s="11" t="str">
        <f ca="1">+WORLDCUP!BD63</f>
        <v>Sweden</v>
      </c>
      <c r="I181" s="11" t="str">
        <f ca="1">+WORLDCUP!BD66</f>
        <v>Senegal</v>
      </c>
      <c r="J181" s="11" t="str">
        <f ca="1">+WORLDCUP!BD68</f>
        <v>DR Congo</v>
      </c>
      <c r="N181" s="11" t="s">
        <v>1050</v>
      </c>
      <c r="O181" s="11">
        <v>180</v>
      </c>
      <c r="P181" s="11" t="s">
        <v>436</v>
      </c>
      <c r="Q181" s="11" t="s">
        <v>435</v>
      </c>
      <c r="R181" s="11" t="s">
        <v>441</v>
      </c>
      <c r="S181" s="11" t="s">
        <v>92</v>
      </c>
      <c r="T181" s="11" t="s">
        <v>89</v>
      </c>
      <c r="U181" s="11" t="s">
        <v>94</v>
      </c>
      <c r="V181" s="11" t="s">
        <v>440</v>
      </c>
      <c r="W181" s="11" t="s">
        <v>442</v>
      </c>
    </row>
    <row r="182" spans="1:23">
      <c r="A182" s="11" t="s">
        <v>1049</v>
      </c>
      <c r="B182" s="11">
        <f ca="1">+IF(A182=WORLDCUP!$BI$112,1,0)</f>
        <v>0</v>
      </c>
      <c r="C182" s="11" t="str">
        <f ca="1">+WORLDCUP!BD62</f>
        <v>Ecuador</v>
      </c>
      <c r="D182" s="11" t="str">
        <f ca="1">+WORLDCUP!BD67</f>
        <v>Algeria</v>
      </c>
      <c r="E182" s="11" t="str">
        <f ca="1">+WORLDCUP!BD66</f>
        <v>Senegal</v>
      </c>
      <c r="F182" s="11" t="str">
        <f ca="1">+WORLDCUP!BD61</f>
        <v>Paraguay</v>
      </c>
      <c r="G182" s="11" t="str">
        <f ca="1">+WORLDCUP!BD58</f>
        <v>South Korea</v>
      </c>
      <c r="H182" s="11" t="str">
        <f ca="1">+WORLDCUP!BD65</f>
        <v>Uruguay</v>
      </c>
      <c r="I182" s="11" t="str">
        <f ca="1">+WORLDCUP!BD69</f>
        <v>Ghana</v>
      </c>
      <c r="J182" s="11" t="str">
        <f ca="1">+WORLDCUP!BD68</f>
        <v>DR Congo</v>
      </c>
      <c r="N182" s="11" t="s">
        <v>1049</v>
      </c>
      <c r="O182" s="11">
        <v>181</v>
      </c>
      <c r="P182" s="11" t="s">
        <v>93</v>
      </c>
      <c r="Q182" s="11" t="s">
        <v>441</v>
      </c>
      <c r="R182" s="11" t="s">
        <v>440</v>
      </c>
      <c r="S182" s="11" t="s">
        <v>92</v>
      </c>
      <c r="T182" s="11" t="s">
        <v>89</v>
      </c>
      <c r="U182" s="11" t="s">
        <v>436</v>
      </c>
      <c r="V182" s="11" t="s">
        <v>443</v>
      </c>
      <c r="W182" s="11" t="s">
        <v>442</v>
      </c>
    </row>
    <row r="183" spans="1:23">
      <c r="A183" s="11" t="s">
        <v>1048</v>
      </c>
      <c r="B183" s="11">
        <f ca="1">+IF(A183=WORLDCUP!$BI$112,1,0)</f>
        <v>0</v>
      </c>
      <c r="C183" s="11" t="str">
        <f ca="1">+WORLDCUP!BD62</f>
        <v>Ecuador</v>
      </c>
      <c r="D183" s="11" t="str">
        <f ca="1">+WORLDCUP!BD67</f>
        <v>Algeria</v>
      </c>
      <c r="E183" s="11" t="str">
        <f ca="1">+WORLDCUP!BD66</f>
        <v>Senegal</v>
      </c>
      <c r="F183" s="11" t="str">
        <f ca="1">+WORLDCUP!BD61</f>
        <v>Paraguay</v>
      </c>
      <c r="G183" s="11" t="str">
        <f ca="1">+WORLDCUP!BD58</f>
        <v>South Korea</v>
      </c>
      <c r="H183" s="11" t="str">
        <f ca="1">+WORLDCUP!BD64</f>
        <v>Iran</v>
      </c>
      <c r="I183" s="11" t="str">
        <f ca="1">+WORLDCUP!BD69</f>
        <v>Ghana</v>
      </c>
      <c r="J183" s="11" t="str">
        <f ca="1">+WORLDCUP!BD68</f>
        <v>DR Congo</v>
      </c>
      <c r="N183" s="11" t="s">
        <v>1048</v>
      </c>
      <c r="O183" s="11">
        <v>182</v>
      </c>
      <c r="P183" s="11" t="s">
        <v>93</v>
      </c>
      <c r="Q183" s="11" t="s">
        <v>441</v>
      </c>
      <c r="R183" s="11" t="s">
        <v>440</v>
      </c>
      <c r="S183" s="11" t="s">
        <v>92</v>
      </c>
      <c r="T183" s="11" t="s">
        <v>89</v>
      </c>
      <c r="U183" s="11" t="s">
        <v>435</v>
      </c>
      <c r="V183" s="11" t="s">
        <v>443</v>
      </c>
      <c r="W183" s="11" t="s">
        <v>442</v>
      </c>
    </row>
    <row r="184" spans="1:23">
      <c r="A184" s="11" t="s">
        <v>1047</v>
      </c>
      <c r="B184" s="11">
        <f ca="1">+IF(A184=WORLDCUP!$BI$112,1,0)</f>
        <v>0</v>
      </c>
      <c r="C184" s="11" t="str">
        <f ca="1">+WORLDCUP!BD62</f>
        <v>Ecuador</v>
      </c>
      <c r="D184" s="11" t="str">
        <f ca="1">+WORLDCUP!BD64</f>
        <v>Iran</v>
      </c>
      <c r="E184" s="11" t="str">
        <f ca="1">+WORLDCUP!BD67</f>
        <v>Algeria</v>
      </c>
      <c r="F184" s="11" t="str">
        <f ca="1">+WORLDCUP!BD61</f>
        <v>Paraguay</v>
      </c>
      <c r="G184" s="11" t="str">
        <f ca="1">+WORLDCUP!BD58</f>
        <v>South Korea</v>
      </c>
      <c r="H184" s="11" t="str">
        <f ca="1">+WORLDCUP!BD65</f>
        <v>Uruguay</v>
      </c>
      <c r="I184" s="11" t="str">
        <f ca="1">+WORLDCUP!BD69</f>
        <v>Ghana</v>
      </c>
      <c r="J184" s="11" t="str">
        <f ca="1">+WORLDCUP!BD68</f>
        <v>DR Congo</v>
      </c>
      <c r="N184" s="11" t="s">
        <v>1047</v>
      </c>
      <c r="O184" s="11">
        <v>183</v>
      </c>
      <c r="P184" s="11" t="s">
        <v>93</v>
      </c>
      <c r="Q184" s="11" t="s">
        <v>435</v>
      </c>
      <c r="R184" s="11" t="s">
        <v>441</v>
      </c>
      <c r="S184" s="11" t="s">
        <v>92</v>
      </c>
      <c r="T184" s="11" t="s">
        <v>89</v>
      </c>
      <c r="U184" s="11" t="s">
        <v>436</v>
      </c>
      <c r="V184" s="11" t="s">
        <v>443</v>
      </c>
      <c r="W184" s="11" t="s">
        <v>442</v>
      </c>
    </row>
    <row r="185" spans="1:23">
      <c r="A185" s="11" t="s">
        <v>1046</v>
      </c>
      <c r="B185" s="11">
        <f ca="1">+IF(A185=WORLDCUP!$BI$112,1,0)</f>
        <v>0</v>
      </c>
      <c r="C185" s="11" t="str">
        <f ca="1">+WORLDCUP!BD62</f>
        <v>Ecuador</v>
      </c>
      <c r="D185" s="11" t="str">
        <f ca="1">+WORLDCUP!BD64</f>
        <v>Iran</v>
      </c>
      <c r="E185" s="11" t="str">
        <f ca="1">+WORLDCUP!BD66</f>
        <v>Senegal</v>
      </c>
      <c r="F185" s="11" t="str">
        <f ca="1">+WORLDCUP!BD61</f>
        <v>Paraguay</v>
      </c>
      <c r="G185" s="11" t="str">
        <f ca="1">+WORLDCUP!BD58</f>
        <v>South Korea</v>
      </c>
      <c r="H185" s="11" t="str">
        <f ca="1">+WORLDCUP!BD65</f>
        <v>Uruguay</v>
      </c>
      <c r="I185" s="11" t="str">
        <f ca="1">+WORLDCUP!BD69</f>
        <v>Ghana</v>
      </c>
      <c r="J185" s="11" t="str">
        <f ca="1">+WORLDCUP!BD68</f>
        <v>DR Congo</v>
      </c>
      <c r="N185" s="11" t="s">
        <v>1046</v>
      </c>
      <c r="O185" s="11">
        <v>184</v>
      </c>
      <c r="P185" s="11" t="s">
        <v>93</v>
      </c>
      <c r="Q185" s="11" t="s">
        <v>435</v>
      </c>
      <c r="R185" s="11" t="s">
        <v>440</v>
      </c>
      <c r="S185" s="11" t="s">
        <v>92</v>
      </c>
      <c r="T185" s="11" t="s">
        <v>89</v>
      </c>
      <c r="U185" s="11" t="s">
        <v>436</v>
      </c>
      <c r="V185" s="11" t="s">
        <v>443</v>
      </c>
      <c r="W185" s="11" t="s">
        <v>442</v>
      </c>
    </row>
    <row r="186" spans="1:23">
      <c r="A186" s="11" t="s">
        <v>1045</v>
      </c>
      <c r="B186" s="11">
        <f ca="1">+IF(A186=WORLDCUP!$BI$112,1,0)</f>
        <v>0</v>
      </c>
      <c r="C186" s="11" t="str">
        <f ca="1">+WORLDCUP!BD62</f>
        <v>Ecuador</v>
      </c>
      <c r="D186" s="11" t="str">
        <f ca="1">+WORLDCUP!BD64</f>
        <v>Iran</v>
      </c>
      <c r="E186" s="11" t="str">
        <f ca="1">+WORLDCUP!BD67</f>
        <v>Algeria</v>
      </c>
      <c r="F186" s="11" t="str">
        <f ca="1">+WORLDCUP!BD61</f>
        <v>Paraguay</v>
      </c>
      <c r="G186" s="11" t="str">
        <f ca="1">+WORLDCUP!BD58</f>
        <v>South Korea</v>
      </c>
      <c r="H186" s="11" t="str">
        <f ca="1">+WORLDCUP!BD65</f>
        <v>Uruguay</v>
      </c>
      <c r="I186" s="11" t="str">
        <f ca="1">+WORLDCUP!BD69</f>
        <v>Ghana</v>
      </c>
      <c r="J186" s="11" t="str">
        <f ca="1">+WORLDCUP!BD66</f>
        <v>Senegal</v>
      </c>
      <c r="N186" s="11" t="s">
        <v>1045</v>
      </c>
      <c r="O186" s="11">
        <v>185</v>
      </c>
      <c r="P186" s="11" t="s">
        <v>93</v>
      </c>
      <c r="Q186" s="11" t="s">
        <v>435</v>
      </c>
      <c r="R186" s="11" t="s">
        <v>441</v>
      </c>
      <c r="S186" s="11" t="s">
        <v>92</v>
      </c>
      <c r="T186" s="11" t="s">
        <v>89</v>
      </c>
      <c r="U186" s="11" t="s">
        <v>436</v>
      </c>
      <c r="V186" s="11" t="s">
        <v>443</v>
      </c>
      <c r="W186" s="11" t="s">
        <v>440</v>
      </c>
    </row>
    <row r="187" spans="1:23">
      <c r="A187" s="11" t="s">
        <v>1044</v>
      </c>
      <c r="B187" s="11">
        <f ca="1">+IF(A187=WORLDCUP!$BI$112,1,0)</f>
        <v>0</v>
      </c>
      <c r="C187" s="11" t="str">
        <f ca="1">+WORLDCUP!BD62</f>
        <v>Ecuador</v>
      </c>
      <c r="D187" s="11" t="str">
        <f ca="1">+WORLDCUP!BD64</f>
        <v>Iran</v>
      </c>
      <c r="E187" s="11" t="str">
        <f ca="1">+WORLDCUP!BD67</f>
        <v>Algeria</v>
      </c>
      <c r="F187" s="11" t="str">
        <f ca="1">+WORLDCUP!BD61</f>
        <v>Paraguay</v>
      </c>
      <c r="G187" s="11" t="str">
        <f ca="1">+WORLDCUP!BD58</f>
        <v>South Korea</v>
      </c>
      <c r="H187" s="11" t="str">
        <f ca="1">+WORLDCUP!BD65</f>
        <v>Uruguay</v>
      </c>
      <c r="I187" s="11" t="str">
        <f ca="1">+WORLDCUP!BD66</f>
        <v>Senegal</v>
      </c>
      <c r="J187" s="11" t="str">
        <f ca="1">+WORLDCUP!BD68</f>
        <v>DR Congo</v>
      </c>
      <c r="N187" s="11" t="s">
        <v>1044</v>
      </c>
      <c r="O187" s="11">
        <v>186</v>
      </c>
      <c r="P187" s="11" t="s">
        <v>93</v>
      </c>
      <c r="Q187" s="11" t="s">
        <v>435</v>
      </c>
      <c r="R187" s="11" t="s">
        <v>441</v>
      </c>
      <c r="S187" s="11" t="s">
        <v>92</v>
      </c>
      <c r="T187" s="11" t="s">
        <v>89</v>
      </c>
      <c r="U187" s="11" t="s">
        <v>436</v>
      </c>
      <c r="V187" s="11" t="s">
        <v>440</v>
      </c>
      <c r="W187" s="11" t="s">
        <v>442</v>
      </c>
    </row>
    <row r="188" spans="1:23">
      <c r="A188" s="11" t="s">
        <v>1043</v>
      </c>
      <c r="B188" s="11">
        <f ca="1">+IF(A188=WORLDCUP!$BI$112,1,0)</f>
        <v>0</v>
      </c>
      <c r="C188" s="11" t="str">
        <f ca="1">+WORLDCUP!BD62</f>
        <v>Ecuador</v>
      </c>
      <c r="D188" s="11" t="str">
        <f ca="1">+WORLDCUP!BD67</f>
        <v>Algeria</v>
      </c>
      <c r="E188" s="11" t="str">
        <f ca="1">+WORLDCUP!BD66</f>
        <v>Senegal</v>
      </c>
      <c r="F188" s="11" t="str">
        <f ca="1">+WORLDCUP!BD61</f>
        <v>Paraguay</v>
      </c>
      <c r="G188" s="11" t="str">
        <f ca="1">+WORLDCUP!BD58</f>
        <v>South Korea</v>
      </c>
      <c r="H188" s="11" t="str">
        <f ca="1">+WORLDCUP!BD63</f>
        <v>Sweden</v>
      </c>
      <c r="I188" s="11" t="str">
        <f ca="1">+WORLDCUP!BD69</f>
        <v>Ghana</v>
      </c>
      <c r="J188" s="11" t="str">
        <f ca="1">+WORLDCUP!BD68</f>
        <v>DR Congo</v>
      </c>
      <c r="N188" s="11" t="s">
        <v>1043</v>
      </c>
      <c r="O188" s="11">
        <v>187</v>
      </c>
      <c r="P188" s="11" t="s">
        <v>93</v>
      </c>
      <c r="Q188" s="11" t="s">
        <v>441</v>
      </c>
      <c r="R188" s="11" t="s">
        <v>440</v>
      </c>
      <c r="S188" s="11" t="s">
        <v>92</v>
      </c>
      <c r="T188" s="11" t="s">
        <v>89</v>
      </c>
      <c r="U188" s="11" t="s">
        <v>94</v>
      </c>
      <c r="V188" s="11" t="s">
        <v>443</v>
      </c>
      <c r="W188" s="11" t="s">
        <v>442</v>
      </c>
    </row>
    <row r="189" spans="1:23">
      <c r="A189" s="11" t="s">
        <v>1042</v>
      </c>
      <c r="B189" s="11">
        <f ca="1">+IF(A189=WORLDCUP!$BI$112,1,0)</f>
        <v>0</v>
      </c>
      <c r="C189" s="11" t="str">
        <f ca="1">+WORLDCUP!BD65</f>
        <v>Uruguay</v>
      </c>
      <c r="D189" s="11" t="str">
        <f ca="1">+WORLDCUP!BD67</f>
        <v>Algeria</v>
      </c>
      <c r="E189" s="11" t="str">
        <f ca="1">+WORLDCUP!BD62</f>
        <v>Ecuador</v>
      </c>
      <c r="F189" s="11" t="str">
        <f ca="1">+WORLDCUP!BD61</f>
        <v>Paraguay</v>
      </c>
      <c r="G189" s="11" t="str">
        <f ca="1">+WORLDCUP!BD58</f>
        <v>South Korea</v>
      </c>
      <c r="H189" s="11" t="str">
        <f ca="1">+WORLDCUP!BD63</f>
        <v>Sweden</v>
      </c>
      <c r="I189" s="11" t="str">
        <f ca="1">+WORLDCUP!BD69</f>
        <v>Ghana</v>
      </c>
      <c r="J189" s="11" t="str">
        <f ca="1">+WORLDCUP!BD68</f>
        <v>DR Congo</v>
      </c>
      <c r="N189" s="11" t="s">
        <v>1042</v>
      </c>
      <c r="O189" s="11">
        <v>188</v>
      </c>
      <c r="P189" s="11" t="s">
        <v>436</v>
      </c>
      <c r="Q189" s="11" t="s">
        <v>441</v>
      </c>
      <c r="R189" s="11" t="s">
        <v>93</v>
      </c>
      <c r="S189" s="11" t="s">
        <v>92</v>
      </c>
      <c r="T189" s="11" t="s">
        <v>89</v>
      </c>
      <c r="U189" s="11" t="s">
        <v>94</v>
      </c>
      <c r="V189" s="11" t="s">
        <v>443</v>
      </c>
      <c r="W189" s="11" t="s">
        <v>442</v>
      </c>
    </row>
    <row r="190" spans="1:23">
      <c r="A190" s="11" t="s">
        <v>1041</v>
      </c>
      <c r="B190" s="11">
        <f ca="1">+IF(A190=WORLDCUP!$BI$112,1,0)</f>
        <v>0</v>
      </c>
      <c r="C190" s="11" t="str">
        <f ca="1">+WORLDCUP!BD65</f>
        <v>Uruguay</v>
      </c>
      <c r="D190" s="11" t="str">
        <f ca="1">+WORLDCUP!BD62</f>
        <v>Ecuador</v>
      </c>
      <c r="E190" s="11" t="str">
        <f ca="1">+WORLDCUP!BD66</f>
        <v>Senegal</v>
      </c>
      <c r="F190" s="11" t="str">
        <f ca="1">+WORLDCUP!BD61</f>
        <v>Paraguay</v>
      </c>
      <c r="G190" s="11" t="str">
        <f ca="1">+WORLDCUP!BD58</f>
        <v>South Korea</v>
      </c>
      <c r="H190" s="11" t="str">
        <f ca="1">+WORLDCUP!BD63</f>
        <v>Sweden</v>
      </c>
      <c r="I190" s="11" t="str">
        <f ca="1">+WORLDCUP!BD69</f>
        <v>Ghana</v>
      </c>
      <c r="J190" s="11" t="str">
        <f ca="1">+WORLDCUP!BD68</f>
        <v>DR Congo</v>
      </c>
      <c r="N190" s="11" t="s">
        <v>1041</v>
      </c>
      <c r="O190" s="11">
        <v>189</v>
      </c>
      <c r="P190" s="11" t="s">
        <v>436</v>
      </c>
      <c r="Q190" s="11" t="s">
        <v>93</v>
      </c>
      <c r="R190" s="11" t="s">
        <v>440</v>
      </c>
      <c r="S190" s="11" t="s">
        <v>92</v>
      </c>
      <c r="T190" s="11" t="s">
        <v>89</v>
      </c>
      <c r="U190" s="11" t="s">
        <v>94</v>
      </c>
      <c r="V190" s="11" t="s">
        <v>443</v>
      </c>
      <c r="W190" s="11" t="s">
        <v>442</v>
      </c>
    </row>
    <row r="191" spans="1:23">
      <c r="A191" s="11" t="s">
        <v>1040</v>
      </c>
      <c r="B191" s="11">
        <f ca="1">+IF(A191=WORLDCUP!$BI$112,1,0)</f>
        <v>0</v>
      </c>
      <c r="C191" s="11" t="str">
        <f ca="1">+WORLDCUP!BD65</f>
        <v>Uruguay</v>
      </c>
      <c r="D191" s="11" t="str">
        <f ca="1">+WORLDCUP!BD67</f>
        <v>Algeria</v>
      </c>
      <c r="E191" s="11" t="str">
        <f ca="1">+WORLDCUP!BD62</f>
        <v>Ecuador</v>
      </c>
      <c r="F191" s="11" t="str">
        <f ca="1">+WORLDCUP!BD61</f>
        <v>Paraguay</v>
      </c>
      <c r="G191" s="11" t="str">
        <f ca="1">+WORLDCUP!BD58</f>
        <v>South Korea</v>
      </c>
      <c r="H191" s="11" t="str">
        <f ca="1">+WORLDCUP!BD63</f>
        <v>Sweden</v>
      </c>
      <c r="I191" s="11" t="str">
        <f ca="1">+WORLDCUP!BD69</f>
        <v>Ghana</v>
      </c>
      <c r="J191" s="11" t="str">
        <f ca="1">+WORLDCUP!BD66</f>
        <v>Senegal</v>
      </c>
      <c r="N191" s="11" t="s">
        <v>1040</v>
      </c>
      <c r="O191" s="11">
        <v>190</v>
      </c>
      <c r="P191" s="11" t="s">
        <v>436</v>
      </c>
      <c r="Q191" s="11" t="s">
        <v>441</v>
      </c>
      <c r="R191" s="11" t="s">
        <v>93</v>
      </c>
      <c r="S191" s="11" t="s">
        <v>92</v>
      </c>
      <c r="T191" s="11" t="s">
        <v>89</v>
      </c>
      <c r="U191" s="11" t="s">
        <v>94</v>
      </c>
      <c r="V191" s="11" t="s">
        <v>443</v>
      </c>
      <c r="W191" s="11" t="s">
        <v>440</v>
      </c>
    </row>
    <row r="192" spans="1:23">
      <c r="A192" s="11" t="s">
        <v>1039</v>
      </c>
      <c r="B192" s="11">
        <f ca="1">+IF(A192=WORLDCUP!$BI$112,1,0)</f>
        <v>0</v>
      </c>
      <c r="C192" s="11" t="str">
        <f ca="1">+WORLDCUP!BD65</f>
        <v>Uruguay</v>
      </c>
      <c r="D192" s="11" t="str">
        <f ca="1">+WORLDCUP!BD67</f>
        <v>Algeria</v>
      </c>
      <c r="E192" s="11" t="str">
        <f ca="1">+WORLDCUP!BD62</f>
        <v>Ecuador</v>
      </c>
      <c r="F192" s="11" t="str">
        <f ca="1">+WORLDCUP!BD61</f>
        <v>Paraguay</v>
      </c>
      <c r="G192" s="11" t="str">
        <f ca="1">+WORLDCUP!BD58</f>
        <v>South Korea</v>
      </c>
      <c r="H192" s="11" t="str">
        <f ca="1">+WORLDCUP!BD63</f>
        <v>Sweden</v>
      </c>
      <c r="I192" s="11" t="str">
        <f ca="1">+WORLDCUP!BD66</f>
        <v>Senegal</v>
      </c>
      <c r="J192" s="11" t="str">
        <f ca="1">+WORLDCUP!BD68</f>
        <v>DR Congo</v>
      </c>
      <c r="N192" s="11" t="s">
        <v>1039</v>
      </c>
      <c r="O192" s="11">
        <v>191</v>
      </c>
      <c r="P192" s="11" t="s">
        <v>436</v>
      </c>
      <c r="Q192" s="11" t="s">
        <v>441</v>
      </c>
      <c r="R192" s="11" t="s">
        <v>93</v>
      </c>
      <c r="S192" s="11" t="s">
        <v>92</v>
      </c>
      <c r="T192" s="11" t="s">
        <v>89</v>
      </c>
      <c r="U192" s="11" t="s">
        <v>94</v>
      </c>
      <c r="V192" s="11" t="s">
        <v>440</v>
      </c>
      <c r="W192" s="11" t="s">
        <v>442</v>
      </c>
    </row>
    <row r="193" spans="1:23">
      <c r="A193" s="11" t="s">
        <v>1038</v>
      </c>
      <c r="B193" s="11">
        <f ca="1">+IF(A193=WORLDCUP!$BI$112,1,0)</f>
        <v>0</v>
      </c>
      <c r="C193" s="11" t="str">
        <f ca="1">+WORLDCUP!BD62</f>
        <v>Ecuador</v>
      </c>
      <c r="D193" s="11" t="str">
        <f ca="1">+WORLDCUP!BD64</f>
        <v>Iran</v>
      </c>
      <c r="E193" s="11" t="str">
        <f ca="1">+WORLDCUP!BD67</f>
        <v>Algeria</v>
      </c>
      <c r="F193" s="11" t="str">
        <f ca="1">+WORLDCUP!BD61</f>
        <v>Paraguay</v>
      </c>
      <c r="G193" s="11" t="str">
        <f ca="1">+WORLDCUP!BD58</f>
        <v>South Korea</v>
      </c>
      <c r="H193" s="11" t="str">
        <f ca="1">+WORLDCUP!BD63</f>
        <v>Sweden</v>
      </c>
      <c r="I193" s="11" t="str">
        <f ca="1">+WORLDCUP!BD69</f>
        <v>Ghana</v>
      </c>
      <c r="J193" s="11" t="str">
        <f ca="1">+WORLDCUP!BD68</f>
        <v>DR Congo</v>
      </c>
      <c r="N193" s="11" t="s">
        <v>1038</v>
      </c>
      <c r="O193" s="11">
        <v>192</v>
      </c>
      <c r="P193" s="11" t="s">
        <v>93</v>
      </c>
      <c r="Q193" s="11" t="s">
        <v>435</v>
      </c>
      <c r="R193" s="11" t="s">
        <v>441</v>
      </c>
      <c r="S193" s="11" t="s">
        <v>92</v>
      </c>
      <c r="T193" s="11" t="s">
        <v>89</v>
      </c>
      <c r="U193" s="11" t="s">
        <v>94</v>
      </c>
      <c r="V193" s="11" t="s">
        <v>443</v>
      </c>
      <c r="W193" s="11" t="s">
        <v>442</v>
      </c>
    </row>
    <row r="194" spans="1:23">
      <c r="A194" s="11" t="s">
        <v>1037</v>
      </c>
      <c r="B194" s="11">
        <f ca="1">+IF(A194=WORLDCUP!$BI$112,1,0)</f>
        <v>0</v>
      </c>
      <c r="C194" s="11" t="str">
        <f ca="1">+WORLDCUP!BD62</f>
        <v>Ecuador</v>
      </c>
      <c r="D194" s="11" t="str">
        <f ca="1">+WORLDCUP!BD64</f>
        <v>Iran</v>
      </c>
      <c r="E194" s="11" t="str">
        <f ca="1">+WORLDCUP!BD66</f>
        <v>Senegal</v>
      </c>
      <c r="F194" s="11" t="str">
        <f ca="1">+WORLDCUP!BD61</f>
        <v>Paraguay</v>
      </c>
      <c r="G194" s="11" t="str">
        <f ca="1">+WORLDCUP!BD58</f>
        <v>South Korea</v>
      </c>
      <c r="H194" s="11" t="str">
        <f ca="1">+WORLDCUP!BD63</f>
        <v>Sweden</v>
      </c>
      <c r="I194" s="11" t="str">
        <f ca="1">+WORLDCUP!BD69</f>
        <v>Ghana</v>
      </c>
      <c r="J194" s="11" t="str">
        <f ca="1">+WORLDCUP!BD68</f>
        <v>DR Congo</v>
      </c>
      <c r="N194" s="11" t="s">
        <v>1037</v>
      </c>
      <c r="O194" s="11">
        <v>193</v>
      </c>
      <c r="P194" s="11" t="s">
        <v>93</v>
      </c>
      <c r="Q194" s="11" t="s">
        <v>435</v>
      </c>
      <c r="R194" s="11" t="s">
        <v>440</v>
      </c>
      <c r="S194" s="11" t="s">
        <v>92</v>
      </c>
      <c r="T194" s="11" t="s">
        <v>89</v>
      </c>
      <c r="U194" s="11" t="s">
        <v>94</v>
      </c>
      <c r="V194" s="11" t="s">
        <v>443</v>
      </c>
      <c r="W194" s="11" t="s">
        <v>442</v>
      </c>
    </row>
    <row r="195" spans="1:23">
      <c r="A195" s="11" t="s">
        <v>1036</v>
      </c>
      <c r="B195" s="11">
        <f ca="1">+IF(A195=WORLDCUP!$BI$112,1,0)</f>
        <v>0</v>
      </c>
      <c r="C195" s="11" t="str">
        <f ca="1">+WORLDCUP!BD62</f>
        <v>Ecuador</v>
      </c>
      <c r="D195" s="11" t="str">
        <f ca="1">+WORLDCUP!BD64</f>
        <v>Iran</v>
      </c>
      <c r="E195" s="11" t="str">
        <f ca="1">+WORLDCUP!BD67</f>
        <v>Algeria</v>
      </c>
      <c r="F195" s="11" t="str">
        <f ca="1">+WORLDCUP!BD61</f>
        <v>Paraguay</v>
      </c>
      <c r="G195" s="11" t="str">
        <f ca="1">+WORLDCUP!BD58</f>
        <v>South Korea</v>
      </c>
      <c r="H195" s="11" t="str">
        <f ca="1">+WORLDCUP!BD63</f>
        <v>Sweden</v>
      </c>
      <c r="I195" s="11" t="str">
        <f ca="1">+WORLDCUP!BD69</f>
        <v>Ghana</v>
      </c>
      <c r="J195" s="11" t="str">
        <f ca="1">+WORLDCUP!BD66</f>
        <v>Senegal</v>
      </c>
      <c r="N195" s="11" t="s">
        <v>1036</v>
      </c>
      <c r="O195" s="11">
        <v>194</v>
      </c>
      <c r="P195" s="11" t="s">
        <v>93</v>
      </c>
      <c r="Q195" s="11" t="s">
        <v>435</v>
      </c>
      <c r="R195" s="11" t="s">
        <v>441</v>
      </c>
      <c r="S195" s="11" t="s">
        <v>92</v>
      </c>
      <c r="T195" s="11" t="s">
        <v>89</v>
      </c>
      <c r="U195" s="11" t="s">
        <v>94</v>
      </c>
      <c r="V195" s="11" t="s">
        <v>443</v>
      </c>
      <c r="W195" s="11" t="s">
        <v>440</v>
      </c>
    </row>
    <row r="196" spans="1:23">
      <c r="A196" s="11" t="s">
        <v>1035</v>
      </c>
      <c r="B196" s="11">
        <f ca="1">+IF(A196=WORLDCUP!$BI$112,1,0)</f>
        <v>0</v>
      </c>
      <c r="C196" s="11" t="str">
        <f ca="1">+WORLDCUP!BD62</f>
        <v>Ecuador</v>
      </c>
      <c r="D196" s="11" t="str">
        <f ca="1">+WORLDCUP!BD64</f>
        <v>Iran</v>
      </c>
      <c r="E196" s="11" t="str">
        <f ca="1">+WORLDCUP!BD67</f>
        <v>Algeria</v>
      </c>
      <c r="F196" s="11" t="str">
        <f ca="1">+WORLDCUP!BD61</f>
        <v>Paraguay</v>
      </c>
      <c r="G196" s="11" t="str">
        <f ca="1">+WORLDCUP!BD58</f>
        <v>South Korea</v>
      </c>
      <c r="H196" s="11" t="str">
        <f ca="1">+WORLDCUP!BD63</f>
        <v>Sweden</v>
      </c>
      <c r="I196" s="11" t="str">
        <f ca="1">+WORLDCUP!BD66</f>
        <v>Senegal</v>
      </c>
      <c r="J196" s="11" t="str">
        <f ca="1">+WORLDCUP!BD68</f>
        <v>DR Congo</v>
      </c>
      <c r="N196" s="11" t="s">
        <v>1035</v>
      </c>
      <c r="O196" s="11">
        <v>195</v>
      </c>
      <c r="P196" s="11" t="s">
        <v>93</v>
      </c>
      <c r="Q196" s="11" t="s">
        <v>435</v>
      </c>
      <c r="R196" s="11" t="s">
        <v>441</v>
      </c>
      <c r="S196" s="11" t="s">
        <v>92</v>
      </c>
      <c r="T196" s="11" t="s">
        <v>89</v>
      </c>
      <c r="U196" s="11" t="s">
        <v>94</v>
      </c>
      <c r="V196" s="11" t="s">
        <v>440</v>
      </c>
      <c r="W196" s="11" t="s">
        <v>442</v>
      </c>
    </row>
    <row r="197" spans="1:23">
      <c r="A197" s="11" t="s">
        <v>592</v>
      </c>
      <c r="B197" s="11">
        <f ca="1">+IF(A197=WORLDCUP!$BI$112,1,0)</f>
        <v>0</v>
      </c>
      <c r="C197" s="11" t="str">
        <f ca="1">+WORLDCUP!BD65</f>
        <v>Uruguay</v>
      </c>
      <c r="D197" s="11" t="str">
        <f ca="1">+WORLDCUP!BD64</f>
        <v>Iran</v>
      </c>
      <c r="E197" s="11" t="str">
        <f ca="1">+WORLDCUP!BD62</f>
        <v>Ecuador</v>
      </c>
      <c r="F197" s="11" t="str">
        <f ca="1">+WORLDCUP!BD61</f>
        <v>Paraguay</v>
      </c>
      <c r="G197" s="11" t="str">
        <f ca="1">+WORLDCUP!BD58</f>
        <v>South Korea</v>
      </c>
      <c r="H197" s="11" t="str">
        <f ca="1">+WORLDCUP!BD63</f>
        <v>Sweden</v>
      </c>
      <c r="I197" s="11" t="str">
        <f ca="1">+WORLDCUP!BD69</f>
        <v>Ghana</v>
      </c>
      <c r="J197" s="11" t="str">
        <f ca="1">+WORLDCUP!BD68</f>
        <v>DR Congo</v>
      </c>
      <c r="N197" s="11" t="s">
        <v>592</v>
      </c>
      <c r="O197" s="11">
        <v>196</v>
      </c>
      <c r="P197" s="11" t="s">
        <v>436</v>
      </c>
      <c r="Q197" s="11" t="s">
        <v>435</v>
      </c>
      <c r="R197" s="11" t="s">
        <v>93</v>
      </c>
      <c r="S197" s="11" t="s">
        <v>92</v>
      </c>
      <c r="T197" s="11" t="s">
        <v>89</v>
      </c>
      <c r="U197" s="11" t="s">
        <v>94</v>
      </c>
      <c r="V197" s="11" t="s">
        <v>443</v>
      </c>
      <c r="W197" s="11" t="s">
        <v>442</v>
      </c>
    </row>
    <row r="198" spans="1:23">
      <c r="A198" s="11" t="s">
        <v>591</v>
      </c>
      <c r="B198" s="11">
        <f ca="1">+IF(A198=WORLDCUP!$BI$112,1,0)</f>
        <v>0</v>
      </c>
      <c r="C198" s="11" t="str">
        <f ca="1">+WORLDCUP!BD65</f>
        <v>Uruguay</v>
      </c>
      <c r="D198" s="11" t="str">
        <f ca="1">+WORLDCUP!BD64</f>
        <v>Iran</v>
      </c>
      <c r="E198" s="11" t="str">
        <f ca="1">+WORLDCUP!BD67</f>
        <v>Algeria</v>
      </c>
      <c r="F198" s="11" t="str">
        <f ca="1">+WORLDCUP!BD61</f>
        <v>Paraguay</v>
      </c>
      <c r="G198" s="11" t="str">
        <f ca="1">+WORLDCUP!BD58</f>
        <v>South Korea</v>
      </c>
      <c r="H198" s="11" t="str">
        <f ca="1">+WORLDCUP!BD63</f>
        <v>Sweden</v>
      </c>
      <c r="I198" s="11" t="str">
        <f ca="1">+WORLDCUP!BD69</f>
        <v>Ghana</v>
      </c>
      <c r="J198" s="11" t="str">
        <f ca="1">+WORLDCUP!BD62</f>
        <v>Ecuador</v>
      </c>
      <c r="N198" s="11" t="s">
        <v>591</v>
      </c>
      <c r="O198" s="11">
        <v>197</v>
      </c>
      <c r="P198" s="11" t="s">
        <v>436</v>
      </c>
      <c r="Q198" s="11" t="s">
        <v>435</v>
      </c>
      <c r="R198" s="11" t="s">
        <v>441</v>
      </c>
      <c r="S198" s="11" t="s">
        <v>92</v>
      </c>
      <c r="T198" s="11" t="s">
        <v>89</v>
      </c>
      <c r="U198" s="11" t="s">
        <v>94</v>
      </c>
      <c r="V198" s="11" t="s">
        <v>443</v>
      </c>
      <c r="W198" s="11" t="s">
        <v>93</v>
      </c>
    </row>
    <row r="199" spans="1:23">
      <c r="A199" s="11" t="s">
        <v>590</v>
      </c>
      <c r="B199" s="11">
        <f ca="1">+IF(A199=WORLDCUP!$BI$112,1,0)</f>
        <v>0</v>
      </c>
      <c r="C199" s="11" t="str">
        <f ca="1">+WORLDCUP!BD65</f>
        <v>Uruguay</v>
      </c>
      <c r="D199" s="11" t="str">
        <f ca="1">+WORLDCUP!BD64</f>
        <v>Iran</v>
      </c>
      <c r="E199" s="11" t="str">
        <f ca="1">+WORLDCUP!BD67</f>
        <v>Algeria</v>
      </c>
      <c r="F199" s="11" t="str">
        <f ca="1">+WORLDCUP!BD61</f>
        <v>Paraguay</v>
      </c>
      <c r="G199" s="11" t="str">
        <f ca="1">+WORLDCUP!BD58</f>
        <v>South Korea</v>
      </c>
      <c r="H199" s="11" t="str">
        <f ca="1">+WORLDCUP!BD63</f>
        <v>Sweden</v>
      </c>
      <c r="I199" s="11" t="str">
        <f ca="1">+WORLDCUP!BD62</f>
        <v>Ecuador</v>
      </c>
      <c r="J199" s="11" t="str">
        <f ca="1">+WORLDCUP!BD68</f>
        <v>DR Congo</v>
      </c>
      <c r="N199" s="11" t="s">
        <v>590</v>
      </c>
      <c r="O199" s="11">
        <v>198</v>
      </c>
      <c r="P199" s="11" t="s">
        <v>436</v>
      </c>
      <c r="Q199" s="11" t="s">
        <v>435</v>
      </c>
      <c r="R199" s="11" t="s">
        <v>441</v>
      </c>
      <c r="S199" s="11" t="s">
        <v>92</v>
      </c>
      <c r="T199" s="11" t="s">
        <v>89</v>
      </c>
      <c r="U199" s="11" t="s">
        <v>94</v>
      </c>
      <c r="V199" s="11" t="s">
        <v>93</v>
      </c>
      <c r="W199" s="11" t="s">
        <v>442</v>
      </c>
    </row>
    <row r="200" spans="1:23">
      <c r="A200" s="11" t="s">
        <v>589</v>
      </c>
      <c r="B200" s="11">
        <f ca="1">+IF(A200=WORLDCUP!$BI$112,1,0)</f>
        <v>0</v>
      </c>
      <c r="C200" s="11" t="str">
        <f ca="1">+WORLDCUP!BD65</f>
        <v>Uruguay</v>
      </c>
      <c r="D200" s="11" t="str">
        <f ca="1">+WORLDCUP!BD64</f>
        <v>Iran</v>
      </c>
      <c r="E200" s="11" t="str">
        <f ca="1">+WORLDCUP!BD62</f>
        <v>Ecuador</v>
      </c>
      <c r="F200" s="11" t="str">
        <f ca="1">+WORLDCUP!BD61</f>
        <v>Paraguay</v>
      </c>
      <c r="G200" s="11" t="str">
        <f ca="1">+WORLDCUP!BD58</f>
        <v>South Korea</v>
      </c>
      <c r="H200" s="11" t="str">
        <f ca="1">+WORLDCUP!BD63</f>
        <v>Sweden</v>
      </c>
      <c r="I200" s="11" t="str">
        <f ca="1">+WORLDCUP!BD69</f>
        <v>Ghana</v>
      </c>
      <c r="J200" s="11" t="str">
        <f ca="1">+WORLDCUP!BD66</f>
        <v>Senegal</v>
      </c>
      <c r="N200" s="11" t="s">
        <v>589</v>
      </c>
      <c r="O200" s="11">
        <v>199</v>
      </c>
      <c r="P200" s="11" t="s">
        <v>436</v>
      </c>
      <c r="Q200" s="11" t="s">
        <v>435</v>
      </c>
      <c r="R200" s="11" t="s">
        <v>93</v>
      </c>
      <c r="S200" s="11" t="s">
        <v>92</v>
      </c>
      <c r="T200" s="11" t="s">
        <v>89</v>
      </c>
      <c r="U200" s="11" t="s">
        <v>94</v>
      </c>
      <c r="V200" s="11" t="s">
        <v>443</v>
      </c>
      <c r="W200" s="11" t="s">
        <v>440</v>
      </c>
    </row>
    <row r="201" spans="1:23">
      <c r="A201" s="11" t="s">
        <v>588</v>
      </c>
      <c r="B201" s="11">
        <f ca="1">+IF(A201=WORLDCUP!$BI$112,1,0)</f>
        <v>0</v>
      </c>
      <c r="C201" s="11" t="str">
        <f ca="1">+WORLDCUP!BD65</f>
        <v>Uruguay</v>
      </c>
      <c r="D201" s="11" t="str">
        <f ca="1">+WORLDCUP!BD64</f>
        <v>Iran</v>
      </c>
      <c r="E201" s="11" t="str">
        <f ca="1">+WORLDCUP!BD62</f>
        <v>Ecuador</v>
      </c>
      <c r="F201" s="11" t="str">
        <f ca="1">+WORLDCUP!BD61</f>
        <v>Paraguay</v>
      </c>
      <c r="G201" s="11" t="str">
        <f ca="1">+WORLDCUP!BD58</f>
        <v>South Korea</v>
      </c>
      <c r="H201" s="11" t="str">
        <f ca="1">+WORLDCUP!BD63</f>
        <v>Sweden</v>
      </c>
      <c r="I201" s="11" t="str">
        <f ca="1">+WORLDCUP!BD66</f>
        <v>Senegal</v>
      </c>
      <c r="J201" s="11" t="str">
        <f ca="1">+WORLDCUP!BD68</f>
        <v>DR Congo</v>
      </c>
      <c r="N201" s="11" t="s">
        <v>588</v>
      </c>
      <c r="O201" s="11">
        <v>200</v>
      </c>
      <c r="P201" s="11" t="s">
        <v>436</v>
      </c>
      <c r="Q201" s="11" t="s">
        <v>435</v>
      </c>
      <c r="R201" s="11" t="s">
        <v>93</v>
      </c>
      <c r="S201" s="11" t="s">
        <v>92</v>
      </c>
      <c r="T201" s="11" t="s">
        <v>89</v>
      </c>
      <c r="U201" s="11" t="s">
        <v>94</v>
      </c>
      <c r="V201" s="11" t="s">
        <v>440</v>
      </c>
      <c r="W201" s="11" t="s">
        <v>442</v>
      </c>
    </row>
    <row r="202" spans="1:23">
      <c r="A202" s="11" t="s">
        <v>587</v>
      </c>
      <c r="B202" s="11">
        <f ca="1">+IF(A202=WORLDCUP!$BI$112,1,0)</f>
        <v>0</v>
      </c>
      <c r="C202" s="11" t="str">
        <f ca="1">+WORLDCUP!BD65</f>
        <v>Uruguay</v>
      </c>
      <c r="D202" s="11" t="str">
        <f ca="1">+WORLDCUP!BD64</f>
        <v>Iran</v>
      </c>
      <c r="E202" s="11" t="str">
        <f ca="1">+WORLDCUP!BD67</f>
        <v>Algeria</v>
      </c>
      <c r="F202" s="11" t="str">
        <f ca="1">+WORLDCUP!BD61</f>
        <v>Paraguay</v>
      </c>
      <c r="G202" s="11" t="str">
        <f ca="1">+WORLDCUP!BD58</f>
        <v>South Korea</v>
      </c>
      <c r="H202" s="11" t="str">
        <f ca="1">+WORLDCUP!BD63</f>
        <v>Sweden</v>
      </c>
      <c r="I202" s="11" t="str">
        <f ca="1">+WORLDCUP!BD62</f>
        <v>Ecuador</v>
      </c>
      <c r="J202" s="11" t="str">
        <f ca="1">+WORLDCUP!BD66</f>
        <v>Senegal</v>
      </c>
      <c r="N202" s="11" t="s">
        <v>587</v>
      </c>
      <c r="O202" s="11">
        <v>201</v>
      </c>
      <c r="P202" s="11" t="s">
        <v>436</v>
      </c>
      <c r="Q202" s="11" t="s">
        <v>435</v>
      </c>
      <c r="R202" s="11" t="s">
        <v>441</v>
      </c>
      <c r="S202" s="11" t="s">
        <v>92</v>
      </c>
      <c r="T202" s="11" t="s">
        <v>89</v>
      </c>
      <c r="U202" s="11" t="s">
        <v>94</v>
      </c>
      <c r="V202" s="11" t="s">
        <v>93</v>
      </c>
      <c r="W202" s="11" t="s">
        <v>440</v>
      </c>
    </row>
    <row r="203" spans="1:23">
      <c r="A203" s="11" t="s">
        <v>1034</v>
      </c>
      <c r="B203" s="11">
        <f ca="1">+IF(A203=WORLDCUP!$BI$112,1,0)</f>
        <v>0</v>
      </c>
      <c r="C203" s="11" t="str">
        <f ca="1">+WORLDCUP!BD65</f>
        <v>Uruguay</v>
      </c>
      <c r="D203" s="11" t="str">
        <f ca="1">+WORLDCUP!BD67</f>
        <v>Algeria</v>
      </c>
      <c r="E203" s="11" t="str">
        <f ca="1">+WORLDCUP!BD66</f>
        <v>Senegal</v>
      </c>
      <c r="F203" s="11" t="str">
        <f ca="1">+WORLDCUP!BD60</f>
        <v>Scotland</v>
      </c>
      <c r="G203" s="11" t="str">
        <f ca="1">+WORLDCUP!BD58</f>
        <v>South Korea</v>
      </c>
      <c r="H203" s="11" t="str">
        <f ca="1">+WORLDCUP!BD64</f>
        <v>Iran</v>
      </c>
      <c r="I203" s="11" t="str">
        <f ca="1">+WORLDCUP!BD69</f>
        <v>Ghana</v>
      </c>
      <c r="J203" s="11" t="str">
        <f ca="1">+WORLDCUP!BD68</f>
        <v>DR Congo</v>
      </c>
      <c r="N203" s="11" t="s">
        <v>1034</v>
      </c>
      <c r="O203" s="11">
        <v>202</v>
      </c>
      <c r="P203" s="11" t="s">
        <v>436</v>
      </c>
      <c r="Q203" s="11" t="s">
        <v>441</v>
      </c>
      <c r="R203" s="11" t="s">
        <v>440</v>
      </c>
      <c r="S203" s="11" t="s">
        <v>91</v>
      </c>
      <c r="T203" s="11" t="s">
        <v>89</v>
      </c>
      <c r="U203" s="11" t="s">
        <v>435</v>
      </c>
      <c r="V203" s="11" t="s">
        <v>443</v>
      </c>
      <c r="W203" s="11" t="s">
        <v>442</v>
      </c>
    </row>
    <row r="204" spans="1:23">
      <c r="A204" s="11" t="s">
        <v>1033</v>
      </c>
      <c r="B204" s="11">
        <f ca="1">+IF(A204=WORLDCUP!$BI$112,1,0)</f>
        <v>0</v>
      </c>
      <c r="C204" s="11" t="str">
        <f ca="1">+WORLDCUP!BD65</f>
        <v>Uruguay</v>
      </c>
      <c r="D204" s="11" t="str">
        <f ca="1">+WORLDCUP!BD67</f>
        <v>Algeria</v>
      </c>
      <c r="E204" s="11" t="str">
        <f ca="1">+WORLDCUP!BD66</f>
        <v>Senegal</v>
      </c>
      <c r="F204" s="11" t="str">
        <f ca="1">+WORLDCUP!BD60</f>
        <v>Scotland</v>
      </c>
      <c r="G204" s="11" t="str">
        <f ca="1">+WORLDCUP!BD58</f>
        <v>South Korea</v>
      </c>
      <c r="H204" s="11" t="str">
        <f ca="1">+WORLDCUP!BD63</f>
        <v>Sweden</v>
      </c>
      <c r="I204" s="11" t="str">
        <f ca="1">+WORLDCUP!BD69</f>
        <v>Ghana</v>
      </c>
      <c r="J204" s="11" t="str">
        <f ca="1">+WORLDCUP!BD68</f>
        <v>DR Congo</v>
      </c>
      <c r="N204" s="11" t="s">
        <v>1033</v>
      </c>
      <c r="O204" s="11">
        <v>203</v>
      </c>
      <c r="P204" s="11" t="s">
        <v>436</v>
      </c>
      <c r="Q204" s="11" t="s">
        <v>441</v>
      </c>
      <c r="R204" s="11" t="s">
        <v>440</v>
      </c>
      <c r="S204" s="11" t="s">
        <v>91</v>
      </c>
      <c r="T204" s="11" t="s">
        <v>89</v>
      </c>
      <c r="U204" s="11" t="s">
        <v>94</v>
      </c>
      <c r="V204" s="11" t="s">
        <v>443</v>
      </c>
      <c r="W204" s="11" t="s">
        <v>442</v>
      </c>
    </row>
    <row r="205" spans="1:23">
      <c r="A205" s="11" t="s">
        <v>1032</v>
      </c>
      <c r="B205" s="11">
        <f ca="1">+IF(A205=WORLDCUP!$BI$112,1,0)</f>
        <v>0</v>
      </c>
      <c r="C205" s="11" t="str">
        <f ca="1">+WORLDCUP!BD66</f>
        <v>Senegal</v>
      </c>
      <c r="D205" s="11" t="str">
        <f ca="1">+WORLDCUP!BD64</f>
        <v>Iran</v>
      </c>
      <c r="E205" s="11" t="str">
        <f ca="1">+WORLDCUP!BD67</f>
        <v>Algeria</v>
      </c>
      <c r="F205" s="11" t="str">
        <f ca="1">+WORLDCUP!BD60</f>
        <v>Scotland</v>
      </c>
      <c r="G205" s="11" t="str">
        <f ca="1">+WORLDCUP!BD58</f>
        <v>South Korea</v>
      </c>
      <c r="H205" s="11" t="str">
        <f ca="1">+WORLDCUP!BD63</f>
        <v>Sweden</v>
      </c>
      <c r="I205" s="11" t="str">
        <f ca="1">+WORLDCUP!BD69</f>
        <v>Ghana</v>
      </c>
      <c r="J205" s="11" t="str">
        <f ca="1">+WORLDCUP!BD68</f>
        <v>DR Congo</v>
      </c>
      <c r="N205" s="11" t="s">
        <v>1032</v>
      </c>
      <c r="O205" s="11">
        <v>204</v>
      </c>
      <c r="P205" s="11" t="s">
        <v>440</v>
      </c>
      <c r="Q205" s="11" t="s">
        <v>435</v>
      </c>
      <c r="R205" s="11" t="s">
        <v>441</v>
      </c>
      <c r="S205" s="11" t="s">
        <v>91</v>
      </c>
      <c r="T205" s="11" t="s">
        <v>89</v>
      </c>
      <c r="U205" s="11" t="s">
        <v>94</v>
      </c>
      <c r="V205" s="11" t="s">
        <v>443</v>
      </c>
      <c r="W205" s="11" t="s">
        <v>442</v>
      </c>
    </row>
    <row r="206" spans="1:23">
      <c r="A206" s="11" t="s">
        <v>1031</v>
      </c>
      <c r="B206" s="11">
        <f ca="1">+IF(A206=WORLDCUP!$BI$112,1,0)</f>
        <v>0</v>
      </c>
      <c r="C206" s="11" t="str">
        <f ca="1">+WORLDCUP!BD65</f>
        <v>Uruguay</v>
      </c>
      <c r="D206" s="11" t="str">
        <f ca="1">+WORLDCUP!BD64</f>
        <v>Iran</v>
      </c>
      <c r="E206" s="11" t="str">
        <f ca="1">+WORLDCUP!BD67</f>
        <v>Algeria</v>
      </c>
      <c r="F206" s="11" t="str">
        <f ca="1">+WORLDCUP!BD60</f>
        <v>Scotland</v>
      </c>
      <c r="G206" s="11" t="str">
        <f ca="1">+WORLDCUP!BD58</f>
        <v>South Korea</v>
      </c>
      <c r="H206" s="11" t="str">
        <f ca="1">+WORLDCUP!BD63</f>
        <v>Sweden</v>
      </c>
      <c r="I206" s="11" t="str">
        <f ca="1">+WORLDCUP!BD69</f>
        <v>Ghana</v>
      </c>
      <c r="J206" s="11" t="str">
        <f ca="1">+WORLDCUP!BD68</f>
        <v>DR Congo</v>
      </c>
      <c r="N206" s="11" t="s">
        <v>1031</v>
      </c>
      <c r="O206" s="11">
        <v>205</v>
      </c>
      <c r="P206" s="11" t="s">
        <v>436</v>
      </c>
      <c r="Q206" s="11" t="s">
        <v>435</v>
      </c>
      <c r="R206" s="11" t="s">
        <v>441</v>
      </c>
      <c r="S206" s="11" t="s">
        <v>91</v>
      </c>
      <c r="T206" s="11" t="s">
        <v>89</v>
      </c>
      <c r="U206" s="11" t="s">
        <v>94</v>
      </c>
      <c r="V206" s="11" t="s">
        <v>443</v>
      </c>
      <c r="W206" s="11" t="s">
        <v>442</v>
      </c>
    </row>
    <row r="207" spans="1:23">
      <c r="A207" s="11" t="s">
        <v>1030</v>
      </c>
      <c r="B207" s="11">
        <f ca="1">+IF(A207=WORLDCUP!$BI$112,1,0)</f>
        <v>0</v>
      </c>
      <c r="C207" s="11" t="str">
        <f ca="1">+WORLDCUP!BD65</f>
        <v>Uruguay</v>
      </c>
      <c r="D207" s="11" t="str">
        <f ca="1">+WORLDCUP!BD64</f>
        <v>Iran</v>
      </c>
      <c r="E207" s="11" t="str">
        <f ca="1">+WORLDCUP!BD66</f>
        <v>Senegal</v>
      </c>
      <c r="F207" s="11" t="str">
        <f ca="1">+WORLDCUP!BD60</f>
        <v>Scotland</v>
      </c>
      <c r="G207" s="11" t="str">
        <f ca="1">+WORLDCUP!BD58</f>
        <v>South Korea</v>
      </c>
      <c r="H207" s="11" t="str">
        <f ca="1">+WORLDCUP!BD63</f>
        <v>Sweden</v>
      </c>
      <c r="I207" s="11" t="str">
        <f ca="1">+WORLDCUP!BD69</f>
        <v>Ghana</v>
      </c>
      <c r="J207" s="11" t="str">
        <f ca="1">+WORLDCUP!BD68</f>
        <v>DR Congo</v>
      </c>
      <c r="N207" s="11" t="s">
        <v>1030</v>
      </c>
      <c r="O207" s="11">
        <v>206</v>
      </c>
      <c r="P207" s="11" t="s">
        <v>436</v>
      </c>
      <c r="Q207" s="11" t="s">
        <v>435</v>
      </c>
      <c r="R207" s="11" t="s">
        <v>440</v>
      </c>
      <c r="S207" s="11" t="s">
        <v>91</v>
      </c>
      <c r="T207" s="11" t="s">
        <v>89</v>
      </c>
      <c r="U207" s="11" t="s">
        <v>94</v>
      </c>
      <c r="V207" s="11" t="s">
        <v>443</v>
      </c>
      <c r="W207" s="11" t="s">
        <v>442</v>
      </c>
    </row>
    <row r="208" spans="1:23">
      <c r="A208" s="11" t="s">
        <v>1029</v>
      </c>
      <c r="B208" s="11">
        <f ca="1">+IF(A208=WORLDCUP!$BI$112,1,0)</f>
        <v>0</v>
      </c>
      <c r="C208" s="11" t="str">
        <f ca="1">+WORLDCUP!BD65</f>
        <v>Uruguay</v>
      </c>
      <c r="D208" s="11" t="str">
        <f ca="1">+WORLDCUP!BD64</f>
        <v>Iran</v>
      </c>
      <c r="E208" s="11" t="str">
        <f ca="1">+WORLDCUP!BD67</f>
        <v>Algeria</v>
      </c>
      <c r="F208" s="11" t="str">
        <f ca="1">+WORLDCUP!BD60</f>
        <v>Scotland</v>
      </c>
      <c r="G208" s="11" t="str">
        <f ca="1">+WORLDCUP!BD58</f>
        <v>South Korea</v>
      </c>
      <c r="H208" s="11" t="str">
        <f ca="1">+WORLDCUP!BD63</f>
        <v>Sweden</v>
      </c>
      <c r="I208" s="11" t="str">
        <f ca="1">+WORLDCUP!BD69</f>
        <v>Ghana</v>
      </c>
      <c r="J208" s="11" t="str">
        <f ca="1">+WORLDCUP!BD66</f>
        <v>Senegal</v>
      </c>
      <c r="N208" s="11" t="s">
        <v>1029</v>
      </c>
      <c r="O208" s="11">
        <v>207</v>
      </c>
      <c r="P208" s="11" t="s">
        <v>436</v>
      </c>
      <c r="Q208" s="11" t="s">
        <v>435</v>
      </c>
      <c r="R208" s="11" t="s">
        <v>441</v>
      </c>
      <c r="S208" s="11" t="s">
        <v>91</v>
      </c>
      <c r="T208" s="11" t="s">
        <v>89</v>
      </c>
      <c r="U208" s="11" t="s">
        <v>94</v>
      </c>
      <c r="V208" s="11" t="s">
        <v>443</v>
      </c>
      <c r="W208" s="11" t="s">
        <v>440</v>
      </c>
    </row>
    <row r="209" spans="1:23">
      <c r="A209" s="11" t="s">
        <v>1028</v>
      </c>
      <c r="B209" s="11">
        <f ca="1">+IF(A209=WORLDCUP!$BI$112,1,0)</f>
        <v>0</v>
      </c>
      <c r="C209" s="11" t="str">
        <f ca="1">+WORLDCUP!BD65</f>
        <v>Uruguay</v>
      </c>
      <c r="D209" s="11" t="str">
        <f ca="1">+WORLDCUP!BD64</f>
        <v>Iran</v>
      </c>
      <c r="E209" s="11" t="str">
        <f ca="1">+WORLDCUP!BD67</f>
        <v>Algeria</v>
      </c>
      <c r="F209" s="11" t="str">
        <f ca="1">+WORLDCUP!BD60</f>
        <v>Scotland</v>
      </c>
      <c r="G209" s="11" t="str">
        <f ca="1">+WORLDCUP!BD58</f>
        <v>South Korea</v>
      </c>
      <c r="H209" s="11" t="str">
        <f ca="1">+WORLDCUP!BD63</f>
        <v>Sweden</v>
      </c>
      <c r="I209" s="11" t="str">
        <f ca="1">+WORLDCUP!BD66</f>
        <v>Senegal</v>
      </c>
      <c r="J209" s="11" t="str">
        <f ca="1">+WORLDCUP!BD68</f>
        <v>DR Congo</v>
      </c>
      <c r="N209" s="11" t="s">
        <v>1028</v>
      </c>
      <c r="O209" s="11">
        <v>208</v>
      </c>
      <c r="P209" s="11" t="s">
        <v>436</v>
      </c>
      <c r="Q209" s="11" t="s">
        <v>435</v>
      </c>
      <c r="R209" s="11" t="s">
        <v>441</v>
      </c>
      <c r="S209" s="11" t="s">
        <v>91</v>
      </c>
      <c r="T209" s="11" t="s">
        <v>89</v>
      </c>
      <c r="U209" s="11" t="s">
        <v>94</v>
      </c>
      <c r="V209" s="11" t="s">
        <v>440</v>
      </c>
      <c r="W209" s="11" t="s">
        <v>442</v>
      </c>
    </row>
    <row r="210" spans="1:23">
      <c r="A210" s="11" t="s">
        <v>1027</v>
      </c>
      <c r="B210" s="11">
        <f ca="1">+IF(A210=WORLDCUP!$BI$112,1,0)</f>
        <v>0</v>
      </c>
      <c r="C210" s="11" t="str">
        <f ca="1">+WORLDCUP!BD62</f>
        <v>Ecuador</v>
      </c>
      <c r="D210" s="11" t="str">
        <f ca="1">+WORLDCUP!BD67</f>
        <v>Algeria</v>
      </c>
      <c r="E210" s="11" t="str">
        <f ca="1">+WORLDCUP!BD66</f>
        <v>Senegal</v>
      </c>
      <c r="F210" s="11" t="str">
        <f ca="1">+WORLDCUP!BD60</f>
        <v>Scotland</v>
      </c>
      <c r="G210" s="11" t="str">
        <f ca="1">+WORLDCUP!BD58</f>
        <v>South Korea</v>
      </c>
      <c r="H210" s="11" t="str">
        <f ca="1">+WORLDCUP!BD65</f>
        <v>Uruguay</v>
      </c>
      <c r="I210" s="11" t="str">
        <f ca="1">+WORLDCUP!BD69</f>
        <v>Ghana</v>
      </c>
      <c r="J210" s="11" t="str">
        <f ca="1">+WORLDCUP!BD68</f>
        <v>DR Congo</v>
      </c>
      <c r="N210" s="11" t="s">
        <v>1027</v>
      </c>
      <c r="O210" s="11">
        <v>209</v>
      </c>
      <c r="P210" s="11" t="s">
        <v>93</v>
      </c>
      <c r="Q210" s="11" t="s">
        <v>441</v>
      </c>
      <c r="R210" s="11" t="s">
        <v>440</v>
      </c>
      <c r="S210" s="11" t="s">
        <v>91</v>
      </c>
      <c r="T210" s="11" t="s">
        <v>89</v>
      </c>
      <c r="U210" s="11" t="s">
        <v>436</v>
      </c>
      <c r="V210" s="11" t="s">
        <v>443</v>
      </c>
      <c r="W210" s="11" t="s">
        <v>442</v>
      </c>
    </row>
    <row r="211" spans="1:23">
      <c r="A211" s="11" t="s">
        <v>1026</v>
      </c>
      <c r="B211" s="11">
        <f ca="1">+IF(A211=WORLDCUP!$BI$112,1,0)</f>
        <v>0</v>
      </c>
      <c r="C211" s="11" t="str">
        <f ca="1">+WORLDCUP!BD62</f>
        <v>Ecuador</v>
      </c>
      <c r="D211" s="11" t="str">
        <f ca="1">+WORLDCUP!BD67</f>
        <v>Algeria</v>
      </c>
      <c r="E211" s="11" t="str">
        <f ca="1">+WORLDCUP!BD66</f>
        <v>Senegal</v>
      </c>
      <c r="F211" s="11" t="str">
        <f ca="1">+WORLDCUP!BD60</f>
        <v>Scotland</v>
      </c>
      <c r="G211" s="11" t="str">
        <f ca="1">+WORLDCUP!BD58</f>
        <v>South Korea</v>
      </c>
      <c r="H211" s="11" t="str">
        <f ca="1">+WORLDCUP!BD64</f>
        <v>Iran</v>
      </c>
      <c r="I211" s="11" t="str">
        <f ca="1">+WORLDCUP!BD69</f>
        <v>Ghana</v>
      </c>
      <c r="J211" s="11" t="str">
        <f ca="1">+WORLDCUP!BD68</f>
        <v>DR Congo</v>
      </c>
      <c r="N211" s="11" t="s">
        <v>1026</v>
      </c>
      <c r="O211" s="11">
        <v>210</v>
      </c>
      <c r="P211" s="11" t="s">
        <v>93</v>
      </c>
      <c r="Q211" s="11" t="s">
        <v>441</v>
      </c>
      <c r="R211" s="11" t="s">
        <v>440</v>
      </c>
      <c r="S211" s="11" t="s">
        <v>91</v>
      </c>
      <c r="T211" s="11" t="s">
        <v>89</v>
      </c>
      <c r="U211" s="11" t="s">
        <v>435</v>
      </c>
      <c r="V211" s="11" t="s">
        <v>443</v>
      </c>
      <c r="W211" s="11" t="s">
        <v>442</v>
      </c>
    </row>
    <row r="212" spans="1:23">
      <c r="A212" s="11" t="s">
        <v>1025</v>
      </c>
      <c r="B212" s="11">
        <f ca="1">+IF(A212=WORLDCUP!$BI$112,1,0)</f>
        <v>0</v>
      </c>
      <c r="C212" s="11" t="str">
        <f ca="1">+WORLDCUP!BD62</f>
        <v>Ecuador</v>
      </c>
      <c r="D212" s="11" t="str">
        <f ca="1">+WORLDCUP!BD64</f>
        <v>Iran</v>
      </c>
      <c r="E212" s="11" t="str">
        <f ca="1">+WORLDCUP!BD67</f>
        <v>Algeria</v>
      </c>
      <c r="F212" s="11" t="str">
        <f ca="1">+WORLDCUP!BD60</f>
        <v>Scotland</v>
      </c>
      <c r="G212" s="11" t="str">
        <f ca="1">+WORLDCUP!BD58</f>
        <v>South Korea</v>
      </c>
      <c r="H212" s="11" t="str">
        <f ca="1">+WORLDCUP!BD65</f>
        <v>Uruguay</v>
      </c>
      <c r="I212" s="11" t="str">
        <f ca="1">+WORLDCUP!BD69</f>
        <v>Ghana</v>
      </c>
      <c r="J212" s="11" t="str">
        <f ca="1">+WORLDCUP!BD68</f>
        <v>DR Congo</v>
      </c>
      <c r="N212" s="11" t="s">
        <v>1025</v>
      </c>
      <c r="O212" s="11">
        <v>211</v>
      </c>
      <c r="P212" s="11" t="s">
        <v>93</v>
      </c>
      <c r="Q212" s="11" t="s">
        <v>435</v>
      </c>
      <c r="R212" s="11" t="s">
        <v>441</v>
      </c>
      <c r="S212" s="11" t="s">
        <v>91</v>
      </c>
      <c r="T212" s="11" t="s">
        <v>89</v>
      </c>
      <c r="U212" s="11" t="s">
        <v>436</v>
      </c>
      <c r="V212" s="11" t="s">
        <v>443</v>
      </c>
      <c r="W212" s="11" t="s">
        <v>442</v>
      </c>
    </row>
    <row r="213" spans="1:23">
      <c r="A213" s="11" t="s">
        <v>1024</v>
      </c>
      <c r="B213" s="11">
        <f ca="1">+IF(A213=WORLDCUP!$BI$112,1,0)</f>
        <v>0</v>
      </c>
      <c r="C213" s="11" t="str">
        <f ca="1">+WORLDCUP!BD62</f>
        <v>Ecuador</v>
      </c>
      <c r="D213" s="11" t="str">
        <f ca="1">+WORLDCUP!BD64</f>
        <v>Iran</v>
      </c>
      <c r="E213" s="11" t="str">
        <f ca="1">+WORLDCUP!BD66</f>
        <v>Senegal</v>
      </c>
      <c r="F213" s="11" t="str">
        <f ca="1">+WORLDCUP!BD60</f>
        <v>Scotland</v>
      </c>
      <c r="G213" s="11" t="str">
        <f ca="1">+WORLDCUP!BD58</f>
        <v>South Korea</v>
      </c>
      <c r="H213" s="11" t="str">
        <f ca="1">+WORLDCUP!BD65</f>
        <v>Uruguay</v>
      </c>
      <c r="I213" s="11" t="str">
        <f ca="1">+WORLDCUP!BD69</f>
        <v>Ghana</v>
      </c>
      <c r="J213" s="11" t="str">
        <f ca="1">+WORLDCUP!BD68</f>
        <v>DR Congo</v>
      </c>
      <c r="N213" s="11" t="s">
        <v>1024</v>
      </c>
      <c r="O213" s="11">
        <v>212</v>
      </c>
      <c r="P213" s="11" t="s">
        <v>93</v>
      </c>
      <c r="Q213" s="11" t="s">
        <v>435</v>
      </c>
      <c r="R213" s="11" t="s">
        <v>440</v>
      </c>
      <c r="S213" s="11" t="s">
        <v>91</v>
      </c>
      <c r="T213" s="11" t="s">
        <v>89</v>
      </c>
      <c r="U213" s="11" t="s">
        <v>436</v>
      </c>
      <c r="V213" s="11" t="s">
        <v>443</v>
      </c>
      <c r="W213" s="11" t="s">
        <v>442</v>
      </c>
    </row>
    <row r="214" spans="1:23">
      <c r="A214" s="11" t="s">
        <v>1023</v>
      </c>
      <c r="B214" s="11">
        <f ca="1">+IF(A214=WORLDCUP!$BI$112,1,0)</f>
        <v>0</v>
      </c>
      <c r="C214" s="11" t="str">
        <f ca="1">+WORLDCUP!BD62</f>
        <v>Ecuador</v>
      </c>
      <c r="D214" s="11" t="str">
        <f ca="1">+WORLDCUP!BD64</f>
        <v>Iran</v>
      </c>
      <c r="E214" s="11" t="str">
        <f ca="1">+WORLDCUP!BD67</f>
        <v>Algeria</v>
      </c>
      <c r="F214" s="11" t="str">
        <f ca="1">+WORLDCUP!BD60</f>
        <v>Scotland</v>
      </c>
      <c r="G214" s="11" t="str">
        <f ca="1">+WORLDCUP!BD58</f>
        <v>South Korea</v>
      </c>
      <c r="H214" s="11" t="str">
        <f ca="1">+WORLDCUP!BD65</f>
        <v>Uruguay</v>
      </c>
      <c r="I214" s="11" t="str">
        <f ca="1">+WORLDCUP!BD69</f>
        <v>Ghana</v>
      </c>
      <c r="J214" s="11" t="str">
        <f ca="1">+WORLDCUP!BD66</f>
        <v>Senegal</v>
      </c>
      <c r="N214" s="11" t="s">
        <v>1023</v>
      </c>
      <c r="O214" s="11">
        <v>213</v>
      </c>
      <c r="P214" s="11" t="s">
        <v>93</v>
      </c>
      <c r="Q214" s="11" t="s">
        <v>435</v>
      </c>
      <c r="R214" s="11" t="s">
        <v>441</v>
      </c>
      <c r="S214" s="11" t="s">
        <v>91</v>
      </c>
      <c r="T214" s="11" t="s">
        <v>89</v>
      </c>
      <c r="U214" s="11" t="s">
        <v>436</v>
      </c>
      <c r="V214" s="11" t="s">
        <v>443</v>
      </c>
      <c r="W214" s="11" t="s">
        <v>440</v>
      </c>
    </row>
    <row r="215" spans="1:23">
      <c r="A215" s="11" t="s">
        <v>1022</v>
      </c>
      <c r="B215" s="11">
        <f ca="1">+IF(A215=WORLDCUP!$BI$112,1,0)</f>
        <v>0</v>
      </c>
      <c r="C215" s="11" t="str">
        <f ca="1">+WORLDCUP!BD62</f>
        <v>Ecuador</v>
      </c>
      <c r="D215" s="11" t="str">
        <f ca="1">+WORLDCUP!BD64</f>
        <v>Iran</v>
      </c>
      <c r="E215" s="11" t="str">
        <f ca="1">+WORLDCUP!BD67</f>
        <v>Algeria</v>
      </c>
      <c r="F215" s="11" t="str">
        <f ca="1">+WORLDCUP!BD60</f>
        <v>Scotland</v>
      </c>
      <c r="G215" s="11" t="str">
        <f ca="1">+WORLDCUP!BD58</f>
        <v>South Korea</v>
      </c>
      <c r="H215" s="11" t="str">
        <f ca="1">+WORLDCUP!BD65</f>
        <v>Uruguay</v>
      </c>
      <c r="I215" s="11" t="str">
        <f ca="1">+WORLDCUP!BD66</f>
        <v>Senegal</v>
      </c>
      <c r="J215" s="11" t="str">
        <f ca="1">+WORLDCUP!BD68</f>
        <v>DR Congo</v>
      </c>
      <c r="N215" s="11" t="s">
        <v>1022</v>
      </c>
      <c r="O215" s="11">
        <v>214</v>
      </c>
      <c r="P215" s="11" t="s">
        <v>93</v>
      </c>
      <c r="Q215" s="11" t="s">
        <v>435</v>
      </c>
      <c r="R215" s="11" t="s">
        <v>441</v>
      </c>
      <c r="S215" s="11" t="s">
        <v>91</v>
      </c>
      <c r="T215" s="11" t="s">
        <v>89</v>
      </c>
      <c r="U215" s="11" t="s">
        <v>436</v>
      </c>
      <c r="V215" s="11" t="s">
        <v>440</v>
      </c>
      <c r="W215" s="11" t="s">
        <v>442</v>
      </c>
    </row>
    <row r="216" spans="1:23">
      <c r="A216" s="11" t="s">
        <v>1021</v>
      </c>
      <c r="B216" s="11">
        <f ca="1">+IF(A216=WORLDCUP!$BI$112,1,0)</f>
        <v>0</v>
      </c>
      <c r="C216" s="11" t="str">
        <f ca="1">+WORLDCUP!BD62</f>
        <v>Ecuador</v>
      </c>
      <c r="D216" s="11" t="str">
        <f ca="1">+WORLDCUP!BD67</f>
        <v>Algeria</v>
      </c>
      <c r="E216" s="11" t="str">
        <f ca="1">+WORLDCUP!BD66</f>
        <v>Senegal</v>
      </c>
      <c r="F216" s="11" t="str">
        <f ca="1">+WORLDCUP!BD60</f>
        <v>Scotland</v>
      </c>
      <c r="G216" s="11" t="str">
        <f ca="1">+WORLDCUP!BD58</f>
        <v>South Korea</v>
      </c>
      <c r="H216" s="11" t="str">
        <f ca="1">+WORLDCUP!BD63</f>
        <v>Sweden</v>
      </c>
      <c r="I216" s="11" t="str">
        <f ca="1">+WORLDCUP!BD69</f>
        <v>Ghana</v>
      </c>
      <c r="J216" s="11" t="str">
        <f ca="1">+WORLDCUP!BD68</f>
        <v>DR Congo</v>
      </c>
      <c r="N216" s="11" t="s">
        <v>1021</v>
      </c>
      <c r="O216" s="11">
        <v>215</v>
      </c>
      <c r="P216" s="11" t="s">
        <v>93</v>
      </c>
      <c r="Q216" s="11" t="s">
        <v>441</v>
      </c>
      <c r="R216" s="11" t="s">
        <v>440</v>
      </c>
      <c r="S216" s="11" t="s">
        <v>91</v>
      </c>
      <c r="T216" s="11" t="s">
        <v>89</v>
      </c>
      <c r="U216" s="11" t="s">
        <v>94</v>
      </c>
      <c r="V216" s="11" t="s">
        <v>443</v>
      </c>
      <c r="W216" s="11" t="s">
        <v>442</v>
      </c>
    </row>
    <row r="217" spans="1:23">
      <c r="A217" s="11" t="s">
        <v>1020</v>
      </c>
      <c r="B217" s="11">
        <f ca="1">+IF(A217=WORLDCUP!$BI$112,1,0)</f>
        <v>0</v>
      </c>
      <c r="C217" s="11" t="str">
        <f ca="1">+WORLDCUP!BD65</f>
        <v>Uruguay</v>
      </c>
      <c r="D217" s="11" t="str">
        <f ca="1">+WORLDCUP!BD67</f>
        <v>Algeria</v>
      </c>
      <c r="E217" s="11" t="str">
        <f ca="1">+WORLDCUP!BD62</f>
        <v>Ecuador</v>
      </c>
      <c r="F217" s="11" t="str">
        <f ca="1">+WORLDCUP!BD60</f>
        <v>Scotland</v>
      </c>
      <c r="G217" s="11" t="str">
        <f ca="1">+WORLDCUP!BD58</f>
        <v>South Korea</v>
      </c>
      <c r="H217" s="11" t="str">
        <f ca="1">+WORLDCUP!BD63</f>
        <v>Sweden</v>
      </c>
      <c r="I217" s="11" t="str">
        <f ca="1">+WORLDCUP!BD69</f>
        <v>Ghana</v>
      </c>
      <c r="J217" s="11" t="str">
        <f ca="1">+WORLDCUP!BD68</f>
        <v>DR Congo</v>
      </c>
      <c r="N217" s="11" t="s">
        <v>1020</v>
      </c>
      <c r="O217" s="11">
        <v>216</v>
      </c>
      <c r="P217" s="11" t="s">
        <v>436</v>
      </c>
      <c r="Q217" s="11" t="s">
        <v>441</v>
      </c>
      <c r="R217" s="11" t="s">
        <v>93</v>
      </c>
      <c r="S217" s="11" t="s">
        <v>91</v>
      </c>
      <c r="T217" s="11" t="s">
        <v>89</v>
      </c>
      <c r="U217" s="11" t="s">
        <v>94</v>
      </c>
      <c r="V217" s="11" t="s">
        <v>443</v>
      </c>
      <c r="W217" s="11" t="s">
        <v>442</v>
      </c>
    </row>
    <row r="218" spans="1:23">
      <c r="A218" s="11" t="s">
        <v>1019</v>
      </c>
      <c r="B218" s="11">
        <f ca="1">+IF(A218=WORLDCUP!$BI$112,1,0)</f>
        <v>0</v>
      </c>
      <c r="C218" s="11" t="str">
        <f ca="1">+WORLDCUP!BD65</f>
        <v>Uruguay</v>
      </c>
      <c r="D218" s="11" t="str">
        <f ca="1">+WORLDCUP!BD62</f>
        <v>Ecuador</v>
      </c>
      <c r="E218" s="11" t="str">
        <f ca="1">+WORLDCUP!BD66</f>
        <v>Senegal</v>
      </c>
      <c r="F218" s="11" t="str">
        <f ca="1">+WORLDCUP!BD60</f>
        <v>Scotland</v>
      </c>
      <c r="G218" s="11" t="str">
        <f ca="1">+WORLDCUP!BD58</f>
        <v>South Korea</v>
      </c>
      <c r="H218" s="11" t="str">
        <f ca="1">+WORLDCUP!BD63</f>
        <v>Sweden</v>
      </c>
      <c r="I218" s="11" t="str">
        <f ca="1">+WORLDCUP!BD69</f>
        <v>Ghana</v>
      </c>
      <c r="J218" s="11" t="str">
        <f ca="1">+WORLDCUP!BD68</f>
        <v>DR Congo</v>
      </c>
      <c r="N218" s="11" t="s">
        <v>1019</v>
      </c>
      <c r="O218" s="11">
        <v>217</v>
      </c>
      <c r="P218" s="11" t="s">
        <v>436</v>
      </c>
      <c r="Q218" s="11" t="s">
        <v>93</v>
      </c>
      <c r="R218" s="11" t="s">
        <v>440</v>
      </c>
      <c r="S218" s="11" t="s">
        <v>91</v>
      </c>
      <c r="T218" s="11" t="s">
        <v>89</v>
      </c>
      <c r="U218" s="11" t="s">
        <v>94</v>
      </c>
      <c r="V218" s="11" t="s">
        <v>443</v>
      </c>
      <c r="W218" s="11" t="s">
        <v>442</v>
      </c>
    </row>
    <row r="219" spans="1:23">
      <c r="A219" s="11" t="s">
        <v>1018</v>
      </c>
      <c r="B219" s="11">
        <f ca="1">+IF(A219=WORLDCUP!$BI$112,1,0)</f>
        <v>0</v>
      </c>
      <c r="C219" s="11" t="str">
        <f ca="1">+WORLDCUP!BD65</f>
        <v>Uruguay</v>
      </c>
      <c r="D219" s="11" t="str">
        <f ca="1">+WORLDCUP!BD67</f>
        <v>Algeria</v>
      </c>
      <c r="E219" s="11" t="str">
        <f ca="1">+WORLDCUP!BD62</f>
        <v>Ecuador</v>
      </c>
      <c r="F219" s="11" t="str">
        <f ca="1">+WORLDCUP!BD60</f>
        <v>Scotland</v>
      </c>
      <c r="G219" s="11" t="str">
        <f ca="1">+WORLDCUP!BD58</f>
        <v>South Korea</v>
      </c>
      <c r="H219" s="11" t="str">
        <f ca="1">+WORLDCUP!BD63</f>
        <v>Sweden</v>
      </c>
      <c r="I219" s="11" t="str">
        <f ca="1">+WORLDCUP!BD69</f>
        <v>Ghana</v>
      </c>
      <c r="J219" s="11" t="str">
        <f ca="1">+WORLDCUP!BD66</f>
        <v>Senegal</v>
      </c>
      <c r="N219" s="11" t="s">
        <v>1018</v>
      </c>
      <c r="O219" s="11">
        <v>218</v>
      </c>
      <c r="P219" s="11" t="s">
        <v>436</v>
      </c>
      <c r="Q219" s="11" t="s">
        <v>441</v>
      </c>
      <c r="R219" s="11" t="s">
        <v>93</v>
      </c>
      <c r="S219" s="11" t="s">
        <v>91</v>
      </c>
      <c r="T219" s="11" t="s">
        <v>89</v>
      </c>
      <c r="U219" s="11" t="s">
        <v>94</v>
      </c>
      <c r="V219" s="11" t="s">
        <v>443</v>
      </c>
      <c r="W219" s="11" t="s">
        <v>440</v>
      </c>
    </row>
    <row r="220" spans="1:23">
      <c r="A220" s="11" t="s">
        <v>1017</v>
      </c>
      <c r="B220" s="11">
        <f ca="1">+IF(A220=WORLDCUP!$BI$112,1,0)</f>
        <v>0</v>
      </c>
      <c r="C220" s="11" t="str">
        <f ca="1">+WORLDCUP!BD65</f>
        <v>Uruguay</v>
      </c>
      <c r="D220" s="11" t="str">
        <f ca="1">+WORLDCUP!BD67</f>
        <v>Algeria</v>
      </c>
      <c r="E220" s="11" t="str">
        <f ca="1">+WORLDCUP!BD62</f>
        <v>Ecuador</v>
      </c>
      <c r="F220" s="11" t="str">
        <f ca="1">+WORLDCUP!BD60</f>
        <v>Scotland</v>
      </c>
      <c r="G220" s="11" t="str">
        <f ca="1">+WORLDCUP!BD58</f>
        <v>South Korea</v>
      </c>
      <c r="H220" s="11" t="str">
        <f ca="1">+WORLDCUP!BD63</f>
        <v>Sweden</v>
      </c>
      <c r="I220" s="11" t="str">
        <f ca="1">+WORLDCUP!BD66</f>
        <v>Senegal</v>
      </c>
      <c r="J220" s="11" t="str">
        <f ca="1">+WORLDCUP!BD68</f>
        <v>DR Congo</v>
      </c>
      <c r="N220" s="11" t="s">
        <v>1017</v>
      </c>
      <c r="O220" s="11">
        <v>219</v>
      </c>
      <c r="P220" s="11" t="s">
        <v>436</v>
      </c>
      <c r="Q220" s="11" t="s">
        <v>441</v>
      </c>
      <c r="R220" s="11" t="s">
        <v>93</v>
      </c>
      <c r="S220" s="11" t="s">
        <v>91</v>
      </c>
      <c r="T220" s="11" t="s">
        <v>89</v>
      </c>
      <c r="U220" s="11" t="s">
        <v>94</v>
      </c>
      <c r="V220" s="11" t="s">
        <v>440</v>
      </c>
      <c r="W220" s="11" t="s">
        <v>442</v>
      </c>
    </row>
    <row r="221" spans="1:23">
      <c r="A221" s="11" t="s">
        <v>1016</v>
      </c>
      <c r="B221" s="11">
        <f ca="1">+IF(A221=WORLDCUP!$BI$112,1,0)</f>
        <v>0</v>
      </c>
      <c r="C221" s="11" t="str">
        <f ca="1">+WORLDCUP!BD62</f>
        <v>Ecuador</v>
      </c>
      <c r="D221" s="11" t="str">
        <f ca="1">+WORLDCUP!BD64</f>
        <v>Iran</v>
      </c>
      <c r="E221" s="11" t="str">
        <f ca="1">+WORLDCUP!BD67</f>
        <v>Algeria</v>
      </c>
      <c r="F221" s="11" t="str">
        <f ca="1">+WORLDCUP!BD60</f>
        <v>Scotland</v>
      </c>
      <c r="G221" s="11" t="str">
        <f ca="1">+WORLDCUP!BD58</f>
        <v>South Korea</v>
      </c>
      <c r="H221" s="11" t="str">
        <f ca="1">+WORLDCUP!BD63</f>
        <v>Sweden</v>
      </c>
      <c r="I221" s="11" t="str">
        <f ca="1">+WORLDCUP!BD69</f>
        <v>Ghana</v>
      </c>
      <c r="J221" s="11" t="str">
        <f ca="1">+WORLDCUP!BD68</f>
        <v>DR Congo</v>
      </c>
      <c r="N221" s="11" t="s">
        <v>1016</v>
      </c>
      <c r="O221" s="11">
        <v>220</v>
      </c>
      <c r="P221" s="11" t="s">
        <v>93</v>
      </c>
      <c r="Q221" s="11" t="s">
        <v>435</v>
      </c>
      <c r="R221" s="11" t="s">
        <v>441</v>
      </c>
      <c r="S221" s="11" t="s">
        <v>91</v>
      </c>
      <c r="T221" s="11" t="s">
        <v>89</v>
      </c>
      <c r="U221" s="11" t="s">
        <v>94</v>
      </c>
      <c r="V221" s="11" t="s">
        <v>443</v>
      </c>
      <c r="W221" s="11" t="s">
        <v>442</v>
      </c>
    </row>
    <row r="222" spans="1:23">
      <c r="A222" s="11" t="s">
        <v>1015</v>
      </c>
      <c r="B222" s="11">
        <f ca="1">+IF(A222=WORLDCUP!$BI$112,1,0)</f>
        <v>0</v>
      </c>
      <c r="C222" s="11" t="str">
        <f ca="1">+WORLDCUP!BD62</f>
        <v>Ecuador</v>
      </c>
      <c r="D222" s="11" t="str">
        <f ca="1">+WORLDCUP!BD64</f>
        <v>Iran</v>
      </c>
      <c r="E222" s="11" t="str">
        <f ca="1">+WORLDCUP!BD66</f>
        <v>Senegal</v>
      </c>
      <c r="F222" s="11" t="str">
        <f ca="1">+WORLDCUP!BD60</f>
        <v>Scotland</v>
      </c>
      <c r="G222" s="11" t="str">
        <f ca="1">+WORLDCUP!BD58</f>
        <v>South Korea</v>
      </c>
      <c r="H222" s="11" t="str">
        <f ca="1">+WORLDCUP!BD63</f>
        <v>Sweden</v>
      </c>
      <c r="I222" s="11" t="str">
        <f ca="1">+WORLDCUP!BD69</f>
        <v>Ghana</v>
      </c>
      <c r="J222" s="11" t="str">
        <f ca="1">+WORLDCUP!BD68</f>
        <v>DR Congo</v>
      </c>
      <c r="N222" s="11" t="s">
        <v>1015</v>
      </c>
      <c r="O222" s="11">
        <v>221</v>
      </c>
      <c r="P222" s="11" t="s">
        <v>93</v>
      </c>
      <c r="Q222" s="11" t="s">
        <v>435</v>
      </c>
      <c r="R222" s="11" t="s">
        <v>440</v>
      </c>
      <c r="S222" s="11" t="s">
        <v>91</v>
      </c>
      <c r="T222" s="11" t="s">
        <v>89</v>
      </c>
      <c r="U222" s="11" t="s">
        <v>94</v>
      </c>
      <c r="V222" s="11" t="s">
        <v>443</v>
      </c>
      <c r="W222" s="11" t="s">
        <v>442</v>
      </c>
    </row>
    <row r="223" spans="1:23">
      <c r="A223" s="11" t="s">
        <v>1014</v>
      </c>
      <c r="B223" s="11">
        <f ca="1">+IF(A223=WORLDCUP!$BI$112,1,0)</f>
        <v>0</v>
      </c>
      <c r="C223" s="11" t="str">
        <f ca="1">+WORLDCUP!BD62</f>
        <v>Ecuador</v>
      </c>
      <c r="D223" s="11" t="str">
        <f ca="1">+WORLDCUP!BD64</f>
        <v>Iran</v>
      </c>
      <c r="E223" s="11" t="str">
        <f ca="1">+WORLDCUP!BD67</f>
        <v>Algeria</v>
      </c>
      <c r="F223" s="11" t="str">
        <f ca="1">+WORLDCUP!BD60</f>
        <v>Scotland</v>
      </c>
      <c r="G223" s="11" t="str">
        <f ca="1">+WORLDCUP!BD58</f>
        <v>South Korea</v>
      </c>
      <c r="H223" s="11" t="str">
        <f ca="1">+WORLDCUP!BD63</f>
        <v>Sweden</v>
      </c>
      <c r="I223" s="11" t="str">
        <f ca="1">+WORLDCUP!BD69</f>
        <v>Ghana</v>
      </c>
      <c r="J223" s="11" t="str">
        <f ca="1">+WORLDCUP!BD66</f>
        <v>Senegal</v>
      </c>
      <c r="N223" s="11" t="s">
        <v>1014</v>
      </c>
      <c r="O223" s="11">
        <v>222</v>
      </c>
      <c r="P223" s="11" t="s">
        <v>93</v>
      </c>
      <c r="Q223" s="11" t="s">
        <v>435</v>
      </c>
      <c r="R223" s="11" t="s">
        <v>441</v>
      </c>
      <c r="S223" s="11" t="s">
        <v>91</v>
      </c>
      <c r="T223" s="11" t="s">
        <v>89</v>
      </c>
      <c r="U223" s="11" t="s">
        <v>94</v>
      </c>
      <c r="V223" s="11" t="s">
        <v>443</v>
      </c>
      <c r="W223" s="11" t="s">
        <v>440</v>
      </c>
    </row>
    <row r="224" spans="1:23">
      <c r="A224" s="11" t="s">
        <v>1013</v>
      </c>
      <c r="B224" s="11">
        <f ca="1">+IF(A224=WORLDCUP!$BI$112,1,0)</f>
        <v>0</v>
      </c>
      <c r="C224" s="11" t="str">
        <f ca="1">+WORLDCUP!BD62</f>
        <v>Ecuador</v>
      </c>
      <c r="D224" s="11" t="str">
        <f ca="1">+WORLDCUP!BD64</f>
        <v>Iran</v>
      </c>
      <c r="E224" s="11" t="str">
        <f ca="1">+WORLDCUP!BD67</f>
        <v>Algeria</v>
      </c>
      <c r="F224" s="11" t="str">
        <f ca="1">+WORLDCUP!BD60</f>
        <v>Scotland</v>
      </c>
      <c r="G224" s="11" t="str">
        <f ca="1">+WORLDCUP!BD58</f>
        <v>South Korea</v>
      </c>
      <c r="H224" s="11" t="str">
        <f ca="1">+WORLDCUP!BD63</f>
        <v>Sweden</v>
      </c>
      <c r="I224" s="11" t="str">
        <f ca="1">+WORLDCUP!BD66</f>
        <v>Senegal</v>
      </c>
      <c r="J224" s="11" t="str">
        <f ca="1">+WORLDCUP!BD68</f>
        <v>DR Congo</v>
      </c>
      <c r="N224" s="11" t="s">
        <v>1013</v>
      </c>
      <c r="O224" s="11">
        <v>223</v>
      </c>
      <c r="P224" s="11" t="s">
        <v>93</v>
      </c>
      <c r="Q224" s="11" t="s">
        <v>435</v>
      </c>
      <c r="R224" s="11" t="s">
        <v>441</v>
      </c>
      <c r="S224" s="11" t="s">
        <v>91</v>
      </c>
      <c r="T224" s="11" t="s">
        <v>89</v>
      </c>
      <c r="U224" s="11" t="s">
        <v>94</v>
      </c>
      <c r="V224" s="11" t="s">
        <v>440</v>
      </c>
      <c r="W224" s="11" t="s">
        <v>442</v>
      </c>
    </row>
    <row r="225" spans="1:23">
      <c r="A225" s="11" t="s">
        <v>1012</v>
      </c>
      <c r="B225" s="11">
        <f ca="1">+IF(A225=WORLDCUP!$BI$112,1,0)</f>
        <v>0</v>
      </c>
      <c r="C225" s="11" t="str">
        <f ca="1">+WORLDCUP!BD65</f>
        <v>Uruguay</v>
      </c>
      <c r="D225" s="11" t="str">
        <f ca="1">+WORLDCUP!BD64</f>
        <v>Iran</v>
      </c>
      <c r="E225" s="11" t="str">
        <f ca="1">+WORLDCUP!BD62</f>
        <v>Ecuador</v>
      </c>
      <c r="F225" s="11" t="str">
        <f ca="1">+WORLDCUP!BD60</f>
        <v>Scotland</v>
      </c>
      <c r="G225" s="11" t="str">
        <f ca="1">+WORLDCUP!BD58</f>
        <v>South Korea</v>
      </c>
      <c r="H225" s="11" t="str">
        <f ca="1">+WORLDCUP!BD63</f>
        <v>Sweden</v>
      </c>
      <c r="I225" s="11" t="str">
        <f ca="1">+WORLDCUP!BD69</f>
        <v>Ghana</v>
      </c>
      <c r="J225" s="11" t="str">
        <f ca="1">+WORLDCUP!BD68</f>
        <v>DR Congo</v>
      </c>
      <c r="N225" s="11" t="s">
        <v>1012</v>
      </c>
      <c r="O225" s="11">
        <v>224</v>
      </c>
      <c r="P225" s="11" t="s">
        <v>436</v>
      </c>
      <c r="Q225" s="11" t="s">
        <v>435</v>
      </c>
      <c r="R225" s="11" t="s">
        <v>93</v>
      </c>
      <c r="S225" s="11" t="s">
        <v>91</v>
      </c>
      <c r="T225" s="11" t="s">
        <v>89</v>
      </c>
      <c r="U225" s="11" t="s">
        <v>94</v>
      </c>
      <c r="V225" s="11" t="s">
        <v>443</v>
      </c>
      <c r="W225" s="11" t="s">
        <v>442</v>
      </c>
    </row>
    <row r="226" spans="1:23">
      <c r="A226" s="11" t="s">
        <v>1011</v>
      </c>
      <c r="B226" s="11">
        <f ca="1">+IF(A226=WORLDCUP!$BI$112,1,0)</f>
        <v>0</v>
      </c>
      <c r="C226" s="11" t="str">
        <f ca="1">+WORLDCUP!BD65</f>
        <v>Uruguay</v>
      </c>
      <c r="D226" s="11" t="str">
        <f ca="1">+WORLDCUP!BD64</f>
        <v>Iran</v>
      </c>
      <c r="E226" s="11" t="str">
        <f ca="1">+WORLDCUP!BD67</f>
        <v>Algeria</v>
      </c>
      <c r="F226" s="11" t="str">
        <f ca="1">+WORLDCUP!BD60</f>
        <v>Scotland</v>
      </c>
      <c r="G226" s="11" t="str">
        <f ca="1">+WORLDCUP!BD58</f>
        <v>South Korea</v>
      </c>
      <c r="H226" s="11" t="str">
        <f ca="1">+WORLDCUP!BD63</f>
        <v>Sweden</v>
      </c>
      <c r="I226" s="11" t="str">
        <f ca="1">+WORLDCUP!BD69</f>
        <v>Ghana</v>
      </c>
      <c r="J226" s="11" t="str">
        <f ca="1">+WORLDCUP!BD62</f>
        <v>Ecuador</v>
      </c>
      <c r="N226" s="11" t="s">
        <v>1011</v>
      </c>
      <c r="O226" s="11">
        <v>225</v>
      </c>
      <c r="P226" s="11" t="s">
        <v>436</v>
      </c>
      <c r="Q226" s="11" t="s">
        <v>435</v>
      </c>
      <c r="R226" s="11" t="s">
        <v>441</v>
      </c>
      <c r="S226" s="11" t="s">
        <v>91</v>
      </c>
      <c r="T226" s="11" t="s">
        <v>89</v>
      </c>
      <c r="U226" s="11" t="s">
        <v>94</v>
      </c>
      <c r="V226" s="11" t="s">
        <v>443</v>
      </c>
      <c r="W226" s="11" t="s">
        <v>93</v>
      </c>
    </row>
    <row r="227" spans="1:23">
      <c r="A227" s="11" t="s">
        <v>1010</v>
      </c>
      <c r="B227" s="11">
        <f ca="1">+IF(A227=WORLDCUP!$BI$112,1,0)</f>
        <v>0</v>
      </c>
      <c r="C227" s="11" t="str">
        <f ca="1">+WORLDCUP!BD65</f>
        <v>Uruguay</v>
      </c>
      <c r="D227" s="11" t="str">
        <f ca="1">+WORLDCUP!BD64</f>
        <v>Iran</v>
      </c>
      <c r="E227" s="11" t="str">
        <f ca="1">+WORLDCUP!BD67</f>
        <v>Algeria</v>
      </c>
      <c r="F227" s="11" t="str">
        <f ca="1">+WORLDCUP!BD60</f>
        <v>Scotland</v>
      </c>
      <c r="G227" s="11" t="str">
        <f ca="1">+WORLDCUP!BD58</f>
        <v>South Korea</v>
      </c>
      <c r="H227" s="11" t="str">
        <f ca="1">+WORLDCUP!BD63</f>
        <v>Sweden</v>
      </c>
      <c r="I227" s="11" t="str">
        <f ca="1">+WORLDCUP!BD62</f>
        <v>Ecuador</v>
      </c>
      <c r="J227" s="11" t="str">
        <f ca="1">+WORLDCUP!BD68</f>
        <v>DR Congo</v>
      </c>
      <c r="N227" s="11" t="s">
        <v>1010</v>
      </c>
      <c r="O227" s="11">
        <v>226</v>
      </c>
      <c r="P227" s="11" t="s">
        <v>436</v>
      </c>
      <c r="Q227" s="11" t="s">
        <v>435</v>
      </c>
      <c r="R227" s="11" t="s">
        <v>441</v>
      </c>
      <c r="S227" s="11" t="s">
        <v>91</v>
      </c>
      <c r="T227" s="11" t="s">
        <v>89</v>
      </c>
      <c r="U227" s="11" t="s">
        <v>94</v>
      </c>
      <c r="V227" s="11" t="s">
        <v>93</v>
      </c>
      <c r="W227" s="11" t="s">
        <v>442</v>
      </c>
    </row>
    <row r="228" spans="1:23">
      <c r="A228" s="11" t="s">
        <v>1009</v>
      </c>
      <c r="B228" s="11">
        <f ca="1">+IF(A228=WORLDCUP!$BI$112,1,0)</f>
        <v>0</v>
      </c>
      <c r="C228" s="11" t="str">
        <f ca="1">+WORLDCUP!BD65</f>
        <v>Uruguay</v>
      </c>
      <c r="D228" s="11" t="str">
        <f ca="1">+WORLDCUP!BD64</f>
        <v>Iran</v>
      </c>
      <c r="E228" s="11" t="str">
        <f ca="1">+WORLDCUP!BD62</f>
        <v>Ecuador</v>
      </c>
      <c r="F228" s="11" t="str">
        <f ca="1">+WORLDCUP!BD60</f>
        <v>Scotland</v>
      </c>
      <c r="G228" s="11" t="str">
        <f ca="1">+WORLDCUP!BD58</f>
        <v>South Korea</v>
      </c>
      <c r="H228" s="11" t="str">
        <f ca="1">+WORLDCUP!BD63</f>
        <v>Sweden</v>
      </c>
      <c r="I228" s="11" t="str">
        <f ca="1">+WORLDCUP!BD69</f>
        <v>Ghana</v>
      </c>
      <c r="J228" s="11" t="str">
        <f ca="1">+WORLDCUP!BD66</f>
        <v>Senegal</v>
      </c>
      <c r="N228" s="11" t="s">
        <v>1009</v>
      </c>
      <c r="O228" s="11">
        <v>227</v>
      </c>
      <c r="P228" s="11" t="s">
        <v>436</v>
      </c>
      <c r="Q228" s="11" t="s">
        <v>435</v>
      </c>
      <c r="R228" s="11" t="s">
        <v>93</v>
      </c>
      <c r="S228" s="11" t="s">
        <v>91</v>
      </c>
      <c r="T228" s="11" t="s">
        <v>89</v>
      </c>
      <c r="U228" s="11" t="s">
        <v>94</v>
      </c>
      <c r="V228" s="11" t="s">
        <v>443</v>
      </c>
      <c r="W228" s="11" t="s">
        <v>440</v>
      </c>
    </row>
    <row r="229" spans="1:23">
      <c r="A229" s="11" t="s">
        <v>1008</v>
      </c>
      <c r="B229" s="11">
        <f ca="1">+IF(A229=WORLDCUP!$BI$112,1,0)</f>
        <v>0</v>
      </c>
      <c r="C229" s="11" t="str">
        <f ca="1">+WORLDCUP!BD65</f>
        <v>Uruguay</v>
      </c>
      <c r="D229" s="11" t="str">
        <f ca="1">+WORLDCUP!BD64</f>
        <v>Iran</v>
      </c>
      <c r="E229" s="11" t="str">
        <f ca="1">+WORLDCUP!BD62</f>
        <v>Ecuador</v>
      </c>
      <c r="F229" s="11" t="str">
        <f ca="1">+WORLDCUP!BD60</f>
        <v>Scotland</v>
      </c>
      <c r="G229" s="11" t="str">
        <f ca="1">+WORLDCUP!BD58</f>
        <v>South Korea</v>
      </c>
      <c r="H229" s="11" t="str">
        <f ca="1">+WORLDCUP!BD63</f>
        <v>Sweden</v>
      </c>
      <c r="I229" s="11" t="str">
        <f ca="1">+WORLDCUP!BD66</f>
        <v>Senegal</v>
      </c>
      <c r="J229" s="11" t="str">
        <f ca="1">+WORLDCUP!BD68</f>
        <v>DR Congo</v>
      </c>
      <c r="N229" s="11" t="s">
        <v>1008</v>
      </c>
      <c r="O229" s="11">
        <v>228</v>
      </c>
      <c r="P229" s="11" t="s">
        <v>436</v>
      </c>
      <c r="Q229" s="11" t="s">
        <v>435</v>
      </c>
      <c r="R229" s="11" t="s">
        <v>93</v>
      </c>
      <c r="S229" s="11" t="s">
        <v>91</v>
      </c>
      <c r="T229" s="11" t="s">
        <v>89</v>
      </c>
      <c r="U229" s="11" t="s">
        <v>94</v>
      </c>
      <c r="V229" s="11" t="s">
        <v>440</v>
      </c>
      <c r="W229" s="11" t="s">
        <v>442</v>
      </c>
    </row>
    <row r="230" spans="1:23">
      <c r="A230" s="11" t="s">
        <v>1007</v>
      </c>
      <c r="B230" s="11">
        <f ca="1">+IF(A230=WORLDCUP!$BI$112,1,0)</f>
        <v>0</v>
      </c>
      <c r="C230" s="11" t="str">
        <f ca="1">+WORLDCUP!BD65</f>
        <v>Uruguay</v>
      </c>
      <c r="D230" s="11" t="str">
        <f ca="1">+WORLDCUP!BD64</f>
        <v>Iran</v>
      </c>
      <c r="E230" s="11" t="str">
        <f ca="1">+WORLDCUP!BD67</f>
        <v>Algeria</v>
      </c>
      <c r="F230" s="11" t="str">
        <f ca="1">+WORLDCUP!BD60</f>
        <v>Scotland</v>
      </c>
      <c r="G230" s="11" t="str">
        <f ca="1">+WORLDCUP!BD58</f>
        <v>South Korea</v>
      </c>
      <c r="H230" s="11" t="str">
        <f ca="1">+WORLDCUP!BD63</f>
        <v>Sweden</v>
      </c>
      <c r="I230" s="11" t="str">
        <f ca="1">+WORLDCUP!BD62</f>
        <v>Ecuador</v>
      </c>
      <c r="J230" s="11" t="str">
        <f ca="1">+WORLDCUP!BD66</f>
        <v>Senegal</v>
      </c>
      <c r="N230" s="11" t="s">
        <v>1007</v>
      </c>
      <c r="O230" s="11">
        <v>229</v>
      </c>
      <c r="P230" s="11" t="s">
        <v>436</v>
      </c>
      <c r="Q230" s="11" t="s">
        <v>435</v>
      </c>
      <c r="R230" s="11" t="s">
        <v>441</v>
      </c>
      <c r="S230" s="11" t="s">
        <v>91</v>
      </c>
      <c r="T230" s="11" t="s">
        <v>89</v>
      </c>
      <c r="U230" s="11" t="s">
        <v>94</v>
      </c>
      <c r="V230" s="11" t="s">
        <v>93</v>
      </c>
      <c r="W230" s="11" t="s">
        <v>440</v>
      </c>
    </row>
    <row r="231" spans="1:23">
      <c r="A231" s="11" t="s">
        <v>1006</v>
      </c>
      <c r="B231" s="11">
        <f ca="1">+IF(A231=WORLDCUP!$BI$112,1,0)</f>
        <v>0</v>
      </c>
      <c r="C231" s="11" t="str">
        <f ca="1">+WORLDCUP!BD65</f>
        <v>Uruguay</v>
      </c>
      <c r="D231" s="11" t="str">
        <f ca="1">+WORLDCUP!BD67</f>
        <v>Algeria</v>
      </c>
      <c r="E231" s="11" t="str">
        <f ca="1">+WORLDCUP!BD66</f>
        <v>Senegal</v>
      </c>
      <c r="F231" s="11" t="str">
        <f ca="1">+WORLDCUP!BD60</f>
        <v>Scotland</v>
      </c>
      <c r="G231" s="11" t="str">
        <f ca="1">+WORLDCUP!BD58</f>
        <v>South Korea</v>
      </c>
      <c r="H231" s="11" t="str">
        <f ca="1">+WORLDCUP!BD61</f>
        <v>Paraguay</v>
      </c>
      <c r="I231" s="11" t="str">
        <f ca="1">+WORLDCUP!BD69</f>
        <v>Ghana</v>
      </c>
      <c r="J231" s="11" t="str">
        <f ca="1">+WORLDCUP!BD68</f>
        <v>DR Congo</v>
      </c>
      <c r="N231" s="11" t="s">
        <v>1006</v>
      </c>
      <c r="O231" s="11">
        <v>230</v>
      </c>
      <c r="P231" s="11" t="s">
        <v>436</v>
      </c>
      <c r="Q231" s="11" t="s">
        <v>441</v>
      </c>
      <c r="R231" s="11" t="s">
        <v>440</v>
      </c>
      <c r="S231" s="11" t="s">
        <v>91</v>
      </c>
      <c r="T231" s="11" t="s">
        <v>89</v>
      </c>
      <c r="U231" s="11" t="s">
        <v>92</v>
      </c>
      <c r="V231" s="11" t="s">
        <v>443</v>
      </c>
      <c r="W231" s="11" t="s">
        <v>442</v>
      </c>
    </row>
    <row r="232" spans="1:23">
      <c r="A232" s="11" t="s">
        <v>1005</v>
      </c>
      <c r="B232" s="11">
        <f ca="1">+IF(A232=WORLDCUP!$BI$112,1,0)</f>
        <v>0</v>
      </c>
      <c r="C232" s="11" t="str">
        <f ca="1">+WORLDCUP!BD66</f>
        <v>Senegal</v>
      </c>
      <c r="D232" s="11" t="str">
        <f ca="1">+WORLDCUP!BD64</f>
        <v>Iran</v>
      </c>
      <c r="E232" s="11" t="str">
        <f ca="1">+WORLDCUP!BD67</f>
        <v>Algeria</v>
      </c>
      <c r="F232" s="11" t="str">
        <f ca="1">+WORLDCUP!BD60</f>
        <v>Scotland</v>
      </c>
      <c r="G232" s="11" t="str">
        <f ca="1">+WORLDCUP!BD58</f>
        <v>South Korea</v>
      </c>
      <c r="H232" s="11" t="str">
        <f ca="1">+WORLDCUP!BD61</f>
        <v>Paraguay</v>
      </c>
      <c r="I232" s="11" t="str">
        <f ca="1">+WORLDCUP!BD69</f>
        <v>Ghana</v>
      </c>
      <c r="J232" s="11" t="str">
        <f ca="1">+WORLDCUP!BD68</f>
        <v>DR Congo</v>
      </c>
      <c r="N232" s="11" t="s">
        <v>1005</v>
      </c>
      <c r="O232" s="11">
        <v>231</v>
      </c>
      <c r="P232" s="11" t="s">
        <v>440</v>
      </c>
      <c r="Q232" s="11" t="s">
        <v>435</v>
      </c>
      <c r="R232" s="11" t="s">
        <v>441</v>
      </c>
      <c r="S232" s="11" t="s">
        <v>91</v>
      </c>
      <c r="T232" s="11" t="s">
        <v>89</v>
      </c>
      <c r="U232" s="11" t="s">
        <v>92</v>
      </c>
      <c r="V232" s="11" t="s">
        <v>443</v>
      </c>
      <c r="W232" s="11" t="s">
        <v>442</v>
      </c>
    </row>
    <row r="233" spans="1:23">
      <c r="A233" s="11" t="s">
        <v>1004</v>
      </c>
      <c r="B233" s="11">
        <f ca="1">+IF(A233=WORLDCUP!$BI$112,1,0)</f>
        <v>0</v>
      </c>
      <c r="C233" s="11" t="str">
        <f ca="1">+WORLDCUP!BD65</f>
        <v>Uruguay</v>
      </c>
      <c r="D233" s="11" t="str">
        <f ca="1">+WORLDCUP!BD64</f>
        <v>Iran</v>
      </c>
      <c r="E233" s="11" t="str">
        <f ca="1">+WORLDCUP!BD67</f>
        <v>Algeria</v>
      </c>
      <c r="F233" s="11" t="str">
        <f ca="1">+WORLDCUP!BD60</f>
        <v>Scotland</v>
      </c>
      <c r="G233" s="11" t="str">
        <f ca="1">+WORLDCUP!BD58</f>
        <v>South Korea</v>
      </c>
      <c r="H233" s="11" t="str">
        <f ca="1">+WORLDCUP!BD61</f>
        <v>Paraguay</v>
      </c>
      <c r="I233" s="11" t="str">
        <f ca="1">+WORLDCUP!BD69</f>
        <v>Ghana</v>
      </c>
      <c r="J233" s="11" t="str">
        <f ca="1">+WORLDCUP!BD68</f>
        <v>DR Congo</v>
      </c>
      <c r="N233" s="11" t="s">
        <v>1004</v>
      </c>
      <c r="O233" s="11">
        <v>232</v>
      </c>
      <c r="P233" s="11" t="s">
        <v>436</v>
      </c>
      <c r="Q233" s="11" t="s">
        <v>435</v>
      </c>
      <c r="R233" s="11" t="s">
        <v>441</v>
      </c>
      <c r="S233" s="11" t="s">
        <v>91</v>
      </c>
      <c r="T233" s="11" t="s">
        <v>89</v>
      </c>
      <c r="U233" s="11" t="s">
        <v>92</v>
      </c>
      <c r="V233" s="11" t="s">
        <v>443</v>
      </c>
      <c r="W233" s="11" t="s">
        <v>442</v>
      </c>
    </row>
    <row r="234" spans="1:23">
      <c r="A234" s="11" t="s">
        <v>1003</v>
      </c>
      <c r="B234" s="11">
        <f ca="1">+IF(A234=WORLDCUP!$BI$112,1,0)</f>
        <v>0</v>
      </c>
      <c r="C234" s="11" t="str">
        <f ca="1">+WORLDCUP!BD65</f>
        <v>Uruguay</v>
      </c>
      <c r="D234" s="11" t="str">
        <f ca="1">+WORLDCUP!BD64</f>
        <v>Iran</v>
      </c>
      <c r="E234" s="11" t="str">
        <f ca="1">+WORLDCUP!BD66</f>
        <v>Senegal</v>
      </c>
      <c r="F234" s="11" t="str">
        <f ca="1">+WORLDCUP!BD60</f>
        <v>Scotland</v>
      </c>
      <c r="G234" s="11" t="str">
        <f ca="1">+WORLDCUP!BD58</f>
        <v>South Korea</v>
      </c>
      <c r="H234" s="11" t="str">
        <f ca="1">+WORLDCUP!BD61</f>
        <v>Paraguay</v>
      </c>
      <c r="I234" s="11" t="str">
        <f ca="1">+WORLDCUP!BD69</f>
        <v>Ghana</v>
      </c>
      <c r="J234" s="11" t="str">
        <f ca="1">+WORLDCUP!BD68</f>
        <v>DR Congo</v>
      </c>
      <c r="N234" s="11" t="s">
        <v>1003</v>
      </c>
      <c r="O234" s="11">
        <v>233</v>
      </c>
      <c r="P234" s="11" t="s">
        <v>436</v>
      </c>
      <c r="Q234" s="11" t="s">
        <v>435</v>
      </c>
      <c r="R234" s="11" t="s">
        <v>440</v>
      </c>
      <c r="S234" s="11" t="s">
        <v>91</v>
      </c>
      <c r="T234" s="11" t="s">
        <v>89</v>
      </c>
      <c r="U234" s="11" t="s">
        <v>92</v>
      </c>
      <c r="V234" s="11" t="s">
        <v>443</v>
      </c>
      <c r="W234" s="11" t="s">
        <v>442</v>
      </c>
    </row>
    <row r="235" spans="1:23">
      <c r="A235" s="11" t="s">
        <v>1002</v>
      </c>
      <c r="B235" s="11">
        <f ca="1">+IF(A235=WORLDCUP!$BI$112,1,0)</f>
        <v>0</v>
      </c>
      <c r="C235" s="11" t="str">
        <f ca="1">+WORLDCUP!BD65</f>
        <v>Uruguay</v>
      </c>
      <c r="D235" s="11" t="str">
        <f ca="1">+WORLDCUP!BD64</f>
        <v>Iran</v>
      </c>
      <c r="E235" s="11" t="str">
        <f ca="1">+WORLDCUP!BD67</f>
        <v>Algeria</v>
      </c>
      <c r="F235" s="11" t="str">
        <f ca="1">+WORLDCUP!BD60</f>
        <v>Scotland</v>
      </c>
      <c r="G235" s="11" t="str">
        <f ca="1">+WORLDCUP!BD58</f>
        <v>South Korea</v>
      </c>
      <c r="H235" s="11" t="str">
        <f ca="1">+WORLDCUP!BD61</f>
        <v>Paraguay</v>
      </c>
      <c r="I235" s="11" t="str">
        <f ca="1">+WORLDCUP!BD69</f>
        <v>Ghana</v>
      </c>
      <c r="J235" s="11" t="str">
        <f ca="1">+WORLDCUP!BD66</f>
        <v>Senegal</v>
      </c>
      <c r="N235" s="11" t="s">
        <v>1002</v>
      </c>
      <c r="O235" s="11">
        <v>234</v>
      </c>
      <c r="P235" s="11" t="s">
        <v>436</v>
      </c>
      <c r="Q235" s="11" t="s">
        <v>435</v>
      </c>
      <c r="R235" s="11" t="s">
        <v>441</v>
      </c>
      <c r="S235" s="11" t="s">
        <v>91</v>
      </c>
      <c r="T235" s="11" t="s">
        <v>89</v>
      </c>
      <c r="U235" s="11" t="s">
        <v>92</v>
      </c>
      <c r="V235" s="11" t="s">
        <v>443</v>
      </c>
      <c r="W235" s="11" t="s">
        <v>440</v>
      </c>
    </row>
    <row r="236" spans="1:23">
      <c r="A236" s="11" t="s">
        <v>1001</v>
      </c>
      <c r="B236" s="11">
        <f ca="1">+IF(A236=WORLDCUP!$BI$112,1,0)</f>
        <v>0</v>
      </c>
      <c r="C236" s="11" t="str">
        <f ca="1">+WORLDCUP!BD65</f>
        <v>Uruguay</v>
      </c>
      <c r="D236" s="11" t="str">
        <f ca="1">+WORLDCUP!BD64</f>
        <v>Iran</v>
      </c>
      <c r="E236" s="11" t="str">
        <f ca="1">+WORLDCUP!BD67</f>
        <v>Algeria</v>
      </c>
      <c r="F236" s="11" t="str">
        <f ca="1">+WORLDCUP!BD60</f>
        <v>Scotland</v>
      </c>
      <c r="G236" s="11" t="str">
        <f ca="1">+WORLDCUP!BD58</f>
        <v>South Korea</v>
      </c>
      <c r="H236" s="11" t="str">
        <f ca="1">+WORLDCUP!BD61</f>
        <v>Paraguay</v>
      </c>
      <c r="I236" s="11" t="str">
        <f ca="1">+WORLDCUP!BD66</f>
        <v>Senegal</v>
      </c>
      <c r="J236" s="11" t="str">
        <f ca="1">+WORLDCUP!BD68</f>
        <v>DR Congo</v>
      </c>
      <c r="N236" s="11" t="s">
        <v>1001</v>
      </c>
      <c r="O236" s="11">
        <v>235</v>
      </c>
      <c r="P236" s="11" t="s">
        <v>436</v>
      </c>
      <c r="Q236" s="11" t="s">
        <v>435</v>
      </c>
      <c r="R236" s="11" t="s">
        <v>441</v>
      </c>
      <c r="S236" s="11" t="s">
        <v>91</v>
      </c>
      <c r="T236" s="11" t="s">
        <v>89</v>
      </c>
      <c r="U236" s="11" t="s">
        <v>92</v>
      </c>
      <c r="V236" s="11" t="s">
        <v>440</v>
      </c>
      <c r="W236" s="11" t="s">
        <v>442</v>
      </c>
    </row>
    <row r="237" spans="1:23">
      <c r="A237" s="11" t="s">
        <v>1000</v>
      </c>
      <c r="B237" s="11">
        <f ca="1">+IF(A237=WORLDCUP!$BI$112,1,0)</f>
        <v>0</v>
      </c>
      <c r="C237" s="11" t="str">
        <f ca="1">+WORLDCUP!BD60</f>
        <v>Scotland</v>
      </c>
      <c r="D237" s="11" t="str">
        <f ca="1">+WORLDCUP!BD67</f>
        <v>Algeria</v>
      </c>
      <c r="E237" s="11" t="str">
        <f ca="1">+WORLDCUP!BD66</f>
        <v>Senegal</v>
      </c>
      <c r="F237" s="11" t="str">
        <f ca="1">+WORLDCUP!BD61</f>
        <v>Paraguay</v>
      </c>
      <c r="G237" s="11" t="str">
        <f ca="1">+WORLDCUP!BD58</f>
        <v>South Korea</v>
      </c>
      <c r="H237" s="11" t="str">
        <f ca="1">+WORLDCUP!BD63</f>
        <v>Sweden</v>
      </c>
      <c r="I237" s="11" t="str">
        <f ca="1">+WORLDCUP!BD69</f>
        <v>Ghana</v>
      </c>
      <c r="J237" s="11" t="str">
        <f ca="1">+WORLDCUP!BD68</f>
        <v>DR Congo</v>
      </c>
      <c r="N237" s="11" t="s">
        <v>1000</v>
      </c>
      <c r="O237" s="11">
        <v>236</v>
      </c>
      <c r="P237" s="11" t="s">
        <v>91</v>
      </c>
      <c r="Q237" s="11" t="s">
        <v>441</v>
      </c>
      <c r="R237" s="11" t="s">
        <v>440</v>
      </c>
      <c r="S237" s="11" t="s">
        <v>92</v>
      </c>
      <c r="T237" s="11" t="s">
        <v>89</v>
      </c>
      <c r="U237" s="11" t="s">
        <v>94</v>
      </c>
      <c r="V237" s="11" t="s">
        <v>443</v>
      </c>
      <c r="W237" s="11" t="s">
        <v>442</v>
      </c>
    </row>
    <row r="238" spans="1:23">
      <c r="A238" s="11" t="s">
        <v>999</v>
      </c>
      <c r="B238" s="11">
        <f ca="1">+IF(A238=WORLDCUP!$BI$112,1,0)</f>
        <v>0</v>
      </c>
      <c r="C238" s="11" t="str">
        <f ca="1">+WORLDCUP!BD65</f>
        <v>Uruguay</v>
      </c>
      <c r="D238" s="11" t="str">
        <f ca="1">+WORLDCUP!BD67</f>
        <v>Algeria</v>
      </c>
      <c r="E238" s="11" t="str">
        <f ca="1">+WORLDCUP!BD63</f>
        <v>Sweden</v>
      </c>
      <c r="F238" s="11" t="str">
        <f ca="1">+WORLDCUP!BD60</f>
        <v>Scotland</v>
      </c>
      <c r="G238" s="11" t="str">
        <f ca="1">+WORLDCUP!BD58</f>
        <v>South Korea</v>
      </c>
      <c r="H238" s="11" t="str">
        <f ca="1">+WORLDCUP!BD61</f>
        <v>Paraguay</v>
      </c>
      <c r="I238" s="11" t="str">
        <f ca="1">+WORLDCUP!BD69</f>
        <v>Ghana</v>
      </c>
      <c r="J238" s="11" t="str">
        <f ca="1">+WORLDCUP!BD68</f>
        <v>DR Congo</v>
      </c>
      <c r="N238" s="11" t="s">
        <v>999</v>
      </c>
      <c r="O238" s="11">
        <v>237</v>
      </c>
      <c r="P238" s="11" t="s">
        <v>436</v>
      </c>
      <c r="Q238" s="11" t="s">
        <v>441</v>
      </c>
      <c r="R238" s="11" t="s">
        <v>94</v>
      </c>
      <c r="S238" s="11" t="s">
        <v>91</v>
      </c>
      <c r="T238" s="11" t="s">
        <v>89</v>
      </c>
      <c r="U238" s="11" t="s">
        <v>92</v>
      </c>
      <c r="V238" s="11" t="s">
        <v>443</v>
      </c>
      <c r="W238" s="11" t="s">
        <v>442</v>
      </c>
    </row>
    <row r="239" spans="1:23">
      <c r="A239" s="11" t="s">
        <v>998</v>
      </c>
      <c r="B239" s="11">
        <f ca="1">+IF(A239=WORLDCUP!$BI$112,1,0)</f>
        <v>0</v>
      </c>
      <c r="C239" s="11" t="str">
        <f ca="1">+WORLDCUP!BD65</f>
        <v>Uruguay</v>
      </c>
      <c r="D239" s="11" t="str">
        <f ca="1">+WORLDCUP!BD63</f>
        <v>Sweden</v>
      </c>
      <c r="E239" s="11" t="str">
        <f ca="1">+WORLDCUP!BD66</f>
        <v>Senegal</v>
      </c>
      <c r="F239" s="11" t="str">
        <f ca="1">+WORLDCUP!BD60</f>
        <v>Scotland</v>
      </c>
      <c r="G239" s="11" t="str">
        <f ca="1">+WORLDCUP!BD58</f>
        <v>South Korea</v>
      </c>
      <c r="H239" s="11" t="str">
        <f ca="1">+WORLDCUP!BD61</f>
        <v>Paraguay</v>
      </c>
      <c r="I239" s="11" t="str">
        <f ca="1">+WORLDCUP!BD69</f>
        <v>Ghana</v>
      </c>
      <c r="J239" s="11" t="str">
        <f ca="1">+WORLDCUP!BD68</f>
        <v>DR Congo</v>
      </c>
      <c r="N239" s="11" t="s">
        <v>998</v>
      </c>
      <c r="O239" s="11">
        <v>238</v>
      </c>
      <c r="P239" s="11" t="s">
        <v>436</v>
      </c>
      <c r="Q239" s="11" t="s">
        <v>94</v>
      </c>
      <c r="R239" s="11" t="s">
        <v>440</v>
      </c>
      <c r="S239" s="11" t="s">
        <v>91</v>
      </c>
      <c r="T239" s="11" t="s">
        <v>89</v>
      </c>
      <c r="U239" s="11" t="s">
        <v>92</v>
      </c>
      <c r="V239" s="11" t="s">
        <v>443</v>
      </c>
      <c r="W239" s="11" t="s">
        <v>442</v>
      </c>
    </row>
    <row r="240" spans="1:23">
      <c r="A240" s="11" t="s">
        <v>997</v>
      </c>
      <c r="B240" s="11">
        <f ca="1">+IF(A240=WORLDCUP!$BI$112,1,0)</f>
        <v>0</v>
      </c>
      <c r="C240" s="11" t="str">
        <f ca="1">+WORLDCUP!BD65</f>
        <v>Uruguay</v>
      </c>
      <c r="D240" s="11" t="str">
        <f ca="1">+WORLDCUP!BD67</f>
        <v>Algeria</v>
      </c>
      <c r="E240" s="11" t="str">
        <f ca="1">+WORLDCUP!BD63</f>
        <v>Sweden</v>
      </c>
      <c r="F240" s="11" t="str">
        <f ca="1">+WORLDCUP!BD60</f>
        <v>Scotland</v>
      </c>
      <c r="G240" s="11" t="str">
        <f ca="1">+WORLDCUP!BD58</f>
        <v>South Korea</v>
      </c>
      <c r="H240" s="11" t="str">
        <f ca="1">+WORLDCUP!BD61</f>
        <v>Paraguay</v>
      </c>
      <c r="I240" s="11" t="str">
        <f ca="1">+WORLDCUP!BD69</f>
        <v>Ghana</v>
      </c>
      <c r="J240" s="11" t="str">
        <f ca="1">+WORLDCUP!BD66</f>
        <v>Senegal</v>
      </c>
      <c r="N240" s="11" t="s">
        <v>997</v>
      </c>
      <c r="O240" s="11">
        <v>239</v>
      </c>
      <c r="P240" s="11" t="s">
        <v>436</v>
      </c>
      <c r="Q240" s="11" t="s">
        <v>441</v>
      </c>
      <c r="R240" s="11" t="s">
        <v>94</v>
      </c>
      <c r="S240" s="11" t="s">
        <v>91</v>
      </c>
      <c r="T240" s="11" t="s">
        <v>89</v>
      </c>
      <c r="U240" s="11" t="s">
        <v>92</v>
      </c>
      <c r="V240" s="11" t="s">
        <v>443</v>
      </c>
      <c r="W240" s="11" t="s">
        <v>440</v>
      </c>
    </row>
    <row r="241" spans="1:23">
      <c r="A241" s="11" t="s">
        <v>996</v>
      </c>
      <c r="B241" s="11">
        <f ca="1">+IF(A241=WORLDCUP!$BI$112,1,0)</f>
        <v>0</v>
      </c>
      <c r="C241" s="11" t="str">
        <f ca="1">+WORLDCUP!BD65</f>
        <v>Uruguay</v>
      </c>
      <c r="D241" s="11" t="str">
        <f ca="1">+WORLDCUP!BD67</f>
        <v>Algeria</v>
      </c>
      <c r="E241" s="11" t="str">
        <f ca="1">+WORLDCUP!BD63</f>
        <v>Sweden</v>
      </c>
      <c r="F241" s="11" t="str">
        <f ca="1">+WORLDCUP!BD60</f>
        <v>Scotland</v>
      </c>
      <c r="G241" s="11" t="str">
        <f ca="1">+WORLDCUP!BD58</f>
        <v>South Korea</v>
      </c>
      <c r="H241" s="11" t="str">
        <f ca="1">+WORLDCUP!BD61</f>
        <v>Paraguay</v>
      </c>
      <c r="I241" s="11" t="str">
        <f ca="1">+WORLDCUP!BD66</f>
        <v>Senegal</v>
      </c>
      <c r="J241" s="11" t="str">
        <f ca="1">+WORLDCUP!BD68</f>
        <v>DR Congo</v>
      </c>
      <c r="N241" s="11" t="s">
        <v>996</v>
      </c>
      <c r="O241" s="11">
        <v>240</v>
      </c>
      <c r="P241" s="11" t="s">
        <v>436</v>
      </c>
      <c r="Q241" s="11" t="s">
        <v>441</v>
      </c>
      <c r="R241" s="11" t="s">
        <v>94</v>
      </c>
      <c r="S241" s="11" t="s">
        <v>91</v>
      </c>
      <c r="T241" s="11" t="s">
        <v>89</v>
      </c>
      <c r="U241" s="11" t="s">
        <v>92</v>
      </c>
      <c r="V241" s="11" t="s">
        <v>440</v>
      </c>
      <c r="W241" s="11" t="s">
        <v>442</v>
      </c>
    </row>
    <row r="242" spans="1:23">
      <c r="A242" s="11" t="s">
        <v>995</v>
      </c>
      <c r="B242" s="11">
        <f ca="1">+IF(A242=WORLDCUP!$BI$112,1,0)</f>
        <v>0</v>
      </c>
      <c r="C242" s="11" t="str">
        <f ca="1">+WORLDCUP!BD60</f>
        <v>Scotland</v>
      </c>
      <c r="D242" s="11" t="str">
        <f ca="1">+WORLDCUP!BD64</f>
        <v>Iran</v>
      </c>
      <c r="E242" s="11" t="str">
        <f ca="1">+WORLDCUP!BD67</f>
        <v>Algeria</v>
      </c>
      <c r="F242" s="11" t="str">
        <f ca="1">+WORLDCUP!BD61</f>
        <v>Paraguay</v>
      </c>
      <c r="G242" s="11" t="str">
        <f ca="1">+WORLDCUP!BD58</f>
        <v>South Korea</v>
      </c>
      <c r="H242" s="11" t="str">
        <f ca="1">+WORLDCUP!BD63</f>
        <v>Sweden</v>
      </c>
      <c r="I242" s="11" t="str">
        <f ca="1">+WORLDCUP!BD69</f>
        <v>Ghana</v>
      </c>
      <c r="J242" s="11" t="str">
        <f ca="1">+WORLDCUP!BD68</f>
        <v>DR Congo</v>
      </c>
      <c r="N242" s="11" t="s">
        <v>995</v>
      </c>
      <c r="O242" s="11">
        <v>241</v>
      </c>
      <c r="P242" s="11" t="s">
        <v>91</v>
      </c>
      <c r="Q242" s="11" t="s">
        <v>435</v>
      </c>
      <c r="R242" s="11" t="s">
        <v>441</v>
      </c>
      <c r="S242" s="11" t="s">
        <v>92</v>
      </c>
      <c r="T242" s="11" t="s">
        <v>89</v>
      </c>
      <c r="U242" s="11" t="s">
        <v>94</v>
      </c>
      <c r="V242" s="11" t="s">
        <v>443</v>
      </c>
      <c r="W242" s="11" t="s">
        <v>442</v>
      </c>
    </row>
    <row r="243" spans="1:23">
      <c r="A243" s="11" t="s">
        <v>994</v>
      </c>
      <c r="B243" s="11">
        <f ca="1">+IF(A243=WORLDCUP!$BI$112,1,0)</f>
        <v>0</v>
      </c>
      <c r="C243" s="11" t="str">
        <f ca="1">+WORLDCUP!BD60</f>
        <v>Scotland</v>
      </c>
      <c r="D243" s="11" t="str">
        <f ca="1">+WORLDCUP!BD64</f>
        <v>Iran</v>
      </c>
      <c r="E243" s="11" t="str">
        <f ca="1">+WORLDCUP!BD66</f>
        <v>Senegal</v>
      </c>
      <c r="F243" s="11" t="str">
        <f ca="1">+WORLDCUP!BD61</f>
        <v>Paraguay</v>
      </c>
      <c r="G243" s="11" t="str">
        <f ca="1">+WORLDCUP!BD58</f>
        <v>South Korea</v>
      </c>
      <c r="H243" s="11" t="str">
        <f ca="1">+WORLDCUP!BD63</f>
        <v>Sweden</v>
      </c>
      <c r="I243" s="11" t="str">
        <f ca="1">+WORLDCUP!BD69</f>
        <v>Ghana</v>
      </c>
      <c r="J243" s="11" t="str">
        <f ca="1">+WORLDCUP!BD68</f>
        <v>DR Congo</v>
      </c>
      <c r="N243" s="11" t="s">
        <v>994</v>
      </c>
      <c r="O243" s="11">
        <v>242</v>
      </c>
      <c r="P243" s="11" t="s">
        <v>91</v>
      </c>
      <c r="Q243" s="11" t="s">
        <v>435</v>
      </c>
      <c r="R243" s="11" t="s">
        <v>440</v>
      </c>
      <c r="S243" s="11" t="s">
        <v>92</v>
      </c>
      <c r="T243" s="11" t="s">
        <v>89</v>
      </c>
      <c r="U243" s="11" t="s">
        <v>94</v>
      </c>
      <c r="V243" s="11" t="s">
        <v>443</v>
      </c>
      <c r="W243" s="11" t="s">
        <v>442</v>
      </c>
    </row>
    <row r="244" spans="1:23">
      <c r="A244" s="11" t="s">
        <v>993</v>
      </c>
      <c r="B244" s="11">
        <f ca="1">+IF(A244=WORLDCUP!$BI$112,1,0)</f>
        <v>0</v>
      </c>
      <c r="C244" s="11" t="str">
        <f ca="1">+WORLDCUP!BD60</f>
        <v>Scotland</v>
      </c>
      <c r="D244" s="11" t="str">
        <f ca="1">+WORLDCUP!BD64</f>
        <v>Iran</v>
      </c>
      <c r="E244" s="11" t="str">
        <f ca="1">+WORLDCUP!BD67</f>
        <v>Algeria</v>
      </c>
      <c r="F244" s="11" t="str">
        <f ca="1">+WORLDCUP!BD61</f>
        <v>Paraguay</v>
      </c>
      <c r="G244" s="11" t="str">
        <f ca="1">+WORLDCUP!BD58</f>
        <v>South Korea</v>
      </c>
      <c r="H244" s="11" t="str">
        <f ca="1">+WORLDCUP!BD63</f>
        <v>Sweden</v>
      </c>
      <c r="I244" s="11" t="str">
        <f ca="1">+WORLDCUP!BD69</f>
        <v>Ghana</v>
      </c>
      <c r="J244" s="11" t="str">
        <f ca="1">+WORLDCUP!BD66</f>
        <v>Senegal</v>
      </c>
      <c r="N244" s="11" t="s">
        <v>993</v>
      </c>
      <c r="O244" s="11">
        <v>243</v>
      </c>
      <c r="P244" s="11" t="s">
        <v>91</v>
      </c>
      <c r="Q244" s="11" t="s">
        <v>435</v>
      </c>
      <c r="R244" s="11" t="s">
        <v>441</v>
      </c>
      <c r="S244" s="11" t="s">
        <v>92</v>
      </c>
      <c r="T244" s="11" t="s">
        <v>89</v>
      </c>
      <c r="U244" s="11" t="s">
        <v>94</v>
      </c>
      <c r="V244" s="11" t="s">
        <v>443</v>
      </c>
      <c r="W244" s="11" t="s">
        <v>440</v>
      </c>
    </row>
    <row r="245" spans="1:23">
      <c r="A245" s="11" t="s">
        <v>992</v>
      </c>
      <c r="B245" s="11">
        <f ca="1">+IF(A245=WORLDCUP!$BI$112,1,0)</f>
        <v>0</v>
      </c>
      <c r="C245" s="11" t="str">
        <f ca="1">+WORLDCUP!BD60</f>
        <v>Scotland</v>
      </c>
      <c r="D245" s="11" t="str">
        <f ca="1">+WORLDCUP!BD64</f>
        <v>Iran</v>
      </c>
      <c r="E245" s="11" t="str">
        <f ca="1">+WORLDCUP!BD67</f>
        <v>Algeria</v>
      </c>
      <c r="F245" s="11" t="str">
        <f ca="1">+WORLDCUP!BD61</f>
        <v>Paraguay</v>
      </c>
      <c r="G245" s="11" t="str">
        <f ca="1">+WORLDCUP!BD58</f>
        <v>South Korea</v>
      </c>
      <c r="H245" s="11" t="str">
        <f ca="1">+WORLDCUP!BD63</f>
        <v>Sweden</v>
      </c>
      <c r="I245" s="11" t="str">
        <f ca="1">+WORLDCUP!BD66</f>
        <v>Senegal</v>
      </c>
      <c r="J245" s="11" t="str">
        <f ca="1">+WORLDCUP!BD68</f>
        <v>DR Congo</v>
      </c>
      <c r="N245" s="11" t="s">
        <v>992</v>
      </c>
      <c r="O245" s="11">
        <v>244</v>
      </c>
      <c r="P245" s="11" t="s">
        <v>91</v>
      </c>
      <c r="Q245" s="11" t="s">
        <v>435</v>
      </c>
      <c r="R245" s="11" t="s">
        <v>441</v>
      </c>
      <c r="S245" s="11" t="s">
        <v>92</v>
      </c>
      <c r="T245" s="11" t="s">
        <v>89</v>
      </c>
      <c r="U245" s="11" t="s">
        <v>94</v>
      </c>
      <c r="V245" s="11" t="s">
        <v>440</v>
      </c>
      <c r="W245" s="11" t="s">
        <v>442</v>
      </c>
    </row>
    <row r="246" spans="1:23">
      <c r="A246" s="11" t="s">
        <v>991</v>
      </c>
      <c r="B246" s="11">
        <f ca="1">+IF(A246=WORLDCUP!$BI$112,1,0)</f>
        <v>0</v>
      </c>
      <c r="C246" s="11" t="str">
        <f ca="1">+WORLDCUP!BD65</f>
        <v>Uruguay</v>
      </c>
      <c r="D246" s="11" t="str">
        <f ca="1">+WORLDCUP!BD64</f>
        <v>Iran</v>
      </c>
      <c r="E246" s="11" t="str">
        <f ca="1">+WORLDCUP!BD63</f>
        <v>Sweden</v>
      </c>
      <c r="F246" s="11" t="str">
        <f ca="1">+WORLDCUP!BD60</f>
        <v>Scotland</v>
      </c>
      <c r="G246" s="11" t="str">
        <f ca="1">+WORLDCUP!BD58</f>
        <v>South Korea</v>
      </c>
      <c r="H246" s="11" t="str">
        <f ca="1">+WORLDCUP!BD61</f>
        <v>Paraguay</v>
      </c>
      <c r="I246" s="11" t="str">
        <f ca="1">+WORLDCUP!BD69</f>
        <v>Ghana</v>
      </c>
      <c r="J246" s="11" t="str">
        <f ca="1">+WORLDCUP!BD68</f>
        <v>DR Congo</v>
      </c>
      <c r="N246" s="11" t="s">
        <v>991</v>
      </c>
      <c r="O246" s="11">
        <v>245</v>
      </c>
      <c r="P246" s="11" t="s">
        <v>436</v>
      </c>
      <c r="Q246" s="11" t="s">
        <v>435</v>
      </c>
      <c r="R246" s="11" t="s">
        <v>94</v>
      </c>
      <c r="S246" s="11" t="s">
        <v>91</v>
      </c>
      <c r="T246" s="11" t="s">
        <v>89</v>
      </c>
      <c r="U246" s="11" t="s">
        <v>92</v>
      </c>
      <c r="V246" s="11" t="s">
        <v>443</v>
      </c>
      <c r="W246" s="11" t="s">
        <v>442</v>
      </c>
    </row>
    <row r="247" spans="1:23">
      <c r="A247" s="11" t="s">
        <v>990</v>
      </c>
      <c r="B247" s="11">
        <f ca="1">+IF(A247=WORLDCUP!$BI$112,1,0)</f>
        <v>0</v>
      </c>
      <c r="C247" s="11" t="str">
        <f ca="1">+WORLDCUP!BD60</f>
        <v>Scotland</v>
      </c>
      <c r="D247" s="11" t="str">
        <f ca="1">+WORLDCUP!BD64</f>
        <v>Iran</v>
      </c>
      <c r="E247" s="11" t="str">
        <f ca="1">+WORLDCUP!BD67</f>
        <v>Algeria</v>
      </c>
      <c r="F247" s="11" t="str">
        <f ca="1">+WORLDCUP!BD61</f>
        <v>Paraguay</v>
      </c>
      <c r="G247" s="11" t="str">
        <f ca="1">+WORLDCUP!BD58</f>
        <v>South Korea</v>
      </c>
      <c r="H247" s="11" t="str">
        <f ca="1">+WORLDCUP!BD63</f>
        <v>Sweden</v>
      </c>
      <c r="I247" s="11" t="str">
        <f ca="1">+WORLDCUP!BD69</f>
        <v>Ghana</v>
      </c>
      <c r="J247" s="11" t="str">
        <f ca="1">+WORLDCUP!BD65</f>
        <v>Uruguay</v>
      </c>
      <c r="N247" s="11" t="s">
        <v>990</v>
      </c>
      <c r="O247" s="11">
        <v>246</v>
      </c>
      <c r="P247" s="11" t="s">
        <v>91</v>
      </c>
      <c r="Q247" s="11" t="s">
        <v>435</v>
      </c>
      <c r="R247" s="11" t="s">
        <v>441</v>
      </c>
      <c r="S247" s="11" t="s">
        <v>92</v>
      </c>
      <c r="T247" s="11" t="s">
        <v>89</v>
      </c>
      <c r="U247" s="11" t="s">
        <v>94</v>
      </c>
      <c r="V247" s="11" t="s">
        <v>443</v>
      </c>
      <c r="W247" s="11" t="s">
        <v>436</v>
      </c>
    </row>
    <row r="248" spans="1:23">
      <c r="A248" s="11" t="s">
        <v>989</v>
      </c>
      <c r="B248" s="11">
        <f ca="1">+IF(A248=WORLDCUP!$BI$112,1,0)</f>
        <v>0</v>
      </c>
      <c r="C248" s="11" t="str">
        <f ca="1">+WORLDCUP!BD65</f>
        <v>Uruguay</v>
      </c>
      <c r="D248" s="11" t="str">
        <f ca="1">+WORLDCUP!BD64</f>
        <v>Iran</v>
      </c>
      <c r="E248" s="11" t="str">
        <f ca="1">+WORLDCUP!BD67</f>
        <v>Algeria</v>
      </c>
      <c r="F248" s="11" t="str">
        <f ca="1">+WORLDCUP!BD60</f>
        <v>Scotland</v>
      </c>
      <c r="G248" s="11" t="str">
        <f ca="1">+WORLDCUP!BD58</f>
        <v>South Korea</v>
      </c>
      <c r="H248" s="11" t="str">
        <f ca="1">+WORLDCUP!BD63</f>
        <v>Sweden</v>
      </c>
      <c r="I248" s="11" t="str">
        <f ca="1">+WORLDCUP!BD61</f>
        <v>Paraguay</v>
      </c>
      <c r="J248" s="11" t="str">
        <f ca="1">+WORLDCUP!BD68</f>
        <v>DR Congo</v>
      </c>
      <c r="N248" s="11" t="s">
        <v>989</v>
      </c>
      <c r="O248" s="11">
        <v>247</v>
      </c>
      <c r="P248" s="11" t="s">
        <v>436</v>
      </c>
      <c r="Q248" s="11" t="s">
        <v>435</v>
      </c>
      <c r="R248" s="11" t="s">
        <v>441</v>
      </c>
      <c r="S248" s="11" t="s">
        <v>91</v>
      </c>
      <c r="T248" s="11" t="s">
        <v>89</v>
      </c>
      <c r="U248" s="11" t="s">
        <v>94</v>
      </c>
      <c r="V248" s="11" t="s">
        <v>92</v>
      </c>
      <c r="W248" s="11" t="s">
        <v>442</v>
      </c>
    </row>
    <row r="249" spans="1:23">
      <c r="A249" s="11" t="s">
        <v>988</v>
      </c>
      <c r="B249" s="11">
        <f ca="1">+IF(A249=WORLDCUP!$BI$112,1,0)</f>
        <v>0</v>
      </c>
      <c r="C249" s="11" t="str">
        <f ca="1">+WORLDCUP!BD65</f>
        <v>Uruguay</v>
      </c>
      <c r="D249" s="11" t="str">
        <f ca="1">+WORLDCUP!BD64</f>
        <v>Iran</v>
      </c>
      <c r="E249" s="11" t="str">
        <f ca="1">+WORLDCUP!BD63</f>
        <v>Sweden</v>
      </c>
      <c r="F249" s="11" t="str">
        <f ca="1">+WORLDCUP!BD60</f>
        <v>Scotland</v>
      </c>
      <c r="G249" s="11" t="str">
        <f ca="1">+WORLDCUP!BD58</f>
        <v>South Korea</v>
      </c>
      <c r="H249" s="11" t="str">
        <f ca="1">+WORLDCUP!BD61</f>
        <v>Paraguay</v>
      </c>
      <c r="I249" s="11" t="str">
        <f ca="1">+WORLDCUP!BD69</f>
        <v>Ghana</v>
      </c>
      <c r="J249" s="11" t="str">
        <f ca="1">+WORLDCUP!BD66</f>
        <v>Senegal</v>
      </c>
      <c r="N249" s="11" t="s">
        <v>988</v>
      </c>
      <c r="O249" s="11">
        <v>248</v>
      </c>
      <c r="P249" s="11" t="s">
        <v>436</v>
      </c>
      <c r="Q249" s="11" t="s">
        <v>435</v>
      </c>
      <c r="R249" s="11" t="s">
        <v>94</v>
      </c>
      <c r="S249" s="11" t="s">
        <v>91</v>
      </c>
      <c r="T249" s="11" t="s">
        <v>89</v>
      </c>
      <c r="U249" s="11" t="s">
        <v>92</v>
      </c>
      <c r="V249" s="11" t="s">
        <v>443</v>
      </c>
      <c r="W249" s="11" t="s">
        <v>440</v>
      </c>
    </row>
    <row r="250" spans="1:23">
      <c r="A250" s="11" t="s">
        <v>987</v>
      </c>
      <c r="B250" s="11">
        <f ca="1">+IF(A250=WORLDCUP!$BI$112,1,0)</f>
        <v>0</v>
      </c>
      <c r="C250" s="11" t="str">
        <f ca="1">+WORLDCUP!BD65</f>
        <v>Uruguay</v>
      </c>
      <c r="D250" s="11" t="str">
        <f ca="1">+WORLDCUP!BD64</f>
        <v>Iran</v>
      </c>
      <c r="E250" s="11" t="str">
        <f ca="1">+WORLDCUP!BD63</f>
        <v>Sweden</v>
      </c>
      <c r="F250" s="11" t="str">
        <f ca="1">+WORLDCUP!BD60</f>
        <v>Scotland</v>
      </c>
      <c r="G250" s="11" t="str">
        <f ca="1">+WORLDCUP!BD58</f>
        <v>South Korea</v>
      </c>
      <c r="H250" s="11" t="str">
        <f ca="1">+WORLDCUP!BD61</f>
        <v>Paraguay</v>
      </c>
      <c r="I250" s="11" t="str">
        <f ca="1">+WORLDCUP!BD66</f>
        <v>Senegal</v>
      </c>
      <c r="J250" s="11" t="str">
        <f ca="1">+WORLDCUP!BD68</f>
        <v>DR Congo</v>
      </c>
      <c r="N250" s="11" t="s">
        <v>987</v>
      </c>
      <c r="O250" s="11">
        <v>249</v>
      </c>
      <c r="P250" s="11" t="s">
        <v>436</v>
      </c>
      <c r="Q250" s="11" t="s">
        <v>435</v>
      </c>
      <c r="R250" s="11" t="s">
        <v>94</v>
      </c>
      <c r="S250" s="11" t="s">
        <v>91</v>
      </c>
      <c r="T250" s="11" t="s">
        <v>89</v>
      </c>
      <c r="U250" s="11" t="s">
        <v>92</v>
      </c>
      <c r="V250" s="11" t="s">
        <v>440</v>
      </c>
      <c r="W250" s="11" t="s">
        <v>442</v>
      </c>
    </row>
    <row r="251" spans="1:23">
      <c r="A251" s="11" t="s">
        <v>986</v>
      </c>
      <c r="B251" s="11">
        <f ca="1">+IF(A251=WORLDCUP!$BI$112,1,0)</f>
        <v>0</v>
      </c>
      <c r="C251" s="11" t="str">
        <f ca="1">+WORLDCUP!BD65</f>
        <v>Uruguay</v>
      </c>
      <c r="D251" s="11" t="str">
        <f ca="1">+WORLDCUP!BD64</f>
        <v>Iran</v>
      </c>
      <c r="E251" s="11" t="str">
        <f ca="1">+WORLDCUP!BD67</f>
        <v>Algeria</v>
      </c>
      <c r="F251" s="11" t="str">
        <f ca="1">+WORLDCUP!BD60</f>
        <v>Scotland</v>
      </c>
      <c r="G251" s="11" t="str">
        <f ca="1">+WORLDCUP!BD58</f>
        <v>South Korea</v>
      </c>
      <c r="H251" s="11" t="str">
        <f ca="1">+WORLDCUP!BD63</f>
        <v>Sweden</v>
      </c>
      <c r="I251" s="11" t="str">
        <f ca="1">+WORLDCUP!BD61</f>
        <v>Paraguay</v>
      </c>
      <c r="J251" s="11" t="str">
        <f ca="1">+WORLDCUP!BD66</f>
        <v>Senegal</v>
      </c>
      <c r="N251" s="11" t="s">
        <v>986</v>
      </c>
      <c r="O251" s="11">
        <v>250</v>
      </c>
      <c r="P251" s="11" t="s">
        <v>436</v>
      </c>
      <c r="Q251" s="11" t="s">
        <v>435</v>
      </c>
      <c r="R251" s="11" t="s">
        <v>441</v>
      </c>
      <c r="S251" s="11" t="s">
        <v>91</v>
      </c>
      <c r="T251" s="11" t="s">
        <v>89</v>
      </c>
      <c r="U251" s="11" t="s">
        <v>94</v>
      </c>
      <c r="V251" s="11" t="s">
        <v>92</v>
      </c>
      <c r="W251" s="11" t="s">
        <v>440</v>
      </c>
    </row>
    <row r="252" spans="1:23">
      <c r="A252" s="11" t="s">
        <v>985</v>
      </c>
      <c r="B252" s="11">
        <f ca="1">+IF(A252=WORLDCUP!$BI$112,1,0)</f>
        <v>0</v>
      </c>
      <c r="C252" s="11" t="str">
        <f ca="1">+WORLDCUP!BD62</f>
        <v>Ecuador</v>
      </c>
      <c r="D252" s="11" t="str">
        <f ca="1">+WORLDCUP!BD67</f>
        <v>Algeria</v>
      </c>
      <c r="E252" s="11" t="str">
        <f ca="1">+WORLDCUP!BD66</f>
        <v>Senegal</v>
      </c>
      <c r="F252" s="11" t="str">
        <f ca="1">+WORLDCUP!BD60</f>
        <v>Scotland</v>
      </c>
      <c r="G252" s="11" t="str">
        <f ca="1">+WORLDCUP!BD58</f>
        <v>South Korea</v>
      </c>
      <c r="H252" s="11" t="str">
        <f ca="1">+WORLDCUP!BD61</f>
        <v>Paraguay</v>
      </c>
      <c r="I252" s="11" t="str">
        <f ca="1">+WORLDCUP!BD69</f>
        <v>Ghana</v>
      </c>
      <c r="J252" s="11" t="str">
        <f ca="1">+WORLDCUP!BD68</f>
        <v>DR Congo</v>
      </c>
      <c r="N252" s="11" t="s">
        <v>985</v>
      </c>
      <c r="O252" s="11">
        <v>251</v>
      </c>
      <c r="P252" s="11" t="s">
        <v>93</v>
      </c>
      <c r="Q252" s="11" t="s">
        <v>441</v>
      </c>
      <c r="R252" s="11" t="s">
        <v>440</v>
      </c>
      <c r="S252" s="11" t="s">
        <v>91</v>
      </c>
      <c r="T252" s="11" t="s">
        <v>89</v>
      </c>
      <c r="U252" s="11" t="s">
        <v>92</v>
      </c>
      <c r="V252" s="11" t="s">
        <v>443</v>
      </c>
      <c r="W252" s="11" t="s">
        <v>442</v>
      </c>
    </row>
    <row r="253" spans="1:23">
      <c r="A253" s="11" t="s">
        <v>984</v>
      </c>
      <c r="B253" s="11">
        <f ca="1">+IF(A253=WORLDCUP!$BI$112,1,0)</f>
        <v>0</v>
      </c>
      <c r="C253" s="11" t="str">
        <f ca="1">+WORLDCUP!BD65</f>
        <v>Uruguay</v>
      </c>
      <c r="D253" s="11" t="str">
        <f ca="1">+WORLDCUP!BD67</f>
        <v>Algeria</v>
      </c>
      <c r="E253" s="11" t="str">
        <f ca="1">+WORLDCUP!BD62</f>
        <v>Ecuador</v>
      </c>
      <c r="F253" s="11" t="str">
        <f ca="1">+WORLDCUP!BD60</f>
        <v>Scotland</v>
      </c>
      <c r="G253" s="11" t="str">
        <f ca="1">+WORLDCUP!BD58</f>
        <v>South Korea</v>
      </c>
      <c r="H253" s="11" t="str">
        <f ca="1">+WORLDCUP!BD61</f>
        <v>Paraguay</v>
      </c>
      <c r="I253" s="11" t="str">
        <f ca="1">+WORLDCUP!BD69</f>
        <v>Ghana</v>
      </c>
      <c r="J253" s="11" t="str">
        <f ca="1">+WORLDCUP!BD68</f>
        <v>DR Congo</v>
      </c>
      <c r="N253" s="11" t="s">
        <v>984</v>
      </c>
      <c r="O253" s="11">
        <v>252</v>
      </c>
      <c r="P253" s="11" t="s">
        <v>436</v>
      </c>
      <c r="Q253" s="11" t="s">
        <v>441</v>
      </c>
      <c r="R253" s="11" t="s">
        <v>93</v>
      </c>
      <c r="S253" s="11" t="s">
        <v>91</v>
      </c>
      <c r="T253" s="11" t="s">
        <v>89</v>
      </c>
      <c r="U253" s="11" t="s">
        <v>92</v>
      </c>
      <c r="V253" s="11" t="s">
        <v>443</v>
      </c>
      <c r="W253" s="11" t="s">
        <v>442</v>
      </c>
    </row>
    <row r="254" spans="1:23">
      <c r="A254" s="11" t="s">
        <v>983</v>
      </c>
      <c r="B254" s="11">
        <f ca="1">+IF(A254=WORLDCUP!$BI$112,1,0)</f>
        <v>0</v>
      </c>
      <c r="C254" s="11" t="str">
        <f ca="1">+WORLDCUP!BD65</f>
        <v>Uruguay</v>
      </c>
      <c r="D254" s="11" t="str">
        <f ca="1">+WORLDCUP!BD62</f>
        <v>Ecuador</v>
      </c>
      <c r="E254" s="11" t="str">
        <f ca="1">+WORLDCUP!BD66</f>
        <v>Senegal</v>
      </c>
      <c r="F254" s="11" t="str">
        <f ca="1">+WORLDCUP!BD60</f>
        <v>Scotland</v>
      </c>
      <c r="G254" s="11" t="str">
        <f ca="1">+WORLDCUP!BD58</f>
        <v>South Korea</v>
      </c>
      <c r="H254" s="11" t="str">
        <f ca="1">+WORLDCUP!BD61</f>
        <v>Paraguay</v>
      </c>
      <c r="I254" s="11" t="str">
        <f ca="1">+WORLDCUP!BD69</f>
        <v>Ghana</v>
      </c>
      <c r="J254" s="11" t="str">
        <f ca="1">+WORLDCUP!BD68</f>
        <v>DR Congo</v>
      </c>
      <c r="N254" s="11" t="s">
        <v>983</v>
      </c>
      <c r="O254" s="11">
        <v>253</v>
      </c>
      <c r="P254" s="11" t="s">
        <v>436</v>
      </c>
      <c r="Q254" s="11" t="s">
        <v>93</v>
      </c>
      <c r="R254" s="11" t="s">
        <v>440</v>
      </c>
      <c r="S254" s="11" t="s">
        <v>91</v>
      </c>
      <c r="T254" s="11" t="s">
        <v>89</v>
      </c>
      <c r="U254" s="11" t="s">
        <v>92</v>
      </c>
      <c r="V254" s="11" t="s">
        <v>443</v>
      </c>
      <c r="W254" s="11" t="s">
        <v>442</v>
      </c>
    </row>
    <row r="255" spans="1:23">
      <c r="A255" s="11" t="s">
        <v>982</v>
      </c>
      <c r="B255" s="11">
        <f ca="1">+IF(A255=WORLDCUP!$BI$112,1,0)</f>
        <v>0</v>
      </c>
      <c r="C255" s="11" t="str">
        <f ca="1">+WORLDCUP!BD65</f>
        <v>Uruguay</v>
      </c>
      <c r="D255" s="11" t="str">
        <f ca="1">+WORLDCUP!BD67</f>
        <v>Algeria</v>
      </c>
      <c r="E255" s="11" t="str">
        <f ca="1">+WORLDCUP!BD62</f>
        <v>Ecuador</v>
      </c>
      <c r="F255" s="11" t="str">
        <f ca="1">+WORLDCUP!BD60</f>
        <v>Scotland</v>
      </c>
      <c r="G255" s="11" t="str">
        <f ca="1">+WORLDCUP!BD58</f>
        <v>South Korea</v>
      </c>
      <c r="H255" s="11" t="str">
        <f ca="1">+WORLDCUP!BD61</f>
        <v>Paraguay</v>
      </c>
      <c r="I255" s="11" t="str">
        <f ca="1">+WORLDCUP!BD69</f>
        <v>Ghana</v>
      </c>
      <c r="J255" s="11" t="str">
        <f ca="1">+WORLDCUP!BD66</f>
        <v>Senegal</v>
      </c>
      <c r="N255" s="11" t="s">
        <v>982</v>
      </c>
      <c r="O255" s="11">
        <v>254</v>
      </c>
      <c r="P255" s="11" t="s">
        <v>436</v>
      </c>
      <c r="Q255" s="11" t="s">
        <v>441</v>
      </c>
      <c r="R255" s="11" t="s">
        <v>93</v>
      </c>
      <c r="S255" s="11" t="s">
        <v>91</v>
      </c>
      <c r="T255" s="11" t="s">
        <v>89</v>
      </c>
      <c r="U255" s="11" t="s">
        <v>92</v>
      </c>
      <c r="V255" s="11" t="s">
        <v>443</v>
      </c>
      <c r="W255" s="11" t="s">
        <v>440</v>
      </c>
    </row>
    <row r="256" spans="1:23">
      <c r="A256" s="11" t="s">
        <v>981</v>
      </c>
      <c r="B256" s="11">
        <f ca="1">+IF(A256=WORLDCUP!$BI$112,1,0)</f>
        <v>0</v>
      </c>
      <c r="C256" s="11" t="str">
        <f ca="1">+WORLDCUP!BD65</f>
        <v>Uruguay</v>
      </c>
      <c r="D256" s="11" t="str">
        <f ca="1">+WORLDCUP!BD67</f>
        <v>Algeria</v>
      </c>
      <c r="E256" s="11" t="str">
        <f ca="1">+WORLDCUP!BD62</f>
        <v>Ecuador</v>
      </c>
      <c r="F256" s="11" t="str">
        <f ca="1">+WORLDCUP!BD60</f>
        <v>Scotland</v>
      </c>
      <c r="G256" s="11" t="str">
        <f ca="1">+WORLDCUP!BD58</f>
        <v>South Korea</v>
      </c>
      <c r="H256" s="11" t="str">
        <f ca="1">+WORLDCUP!BD61</f>
        <v>Paraguay</v>
      </c>
      <c r="I256" s="11" t="str">
        <f ca="1">+WORLDCUP!BD66</f>
        <v>Senegal</v>
      </c>
      <c r="J256" s="11" t="str">
        <f ca="1">+WORLDCUP!BD68</f>
        <v>DR Congo</v>
      </c>
      <c r="N256" s="11" t="s">
        <v>981</v>
      </c>
      <c r="O256" s="11">
        <v>255</v>
      </c>
      <c r="P256" s="11" t="s">
        <v>436</v>
      </c>
      <c r="Q256" s="11" t="s">
        <v>441</v>
      </c>
      <c r="R256" s="11" t="s">
        <v>93</v>
      </c>
      <c r="S256" s="11" t="s">
        <v>91</v>
      </c>
      <c r="T256" s="11" t="s">
        <v>89</v>
      </c>
      <c r="U256" s="11" t="s">
        <v>92</v>
      </c>
      <c r="V256" s="11" t="s">
        <v>440</v>
      </c>
      <c r="W256" s="11" t="s">
        <v>442</v>
      </c>
    </row>
    <row r="257" spans="1:23">
      <c r="A257" s="11" t="s">
        <v>980</v>
      </c>
      <c r="B257" s="11">
        <f ca="1">+IF(A257=WORLDCUP!$BI$112,1,0)</f>
        <v>0</v>
      </c>
      <c r="C257" s="11" t="str">
        <f ca="1">+WORLDCUP!BD62</f>
        <v>Ecuador</v>
      </c>
      <c r="D257" s="11" t="str">
        <f ca="1">+WORLDCUP!BD64</f>
        <v>Iran</v>
      </c>
      <c r="E257" s="11" t="str">
        <f ca="1">+WORLDCUP!BD67</f>
        <v>Algeria</v>
      </c>
      <c r="F257" s="11" t="str">
        <f ca="1">+WORLDCUP!BD60</f>
        <v>Scotland</v>
      </c>
      <c r="G257" s="11" t="str">
        <f ca="1">+WORLDCUP!BD58</f>
        <v>South Korea</v>
      </c>
      <c r="H257" s="11" t="str">
        <f ca="1">+WORLDCUP!BD61</f>
        <v>Paraguay</v>
      </c>
      <c r="I257" s="11" t="str">
        <f ca="1">+WORLDCUP!BD69</f>
        <v>Ghana</v>
      </c>
      <c r="J257" s="11" t="str">
        <f ca="1">+WORLDCUP!BD68</f>
        <v>DR Congo</v>
      </c>
      <c r="N257" s="11" t="s">
        <v>980</v>
      </c>
      <c r="O257" s="11">
        <v>256</v>
      </c>
      <c r="P257" s="11" t="s">
        <v>93</v>
      </c>
      <c r="Q257" s="11" t="s">
        <v>435</v>
      </c>
      <c r="R257" s="11" t="s">
        <v>441</v>
      </c>
      <c r="S257" s="11" t="s">
        <v>91</v>
      </c>
      <c r="T257" s="11" t="s">
        <v>89</v>
      </c>
      <c r="U257" s="11" t="s">
        <v>92</v>
      </c>
      <c r="V257" s="11" t="s">
        <v>443</v>
      </c>
      <c r="W257" s="11" t="s">
        <v>442</v>
      </c>
    </row>
    <row r="258" spans="1:23">
      <c r="A258" s="11" t="s">
        <v>979</v>
      </c>
      <c r="B258" s="11">
        <f ca="1">+IF(A258=WORLDCUP!$BI$112,1,0)</f>
        <v>0</v>
      </c>
      <c r="C258" s="11" t="str">
        <f ca="1">+WORLDCUP!BD62</f>
        <v>Ecuador</v>
      </c>
      <c r="D258" s="11" t="str">
        <f ca="1">+WORLDCUP!BD64</f>
        <v>Iran</v>
      </c>
      <c r="E258" s="11" t="str">
        <f ca="1">+WORLDCUP!BD66</f>
        <v>Senegal</v>
      </c>
      <c r="F258" s="11" t="str">
        <f ca="1">+WORLDCUP!BD60</f>
        <v>Scotland</v>
      </c>
      <c r="G258" s="11" t="str">
        <f ca="1">+WORLDCUP!BD58</f>
        <v>South Korea</v>
      </c>
      <c r="H258" s="11" t="str">
        <f ca="1">+WORLDCUP!BD61</f>
        <v>Paraguay</v>
      </c>
      <c r="I258" s="11" t="str">
        <f ca="1">+WORLDCUP!BD69</f>
        <v>Ghana</v>
      </c>
      <c r="J258" s="11" t="str">
        <f ca="1">+WORLDCUP!BD68</f>
        <v>DR Congo</v>
      </c>
      <c r="N258" s="11" t="s">
        <v>979</v>
      </c>
      <c r="O258" s="11">
        <v>257</v>
      </c>
      <c r="P258" s="11" t="s">
        <v>93</v>
      </c>
      <c r="Q258" s="11" t="s">
        <v>435</v>
      </c>
      <c r="R258" s="11" t="s">
        <v>440</v>
      </c>
      <c r="S258" s="11" t="s">
        <v>91</v>
      </c>
      <c r="T258" s="11" t="s">
        <v>89</v>
      </c>
      <c r="U258" s="11" t="s">
        <v>92</v>
      </c>
      <c r="V258" s="11" t="s">
        <v>443</v>
      </c>
      <c r="W258" s="11" t="s">
        <v>442</v>
      </c>
    </row>
    <row r="259" spans="1:23">
      <c r="A259" s="11" t="s">
        <v>978</v>
      </c>
      <c r="B259" s="11">
        <f ca="1">+IF(A259=WORLDCUP!$BI$112,1,0)</f>
        <v>0</v>
      </c>
      <c r="C259" s="11" t="str">
        <f ca="1">+WORLDCUP!BD62</f>
        <v>Ecuador</v>
      </c>
      <c r="D259" s="11" t="str">
        <f ca="1">+WORLDCUP!BD64</f>
        <v>Iran</v>
      </c>
      <c r="E259" s="11" t="str">
        <f ca="1">+WORLDCUP!BD67</f>
        <v>Algeria</v>
      </c>
      <c r="F259" s="11" t="str">
        <f ca="1">+WORLDCUP!BD60</f>
        <v>Scotland</v>
      </c>
      <c r="G259" s="11" t="str">
        <f ca="1">+WORLDCUP!BD58</f>
        <v>South Korea</v>
      </c>
      <c r="H259" s="11" t="str">
        <f ca="1">+WORLDCUP!BD61</f>
        <v>Paraguay</v>
      </c>
      <c r="I259" s="11" t="str">
        <f ca="1">+WORLDCUP!BD69</f>
        <v>Ghana</v>
      </c>
      <c r="J259" s="11" t="str">
        <f ca="1">+WORLDCUP!BD66</f>
        <v>Senegal</v>
      </c>
      <c r="N259" s="11" t="s">
        <v>978</v>
      </c>
      <c r="O259" s="11">
        <v>258</v>
      </c>
      <c r="P259" s="11" t="s">
        <v>93</v>
      </c>
      <c r="Q259" s="11" t="s">
        <v>435</v>
      </c>
      <c r="R259" s="11" t="s">
        <v>441</v>
      </c>
      <c r="S259" s="11" t="s">
        <v>91</v>
      </c>
      <c r="T259" s="11" t="s">
        <v>89</v>
      </c>
      <c r="U259" s="11" t="s">
        <v>92</v>
      </c>
      <c r="V259" s="11" t="s">
        <v>443</v>
      </c>
      <c r="W259" s="11" t="s">
        <v>440</v>
      </c>
    </row>
    <row r="260" spans="1:23">
      <c r="A260" s="11" t="s">
        <v>977</v>
      </c>
      <c r="B260" s="11">
        <f ca="1">+IF(A260=WORLDCUP!$BI$112,1,0)</f>
        <v>0</v>
      </c>
      <c r="C260" s="11" t="str">
        <f ca="1">+WORLDCUP!BD62</f>
        <v>Ecuador</v>
      </c>
      <c r="D260" s="11" t="str">
        <f ca="1">+WORLDCUP!BD64</f>
        <v>Iran</v>
      </c>
      <c r="E260" s="11" t="str">
        <f ca="1">+WORLDCUP!BD67</f>
        <v>Algeria</v>
      </c>
      <c r="F260" s="11" t="str">
        <f ca="1">+WORLDCUP!BD60</f>
        <v>Scotland</v>
      </c>
      <c r="G260" s="11" t="str">
        <f ca="1">+WORLDCUP!BD58</f>
        <v>South Korea</v>
      </c>
      <c r="H260" s="11" t="str">
        <f ca="1">+WORLDCUP!BD61</f>
        <v>Paraguay</v>
      </c>
      <c r="I260" s="11" t="str">
        <f ca="1">+WORLDCUP!BD66</f>
        <v>Senegal</v>
      </c>
      <c r="J260" s="11" t="str">
        <f ca="1">+WORLDCUP!BD68</f>
        <v>DR Congo</v>
      </c>
      <c r="N260" s="11" t="s">
        <v>977</v>
      </c>
      <c r="O260" s="11">
        <v>259</v>
      </c>
      <c r="P260" s="11" t="s">
        <v>93</v>
      </c>
      <c r="Q260" s="11" t="s">
        <v>435</v>
      </c>
      <c r="R260" s="11" t="s">
        <v>441</v>
      </c>
      <c r="S260" s="11" t="s">
        <v>91</v>
      </c>
      <c r="T260" s="11" t="s">
        <v>89</v>
      </c>
      <c r="U260" s="11" t="s">
        <v>92</v>
      </c>
      <c r="V260" s="11" t="s">
        <v>440</v>
      </c>
      <c r="W260" s="11" t="s">
        <v>442</v>
      </c>
    </row>
    <row r="261" spans="1:23">
      <c r="A261" s="11" t="s">
        <v>976</v>
      </c>
      <c r="B261" s="11">
        <f ca="1">+IF(A261=WORLDCUP!$BI$112,1,0)</f>
        <v>0</v>
      </c>
      <c r="C261" s="11" t="str">
        <f ca="1">+WORLDCUP!BD65</f>
        <v>Uruguay</v>
      </c>
      <c r="D261" s="11" t="str">
        <f ca="1">+WORLDCUP!BD64</f>
        <v>Iran</v>
      </c>
      <c r="E261" s="11" t="str">
        <f ca="1">+WORLDCUP!BD62</f>
        <v>Ecuador</v>
      </c>
      <c r="F261" s="11" t="str">
        <f ca="1">+WORLDCUP!BD60</f>
        <v>Scotland</v>
      </c>
      <c r="G261" s="11" t="str">
        <f ca="1">+WORLDCUP!BD58</f>
        <v>South Korea</v>
      </c>
      <c r="H261" s="11" t="str">
        <f ca="1">+WORLDCUP!BD61</f>
        <v>Paraguay</v>
      </c>
      <c r="I261" s="11" t="str">
        <f ca="1">+WORLDCUP!BD69</f>
        <v>Ghana</v>
      </c>
      <c r="J261" s="11" t="str">
        <f ca="1">+WORLDCUP!BD68</f>
        <v>DR Congo</v>
      </c>
      <c r="N261" s="11" t="s">
        <v>976</v>
      </c>
      <c r="O261" s="11">
        <v>260</v>
      </c>
      <c r="P261" s="11" t="s">
        <v>436</v>
      </c>
      <c r="Q261" s="11" t="s">
        <v>435</v>
      </c>
      <c r="R261" s="11" t="s">
        <v>93</v>
      </c>
      <c r="S261" s="11" t="s">
        <v>91</v>
      </c>
      <c r="T261" s="11" t="s">
        <v>89</v>
      </c>
      <c r="U261" s="11" t="s">
        <v>92</v>
      </c>
      <c r="V261" s="11" t="s">
        <v>443</v>
      </c>
      <c r="W261" s="11" t="s">
        <v>442</v>
      </c>
    </row>
    <row r="262" spans="1:23">
      <c r="A262" s="11" t="s">
        <v>975</v>
      </c>
      <c r="B262" s="11">
        <f ca="1">+IF(A262=WORLDCUP!$BI$112,1,0)</f>
        <v>0</v>
      </c>
      <c r="C262" s="11" t="str">
        <f ca="1">+WORLDCUP!BD65</f>
        <v>Uruguay</v>
      </c>
      <c r="D262" s="11" t="str">
        <f ca="1">+WORLDCUP!BD64</f>
        <v>Iran</v>
      </c>
      <c r="E262" s="11" t="str">
        <f ca="1">+WORLDCUP!BD67</f>
        <v>Algeria</v>
      </c>
      <c r="F262" s="11" t="str">
        <f ca="1">+WORLDCUP!BD60</f>
        <v>Scotland</v>
      </c>
      <c r="G262" s="11" t="str">
        <f ca="1">+WORLDCUP!BD58</f>
        <v>South Korea</v>
      </c>
      <c r="H262" s="11" t="str">
        <f ca="1">+WORLDCUP!BD61</f>
        <v>Paraguay</v>
      </c>
      <c r="I262" s="11" t="str">
        <f ca="1">+WORLDCUP!BD69</f>
        <v>Ghana</v>
      </c>
      <c r="J262" s="11" t="str">
        <f ca="1">+WORLDCUP!BD62</f>
        <v>Ecuador</v>
      </c>
      <c r="N262" s="11" t="s">
        <v>975</v>
      </c>
      <c r="O262" s="11">
        <v>261</v>
      </c>
      <c r="P262" s="11" t="s">
        <v>436</v>
      </c>
      <c r="Q262" s="11" t="s">
        <v>435</v>
      </c>
      <c r="R262" s="11" t="s">
        <v>441</v>
      </c>
      <c r="S262" s="11" t="s">
        <v>91</v>
      </c>
      <c r="T262" s="11" t="s">
        <v>89</v>
      </c>
      <c r="U262" s="11" t="s">
        <v>92</v>
      </c>
      <c r="V262" s="11" t="s">
        <v>443</v>
      </c>
      <c r="W262" s="11" t="s">
        <v>93</v>
      </c>
    </row>
    <row r="263" spans="1:23">
      <c r="A263" s="11" t="s">
        <v>974</v>
      </c>
      <c r="B263" s="11">
        <f ca="1">+IF(A263=WORLDCUP!$BI$112,1,0)</f>
        <v>0</v>
      </c>
      <c r="C263" s="11" t="str">
        <f ca="1">+WORLDCUP!BD65</f>
        <v>Uruguay</v>
      </c>
      <c r="D263" s="11" t="str">
        <f ca="1">+WORLDCUP!BD64</f>
        <v>Iran</v>
      </c>
      <c r="E263" s="11" t="str">
        <f ca="1">+WORLDCUP!BD67</f>
        <v>Algeria</v>
      </c>
      <c r="F263" s="11" t="str">
        <f ca="1">+WORLDCUP!BD60</f>
        <v>Scotland</v>
      </c>
      <c r="G263" s="11" t="str">
        <f ca="1">+WORLDCUP!BD58</f>
        <v>South Korea</v>
      </c>
      <c r="H263" s="11" t="str">
        <f ca="1">+WORLDCUP!BD61</f>
        <v>Paraguay</v>
      </c>
      <c r="I263" s="11" t="str">
        <f ca="1">+WORLDCUP!BD62</f>
        <v>Ecuador</v>
      </c>
      <c r="J263" s="11" t="str">
        <f ca="1">+WORLDCUP!BD68</f>
        <v>DR Congo</v>
      </c>
      <c r="N263" s="11" t="s">
        <v>974</v>
      </c>
      <c r="O263" s="11">
        <v>262</v>
      </c>
      <c r="P263" s="11" t="s">
        <v>436</v>
      </c>
      <c r="Q263" s="11" t="s">
        <v>435</v>
      </c>
      <c r="R263" s="11" t="s">
        <v>441</v>
      </c>
      <c r="S263" s="11" t="s">
        <v>91</v>
      </c>
      <c r="T263" s="11" t="s">
        <v>89</v>
      </c>
      <c r="U263" s="11" t="s">
        <v>92</v>
      </c>
      <c r="V263" s="11" t="s">
        <v>93</v>
      </c>
      <c r="W263" s="11" t="s">
        <v>442</v>
      </c>
    </row>
    <row r="264" spans="1:23">
      <c r="A264" s="11" t="s">
        <v>973</v>
      </c>
      <c r="B264" s="11">
        <f ca="1">+IF(A264=WORLDCUP!$BI$112,1,0)</f>
        <v>0</v>
      </c>
      <c r="C264" s="11" t="str">
        <f ca="1">+WORLDCUP!BD65</f>
        <v>Uruguay</v>
      </c>
      <c r="D264" s="11" t="str">
        <f ca="1">+WORLDCUP!BD64</f>
        <v>Iran</v>
      </c>
      <c r="E264" s="11" t="str">
        <f ca="1">+WORLDCUP!BD62</f>
        <v>Ecuador</v>
      </c>
      <c r="F264" s="11" t="str">
        <f ca="1">+WORLDCUP!BD60</f>
        <v>Scotland</v>
      </c>
      <c r="G264" s="11" t="str">
        <f ca="1">+WORLDCUP!BD58</f>
        <v>South Korea</v>
      </c>
      <c r="H264" s="11" t="str">
        <f ca="1">+WORLDCUP!BD61</f>
        <v>Paraguay</v>
      </c>
      <c r="I264" s="11" t="str">
        <f ca="1">+WORLDCUP!BD69</f>
        <v>Ghana</v>
      </c>
      <c r="J264" s="11" t="str">
        <f ca="1">+WORLDCUP!BD66</f>
        <v>Senegal</v>
      </c>
      <c r="N264" s="11" t="s">
        <v>973</v>
      </c>
      <c r="O264" s="11">
        <v>263</v>
      </c>
      <c r="P264" s="11" t="s">
        <v>436</v>
      </c>
      <c r="Q264" s="11" t="s">
        <v>435</v>
      </c>
      <c r="R264" s="11" t="s">
        <v>93</v>
      </c>
      <c r="S264" s="11" t="s">
        <v>91</v>
      </c>
      <c r="T264" s="11" t="s">
        <v>89</v>
      </c>
      <c r="U264" s="11" t="s">
        <v>92</v>
      </c>
      <c r="V264" s="11" t="s">
        <v>443</v>
      </c>
      <c r="W264" s="11" t="s">
        <v>440</v>
      </c>
    </row>
    <row r="265" spans="1:23">
      <c r="A265" s="11" t="s">
        <v>972</v>
      </c>
      <c r="B265" s="11">
        <f ca="1">+IF(A265=WORLDCUP!$BI$112,1,0)</f>
        <v>0</v>
      </c>
      <c r="C265" s="11" t="str">
        <f ca="1">+WORLDCUP!BD65</f>
        <v>Uruguay</v>
      </c>
      <c r="D265" s="11" t="str">
        <f ca="1">+WORLDCUP!BD64</f>
        <v>Iran</v>
      </c>
      <c r="E265" s="11" t="str">
        <f ca="1">+WORLDCUP!BD62</f>
        <v>Ecuador</v>
      </c>
      <c r="F265" s="11" t="str">
        <f ca="1">+WORLDCUP!BD60</f>
        <v>Scotland</v>
      </c>
      <c r="G265" s="11" t="str">
        <f ca="1">+WORLDCUP!BD58</f>
        <v>South Korea</v>
      </c>
      <c r="H265" s="11" t="str">
        <f ca="1">+WORLDCUP!BD61</f>
        <v>Paraguay</v>
      </c>
      <c r="I265" s="11" t="str">
        <f ca="1">+WORLDCUP!BD66</f>
        <v>Senegal</v>
      </c>
      <c r="J265" s="11" t="str">
        <f ca="1">+WORLDCUP!BD68</f>
        <v>DR Congo</v>
      </c>
      <c r="N265" s="11" t="s">
        <v>972</v>
      </c>
      <c r="O265" s="11">
        <v>264</v>
      </c>
      <c r="P265" s="11" t="s">
        <v>436</v>
      </c>
      <c r="Q265" s="11" t="s">
        <v>435</v>
      </c>
      <c r="R265" s="11" t="s">
        <v>93</v>
      </c>
      <c r="S265" s="11" t="s">
        <v>91</v>
      </c>
      <c r="T265" s="11" t="s">
        <v>89</v>
      </c>
      <c r="U265" s="11" t="s">
        <v>92</v>
      </c>
      <c r="V265" s="11" t="s">
        <v>440</v>
      </c>
      <c r="W265" s="11" t="s">
        <v>442</v>
      </c>
    </row>
    <row r="266" spans="1:23">
      <c r="A266" s="11" t="s">
        <v>971</v>
      </c>
      <c r="B266" s="11">
        <f ca="1">+IF(A266=WORLDCUP!$BI$112,1,0)</f>
        <v>0</v>
      </c>
      <c r="C266" s="11" t="str">
        <f ca="1">+WORLDCUP!BD65</f>
        <v>Uruguay</v>
      </c>
      <c r="D266" s="11" t="str">
        <f ca="1">+WORLDCUP!BD64</f>
        <v>Iran</v>
      </c>
      <c r="E266" s="11" t="str">
        <f ca="1">+WORLDCUP!BD67</f>
        <v>Algeria</v>
      </c>
      <c r="F266" s="11" t="str">
        <f ca="1">+WORLDCUP!BD60</f>
        <v>Scotland</v>
      </c>
      <c r="G266" s="11" t="str">
        <f ca="1">+WORLDCUP!BD58</f>
        <v>South Korea</v>
      </c>
      <c r="H266" s="11" t="str">
        <f ca="1">+WORLDCUP!BD61</f>
        <v>Paraguay</v>
      </c>
      <c r="I266" s="11" t="str">
        <f ca="1">+WORLDCUP!BD62</f>
        <v>Ecuador</v>
      </c>
      <c r="J266" s="11" t="str">
        <f ca="1">+WORLDCUP!BD66</f>
        <v>Senegal</v>
      </c>
      <c r="N266" s="11" t="s">
        <v>971</v>
      </c>
      <c r="O266" s="11">
        <v>265</v>
      </c>
      <c r="P266" s="11" t="s">
        <v>436</v>
      </c>
      <c r="Q266" s="11" t="s">
        <v>435</v>
      </c>
      <c r="R266" s="11" t="s">
        <v>441</v>
      </c>
      <c r="S266" s="11" t="s">
        <v>91</v>
      </c>
      <c r="T266" s="11" t="s">
        <v>89</v>
      </c>
      <c r="U266" s="11" t="s">
        <v>92</v>
      </c>
      <c r="V266" s="11" t="s">
        <v>93</v>
      </c>
      <c r="W266" s="11" t="s">
        <v>440</v>
      </c>
    </row>
    <row r="267" spans="1:23">
      <c r="A267" s="11" t="s">
        <v>970</v>
      </c>
      <c r="B267" s="11">
        <f ca="1">+IF(A267=WORLDCUP!$BI$112,1,0)</f>
        <v>0</v>
      </c>
      <c r="C267" s="11" t="str">
        <f ca="1">+WORLDCUP!BD60</f>
        <v>Scotland</v>
      </c>
      <c r="D267" s="11" t="str">
        <f ca="1">+WORLDCUP!BD67</f>
        <v>Algeria</v>
      </c>
      <c r="E267" s="11" t="str">
        <f ca="1">+WORLDCUP!BD62</f>
        <v>Ecuador</v>
      </c>
      <c r="F267" s="11" t="str">
        <f ca="1">+WORLDCUP!BD61</f>
        <v>Paraguay</v>
      </c>
      <c r="G267" s="11" t="str">
        <f ca="1">+WORLDCUP!BD58</f>
        <v>South Korea</v>
      </c>
      <c r="H267" s="11" t="str">
        <f ca="1">+WORLDCUP!BD63</f>
        <v>Sweden</v>
      </c>
      <c r="I267" s="11" t="str">
        <f ca="1">+WORLDCUP!BD69</f>
        <v>Ghana</v>
      </c>
      <c r="J267" s="11" t="str">
        <f ca="1">+WORLDCUP!BD68</f>
        <v>DR Congo</v>
      </c>
      <c r="N267" s="11" t="s">
        <v>970</v>
      </c>
      <c r="O267" s="11">
        <v>266</v>
      </c>
      <c r="P267" s="11" t="s">
        <v>91</v>
      </c>
      <c r="Q267" s="11" t="s">
        <v>441</v>
      </c>
      <c r="R267" s="11" t="s">
        <v>93</v>
      </c>
      <c r="S267" s="11" t="s">
        <v>92</v>
      </c>
      <c r="T267" s="11" t="s">
        <v>89</v>
      </c>
      <c r="U267" s="11" t="s">
        <v>94</v>
      </c>
      <c r="V267" s="11" t="s">
        <v>443</v>
      </c>
      <c r="W267" s="11" t="s">
        <v>442</v>
      </c>
    </row>
    <row r="268" spans="1:23">
      <c r="A268" s="11" t="s">
        <v>969</v>
      </c>
      <c r="B268" s="11">
        <f ca="1">+IF(A268=WORLDCUP!$BI$112,1,0)</f>
        <v>0</v>
      </c>
      <c r="C268" s="11" t="str">
        <f ca="1">+WORLDCUP!BD60</f>
        <v>Scotland</v>
      </c>
      <c r="D268" s="11" t="str">
        <f ca="1">+WORLDCUP!BD62</f>
        <v>Ecuador</v>
      </c>
      <c r="E268" s="11" t="str">
        <f ca="1">+WORLDCUP!BD66</f>
        <v>Senegal</v>
      </c>
      <c r="F268" s="11" t="str">
        <f ca="1">+WORLDCUP!BD61</f>
        <v>Paraguay</v>
      </c>
      <c r="G268" s="11" t="str">
        <f ca="1">+WORLDCUP!BD58</f>
        <v>South Korea</v>
      </c>
      <c r="H268" s="11" t="str">
        <f ca="1">+WORLDCUP!BD63</f>
        <v>Sweden</v>
      </c>
      <c r="I268" s="11" t="str">
        <f ca="1">+WORLDCUP!BD69</f>
        <v>Ghana</v>
      </c>
      <c r="J268" s="11" t="str">
        <f ca="1">+WORLDCUP!BD68</f>
        <v>DR Congo</v>
      </c>
      <c r="N268" s="11" t="s">
        <v>969</v>
      </c>
      <c r="O268" s="11">
        <v>267</v>
      </c>
      <c r="P268" s="11" t="s">
        <v>91</v>
      </c>
      <c r="Q268" s="11" t="s">
        <v>93</v>
      </c>
      <c r="R268" s="11" t="s">
        <v>440</v>
      </c>
      <c r="S268" s="11" t="s">
        <v>92</v>
      </c>
      <c r="T268" s="11" t="s">
        <v>89</v>
      </c>
      <c r="U268" s="11" t="s">
        <v>94</v>
      </c>
      <c r="V268" s="11" t="s">
        <v>443</v>
      </c>
      <c r="W268" s="11" t="s">
        <v>442</v>
      </c>
    </row>
    <row r="269" spans="1:23">
      <c r="A269" s="11" t="s">
        <v>968</v>
      </c>
      <c r="B269" s="11">
        <f ca="1">+IF(A269=WORLDCUP!$BI$112,1,0)</f>
        <v>0</v>
      </c>
      <c r="C269" s="11" t="str">
        <f ca="1">+WORLDCUP!BD60</f>
        <v>Scotland</v>
      </c>
      <c r="D269" s="11" t="str">
        <f ca="1">+WORLDCUP!BD67</f>
        <v>Algeria</v>
      </c>
      <c r="E269" s="11" t="str">
        <f ca="1">+WORLDCUP!BD62</f>
        <v>Ecuador</v>
      </c>
      <c r="F269" s="11" t="str">
        <f ca="1">+WORLDCUP!BD61</f>
        <v>Paraguay</v>
      </c>
      <c r="G269" s="11" t="str">
        <f ca="1">+WORLDCUP!BD58</f>
        <v>South Korea</v>
      </c>
      <c r="H269" s="11" t="str">
        <f ca="1">+WORLDCUP!BD63</f>
        <v>Sweden</v>
      </c>
      <c r="I269" s="11" t="str">
        <f ca="1">+WORLDCUP!BD69</f>
        <v>Ghana</v>
      </c>
      <c r="J269" s="11" t="str">
        <f ca="1">+WORLDCUP!BD66</f>
        <v>Senegal</v>
      </c>
      <c r="N269" s="11" t="s">
        <v>968</v>
      </c>
      <c r="O269" s="11">
        <v>268</v>
      </c>
      <c r="P269" s="11" t="s">
        <v>91</v>
      </c>
      <c r="Q269" s="11" t="s">
        <v>441</v>
      </c>
      <c r="R269" s="11" t="s">
        <v>93</v>
      </c>
      <c r="S269" s="11" t="s">
        <v>92</v>
      </c>
      <c r="T269" s="11" t="s">
        <v>89</v>
      </c>
      <c r="U269" s="11" t="s">
        <v>94</v>
      </c>
      <c r="V269" s="11" t="s">
        <v>443</v>
      </c>
      <c r="W269" s="11" t="s">
        <v>440</v>
      </c>
    </row>
    <row r="270" spans="1:23">
      <c r="A270" s="11" t="s">
        <v>967</v>
      </c>
      <c r="B270" s="11">
        <f ca="1">+IF(A270=WORLDCUP!$BI$112,1,0)</f>
        <v>0</v>
      </c>
      <c r="C270" s="11" t="str">
        <f ca="1">+WORLDCUP!BD60</f>
        <v>Scotland</v>
      </c>
      <c r="D270" s="11" t="str">
        <f ca="1">+WORLDCUP!BD67</f>
        <v>Algeria</v>
      </c>
      <c r="E270" s="11" t="str">
        <f ca="1">+WORLDCUP!BD62</f>
        <v>Ecuador</v>
      </c>
      <c r="F270" s="11" t="str">
        <f ca="1">+WORLDCUP!BD61</f>
        <v>Paraguay</v>
      </c>
      <c r="G270" s="11" t="str">
        <f ca="1">+WORLDCUP!BD58</f>
        <v>South Korea</v>
      </c>
      <c r="H270" s="11" t="str">
        <f ca="1">+WORLDCUP!BD63</f>
        <v>Sweden</v>
      </c>
      <c r="I270" s="11" t="str">
        <f ca="1">+WORLDCUP!BD66</f>
        <v>Senegal</v>
      </c>
      <c r="J270" s="11" t="str">
        <f ca="1">+WORLDCUP!BD68</f>
        <v>DR Congo</v>
      </c>
      <c r="N270" s="11" t="s">
        <v>967</v>
      </c>
      <c r="O270" s="11">
        <v>269</v>
      </c>
      <c r="P270" s="11" t="s">
        <v>91</v>
      </c>
      <c r="Q270" s="11" t="s">
        <v>441</v>
      </c>
      <c r="R270" s="11" t="s">
        <v>93</v>
      </c>
      <c r="S270" s="11" t="s">
        <v>92</v>
      </c>
      <c r="T270" s="11" t="s">
        <v>89</v>
      </c>
      <c r="U270" s="11" t="s">
        <v>94</v>
      </c>
      <c r="V270" s="11" t="s">
        <v>440</v>
      </c>
      <c r="W270" s="11" t="s">
        <v>442</v>
      </c>
    </row>
    <row r="271" spans="1:23">
      <c r="A271" s="11" t="s">
        <v>966</v>
      </c>
      <c r="B271" s="11">
        <f ca="1">+IF(A271=WORLDCUP!$BI$112,1,0)</f>
        <v>0</v>
      </c>
      <c r="C271" s="11" t="str">
        <f ca="1">+WORLDCUP!BD65</f>
        <v>Uruguay</v>
      </c>
      <c r="D271" s="11" t="str">
        <f ca="1">+WORLDCUP!BD62</f>
        <v>Ecuador</v>
      </c>
      <c r="E271" s="11" t="str">
        <f ca="1">+WORLDCUP!BD63</f>
        <v>Sweden</v>
      </c>
      <c r="F271" s="11" t="str">
        <f ca="1">+WORLDCUP!BD60</f>
        <v>Scotland</v>
      </c>
      <c r="G271" s="11" t="str">
        <f ca="1">+WORLDCUP!BD58</f>
        <v>South Korea</v>
      </c>
      <c r="H271" s="11" t="str">
        <f ca="1">+WORLDCUP!BD61</f>
        <v>Paraguay</v>
      </c>
      <c r="I271" s="11" t="str">
        <f ca="1">+WORLDCUP!BD69</f>
        <v>Ghana</v>
      </c>
      <c r="J271" s="11" t="str">
        <f ca="1">+WORLDCUP!BD68</f>
        <v>DR Congo</v>
      </c>
      <c r="N271" s="11" t="s">
        <v>966</v>
      </c>
      <c r="O271" s="11">
        <v>270</v>
      </c>
      <c r="P271" s="11" t="s">
        <v>436</v>
      </c>
      <c r="Q271" s="11" t="s">
        <v>93</v>
      </c>
      <c r="R271" s="11" t="s">
        <v>94</v>
      </c>
      <c r="S271" s="11" t="s">
        <v>91</v>
      </c>
      <c r="T271" s="11" t="s">
        <v>89</v>
      </c>
      <c r="U271" s="11" t="s">
        <v>92</v>
      </c>
      <c r="V271" s="11" t="s">
        <v>443</v>
      </c>
      <c r="W271" s="11" t="s">
        <v>442</v>
      </c>
    </row>
    <row r="272" spans="1:23">
      <c r="A272" s="11" t="s">
        <v>965</v>
      </c>
      <c r="B272" s="11">
        <f ca="1">+IF(A272=WORLDCUP!$BI$112,1,0)</f>
        <v>0</v>
      </c>
      <c r="C272" s="11" t="str">
        <f ca="1">+WORLDCUP!BD65</f>
        <v>Uruguay</v>
      </c>
      <c r="D272" s="11" t="str">
        <f ca="1">+WORLDCUP!BD67</f>
        <v>Algeria</v>
      </c>
      <c r="E272" s="11" t="str">
        <f ca="1">+WORLDCUP!BD63</f>
        <v>Sweden</v>
      </c>
      <c r="F272" s="11" t="str">
        <f ca="1">+WORLDCUP!BD60</f>
        <v>Scotland</v>
      </c>
      <c r="G272" s="11" t="str">
        <f ca="1">+WORLDCUP!BD58</f>
        <v>South Korea</v>
      </c>
      <c r="H272" s="11" t="str">
        <f ca="1">+WORLDCUP!BD61</f>
        <v>Paraguay</v>
      </c>
      <c r="I272" s="11" t="str">
        <f ca="1">+WORLDCUP!BD69</f>
        <v>Ghana</v>
      </c>
      <c r="J272" s="11" t="str">
        <f ca="1">+WORLDCUP!BD62</f>
        <v>Ecuador</v>
      </c>
      <c r="N272" s="11" t="s">
        <v>965</v>
      </c>
      <c r="O272" s="11">
        <v>271</v>
      </c>
      <c r="P272" s="11" t="s">
        <v>436</v>
      </c>
      <c r="Q272" s="11" t="s">
        <v>441</v>
      </c>
      <c r="R272" s="11" t="s">
        <v>94</v>
      </c>
      <c r="S272" s="11" t="s">
        <v>91</v>
      </c>
      <c r="T272" s="11" t="s">
        <v>89</v>
      </c>
      <c r="U272" s="11" t="s">
        <v>92</v>
      </c>
      <c r="V272" s="11" t="s">
        <v>443</v>
      </c>
      <c r="W272" s="11" t="s">
        <v>93</v>
      </c>
    </row>
    <row r="273" spans="1:23">
      <c r="A273" s="11" t="s">
        <v>964</v>
      </c>
      <c r="B273" s="11">
        <f ca="1">+IF(A273=WORLDCUP!$BI$112,1,0)</f>
        <v>0</v>
      </c>
      <c r="C273" s="11" t="str">
        <f ca="1">+WORLDCUP!BD65</f>
        <v>Uruguay</v>
      </c>
      <c r="D273" s="11" t="str">
        <f ca="1">+WORLDCUP!BD67</f>
        <v>Algeria</v>
      </c>
      <c r="E273" s="11" t="str">
        <f ca="1">+WORLDCUP!BD62</f>
        <v>Ecuador</v>
      </c>
      <c r="F273" s="11" t="str">
        <f ca="1">+WORLDCUP!BD60</f>
        <v>Scotland</v>
      </c>
      <c r="G273" s="11" t="str">
        <f ca="1">+WORLDCUP!BD58</f>
        <v>South Korea</v>
      </c>
      <c r="H273" s="11" t="str">
        <f ca="1">+WORLDCUP!BD63</f>
        <v>Sweden</v>
      </c>
      <c r="I273" s="11" t="str">
        <f ca="1">+WORLDCUP!BD61</f>
        <v>Paraguay</v>
      </c>
      <c r="J273" s="11" t="str">
        <f ca="1">+WORLDCUP!BD68</f>
        <v>DR Congo</v>
      </c>
      <c r="N273" s="11" t="s">
        <v>964</v>
      </c>
      <c r="O273" s="11">
        <v>272</v>
      </c>
      <c r="P273" s="11" t="s">
        <v>436</v>
      </c>
      <c r="Q273" s="11" t="s">
        <v>441</v>
      </c>
      <c r="R273" s="11" t="s">
        <v>93</v>
      </c>
      <c r="S273" s="11" t="s">
        <v>91</v>
      </c>
      <c r="T273" s="11" t="s">
        <v>89</v>
      </c>
      <c r="U273" s="11" t="s">
        <v>94</v>
      </c>
      <c r="V273" s="11" t="s">
        <v>92</v>
      </c>
      <c r="W273" s="11" t="s">
        <v>442</v>
      </c>
    </row>
    <row r="274" spans="1:23">
      <c r="A274" s="11" t="s">
        <v>963</v>
      </c>
      <c r="B274" s="11">
        <f ca="1">+IF(A274=WORLDCUP!$BI$112,1,0)</f>
        <v>0</v>
      </c>
      <c r="C274" s="11" t="str">
        <f ca="1">+WORLDCUP!BD65</f>
        <v>Uruguay</v>
      </c>
      <c r="D274" s="11" t="str">
        <f ca="1">+WORLDCUP!BD62</f>
        <v>Ecuador</v>
      </c>
      <c r="E274" s="11" t="str">
        <f ca="1">+WORLDCUP!BD63</f>
        <v>Sweden</v>
      </c>
      <c r="F274" s="11" t="str">
        <f ca="1">+WORLDCUP!BD60</f>
        <v>Scotland</v>
      </c>
      <c r="G274" s="11" t="str">
        <f ca="1">+WORLDCUP!BD58</f>
        <v>South Korea</v>
      </c>
      <c r="H274" s="11" t="str">
        <f ca="1">+WORLDCUP!BD61</f>
        <v>Paraguay</v>
      </c>
      <c r="I274" s="11" t="str">
        <f ca="1">+WORLDCUP!BD69</f>
        <v>Ghana</v>
      </c>
      <c r="J274" s="11" t="str">
        <f ca="1">+WORLDCUP!BD66</f>
        <v>Senegal</v>
      </c>
      <c r="N274" s="11" t="s">
        <v>963</v>
      </c>
      <c r="O274" s="11">
        <v>273</v>
      </c>
      <c r="P274" s="11" t="s">
        <v>436</v>
      </c>
      <c r="Q274" s="11" t="s">
        <v>93</v>
      </c>
      <c r="R274" s="11" t="s">
        <v>94</v>
      </c>
      <c r="S274" s="11" t="s">
        <v>91</v>
      </c>
      <c r="T274" s="11" t="s">
        <v>89</v>
      </c>
      <c r="U274" s="11" t="s">
        <v>92</v>
      </c>
      <c r="V274" s="11" t="s">
        <v>443</v>
      </c>
      <c r="W274" s="11" t="s">
        <v>440</v>
      </c>
    </row>
    <row r="275" spans="1:23">
      <c r="A275" s="11" t="s">
        <v>962</v>
      </c>
      <c r="B275" s="11">
        <f ca="1">+IF(A275=WORLDCUP!$BI$112,1,0)</f>
        <v>0</v>
      </c>
      <c r="C275" s="11" t="str">
        <f ca="1">+WORLDCUP!BD65</f>
        <v>Uruguay</v>
      </c>
      <c r="D275" s="11" t="str">
        <f ca="1">+WORLDCUP!BD62</f>
        <v>Ecuador</v>
      </c>
      <c r="E275" s="11" t="str">
        <f ca="1">+WORLDCUP!BD63</f>
        <v>Sweden</v>
      </c>
      <c r="F275" s="11" t="str">
        <f ca="1">+WORLDCUP!BD60</f>
        <v>Scotland</v>
      </c>
      <c r="G275" s="11" t="str">
        <f ca="1">+WORLDCUP!BD58</f>
        <v>South Korea</v>
      </c>
      <c r="H275" s="11" t="str">
        <f ca="1">+WORLDCUP!BD61</f>
        <v>Paraguay</v>
      </c>
      <c r="I275" s="11" t="str">
        <f ca="1">+WORLDCUP!BD66</f>
        <v>Senegal</v>
      </c>
      <c r="J275" s="11" t="str">
        <f ca="1">+WORLDCUP!BD68</f>
        <v>DR Congo</v>
      </c>
      <c r="N275" s="11" t="s">
        <v>962</v>
      </c>
      <c r="O275" s="11">
        <v>274</v>
      </c>
      <c r="P275" s="11" t="s">
        <v>436</v>
      </c>
      <c r="Q275" s="11" t="s">
        <v>93</v>
      </c>
      <c r="R275" s="11" t="s">
        <v>94</v>
      </c>
      <c r="S275" s="11" t="s">
        <v>91</v>
      </c>
      <c r="T275" s="11" t="s">
        <v>89</v>
      </c>
      <c r="U275" s="11" t="s">
        <v>92</v>
      </c>
      <c r="V275" s="11" t="s">
        <v>440</v>
      </c>
      <c r="W275" s="11" t="s">
        <v>442</v>
      </c>
    </row>
    <row r="276" spans="1:23">
      <c r="A276" s="11" t="s">
        <v>961</v>
      </c>
      <c r="B276" s="11">
        <f ca="1">+IF(A276=WORLDCUP!$BI$112,1,0)</f>
        <v>0</v>
      </c>
      <c r="C276" s="11" t="str">
        <f ca="1">+WORLDCUP!BD65</f>
        <v>Uruguay</v>
      </c>
      <c r="D276" s="11" t="str">
        <f ca="1">+WORLDCUP!BD67</f>
        <v>Algeria</v>
      </c>
      <c r="E276" s="11" t="str">
        <f ca="1">+WORLDCUP!BD62</f>
        <v>Ecuador</v>
      </c>
      <c r="F276" s="11" t="str">
        <f ca="1">+WORLDCUP!BD60</f>
        <v>Scotland</v>
      </c>
      <c r="G276" s="11" t="str">
        <f ca="1">+WORLDCUP!BD58</f>
        <v>South Korea</v>
      </c>
      <c r="H276" s="11" t="str">
        <f ca="1">+WORLDCUP!BD63</f>
        <v>Sweden</v>
      </c>
      <c r="I276" s="11" t="str">
        <f ca="1">+WORLDCUP!BD61</f>
        <v>Paraguay</v>
      </c>
      <c r="J276" s="11" t="str">
        <f ca="1">+WORLDCUP!BD66</f>
        <v>Senegal</v>
      </c>
      <c r="N276" s="11" t="s">
        <v>961</v>
      </c>
      <c r="O276" s="11">
        <v>275</v>
      </c>
      <c r="P276" s="11" t="s">
        <v>436</v>
      </c>
      <c r="Q276" s="11" t="s">
        <v>441</v>
      </c>
      <c r="R276" s="11" t="s">
        <v>93</v>
      </c>
      <c r="S276" s="11" t="s">
        <v>91</v>
      </c>
      <c r="T276" s="11" t="s">
        <v>89</v>
      </c>
      <c r="U276" s="11" t="s">
        <v>94</v>
      </c>
      <c r="V276" s="11" t="s">
        <v>92</v>
      </c>
      <c r="W276" s="11" t="s">
        <v>440</v>
      </c>
    </row>
    <row r="277" spans="1:23">
      <c r="A277" s="11" t="s">
        <v>960</v>
      </c>
      <c r="B277" s="11">
        <f ca="1">+IF(A277=WORLDCUP!$BI$112,1,0)</f>
        <v>0</v>
      </c>
      <c r="C277" s="11" t="str">
        <f ca="1">+WORLDCUP!BD60</f>
        <v>Scotland</v>
      </c>
      <c r="D277" s="11" t="str">
        <f ca="1">+WORLDCUP!BD64</f>
        <v>Iran</v>
      </c>
      <c r="E277" s="11" t="str">
        <f ca="1">+WORLDCUP!BD62</f>
        <v>Ecuador</v>
      </c>
      <c r="F277" s="11" t="str">
        <f ca="1">+WORLDCUP!BD61</f>
        <v>Paraguay</v>
      </c>
      <c r="G277" s="11" t="str">
        <f ca="1">+WORLDCUP!BD58</f>
        <v>South Korea</v>
      </c>
      <c r="H277" s="11" t="str">
        <f ca="1">+WORLDCUP!BD63</f>
        <v>Sweden</v>
      </c>
      <c r="I277" s="11" t="str">
        <f ca="1">+WORLDCUP!BD69</f>
        <v>Ghana</v>
      </c>
      <c r="J277" s="11" t="str">
        <f ca="1">+WORLDCUP!BD68</f>
        <v>DR Congo</v>
      </c>
      <c r="N277" s="11" t="s">
        <v>960</v>
      </c>
      <c r="O277" s="11">
        <v>276</v>
      </c>
      <c r="P277" s="11" t="s">
        <v>91</v>
      </c>
      <c r="Q277" s="11" t="s">
        <v>435</v>
      </c>
      <c r="R277" s="11" t="s">
        <v>93</v>
      </c>
      <c r="S277" s="11" t="s">
        <v>92</v>
      </c>
      <c r="T277" s="11" t="s">
        <v>89</v>
      </c>
      <c r="U277" s="11" t="s">
        <v>94</v>
      </c>
      <c r="V277" s="11" t="s">
        <v>443</v>
      </c>
      <c r="W277" s="11" t="s">
        <v>442</v>
      </c>
    </row>
    <row r="278" spans="1:23">
      <c r="A278" s="11" t="s">
        <v>586</v>
      </c>
      <c r="B278" s="11">
        <f ca="1">+IF(A278=WORLDCUP!$BI$112,1,0)</f>
        <v>0</v>
      </c>
      <c r="C278" s="11" t="str">
        <f ca="1">+WORLDCUP!BD60</f>
        <v>Scotland</v>
      </c>
      <c r="D278" s="11" t="str">
        <f ca="1">+WORLDCUP!BD64</f>
        <v>Iran</v>
      </c>
      <c r="E278" s="11" t="str">
        <f ca="1">+WORLDCUP!BD67</f>
        <v>Algeria</v>
      </c>
      <c r="F278" s="11" t="str">
        <f ca="1">+WORLDCUP!BD61</f>
        <v>Paraguay</v>
      </c>
      <c r="G278" s="11" t="str">
        <f ca="1">+WORLDCUP!BD58</f>
        <v>South Korea</v>
      </c>
      <c r="H278" s="11" t="str">
        <f ca="1">+WORLDCUP!BD63</f>
        <v>Sweden</v>
      </c>
      <c r="I278" s="11" t="str">
        <f ca="1">+WORLDCUP!BD69</f>
        <v>Ghana</v>
      </c>
      <c r="J278" s="11" t="str">
        <f ca="1">+WORLDCUP!BD62</f>
        <v>Ecuador</v>
      </c>
      <c r="N278" s="11" t="s">
        <v>586</v>
      </c>
      <c r="O278" s="11">
        <v>277</v>
      </c>
      <c r="P278" s="11" t="s">
        <v>91</v>
      </c>
      <c r="Q278" s="11" t="s">
        <v>435</v>
      </c>
      <c r="R278" s="11" t="s">
        <v>441</v>
      </c>
      <c r="S278" s="11" t="s">
        <v>92</v>
      </c>
      <c r="T278" s="11" t="s">
        <v>89</v>
      </c>
      <c r="U278" s="11" t="s">
        <v>94</v>
      </c>
      <c r="V278" s="11" t="s">
        <v>443</v>
      </c>
      <c r="W278" s="11" t="s">
        <v>93</v>
      </c>
    </row>
    <row r="279" spans="1:23">
      <c r="A279" s="11" t="s">
        <v>585</v>
      </c>
      <c r="B279" s="11">
        <f ca="1">+IF(A279=WORLDCUP!$BI$112,1,0)</f>
        <v>0</v>
      </c>
      <c r="C279" s="11" t="str">
        <f ca="1">+WORLDCUP!BD60</f>
        <v>Scotland</v>
      </c>
      <c r="D279" s="11" t="str">
        <f ca="1">+WORLDCUP!BD64</f>
        <v>Iran</v>
      </c>
      <c r="E279" s="11" t="str">
        <f ca="1">+WORLDCUP!BD67</f>
        <v>Algeria</v>
      </c>
      <c r="F279" s="11" t="str">
        <f ca="1">+WORLDCUP!BD61</f>
        <v>Paraguay</v>
      </c>
      <c r="G279" s="11" t="str">
        <f ca="1">+WORLDCUP!BD58</f>
        <v>South Korea</v>
      </c>
      <c r="H279" s="11" t="str">
        <f ca="1">+WORLDCUP!BD63</f>
        <v>Sweden</v>
      </c>
      <c r="I279" s="11" t="str">
        <f ca="1">+WORLDCUP!BD62</f>
        <v>Ecuador</v>
      </c>
      <c r="J279" s="11" t="str">
        <f ca="1">+WORLDCUP!BD68</f>
        <v>DR Congo</v>
      </c>
      <c r="N279" s="11" t="s">
        <v>585</v>
      </c>
      <c r="O279" s="11">
        <v>278</v>
      </c>
      <c r="P279" s="11" t="s">
        <v>91</v>
      </c>
      <c r="Q279" s="11" t="s">
        <v>435</v>
      </c>
      <c r="R279" s="11" t="s">
        <v>441</v>
      </c>
      <c r="S279" s="11" t="s">
        <v>92</v>
      </c>
      <c r="T279" s="11" t="s">
        <v>89</v>
      </c>
      <c r="U279" s="11" t="s">
        <v>94</v>
      </c>
      <c r="V279" s="11" t="s">
        <v>93</v>
      </c>
      <c r="W279" s="11" t="s">
        <v>442</v>
      </c>
    </row>
    <row r="280" spans="1:23">
      <c r="A280" s="11" t="s">
        <v>584</v>
      </c>
      <c r="B280" s="11">
        <f ca="1">+IF(A280=WORLDCUP!$BI$112,1,0)</f>
        <v>0</v>
      </c>
      <c r="C280" s="11" t="str">
        <f ca="1">+WORLDCUP!BD60</f>
        <v>Scotland</v>
      </c>
      <c r="D280" s="11" t="str">
        <f ca="1">+WORLDCUP!BD64</f>
        <v>Iran</v>
      </c>
      <c r="E280" s="11" t="str">
        <f ca="1">+WORLDCUP!BD62</f>
        <v>Ecuador</v>
      </c>
      <c r="F280" s="11" t="str">
        <f ca="1">+WORLDCUP!BD61</f>
        <v>Paraguay</v>
      </c>
      <c r="G280" s="11" t="str">
        <f ca="1">+WORLDCUP!BD58</f>
        <v>South Korea</v>
      </c>
      <c r="H280" s="11" t="str">
        <f ca="1">+WORLDCUP!BD63</f>
        <v>Sweden</v>
      </c>
      <c r="I280" s="11" t="str">
        <f ca="1">+WORLDCUP!BD69</f>
        <v>Ghana</v>
      </c>
      <c r="J280" s="11" t="str">
        <f ca="1">+WORLDCUP!BD66</f>
        <v>Senegal</v>
      </c>
      <c r="N280" s="11" t="s">
        <v>584</v>
      </c>
      <c r="O280" s="11">
        <v>279</v>
      </c>
      <c r="P280" s="11" t="s">
        <v>91</v>
      </c>
      <c r="Q280" s="11" t="s">
        <v>435</v>
      </c>
      <c r="R280" s="11" t="s">
        <v>93</v>
      </c>
      <c r="S280" s="11" t="s">
        <v>92</v>
      </c>
      <c r="T280" s="11" t="s">
        <v>89</v>
      </c>
      <c r="U280" s="11" t="s">
        <v>94</v>
      </c>
      <c r="V280" s="11" t="s">
        <v>443</v>
      </c>
      <c r="W280" s="11" t="s">
        <v>440</v>
      </c>
    </row>
    <row r="281" spans="1:23">
      <c r="A281" s="11" t="s">
        <v>583</v>
      </c>
      <c r="B281" s="11">
        <f ca="1">+IF(A281=WORLDCUP!$BI$112,1,0)</f>
        <v>0</v>
      </c>
      <c r="C281" s="11" t="str">
        <f ca="1">+WORLDCUP!BD60</f>
        <v>Scotland</v>
      </c>
      <c r="D281" s="11" t="str">
        <f ca="1">+WORLDCUP!BD64</f>
        <v>Iran</v>
      </c>
      <c r="E281" s="11" t="str">
        <f ca="1">+WORLDCUP!BD62</f>
        <v>Ecuador</v>
      </c>
      <c r="F281" s="11" t="str">
        <f ca="1">+WORLDCUP!BD61</f>
        <v>Paraguay</v>
      </c>
      <c r="G281" s="11" t="str">
        <f ca="1">+WORLDCUP!BD58</f>
        <v>South Korea</v>
      </c>
      <c r="H281" s="11" t="str">
        <f ca="1">+WORLDCUP!BD63</f>
        <v>Sweden</v>
      </c>
      <c r="I281" s="11" t="str">
        <f ca="1">+WORLDCUP!BD66</f>
        <v>Senegal</v>
      </c>
      <c r="J281" s="11" t="str">
        <f ca="1">+WORLDCUP!BD68</f>
        <v>DR Congo</v>
      </c>
      <c r="N281" s="11" t="s">
        <v>583</v>
      </c>
      <c r="O281" s="11">
        <v>280</v>
      </c>
      <c r="P281" s="11" t="s">
        <v>91</v>
      </c>
      <c r="Q281" s="11" t="s">
        <v>435</v>
      </c>
      <c r="R281" s="11" t="s">
        <v>93</v>
      </c>
      <c r="S281" s="11" t="s">
        <v>92</v>
      </c>
      <c r="T281" s="11" t="s">
        <v>89</v>
      </c>
      <c r="U281" s="11" t="s">
        <v>94</v>
      </c>
      <c r="V281" s="11" t="s">
        <v>440</v>
      </c>
      <c r="W281" s="11" t="s">
        <v>442</v>
      </c>
    </row>
    <row r="282" spans="1:23">
      <c r="A282" s="11" t="s">
        <v>582</v>
      </c>
      <c r="B282" s="11">
        <f ca="1">+IF(A282=WORLDCUP!$BI$112,1,0)</f>
        <v>0</v>
      </c>
      <c r="C282" s="11" t="str">
        <f ca="1">+WORLDCUP!BD60</f>
        <v>Scotland</v>
      </c>
      <c r="D282" s="11" t="str">
        <f ca="1">+WORLDCUP!BD64</f>
        <v>Iran</v>
      </c>
      <c r="E282" s="11" t="str">
        <f ca="1">+WORLDCUP!BD67</f>
        <v>Algeria</v>
      </c>
      <c r="F282" s="11" t="str">
        <f ca="1">+WORLDCUP!BD61</f>
        <v>Paraguay</v>
      </c>
      <c r="G282" s="11" t="str">
        <f ca="1">+WORLDCUP!BD58</f>
        <v>South Korea</v>
      </c>
      <c r="H282" s="11" t="str">
        <f ca="1">+WORLDCUP!BD63</f>
        <v>Sweden</v>
      </c>
      <c r="I282" s="11" t="str">
        <f ca="1">+WORLDCUP!BD62</f>
        <v>Ecuador</v>
      </c>
      <c r="J282" s="11" t="str">
        <f ca="1">+WORLDCUP!BD66</f>
        <v>Senegal</v>
      </c>
      <c r="N282" s="11" t="s">
        <v>582</v>
      </c>
      <c r="O282" s="11">
        <v>281</v>
      </c>
      <c r="P282" s="11" t="s">
        <v>91</v>
      </c>
      <c r="Q282" s="11" t="s">
        <v>435</v>
      </c>
      <c r="R282" s="11" t="s">
        <v>441</v>
      </c>
      <c r="S282" s="11" t="s">
        <v>92</v>
      </c>
      <c r="T282" s="11" t="s">
        <v>89</v>
      </c>
      <c r="U282" s="11" t="s">
        <v>94</v>
      </c>
      <c r="V282" s="11" t="s">
        <v>93</v>
      </c>
      <c r="W282" s="11" t="s">
        <v>440</v>
      </c>
    </row>
    <row r="283" spans="1:23">
      <c r="A283" s="11" t="s">
        <v>581</v>
      </c>
      <c r="B283" s="11">
        <f ca="1">+IF(A283=WORLDCUP!$BI$112,1,0)</f>
        <v>0</v>
      </c>
      <c r="C283" s="11" t="str">
        <f ca="1">+WORLDCUP!BD65</f>
        <v>Uruguay</v>
      </c>
      <c r="D283" s="11" t="str">
        <f ca="1">+WORLDCUP!BD64</f>
        <v>Iran</v>
      </c>
      <c r="E283" s="11" t="str">
        <f ca="1">+WORLDCUP!BD63</f>
        <v>Sweden</v>
      </c>
      <c r="F283" s="11" t="str">
        <f ca="1">+WORLDCUP!BD60</f>
        <v>Scotland</v>
      </c>
      <c r="G283" s="11" t="str">
        <f ca="1">+WORLDCUP!BD58</f>
        <v>South Korea</v>
      </c>
      <c r="H283" s="11" t="str">
        <f ca="1">+WORLDCUP!BD61</f>
        <v>Paraguay</v>
      </c>
      <c r="I283" s="11" t="str">
        <f ca="1">+WORLDCUP!BD69</f>
        <v>Ghana</v>
      </c>
      <c r="J283" s="11" t="str">
        <f ca="1">+WORLDCUP!BD62</f>
        <v>Ecuador</v>
      </c>
      <c r="N283" s="11" t="s">
        <v>581</v>
      </c>
      <c r="O283" s="11">
        <v>282</v>
      </c>
      <c r="P283" s="11" t="s">
        <v>436</v>
      </c>
      <c r="Q283" s="11" t="s">
        <v>435</v>
      </c>
      <c r="R283" s="11" t="s">
        <v>94</v>
      </c>
      <c r="S283" s="11" t="s">
        <v>91</v>
      </c>
      <c r="T283" s="11" t="s">
        <v>89</v>
      </c>
      <c r="U283" s="11" t="s">
        <v>92</v>
      </c>
      <c r="V283" s="11" t="s">
        <v>443</v>
      </c>
      <c r="W283" s="11" t="s">
        <v>93</v>
      </c>
    </row>
    <row r="284" spans="1:23">
      <c r="A284" s="11" t="s">
        <v>580</v>
      </c>
      <c r="B284" s="11">
        <f ca="1">+IF(A284=WORLDCUP!$BI$112,1,0)</f>
        <v>0</v>
      </c>
      <c r="C284" s="11" t="str">
        <f ca="1">+WORLDCUP!BD65</f>
        <v>Uruguay</v>
      </c>
      <c r="D284" s="11" t="str">
        <f ca="1">+WORLDCUP!BD64</f>
        <v>Iran</v>
      </c>
      <c r="E284" s="11" t="str">
        <f ca="1">+WORLDCUP!BD62</f>
        <v>Ecuador</v>
      </c>
      <c r="F284" s="11" t="str">
        <f ca="1">+WORLDCUP!BD60</f>
        <v>Scotland</v>
      </c>
      <c r="G284" s="11" t="str">
        <f ca="1">+WORLDCUP!BD58</f>
        <v>South Korea</v>
      </c>
      <c r="H284" s="11" t="str">
        <f ca="1">+WORLDCUP!BD63</f>
        <v>Sweden</v>
      </c>
      <c r="I284" s="11" t="str">
        <f ca="1">+WORLDCUP!BD61</f>
        <v>Paraguay</v>
      </c>
      <c r="J284" s="11" t="str">
        <f ca="1">+WORLDCUP!BD68</f>
        <v>DR Congo</v>
      </c>
      <c r="N284" s="11" t="s">
        <v>580</v>
      </c>
      <c r="O284" s="11">
        <v>283</v>
      </c>
      <c r="P284" s="11" t="s">
        <v>436</v>
      </c>
      <c r="Q284" s="11" t="s">
        <v>435</v>
      </c>
      <c r="R284" s="11" t="s">
        <v>93</v>
      </c>
      <c r="S284" s="11" t="s">
        <v>91</v>
      </c>
      <c r="T284" s="11" t="s">
        <v>89</v>
      </c>
      <c r="U284" s="11" t="s">
        <v>94</v>
      </c>
      <c r="V284" s="11" t="s">
        <v>92</v>
      </c>
      <c r="W284" s="11" t="s">
        <v>442</v>
      </c>
    </row>
    <row r="285" spans="1:23">
      <c r="A285" s="11" t="s">
        <v>579</v>
      </c>
      <c r="B285" s="11">
        <f ca="1">+IF(A285=WORLDCUP!$BI$112,1,0)</f>
        <v>0</v>
      </c>
      <c r="C285" s="11" t="str">
        <f ca="1">+WORLDCUP!BD65</f>
        <v>Uruguay</v>
      </c>
      <c r="D285" s="11" t="str">
        <f ca="1">+WORLDCUP!BD64</f>
        <v>Iran</v>
      </c>
      <c r="E285" s="11" t="str">
        <f ca="1">+WORLDCUP!BD67</f>
        <v>Algeria</v>
      </c>
      <c r="F285" s="11" t="str">
        <f ca="1">+WORLDCUP!BD60</f>
        <v>Scotland</v>
      </c>
      <c r="G285" s="11" t="str">
        <f ca="1">+WORLDCUP!BD58</f>
        <v>South Korea</v>
      </c>
      <c r="H285" s="11" t="str">
        <f ca="1">+WORLDCUP!BD63</f>
        <v>Sweden</v>
      </c>
      <c r="I285" s="11" t="str">
        <f ca="1">+WORLDCUP!BD61</f>
        <v>Paraguay</v>
      </c>
      <c r="J285" s="11" t="str">
        <f ca="1">+WORLDCUP!BD62</f>
        <v>Ecuador</v>
      </c>
      <c r="N285" s="11" t="s">
        <v>579</v>
      </c>
      <c r="O285" s="11">
        <v>284</v>
      </c>
      <c r="P285" s="11" t="s">
        <v>436</v>
      </c>
      <c r="Q285" s="11" t="s">
        <v>435</v>
      </c>
      <c r="R285" s="11" t="s">
        <v>441</v>
      </c>
      <c r="S285" s="11" t="s">
        <v>91</v>
      </c>
      <c r="T285" s="11" t="s">
        <v>89</v>
      </c>
      <c r="U285" s="11" t="s">
        <v>94</v>
      </c>
      <c r="V285" s="11" t="s">
        <v>92</v>
      </c>
      <c r="W285" s="11" t="s">
        <v>93</v>
      </c>
    </row>
    <row r="286" spans="1:23">
      <c r="A286" s="11" t="s">
        <v>578</v>
      </c>
      <c r="B286" s="11">
        <f ca="1">+IF(A286=WORLDCUP!$BI$112,1,0)</f>
        <v>0</v>
      </c>
      <c r="C286" s="11" t="str">
        <f ca="1">+WORLDCUP!BD65</f>
        <v>Uruguay</v>
      </c>
      <c r="D286" s="11" t="str">
        <f ca="1">+WORLDCUP!BD64</f>
        <v>Iran</v>
      </c>
      <c r="E286" s="11" t="str">
        <f ca="1">+WORLDCUP!BD62</f>
        <v>Ecuador</v>
      </c>
      <c r="F286" s="11" t="str">
        <f ca="1">+WORLDCUP!BD60</f>
        <v>Scotland</v>
      </c>
      <c r="G286" s="11" t="str">
        <f ca="1">+WORLDCUP!BD58</f>
        <v>South Korea</v>
      </c>
      <c r="H286" s="11" t="str">
        <f ca="1">+WORLDCUP!BD63</f>
        <v>Sweden</v>
      </c>
      <c r="I286" s="11" t="str">
        <f ca="1">+WORLDCUP!BD61</f>
        <v>Paraguay</v>
      </c>
      <c r="J286" s="11" t="str">
        <f ca="1">+WORLDCUP!BD66</f>
        <v>Senegal</v>
      </c>
      <c r="N286" s="11" t="s">
        <v>578</v>
      </c>
      <c r="O286" s="11">
        <v>285</v>
      </c>
      <c r="P286" s="11" t="s">
        <v>436</v>
      </c>
      <c r="Q286" s="11" t="s">
        <v>435</v>
      </c>
      <c r="R286" s="11" t="s">
        <v>93</v>
      </c>
      <c r="S286" s="11" t="s">
        <v>91</v>
      </c>
      <c r="T286" s="11" t="s">
        <v>89</v>
      </c>
      <c r="U286" s="11" t="s">
        <v>94</v>
      </c>
      <c r="V286" s="11" t="s">
        <v>92</v>
      </c>
      <c r="W286" s="11" t="s">
        <v>440</v>
      </c>
    </row>
    <row r="287" spans="1:23">
      <c r="A287" s="11" t="s">
        <v>959</v>
      </c>
      <c r="B287" s="11">
        <f ca="1">+IF(A287=WORLDCUP!$BI$112,1,0)</f>
        <v>0</v>
      </c>
      <c r="C287" s="11" t="str">
        <f ca="1">+WORLDCUP!BD65</f>
        <v>Uruguay</v>
      </c>
      <c r="D287" s="11" t="str">
        <f ca="1">+WORLDCUP!BD67</f>
        <v>Algeria</v>
      </c>
      <c r="E287" s="11" t="str">
        <f ca="1">+WORLDCUP!BD59</f>
        <v>Bosnia and Herzegovina</v>
      </c>
      <c r="F287" s="11" t="str">
        <f ca="1">+WORLDCUP!BD58</f>
        <v>South Korea</v>
      </c>
      <c r="G287" s="11" t="str">
        <f ca="1">+WORLDCUP!BD66</f>
        <v>Senegal</v>
      </c>
      <c r="H287" s="11" t="str">
        <f ca="1">+WORLDCUP!BD64</f>
        <v>Iran</v>
      </c>
      <c r="I287" s="11" t="str">
        <f ca="1">+WORLDCUP!BD69</f>
        <v>Ghana</v>
      </c>
      <c r="J287" s="11" t="str">
        <f ca="1">+WORLDCUP!BD68</f>
        <v>DR Congo</v>
      </c>
      <c r="N287" s="11" t="s">
        <v>959</v>
      </c>
      <c r="O287" s="11">
        <v>286</v>
      </c>
      <c r="P287" s="11" t="s">
        <v>436</v>
      </c>
      <c r="Q287" s="11" t="s">
        <v>441</v>
      </c>
      <c r="R287" s="11" t="s">
        <v>90</v>
      </c>
      <c r="S287" s="11" t="s">
        <v>89</v>
      </c>
      <c r="T287" s="11" t="s">
        <v>440</v>
      </c>
      <c r="U287" s="11" t="s">
        <v>435</v>
      </c>
      <c r="V287" s="11" t="s">
        <v>443</v>
      </c>
      <c r="W287" s="11" t="s">
        <v>442</v>
      </c>
    </row>
    <row r="288" spans="1:23">
      <c r="A288" s="11" t="s">
        <v>958</v>
      </c>
      <c r="B288" s="11">
        <f ca="1">+IF(A288=WORLDCUP!$BI$112,1,0)</f>
        <v>0</v>
      </c>
      <c r="C288" s="11" t="str">
        <f ca="1">+WORLDCUP!BD65</f>
        <v>Uruguay</v>
      </c>
      <c r="D288" s="11" t="str">
        <f ca="1">+WORLDCUP!BD67</f>
        <v>Algeria</v>
      </c>
      <c r="E288" s="11" t="str">
        <f ca="1">+WORLDCUP!BD59</f>
        <v>Bosnia and Herzegovina</v>
      </c>
      <c r="F288" s="11" t="str">
        <f ca="1">+WORLDCUP!BD58</f>
        <v>South Korea</v>
      </c>
      <c r="G288" s="11" t="str">
        <f ca="1">+WORLDCUP!BD66</f>
        <v>Senegal</v>
      </c>
      <c r="H288" s="11" t="str">
        <f ca="1">+WORLDCUP!BD63</f>
        <v>Sweden</v>
      </c>
      <c r="I288" s="11" t="str">
        <f ca="1">+WORLDCUP!BD69</f>
        <v>Ghana</v>
      </c>
      <c r="J288" s="11" t="str">
        <f ca="1">+WORLDCUP!BD68</f>
        <v>DR Congo</v>
      </c>
      <c r="N288" s="11" t="s">
        <v>958</v>
      </c>
      <c r="O288" s="11">
        <v>287</v>
      </c>
      <c r="P288" s="11" t="s">
        <v>436</v>
      </c>
      <c r="Q288" s="11" t="s">
        <v>441</v>
      </c>
      <c r="R288" s="11" t="s">
        <v>90</v>
      </c>
      <c r="S288" s="11" t="s">
        <v>89</v>
      </c>
      <c r="T288" s="11" t="s">
        <v>440</v>
      </c>
      <c r="U288" s="11" t="s">
        <v>94</v>
      </c>
      <c r="V288" s="11" t="s">
        <v>443</v>
      </c>
      <c r="W288" s="11" t="s">
        <v>442</v>
      </c>
    </row>
    <row r="289" spans="1:23">
      <c r="A289" s="11" t="s">
        <v>957</v>
      </c>
      <c r="B289" s="11">
        <f ca="1">+IF(A289=WORLDCUP!$BI$112,1,0)</f>
        <v>0</v>
      </c>
      <c r="C289" s="11" t="str">
        <f ca="1">+WORLDCUP!BD66</f>
        <v>Senegal</v>
      </c>
      <c r="D289" s="11" t="str">
        <f ca="1">+WORLDCUP!BD67</f>
        <v>Algeria</v>
      </c>
      <c r="E289" s="11" t="str">
        <f ca="1">+WORLDCUP!BD59</f>
        <v>Bosnia and Herzegovina</v>
      </c>
      <c r="F289" s="11" t="str">
        <f ca="1">+WORLDCUP!BD63</f>
        <v>Sweden</v>
      </c>
      <c r="G289" s="11" t="str">
        <f ca="1">+WORLDCUP!BD58</f>
        <v>South Korea</v>
      </c>
      <c r="H289" s="11" t="str">
        <f ca="1">+WORLDCUP!BD64</f>
        <v>Iran</v>
      </c>
      <c r="I289" s="11" t="str">
        <f ca="1">+WORLDCUP!BD69</f>
        <v>Ghana</v>
      </c>
      <c r="J289" s="11" t="str">
        <f ca="1">+WORLDCUP!BD68</f>
        <v>DR Congo</v>
      </c>
      <c r="N289" s="11" t="s">
        <v>957</v>
      </c>
      <c r="O289" s="11">
        <v>288</v>
      </c>
      <c r="P289" s="11" t="s">
        <v>440</v>
      </c>
      <c r="Q289" s="11" t="s">
        <v>441</v>
      </c>
      <c r="R289" s="11" t="s">
        <v>90</v>
      </c>
      <c r="S289" s="11" t="s">
        <v>94</v>
      </c>
      <c r="T289" s="11" t="s">
        <v>89</v>
      </c>
      <c r="U289" s="11" t="s">
        <v>435</v>
      </c>
      <c r="V289" s="11" t="s">
        <v>443</v>
      </c>
      <c r="W289" s="11" t="s">
        <v>442</v>
      </c>
    </row>
    <row r="290" spans="1:23">
      <c r="A290" s="11" t="s">
        <v>956</v>
      </c>
      <c r="B290" s="11">
        <f ca="1">+IF(A290=WORLDCUP!$BI$112,1,0)</f>
        <v>0</v>
      </c>
      <c r="C290" s="11" t="str">
        <f ca="1">+WORLDCUP!BD65</f>
        <v>Uruguay</v>
      </c>
      <c r="D290" s="11" t="str">
        <f ca="1">+WORLDCUP!BD67</f>
        <v>Algeria</v>
      </c>
      <c r="E290" s="11" t="str">
        <f ca="1">+WORLDCUP!BD59</f>
        <v>Bosnia and Herzegovina</v>
      </c>
      <c r="F290" s="11" t="str">
        <f ca="1">+WORLDCUP!BD63</f>
        <v>Sweden</v>
      </c>
      <c r="G290" s="11" t="str">
        <f ca="1">+WORLDCUP!BD58</f>
        <v>South Korea</v>
      </c>
      <c r="H290" s="11" t="str">
        <f ca="1">+WORLDCUP!BD64</f>
        <v>Iran</v>
      </c>
      <c r="I290" s="11" t="str">
        <f ca="1">+WORLDCUP!BD69</f>
        <v>Ghana</v>
      </c>
      <c r="J290" s="11" t="str">
        <f ca="1">+WORLDCUP!BD68</f>
        <v>DR Congo</v>
      </c>
      <c r="N290" s="11" t="s">
        <v>956</v>
      </c>
      <c r="O290" s="11">
        <v>289</v>
      </c>
      <c r="P290" s="11" t="s">
        <v>436</v>
      </c>
      <c r="Q290" s="11" t="s">
        <v>441</v>
      </c>
      <c r="R290" s="11" t="s">
        <v>90</v>
      </c>
      <c r="S290" s="11" t="s">
        <v>94</v>
      </c>
      <c r="T290" s="11" t="s">
        <v>89</v>
      </c>
      <c r="U290" s="11" t="s">
        <v>435</v>
      </c>
      <c r="V290" s="11" t="s">
        <v>443</v>
      </c>
      <c r="W290" s="11" t="s">
        <v>442</v>
      </c>
    </row>
    <row r="291" spans="1:23">
      <c r="A291" s="11" t="s">
        <v>955</v>
      </c>
      <c r="B291" s="11">
        <f ca="1">+IF(A291=WORLDCUP!$BI$112,1,0)</f>
        <v>0</v>
      </c>
      <c r="C291" s="11" t="str">
        <f ca="1">+WORLDCUP!BD65</f>
        <v>Uruguay</v>
      </c>
      <c r="D291" s="11" t="str">
        <f ca="1">+WORLDCUP!BD64</f>
        <v>Iran</v>
      </c>
      <c r="E291" s="11" t="str">
        <f ca="1">+WORLDCUP!BD59</f>
        <v>Bosnia and Herzegovina</v>
      </c>
      <c r="F291" s="11" t="str">
        <f ca="1">+WORLDCUP!BD58</f>
        <v>South Korea</v>
      </c>
      <c r="G291" s="11" t="str">
        <f ca="1">+WORLDCUP!BD66</f>
        <v>Senegal</v>
      </c>
      <c r="H291" s="11" t="str">
        <f ca="1">+WORLDCUP!BD63</f>
        <v>Sweden</v>
      </c>
      <c r="I291" s="11" t="str">
        <f ca="1">+WORLDCUP!BD69</f>
        <v>Ghana</v>
      </c>
      <c r="J291" s="11" t="str">
        <f ca="1">+WORLDCUP!BD68</f>
        <v>DR Congo</v>
      </c>
      <c r="N291" s="11" t="s">
        <v>955</v>
      </c>
      <c r="O291" s="11">
        <v>290</v>
      </c>
      <c r="P291" s="11" t="s">
        <v>436</v>
      </c>
      <c r="Q291" s="11" t="s">
        <v>435</v>
      </c>
      <c r="R291" s="11" t="s">
        <v>90</v>
      </c>
      <c r="S291" s="11" t="s">
        <v>89</v>
      </c>
      <c r="T291" s="11" t="s">
        <v>440</v>
      </c>
      <c r="U291" s="11" t="s">
        <v>94</v>
      </c>
      <c r="V291" s="11" t="s">
        <v>443</v>
      </c>
      <c r="W291" s="11" t="s">
        <v>442</v>
      </c>
    </row>
    <row r="292" spans="1:23">
      <c r="A292" s="11" t="s">
        <v>954</v>
      </c>
      <c r="B292" s="11">
        <f ca="1">+IF(A292=WORLDCUP!$BI$112,1,0)</f>
        <v>0</v>
      </c>
      <c r="C292" s="11" t="str">
        <f ca="1">+WORLDCUP!BD65</f>
        <v>Uruguay</v>
      </c>
      <c r="D292" s="11" t="str">
        <f ca="1">+WORLDCUP!BD67</f>
        <v>Algeria</v>
      </c>
      <c r="E292" s="11" t="str">
        <f ca="1">+WORLDCUP!BD59</f>
        <v>Bosnia and Herzegovina</v>
      </c>
      <c r="F292" s="11" t="str">
        <f ca="1">+WORLDCUP!BD63</f>
        <v>Sweden</v>
      </c>
      <c r="G292" s="11" t="str">
        <f ca="1">+WORLDCUP!BD58</f>
        <v>South Korea</v>
      </c>
      <c r="H292" s="11" t="str">
        <f ca="1">+WORLDCUP!BD64</f>
        <v>Iran</v>
      </c>
      <c r="I292" s="11" t="str">
        <f ca="1">+WORLDCUP!BD69</f>
        <v>Ghana</v>
      </c>
      <c r="J292" s="11" t="str">
        <f ca="1">+WORLDCUP!BD66</f>
        <v>Senegal</v>
      </c>
      <c r="N292" s="11" t="s">
        <v>954</v>
      </c>
      <c r="O292" s="11">
        <v>291</v>
      </c>
      <c r="P292" s="11" t="s">
        <v>436</v>
      </c>
      <c r="Q292" s="11" t="s">
        <v>441</v>
      </c>
      <c r="R292" s="11" t="s">
        <v>90</v>
      </c>
      <c r="S292" s="11" t="s">
        <v>94</v>
      </c>
      <c r="T292" s="11" t="s">
        <v>89</v>
      </c>
      <c r="U292" s="11" t="s">
        <v>435</v>
      </c>
      <c r="V292" s="11" t="s">
        <v>443</v>
      </c>
      <c r="W292" s="11" t="s">
        <v>440</v>
      </c>
    </row>
    <row r="293" spans="1:23">
      <c r="A293" s="11" t="s">
        <v>953</v>
      </c>
      <c r="B293" s="11">
        <f ca="1">+IF(A293=WORLDCUP!$BI$112,1,0)</f>
        <v>0</v>
      </c>
      <c r="C293" s="11" t="str">
        <f ca="1">+WORLDCUP!BD65</f>
        <v>Uruguay</v>
      </c>
      <c r="D293" s="11" t="str">
        <f ca="1">+WORLDCUP!BD67</f>
        <v>Algeria</v>
      </c>
      <c r="E293" s="11" t="str">
        <f ca="1">+WORLDCUP!BD59</f>
        <v>Bosnia and Herzegovina</v>
      </c>
      <c r="F293" s="11" t="str">
        <f ca="1">+WORLDCUP!BD63</f>
        <v>Sweden</v>
      </c>
      <c r="G293" s="11" t="str">
        <f ca="1">+WORLDCUP!BD58</f>
        <v>South Korea</v>
      </c>
      <c r="H293" s="11" t="str">
        <f ca="1">+WORLDCUP!BD64</f>
        <v>Iran</v>
      </c>
      <c r="I293" s="11" t="str">
        <f ca="1">+WORLDCUP!BD66</f>
        <v>Senegal</v>
      </c>
      <c r="J293" s="11" t="str">
        <f ca="1">+WORLDCUP!BD68</f>
        <v>DR Congo</v>
      </c>
      <c r="N293" s="11" t="s">
        <v>953</v>
      </c>
      <c r="O293" s="11">
        <v>292</v>
      </c>
      <c r="P293" s="11" t="s">
        <v>436</v>
      </c>
      <c r="Q293" s="11" t="s">
        <v>441</v>
      </c>
      <c r="R293" s="11" t="s">
        <v>90</v>
      </c>
      <c r="S293" s="11" t="s">
        <v>94</v>
      </c>
      <c r="T293" s="11" t="s">
        <v>89</v>
      </c>
      <c r="U293" s="11" t="s">
        <v>435</v>
      </c>
      <c r="V293" s="11" t="s">
        <v>440</v>
      </c>
      <c r="W293" s="11" t="s">
        <v>442</v>
      </c>
    </row>
    <row r="294" spans="1:23">
      <c r="A294" s="11" t="s">
        <v>952</v>
      </c>
      <c r="B294" s="11">
        <f ca="1">+IF(A294=WORLDCUP!$BI$112,1,0)</f>
        <v>0</v>
      </c>
      <c r="C294" s="11" t="str">
        <f ca="1">+WORLDCUP!BD62</f>
        <v>Ecuador</v>
      </c>
      <c r="D294" s="11" t="str">
        <f ca="1">+WORLDCUP!BD67</f>
        <v>Algeria</v>
      </c>
      <c r="E294" s="11" t="str">
        <f ca="1">+WORLDCUP!BD59</f>
        <v>Bosnia and Herzegovina</v>
      </c>
      <c r="F294" s="11" t="str">
        <f ca="1">+WORLDCUP!BD58</f>
        <v>South Korea</v>
      </c>
      <c r="G294" s="11" t="str">
        <f ca="1">+WORLDCUP!BD66</f>
        <v>Senegal</v>
      </c>
      <c r="H294" s="11" t="str">
        <f ca="1">+WORLDCUP!BD65</f>
        <v>Uruguay</v>
      </c>
      <c r="I294" s="11" t="str">
        <f ca="1">+WORLDCUP!BD69</f>
        <v>Ghana</v>
      </c>
      <c r="J294" s="11" t="str">
        <f ca="1">+WORLDCUP!BD68</f>
        <v>DR Congo</v>
      </c>
      <c r="N294" s="11" t="s">
        <v>952</v>
      </c>
      <c r="O294" s="11">
        <v>293</v>
      </c>
      <c r="P294" s="11" t="s">
        <v>93</v>
      </c>
      <c r="Q294" s="11" t="s">
        <v>441</v>
      </c>
      <c r="R294" s="11" t="s">
        <v>90</v>
      </c>
      <c r="S294" s="11" t="s">
        <v>89</v>
      </c>
      <c r="T294" s="11" t="s">
        <v>440</v>
      </c>
      <c r="U294" s="11" t="s">
        <v>436</v>
      </c>
      <c r="V294" s="11" t="s">
        <v>443</v>
      </c>
      <c r="W294" s="11" t="s">
        <v>442</v>
      </c>
    </row>
    <row r="295" spans="1:23">
      <c r="A295" s="11" t="s">
        <v>951</v>
      </c>
      <c r="B295" s="11">
        <f ca="1">+IF(A295=WORLDCUP!$BI$112,1,0)</f>
        <v>0</v>
      </c>
      <c r="C295" s="11" t="str">
        <f ca="1">+WORLDCUP!BD62</f>
        <v>Ecuador</v>
      </c>
      <c r="D295" s="11" t="str">
        <f ca="1">+WORLDCUP!BD67</f>
        <v>Algeria</v>
      </c>
      <c r="E295" s="11" t="str">
        <f ca="1">+WORLDCUP!BD59</f>
        <v>Bosnia and Herzegovina</v>
      </c>
      <c r="F295" s="11" t="str">
        <f ca="1">+WORLDCUP!BD58</f>
        <v>South Korea</v>
      </c>
      <c r="G295" s="11" t="str">
        <f ca="1">+WORLDCUP!BD66</f>
        <v>Senegal</v>
      </c>
      <c r="H295" s="11" t="str">
        <f ca="1">+WORLDCUP!BD64</f>
        <v>Iran</v>
      </c>
      <c r="I295" s="11" t="str">
        <f ca="1">+WORLDCUP!BD69</f>
        <v>Ghana</v>
      </c>
      <c r="J295" s="11" t="str">
        <f ca="1">+WORLDCUP!BD68</f>
        <v>DR Congo</v>
      </c>
      <c r="N295" s="11" t="s">
        <v>951</v>
      </c>
      <c r="O295" s="11">
        <v>294</v>
      </c>
      <c r="P295" s="11" t="s">
        <v>93</v>
      </c>
      <c r="Q295" s="11" t="s">
        <v>441</v>
      </c>
      <c r="R295" s="11" t="s">
        <v>90</v>
      </c>
      <c r="S295" s="11" t="s">
        <v>89</v>
      </c>
      <c r="T295" s="11" t="s">
        <v>440</v>
      </c>
      <c r="U295" s="11" t="s">
        <v>435</v>
      </c>
      <c r="V295" s="11" t="s">
        <v>443</v>
      </c>
      <c r="W295" s="11" t="s">
        <v>442</v>
      </c>
    </row>
    <row r="296" spans="1:23">
      <c r="A296" s="11" t="s">
        <v>950</v>
      </c>
      <c r="B296" s="11">
        <f ca="1">+IF(A296=WORLDCUP!$BI$112,1,0)</f>
        <v>0</v>
      </c>
      <c r="C296" s="11" t="str">
        <f ca="1">+WORLDCUP!BD62</f>
        <v>Ecuador</v>
      </c>
      <c r="D296" s="11" t="str">
        <f ca="1">+WORLDCUP!BD67</f>
        <v>Algeria</v>
      </c>
      <c r="E296" s="11" t="str">
        <f ca="1">+WORLDCUP!BD59</f>
        <v>Bosnia and Herzegovina</v>
      </c>
      <c r="F296" s="11" t="str">
        <f ca="1">+WORLDCUP!BD58</f>
        <v>South Korea</v>
      </c>
      <c r="G296" s="11" t="str">
        <f ca="1">+WORLDCUP!BD65</f>
        <v>Uruguay</v>
      </c>
      <c r="H296" s="11" t="str">
        <f ca="1">+WORLDCUP!BD64</f>
        <v>Iran</v>
      </c>
      <c r="I296" s="11" t="str">
        <f ca="1">+WORLDCUP!BD69</f>
        <v>Ghana</v>
      </c>
      <c r="J296" s="11" t="str">
        <f ca="1">+WORLDCUP!BD68</f>
        <v>DR Congo</v>
      </c>
      <c r="N296" s="11" t="s">
        <v>950</v>
      </c>
      <c r="O296" s="11">
        <v>295</v>
      </c>
      <c r="P296" s="11" t="s">
        <v>93</v>
      </c>
      <c r="Q296" s="11" t="s">
        <v>441</v>
      </c>
      <c r="R296" s="11" t="s">
        <v>90</v>
      </c>
      <c r="S296" s="11" t="s">
        <v>89</v>
      </c>
      <c r="T296" s="11" t="s">
        <v>436</v>
      </c>
      <c r="U296" s="11" t="s">
        <v>435</v>
      </c>
      <c r="V296" s="11" t="s">
        <v>443</v>
      </c>
      <c r="W296" s="11" t="s">
        <v>442</v>
      </c>
    </row>
    <row r="297" spans="1:23">
      <c r="A297" s="11" t="s">
        <v>949</v>
      </c>
      <c r="B297" s="11">
        <f ca="1">+IF(A297=WORLDCUP!$BI$112,1,0)</f>
        <v>0</v>
      </c>
      <c r="C297" s="11" t="str">
        <f ca="1">+WORLDCUP!BD62</f>
        <v>Ecuador</v>
      </c>
      <c r="D297" s="11" t="str">
        <f ca="1">+WORLDCUP!BD64</f>
        <v>Iran</v>
      </c>
      <c r="E297" s="11" t="str">
        <f ca="1">+WORLDCUP!BD59</f>
        <v>Bosnia and Herzegovina</v>
      </c>
      <c r="F297" s="11" t="str">
        <f ca="1">+WORLDCUP!BD58</f>
        <v>South Korea</v>
      </c>
      <c r="G297" s="11" t="str">
        <f ca="1">+WORLDCUP!BD66</f>
        <v>Senegal</v>
      </c>
      <c r="H297" s="11" t="str">
        <f ca="1">+WORLDCUP!BD65</f>
        <v>Uruguay</v>
      </c>
      <c r="I297" s="11" t="str">
        <f ca="1">+WORLDCUP!BD69</f>
        <v>Ghana</v>
      </c>
      <c r="J297" s="11" t="str">
        <f ca="1">+WORLDCUP!BD68</f>
        <v>DR Congo</v>
      </c>
      <c r="N297" s="11" t="s">
        <v>949</v>
      </c>
      <c r="O297" s="11">
        <v>296</v>
      </c>
      <c r="P297" s="11" t="s">
        <v>93</v>
      </c>
      <c r="Q297" s="11" t="s">
        <v>435</v>
      </c>
      <c r="R297" s="11" t="s">
        <v>90</v>
      </c>
      <c r="S297" s="11" t="s">
        <v>89</v>
      </c>
      <c r="T297" s="11" t="s">
        <v>440</v>
      </c>
      <c r="U297" s="11" t="s">
        <v>436</v>
      </c>
      <c r="V297" s="11" t="s">
        <v>443</v>
      </c>
      <c r="W297" s="11" t="s">
        <v>442</v>
      </c>
    </row>
    <row r="298" spans="1:23">
      <c r="A298" s="11" t="s">
        <v>948</v>
      </c>
      <c r="B298" s="11">
        <f ca="1">+IF(A298=WORLDCUP!$BI$112,1,0)</f>
        <v>0</v>
      </c>
      <c r="C298" s="11" t="str">
        <f ca="1">+WORLDCUP!BD62</f>
        <v>Ecuador</v>
      </c>
      <c r="D298" s="11" t="str">
        <f ca="1">+WORLDCUP!BD67</f>
        <v>Algeria</v>
      </c>
      <c r="E298" s="11" t="str">
        <f ca="1">+WORLDCUP!BD59</f>
        <v>Bosnia and Herzegovina</v>
      </c>
      <c r="F298" s="11" t="str">
        <f ca="1">+WORLDCUP!BD58</f>
        <v>South Korea</v>
      </c>
      <c r="G298" s="11" t="str">
        <f ca="1">+WORLDCUP!BD65</f>
        <v>Uruguay</v>
      </c>
      <c r="H298" s="11" t="str">
        <f ca="1">+WORLDCUP!BD64</f>
        <v>Iran</v>
      </c>
      <c r="I298" s="11" t="str">
        <f ca="1">+WORLDCUP!BD69</f>
        <v>Ghana</v>
      </c>
      <c r="J298" s="11" t="str">
        <f ca="1">+WORLDCUP!BD66</f>
        <v>Senegal</v>
      </c>
      <c r="N298" s="11" t="s">
        <v>948</v>
      </c>
      <c r="O298" s="11">
        <v>297</v>
      </c>
      <c r="P298" s="11" t="s">
        <v>93</v>
      </c>
      <c r="Q298" s="11" t="s">
        <v>441</v>
      </c>
      <c r="R298" s="11" t="s">
        <v>90</v>
      </c>
      <c r="S298" s="11" t="s">
        <v>89</v>
      </c>
      <c r="T298" s="11" t="s">
        <v>436</v>
      </c>
      <c r="U298" s="11" t="s">
        <v>435</v>
      </c>
      <c r="V298" s="11" t="s">
        <v>443</v>
      </c>
      <c r="W298" s="11" t="s">
        <v>440</v>
      </c>
    </row>
    <row r="299" spans="1:23">
      <c r="A299" s="11" t="s">
        <v>947</v>
      </c>
      <c r="B299" s="11">
        <f ca="1">+IF(A299=WORLDCUP!$BI$112,1,0)</f>
        <v>0</v>
      </c>
      <c r="C299" s="11" t="str">
        <f ca="1">+WORLDCUP!BD62</f>
        <v>Ecuador</v>
      </c>
      <c r="D299" s="11" t="str">
        <f ca="1">+WORLDCUP!BD67</f>
        <v>Algeria</v>
      </c>
      <c r="E299" s="11" t="str">
        <f ca="1">+WORLDCUP!BD59</f>
        <v>Bosnia and Herzegovina</v>
      </c>
      <c r="F299" s="11" t="str">
        <f ca="1">+WORLDCUP!BD58</f>
        <v>South Korea</v>
      </c>
      <c r="G299" s="11" t="str">
        <f ca="1">+WORLDCUP!BD65</f>
        <v>Uruguay</v>
      </c>
      <c r="H299" s="11" t="str">
        <f ca="1">+WORLDCUP!BD64</f>
        <v>Iran</v>
      </c>
      <c r="I299" s="11" t="str">
        <f ca="1">+WORLDCUP!BD66</f>
        <v>Senegal</v>
      </c>
      <c r="J299" s="11" t="str">
        <f ca="1">+WORLDCUP!BD68</f>
        <v>DR Congo</v>
      </c>
      <c r="N299" s="11" t="s">
        <v>947</v>
      </c>
      <c r="O299" s="11">
        <v>298</v>
      </c>
      <c r="P299" s="11" t="s">
        <v>93</v>
      </c>
      <c r="Q299" s="11" t="s">
        <v>441</v>
      </c>
      <c r="R299" s="11" t="s">
        <v>90</v>
      </c>
      <c r="S299" s="11" t="s">
        <v>89</v>
      </c>
      <c r="T299" s="11" t="s">
        <v>436</v>
      </c>
      <c r="U299" s="11" t="s">
        <v>435</v>
      </c>
      <c r="V299" s="11" t="s">
        <v>440</v>
      </c>
      <c r="W299" s="11" t="s">
        <v>442</v>
      </c>
    </row>
    <row r="300" spans="1:23">
      <c r="A300" s="11" t="s">
        <v>946</v>
      </c>
      <c r="B300" s="11">
        <f ca="1">+IF(A300=WORLDCUP!$BI$112,1,0)</f>
        <v>0</v>
      </c>
      <c r="C300" s="11" t="str">
        <f ca="1">+WORLDCUP!BD62</f>
        <v>Ecuador</v>
      </c>
      <c r="D300" s="11" t="str">
        <f ca="1">+WORLDCUP!BD67</f>
        <v>Algeria</v>
      </c>
      <c r="E300" s="11" t="str">
        <f ca="1">+WORLDCUP!BD59</f>
        <v>Bosnia and Herzegovina</v>
      </c>
      <c r="F300" s="11" t="str">
        <f ca="1">+WORLDCUP!BD58</f>
        <v>South Korea</v>
      </c>
      <c r="G300" s="11" t="str">
        <f ca="1">+WORLDCUP!BD66</f>
        <v>Senegal</v>
      </c>
      <c r="H300" s="11" t="str">
        <f ca="1">+WORLDCUP!BD63</f>
        <v>Sweden</v>
      </c>
      <c r="I300" s="11" t="str">
        <f ca="1">+WORLDCUP!BD69</f>
        <v>Ghana</v>
      </c>
      <c r="J300" s="11" t="str">
        <f ca="1">+WORLDCUP!BD68</f>
        <v>DR Congo</v>
      </c>
      <c r="N300" s="11" t="s">
        <v>946</v>
      </c>
      <c r="O300" s="11">
        <v>299</v>
      </c>
      <c r="P300" s="11" t="s">
        <v>93</v>
      </c>
      <c r="Q300" s="11" t="s">
        <v>441</v>
      </c>
      <c r="R300" s="11" t="s">
        <v>90</v>
      </c>
      <c r="S300" s="11" t="s">
        <v>89</v>
      </c>
      <c r="T300" s="11" t="s">
        <v>440</v>
      </c>
      <c r="U300" s="11" t="s">
        <v>94</v>
      </c>
      <c r="V300" s="11" t="s">
        <v>443</v>
      </c>
      <c r="W300" s="11" t="s">
        <v>442</v>
      </c>
    </row>
    <row r="301" spans="1:23">
      <c r="A301" s="11" t="s">
        <v>945</v>
      </c>
      <c r="B301" s="11">
        <f ca="1">+IF(A301=WORLDCUP!$BI$112,1,0)</f>
        <v>0</v>
      </c>
      <c r="C301" s="11" t="str">
        <f ca="1">+WORLDCUP!BD62</f>
        <v>Ecuador</v>
      </c>
      <c r="D301" s="11" t="str">
        <f ca="1">+WORLDCUP!BD67</f>
        <v>Algeria</v>
      </c>
      <c r="E301" s="11" t="str">
        <f ca="1">+WORLDCUP!BD59</f>
        <v>Bosnia and Herzegovina</v>
      </c>
      <c r="F301" s="11" t="str">
        <f ca="1">+WORLDCUP!BD63</f>
        <v>Sweden</v>
      </c>
      <c r="G301" s="11" t="str">
        <f ca="1">+WORLDCUP!BD58</f>
        <v>South Korea</v>
      </c>
      <c r="H301" s="11" t="str">
        <f ca="1">+WORLDCUP!BD65</f>
        <v>Uruguay</v>
      </c>
      <c r="I301" s="11" t="str">
        <f ca="1">+WORLDCUP!BD69</f>
        <v>Ghana</v>
      </c>
      <c r="J301" s="11" t="str">
        <f ca="1">+WORLDCUP!BD68</f>
        <v>DR Congo</v>
      </c>
      <c r="N301" s="11" t="s">
        <v>945</v>
      </c>
      <c r="O301" s="11">
        <v>300</v>
      </c>
      <c r="P301" s="11" t="s">
        <v>93</v>
      </c>
      <c r="Q301" s="11" t="s">
        <v>441</v>
      </c>
      <c r="R301" s="11" t="s">
        <v>90</v>
      </c>
      <c r="S301" s="11" t="s">
        <v>94</v>
      </c>
      <c r="T301" s="11" t="s">
        <v>89</v>
      </c>
      <c r="U301" s="11" t="s">
        <v>436</v>
      </c>
      <c r="V301" s="11" t="s">
        <v>443</v>
      </c>
      <c r="W301" s="11" t="s">
        <v>442</v>
      </c>
    </row>
    <row r="302" spans="1:23">
      <c r="A302" s="11" t="s">
        <v>944</v>
      </c>
      <c r="B302" s="11">
        <f ca="1">+IF(A302=WORLDCUP!$BI$112,1,0)</f>
        <v>0</v>
      </c>
      <c r="C302" s="11" t="str">
        <f ca="1">+WORLDCUP!BD62</f>
        <v>Ecuador</v>
      </c>
      <c r="D302" s="11" t="str">
        <f ca="1">+WORLDCUP!BD66</f>
        <v>Senegal</v>
      </c>
      <c r="E302" s="11" t="str">
        <f ca="1">+WORLDCUP!BD59</f>
        <v>Bosnia and Herzegovina</v>
      </c>
      <c r="F302" s="11" t="str">
        <f ca="1">+WORLDCUP!BD63</f>
        <v>Sweden</v>
      </c>
      <c r="G302" s="11" t="str">
        <f ca="1">+WORLDCUP!BD58</f>
        <v>South Korea</v>
      </c>
      <c r="H302" s="11" t="str">
        <f ca="1">+WORLDCUP!BD65</f>
        <v>Uruguay</v>
      </c>
      <c r="I302" s="11" t="str">
        <f ca="1">+WORLDCUP!BD69</f>
        <v>Ghana</v>
      </c>
      <c r="J302" s="11" t="str">
        <f ca="1">+WORLDCUP!BD68</f>
        <v>DR Congo</v>
      </c>
      <c r="N302" s="11" t="s">
        <v>944</v>
      </c>
      <c r="O302" s="11">
        <v>301</v>
      </c>
      <c r="P302" s="11" t="s">
        <v>93</v>
      </c>
      <c r="Q302" s="11" t="s">
        <v>440</v>
      </c>
      <c r="R302" s="11" t="s">
        <v>90</v>
      </c>
      <c r="S302" s="11" t="s">
        <v>94</v>
      </c>
      <c r="T302" s="11" t="s">
        <v>89</v>
      </c>
      <c r="U302" s="11" t="s">
        <v>436</v>
      </c>
      <c r="V302" s="11" t="s">
        <v>443</v>
      </c>
      <c r="W302" s="11" t="s">
        <v>442</v>
      </c>
    </row>
    <row r="303" spans="1:23">
      <c r="A303" s="11" t="s">
        <v>943</v>
      </c>
      <c r="B303" s="11">
        <f ca="1">+IF(A303=WORLDCUP!$BI$112,1,0)</f>
        <v>0</v>
      </c>
      <c r="C303" s="11" t="str">
        <f ca="1">+WORLDCUP!BD62</f>
        <v>Ecuador</v>
      </c>
      <c r="D303" s="11" t="str">
        <f ca="1">+WORLDCUP!BD67</f>
        <v>Algeria</v>
      </c>
      <c r="E303" s="11" t="str">
        <f ca="1">+WORLDCUP!BD59</f>
        <v>Bosnia and Herzegovina</v>
      </c>
      <c r="F303" s="11" t="str">
        <f ca="1">+WORLDCUP!BD63</f>
        <v>Sweden</v>
      </c>
      <c r="G303" s="11" t="str">
        <f ca="1">+WORLDCUP!BD58</f>
        <v>South Korea</v>
      </c>
      <c r="H303" s="11" t="str">
        <f ca="1">+WORLDCUP!BD65</f>
        <v>Uruguay</v>
      </c>
      <c r="I303" s="11" t="str">
        <f ca="1">+WORLDCUP!BD69</f>
        <v>Ghana</v>
      </c>
      <c r="J303" s="11" t="str">
        <f ca="1">+WORLDCUP!BD66</f>
        <v>Senegal</v>
      </c>
      <c r="N303" s="11" t="s">
        <v>943</v>
      </c>
      <c r="O303" s="11">
        <v>302</v>
      </c>
      <c r="P303" s="11" t="s">
        <v>93</v>
      </c>
      <c r="Q303" s="11" t="s">
        <v>441</v>
      </c>
      <c r="R303" s="11" t="s">
        <v>90</v>
      </c>
      <c r="S303" s="11" t="s">
        <v>94</v>
      </c>
      <c r="T303" s="11" t="s">
        <v>89</v>
      </c>
      <c r="U303" s="11" t="s">
        <v>436</v>
      </c>
      <c r="V303" s="11" t="s">
        <v>443</v>
      </c>
      <c r="W303" s="11" t="s">
        <v>440</v>
      </c>
    </row>
    <row r="304" spans="1:23">
      <c r="A304" s="11" t="s">
        <v>942</v>
      </c>
      <c r="B304" s="11">
        <f ca="1">+IF(A304=WORLDCUP!$BI$112,1,0)</f>
        <v>0</v>
      </c>
      <c r="C304" s="11" t="str">
        <f ca="1">+WORLDCUP!BD62</f>
        <v>Ecuador</v>
      </c>
      <c r="D304" s="11" t="str">
        <f ca="1">+WORLDCUP!BD67</f>
        <v>Algeria</v>
      </c>
      <c r="E304" s="11" t="str">
        <f ca="1">+WORLDCUP!BD59</f>
        <v>Bosnia and Herzegovina</v>
      </c>
      <c r="F304" s="11" t="str">
        <f ca="1">+WORLDCUP!BD63</f>
        <v>Sweden</v>
      </c>
      <c r="G304" s="11" t="str">
        <f ca="1">+WORLDCUP!BD58</f>
        <v>South Korea</v>
      </c>
      <c r="H304" s="11" t="str">
        <f ca="1">+WORLDCUP!BD65</f>
        <v>Uruguay</v>
      </c>
      <c r="I304" s="11" t="str">
        <f ca="1">+WORLDCUP!BD66</f>
        <v>Senegal</v>
      </c>
      <c r="J304" s="11" t="str">
        <f ca="1">+WORLDCUP!BD68</f>
        <v>DR Congo</v>
      </c>
      <c r="N304" s="11" t="s">
        <v>942</v>
      </c>
      <c r="O304" s="11">
        <v>303</v>
      </c>
      <c r="P304" s="11" t="s">
        <v>93</v>
      </c>
      <c r="Q304" s="11" t="s">
        <v>441</v>
      </c>
      <c r="R304" s="11" t="s">
        <v>90</v>
      </c>
      <c r="S304" s="11" t="s">
        <v>94</v>
      </c>
      <c r="T304" s="11" t="s">
        <v>89</v>
      </c>
      <c r="U304" s="11" t="s">
        <v>436</v>
      </c>
      <c r="V304" s="11" t="s">
        <v>440</v>
      </c>
      <c r="W304" s="11" t="s">
        <v>442</v>
      </c>
    </row>
    <row r="305" spans="1:23">
      <c r="A305" s="11" t="s">
        <v>941</v>
      </c>
      <c r="B305" s="11">
        <f ca="1">+IF(A305=WORLDCUP!$BI$112,1,0)</f>
        <v>0</v>
      </c>
      <c r="C305" s="11" t="str">
        <f ca="1">+WORLDCUP!BD62</f>
        <v>Ecuador</v>
      </c>
      <c r="D305" s="11" t="str">
        <f ca="1">+WORLDCUP!BD67</f>
        <v>Algeria</v>
      </c>
      <c r="E305" s="11" t="str">
        <f ca="1">+WORLDCUP!BD59</f>
        <v>Bosnia and Herzegovina</v>
      </c>
      <c r="F305" s="11" t="str">
        <f ca="1">+WORLDCUP!BD63</f>
        <v>Sweden</v>
      </c>
      <c r="G305" s="11" t="str">
        <f ca="1">+WORLDCUP!BD58</f>
        <v>South Korea</v>
      </c>
      <c r="H305" s="11" t="str">
        <f ca="1">+WORLDCUP!BD64</f>
        <v>Iran</v>
      </c>
      <c r="I305" s="11" t="str">
        <f ca="1">+WORLDCUP!BD69</f>
        <v>Ghana</v>
      </c>
      <c r="J305" s="11" t="str">
        <f ca="1">+WORLDCUP!BD68</f>
        <v>DR Congo</v>
      </c>
      <c r="N305" s="11" t="s">
        <v>941</v>
      </c>
      <c r="O305" s="11">
        <v>304</v>
      </c>
      <c r="P305" s="11" t="s">
        <v>93</v>
      </c>
      <c r="Q305" s="11" t="s">
        <v>441</v>
      </c>
      <c r="R305" s="11" t="s">
        <v>90</v>
      </c>
      <c r="S305" s="11" t="s">
        <v>94</v>
      </c>
      <c r="T305" s="11" t="s">
        <v>89</v>
      </c>
      <c r="U305" s="11" t="s">
        <v>435</v>
      </c>
      <c r="V305" s="11" t="s">
        <v>443</v>
      </c>
      <c r="W305" s="11" t="s">
        <v>442</v>
      </c>
    </row>
    <row r="306" spans="1:23">
      <c r="A306" s="11" t="s">
        <v>940</v>
      </c>
      <c r="B306" s="11">
        <f ca="1">+IF(A306=WORLDCUP!$BI$112,1,0)</f>
        <v>0</v>
      </c>
      <c r="C306" s="11" t="str">
        <f ca="1">+WORLDCUP!BD62</f>
        <v>Ecuador</v>
      </c>
      <c r="D306" s="11" t="str">
        <f ca="1">+WORLDCUP!BD64</f>
        <v>Iran</v>
      </c>
      <c r="E306" s="11" t="str">
        <f ca="1">+WORLDCUP!BD59</f>
        <v>Bosnia and Herzegovina</v>
      </c>
      <c r="F306" s="11" t="str">
        <f ca="1">+WORLDCUP!BD58</f>
        <v>South Korea</v>
      </c>
      <c r="G306" s="11" t="str">
        <f ca="1">+WORLDCUP!BD66</f>
        <v>Senegal</v>
      </c>
      <c r="H306" s="11" t="str">
        <f ca="1">+WORLDCUP!BD63</f>
        <v>Sweden</v>
      </c>
      <c r="I306" s="11" t="str">
        <f ca="1">+WORLDCUP!BD69</f>
        <v>Ghana</v>
      </c>
      <c r="J306" s="11" t="str">
        <f ca="1">+WORLDCUP!BD68</f>
        <v>DR Congo</v>
      </c>
      <c r="N306" s="11" t="s">
        <v>940</v>
      </c>
      <c r="O306" s="11">
        <v>305</v>
      </c>
      <c r="P306" s="11" t="s">
        <v>93</v>
      </c>
      <c r="Q306" s="11" t="s">
        <v>435</v>
      </c>
      <c r="R306" s="11" t="s">
        <v>90</v>
      </c>
      <c r="S306" s="11" t="s">
        <v>89</v>
      </c>
      <c r="T306" s="11" t="s">
        <v>440</v>
      </c>
      <c r="U306" s="11" t="s">
        <v>94</v>
      </c>
      <c r="V306" s="11" t="s">
        <v>443</v>
      </c>
      <c r="W306" s="11" t="s">
        <v>442</v>
      </c>
    </row>
    <row r="307" spans="1:23">
      <c r="A307" s="11" t="s">
        <v>939</v>
      </c>
      <c r="B307" s="11">
        <f ca="1">+IF(A307=WORLDCUP!$BI$112,1,0)</f>
        <v>0</v>
      </c>
      <c r="C307" s="11" t="str">
        <f ca="1">+WORLDCUP!BD62</f>
        <v>Ecuador</v>
      </c>
      <c r="D307" s="11" t="str">
        <f ca="1">+WORLDCUP!BD67</f>
        <v>Algeria</v>
      </c>
      <c r="E307" s="11" t="str">
        <f ca="1">+WORLDCUP!BD59</f>
        <v>Bosnia and Herzegovina</v>
      </c>
      <c r="F307" s="11" t="str">
        <f ca="1">+WORLDCUP!BD63</f>
        <v>Sweden</v>
      </c>
      <c r="G307" s="11" t="str">
        <f ca="1">+WORLDCUP!BD58</f>
        <v>South Korea</v>
      </c>
      <c r="H307" s="11" t="str">
        <f ca="1">+WORLDCUP!BD64</f>
        <v>Iran</v>
      </c>
      <c r="I307" s="11" t="str">
        <f ca="1">+WORLDCUP!BD69</f>
        <v>Ghana</v>
      </c>
      <c r="J307" s="11" t="str">
        <f ca="1">+WORLDCUP!BD66</f>
        <v>Senegal</v>
      </c>
      <c r="N307" s="11" t="s">
        <v>939</v>
      </c>
      <c r="O307" s="11">
        <v>306</v>
      </c>
      <c r="P307" s="11" t="s">
        <v>93</v>
      </c>
      <c r="Q307" s="11" t="s">
        <v>441</v>
      </c>
      <c r="R307" s="11" t="s">
        <v>90</v>
      </c>
      <c r="S307" s="11" t="s">
        <v>94</v>
      </c>
      <c r="T307" s="11" t="s">
        <v>89</v>
      </c>
      <c r="U307" s="11" t="s">
        <v>435</v>
      </c>
      <c r="V307" s="11" t="s">
        <v>443</v>
      </c>
      <c r="W307" s="11" t="s">
        <v>440</v>
      </c>
    </row>
    <row r="308" spans="1:23">
      <c r="A308" s="11" t="s">
        <v>938</v>
      </c>
      <c r="B308" s="11">
        <f ca="1">+IF(A308=WORLDCUP!$BI$112,1,0)</f>
        <v>0</v>
      </c>
      <c r="C308" s="11" t="str">
        <f ca="1">+WORLDCUP!BD62</f>
        <v>Ecuador</v>
      </c>
      <c r="D308" s="11" t="str">
        <f ca="1">+WORLDCUP!BD67</f>
        <v>Algeria</v>
      </c>
      <c r="E308" s="11" t="str">
        <f ca="1">+WORLDCUP!BD59</f>
        <v>Bosnia and Herzegovina</v>
      </c>
      <c r="F308" s="11" t="str">
        <f ca="1">+WORLDCUP!BD63</f>
        <v>Sweden</v>
      </c>
      <c r="G308" s="11" t="str">
        <f ca="1">+WORLDCUP!BD58</f>
        <v>South Korea</v>
      </c>
      <c r="H308" s="11" t="str">
        <f ca="1">+WORLDCUP!BD64</f>
        <v>Iran</v>
      </c>
      <c r="I308" s="11" t="str">
        <f ca="1">+WORLDCUP!BD66</f>
        <v>Senegal</v>
      </c>
      <c r="J308" s="11" t="str">
        <f ca="1">+WORLDCUP!BD68</f>
        <v>DR Congo</v>
      </c>
      <c r="N308" s="11" t="s">
        <v>938</v>
      </c>
      <c r="O308" s="11">
        <v>307</v>
      </c>
      <c r="P308" s="11" t="s">
        <v>93</v>
      </c>
      <c r="Q308" s="11" t="s">
        <v>441</v>
      </c>
      <c r="R308" s="11" t="s">
        <v>90</v>
      </c>
      <c r="S308" s="11" t="s">
        <v>94</v>
      </c>
      <c r="T308" s="11" t="s">
        <v>89</v>
      </c>
      <c r="U308" s="11" t="s">
        <v>435</v>
      </c>
      <c r="V308" s="11" t="s">
        <v>440</v>
      </c>
      <c r="W308" s="11" t="s">
        <v>442</v>
      </c>
    </row>
    <row r="309" spans="1:23">
      <c r="A309" s="11" t="s">
        <v>937</v>
      </c>
      <c r="B309" s="11">
        <f ca="1">+IF(A309=WORLDCUP!$BI$112,1,0)</f>
        <v>0</v>
      </c>
      <c r="C309" s="11" t="str">
        <f ca="1">+WORLDCUP!BD62</f>
        <v>Ecuador</v>
      </c>
      <c r="D309" s="11" t="str">
        <f ca="1">+WORLDCUP!BD64</f>
        <v>Iran</v>
      </c>
      <c r="E309" s="11" t="str">
        <f ca="1">+WORLDCUP!BD59</f>
        <v>Bosnia and Herzegovina</v>
      </c>
      <c r="F309" s="11" t="str">
        <f ca="1">+WORLDCUP!BD63</f>
        <v>Sweden</v>
      </c>
      <c r="G309" s="11" t="str">
        <f ca="1">+WORLDCUP!BD58</f>
        <v>South Korea</v>
      </c>
      <c r="H309" s="11" t="str">
        <f ca="1">+WORLDCUP!BD65</f>
        <v>Uruguay</v>
      </c>
      <c r="I309" s="11" t="str">
        <f ca="1">+WORLDCUP!BD69</f>
        <v>Ghana</v>
      </c>
      <c r="J309" s="11" t="str">
        <f ca="1">+WORLDCUP!BD68</f>
        <v>DR Congo</v>
      </c>
      <c r="N309" s="11" t="s">
        <v>937</v>
      </c>
      <c r="O309" s="11">
        <v>308</v>
      </c>
      <c r="P309" s="11" t="s">
        <v>93</v>
      </c>
      <c r="Q309" s="11" t="s">
        <v>435</v>
      </c>
      <c r="R309" s="11" t="s">
        <v>90</v>
      </c>
      <c r="S309" s="11" t="s">
        <v>94</v>
      </c>
      <c r="T309" s="11" t="s">
        <v>89</v>
      </c>
      <c r="U309" s="11" t="s">
        <v>436</v>
      </c>
      <c r="V309" s="11" t="s">
        <v>443</v>
      </c>
      <c r="W309" s="11" t="s">
        <v>442</v>
      </c>
    </row>
    <row r="310" spans="1:23">
      <c r="A310" s="11" t="s">
        <v>936</v>
      </c>
      <c r="B310" s="11">
        <f ca="1">+IF(A310=WORLDCUP!$BI$112,1,0)</f>
        <v>0</v>
      </c>
      <c r="C310" s="11" t="str">
        <f ca="1">+WORLDCUP!BD65</f>
        <v>Uruguay</v>
      </c>
      <c r="D310" s="11" t="str">
        <f ca="1">+WORLDCUP!BD67</f>
        <v>Algeria</v>
      </c>
      <c r="E310" s="11" t="str">
        <f ca="1">+WORLDCUP!BD59</f>
        <v>Bosnia and Herzegovina</v>
      </c>
      <c r="F310" s="11" t="str">
        <f ca="1">+WORLDCUP!BD63</f>
        <v>Sweden</v>
      </c>
      <c r="G310" s="11" t="str">
        <f ca="1">+WORLDCUP!BD58</f>
        <v>South Korea</v>
      </c>
      <c r="H310" s="11" t="str">
        <f ca="1">+WORLDCUP!BD64</f>
        <v>Iran</v>
      </c>
      <c r="I310" s="11" t="str">
        <f ca="1">+WORLDCUP!BD69</f>
        <v>Ghana</v>
      </c>
      <c r="J310" s="11" t="str">
        <f ca="1">+WORLDCUP!BD62</f>
        <v>Ecuador</v>
      </c>
      <c r="N310" s="11" t="s">
        <v>936</v>
      </c>
      <c r="O310" s="11">
        <v>309</v>
      </c>
      <c r="P310" s="11" t="s">
        <v>436</v>
      </c>
      <c r="Q310" s="11" t="s">
        <v>441</v>
      </c>
      <c r="R310" s="11" t="s">
        <v>90</v>
      </c>
      <c r="S310" s="11" t="s">
        <v>94</v>
      </c>
      <c r="T310" s="11" t="s">
        <v>89</v>
      </c>
      <c r="U310" s="11" t="s">
        <v>435</v>
      </c>
      <c r="V310" s="11" t="s">
        <v>443</v>
      </c>
      <c r="W310" s="11" t="s">
        <v>93</v>
      </c>
    </row>
    <row r="311" spans="1:23">
      <c r="A311" s="11" t="s">
        <v>935</v>
      </c>
      <c r="B311" s="11">
        <f ca="1">+IF(A311=WORLDCUP!$BI$112,1,0)</f>
        <v>0</v>
      </c>
      <c r="C311" s="11" t="str">
        <f ca="1">+WORLDCUP!BD65</f>
        <v>Uruguay</v>
      </c>
      <c r="D311" s="11" t="str">
        <f ca="1">+WORLDCUP!BD67</f>
        <v>Algeria</v>
      </c>
      <c r="E311" s="11" t="str">
        <f ca="1">+WORLDCUP!BD59</f>
        <v>Bosnia and Herzegovina</v>
      </c>
      <c r="F311" s="11" t="str">
        <f ca="1">+WORLDCUP!BD63</f>
        <v>Sweden</v>
      </c>
      <c r="G311" s="11" t="str">
        <f ca="1">+WORLDCUP!BD58</f>
        <v>South Korea</v>
      </c>
      <c r="H311" s="11" t="str">
        <f ca="1">+WORLDCUP!BD64</f>
        <v>Iran</v>
      </c>
      <c r="I311" s="11" t="str">
        <f ca="1">+WORLDCUP!BD62</f>
        <v>Ecuador</v>
      </c>
      <c r="J311" s="11" t="str">
        <f ca="1">+WORLDCUP!BD68</f>
        <v>DR Congo</v>
      </c>
      <c r="N311" s="11" t="s">
        <v>935</v>
      </c>
      <c r="O311" s="11">
        <v>310</v>
      </c>
      <c r="P311" s="11" t="s">
        <v>436</v>
      </c>
      <c r="Q311" s="11" t="s">
        <v>441</v>
      </c>
      <c r="R311" s="11" t="s">
        <v>90</v>
      </c>
      <c r="S311" s="11" t="s">
        <v>94</v>
      </c>
      <c r="T311" s="11" t="s">
        <v>89</v>
      </c>
      <c r="U311" s="11" t="s">
        <v>435</v>
      </c>
      <c r="V311" s="11" t="s">
        <v>93</v>
      </c>
      <c r="W311" s="11" t="s">
        <v>442</v>
      </c>
    </row>
    <row r="312" spans="1:23">
      <c r="A312" s="11" t="s">
        <v>934</v>
      </c>
      <c r="B312" s="11">
        <f ca="1">+IF(A312=WORLDCUP!$BI$112,1,0)</f>
        <v>0</v>
      </c>
      <c r="C312" s="11" t="str">
        <f ca="1">+WORLDCUP!BD62</f>
        <v>Ecuador</v>
      </c>
      <c r="D312" s="11" t="str">
        <f ca="1">+WORLDCUP!BD64</f>
        <v>Iran</v>
      </c>
      <c r="E312" s="11" t="str">
        <f ca="1">+WORLDCUP!BD59</f>
        <v>Bosnia and Herzegovina</v>
      </c>
      <c r="F312" s="11" t="str">
        <f ca="1">+WORLDCUP!BD63</f>
        <v>Sweden</v>
      </c>
      <c r="G312" s="11" t="str">
        <f ca="1">+WORLDCUP!BD58</f>
        <v>South Korea</v>
      </c>
      <c r="H312" s="11" t="str">
        <f ca="1">+WORLDCUP!BD65</f>
        <v>Uruguay</v>
      </c>
      <c r="I312" s="11" t="str">
        <f ca="1">+WORLDCUP!BD69</f>
        <v>Ghana</v>
      </c>
      <c r="J312" s="11" t="str">
        <f ca="1">+WORLDCUP!BD66</f>
        <v>Senegal</v>
      </c>
      <c r="N312" s="11" t="s">
        <v>934</v>
      </c>
      <c r="O312" s="11">
        <v>311</v>
      </c>
      <c r="P312" s="11" t="s">
        <v>93</v>
      </c>
      <c r="Q312" s="11" t="s">
        <v>435</v>
      </c>
      <c r="R312" s="11" t="s">
        <v>90</v>
      </c>
      <c r="S312" s="11" t="s">
        <v>94</v>
      </c>
      <c r="T312" s="11" t="s">
        <v>89</v>
      </c>
      <c r="U312" s="11" t="s">
        <v>436</v>
      </c>
      <c r="V312" s="11" t="s">
        <v>443</v>
      </c>
      <c r="W312" s="11" t="s">
        <v>440</v>
      </c>
    </row>
    <row r="313" spans="1:23">
      <c r="A313" s="11" t="s">
        <v>933</v>
      </c>
      <c r="B313" s="11">
        <f ca="1">+IF(A313=WORLDCUP!$BI$112,1,0)</f>
        <v>0</v>
      </c>
      <c r="C313" s="11" t="str">
        <f ca="1">+WORLDCUP!BD62</f>
        <v>Ecuador</v>
      </c>
      <c r="D313" s="11" t="str">
        <f ca="1">+WORLDCUP!BD64</f>
        <v>Iran</v>
      </c>
      <c r="E313" s="11" t="str">
        <f ca="1">+WORLDCUP!BD59</f>
        <v>Bosnia and Herzegovina</v>
      </c>
      <c r="F313" s="11" t="str">
        <f ca="1">+WORLDCUP!BD63</f>
        <v>Sweden</v>
      </c>
      <c r="G313" s="11" t="str">
        <f ca="1">+WORLDCUP!BD58</f>
        <v>South Korea</v>
      </c>
      <c r="H313" s="11" t="str">
        <f ca="1">+WORLDCUP!BD65</f>
        <v>Uruguay</v>
      </c>
      <c r="I313" s="11" t="str">
        <f ca="1">+WORLDCUP!BD66</f>
        <v>Senegal</v>
      </c>
      <c r="J313" s="11" t="str">
        <f ca="1">+WORLDCUP!BD68</f>
        <v>DR Congo</v>
      </c>
      <c r="N313" s="11" t="s">
        <v>933</v>
      </c>
      <c r="O313" s="11">
        <v>312</v>
      </c>
      <c r="P313" s="11" t="s">
        <v>93</v>
      </c>
      <c r="Q313" s="11" t="s">
        <v>435</v>
      </c>
      <c r="R313" s="11" t="s">
        <v>90</v>
      </c>
      <c r="S313" s="11" t="s">
        <v>94</v>
      </c>
      <c r="T313" s="11" t="s">
        <v>89</v>
      </c>
      <c r="U313" s="11" t="s">
        <v>436</v>
      </c>
      <c r="V313" s="11" t="s">
        <v>440</v>
      </c>
      <c r="W313" s="11" t="s">
        <v>442</v>
      </c>
    </row>
    <row r="314" spans="1:23">
      <c r="A314" s="11" t="s">
        <v>932</v>
      </c>
      <c r="B314" s="11">
        <f ca="1">+IF(A314=WORLDCUP!$BI$112,1,0)</f>
        <v>0</v>
      </c>
      <c r="C314" s="11" t="str">
        <f ca="1">+WORLDCUP!BD65</f>
        <v>Uruguay</v>
      </c>
      <c r="D314" s="11" t="str">
        <f ca="1">+WORLDCUP!BD67</f>
        <v>Algeria</v>
      </c>
      <c r="E314" s="11" t="str">
        <f ca="1">+WORLDCUP!BD59</f>
        <v>Bosnia and Herzegovina</v>
      </c>
      <c r="F314" s="11" t="str">
        <f ca="1">+WORLDCUP!BD63</f>
        <v>Sweden</v>
      </c>
      <c r="G314" s="11" t="str">
        <f ca="1">+WORLDCUP!BD58</f>
        <v>South Korea</v>
      </c>
      <c r="H314" s="11" t="str">
        <f ca="1">+WORLDCUP!BD64</f>
        <v>Iran</v>
      </c>
      <c r="I314" s="11" t="str">
        <f ca="1">+WORLDCUP!BD62</f>
        <v>Ecuador</v>
      </c>
      <c r="J314" s="11" t="str">
        <f ca="1">+WORLDCUP!BD66</f>
        <v>Senegal</v>
      </c>
      <c r="N314" s="11" t="s">
        <v>932</v>
      </c>
      <c r="O314" s="11">
        <v>313</v>
      </c>
      <c r="P314" s="11" t="s">
        <v>436</v>
      </c>
      <c r="Q314" s="11" t="s">
        <v>441</v>
      </c>
      <c r="R314" s="11" t="s">
        <v>90</v>
      </c>
      <c r="S314" s="11" t="s">
        <v>94</v>
      </c>
      <c r="T314" s="11" t="s">
        <v>89</v>
      </c>
      <c r="U314" s="11" t="s">
        <v>435</v>
      </c>
      <c r="V314" s="11" t="s">
        <v>93</v>
      </c>
      <c r="W314" s="11" t="s">
        <v>440</v>
      </c>
    </row>
    <row r="315" spans="1:23">
      <c r="A315" s="11" t="s">
        <v>931</v>
      </c>
      <c r="B315" s="11">
        <f ca="1">+IF(A315=WORLDCUP!$BI$112,1,0)</f>
        <v>0</v>
      </c>
      <c r="C315" s="11" t="str">
        <f ca="1">+WORLDCUP!BD66</f>
        <v>Senegal</v>
      </c>
      <c r="D315" s="11" t="str">
        <f ca="1">+WORLDCUP!BD67</f>
        <v>Algeria</v>
      </c>
      <c r="E315" s="11" t="str">
        <f ca="1">+WORLDCUP!BD59</f>
        <v>Bosnia and Herzegovina</v>
      </c>
      <c r="F315" s="11" t="str">
        <f ca="1">+WORLDCUP!BD61</f>
        <v>Paraguay</v>
      </c>
      <c r="G315" s="11" t="str">
        <f ca="1">+WORLDCUP!BD58</f>
        <v>South Korea</v>
      </c>
      <c r="H315" s="11" t="str">
        <f ca="1">+WORLDCUP!BD65</f>
        <v>Uruguay</v>
      </c>
      <c r="I315" s="11" t="str">
        <f ca="1">+WORLDCUP!BD69</f>
        <v>Ghana</v>
      </c>
      <c r="J315" s="11" t="str">
        <f ca="1">+WORLDCUP!BD68</f>
        <v>DR Congo</v>
      </c>
      <c r="N315" s="11" t="s">
        <v>931</v>
      </c>
      <c r="O315" s="11">
        <v>314</v>
      </c>
      <c r="P315" s="11" t="s">
        <v>440</v>
      </c>
      <c r="Q315" s="11" t="s">
        <v>441</v>
      </c>
      <c r="R315" s="11" t="s">
        <v>90</v>
      </c>
      <c r="S315" s="11" t="s">
        <v>92</v>
      </c>
      <c r="T315" s="11" t="s">
        <v>89</v>
      </c>
      <c r="U315" s="11" t="s">
        <v>436</v>
      </c>
      <c r="V315" s="11" t="s">
        <v>443</v>
      </c>
      <c r="W315" s="11" t="s">
        <v>442</v>
      </c>
    </row>
    <row r="316" spans="1:23">
      <c r="A316" s="11" t="s">
        <v>930</v>
      </c>
      <c r="B316" s="11">
        <f ca="1">+IF(A316=WORLDCUP!$BI$112,1,0)</f>
        <v>0</v>
      </c>
      <c r="C316" s="11" t="str">
        <f ca="1">+WORLDCUP!BD66</f>
        <v>Senegal</v>
      </c>
      <c r="D316" s="11" t="str">
        <f ca="1">+WORLDCUP!BD67</f>
        <v>Algeria</v>
      </c>
      <c r="E316" s="11" t="str">
        <f ca="1">+WORLDCUP!BD59</f>
        <v>Bosnia and Herzegovina</v>
      </c>
      <c r="F316" s="11" t="str">
        <f ca="1">+WORLDCUP!BD61</f>
        <v>Paraguay</v>
      </c>
      <c r="G316" s="11" t="str">
        <f ca="1">+WORLDCUP!BD58</f>
        <v>South Korea</v>
      </c>
      <c r="H316" s="11" t="str">
        <f ca="1">+WORLDCUP!BD64</f>
        <v>Iran</v>
      </c>
      <c r="I316" s="11" t="str">
        <f ca="1">+WORLDCUP!BD69</f>
        <v>Ghana</v>
      </c>
      <c r="J316" s="11" t="str">
        <f ca="1">+WORLDCUP!BD68</f>
        <v>DR Congo</v>
      </c>
      <c r="N316" s="11" t="s">
        <v>930</v>
      </c>
      <c r="O316" s="11">
        <v>315</v>
      </c>
      <c r="P316" s="11" t="s">
        <v>440</v>
      </c>
      <c r="Q316" s="11" t="s">
        <v>441</v>
      </c>
      <c r="R316" s="11" t="s">
        <v>90</v>
      </c>
      <c r="S316" s="11" t="s">
        <v>92</v>
      </c>
      <c r="T316" s="11" t="s">
        <v>89</v>
      </c>
      <c r="U316" s="11" t="s">
        <v>435</v>
      </c>
      <c r="V316" s="11" t="s">
        <v>443</v>
      </c>
      <c r="W316" s="11" t="s">
        <v>442</v>
      </c>
    </row>
    <row r="317" spans="1:23">
      <c r="A317" s="11" t="s">
        <v>929</v>
      </c>
      <c r="B317" s="11">
        <f ca="1">+IF(A317=WORLDCUP!$BI$112,1,0)</f>
        <v>0</v>
      </c>
      <c r="C317" s="11" t="str">
        <f ca="1">+WORLDCUP!BD65</f>
        <v>Uruguay</v>
      </c>
      <c r="D317" s="11" t="str">
        <f ca="1">+WORLDCUP!BD67</f>
        <v>Algeria</v>
      </c>
      <c r="E317" s="11" t="str">
        <f ca="1">+WORLDCUP!BD59</f>
        <v>Bosnia and Herzegovina</v>
      </c>
      <c r="F317" s="11" t="str">
        <f ca="1">+WORLDCUP!BD61</f>
        <v>Paraguay</v>
      </c>
      <c r="G317" s="11" t="str">
        <f ca="1">+WORLDCUP!BD58</f>
        <v>South Korea</v>
      </c>
      <c r="H317" s="11" t="str">
        <f ca="1">+WORLDCUP!BD64</f>
        <v>Iran</v>
      </c>
      <c r="I317" s="11" t="str">
        <f ca="1">+WORLDCUP!BD69</f>
        <v>Ghana</v>
      </c>
      <c r="J317" s="11" t="str">
        <f ca="1">+WORLDCUP!BD68</f>
        <v>DR Congo</v>
      </c>
      <c r="N317" s="11" t="s">
        <v>929</v>
      </c>
      <c r="O317" s="11">
        <v>316</v>
      </c>
      <c r="P317" s="11" t="s">
        <v>436</v>
      </c>
      <c r="Q317" s="11" t="s">
        <v>441</v>
      </c>
      <c r="R317" s="11" t="s">
        <v>90</v>
      </c>
      <c r="S317" s="11" t="s">
        <v>92</v>
      </c>
      <c r="T317" s="11" t="s">
        <v>89</v>
      </c>
      <c r="U317" s="11" t="s">
        <v>435</v>
      </c>
      <c r="V317" s="11" t="s">
        <v>443</v>
      </c>
      <c r="W317" s="11" t="s">
        <v>442</v>
      </c>
    </row>
    <row r="318" spans="1:23">
      <c r="A318" s="11" t="s">
        <v>928</v>
      </c>
      <c r="B318" s="11">
        <f ca="1">+IF(A318=WORLDCUP!$BI$112,1,0)</f>
        <v>0</v>
      </c>
      <c r="C318" s="11" t="str">
        <f ca="1">+WORLDCUP!BD66</f>
        <v>Senegal</v>
      </c>
      <c r="D318" s="11" t="str">
        <f ca="1">+WORLDCUP!BD64</f>
        <v>Iran</v>
      </c>
      <c r="E318" s="11" t="str">
        <f ca="1">+WORLDCUP!BD59</f>
        <v>Bosnia and Herzegovina</v>
      </c>
      <c r="F318" s="11" t="str">
        <f ca="1">+WORLDCUP!BD61</f>
        <v>Paraguay</v>
      </c>
      <c r="G318" s="11" t="str">
        <f ca="1">+WORLDCUP!BD58</f>
        <v>South Korea</v>
      </c>
      <c r="H318" s="11" t="str">
        <f ca="1">+WORLDCUP!BD65</f>
        <v>Uruguay</v>
      </c>
      <c r="I318" s="11" t="str">
        <f ca="1">+WORLDCUP!BD69</f>
        <v>Ghana</v>
      </c>
      <c r="J318" s="11" t="str">
        <f ca="1">+WORLDCUP!BD68</f>
        <v>DR Congo</v>
      </c>
      <c r="N318" s="11" t="s">
        <v>928</v>
      </c>
      <c r="O318" s="11">
        <v>317</v>
      </c>
      <c r="P318" s="11" t="s">
        <v>440</v>
      </c>
      <c r="Q318" s="11" t="s">
        <v>435</v>
      </c>
      <c r="R318" s="11" t="s">
        <v>90</v>
      </c>
      <c r="S318" s="11" t="s">
        <v>92</v>
      </c>
      <c r="T318" s="11" t="s">
        <v>89</v>
      </c>
      <c r="U318" s="11" t="s">
        <v>436</v>
      </c>
      <c r="V318" s="11" t="s">
        <v>443</v>
      </c>
      <c r="W318" s="11" t="s">
        <v>442</v>
      </c>
    </row>
    <row r="319" spans="1:23">
      <c r="A319" s="11" t="s">
        <v>927</v>
      </c>
      <c r="B319" s="11">
        <f ca="1">+IF(A319=WORLDCUP!$BI$112,1,0)</f>
        <v>0</v>
      </c>
      <c r="C319" s="11" t="str">
        <f ca="1">+WORLDCUP!BD65</f>
        <v>Uruguay</v>
      </c>
      <c r="D319" s="11" t="str">
        <f ca="1">+WORLDCUP!BD67</f>
        <v>Algeria</v>
      </c>
      <c r="E319" s="11" t="str">
        <f ca="1">+WORLDCUP!BD59</f>
        <v>Bosnia and Herzegovina</v>
      </c>
      <c r="F319" s="11" t="str">
        <f ca="1">+WORLDCUP!BD61</f>
        <v>Paraguay</v>
      </c>
      <c r="G319" s="11" t="str">
        <f ca="1">+WORLDCUP!BD58</f>
        <v>South Korea</v>
      </c>
      <c r="H319" s="11" t="str">
        <f ca="1">+WORLDCUP!BD64</f>
        <v>Iran</v>
      </c>
      <c r="I319" s="11" t="str">
        <f ca="1">+WORLDCUP!BD69</f>
        <v>Ghana</v>
      </c>
      <c r="J319" s="11" t="str">
        <f ca="1">+WORLDCUP!BD66</f>
        <v>Senegal</v>
      </c>
      <c r="N319" s="11" t="s">
        <v>927</v>
      </c>
      <c r="O319" s="11">
        <v>318</v>
      </c>
      <c r="P319" s="11" t="s">
        <v>436</v>
      </c>
      <c r="Q319" s="11" t="s">
        <v>441</v>
      </c>
      <c r="R319" s="11" t="s">
        <v>90</v>
      </c>
      <c r="S319" s="11" t="s">
        <v>92</v>
      </c>
      <c r="T319" s="11" t="s">
        <v>89</v>
      </c>
      <c r="U319" s="11" t="s">
        <v>435</v>
      </c>
      <c r="V319" s="11" t="s">
        <v>443</v>
      </c>
      <c r="W319" s="11" t="s">
        <v>440</v>
      </c>
    </row>
    <row r="320" spans="1:23">
      <c r="A320" s="11" t="s">
        <v>926</v>
      </c>
      <c r="B320" s="11">
        <f ca="1">+IF(A320=WORLDCUP!$BI$112,1,0)</f>
        <v>0</v>
      </c>
      <c r="C320" s="11" t="str">
        <f ca="1">+WORLDCUP!BD65</f>
        <v>Uruguay</v>
      </c>
      <c r="D320" s="11" t="str">
        <f ca="1">+WORLDCUP!BD67</f>
        <v>Algeria</v>
      </c>
      <c r="E320" s="11" t="str">
        <f ca="1">+WORLDCUP!BD59</f>
        <v>Bosnia and Herzegovina</v>
      </c>
      <c r="F320" s="11" t="str">
        <f ca="1">+WORLDCUP!BD61</f>
        <v>Paraguay</v>
      </c>
      <c r="G320" s="11" t="str">
        <f ca="1">+WORLDCUP!BD58</f>
        <v>South Korea</v>
      </c>
      <c r="H320" s="11" t="str">
        <f ca="1">+WORLDCUP!BD64</f>
        <v>Iran</v>
      </c>
      <c r="I320" s="11" t="str">
        <f ca="1">+WORLDCUP!BD66</f>
        <v>Senegal</v>
      </c>
      <c r="J320" s="11" t="str">
        <f ca="1">+WORLDCUP!BD68</f>
        <v>DR Congo</v>
      </c>
      <c r="N320" s="11" t="s">
        <v>926</v>
      </c>
      <c r="O320" s="11">
        <v>319</v>
      </c>
      <c r="P320" s="11" t="s">
        <v>436</v>
      </c>
      <c r="Q320" s="11" t="s">
        <v>441</v>
      </c>
      <c r="R320" s="11" t="s">
        <v>90</v>
      </c>
      <c r="S320" s="11" t="s">
        <v>92</v>
      </c>
      <c r="T320" s="11" t="s">
        <v>89</v>
      </c>
      <c r="U320" s="11" t="s">
        <v>435</v>
      </c>
      <c r="V320" s="11" t="s">
        <v>440</v>
      </c>
      <c r="W320" s="11" t="s">
        <v>442</v>
      </c>
    </row>
    <row r="321" spans="1:23">
      <c r="A321" s="11" t="s">
        <v>925</v>
      </c>
      <c r="B321" s="11">
        <f ca="1">+IF(A321=WORLDCUP!$BI$112,1,0)</f>
        <v>0</v>
      </c>
      <c r="C321" s="11" t="str">
        <f ca="1">+WORLDCUP!BD66</f>
        <v>Senegal</v>
      </c>
      <c r="D321" s="11" t="str">
        <f ca="1">+WORLDCUP!BD67</f>
        <v>Algeria</v>
      </c>
      <c r="E321" s="11" t="str">
        <f ca="1">+WORLDCUP!BD59</f>
        <v>Bosnia and Herzegovina</v>
      </c>
      <c r="F321" s="11" t="str">
        <f ca="1">+WORLDCUP!BD61</f>
        <v>Paraguay</v>
      </c>
      <c r="G321" s="11" t="str">
        <f ca="1">+WORLDCUP!BD58</f>
        <v>South Korea</v>
      </c>
      <c r="H321" s="11" t="str">
        <f ca="1">+WORLDCUP!BD63</f>
        <v>Sweden</v>
      </c>
      <c r="I321" s="11" t="str">
        <f ca="1">+WORLDCUP!BD69</f>
        <v>Ghana</v>
      </c>
      <c r="J321" s="11" t="str">
        <f ca="1">+WORLDCUP!BD68</f>
        <v>DR Congo</v>
      </c>
      <c r="N321" s="11" t="s">
        <v>925</v>
      </c>
      <c r="O321" s="11">
        <v>320</v>
      </c>
      <c r="P321" s="11" t="s">
        <v>440</v>
      </c>
      <c r="Q321" s="11" t="s">
        <v>441</v>
      </c>
      <c r="R321" s="11" t="s">
        <v>90</v>
      </c>
      <c r="S321" s="11" t="s">
        <v>92</v>
      </c>
      <c r="T321" s="11" t="s">
        <v>89</v>
      </c>
      <c r="U321" s="11" t="s">
        <v>94</v>
      </c>
      <c r="V321" s="11" t="s">
        <v>443</v>
      </c>
      <c r="W321" s="11" t="s">
        <v>442</v>
      </c>
    </row>
    <row r="322" spans="1:23">
      <c r="A322" s="11" t="s">
        <v>924</v>
      </c>
      <c r="B322" s="11">
        <f ca="1">+IF(A322=WORLDCUP!$BI$112,1,0)</f>
        <v>0</v>
      </c>
      <c r="C322" s="11" t="str">
        <f ca="1">+WORLDCUP!BD65</f>
        <v>Uruguay</v>
      </c>
      <c r="D322" s="11" t="str">
        <f ca="1">+WORLDCUP!BD67</f>
        <v>Algeria</v>
      </c>
      <c r="E322" s="11" t="str">
        <f ca="1">+WORLDCUP!BD59</f>
        <v>Bosnia and Herzegovina</v>
      </c>
      <c r="F322" s="11" t="str">
        <f ca="1">+WORLDCUP!BD61</f>
        <v>Paraguay</v>
      </c>
      <c r="G322" s="11" t="str">
        <f ca="1">+WORLDCUP!BD58</f>
        <v>South Korea</v>
      </c>
      <c r="H322" s="11" t="str">
        <f ca="1">+WORLDCUP!BD63</f>
        <v>Sweden</v>
      </c>
      <c r="I322" s="11" t="str">
        <f ca="1">+WORLDCUP!BD69</f>
        <v>Ghana</v>
      </c>
      <c r="J322" s="11" t="str">
        <f ca="1">+WORLDCUP!BD68</f>
        <v>DR Congo</v>
      </c>
      <c r="N322" s="11" t="s">
        <v>924</v>
      </c>
      <c r="O322" s="11">
        <v>321</v>
      </c>
      <c r="P322" s="11" t="s">
        <v>436</v>
      </c>
      <c r="Q322" s="11" t="s">
        <v>441</v>
      </c>
      <c r="R322" s="11" t="s">
        <v>90</v>
      </c>
      <c r="S322" s="11" t="s">
        <v>92</v>
      </c>
      <c r="T322" s="11" t="s">
        <v>89</v>
      </c>
      <c r="U322" s="11" t="s">
        <v>94</v>
      </c>
      <c r="V322" s="11" t="s">
        <v>443</v>
      </c>
      <c r="W322" s="11" t="s">
        <v>442</v>
      </c>
    </row>
    <row r="323" spans="1:23">
      <c r="A323" s="11" t="s">
        <v>923</v>
      </c>
      <c r="B323" s="11">
        <f ca="1">+IF(A323=WORLDCUP!$BI$112,1,0)</f>
        <v>0</v>
      </c>
      <c r="C323" s="11" t="str">
        <f ca="1">+WORLDCUP!BD65</f>
        <v>Uruguay</v>
      </c>
      <c r="D323" s="11" t="str">
        <f ca="1">+WORLDCUP!BD66</f>
        <v>Senegal</v>
      </c>
      <c r="E323" s="11" t="str">
        <f ca="1">+WORLDCUP!BD59</f>
        <v>Bosnia and Herzegovina</v>
      </c>
      <c r="F323" s="11" t="str">
        <f ca="1">+WORLDCUP!BD61</f>
        <v>Paraguay</v>
      </c>
      <c r="G323" s="11" t="str">
        <f ca="1">+WORLDCUP!BD58</f>
        <v>South Korea</v>
      </c>
      <c r="H323" s="11" t="str">
        <f ca="1">+WORLDCUP!BD63</f>
        <v>Sweden</v>
      </c>
      <c r="I323" s="11" t="str">
        <f ca="1">+WORLDCUP!BD69</f>
        <v>Ghana</v>
      </c>
      <c r="J323" s="11" t="str">
        <f ca="1">+WORLDCUP!BD68</f>
        <v>DR Congo</v>
      </c>
      <c r="N323" s="11" t="s">
        <v>923</v>
      </c>
      <c r="O323" s="11">
        <v>322</v>
      </c>
      <c r="P323" s="11" t="s">
        <v>436</v>
      </c>
      <c r="Q323" s="11" t="s">
        <v>440</v>
      </c>
      <c r="R323" s="11" t="s">
        <v>90</v>
      </c>
      <c r="S323" s="11" t="s">
        <v>92</v>
      </c>
      <c r="T323" s="11" t="s">
        <v>89</v>
      </c>
      <c r="U323" s="11" t="s">
        <v>94</v>
      </c>
      <c r="V323" s="11" t="s">
        <v>443</v>
      </c>
      <c r="W323" s="11" t="s">
        <v>442</v>
      </c>
    </row>
    <row r="324" spans="1:23">
      <c r="A324" s="11" t="s">
        <v>922</v>
      </c>
      <c r="B324" s="11">
        <f ca="1">+IF(A324=WORLDCUP!$BI$112,1,0)</f>
        <v>0</v>
      </c>
      <c r="C324" s="11" t="str">
        <f ca="1">+WORLDCUP!BD65</f>
        <v>Uruguay</v>
      </c>
      <c r="D324" s="11" t="str">
        <f ca="1">+WORLDCUP!BD67</f>
        <v>Algeria</v>
      </c>
      <c r="E324" s="11" t="str">
        <f ca="1">+WORLDCUP!BD59</f>
        <v>Bosnia and Herzegovina</v>
      </c>
      <c r="F324" s="11" t="str">
        <f ca="1">+WORLDCUP!BD61</f>
        <v>Paraguay</v>
      </c>
      <c r="G324" s="11" t="str">
        <f ca="1">+WORLDCUP!BD58</f>
        <v>South Korea</v>
      </c>
      <c r="H324" s="11" t="str">
        <f ca="1">+WORLDCUP!BD63</f>
        <v>Sweden</v>
      </c>
      <c r="I324" s="11" t="str">
        <f ca="1">+WORLDCUP!BD69</f>
        <v>Ghana</v>
      </c>
      <c r="J324" s="11" t="str">
        <f ca="1">+WORLDCUP!BD66</f>
        <v>Senegal</v>
      </c>
      <c r="N324" s="11" t="s">
        <v>922</v>
      </c>
      <c r="O324" s="11">
        <v>323</v>
      </c>
      <c r="P324" s="11" t="s">
        <v>436</v>
      </c>
      <c r="Q324" s="11" t="s">
        <v>441</v>
      </c>
      <c r="R324" s="11" t="s">
        <v>90</v>
      </c>
      <c r="S324" s="11" t="s">
        <v>92</v>
      </c>
      <c r="T324" s="11" t="s">
        <v>89</v>
      </c>
      <c r="U324" s="11" t="s">
        <v>94</v>
      </c>
      <c r="V324" s="11" t="s">
        <v>443</v>
      </c>
      <c r="W324" s="11" t="s">
        <v>440</v>
      </c>
    </row>
    <row r="325" spans="1:23">
      <c r="A325" s="11" t="s">
        <v>921</v>
      </c>
      <c r="B325" s="11">
        <f ca="1">+IF(A325=WORLDCUP!$BI$112,1,0)</f>
        <v>0</v>
      </c>
      <c r="C325" s="11" t="str">
        <f ca="1">+WORLDCUP!BD65</f>
        <v>Uruguay</v>
      </c>
      <c r="D325" s="11" t="str">
        <f ca="1">+WORLDCUP!BD67</f>
        <v>Algeria</v>
      </c>
      <c r="E325" s="11" t="str">
        <f ca="1">+WORLDCUP!BD59</f>
        <v>Bosnia and Herzegovina</v>
      </c>
      <c r="F325" s="11" t="str">
        <f ca="1">+WORLDCUP!BD61</f>
        <v>Paraguay</v>
      </c>
      <c r="G325" s="11" t="str">
        <f ca="1">+WORLDCUP!BD58</f>
        <v>South Korea</v>
      </c>
      <c r="H325" s="11" t="str">
        <f ca="1">+WORLDCUP!BD63</f>
        <v>Sweden</v>
      </c>
      <c r="I325" s="11" t="str">
        <f ca="1">+WORLDCUP!BD66</f>
        <v>Senegal</v>
      </c>
      <c r="J325" s="11" t="str">
        <f ca="1">+WORLDCUP!BD68</f>
        <v>DR Congo</v>
      </c>
      <c r="N325" s="11" t="s">
        <v>921</v>
      </c>
      <c r="O325" s="11">
        <v>324</v>
      </c>
      <c r="P325" s="11" t="s">
        <v>436</v>
      </c>
      <c r="Q325" s="11" t="s">
        <v>441</v>
      </c>
      <c r="R325" s="11" t="s">
        <v>90</v>
      </c>
      <c r="S325" s="11" t="s">
        <v>92</v>
      </c>
      <c r="T325" s="11" t="s">
        <v>89</v>
      </c>
      <c r="U325" s="11" t="s">
        <v>94</v>
      </c>
      <c r="V325" s="11" t="s">
        <v>440</v>
      </c>
      <c r="W325" s="11" t="s">
        <v>442</v>
      </c>
    </row>
    <row r="326" spans="1:23">
      <c r="A326" s="11" t="s">
        <v>920</v>
      </c>
      <c r="B326" s="11">
        <f ca="1">+IF(A326=WORLDCUP!$BI$112,1,0)</f>
        <v>0</v>
      </c>
      <c r="C326" s="11" t="str">
        <f ca="1">+WORLDCUP!BD63</f>
        <v>Sweden</v>
      </c>
      <c r="D326" s="11" t="str">
        <f ca="1">+WORLDCUP!BD67</f>
        <v>Algeria</v>
      </c>
      <c r="E326" s="11" t="str">
        <f ca="1">+WORLDCUP!BD59</f>
        <v>Bosnia and Herzegovina</v>
      </c>
      <c r="F326" s="11" t="str">
        <f ca="1">+WORLDCUP!BD61</f>
        <v>Paraguay</v>
      </c>
      <c r="G326" s="11" t="str">
        <f ca="1">+WORLDCUP!BD58</f>
        <v>South Korea</v>
      </c>
      <c r="H326" s="11" t="str">
        <f ca="1">+WORLDCUP!BD64</f>
        <v>Iran</v>
      </c>
      <c r="I326" s="11" t="str">
        <f ca="1">+WORLDCUP!BD69</f>
        <v>Ghana</v>
      </c>
      <c r="J326" s="11" t="str">
        <f ca="1">+WORLDCUP!BD68</f>
        <v>DR Congo</v>
      </c>
      <c r="N326" s="11" t="s">
        <v>920</v>
      </c>
      <c r="O326" s="11">
        <v>325</v>
      </c>
      <c r="P326" s="11" t="s">
        <v>94</v>
      </c>
      <c r="Q326" s="11" t="s">
        <v>441</v>
      </c>
      <c r="R326" s="11" t="s">
        <v>90</v>
      </c>
      <c r="S326" s="11" t="s">
        <v>92</v>
      </c>
      <c r="T326" s="11" t="s">
        <v>89</v>
      </c>
      <c r="U326" s="11" t="s">
        <v>435</v>
      </c>
      <c r="V326" s="11" t="s">
        <v>443</v>
      </c>
      <c r="W326" s="11" t="s">
        <v>442</v>
      </c>
    </row>
    <row r="327" spans="1:23">
      <c r="A327" s="11" t="s">
        <v>919</v>
      </c>
      <c r="B327" s="11">
        <f ca="1">+IF(A327=WORLDCUP!$BI$112,1,0)</f>
        <v>0</v>
      </c>
      <c r="C327" s="11" t="str">
        <f ca="1">+WORLDCUP!BD66</f>
        <v>Senegal</v>
      </c>
      <c r="D327" s="11" t="str">
        <f ca="1">+WORLDCUP!BD64</f>
        <v>Iran</v>
      </c>
      <c r="E327" s="11" t="str">
        <f ca="1">+WORLDCUP!BD59</f>
        <v>Bosnia and Herzegovina</v>
      </c>
      <c r="F327" s="11" t="str">
        <f ca="1">+WORLDCUP!BD61</f>
        <v>Paraguay</v>
      </c>
      <c r="G327" s="11" t="str">
        <f ca="1">+WORLDCUP!BD58</f>
        <v>South Korea</v>
      </c>
      <c r="H327" s="11" t="str">
        <f ca="1">+WORLDCUP!BD63</f>
        <v>Sweden</v>
      </c>
      <c r="I327" s="11" t="str">
        <f ca="1">+WORLDCUP!BD69</f>
        <v>Ghana</v>
      </c>
      <c r="J327" s="11" t="str">
        <f ca="1">+WORLDCUP!BD68</f>
        <v>DR Congo</v>
      </c>
      <c r="N327" s="11" t="s">
        <v>919</v>
      </c>
      <c r="O327" s="11">
        <v>326</v>
      </c>
      <c r="P327" s="11" t="s">
        <v>440</v>
      </c>
      <c r="Q327" s="11" t="s">
        <v>435</v>
      </c>
      <c r="R327" s="11" t="s">
        <v>90</v>
      </c>
      <c r="S327" s="11" t="s">
        <v>92</v>
      </c>
      <c r="T327" s="11" t="s">
        <v>89</v>
      </c>
      <c r="U327" s="11" t="s">
        <v>94</v>
      </c>
      <c r="V327" s="11" t="s">
        <v>443</v>
      </c>
      <c r="W327" s="11" t="s">
        <v>442</v>
      </c>
    </row>
    <row r="328" spans="1:23">
      <c r="A328" s="11" t="s">
        <v>918</v>
      </c>
      <c r="B328" s="11">
        <f ca="1">+IF(A328=WORLDCUP!$BI$112,1,0)</f>
        <v>0</v>
      </c>
      <c r="C328" s="11" t="str">
        <f ca="1">+WORLDCUP!BD63</f>
        <v>Sweden</v>
      </c>
      <c r="D328" s="11" t="str">
        <f ca="1">+WORLDCUP!BD67</f>
        <v>Algeria</v>
      </c>
      <c r="E328" s="11" t="str">
        <f ca="1">+WORLDCUP!BD59</f>
        <v>Bosnia and Herzegovina</v>
      </c>
      <c r="F328" s="11" t="str">
        <f ca="1">+WORLDCUP!BD61</f>
        <v>Paraguay</v>
      </c>
      <c r="G328" s="11" t="str">
        <f ca="1">+WORLDCUP!BD58</f>
        <v>South Korea</v>
      </c>
      <c r="H328" s="11" t="str">
        <f ca="1">+WORLDCUP!BD64</f>
        <v>Iran</v>
      </c>
      <c r="I328" s="11" t="str">
        <f ca="1">+WORLDCUP!BD69</f>
        <v>Ghana</v>
      </c>
      <c r="J328" s="11" t="str">
        <f ca="1">+WORLDCUP!BD66</f>
        <v>Senegal</v>
      </c>
      <c r="N328" s="11" t="s">
        <v>918</v>
      </c>
      <c r="O328" s="11">
        <v>327</v>
      </c>
      <c r="P328" s="11" t="s">
        <v>94</v>
      </c>
      <c r="Q328" s="11" t="s">
        <v>441</v>
      </c>
      <c r="R328" s="11" t="s">
        <v>90</v>
      </c>
      <c r="S328" s="11" t="s">
        <v>92</v>
      </c>
      <c r="T328" s="11" t="s">
        <v>89</v>
      </c>
      <c r="U328" s="11" t="s">
        <v>435</v>
      </c>
      <c r="V328" s="11" t="s">
        <v>443</v>
      </c>
      <c r="W328" s="11" t="s">
        <v>440</v>
      </c>
    </row>
    <row r="329" spans="1:23">
      <c r="A329" s="11" t="s">
        <v>917</v>
      </c>
      <c r="B329" s="11">
        <f ca="1">+IF(A329=WORLDCUP!$BI$112,1,0)</f>
        <v>0</v>
      </c>
      <c r="C329" s="11" t="str">
        <f ca="1">+WORLDCUP!BD63</f>
        <v>Sweden</v>
      </c>
      <c r="D329" s="11" t="str">
        <f ca="1">+WORLDCUP!BD67</f>
        <v>Algeria</v>
      </c>
      <c r="E329" s="11" t="str">
        <f ca="1">+WORLDCUP!BD59</f>
        <v>Bosnia and Herzegovina</v>
      </c>
      <c r="F329" s="11" t="str">
        <f ca="1">+WORLDCUP!BD61</f>
        <v>Paraguay</v>
      </c>
      <c r="G329" s="11" t="str">
        <f ca="1">+WORLDCUP!BD58</f>
        <v>South Korea</v>
      </c>
      <c r="H329" s="11" t="str">
        <f ca="1">+WORLDCUP!BD64</f>
        <v>Iran</v>
      </c>
      <c r="I329" s="11" t="str">
        <f ca="1">+WORLDCUP!BD66</f>
        <v>Senegal</v>
      </c>
      <c r="J329" s="11" t="str">
        <f ca="1">+WORLDCUP!BD68</f>
        <v>DR Congo</v>
      </c>
      <c r="N329" s="11" t="s">
        <v>917</v>
      </c>
      <c r="O329" s="11">
        <v>328</v>
      </c>
      <c r="P329" s="11" t="s">
        <v>94</v>
      </c>
      <c r="Q329" s="11" t="s">
        <v>441</v>
      </c>
      <c r="R329" s="11" t="s">
        <v>90</v>
      </c>
      <c r="S329" s="11" t="s">
        <v>92</v>
      </c>
      <c r="T329" s="11" t="s">
        <v>89</v>
      </c>
      <c r="U329" s="11" t="s">
        <v>435</v>
      </c>
      <c r="V329" s="11" t="s">
        <v>440</v>
      </c>
      <c r="W329" s="11" t="s">
        <v>442</v>
      </c>
    </row>
    <row r="330" spans="1:23">
      <c r="A330" s="11" t="s">
        <v>916</v>
      </c>
      <c r="B330" s="11">
        <f ca="1">+IF(A330=WORLDCUP!$BI$112,1,0)</f>
        <v>0</v>
      </c>
      <c r="C330" s="11" t="str">
        <f ca="1">+WORLDCUP!BD65</f>
        <v>Uruguay</v>
      </c>
      <c r="D330" s="11" t="str">
        <f ca="1">+WORLDCUP!BD64</f>
        <v>Iran</v>
      </c>
      <c r="E330" s="11" t="str">
        <f ca="1">+WORLDCUP!BD59</f>
        <v>Bosnia and Herzegovina</v>
      </c>
      <c r="F330" s="11" t="str">
        <f ca="1">+WORLDCUP!BD61</f>
        <v>Paraguay</v>
      </c>
      <c r="G330" s="11" t="str">
        <f ca="1">+WORLDCUP!BD58</f>
        <v>South Korea</v>
      </c>
      <c r="H330" s="11" t="str">
        <f ca="1">+WORLDCUP!BD63</f>
        <v>Sweden</v>
      </c>
      <c r="I330" s="11" t="str">
        <f ca="1">+WORLDCUP!BD69</f>
        <v>Ghana</v>
      </c>
      <c r="J330" s="11" t="str">
        <f ca="1">+WORLDCUP!BD68</f>
        <v>DR Congo</v>
      </c>
      <c r="N330" s="11" t="s">
        <v>916</v>
      </c>
      <c r="O330" s="11">
        <v>329</v>
      </c>
      <c r="P330" s="11" t="s">
        <v>436</v>
      </c>
      <c r="Q330" s="11" t="s">
        <v>435</v>
      </c>
      <c r="R330" s="11" t="s">
        <v>90</v>
      </c>
      <c r="S330" s="11" t="s">
        <v>92</v>
      </c>
      <c r="T330" s="11" t="s">
        <v>89</v>
      </c>
      <c r="U330" s="11" t="s">
        <v>94</v>
      </c>
      <c r="V330" s="11" t="s">
        <v>443</v>
      </c>
      <c r="W330" s="11" t="s">
        <v>442</v>
      </c>
    </row>
    <row r="331" spans="1:23">
      <c r="A331" s="11" t="s">
        <v>915</v>
      </c>
      <c r="B331" s="11">
        <f ca="1">+IF(A331=WORLDCUP!$BI$112,1,0)</f>
        <v>0</v>
      </c>
      <c r="C331" s="11" t="str">
        <f ca="1">+WORLDCUP!BD65</f>
        <v>Uruguay</v>
      </c>
      <c r="D331" s="11" t="str">
        <f ca="1">+WORLDCUP!BD64</f>
        <v>Iran</v>
      </c>
      <c r="E331" s="11" t="str">
        <f ca="1">+WORLDCUP!BD59</f>
        <v>Bosnia and Herzegovina</v>
      </c>
      <c r="F331" s="11" t="str">
        <f ca="1">+WORLDCUP!BD61</f>
        <v>Paraguay</v>
      </c>
      <c r="G331" s="11" t="str">
        <f ca="1">+WORLDCUP!BD58</f>
        <v>South Korea</v>
      </c>
      <c r="H331" s="11" t="str">
        <f ca="1">+WORLDCUP!BD63</f>
        <v>Sweden</v>
      </c>
      <c r="I331" s="11" t="str">
        <f ca="1">+WORLDCUP!BD69</f>
        <v>Ghana</v>
      </c>
      <c r="J331" s="11" t="str">
        <f ca="1">+WORLDCUP!BD67</f>
        <v>Algeria</v>
      </c>
      <c r="N331" s="11" t="s">
        <v>915</v>
      </c>
      <c r="O331" s="11">
        <v>330</v>
      </c>
      <c r="P331" s="11" t="s">
        <v>436</v>
      </c>
      <c r="Q331" s="11" t="s">
        <v>435</v>
      </c>
      <c r="R331" s="11" t="s">
        <v>90</v>
      </c>
      <c r="S331" s="11" t="s">
        <v>92</v>
      </c>
      <c r="T331" s="11" t="s">
        <v>89</v>
      </c>
      <c r="U331" s="11" t="s">
        <v>94</v>
      </c>
      <c r="V331" s="11" t="s">
        <v>443</v>
      </c>
      <c r="W331" s="11" t="s">
        <v>441</v>
      </c>
    </row>
    <row r="332" spans="1:23">
      <c r="A332" s="11" t="s">
        <v>914</v>
      </c>
      <c r="B332" s="11">
        <f ca="1">+IF(A332=WORLDCUP!$BI$112,1,0)</f>
        <v>0</v>
      </c>
      <c r="C332" s="11" t="str">
        <f ca="1">+WORLDCUP!BD65</f>
        <v>Uruguay</v>
      </c>
      <c r="D332" s="11" t="str">
        <f ca="1">+WORLDCUP!BD64</f>
        <v>Iran</v>
      </c>
      <c r="E332" s="11" t="str">
        <f ca="1">+WORLDCUP!BD59</f>
        <v>Bosnia and Herzegovina</v>
      </c>
      <c r="F332" s="11" t="str">
        <f ca="1">+WORLDCUP!BD61</f>
        <v>Paraguay</v>
      </c>
      <c r="G332" s="11" t="str">
        <f ca="1">+WORLDCUP!BD58</f>
        <v>South Korea</v>
      </c>
      <c r="H332" s="11" t="str">
        <f ca="1">+WORLDCUP!BD63</f>
        <v>Sweden</v>
      </c>
      <c r="I332" s="11" t="str">
        <f ca="1">+WORLDCUP!BD67</f>
        <v>Algeria</v>
      </c>
      <c r="J332" s="11" t="str">
        <f ca="1">+WORLDCUP!BD68</f>
        <v>DR Congo</v>
      </c>
      <c r="N332" s="11" t="s">
        <v>914</v>
      </c>
      <c r="O332" s="11">
        <v>331</v>
      </c>
      <c r="P332" s="11" t="s">
        <v>436</v>
      </c>
      <c r="Q332" s="11" t="s">
        <v>435</v>
      </c>
      <c r="R332" s="11" t="s">
        <v>90</v>
      </c>
      <c r="S332" s="11" t="s">
        <v>92</v>
      </c>
      <c r="T332" s="11" t="s">
        <v>89</v>
      </c>
      <c r="U332" s="11" t="s">
        <v>94</v>
      </c>
      <c r="V332" s="11" t="s">
        <v>441</v>
      </c>
      <c r="W332" s="11" t="s">
        <v>442</v>
      </c>
    </row>
    <row r="333" spans="1:23">
      <c r="A333" s="11" t="s">
        <v>913</v>
      </c>
      <c r="B333" s="11">
        <f ca="1">+IF(A333=WORLDCUP!$BI$112,1,0)</f>
        <v>0</v>
      </c>
      <c r="C333" s="11" t="str">
        <f ca="1">+WORLDCUP!BD65</f>
        <v>Uruguay</v>
      </c>
      <c r="D333" s="11" t="str">
        <f ca="1">+WORLDCUP!BD64</f>
        <v>Iran</v>
      </c>
      <c r="E333" s="11" t="str">
        <f ca="1">+WORLDCUP!BD59</f>
        <v>Bosnia and Herzegovina</v>
      </c>
      <c r="F333" s="11" t="str">
        <f ca="1">+WORLDCUP!BD61</f>
        <v>Paraguay</v>
      </c>
      <c r="G333" s="11" t="str">
        <f ca="1">+WORLDCUP!BD58</f>
        <v>South Korea</v>
      </c>
      <c r="H333" s="11" t="str">
        <f ca="1">+WORLDCUP!BD63</f>
        <v>Sweden</v>
      </c>
      <c r="I333" s="11" t="str">
        <f ca="1">+WORLDCUP!BD69</f>
        <v>Ghana</v>
      </c>
      <c r="J333" s="11" t="str">
        <f ca="1">+WORLDCUP!BD66</f>
        <v>Senegal</v>
      </c>
      <c r="N333" s="11" t="s">
        <v>913</v>
      </c>
      <c r="O333" s="11">
        <v>332</v>
      </c>
      <c r="P333" s="11" t="s">
        <v>436</v>
      </c>
      <c r="Q333" s="11" t="s">
        <v>435</v>
      </c>
      <c r="R333" s="11" t="s">
        <v>90</v>
      </c>
      <c r="S333" s="11" t="s">
        <v>92</v>
      </c>
      <c r="T333" s="11" t="s">
        <v>89</v>
      </c>
      <c r="U333" s="11" t="s">
        <v>94</v>
      </c>
      <c r="V333" s="11" t="s">
        <v>443</v>
      </c>
      <c r="W333" s="11" t="s">
        <v>440</v>
      </c>
    </row>
    <row r="334" spans="1:23">
      <c r="A334" s="11" t="s">
        <v>912</v>
      </c>
      <c r="B334" s="11">
        <f ca="1">+IF(A334=WORLDCUP!$BI$112,1,0)</f>
        <v>0</v>
      </c>
      <c r="C334" s="11" t="str">
        <f ca="1">+WORLDCUP!BD65</f>
        <v>Uruguay</v>
      </c>
      <c r="D334" s="11" t="str">
        <f ca="1">+WORLDCUP!BD64</f>
        <v>Iran</v>
      </c>
      <c r="E334" s="11" t="str">
        <f ca="1">+WORLDCUP!BD59</f>
        <v>Bosnia and Herzegovina</v>
      </c>
      <c r="F334" s="11" t="str">
        <f ca="1">+WORLDCUP!BD61</f>
        <v>Paraguay</v>
      </c>
      <c r="G334" s="11" t="str">
        <f ca="1">+WORLDCUP!BD58</f>
        <v>South Korea</v>
      </c>
      <c r="H334" s="11" t="str">
        <f ca="1">+WORLDCUP!BD63</f>
        <v>Sweden</v>
      </c>
      <c r="I334" s="11" t="str">
        <f ca="1">+WORLDCUP!BD66</f>
        <v>Senegal</v>
      </c>
      <c r="J334" s="11" t="str">
        <f ca="1">+WORLDCUP!BD68</f>
        <v>DR Congo</v>
      </c>
      <c r="N334" s="11" t="s">
        <v>912</v>
      </c>
      <c r="O334" s="11">
        <v>333</v>
      </c>
      <c r="P334" s="11" t="s">
        <v>436</v>
      </c>
      <c r="Q334" s="11" t="s">
        <v>435</v>
      </c>
      <c r="R334" s="11" t="s">
        <v>90</v>
      </c>
      <c r="S334" s="11" t="s">
        <v>92</v>
      </c>
      <c r="T334" s="11" t="s">
        <v>89</v>
      </c>
      <c r="U334" s="11" t="s">
        <v>94</v>
      </c>
      <c r="V334" s="11" t="s">
        <v>440</v>
      </c>
      <c r="W334" s="11" t="s">
        <v>442</v>
      </c>
    </row>
    <row r="335" spans="1:23">
      <c r="A335" s="11" t="s">
        <v>911</v>
      </c>
      <c r="B335" s="11">
        <f ca="1">+IF(A335=WORLDCUP!$BI$112,1,0)</f>
        <v>0</v>
      </c>
      <c r="C335" s="11" t="str">
        <f ca="1">+WORLDCUP!BD65</f>
        <v>Uruguay</v>
      </c>
      <c r="D335" s="11" t="str">
        <f ca="1">+WORLDCUP!BD64</f>
        <v>Iran</v>
      </c>
      <c r="E335" s="11" t="str">
        <f ca="1">+WORLDCUP!BD59</f>
        <v>Bosnia and Herzegovina</v>
      </c>
      <c r="F335" s="11" t="str">
        <f ca="1">+WORLDCUP!BD61</f>
        <v>Paraguay</v>
      </c>
      <c r="G335" s="11" t="str">
        <f ca="1">+WORLDCUP!BD58</f>
        <v>South Korea</v>
      </c>
      <c r="H335" s="11" t="str">
        <f ca="1">+WORLDCUP!BD63</f>
        <v>Sweden</v>
      </c>
      <c r="I335" s="11" t="str">
        <f ca="1">+WORLDCUP!BD66</f>
        <v>Senegal</v>
      </c>
      <c r="J335" s="11" t="str">
        <f ca="1">+WORLDCUP!BD67</f>
        <v>Algeria</v>
      </c>
      <c r="N335" s="11" t="s">
        <v>911</v>
      </c>
      <c r="O335" s="11">
        <v>334</v>
      </c>
      <c r="P335" s="11" t="s">
        <v>436</v>
      </c>
      <c r="Q335" s="11" t="s">
        <v>435</v>
      </c>
      <c r="R335" s="11" t="s">
        <v>90</v>
      </c>
      <c r="S335" s="11" t="s">
        <v>92</v>
      </c>
      <c r="T335" s="11" t="s">
        <v>89</v>
      </c>
      <c r="U335" s="11" t="s">
        <v>94</v>
      </c>
      <c r="V335" s="11" t="s">
        <v>440</v>
      </c>
      <c r="W335" s="11" t="s">
        <v>441</v>
      </c>
    </row>
    <row r="336" spans="1:23">
      <c r="A336" s="11" t="s">
        <v>910</v>
      </c>
      <c r="B336" s="11">
        <f ca="1">+IF(A336=WORLDCUP!$BI$112,1,0)</f>
        <v>0</v>
      </c>
      <c r="C336" s="11" t="str">
        <f ca="1">+WORLDCUP!BD62</f>
        <v>Ecuador</v>
      </c>
      <c r="D336" s="11" t="str">
        <f ca="1">+WORLDCUP!BD67</f>
        <v>Algeria</v>
      </c>
      <c r="E336" s="11" t="str">
        <f ca="1">+WORLDCUP!BD59</f>
        <v>Bosnia and Herzegovina</v>
      </c>
      <c r="F336" s="11" t="str">
        <f ca="1">+WORLDCUP!BD58</f>
        <v>South Korea</v>
      </c>
      <c r="G336" s="11" t="str">
        <f ca="1">+WORLDCUP!BD66</f>
        <v>Senegal</v>
      </c>
      <c r="H336" s="11" t="str">
        <f ca="1">+WORLDCUP!BD61</f>
        <v>Paraguay</v>
      </c>
      <c r="I336" s="11" t="str">
        <f ca="1">+WORLDCUP!BD69</f>
        <v>Ghana</v>
      </c>
      <c r="J336" s="11" t="str">
        <f ca="1">+WORLDCUP!BD68</f>
        <v>DR Congo</v>
      </c>
      <c r="N336" s="11" t="s">
        <v>910</v>
      </c>
      <c r="O336" s="11">
        <v>335</v>
      </c>
      <c r="P336" s="11" t="s">
        <v>93</v>
      </c>
      <c r="Q336" s="11" t="s">
        <v>441</v>
      </c>
      <c r="R336" s="11" t="s">
        <v>90</v>
      </c>
      <c r="S336" s="11" t="s">
        <v>89</v>
      </c>
      <c r="T336" s="11" t="s">
        <v>440</v>
      </c>
      <c r="U336" s="11" t="s">
        <v>92</v>
      </c>
      <c r="V336" s="11" t="s">
        <v>443</v>
      </c>
      <c r="W336" s="11" t="s">
        <v>442</v>
      </c>
    </row>
    <row r="337" spans="1:23">
      <c r="A337" s="11" t="s">
        <v>909</v>
      </c>
      <c r="B337" s="11">
        <f ca="1">+IF(A337=WORLDCUP!$BI$112,1,0)</f>
        <v>0</v>
      </c>
      <c r="C337" s="11" t="str">
        <f ca="1">+WORLDCUP!BD62</f>
        <v>Ecuador</v>
      </c>
      <c r="D337" s="11" t="str">
        <f ca="1">+WORLDCUP!BD67</f>
        <v>Algeria</v>
      </c>
      <c r="E337" s="11" t="str">
        <f ca="1">+WORLDCUP!BD59</f>
        <v>Bosnia and Herzegovina</v>
      </c>
      <c r="F337" s="11" t="str">
        <f ca="1">+WORLDCUP!BD61</f>
        <v>Paraguay</v>
      </c>
      <c r="G337" s="11" t="str">
        <f ca="1">+WORLDCUP!BD58</f>
        <v>South Korea</v>
      </c>
      <c r="H337" s="11" t="str">
        <f ca="1">+WORLDCUP!BD65</f>
        <v>Uruguay</v>
      </c>
      <c r="I337" s="11" t="str">
        <f ca="1">+WORLDCUP!BD69</f>
        <v>Ghana</v>
      </c>
      <c r="J337" s="11" t="str">
        <f ca="1">+WORLDCUP!BD68</f>
        <v>DR Congo</v>
      </c>
      <c r="N337" s="11" t="s">
        <v>909</v>
      </c>
      <c r="O337" s="11">
        <v>336</v>
      </c>
      <c r="P337" s="11" t="s">
        <v>93</v>
      </c>
      <c r="Q337" s="11" t="s">
        <v>441</v>
      </c>
      <c r="R337" s="11" t="s">
        <v>90</v>
      </c>
      <c r="S337" s="11" t="s">
        <v>92</v>
      </c>
      <c r="T337" s="11" t="s">
        <v>89</v>
      </c>
      <c r="U337" s="11" t="s">
        <v>436</v>
      </c>
      <c r="V337" s="11" t="s">
        <v>443</v>
      </c>
      <c r="W337" s="11" t="s">
        <v>442</v>
      </c>
    </row>
    <row r="338" spans="1:23">
      <c r="A338" s="11" t="s">
        <v>908</v>
      </c>
      <c r="B338" s="11">
        <f ca="1">+IF(A338=WORLDCUP!$BI$112,1,0)</f>
        <v>0</v>
      </c>
      <c r="C338" s="11" t="str">
        <f ca="1">+WORLDCUP!BD62</f>
        <v>Ecuador</v>
      </c>
      <c r="D338" s="11" t="str">
        <f ca="1">+WORLDCUP!BD66</f>
        <v>Senegal</v>
      </c>
      <c r="E338" s="11" t="str">
        <f ca="1">+WORLDCUP!BD59</f>
        <v>Bosnia and Herzegovina</v>
      </c>
      <c r="F338" s="11" t="str">
        <f ca="1">+WORLDCUP!BD61</f>
        <v>Paraguay</v>
      </c>
      <c r="G338" s="11" t="str">
        <f ca="1">+WORLDCUP!BD58</f>
        <v>South Korea</v>
      </c>
      <c r="H338" s="11" t="str">
        <f ca="1">+WORLDCUP!BD65</f>
        <v>Uruguay</v>
      </c>
      <c r="I338" s="11" t="str">
        <f ca="1">+WORLDCUP!BD69</f>
        <v>Ghana</v>
      </c>
      <c r="J338" s="11" t="str">
        <f ca="1">+WORLDCUP!BD68</f>
        <v>DR Congo</v>
      </c>
      <c r="N338" s="11" t="s">
        <v>908</v>
      </c>
      <c r="O338" s="11">
        <v>337</v>
      </c>
      <c r="P338" s="11" t="s">
        <v>93</v>
      </c>
      <c r="Q338" s="11" t="s">
        <v>440</v>
      </c>
      <c r="R338" s="11" t="s">
        <v>90</v>
      </c>
      <c r="S338" s="11" t="s">
        <v>92</v>
      </c>
      <c r="T338" s="11" t="s">
        <v>89</v>
      </c>
      <c r="U338" s="11" t="s">
        <v>436</v>
      </c>
      <c r="V338" s="11" t="s">
        <v>443</v>
      </c>
      <c r="W338" s="11" t="s">
        <v>442</v>
      </c>
    </row>
    <row r="339" spans="1:23">
      <c r="A339" s="11" t="s">
        <v>907</v>
      </c>
      <c r="B339" s="11">
        <f ca="1">+IF(A339=WORLDCUP!$BI$112,1,0)</f>
        <v>0</v>
      </c>
      <c r="C339" s="11" t="str">
        <f ca="1">+WORLDCUP!BD62</f>
        <v>Ecuador</v>
      </c>
      <c r="D339" s="11" t="str">
        <f ca="1">+WORLDCUP!BD67</f>
        <v>Algeria</v>
      </c>
      <c r="E339" s="11" t="str">
        <f ca="1">+WORLDCUP!BD59</f>
        <v>Bosnia and Herzegovina</v>
      </c>
      <c r="F339" s="11" t="str">
        <f ca="1">+WORLDCUP!BD61</f>
        <v>Paraguay</v>
      </c>
      <c r="G339" s="11" t="str">
        <f ca="1">+WORLDCUP!BD58</f>
        <v>South Korea</v>
      </c>
      <c r="H339" s="11" t="str">
        <f ca="1">+WORLDCUP!BD65</f>
        <v>Uruguay</v>
      </c>
      <c r="I339" s="11" t="str">
        <f ca="1">+WORLDCUP!BD69</f>
        <v>Ghana</v>
      </c>
      <c r="J339" s="11" t="str">
        <f ca="1">+WORLDCUP!BD66</f>
        <v>Senegal</v>
      </c>
      <c r="N339" s="11" t="s">
        <v>907</v>
      </c>
      <c r="O339" s="11">
        <v>338</v>
      </c>
      <c r="P339" s="11" t="s">
        <v>93</v>
      </c>
      <c r="Q339" s="11" t="s">
        <v>441</v>
      </c>
      <c r="R339" s="11" t="s">
        <v>90</v>
      </c>
      <c r="S339" s="11" t="s">
        <v>92</v>
      </c>
      <c r="T339" s="11" t="s">
        <v>89</v>
      </c>
      <c r="U339" s="11" t="s">
        <v>436</v>
      </c>
      <c r="V339" s="11" t="s">
        <v>443</v>
      </c>
      <c r="W339" s="11" t="s">
        <v>440</v>
      </c>
    </row>
    <row r="340" spans="1:23">
      <c r="A340" s="11" t="s">
        <v>906</v>
      </c>
      <c r="B340" s="11">
        <f ca="1">+IF(A340=WORLDCUP!$BI$112,1,0)</f>
        <v>0</v>
      </c>
      <c r="C340" s="11" t="str">
        <f ca="1">+WORLDCUP!BD62</f>
        <v>Ecuador</v>
      </c>
      <c r="D340" s="11" t="str">
        <f ca="1">+WORLDCUP!BD67</f>
        <v>Algeria</v>
      </c>
      <c r="E340" s="11" t="str">
        <f ca="1">+WORLDCUP!BD59</f>
        <v>Bosnia and Herzegovina</v>
      </c>
      <c r="F340" s="11" t="str">
        <f ca="1">+WORLDCUP!BD61</f>
        <v>Paraguay</v>
      </c>
      <c r="G340" s="11" t="str">
        <f ca="1">+WORLDCUP!BD58</f>
        <v>South Korea</v>
      </c>
      <c r="H340" s="11" t="str">
        <f ca="1">+WORLDCUP!BD65</f>
        <v>Uruguay</v>
      </c>
      <c r="I340" s="11" t="str">
        <f ca="1">+WORLDCUP!BD66</f>
        <v>Senegal</v>
      </c>
      <c r="J340" s="11" t="str">
        <f ca="1">+WORLDCUP!BD68</f>
        <v>DR Congo</v>
      </c>
      <c r="N340" s="11" t="s">
        <v>906</v>
      </c>
      <c r="O340" s="11">
        <v>339</v>
      </c>
      <c r="P340" s="11" t="s">
        <v>93</v>
      </c>
      <c r="Q340" s="11" t="s">
        <v>441</v>
      </c>
      <c r="R340" s="11" t="s">
        <v>90</v>
      </c>
      <c r="S340" s="11" t="s">
        <v>92</v>
      </c>
      <c r="T340" s="11" t="s">
        <v>89</v>
      </c>
      <c r="U340" s="11" t="s">
        <v>436</v>
      </c>
      <c r="V340" s="11" t="s">
        <v>440</v>
      </c>
      <c r="W340" s="11" t="s">
        <v>442</v>
      </c>
    </row>
    <row r="341" spans="1:23">
      <c r="A341" s="11" t="s">
        <v>905</v>
      </c>
      <c r="B341" s="11">
        <f ca="1">+IF(A341=WORLDCUP!$BI$112,1,0)</f>
        <v>0</v>
      </c>
      <c r="C341" s="11" t="str">
        <f ca="1">+WORLDCUP!BD62</f>
        <v>Ecuador</v>
      </c>
      <c r="D341" s="11" t="str">
        <f ca="1">+WORLDCUP!BD67</f>
        <v>Algeria</v>
      </c>
      <c r="E341" s="11" t="str">
        <f ca="1">+WORLDCUP!BD59</f>
        <v>Bosnia and Herzegovina</v>
      </c>
      <c r="F341" s="11" t="str">
        <f ca="1">+WORLDCUP!BD61</f>
        <v>Paraguay</v>
      </c>
      <c r="G341" s="11" t="str">
        <f ca="1">+WORLDCUP!BD58</f>
        <v>South Korea</v>
      </c>
      <c r="H341" s="11" t="str">
        <f ca="1">+WORLDCUP!BD64</f>
        <v>Iran</v>
      </c>
      <c r="I341" s="11" t="str">
        <f ca="1">+WORLDCUP!BD69</f>
        <v>Ghana</v>
      </c>
      <c r="J341" s="11" t="str">
        <f ca="1">+WORLDCUP!BD68</f>
        <v>DR Congo</v>
      </c>
      <c r="N341" s="11" t="s">
        <v>905</v>
      </c>
      <c r="O341" s="11">
        <v>340</v>
      </c>
      <c r="P341" s="11" t="s">
        <v>93</v>
      </c>
      <c r="Q341" s="11" t="s">
        <v>441</v>
      </c>
      <c r="R341" s="11" t="s">
        <v>90</v>
      </c>
      <c r="S341" s="11" t="s">
        <v>92</v>
      </c>
      <c r="T341" s="11" t="s">
        <v>89</v>
      </c>
      <c r="U341" s="11" t="s">
        <v>435</v>
      </c>
      <c r="V341" s="11" t="s">
        <v>443</v>
      </c>
      <c r="W341" s="11" t="s">
        <v>442</v>
      </c>
    </row>
    <row r="342" spans="1:23">
      <c r="A342" s="11" t="s">
        <v>904</v>
      </c>
      <c r="B342" s="11">
        <f ca="1">+IF(A342=WORLDCUP!$BI$112,1,0)</f>
        <v>0</v>
      </c>
      <c r="C342" s="11" t="str">
        <f ca="1">+WORLDCUP!BD62</f>
        <v>Ecuador</v>
      </c>
      <c r="D342" s="11" t="str">
        <f ca="1">+WORLDCUP!BD64</f>
        <v>Iran</v>
      </c>
      <c r="E342" s="11" t="str">
        <f ca="1">+WORLDCUP!BD59</f>
        <v>Bosnia and Herzegovina</v>
      </c>
      <c r="F342" s="11" t="str">
        <f ca="1">+WORLDCUP!BD58</f>
        <v>South Korea</v>
      </c>
      <c r="G342" s="11" t="str">
        <f ca="1">+WORLDCUP!BD66</f>
        <v>Senegal</v>
      </c>
      <c r="H342" s="11" t="str">
        <f ca="1">+WORLDCUP!BD61</f>
        <v>Paraguay</v>
      </c>
      <c r="I342" s="11" t="str">
        <f ca="1">+WORLDCUP!BD69</f>
        <v>Ghana</v>
      </c>
      <c r="J342" s="11" t="str">
        <f ca="1">+WORLDCUP!BD68</f>
        <v>DR Congo</v>
      </c>
      <c r="N342" s="11" t="s">
        <v>904</v>
      </c>
      <c r="O342" s="11">
        <v>341</v>
      </c>
      <c r="P342" s="11" t="s">
        <v>93</v>
      </c>
      <c r="Q342" s="11" t="s">
        <v>435</v>
      </c>
      <c r="R342" s="11" t="s">
        <v>90</v>
      </c>
      <c r="S342" s="11" t="s">
        <v>89</v>
      </c>
      <c r="T342" s="11" t="s">
        <v>440</v>
      </c>
      <c r="U342" s="11" t="s">
        <v>92</v>
      </c>
      <c r="V342" s="11" t="s">
        <v>443</v>
      </c>
      <c r="W342" s="11" t="s">
        <v>442</v>
      </c>
    </row>
    <row r="343" spans="1:23">
      <c r="A343" s="11" t="s">
        <v>903</v>
      </c>
      <c r="B343" s="11">
        <f ca="1">+IF(A343=WORLDCUP!$BI$112,1,0)</f>
        <v>0</v>
      </c>
      <c r="C343" s="11" t="str">
        <f ca="1">+WORLDCUP!BD62</f>
        <v>Ecuador</v>
      </c>
      <c r="D343" s="11" t="str">
        <f ca="1">+WORLDCUP!BD67</f>
        <v>Algeria</v>
      </c>
      <c r="E343" s="11" t="str">
        <f ca="1">+WORLDCUP!BD59</f>
        <v>Bosnia and Herzegovina</v>
      </c>
      <c r="F343" s="11" t="str">
        <f ca="1">+WORLDCUP!BD61</f>
        <v>Paraguay</v>
      </c>
      <c r="G343" s="11" t="str">
        <f ca="1">+WORLDCUP!BD58</f>
        <v>South Korea</v>
      </c>
      <c r="H343" s="11" t="str">
        <f ca="1">+WORLDCUP!BD64</f>
        <v>Iran</v>
      </c>
      <c r="I343" s="11" t="str">
        <f ca="1">+WORLDCUP!BD69</f>
        <v>Ghana</v>
      </c>
      <c r="J343" s="11" t="str">
        <f ca="1">+WORLDCUP!BD66</f>
        <v>Senegal</v>
      </c>
      <c r="N343" s="11" t="s">
        <v>903</v>
      </c>
      <c r="O343" s="11">
        <v>342</v>
      </c>
      <c r="P343" s="11" t="s">
        <v>93</v>
      </c>
      <c r="Q343" s="11" t="s">
        <v>441</v>
      </c>
      <c r="R343" s="11" t="s">
        <v>90</v>
      </c>
      <c r="S343" s="11" t="s">
        <v>92</v>
      </c>
      <c r="T343" s="11" t="s">
        <v>89</v>
      </c>
      <c r="U343" s="11" t="s">
        <v>435</v>
      </c>
      <c r="V343" s="11" t="s">
        <v>443</v>
      </c>
      <c r="W343" s="11" t="s">
        <v>440</v>
      </c>
    </row>
    <row r="344" spans="1:23">
      <c r="A344" s="11" t="s">
        <v>902</v>
      </c>
      <c r="B344" s="11">
        <f ca="1">+IF(A344=WORLDCUP!$BI$112,1,0)</f>
        <v>0</v>
      </c>
      <c r="C344" s="11" t="str">
        <f ca="1">+WORLDCUP!BD62</f>
        <v>Ecuador</v>
      </c>
      <c r="D344" s="11" t="str">
        <f ca="1">+WORLDCUP!BD67</f>
        <v>Algeria</v>
      </c>
      <c r="E344" s="11" t="str">
        <f ca="1">+WORLDCUP!BD59</f>
        <v>Bosnia and Herzegovina</v>
      </c>
      <c r="F344" s="11" t="str">
        <f ca="1">+WORLDCUP!BD61</f>
        <v>Paraguay</v>
      </c>
      <c r="G344" s="11" t="str">
        <f ca="1">+WORLDCUP!BD58</f>
        <v>South Korea</v>
      </c>
      <c r="H344" s="11" t="str">
        <f ca="1">+WORLDCUP!BD64</f>
        <v>Iran</v>
      </c>
      <c r="I344" s="11" t="str">
        <f ca="1">+WORLDCUP!BD66</f>
        <v>Senegal</v>
      </c>
      <c r="J344" s="11" t="str">
        <f ca="1">+WORLDCUP!BD68</f>
        <v>DR Congo</v>
      </c>
      <c r="N344" s="11" t="s">
        <v>902</v>
      </c>
      <c r="O344" s="11">
        <v>343</v>
      </c>
      <c r="P344" s="11" t="s">
        <v>93</v>
      </c>
      <c r="Q344" s="11" t="s">
        <v>441</v>
      </c>
      <c r="R344" s="11" t="s">
        <v>90</v>
      </c>
      <c r="S344" s="11" t="s">
        <v>92</v>
      </c>
      <c r="T344" s="11" t="s">
        <v>89</v>
      </c>
      <c r="U344" s="11" t="s">
        <v>435</v>
      </c>
      <c r="V344" s="11" t="s">
        <v>440</v>
      </c>
      <c r="W344" s="11" t="s">
        <v>442</v>
      </c>
    </row>
    <row r="345" spans="1:23">
      <c r="A345" s="11" t="s">
        <v>901</v>
      </c>
      <c r="B345" s="11">
        <f ca="1">+IF(A345=WORLDCUP!$BI$112,1,0)</f>
        <v>0</v>
      </c>
      <c r="C345" s="11" t="str">
        <f ca="1">+WORLDCUP!BD62</f>
        <v>Ecuador</v>
      </c>
      <c r="D345" s="11" t="str">
        <f ca="1">+WORLDCUP!BD64</f>
        <v>Iran</v>
      </c>
      <c r="E345" s="11" t="str">
        <f ca="1">+WORLDCUP!BD59</f>
        <v>Bosnia and Herzegovina</v>
      </c>
      <c r="F345" s="11" t="str">
        <f ca="1">+WORLDCUP!BD61</f>
        <v>Paraguay</v>
      </c>
      <c r="G345" s="11" t="str">
        <f ca="1">+WORLDCUP!BD58</f>
        <v>South Korea</v>
      </c>
      <c r="H345" s="11" t="str">
        <f ca="1">+WORLDCUP!BD65</f>
        <v>Uruguay</v>
      </c>
      <c r="I345" s="11" t="str">
        <f ca="1">+WORLDCUP!BD69</f>
        <v>Ghana</v>
      </c>
      <c r="J345" s="11" t="str">
        <f ca="1">+WORLDCUP!BD68</f>
        <v>DR Congo</v>
      </c>
      <c r="N345" s="11" t="s">
        <v>901</v>
      </c>
      <c r="O345" s="11">
        <v>344</v>
      </c>
      <c r="P345" s="11" t="s">
        <v>93</v>
      </c>
      <c r="Q345" s="11" t="s">
        <v>435</v>
      </c>
      <c r="R345" s="11" t="s">
        <v>90</v>
      </c>
      <c r="S345" s="11" t="s">
        <v>92</v>
      </c>
      <c r="T345" s="11" t="s">
        <v>89</v>
      </c>
      <c r="U345" s="11" t="s">
        <v>436</v>
      </c>
      <c r="V345" s="11" t="s">
        <v>443</v>
      </c>
      <c r="W345" s="11" t="s">
        <v>442</v>
      </c>
    </row>
    <row r="346" spans="1:23">
      <c r="A346" s="11" t="s">
        <v>900</v>
      </c>
      <c r="B346" s="11">
        <f ca="1">+IF(A346=WORLDCUP!$BI$112,1,0)</f>
        <v>0</v>
      </c>
      <c r="C346" s="11" t="str">
        <f ca="1">+WORLDCUP!BD65</f>
        <v>Uruguay</v>
      </c>
      <c r="D346" s="11" t="str">
        <f ca="1">+WORLDCUP!BD67</f>
        <v>Algeria</v>
      </c>
      <c r="E346" s="11" t="str">
        <f ca="1">+WORLDCUP!BD59</f>
        <v>Bosnia and Herzegovina</v>
      </c>
      <c r="F346" s="11" t="str">
        <f ca="1">+WORLDCUP!BD61</f>
        <v>Paraguay</v>
      </c>
      <c r="G346" s="11" t="str">
        <f ca="1">+WORLDCUP!BD58</f>
        <v>South Korea</v>
      </c>
      <c r="H346" s="11" t="str">
        <f ca="1">+WORLDCUP!BD64</f>
        <v>Iran</v>
      </c>
      <c r="I346" s="11" t="str">
        <f ca="1">+WORLDCUP!BD69</f>
        <v>Ghana</v>
      </c>
      <c r="J346" s="11" t="str">
        <f ca="1">+WORLDCUP!BD62</f>
        <v>Ecuador</v>
      </c>
      <c r="N346" s="11" t="s">
        <v>900</v>
      </c>
      <c r="O346" s="11">
        <v>345</v>
      </c>
      <c r="P346" s="11" t="s">
        <v>436</v>
      </c>
      <c r="Q346" s="11" t="s">
        <v>441</v>
      </c>
      <c r="R346" s="11" t="s">
        <v>90</v>
      </c>
      <c r="S346" s="11" t="s">
        <v>92</v>
      </c>
      <c r="T346" s="11" t="s">
        <v>89</v>
      </c>
      <c r="U346" s="11" t="s">
        <v>435</v>
      </c>
      <c r="V346" s="11" t="s">
        <v>443</v>
      </c>
      <c r="W346" s="11" t="s">
        <v>93</v>
      </c>
    </row>
    <row r="347" spans="1:23">
      <c r="A347" s="11" t="s">
        <v>899</v>
      </c>
      <c r="B347" s="11">
        <f ca="1">+IF(A347=WORLDCUP!$BI$112,1,0)</f>
        <v>0</v>
      </c>
      <c r="C347" s="11" t="str">
        <f ca="1">+WORLDCUP!BD65</f>
        <v>Uruguay</v>
      </c>
      <c r="D347" s="11" t="str">
        <f ca="1">+WORLDCUP!BD67</f>
        <v>Algeria</v>
      </c>
      <c r="E347" s="11" t="str">
        <f ca="1">+WORLDCUP!BD59</f>
        <v>Bosnia and Herzegovina</v>
      </c>
      <c r="F347" s="11" t="str">
        <f ca="1">+WORLDCUP!BD61</f>
        <v>Paraguay</v>
      </c>
      <c r="G347" s="11" t="str">
        <f ca="1">+WORLDCUP!BD58</f>
        <v>South Korea</v>
      </c>
      <c r="H347" s="11" t="str">
        <f ca="1">+WORLDCUP!BD64</f>
        <v>Iran</v>
      </c>
      <c r="I347" s="11" t="str">
        <f ca="1">+WORLDCUP!BD62</f>
        <v>Ecuador</v>
      </c>
      <c r="J347" s="11" t="str">
        <f ca="1">+WORLDCUP!BD68</f>
        <v>DR Congo</v>
      </c>
      <c r="N347" s="11" t="s">
        <v>899</v>
      </c>
      <c r="O347" s="11">
        <v>346</v>
      </c>
      <c r="P347" s="11" t="s">
        <v>436</v>
      </c>
      <c r="Q347" s="11" t="s">
        <v>441</v>
      </c>
      <c r="R347" s="11" t="s">
        <v>90</v>
      </c>
      <c r="S347" s="11" t="s">
        <v>92</v>
      </c>
      <c r="T347" s="11" t="s">
        <v>89</v>
      </c>
      <c r="U347" s="11" t="s">
        <v>435</v>
      </c>
      <c r="V347" s="11" t="s">
        <v>93</v>
      </c>
      <c r="W347" s="11" t="s">
        <v>442</v>
      </c>
    </row>
    <row r="348" spans="1:23">
      <c r="A348" s="11" t="s">
        <v>898</v>
      </c>
      <c r="B348" s="11">
        <f ca="1">+IF(A348=WORLDCUP!$BI$112,1,0)</f>
        <v>0</v>
      </c>
      <c r="C348" s="11" t="str">
        <f ca="1">+WORLDCUP!BD62</f>
        <v>Ecuador</v>
      </c>
      <c r="D348" s="11" t="str">
        <f ca="1">+WORLDCUP!BD64</f>
        <v>Iran</v>
      </c>
      <c r="E348" s="11" t="str">
        <f ca="1">+WORLDCUP!BD59</f>
        <v>Bosnia and Herzegovina</v>
      </c>
      <c r="F348" s="11" t="str">
        <f ca="1">+WORLDCUP!BD61</f>
        <v>Paraguay</v>
      </c>
      <c r="G348" s="11" t="str">
        <f ca="1">+WORLDCUP!BD58</f>
        <v>South Korea</v>
      </c>
      <c r="H348" s="11" t="str">
        <f ca="1">+WORLDCUP!BD65</f>
        <v>Uruguay</v>
      </c>
      <c r="I348" s="11" t="str">
        <f ca="1">+WORLDCUP!BD69</f>
        <v>Ghana</v>
      </c>
      <c r="J348" s="11" t="str">
        <f ca="1">+WORLDCUP!BD66</f>
        <v>Senegal</v>
      </c>
      <c r="N348" s="11" t="s">
        <v>898</v>
      </c>
      <c r="O348" s="11">
        <v>347</v>
      </c>
      <c r="P348" s="11" t="s">
        <v>93</v>
      </c>
      <c r="Q348" s="11" t="s">
        <v>435</v>
      </c>
      <c r="R348" s="11" t="s">
        <v>90</v>
      </c>
      <c r="S348" s="11" t="s">
        <v>92</v>
      </c>
      <c r="T348" s="11" t="s">
        <v>89</v>
      </c>
      <c r="U348" s="11" t="s">
        <v>436</v>
      </c>
      <c r="V348" s="11" t="s">
        <v>443</v>
      </c>
      <c r="W348" s="11" t="s">
        <v>440</v>
      </c>
    </row>
    <row r="349" spans="1:23">
      <c r="A349" s="11" t="s">
        <v>897</v>
      </c>
      <c r="B349" s="11">
        <f ca="1">+IF(A349=WORLDCUP!$BI$112,1,0)</f>
        <v>0</v>
      </c>
      <c r="C349" s="11" t="str">
        <f ca="1">+WORLDCUP!BD62</f>
        <v>Ecuador</v>
      </c>
      <c r="D349" s="11" t="str">
        <f ca="1">+WORLDCUP!BD64</f>
        <v>Iran</v>
      </c>
      <c r="E349" s="11" t="str">
        <f ca="1">+WORLDCUP!BD59</f>
        <v>Bosnia and Herzegovina</v>
      </c>
      <c r="F349" s="11" t="str">
        <f ca="1">+WORLDCUP!BD61</f>
        <v>Paraguay</v>
      </c>
      <c r="G349" s="11" t="str">
        <f ca="1">+WORLDCUP!BD58</f>
        <v>South Korea</v>
      </c>
      <c r="H349" s="11" t="str">
        <f ca="1">+WORLDCUP!BD65</f>
        <v>Uruguay</v>
      </c>
      <c r="I349" s="11" t="str">
        <f ca="1">+WORLDCUP!BD66</f>
        <v>Senegal</v>
      </c>
      <c r="J349" s="11" t="str">
        <f ca="1">+WORLDCUP!BD68</f>
        <v>DR Congo</v>
      </c>
      <c r="N349" s="11" t="s">
        <v>897</v>
      </c>
      <c r="O349" s="11">
        <v>348</v>
      </c>
      <c r="P349" s="11" t="s">
        <v>93</v>
      </c>
      <c r="Q349" s="11" t="s">
        <v>435</v>
      </c>
      <c r="R349" s="11" t="s">
        <v>90</v>
      </c>
      <c r="S349" s="11" t="s">
        <v>92</v>
      </c>
      <c r="T349" s="11" t="s">
        <v>89</v>
      </c>
      <c r="U349" s="11" t="s">
        <v>436</v>
      </c>
      <c r="V349" s="11" t="s">
        <v>440</v>
      </c>
      <c r="W349" s="11" t="s">
        <v>442</v>
      </c>
    </row>
    <row r="350" spans="1:23">
      <c r="A350" s="11" t="s">
        <v>896</v>
      </c>
      <c r="B350" s="11">
        <f ca="1">+IF(A350=WORLDCUP!$BI$112,1,0)</f>
        <v>0</v>
      </c>
      <c r="C350" s="11" t="str">
        <f ca="1">+WORLDCUP!BD65</f>
        <v>Uruguay</v>
      </c>
      <c r="D350" s="11" t="str">
        <f ca="1">+WORLDCUP!BD67</f>
        <v>Algeria</v>
      </c>
      <c r="E350" s="11" t="str">
        <f ca="1">+WORLDCUP!BD59</f>
        <v>Bosnia and Herzegovina</v>
      </c>
      <c r="F350" s="11" t="str">
        <f ca="1">+WORLDCUP!BD61</f>
        <v>Paraguay</v>
      </c>
      <c r="G350" s="11" t="str">
        <f ca="1">+WORLDCUP!BD58</f>
        <v>South Korea</v>
      </c>
      <c r="H350" s="11" t="str">
        <f ca="1">+WORLDCUP!BD64</f>
        <v>Iran</v>
      </c>
      <c r="I350" s="11" t="str">
        <f ca="1">+WORLDCUP!BD62</f>
        <v>Ecuador</v>
      </c>
      <c r="J350" s="11" t="str">
        <f ca="1">+WORLDCUP!BD66</f>
        <v>Senegal</v>
      </c>
      <c r="N350" s="11" t="s">
        <v>896</v>
      </c>
      <c r="O350" s="11">
        <v>349</v>
      </c>
      <c r="P350" s="11" t="s">
        <v>436</v>
      </c>
      <c r="Q350" s="11" t="s">
        <v>441</v>
      </c>
      <c r="R350" s="11" t="s">
        <v>90</v>
      </c>
      <c r="S350" s="11" t="s">
        <v>92</v>
      </c>
      <c r="T350" s="11" t="s">
        <v>89</v>
      </c>
      <c r="U350" s="11" t="s">
        <v>435</v>
      </c>
      <c r="V350" s="11" t="s">
        <v>93</v>
      </c>
      <c r="W350" s="11" t="s">
        <v>440</v>
      </c>
    </row>
    <row r="351" spans="1:23">
      <c r="A351" s="11" t="s">
        <v>895</v>
      </c>
      <c r="B351" s="11">
        <f ca="1">+IF(A351=WORLDCUP!$BI$112,1,0)</f>
        <v>0</v>
      </c>
      <c r="C351" s="11" t="str">
        <f ca="1">+WORLDCUP!BD62</f>
        <v>Ecuador</v>
      </c>
      <c r="D351" s="11" t="str">
        <f ca="1">+WORLDCUP!BD67</f>
        <v>Algeria</v>
      </c>
      <c r="E351" s="11" t="str">
        <f ca="1">+WORLDCUP!BD59</f>
        <v>Bosnia and Herzegovina</v>
      </c>
      <c r="F351" s="11" t="str">
        <f ca="1">+WORLDCUP!BD61</f>
        <v>Paraguay</v>
      </c>
      <c r="G351" s="11" t="str">
        <f ca="1">+WORLDCUP!BD58</f>
        <v>South Korea</v>
      </c>
      <c r="H351" s="11" t="str">
        <f ca="1">+WORLDCUP!BD63</f>
        <v>Sweden</v>
      </c>
      <c r="I351" s="11" t="str">
        <f ca="1">+WORLDCUP!BD69</f>
        <v>Ghana</v>
      </c>
      <c r="J351" s="11" t="str">
        <f ca="1">+WORLDCUP!BD68</f>
        <v>DR Congo</v>
      </c>
      <c r="N351" s="11" t="s">
        <v>895</v>
      </c>
      <c r="O351" s="11">
        <v>350</v>
      </c>
      <c r="P351" s="11" t="s">
        <v>93</v>
      </c>
      <c r="Q351" s="11" t="s">
        <v>441</v>
      </c>
      <c r="R351" s="11" t="s">
        <v>90</v>
      </c>
      <c r="S351" s="11" t="s">
        <v>92</v>
      </c>
      <c r="T351" s="11" t="s">
        <v>89</v>
      </c>
      <c r="U351" s="11" t="s">
        <v>94</v>
      </c>
      <c r="V351" s="11" t="s">
        <v>443</v>
      </c>
      <c r="W351" s="11" t="s">
        <v>442</v>
      </c>
    </row>
    <row r="352" spans="1:23">
      <c r="A352" s="11" t="s">
        <v>894</v>
      </c>
      <c r="B352" s="11">
        <f ca="1">+IF(A352=WORLDCUP!$BI$112,1,0)</f>
        <v>0</v>
      </c>
      <c r="C352" s="11" t="str">
        <f ca="1">+WORLDCUP!BD62</f>
        <v>Ecuador</v>
      </c>
      <c r="D352" s="11" t="str">
        <f ca="1">+WORLDCUP!BD66</f>
        <v>Senegal</v>
      </c>
      <c r="E352" s="11" t="str">
        <f ca="1">+WORLDCUP!BD59</f>
        <v>Bosnia and Herzegovina</v>
      </c>
      <c r="F352" s="11" t="str">
        <f ca="1">+WORLDCUP!BD61</f>
        <v>Paraguay</v>
      </c>
      <c r="G352" s="11" t="str">
        <f ca="1">+WORLDCUP!BD58</f>
        <v>South Korea</v>
      </c>
      <c r="H352" s="11" t="str">
        <f ca="1">+WORLDCUP!BD63</f>
        <v>Sweden</v>
      </c>
      <c r="I352" s="11" t="str">
        <f ca="1">+WORLDCUP!BD69</f>
        <v>Ghana</v>
      </c>
      <c r="J352" s="11" t="str">
        <f ca="1">+WORLDCUP!BD68</f>
        <v>DR Congo</v>
      </c>
      <c r="N352" s="11" t="s">
        <v>894</v>
      </c>
      <c r="O352" s="11">
        <v>351</v>
      </c>
      <c r="P352" s="11" t="s">
        <v>93</v>
      </c>
      <c r="Q352" s="11" t="s">
        <v>440</v>
      </c>
      <c r="R352" s="11" t="s">
        <v>90</v>
      </c>
      <c r="S352" s="11" t="s">
        <v>92</v>
      </c>
      <c r="T352" s="11" t="s">
        <v>89</v>
      </c>
      <c r="U352" s="11" t="s">
        <v>94</v>
      </c>
      <c r="V352" s="11" t="s">
        <v>443</v>
      </c>
      <c r="W352" s="11" t="s">
        <v>442</v>
      </c>
    </row>
    <row r="353" spans="1:23">
      <c r="A353" s="11" t="s">
        <v>893</v>
      </c>
      <c r="B353" s="11">
        <f ca="1">+IF(A353=WORLDCUP!$BI$112,1,0)</f>
        <v>0</v>
      </c>
      <c r="C353" s="11" t="str">
        <f ca="1">+WORLDCUP!BD62</f>
        <v>Ecuador</v>
      </c>
      <c r="D353" s="11" t="str">
        <f ca="1">+WORLDCUP!BD67</f>
        <v>Algeria</v>
      </c>
      <c r="E353" s="11" t="str">
        <f ca="1">+WORLDCUP!BD59</f>
        <v>Bosnia and Herzegovina</v>
      </c>
      <c r="F353" s="11" t="str">
        <f ca="1">+WORLDCUP!BD61</f>
        <v>Paraguay</v>
      </c>
      <c r="G353" s="11" t="str">
        <f ca="1">+WORLDCUP!BD58</f>
        <v>South Korea</v>
      </c>
      <c r="H353" s="11" t="str">
        <f ca="1">+WORLDCUP!BD63</f>
        <v>Sweden</v>
      </c>
      <c r="I353" s="11" t="str">
        <f ca="1">+WORLDCUP!BD69</f>
        <v>Ghana</v>
      </c>
      <c r="J353" s="11" t="str">
        <f ca="1">+WORLDCUP!BD66</f>
        <v>Senegal</v>
      </c>
      <c r="N353" s="11" t="s">
        <v>893</v>
      </c>
      <c r="O353" s="11">
        <v>352</v>
      </c>
      <c r="P353" s="11" t="s">
        <v>93</v>
      </c>
      <c r="Q353" s="11" t="s">
        <v>441</v>
      </c>
      <c r="R353" s="11" t="s">
        <v>90</v>
      </c>
      <c r="S353" s="11" t="s">
        <v>92</v>
      </c>
      <c r="T353" s="11" t="s">
        <v>89</v>
      </c>
      <c r="U353" s="11" t="s">
        <v>94</v>
      </c>
      <c r="V353" s="11" t="s">
        <v>443</v>
      </c>
      <c r="W353" s="11" t="s">
        <v>440</v>
      </c>
    </row>
    <row r="354" spans="1:23">
      <c r="A354" s="11" t="s">
        <v>892</v>
      </c>
      <c r="B354" s="11">
        <f ca="1">+IF(A354=WORLDCUP!$BI$112,1,0)</f>
        <v>0</v>
      </c>
      <c r="C354" s="11" t="str">
        <f ca="1">+WORLDCUP!BD62</f>
        <v>Ecuador</v>
      </c>
      <c r="D354" s="11" t="str">
        <f ca="1">+WORLDCUP!BD67</f>
        <v>Algeria</v>
      </c>
      <c r="E354" s="11" t="str">
        <f ca="1">+WORLDCUP!BD59</f>
        <v>Bosnia and Herzegovina</v>
      </c>
      <c r="F354" s="11" t="str">
        <f ca="1">+WORLDCUP!BD61</f>
        <v>Paraguay</v>
      </c>
      <c r="G354" s="11" t="str">
        <f ca="1">+WORLDCUP!BD58</f>
        <v>South Korea</v>
      </c>
      <c r="H354" s="11" t="str">
        <f ca="1">+WORLDCUP!BD63</f>
        <v>Sweden</v>
      </c>
      <c r="I354" s="11" t="str">
        <f ca="1">+WORLDCUP!BD66</f>
        <v>Senegal</v>
      </c>
      <c r="J354" s="11" t="str">
        <f ca="1">+WORLDCUP!BD68</f>
        <v>DR Congo</v>
      </c>
      <c r="N354" s="11" t="s">
        <v>892</v>
      </c>
      <c r="O354" s="11">
        <v>353</v>
      </c>
      <c r="P354" s="11" t="s">
        <v>93</v>
      </c>
      <c r="Q354" s="11" t="s">
        <v>441</v>
      </c>
      <c r="R354" s="11" t="s">
        <v>90</v>
      </c>
      <c r="S354" s="11" t="s">
        <v>92</v>
      </c>
      <c r="T354" s="11" t="s">
        <v>89</v>
      </c>
      <c r="U354" s="11" t="s">
        <v>94</v>
      </c>
      <c r="V354" s="11" t="s">
        <v>440</v>
      </c>
      <c r="W354" s="11" t="s">
        <v>442</v>
      </c>
    </row>
    <row r="355" spans="1:23">
      <c r="A355" s="11" t="s">
        <v>891</v>
      </c>
      <c r="B355" s="11">
        <f ca="1">+IF(A355=WORLDCUP!$BI$112,1,0)</f>
        <v>0</v>
      </c>
      <c r="C355" s="11" t="str">
        <f ca="1">+WORLDCUP!BD65</f>
        <v>Uruguay</v>
      </c>
      <c r="D355" s="11" t="str">
        <f ca="1">+WORLDCUP!BD62</f>
        <v>Ecuador</v>
      </c>
      <c r="E355" s="11" t="str">
        <f ca="1">+WORLDCUP!BD59</f>
        <v>Bosnia and Herzegovina</v>
      </c>
      <c r="F355" s="11" t="str">
        <f ca="1">+WORLDCUP!BD61</f>
        <v>Paraguay</v>
      </c>
      <c r="G355" s="11" t="str">
        <f ca="1">+WORLDCUP!BD58</f>
        <v>South Korea</v>
      </c>
      <c r="H355" s="11" t="str">
        <f ca="1">+WORLDCUP!BD63</f>
        <v>Sweden</v>
      </c>
      <c r="I355" s="11" t="str">
        <f ca="1">+WORLDCUP!BD69</f>
        <v>Ghana</v>
      </c>
      <c r="J355" s="11" t="str">
        <f ca="1">+WORLDCUP!BD68</f>
        <v>DR Congo</v>
      </c>
      <c r="N355" s="11" t="s">
        <v>891</v>
      </c>
      <c r="O355" s="11">
        <v>354</v>
      </c>
      <c r="P355" s="11" t="s">
        <v>436</v>
      </c>
      <c r="Q355" s="11" t="s">
        <v>93</v>
      </c>
      <c r="R355" s="11" t="s">
        <v>90</v>
      </c>
      <c r="S355" s="11" t="s">
        <v>92</v>
      </c>
      <c r="T355" s="11" t="s">
        <v>89</v>
      </c>
      <c r="U355" s="11" t="s">
        <v>94</v>
      </c>
      <c r="V355" s="11" t="s">
        <v>443</v>
      </c>
      <c r="W355" s="11" t="s">
        <v>442</v>
      </c>
    </row>
    <row r="356" spans="1:23">
      <c r="A356" s="11" t="s">
        <v>890</v>
      </c>
      <c r="B356" s="11">
        <f ca="1">+IF(A356=WORLDCUP!$BI$112,1,0)</f>
        <v>0</v>
      </c>
      <c r="C356" s="11" t="str">
        <f ca="1">+WORLDCUP!BD65</f>
        <v>Uruguay</v>
      </c>
      <c r="D356" s="11" t="str">
        <f ca="1">+WORLDCUP!BD67</f>
        <v>Algeria</v>
      </c>
      <c r="E356" s="11" t="str">
        <f ca="1">+WORLDCUP!BD59</f>
        <v>Bosnia and Herzegovina</v>
      </c>
      <c r="F356" s="11" t="str">
        <f ca="1">+WORLDCUP!BD61</f>
        <v>Paraguay</v>
      </c>
      <c r="G356" s="11" t="str">
        <f ca="1">+WORLDCUP!BD58</f>
        <v>South Korea</v>
      </c>
      <c r="H356" s="11" t="str">
        <f ca="1">+WORLDCUP!BD63</f>
        <v>Sweden</v>
      </c>
      <c r="I356" s="11" t="str">
        <f ca="1">+WORLDCUP!BD69</f>
        <v>Ghana</v>
      </c>
      <c r="J356" s="11" t="str">
        <f ca="1">+WORLDCUP!BD62</f>
        <v>Ecuador</v>
      </c>
      <c r="N356" s="11" t="s">
        <v>890</v>
      </c>
      <c r="O356" s="11">
        <v>355</v>
      </c>
      <c r="P356" s="11" t="s">
        <v>436</v>
      </c>
      <c r="Q356" s="11" t="s">
        <v>441</v>
      </c>
      <c r="R356" s="11" t="s">
        <v>90</v>
      </c>
      <c r="S356" s="11" t="s">
        <v>92</v>
      </c>
      <c r="T356" s="11" t="s">
        <v>89</v>
      </c>
      <c r="U356" s="11" t="s">
        <v>94</v>
      </c>
      <c r="V356" s="11" t="s">
        <v>443</v>
      </c>
      <c r="W356" s="11" t="s">
        <v>93</v>
      </c>
    </row>
    <row r="357" spans="1:23">
      <c r="A357" s="11" t="s">
        <v>889</v>
      </c>
      <c r="B357" s="11">
        <f ca="1">+IF(A357=WORLDCUP!$BI$112,1,0)</f>
        <v>0</v>
      </c>
      <c r="C357" s="11" t="str">
        <f ca="1">+WORLDCUP!BD65</f>
        <v>Uruguay</v>
      </c>
      <c r="D357" s="11" t="str">
        <f ca="1">+WORLDCUP!BD67</f>
        <v>Algeria</v>
      </c>
      <c r="E357" s="11" t="str">
        <f ca="1">+WORLDCUP!BD59</f>
        <v>Bosnia and Herzegovina</v>
      </c>
      <c r="F357" s="11" t="str">
        <f ca="1">+WORLDCUP!BD61</f>
        <v>Paraguay</v>
      </c>
      <c r="G357" s="11" t="str">
        <f ca="1">+WORLDCUP!BD58</f>
        <v>South Korea</v>
      </c>
      <c r="H357" s="11" t="str">
        <f ca="1">+WORLDCUP!BD63</f>
        <v>Sweden</v>
      </c>
      <c r="I357" s="11" t="str">
        <f ca="1">+WORLDCUP!BD62</f>
        <v>Ecuador</v>
      </c>
      <c r="J357" s="11" t="str">
        <f ca="1">+WORLDCUP!BD68</f>
        <v>DR Congo</v>
      </c>
      <c r="N357" s="11" t="s">
        <v>889</v>
      </c>
      <c r="O357" s="11">
        <v>356</v>
      </c>
      <c r="P357" s="11" t="s">
        <v>436</v>
      </c>
      <c r="Q357" s="11" t="s">
        <v>441</v>
      </c>
      <c r="R357" s="11" t="s">
        <v>90</v>
      </c>
      <c r="S357" s="11" t="s">
        <v>92</v>
      </c>
      <c r="T357" s="11" t="s">
        <v>89</v>
      </c>
      <c r="U357" s="11" t="s">
        <v>94</v>
      </c>
      <c r="V357" s="11" t="s">
        <v>93</v>
      </c>
      <c r="W357" s="11" t="s">
        <v>442</v>
      </c>
    </row>
    <row r="358" spans="1:23">
      <c r="A358" s="11" t="s">
        <v>888</v>
      </c>
      <c r="B358" s="11">
        <f ca="1">+IF(A358=WORLDCUP!$BI$112,1,0)</f>
        <v>0</v>
      </c>
      <c r="C358" s="11" t="str">
        <f ca="1">+WORLDCUP!BD65</f>
        <v>Uruguay</v>
      </c>
      <c r="D358" s="11" t="str">
        <f ca="1">+WORLDCUP!BD62</f>
        <v>Ecuador</v>
      </c>
      <c r="E358" s="11" t="str">
        <f ca="1">+WORLDCUP!BD59</f>
        <v>Bosnia and Herzegovina</v>
      </c>
      <c r="F358" s="11" t="str">
        <f ca="1">+WORLDCUP!BD61</f>
        <v>Paraguay</v>
      </c>
      <c r="G358" s="11" t="str">
        <f ca="1">+WORLDCUP!BD58</f>
        <v>South Korea</v>
      </c>
      <c r="H358" s="11" t="str">
        <f ca="1">+WORLDCUP!BD63</f>
        <v>Sweden</v>
      </c>
      <c r="I358" s="11" t="str">
        <f ca="1">+WORLDCUP!BD69</f>
        <v>Ghana</v>
      </c>
      <c r="J358" s="11" t="str">
        <f ca="1">+WORLDCUP!BD66</f>
        <v>Senegal</v>
      </c>
      <c r="N358" s="11" t="s">
        <v>888</v>
      </c>
      <c r="O358" s="11">
        <v>357</v>
      </c>
      <c r="P358" s="11" t="s">
        <v>436</v>
      </c>
      <c r="Q358" s="11" t="s">
        <v>93</v>
      </c>
      <c r="R358" s="11" t="s">
        <v>90</v>
      </c>
      <c r="S358" s="11" t="s">
        <v>92</v>
      </c>
      <c r="T358" s="11" t="s">
        <v>89</v>
      </c>
      <c r="U358" s="11" t="s">
        <v>94</v>
      </c>
      <c r="V358" s="11" t="s">
        <v>443</v>
      </c>
      <c r="W358" s="11" t="s">
        <v>440</v>
      </c>
    </row>
    <row r="359" spans="1:23">
      <c r="A359" s="11" t="s">
        <v>887</v>
      </c>
      <c r="B359" s="11">
        <f ca="1">+IF(A359=WORLDCUP!$BI$112,1,0)</f>
        <v>0</v>
      </c>
      <c r="C359" s="11" t="str">
        <f ca="1">+WORLDCUP!BD65</f>
        <v>Uruguay</v>
      </c>
      <c r="D359" s="11" t="str">
        <f ca="1">+WORLDCUP!BD62</f>
        <v>Ecuador</v>
      </c>
      <c r="E359" s="11" t="str">
        <f ca="1">+WORLDCUP!BD59</f>
        <v>Bosnia and Herzegovina</v>
      </c>
      <c r="F359" s="11" t="str">
        <f ca="1">+WORLDCUP!BD61</f>
        <v>Paraguay</v>
      </c>
      <c r="G359" s="11" t="str">
        <f ca="1">+WORLDCUP!BD58</f>
        <v>South Korea</v>
      </c>
      <c r="H359" s="11" t="str">
        <f ca="1">+WORLDCUP!BD63</f>
        <v>Sweden</v>
      </c>
      <c r="I359" s="11" t="str">
        <f ca="1">+WORLDCUP!BD66</f>
        <v>Senegal</v>
      </c>
      <c r="J359" s="11" t="str">
        <f ca="1">+WORLDCUP!BD68</f>
        <v>DR Congo</v>
      </c>
      <c r="N359" s="11" t="s">
        <v>887</v>
      </c>
      <c r="O359" s="11">
        <v>358</v>
      </c>
      <c r="P359" s="11" t="s">
        <v>436</v>
      </c>
      <c r="Q359" s="11" t="s">
        <v>93</v>
      </c>
      <c r="R359" s="11" t="s">
        <v>90</v>
      </c>
      <c r="S359" s="11" t="s">
        <v>92</v>
      </c>
      <c r="T359" s="11" t="s">
        <v>89</v>
      </c>
      <c r="U359" s="11" t="s">
        <v>94</v>
      </c>
      <c r="V359" s="11" t="s">
        <v>440</v>
      </c>
      <c r="W359" s="11" t="s">
        <v>442</v>
      </c>
    </row>
    <row r="360" spans="1:23">
      <c r="A360" s="11" t="s">
        <v>886</v>
      </c>
      <c r="B360" s="11">
        <f ca="1">+IF(A360=WORLDCUP!$BI$112,1,0)</f>
        <v>0</v>
      </c>
      <c r="C360" s="11" t="str">
        <f ca="1">+WORLDCUP!BD65</f>
        <v>Uruguay</v>
      </c>
      <c r="D360" s="11" t="str">
        <f ca="1">+WORLDCUP!BD67</f>
        <v>Algeria</v>
      </c>
      <c r="E360" s="11" t="str">
        <f ca="1">+WORLDCUP!BD59</f>
        <v>Bosnia and Herzegovina</v>
      </c>
      <c r="F360" s="11" t="str">
        <f ca="1">+WORLDCUP!BD61</f>
        <v>Paraguay</v>
      </c>
      <c r="G360" s="11" t="str">
        <f ca="1">+WORLDCUP!BD58</f>
        <v>South Korea</v>
      </c>
      <c r="H360" s="11" t="str">
        <f ca="1">+WORLDCUP!BD63</f>
        <v>Sweden</v>
      </c>
      <c r="I360" s="11" t="str">
        <f ca="1">+WORLDCUP!BD62</f>
        <v>Ecuador</v>
      </c>
      <c r="J360" s="11" t="str">
        <f ca="1">+WORLDCUP!BD66</f>
        <v>Senegal</v>
      </c>
      <c r="N360" s="11" t="s">
        <v>886</v>
      </c>
      <c r="O360" s="11">
        <v>359</v>
      </c>
      <c r="P360" s="11" t="s">
        <v>436</v>
      </c>
      <c r="Q360" s="11" t="s">
        <v>441</v>
      </c>
      <c r="R360" s="11" t="s">
        <v>90</v>
      </c>
      <c r="S360" s="11" t="s">
        <v>92</v>
      </c>
      <c r="T360" s="11" t="s">
        <v>89</v>
      </c>
      <c r="U360" s="11" t="s">
        <v>94</v>
      </c>
      <c r="V360" s="11" t="s">
        <v>93</v>
      </c>
      <c r="W360" s="11" t="s">
        <v>440</v>
      </c>
    </row>
    <row r="361" spans="1:23">
      <c r="A361" s="11" t="s">
        <v>885</v>
      </c>
      <c r="B361" s="11">
        <f ca="1">+IF(A361=WORLDCUP!$BI$112,1,0)</f>
        <v>0</v>
      </c>
      <c r="C361" s="11" t="str">
        <f ca="1">+WORLDCUP!BD62</f>
        <v>Ecuador</v>
      </c>
      <c r="D361" s="11" t="str">
        <f ca="1">+WORLDCUP!BD64</f>
        <v>Iran</v>
      </c>
      <c r="E361" s="11" t="str">
        <f ca="1">+WORLDCUP!BD59</f>
        <v>Bosnia and Herzegovina</v>
      </c>
      <c r="F361" s="11" t="str">
        <f ca="1">+WORLDCUP!BD61</f>
        <v>Paraguay</v>
      </c>
      <c r="G361" s="11" t="str">
        <f ca="1">+WORLDCUP!BD58</f>
        <v>South Korea</v>
      </c>
      <c r="H361" s="11" t="str">
        <f ca="1">+WORLDCUP!BD63</f>
        <v>Sweden</v>
      </c>
      <c r="I361" s="11" t="str">
        <f ca="1">+WORLDCUP!BD69</f>
        <v>Ghana</v>
      </c>
      <c r="J361" s="11" t="str">
        <f ca="1">+WORLDCUP!BD68</f>
        <v>DR Congo</v>
      </c>
      <c r="N361" s="11" t="s">
        <v>885</v>
      </c>
      <c r="O361" s="11">
        <v>360</v>
      </c>
      <c r="P361" s="11" t="s">
        <v>93</v>
      </c>
      <c r="Q361" s="11" t="s">
        <v>435</v>
      </c>
      <c r="R361" s="11" t="s">
        <v>90</v>
      </c>
      <c r="S361" s="11" t="s">
        <v>92</v>
      </c>
      <c r="T361" s="11" t="s">
        <v>89</v>
      </c>
      <c r="U361" s="11" t="s">
        <v>94</v>
      </c>
      <c r="V361" s="11" t="s">
        <v>443</v>
      </c>
      <c r="W361" s="11" t="s">
        <v>442</v>
      </c>
    </row>
    <row r="362" spans="1:23">
      <c r="A362" s="11" t="s">
        <v>884</v>
      </c>
      <c r="B362" s="11">
        <f ca="1">+IF(A362=WORLDCUP!$BI$112,1,0)</f>
        <v>0</v>
      </c>
      <c r="C362" s="11" t="str">
        <f ca="1">+WORLDCUP!BD62</f>
        <v>Ecuador</v>
      </c>
      <c r="D362" s="11" t="str">
        <f ca="1">+WORLDCUP!BD64</f>
        <v>Iran</v>
      </c>
      <c r="E362" s="11" t="str">
        <f ca="1">+WORLDCUP!BD59</f>
        <v>Bosnia and Herzegovina</v>
      </c>
      <c r="F362" s="11" t="str">
        <f ca="1">+WORLDCUP!BD61</f>
        <v>Paraguay</v>
      </c>
      <c r="G362" s="11" t="str">
        <f ca="1">+WORLDCUP!BD58</f>
        <v>South Korea</v>
      </c>
      <c r="H362" s="11" t="str">
        <f ca="1">+WORLDCUP!BD63</f>
        <v>Sweden</v>
      </c>
      <c r="I362" s="11" t="str">
        <f ca="1">+WORLDCUP!BD69</f>
        <v>Ghana</v>
      </c>
      <c r="J362" s="11" t="str">
        <f ca="1">+WORLDCUP!BD67</f>
        <v>Algeria</v>
      </c>
      <c r="N362" s="11" t="s">
        <v>884</v>
      </c>
      <c r="O362" s="11">
        <v>361</v>
      </c>
      <c r="P362" s="11" t="s">
        <v>93</v>
      </c>
      <c r="Q362" s="11" t="s">
        <v>435</v>
      </c>
      <c r="R362" s="11" t="s">
        <v>90</v>
      </c>
      <c r="S362" s="11" t="s">
        <v>92</v>
      </c>
      <c r="T362" s="11" t="s">
        <v>89</v>
      </c>
      <c r="U362" s="11" t="s">
        <v>94</v>
      </c>
      <c r="V362" s="11" t="s">
        <v>443</v>
      </c>
      <c r="W362" s="11" t="s">
        <v>441</v>
      </c>
    </row>
    <row r="363" spans="1:23">
      <c r="A363" s="11" t="s">
        <v>883</v>
      </c>
      <c r="B363" s="11">
        <f ca="1">+IF(A363=WORLDCUP!$BI$112,1,0)</f>
        <v>0</v>
      </c>
      <c r="C363" s="11" t="str">
        <f ca="1">+WORLDCUP!BD62</f>
        <v>Ecuador</v>
      </c>
      <c r="D363" s="11" t="str">
        <f ca="1">+WORLDCUP!BD64</f>
        <v>Iran</v>
      </c>
      <c r="E363" s="11" t="str">
        <f ca="1">+WORLDCUP!BD59</f>
        <v>Bosnia and Herzegovina</v>
      </c>
      <c r="F363" s="11" t="str">
        <f ca="1">+WORLDCUP!BD61</f>
        <v>Paraguay</v>
      </c>
      <c r="G363" s="11" t="str">
        <f ca="1">+WORLDCUP!BD58</f>
        <v>South Korea</v>
      </c>
      <c r="H363" s="11" t="str">
        <f ca="1">+WORLDCUP!BD63</f>
        <v>Sweden</v>
      </c>
      <c r="I363" s="11" t="str">
        <f ca="1">+WORLDCUP!BD67</f>
        <v>Algeria</v>
      </c>
      <c r="J363" s="11" t="str">
        <f ca="1">+WORLDCUP!BD68</f>
        <v>DR Congo</v>
      </c>
      <c r="N363" s="11" t="s">
        <v>883</v>
      </c>
      <c r="O363" s="11">
        <v>362</v>
      </c>
      <c r="P363" s="11" t="s">
        <v>93</v>
      </c>
      <c r="Q363" s="11" t="s">
        <v>435</v>
      </c>
      <c r="R363" s="11" t="s">
        <v>90</v>
      </c>
      <c r="S363" s="11" t="s">
        <v>92</v>
      </c>
      <c r="T363" s="11" t="s">
        <v>89</v>
      </c>
      <c r="U363" s="11" t="s">
        <v>94</v>
      </c>
      <c r="V363" s="11" t="s">
        <v>441</v>
      </c>
      <c r="W363" s="11" t="s">
        <v>442</v>
      </c>
    </row>
    <row r="364" spans="1:23">
      <c r="A364" s="11" t="s">
        <v>882</v>
      </c>
      <c r="B364" s="11">
        <f ca="1">+IF(A364=WORLDCUP!$BI$112,1,0)</f>
        <v>0</v>
      </c>
      <c r="C364" s="11" t="str">
        <f ca="1">+WORLDCUP!BD62</f>
        <v>Ecuador</v>
      </c>
      <c r="D364" s="11" t="str">
        <f ca="1">+WORLDCUP!BD64</f>
        <v>Iran</v>
      </c>
      <c r="E364" s="11" t="str">
        <f ca="1">+WORLDCUP!BD59</f>
        <v>Bosnia and Herzegovina</v>
      </c>
      <c r="F364" s="11" t="str">
        <f ca="1">+WORLDCUP!BD61</f>
        <v>Paraguay</v>
      </c>
      <c r="G364" s="11" t="str">
        <f ca="1">+WORLDCUP!BD58</f>
        <v>South Korea</v>
      </c>
      <c r="H364" s="11" t="str">
        <f ca="1">+WORLDCUP!BD63</f>
        <v>Sweden</v>
      </c>
      <c r="I364" s="11" t="str">
        <f ca="1">+WORLDCUP!BD69</f>
        <v>Ghana</v>
      </c>
      <c r="J364" s="11" t="str">
        <f ca="1">+WORLDCUP!BD66</f>
        <v>Senegal</v>
      </c>
      <c r="N364" s="11" t="s">
        <v>882</v>
      </c>
      <c r="O364" s="11">
        <v>363</v>
      </c>
      <c r="P364" s="11" t="s">
        <v>93</v>
      </c>
      <c r="Q364" s="11" t="s">
        <v>435</v>
      </c>
      <c r="R364" s="11" t="s">
        <v>90</v>
      </c>
      <c r="S364" s="11" t="s">
        <v>92</v>
      </c>
      <c r="T364" s="11" t="s">
        <v>89</v>
      </c>
      <c r="U364" s="11" t="s">
        <v>94</v>
      </c>
      <c r="V364" s="11" t="s">
        <v>443</v>
      </c>
      <c r="W364" s="11" t="s">
        <v>440</v>
      </c>
    </row>
    <row r="365" spans="1:23">
      <c r="A365" s="11" t="s">
        <v>881</v>
      </c>
      <c r="B365" s="11">
        <f ca="1">+IF(A365=WORLDCUP!$BI$112,1,0)</f>
        <v>0</v>
      </c>
      <c r="C365" s="11" t="str">
        <f ca="1">+WORLDCUP!BD62</f>
        <v>Ecuador</v>
      </c>
      <c r="D365" s="11" t="str">
        <f ca="1">+WORLDCUP!BD64</f>
        <v>Iran</v>
      </c>
      <c r="E365" s="11" t="str">
        <f ca="1">+WORLDCUP!BD59</f>
        <v>Bosnia and Herzegovina</v>
      </c>
      <c r="F365" s="11" t="str">
        <f ca="1">+WORLDCUP!BD61</f>
        <v>Paraguay</v>
      </c>
      <c r="G365" s="11" t="str">
        <f ca="1">+WORLDCUP!BD58</f>
        <v>South Korea</v>
      </c>
      <c r="H365" s="11" t="str">
        <f ca="1">+WORLDCUP!BD63</f>
        <v>Sweden</v>
      </c>
      <c r="I365" s="11" t="str">
        <f ca="1">+WORLDCUP!BD66</f>
        <v>Senegal</v>
      </c>
      <c r="J365" s="11" t="str">
        <f ca="1">+WORLDCUP!BD68</f>
        <v>DR Congo</v>
      </c>
      <c r="N365" s="11" t="s">
        <v>881</v>
      </c>
      <c r="O365" s="11">
        <v>364</v>
      </c>
      <c r="P365" s="11" t="s">
        <v>93</v>
      </c>
      <c r="Q365" s="11" t="s">
        <v>435</v>
      </c>
      <c r="R365" s="11" t="s">
        <v>90</v>
      </c>
      <c r="S365" s="11" t="s">
        <v>92</v>
      </c>
      <c r="T365" s="11" t="s">
        <v>89</v>
      </c>
      <c r="U365" s="11" t="s">
        <v>94</v>
      </c>
      <c r="V365" s="11" t="s">
        <v>440</v>
      </c>
      <c r="W365" s="11" t="s">
        <v>442</v>
      </c>
    </row>
    <row r="366" spans="1:23">
      <c r="A366" s="11" t="s">
        <v>880</v>
      </c>
      <c r="B366" s="11">
        <f ca="1">+IF(A366=WORLDCUP!$BI$112,1,0)</f>
        <v>0</v>
      </c>
      <c r="C366" s="11" t="str">
        <f ca="1">+WORLDCUP!BD62</f>
        <v>Ecuador</v>
      </c>
      <c r="D366" s="11" t="str">
        <f ca="1">+WORLDCUP!BD64</f>
        <v>Iran</v>
      </c>
      <c r="E366" s="11" t="str">
        <f ca="1">+WORLDCUP!BD59</f>
        <v>Bosnia and Herzegovina</v>
      </c>
      <c r="F366" s="11" t="str">
        <f ca="1">+WORLDCUP!BD61</f>
        <v>Paraguay</v>
      </c>
      <c r="G366" s="11" t="str">
        <f ca="1">+WORLDCUP!BD58</f>
        <v>South Korea</v>
      </c>
      <c r="H366" s="11" t="str">
        <f ca="1">+WORLDCUP!BD63</f>
        <v>Sweden</v>
      </c>
      <c r="I366" s="11" t="str">
        <f ca="1">+WORLDCUP!BD66</f>
        <v>Senegal</v>
      </c>
      <c r="J366" s="11" t="str">
        <f ca="1">+WORLDCUP!BD67</f>
        <v>Algeria</v>
      </c>
      <c r="N366" s="11" t="s">
        <v>880</v>
      </c>
      <c r="O366" s="11">
        <v>365</v>
      </c>
      <c r="P366" s="11" t="s">
        <v>93</v>
      </c>
      <c r="Q366" s="11" t="s">
        <v>435</v>
      </c>
      <c r="R366" s="11" t="s">
        <v>90</v>
      </c>
      <c r="S366" s="11" t="s">
        <v>92</v>
      </c>
      <c r="T366" s="11" t="s">
        <v>89</v>
      </c>
      <c r="U366" s="11" t="s">
        <v>94</v>
      </c>
      <c r="V366" s="11" t="s">
        <v>440</v>
      </c>
      <c r="W366" s="11" t="s">
        <v>441</v>
      </c>
    </row>
    <row r="367" spans="1:23">
      <c r="A367" s="11" t="s">
        <v>879</v>
      </c>
      <c r="B367" s="11">
        <f ca="1">+IF(A367=WORLDCUP!$BI$112,1,0)</f>
        <v>0</v>
      </c>
      <c r="C367" s="11" t="str">
        <f ca="1">+WORLDCUP!BD65</f>
        <v>Uruguay</v>
      </c>
      <c r="D367" s="11" t="str">
        <f ca="1">+WORLDCUP!BD64</f>
        <v>Iran</v>
      </c>
      <c r="E367" s="11" t="str">
        <f ca="1">+WORLDCUP!BD59</f>
        <v>Bosnia and Herzegovina</v>
      </c>
      <c r="F367" s="11" t="str">
        <f ca="1">+WORLDCUP!BD61</f>
        <v>Paraguay</v>
      </c>
      <c r="G367" s="11" t="str">
        <f ca="1">+WORLDCUP!BD58</f>
        <v>South Korea</v>
      </c>
      <c r="H367" s="11" t="str">
        <f ca="1">+WORLDCUP!BD63</f>
        <v>Sweden</v>
      </c>
      <c r="I367" s="11" t="str">
        <f ca="1">+WORLDCUP!BD69</f>
        <v>Ghana</v>
      </c>
      <c r="J367" s="11" t="str">
        <f ca="1">+WORLDCUP!BD62</f>
        <v>Ecuador</v>
      </c>
      <c r="N367" s="11" t="s">
        <v>879</v>
      </c>
      <c r="O367" s="11">
        <v>366</v>
      </c>
      <c r="P367" s="11" t="s">
        <v>436</v>
      </c>
      <c r="Q367" s="11" t="s">
        <v>435</v>
      </c>
      <c r="R367" s="11" t="s">
        <v>90</v>
      </c>
      <c r="S367" s="11" t="s">
        <v>92</v>
      </c>
      <c r="T367" s="11" t="s">
        <v>89</v>
      </c>
      <c r="U367" s="11" t="s">
        <v>94</v>
      </c>
      <c r="V367" s="11" t="s">
        <v>443</v>
      </c>
      <c r="W367" s="11" t="s">
        <v>93</v>
      </c>
    </row>
    <row r="368" spans="1:23">
      <c r="A368" s="11" t="s">
        <v>878</v>
      </c>
      <c r="B368" s="11">
        <f ca="1">+IF(A368=WORLDCUP!$BI$112,1,0)</f>
        <v>0</v>
      </c>
      <c r="C368" s="11" t="str">
        <f ca="1">+WORLDCUP!BD65</f>
        <v>Uruguay</v>
      </c>
      <c r="D368" s="11" t="str">
        <f ca="1">+WORLDCUP!BD64</f>
        <v>Iran</v>
      </c>
      <c r="E368" s="11" t="str">
        <f ca="1">+WORLDCUP!BD59</f>
        <v>Bosnia and Herzegovina</v>
      </c>
      <c r="F368" s="11" t="str">
        <f ca="1">+WORLDCUP!BD61</f>
        <v>Paraguay</v>
      </c>
      <c r="G368" s="11" t="str">
        <f ca="1">+WORLDCUP!BD58</f>
        <v>South Korea</v>
      </c>
      <c r="H368" s="11" t="str">
        <f ca="1">+WORLDCUP!BD63</f>
        <v>Sweden</v>
      </c>
      <c r="I368" s="11" t="str">
        <f ca="1">+WORLDCUP!BD62</f>
        <v>Ecuador</v>
      </c>
      <c r="J368" s="11" t="str">
        <f ca="1">+WORLDCUP!BD68</f>
        <v>DR Congo</v>
      </c>
      <c r="N368" s="11" t="s">
        <v>878</v>
      </c>
      <c r="O368" s="11">
        <v>367</v>
      </c>
      <c r="P368" s="11" t="s">
        <v>436</v>
      </c>
      <c r="Q368" s="11" t="s">
        <v>435</v>
      </c>
      <c r="R368" s="11" t="s">
        <v>90</v>
      </c>
      <c r="S368" s="11" t="s">
        <v>92</v>
      </c>
      <c r="T368" s="11" t="s">
        <v>89</v>
      </c>
      <c r="U368" s="11" t="s">
        <v>94</v>
      </c>
      <c r="V368" s="11" t="s">
        <v>93</v>
      </c>
      <c r="W368" s="11" t="s">
        <v>442</v>
      </c>
    </row>
    <row r="369" spans="1:23">
      <c r="A369" s="11" t="s">
        <v>877</v>
      </c>
      <c r="B369" s="11">
        <f ca="1">+IF(A369=WORLDCUP!$BI$112,1,0)</f>
        <v>0</v>
      </c>
      <c r="C369" s="11" t="str">
        <f ca="1">+WORLDCUP!BD65</f>
        <v>Uruguay</v>
      </c>
      <c r="D369" s="11" t="str">
        <f ca="1">+WORLDCUP!BD64</f>
        <v>Iran</v>
      </c>
      <c r="E369" s="11" t="str">
        <f ca="1">+WORLDCUP!BD59</f>
        <v>Bosnia and Herzegovina</v>
      </c>
      <c r="F369" s="11" t="str">
        <f ca="1">+WORLDCUP!BD61</f>
        <v>Paraguay</v>
      </c>
      <c r="G369" s="11" t="str">
        <f ca="1">+WORLDCUP!BD58</f>
        <v>South Korea</v>
      </c>
      <c r="H369" s="11" t="str">
        <f ca="1">+WORLDCUP!BD63</f>
        <v>Sweden</v>
      </c>
      <c r="I369" s="11" t="str">
        <f ca="1">+WORLDCUP!BD62</f>
        <v>Ecuador</v>
      </c>
      <c r="J369" s="11" t="str">
        <f ca="1">+WORLDCUP!BD67</f>
        <v>Algeria</v>
      </c>
      <c r="N369" s="11" t="s">
        <v>877</v>
      </c>
      <c r="O369" s="11">
        <v>368</v>
      </c>
      <c r="P369" s="11" t="s">
        <v>436</v>
      </c>
      <c r="Q369" s="11" t="s">
        <v>435</v>
      </c>
      <c r="R369" s="11" t="s">
        <v>90</v>
      </c>
      <c r="S369" s="11" t="s">
        <v>92</v>
      </c>
      <c r="T369" s="11" t="s">
        <v>89</v>
      </c>
      <c r="U369" s="11" t="s">
        <v>94</v>
      </c>
      <c r="V369" s="11" t="s">
        <v>93</v>
      </c>
      <c r="W369" s="11" t="s">
        <v>441</v>
      </c>
    </row>
    <row r="370" spans="1:23">
      <c r="A370" s="11" t="s">
        <v>876</v>
      </c>
      <c r="B370" s="11">
        <f ca="1">+IF(A370=WORLDCUP!$BI$112,1,0)</f>
        <v>0</v>
      </c>
      <c r="C370" s="11" t="str">
        <f ca="1">+WORLDCUP!BD65</f>
        <v>Uruguay</v>
      </c>
      <c r="D370" s="11" t="str">
        <f ca="1">+WORLDCUP!BD64</f>
        <v>Iran</v>
      </c>
      <c r="E370" s="11" t="str">
        <f ca="1">+WORLDCUP!BD59</f>
        <v>Bosnia and Herzegovina</v>
      </c>
      <c r="F370" s="11" t="str">
        <f ca="1">+WORLDCUP!BD61</f>
        <v>Paraguay</v>
      </c>
      <c r="G370" s="11" t="str">
        <f ca="1">+WORLDCUP!BD58</f>
        <v>South Korea</v>
      </c>
      <c r="H370" s="11" t="str">
        <f ca="1">+WORLDCUP!BD63</f>
        <v>Sweden</v>
      </c>
      <c r="I370" s="11" t="str">
        <f ca="1">+WORLDCUP!BD62</f>
        <v>Ecuador</v>
      </c>
      <c r="J370" s="11" t="str">
        <f ca="1">+WORLDCUP!BD66</f>
        <v>Senegal</v>
      </c>
      <c r="N370" s="11" t="s">
        <v>876</v>
      </c>
      <c r="O370" s="11">
        <v>369</v>
      </c>
      <c r="P370" s="11" t="s">
        <v>436</v>
      </c>
      <c r="Q370" s="11" t="s">
        <v>435</v>
      </c>
      <c r="R370" s="11" t="s">
        <v>90</v>
      </c>
      <c r="S370" s="11" t="s">
        <v>92</v>
      </c>
      <c r="T370" s="11" t="s">
        <v>89</v>
      </c>
      <c r="U370" s="11" t="s">
        <v>94</v>
      </c>
      <c r="V370" s="11" t="s">
        <v>93</v>
      </c>
      <c r="W370" s="11" t="s">
        <v>440</v>
      </c>
    </row>
    <row r="371" spans="1:23">
      <c r="A371" s="11" t="s">
        <v>875</v>
      </c>
      <c r="B371" s="11">
        <f ca="1">+IF(A371=WORLDCUP!$BI$112,1,0)</f>
        <v>0</v>
      </c>
      <c r="C371" s="11" t="str">
        <f ca="1">+WORLDCUP!BD66</f>
        <v>Senegal</v>
      </c>
      <c r="D371" s="11" t="str">
        <f ca="1">+WORLDCUP!BD67</f>
        <v>Algeria</v>
      </c>
      <c r="E371" s="11" t="str">
        <f ca="1">+WORLDCUP!BD59</f>
        <v>Bosnia and Herzegovina</v>
      </c>
      <c r="F371" s="11" t="str">
        <f ca="1">+WORLDCUP!BD60</f>
        <v>Scotland</v>
      </c>
      <c r="G371" s="11" t="str">
        <f ca="1">+WORLDCUP!BD58</f>
        <v>South Korea</v>
      </c>
      <c r="H371" s="11" t="str">
        <f ca="1">+WORLDCUP!BD65</f>
        <v>Uruguay</v>
      </c>
      <c r="I371" s="11" t="str">
        <f ca="1">+WORLDCUP!BD69</f>
        <v>Ghana</v>
      </c>
      <c r="J371" s="11" t="str">
        <f ca="1">+WORLDCUP!BD68</f>
        <v>DR Congo</v>
      </c>
      <c r="N371" s="11" t="s">
        <v>875</v>
      </c>
      <c r="O371" s="11">
        <v>370</v>
      </c>
      <c r="P371" s="11" t="s">
        <v>440</v>
      </c>
      <c r="Q371" s="11" t="s">
        <v>441</v>
      </c>
      <c r="R371" s="11" t="s">
        <v>90</v>
      </c>
      <c r="S371" s="11" t="s">
        <v>91</v>
      </c>
      <c r="T371" s="11" t="s">
        <v>89</v>
      </c>
      <c r="U371" s="11" t="s">
        <v>436</v>
      </c>
      <c r="V371" s="11" t="s">
        <v>443</v>
      </c>
      <c r="W371" s="11" t="s">
        <v>442</v>
      </c>
    </row>
    <row r="372" spans="1:23">
      <c r="A372" s="11" t="s">
        <v>874</v>
      </c>
      <c r="B372" s="11">
        <f ca="1">+IF(A372=WORLDCUP!$BI$112,1,0)</f>
        <v>0</v>
      </c>
      <c r="C372" s="11" t="str">
        <f ca="1">+WORLDCUP!BD66</f>
        <v>Senegal</v>
      </c>
      <c r="D372" s="11" t="str">
        <f ca="1">+WORLDCUP!BD67</f>
        <v>Algeria</v>
      </c>
      <c r="E372" s="11" t="str">
        <f ca="1">+WORLDCUP!BD59</f>
        <v>Bosnia and Herzegovina</v>
      </c>
      <c r="F372" s="11" t="str">
        <f ca="1">+WORLDCUP!BD60</f>
        <v>Scotland</v>
      </c>
      <c r="G372" s="11" t="str">
        <f ca="1">+WORLDCUP!BD58</f>
        <v>South Korea</v>
      </c>
      <c r="H372" s="11" t="str">
        <f ca="1">+WORLDCUP!BD64</f>
        <v>Iran</v>
      </c>
      <c r="I372" s="11" t="str">
        <f ca="1">+WORLDCUP!BD69</f>
        <v>Ghana</v>
      </c>
      <c r="J372" s="11" t="str">
        <f ca="1">+WORLDCUP!BD68</f>
        <v>DR Congo</v>
      </c>
      <c r="N372" s="11" t="s">
        <v>874</v>
      </c>
      <c r="O372" s="11">
        <v>371</v>
      </c>
      <c r="P372" s="11" t="s">
        <v>440</v>
      </c>
      <c r="Q372" s="11" t="s">
        <v>441</v>
      </c>
      <c r="R372" s="11" t="s">
        <v>90</v>
      </c>
      <c r="S372" s="11" t="s">
        <v>91</v>
      </c>
      <c r="T372" s="11" t="s">
        <v>89</v>
      </c>
      <c r="U372" s="11" t="s">
        <v>435</v>
      </c>
      <c r="V372" s="11" t="s">
        <v>443</v>
      </c>
      <c r="W372" s="11" t="s">
        <v>442</v>
      </c>
    </row>
    <row r="373" spans="1:23">
      <c r="A373" s="11" t="s">
        <v>873</v>
      </c>
      <c r="B373" s="11">
        <f ca="1">+IF(A373=WORLDCUP!$BI$112,1,0)</f>
        <v>0</v>
      </c>
      <c r="C373" s="11" t="str">
        <f ca="1">+WORLDCUP!BD65</f>
        <v>Uruguay</v>
      </c>
      <c r="D373" s="11" t="str">
        <f ca="1">+WORLDCUP!BD67</f>
        <v>Algeria</v>
      </c>
      <c r="E373" s="11" t="str">
        <f ca="1">+WORLDCUP!BD59</f>
        <v>Bosnia and Herzegovina</v>
      </c>
      <c r="F373" s="11" t="str">
        <f ca="1">+WORLDCUP!BD60</f>
        <v>Scotland</v>
      </c>
      <c r="G373" s="11" t="str">
        <f ca="1">+WORLDCUP!BD58</f>
        <v>South Korea</v>
      </c>
      <c r="H373" s="11" t="str">
        <f ca="1">+WORLDCUP!BD64</f>
        <v>Iran</v>
      </c>
      <c r="I373" s="11" t="str">
        <f ca="1">+WORLDCUP!BD69</f>
        <v>Ghana</v>
      </c>
      <c r="J373" s="11" t="str">
        <f ca="1">+WORLDCUP!BD68</f>
        <v>DR Congo</v>
      </c>
      <c r="N373" s="11" t="s">
        <v>873</v>
      </c>
      <c r="O373" s="11">
        <v>372</v>
      </c>
      <c r="P373" s="11" t="s">
        <v>436</v>
      </c>
      <c r="Q373" s="11" t="s">
        <v>441</v>
      </c>
      <c r="R373" s="11" t="s">
        <v>90</v>
      </c>
      <c r="S373" s="11" t="s">
        <v>91</v>
      </c>
      <c r="T373" s="11" t="s">
        <v>89</v>
      </c>
      <c r="U373" s="11" t="s">
        <v>435</v>
      </c>
      <c r="V373" s="11" t="s">
        <v>443</v>
      </c>
      <c r="W373" s="11" t="s">
        <v>442</v>
      </c>
    </row>
    <row r="374" spans="1:23">
      <c r="A374" s="11" t="s">
        <v>872</v>
      </c>
      <c r="B374" s="11">
        <f ca="1">+IF(A374=WORLDCUP!$BI$112,1,0)</f>
        <v>0</v>
      </c>
      <c r="C374" s="11" t="str">
        <f ca="1">+WORLDCUP!BD66</f>
        <v>Senegal</v>
      </c>
      <c r="D374" s="11" t="str">
        <f ca="1">+WORLDCUP!BD64</f>
        <v>Iran</v>
      </c>
      <c r="E374" s="11" t="str">
        <f ca="1">+WORLDCUP!BD59</f>
        <v>Bosnia and Herzegovina</v>
      </c>
      <c r="F374" s="11" t="str">
        <f ca="1">+WORLDCUP!BD60</f>
        <v>Scotland</v>
      </c>
      <c r="G374" s="11" t="str">
        <f ca="1">+WORLDCUP!BD58</f>
        <v>South Korea</v>
      </c>
      <c r="H374" s="11" t="str">
        <f ca="1">+WORLDCUP!BD65</f>
        <v>Uruguay</v>
      </c>
      <c r="I374" s="11" t="str">
        <f ca="1">+WORLDCUP!BD69</f>
        <v>Ghana</v>
      </c>
      <c r="J374" s="11" t="str">
        <f ca="1">+WORLDCUP!BD68</f>
        <v>DR Congo</v>
      </c>
      <c r="N374" s="11" t="s">
        <v>872</v>
      </c>
      <c r="O374" s="11">
        <v>373</v>
      </c>
      <c r="P374" s="11" t="s">
        <v>440</v>
      </c>
      <c r="Q374" s="11" t="s">
        <v>435</v>
      </c>
      <c r="R374" s="11" t="s">
        <v>90</v>
      </c>
      <c r="S374" s="11" t="s">
        <v>91</v>
      </c>
      <c r="T374" s="11" t="s">
        <v>89</v>
      </c>
      <c r="U374" s="11" t="s">
        <v>436</v>
      </c>
      <c r="V374" s="11" t="s">
        <v>443</v>
      </c>
      <c r="W374" s="11" t="s">
        <v>442</v>
      </c>
    </row>
    <row r="375" spans="1:23">
      <c r="A375" s="11" t="s">
        <v>871</v>
      </c>
      <c r="B375" s="11">
        <f ca="1">+IF(A375=WORLDCUP!$BI$112,1,0)</f>
        <v>0</v>
      </c>
      <c r="C375" s="11" t="str">
        <f ca="1">+WORLDCUP!BD65</f>
        <v>Uruguay</v>
      </c>
      <c r="D375" s="11" t="str">
        <f ca="1">+WORLDCUP!BD67</f>
        <v>Algeria</v>
      </c>
      <c r="E375" s="11" t="str">
        <f ca="1">+WORLDCUP!BD59</f>
        <v>Bosnia and Herzegovina</v>
      </c>
      <c r="F375" s="11" t="str">
        <f ca="1">+WORLDCUP!BD60</f>
        <v>Scotland</v>
      </c>
      <c r="G375" s="11" t="str">
        <f ca="1">+WORLDCUP!BD58</f>
        <v>South Korea</v>
      </c>
      <c r="H375" s="11" t="str">
        <f ca="1">+WORLDCUP!BD64</f>
        <v>Iran</v>
      </c>
      <c r="I375" s="11" t="str">
        <f ca="1">+WORLDCUP!BD69</f>
        <v>Ghana</v>
      </c>
      <c r="J375" s="11" t="str">
        <f ca="1">+WORLDCUP!BD66</f>
        <v>Senegal</v>
      </c>
      <c r="N375" s="11" t="s">
        <v>871</v>
      </c>
      <c r="O375" s="11">
        <v>374</v>
      </c>
      <c r="P375" s="11" t="s">
        <v>436</v>
      </c>
      <c r="Q375" s="11" t="s">
        <v>441</v>
      </c>
      <c r="R375" s="11" t="s">
        <v>90</v>
      </c>
      <c r="S375" s="11" t="s">
        <v>91</v>
      </c>
      <c r="T375" s="11" t="s">
        <v>89</v>
      </c>
      <c r="U375" s="11" t="s">
        <v>435</v>
      </c>
      <c r="V375" s="11" t="s">
        <v>443</v>
      </c>
      <c r="W375" s="11" t="s">
        <v>440</v>
      </c>
    </row>
    <row r="376" spans="1:23">
      <c r="A376" s="11" t="s">
        <v>870</v>
      </c>
      <c r="B376" s="11">
        <f ca="1">+IF(A376=WORLDCUP!$BI$112,1,0)</f>
        <v>0</v>
      </c>
      <c r="C376" s="11" t="str">
        <f ca="1">+WORLDCUP!BD65</f>
        <v>Uruguay</v>
      </c>
      <c r="D376" s="11" t="str">
        <f ca="1">+WORLDCUP!BD67</f>
        <v>Algeria</v>
      </c>
      <c r="E376" s="11" t="str">
        <f ca="1">+WORLDCUP!BD59</f>
        <v>Bosnia and Herzegovina</v>
      </c>
      <c r="F376" s="11" t="str">
        <f ca="1">+WORLDCUP!BD60</f>
        <v>Scotland</v>
      </c>
      <c r="G376" s="11" t="str">
        <f ca="1">+WORLDCUP!BD58</f>
        <v>South Korea</v>
      </c>
      <c r="H376" s="11" t="str">
        <f ca="1">+WORLDCUP!BD64</f>
        <v>Iran</v>
      </c>
      <c r="I376" s="11" t="str">
        <f ca="1">+WORLDCUP!BD66</f>
        <v>Senegal</v>
      </c>
      <c r="J376" s="11" t="str">
        <f ca="1">+WORLDCUP!BD68</f>
        <v>DR Congo</v>
      </c>
      <c r="N376" s="11" t="s">
        <v>870</v>
      </c>
      <c r="O376" s="11">
        <v>375</v>
      </c>
      <c r="P376" s="11" t="s">
        <v>436</v>
      </c>
      <c r="Q376" s="11" t="s">
        <v>441</v>
      </c>
      <c r="R376" s="11" t="s">
        <v>90</v>
      </c>
      <c r="S376" s="11" t="s">
        <v>91</v>
      </c>
      <c r="T376" s="11" t="s">
        <v>89</v>
      </c>
      <c r="U376" s="11" t="s">
        <v>435</v>
      </c>
      <c r="V376" s="11" t="s">
        <v>440</v>
      </c>
      <c r="W376" s="11" t="s">
        <v>442</v>
      </c>
    </row>
    <row r="377" spans="1:23">
      <c r="A377" s="11" t="s">
        <v>869</v>
      </c>
      <c r="B377" s="11">
        <f ca="1">+IF(A377=WORLDCUP!$BI$112,1,0)</f>
        <v>0</v>
      </c>
      <c r="C377" s="11" t="str">
        <f ca="1">+WORLDCUP!BD66</f>
        <v>Senegal</v>
      </c>
      <c r="D377" s="11" t="str">
        <f ca="1">+WORLDCUP!BD67</f>
        <v>Algeria</v>
      </c>
      <c r="E377" s="11" t="str">
        <f ca="1">+WORLDCUP!BD59</f>
        <v>Bosnia and Herzegovina</v>
      </c>
      <c r="F377" s="11" t="str">
        <f ca="1">+WORLDCUP!BD60</f>
        <v>Scotland</v>
      </c>
      <c r="G377" s="11" t="str">
        <f ca="1">+WORLDCUP!BD58</f>
        <v>South Korea</v>
      </c>
      <c r="H377" s="11" t="str">
        <f ca="1">+WORLDCUP!BD63</f>
        <v>Sweden</v>
      </c>
      <c r="I377" s="11" t="str">
        <f ca="1">+WORLDCUP!BD69</f>
        <v>Ghana</v>
      </c>
      <c r="J377" s="11" t="str">
        <f ca="1">+WORLDCUP!BD68</f>
        <v>DR Congo</v>
      </c>
      <c r="N377" s="11" t="s">
        <v>869</v>
      </c>
      <c r="O377" s="11">
        <v>376</v>
      </c>
      <c r="P377" s="11" t="s">
        <v>440</v>
      </c>
      <c r="Q377" s="11" t="s">
        <v>441</v>
      </c>
      <c r="R377" s="11" t="s">
        <v>90</v>
      </c>
      <c r="S377" s="11" t="s">
        <v>91</v>
      </c>
      <c r="T377" s="11" t="s">
        <v>89</v>
      </c>
      <c r="U377" s="11" t="s">
        <v>94</v>
      </c>
      <c r="V377" s="11" t="s">
        <v>443</v>
      </c>
      <c r="W377" s="11" t="s">
        <v>442</v>
      </c>
    </row>
    <row r="378" spans="1:23">
      <c r="A378" s="11" t="s">
        <v>868</v>
      </c>
      <c r="B378" s="11">
        <f ca="1">+IF(A378=WORLDCUP!$BI$112,1,0)</f>
        <v>0</v>
      </c>
      <c r="C378" s="11" t="str">
        <f ca="1">+WORLDCUP!BD65</f>
        <v>Uruguay</v>
      </c>
      <c r="D378" s="11" t="str">
        <f ca="1">+WORLDCUP!BD67</f>
        <v>Algeria</v>
      </c>
      <c r="E378" s="11" t="str">
        <f ca="1">+WORLDCUP!BD59</f>
        <v>Bosnia and Herzegovina</v>
      </c>
      <c r="F378" s="11" t="str">
        <f ca="1">+WORLDCUP!BD60</f>
        <v>Scotland</v>
      </c>
      <c r="G378" s="11" t="str">
        <f ca="1">+WORLDCUP!BD58</f>
        <v>South Korea</v>
      </c>
      <c r="H378" s="11" t="str">
        <f ca="1">+WORLDCUP!BD63</f>
        <v>Sweden</v>
      </c>
      <c r="I378" s="11" t="str">
        <f ca="1">+WORLDCUP!BD69</f>
        <v>Ghana</v>
      </c>
      <c r="J378" s="11" t="str">
        <f ca="1">+WORLDCUP!BD68</f>
        <v>DR Congo</v>
      </c>
      <c r="N378" s="11" t="s">
        <v>868</v>
      </c>
      <c r="O378" s="11">
        <v>377</v>
      </c>
      <c r="P378" s="11" t="s">
        <v>436</v>
      </c>
      <c r="Q378" s="11" t="s">
        <v>441</v>
      </c>
      <c r="R378" s="11" t="s">
        <v>90</v>
      </c>
      <c r="S378" s="11" t="s">
        <v>91</v>
      </c>
      <c r="T378" s="11" t="s">
        <v>89</v>
      </c>
      <c r="U378" s="11" t="s">
        <v>94</v>
      </c>
      <c r="V378" s="11" t="s">
        <v>443</v>
      </c>
      <c r="W378" s="11" t="s">
        <v>442</v>
      </c>
    </row>
    <row r="379" spans="1:23">
      <c r="A379" s="11" t="s">
        <v>867</v>
      </c>
      <c r="B379" s="11">
        <f ca="1">+IF(A379=WORLDCUP!$BI$112,1,0)</f>
        <v>0</v>
      </c>
      <c r="C379" s="11" t="str">
        <f ca="1">+WORLDCUP!BD65</f>
        <v>Uruguay</v>
      </c>
      <c r="D379" s="11" t="str">
        <f ca="1">+WORLDCUP!BD66</f>
        <v>Senegal</v>
      </c>
      <c r="E379" s="11" t="str">
        <f ca="1">+WORLDCUP!BD59</f>
        <v>Bosnia and Herzegovina</v>
      </c>
      <c r="F379" s="11" t="str">
        <f ca="1">+WORLDCUP!BD60</f>
        <v>Scotland</v>
      </c>
      <c r="G379" s="11" t="str">
        <f ca="1">+WORLDCUP!BD58</f>
        <v>South Korea</v>
      </c>
      <c r="H379" s="11" t="str">
        <f ca="1">+WORLDCUP!BD63</f>
        <v>Sweden</v>
      </c>
      <c r="I379" s="11" t="str">
        <f ca="1">+WORLDCUP!BD69</f>
        <v>Ghana</v>
      </c>
      <c r="J379" s="11" t="str">
        <f ca="1">+WORLDCUP!BD68</f>
        <v>DR Congo</v>
      </c>
      <c r="N379" s="11" t="s">
        <v>867</v>
      </c>
      <c r="O379" s="11">
        <v>378</v>
      </c>
      <c r="P379" s="11" t="s">
        <v>436</v>
      </c>
      <c r="Q379" s="11" t="s">
        <v>440</v>
      </c>
      <c r="R379" s="11" t="s">
        <v>90</v>
      </c>
      <c r="S379" s="11" t="s">
        <v>91</v>
      </c>
      <c r="T379" s="11" t="s">
        <v>89</v>
      </c>
      <c r="U379" s="11" t="s">
        <v>94</v>
      </c>
      <c r="V379" s="11" t="s">
        <v>443</v>
      </c>
      <c r="W379" s="11" t="s">
        <v>442</v>
      </c>
    </row>
    <row r="380" spans="1:23">
      <c r="A380" s="11" t="s">
        <v>866</v>
      </c>
      <c r="B380" s="11">
        <f ca="1">+IF(A380=WORLDCUP!$BI$112,1,0)</f>
        <v>0</v>
      </c>
      <c r="C380" s="11" t="str">
        <f ca="1">+WORLDCUP!BD65</f>
        <v>Uruguay</v>
      </c>
      <c r="D380" s="11" t="str">
        <f ca="1">+WORLDCUP!BD67</f>
        <v>Algeria</v>
      </c>
      <c r="E380" s="11" t="str">
        <f ca="1">+WORLDCUP!BD59</f>
        <v>Bosnia and Herzegovina</v>
      </c>
      <c r="F380" s="11" t="str">
        <f ca="1">+WORLDCUP!BD60</f>
        <v>Scotland</v>
      </c>
      <c r="G380" s="11" t="str">
        <f ca="1">+WORLDCUP!BD58</f>
        <v>South Korea</v>
      </c>
      <c r="H380" s="11" t="str">
        <f ca="1">+WORLDCUP!BD63</f>
        <v>Sweden</v>
      </c>
      <c r="I380" s="11" t="str">
        <f ca="1">+WORLDCUP!BD69</f>
        <v>Ghana</v>
      </c>
      <c r="J380" s="11" t="str">
        <f ca="1">+WORLDCUP!BD66</f>
        <v>Senegal</v>
      </c>
      <c r="N380" s="11" t="s">
        <v>866</v>
      </c>
      <c r="O380" s="11">
        <v>379</v>
      </c>
      <c r="P380" s="11" t="s">
        <v>436</v>
      </c>
      <c r="Q380" s="11" t="s">
        <v>441</v>
      </c>
      <c r="R380" s="11" t="s">
        <v>90</v>
      </c>
      <c r="S380" s="11" t="s">
        <v>91</v>
      </c>
      <c r="T380" s="11" t="s">
        <v>89</v>
      </c>
      <c r="U380" s="11" t="s">
        <v>94</v>
      </c>
      <c r="V380" s="11" t="s">
        <v>443</v>
      </c>
      <c r="W380" s="11" t="s">
        <v>440</v>
      </c>
    </row>
    <row r="381" spans="1:23">
      <c r="A381" s="11" t="s">
        <v>865</v>
      </c>
      <c r="B381" s="11">
        <f ca="1">+IF(A381=WORLDCUP!$BI$112,1,0)</f>
        <v>0</v>
      </c>
      <c r="C381" s="11" t="str">
        <f ca="1">+WORLDCUP!BD65</f>
        <v>Uruguay</v>
      </c>
      <c r="D381" s="11" t="str">
        <f ca="1">+WORLDCUP!BD67</f>
        <v>Algeria</v>
      </c>
      <c r="E381" s="11" t="str">
        <f ca="1">+WORLDCUP!BD59</f>
        <v>Bosnia and Herzegovina</v>
      </c>
      <c r="F381" s="11" t="str">
        <f ca="1">+WORLDCUP!BD60</f>
        <v>Scotland</v>
      </c>
      <c r="G381" s="11" t="str">
        <f ca="1">+WORLDCUP!BD58</f>
        <v>South Korea</v>
      </c>
      <c r="H381" s="11" t="str">
        <f ca="1">+WORLDCUP!BD63</f>
        <v>Sweden</v>
      </c>
      <c r="I381" s="11" t="str">
        <f ca="1">+WORLDCUP!BD66</f>
        <v>Senegal</v>
      </c>
      <c r="J381" s="11" t="str">
        <f ca="1">+WORLDCUP!BD68</f>
        <v>DR Congo</v>
      </c>
      <c r="N381" s="11" t="s">
        <v>865</v>
      </c>
      <c r="O381" s="11">
        <v>380</v>
      </c>
      <c r="P381" s="11" t="s">
        <v>436</v>
      </c>
      <c r="Q381" s="11" t="s">
        <v>441</v>
      </c>
      <c r="R381" s="11" t="s">
        <v>90</v>
      </c>
      <c r="S381" s="11" t="s">
        <v>91</v>
      </c>
      <c r="T381" s="11" t="s">
        <v>89</v>
      </c>
      <c r="U381" s="11" t="s">
        <v>94</v>
      </c>
      <c r="V381" s="11" t="s">
        <v>440</v>
      </c>
      <c r="W381" s="11" t="s">
        <v>442</v>
      </c>
    </row>
    <row r="382" spans="1:23">
      <c r="A382" s="11" t="s">
        <v>864</v>
      </c>
      <c r="B382" s="11">
        <f ca="1">+IF(A382=WORLDCUP!$BI$112,1,0)</f>
        <v>0</v>
      </c>
      <c r="C382" s="11" t="str">
        <f ca="1">+WORLDCUP!BD60</f>
        <v>Scotland</v>
      </c>
      <c r="D382" s="11" t="str">
        <f ca="1">+WORLDCUP!BD67</f>
        <v>Algeria</v>
      </c>
      <c r="E382" s="11" t="str">
        <f ca="1">+WORLDCUP!BD59</f>
        <v>Bosnia and Herzegovina</v>
      </c>
      <c r="F382" s="11" t="str">
        <f ca="1">+WORLDCUP!BD63</f>
        <v>Sweden</v>
      </c>
      <c r="G382" s="11" t="str">
        <f ca="1">+WORLDCUP!BD58</f>
        <v>South Korea</v>
      </c>
      <c r="H382" s="11" t="str">
        <f ca="1">+WORLDCUP!BD64</f>
        <v>Iran</v>
      </c>
      <c r="I382" s="11" t="str">
        <f ca="1">+WORLDCUP!BD69</f>
        <v>Ghana</v>
      </c>
      <c r="J382" s="11" t="str">
        <f ca="1">+WORLDCUP!BD68</f>
        <v>DR Congo</v>
      </c>
      <c r="N382" s="11" t="s">
        <v>864</v>
      </c>
      <c r="O382" s="11">
        <v>381</v>
      </c>
      <c r="P382" s="11" t="s">
        <v>91</v>
      </c>
      <c r="Q382" s="11" t="s">
        <v>441</v>
      </c>
      <c r="R382" s="11" t="s">
        <v>90</v>
      </c>
      <c r="S382" s="11" t="s">
        <v>94</v>
      </c>
      <c r="T382" s="11" t="s">
        <v>89</v>
      </c>
      <c r="U382" s="11" t="s">
        <v>435</v>
      </c>
      <c r="V382" s="11" t="s">
        <v>443</v>
      </c>
      <c r="W382" s="11" t="s">
        <v>442</v>
      </c>
    </row>
    <row r="383" spans="1:23">
      <c r="A383" s="11" t="s">
        <v>863</v>
      </c>
      <c r="B383" s="11">
        <f ca="1">+IF(A383=WORLDCUP!$BI$112,1,0)</f>
        <v>0</v>
      </c>
      <c r="C383" s="11" t="str">
        <f ca="1">+WORLDCUP!BD66</f>
        <v>Senegal</v>
      </c>
      <c r="D383" s="11" t="str">
        <f ca="1">+WORLDCUP!BD64</f>
        <v>Iran</v>
      </c>
      <c r="E383" s="11" t="str">
        <f ca="1">+WORLDCUP!BD59</f>
        <v>Bosnia and Herzegovina</v>
      </c>
      <c r="F383" s="11" t="str">
        <f ca="1">+WORLDCUP!BD60</f>
        <v>Scotland</v>
      </c>
      <c r="G383" s="11" t="str">
        <f ca="1">+WORLDCUP!BD58</f>
        <v>South Korea</v>
      </c>
      <c r="H383" s="11" t="str">
        <f ca="1">+WORLDCUP!BD63</f>
        <v>Sweden</v>
      </c>
      <c r="I383" s="11" t="str">
        <f ca="1">+WORLDCUP!BD69</f>
        <v>Ghana</v>
      </c>
      <c r="J383" s="11" t="str">
        <f ca="1">+WORLDCUP!BD68</f>
        <v>DR Congo</v>
      </c>
      <c r="N383" s="11" t="s">
        <v>863</v>
      </c>
      <c r="O383" s="11">
        <v>382</v>
      </c>
      <c r="P383" s="11" t="s">
        <v>440</v>
      </c>
      <c r="Q383" s="11" t="s">
        <v>435</v>
      </c>
      <c r="R383" s="11" t="s">
        <v>90</v>
      </c>
      <c r="S383" s="11" t="s">
        <v>91</v>
      </c>
      <c r="T383" s="11" t="s">
        <v>89</v>
      </c>
      <c r="U383" s="11" t="s">
        <v>94</v>
      </c>
      <c r="V383" s="11" t="s">
        <v>443</v>
      </c>
      <c r="W383" s="11" t="s">
        <v>442</v>
      </c>
    </row>
    <row r="384" spans="1:23">
      <c r="A384" s="11" t="s">
        <v>862</v>
      </c>
      <c r="B384" s="11">
        <f ca="1">+IF(A384=WORLDCUP!$BI$112,1,0)</f>
        <v>0</v>
      </c>
      <c r="C384" s="11" t="str">
        <f ca="1">+WORLDCUP!BD60</f>
        <v>Scotland</v>
      </c>
      <c r="D384" s="11" t="str">
        <f ca="1">+WORLDCUP!BD67</f>
        <v>Algeria</v>
      </c>
      <c r="E384" s="11" t="str">
        <f ca="1">+WORLDCUP!BD59</f>
        <v>Bosnia and Herzegovina</v>
      </c>
      <c r="F384" s="11" t="str">
        <f ca="1">+WORLDCUP!BD63</f>
        <v>Sweden</v>
      </c>
      <c r="G384" s="11" t="str">
        <f ca="1">+WORLDCUP!BD58</f>
        <v>South Korea</v>
      </c>
      <c r="H384" s="11" t="str">
        <f ca="1">+WORLDCUP!BD64</f>
        <v>Iran</v>
      </c>
      <c r="I384" s="11" t="str">
        <f ca="1">+WORLDCUP!BD69</f>
        <v>Ghana</v>
      </c>
      <c r="J384" s="11" t="str">
        <f ca="1">+WORLDCUP!BD66</f>
        <v>Senegal</v>
      </c>
      <c r="N384" s="11" t="s">
        <v>862</v>
      </c>
      <c r="O384" s="11">
        <v>383</v>
      </c>
      <c r="P384" s="11" t="s">
        <v>91</v>
      </c>
      <c r="Q384" s="11" t="s">
        <v>441</v>
      </c>
      <c r="R384" s="11" t="s">
        <v>90</v>
      </c>
      <c r="S384" s="11" t="s">
        <v>94</v>
      </c>
      <c r="T384" s="11" t="s">
        <v>89</v>
      </c>
      <c r="U384" s="11" t="s">
        <v>435</v>
      </c>
      <c r="V384" s="11" t="s">
        <v>443</v>
      </c>
      <c r="W384" s="11" t="s">
        <v>440</v>
      </c>
    </row>
    <row r="385" spans="1:23">
      <c r="A385" s="11" t="s">
        <v>861</v>
      </c>
      <c r="B385" s="11">
        <f ca="1">+IF(A385=WORLDCUP!$BI$112,1,0)</f>
        <v>0</v>
      </c>
      <c r="C385" s="11" t="str">
        <f ca="1">+WORLDCUP!BD60</f>
        <v>Scotland</v>
      </c>
      <c r="D385" s="11" t="str">
        <f ca="1">+WORLDCUP!BD67</f>
        <v>Algeria</v>
      </c>
      <c r="E385" s="11" t="str">
        <f ca="1">+WORLDCUP!BD59</f>
        <v>Bosnia and Herzegovina</v>
      </c>
      <c r="F385" s="11" t="str">
        <f ca="1">+WORLDCUP!BD63</f>
        <v>Sweden</v>
      </c>
      <c r="G385" s="11" t="str">
        <f ca="1">+WORLDCUP!BD58</f>
        <v>South Korea</v>
      </c>
      <c r="H385" s="11" t="str">
        <f ca="1">+WORLDCUP!BD64</f>
        <v>Iran</v>
      </c>
      <c r="I385" s="11" t="str">
        <f ca="1">+WORLDCUP!BD66</f>
        <v>Senegal</v>
      </c>
      <c r="J385" s="11" t="str">
        <f ca="1">+WORLDCUP!BD68</f>
        <v>DR Congo</v>
      </c>
      <c r="N385" s="11" t="s">
        <v>861</v>
      </c>
      <c r="O385" s="11">
        <v>384</v>
      </c>
      <c r="P385" s="11" t="s">
        <v>91</v>
      </c>
      <c r="Q385" s="11" t="s">
        <v>441</v>
      </c>
      <c r="R385" s="11" t="s">
        <v>90</v>
      </c>
      <c r="S385" s="11" t="s">
        <v>94</v>
      </c>
      <c r="T385" s="11" t="s">
        <v>89</v>
      </c>
      <c r="U385" s="11" t="s">
        <v>435</v>
      </c>
      <c r="V385" s="11" t="s">
        <v>440</v>
      </c>
      <c r="W385" s="11" t="s">
        <v>442</v>
      </c>
    </row>
    <row r="386" spans="1:23">
      <c r="A386" s="11" t="s">
        <v>860</v>
      </c>
      <c r="B386" s="11">
        <f ca="1">+IF(A386=WORLDCUP!$BI$112,1,0)</f>
        <v>0</v>
      </c>
      <c r="C386" s="11" t="str">
        <f ca="1">+WORLDCUP!BD65</f>
        <v>Uruguay</v>
      </c>
      <c r="D386" s="11" t="str">
        <f ca="1">+WORLDCUP!BD64</f>
        <v>Iran</v>
      </c>
      <c r="E386" s="11" t="str">
        <f ca="1">+WORLDCUP!BD59</f>
        <v>Bosnia and Herzegovina</v>
      </c>
      <c r="F386" s="11" t="str">
        <f ca="1">+WORLDCUP!BD60</f>
        <v>Scotland</v>
      </c>
      <c r="G386" s="11" t="str">
        <f ca="1">+WORLDCUP!BD58</f>
        <v>South Korea</v>
      </c>
      <c r="H386" s="11" t="str">
        <f ca="1">+WORLDCUP!BD63</f>
        <v>Sweden</v>
      </c>
      <c r="I386" s="11" t="str">
        <f ca="1">+WORLDCUP!BD69</f>
        <v>Ghana</v>
      </c>
      <c r="J386" s="11" t="str">
        <f ca="1">+WORLDCUP!BD68</f>
        <v>DR Congo</v>
      </c>
      <c r="N386" s="11" t="s">
        <v>860</v>
      </c>
      <c r="O386" s="11">
        <v>385</v>
      </c>
      <c r="P386" s="11" t="s">
        <v>436</v>
      </c>
      <c r="Q386" s="11" t="s">
        <v>435</v>
      </c>
      <c r="R386" s="11" t="s">
        <v>90</v>
      </c>
      <c r="S386" s="11" t="s">
        <v>91</v>
      </c>
      <c r="T386" s="11" t="s">
        <v>89</v>
      </c>
      <c r="U386" s="11" t="s">
        <v>94</v>
      </c>
      <c r="V386" s="11" t="s">
        <v>443</v>
      </c>
      <c r="W386" s="11" t="s">
        <v>442</v>
      </c>
    </row>
    <row r="387" spans="1:23">
      <c r="A387" s="11" t="s">
        <v>859</v>
      </c>
      <c r="B387" s="11">
        <f ca="1">+IF(A387=WORLDCUP!$BI$112,1,0)</f>
        <v>0</v>
      </c>
      <c r="C387" s="11" t="str">
        <f ca="1">+WORLDCUP!BD65</f>
        <v>Uruguay</v>
      </c>
      <c r="D387" s="11" t="str">
        <f ca="1">+WORLDCUP!BD64</f>
        <v>Iran</v>
      </c>
      <c r="E387" s="11" t="str">
        <f ca="1">+WORLDCUP!BD59</f>
        <v>Bosnia and Herzegovina</v>
      </c>
      <c r="F387" s="11" t="str">
        <f ca="1">+WORLDCUP!BD60</f>
        <v>Scotland</v>
      </c>
      <c r="G387" s="11" t="str">
        <f ca="1">+WORLDCUP!BD58</f>
        <v>South Korea</v>
      </c>
      <c r="H387" s="11" t="str">
        <f ca="1">+WORLDCUP!BD63</f>
        <v>Sweden</v>
      </c>
      <c r="I387" s="11" t="str">
        <f ca="1">+WORLDCUP!BD69</f>
        <v>Ghana</v>
      </c>
      <c r="J387" s="11" t="str">
        <f ca="1">+WORLDCUP!BD67</f>
        <v>Algeria</v>
      </c>
      <c r="N387" s="11" t="s">
        <v>859</v>
      </c>
      <c r="O387" s="11">
        <v>386</v>
      </c>
      <c r="P387" s="11" t="s">
        <v>436</v>
      </c>
      <c r="Q387" s="11" t="s">
        <v>435</v>
      </c>
      <c r="R387" s="11" t="s">
        <v>90</v>
      </c>
      <c r="S387" s="11" t="s">
        <v>91</v>
      </c>
      <c r="T387" s="11" t="s">
        <v>89</v>
      </c>
      <c r="U387" s="11" t="s">
        <v>94</v>
      </c>
      <c r="V387" s="11" t="s">
        <v>443</v>
      </c>
      <c r="W387" s="11" t="s">
        <v>441</v>
      </c>
    </row>
    <row r="388" spans="1:23">
      <c r="A388" s="11" t="s">
        <v>858</v>
      </c>
      <c r="B388" s="11">
        <f ca="1">+IF(A388=WORLDCUP!$BI$112,1,0)</f>
        <v>0</v>
      </c>
      <c r="C388" s="11" t="str">
        <f ca="1">+WORLDCUP!BD65</f>
        <v>Uruguay</v>
      </c>
      <c r="D388" s="11" t="str">
        <f ca="1">+WORLDCUP!BD64</f>
        <v>Iran</v>
      </c>
      <c r="E388" s="11" t="str">
        <f ca="1">+WORLDCUP!BD59</f>
        <v>Bosnia and Herzegovina</v>
      </c>
      <c r="F388" s="11" t="str">
        <f ca="1">+WORLDCUP!BD60</f>
        <v>Scotland</v>
      </c>
      <c r="G388" s="11" t="str">
        <f ca="1">+WORLDCUP!BD58</f>
        <v>South Korea</v>
      </c>
      <c r="H388" s="11" t="str">
        <f ca="1">+WORLDCUP!BD63</f>
        <v>Sweden</v>
      </c>
      <c r="I388" s="11" t="str">
        <f ca="1">+WORLDCUP!BD67</f>
        <v>Algeria</v>
      </c>
      <c r="J388" s="11" t="str">
        <f ca="1">+WORLDCUP!BD68</f>
        <v>DR Congo</v>
      </c>
      <c r="N388" s="11" t="s">
        <v>858</v>
      </c>
      <c r="O388" s="11">
        <v>387</v>
      </c>
      <c r="P388" s="11" t="s">
        <v>436</v>
      </c>
      <c r="Q388" s="11" t="s">
        <v>435</v>
      </c>
      <c r="R388" s="11" t="s">
        <v>90</v>
      </c>
      <c r="S388" s="11" t="s">
        <v>91</v>
      </c>
      <c r="T388" s="11" t="s">
        <v>89</v>
      </c>
      <c r="U388" s="11" t="s">
        <v>94</v>
      </c>
      <c r="V388" s="11" t="s">
        <v>441</v>
      </c>
      <c r="W388" s="11" t="s">
        <v>442</v>
      </c>
    </row>
    <row r="389" spans="1:23">
      <c r="A389" s="11" t="s">
        <v>857</v>
      </c>
      <c r="B389" s="11">
        <f ca="1">+IF(A389=WORLDCUP!$BI$112,1,0)</f>
        <v>0</v>
      </c>
      <c r="C389" s="11" t="str">
        <f ca="1">+WORLDCUP!BD65</f>
        <v>Uruguay</v>
      </c>
      <c r="D389" s="11" t="str">
        <f ca="1">+WORLDCUP!BD64</f>
        <v>Iran</v>
      </c>
      <c r="E389" s="11" t="str">
        <f ca="1">+WORLDCUP!BD59</f>
        <v>Bosnia and Herzegovina</v>
      </c>
      <c r="F389" s="11" t="str">
        <f ca="1">+WORLDCUP!BD60</f>
        <v>Scotland</v>
      </c>
      <c r="G389" s="11" t="str">
        <f ca="1">+WORLDCUP!BD58</f>
        <v>South Korea</v>
      </c>
      <c r="H389" s="11" t="str">
        <f ca="1">+WORLDCUP!BD63</f>
        <v>Sweden</v>
      </c>
      <c r="I389" s="11" t="str">
        <f ca="1">+WORLDCUP!BD69</f>
        <v>Ghana</v>
      </c>
      <c r="J389" s="11" t="str">
        <f ca="1">+WORLDCUP!BD66</f>
        <v>Senegal</v>
      </c>
      <c r="N389" s="11" t="s">
        <v>857</v>
      </c>
      <c r="O389" s="11">
        <v>388</v>
      </c>
      <c r="P389" s="11" t="s">
        <v>436</v>
      </c>
      <c r="Q389" s="11" t="s">
        <v>435</v>
      </c>
      <c r="R389" s="11" t="s">
        <v>90</v>
      </c>
      <c r="S389" s="11" t="s">
        <v>91</v>
      </c>
      <c r="T389" s="11" t="s">
        <v>89</v>
      </c>
      <c r="U389" s="11" t="s">
        <v>94</v>
      </c>
      <c r="V389" s="11" t="s">
        <v>443</v>
      </c>
      <c r="W389" s="11" t="s">
        <v>440</v>
      </c>
    </row>
    <row r="390" spans="1:23">
      <c r="A390" s="11" t="s">
        <v>856</v>
      </c>
      <c r="B390" s="11">
        <f ca="1">+IF(A390=WORLDCUP!$BI$112,1,0)</f>
        <v>0</v>
      </c>
      <c r="C390" s="11" t="str">
        <f ca="1">+WORLDCUP!BD65</f>
        <v>Uruguay</v>
      </c>
      <c r="D390" s="11" t="str">
        <f ca="1">+WORLDCUP!BD64</f>
        <v>Iran</v>
      </c>
      <c r="E390" s="11" t="str">
        <f ca="1">+WORLDCUP!BD59</f>
        <v>Bosnia and Herzegovina</v>
      </c>
      <c r="F390" s="11" t="str">
        <f ca="1">+WORLDCUP!BD60</f>
        <v>Scotland</v>
      </c>
      <c r="G390" s="11" t="str">
        <f ca="1">+WORLDCUP!BD58</f>
        <v>South Korea</v>
      </c>
      <c r="H390" s="11" t="str">
        <f ca="1">+WORLDCUP!BD63</f>
        <v>Sweden</v>
      </c>
      <c r="I390" s="11" t="str">
        <f ca="1">+WORLDCUP!BD66</f>
        <v>Senegal</v>
      </c>
      <c r="J390" s="11" t="str">
        <f ca="1">+WORLDCUP!BD68</f>
        <v>DR Congo</v>
      </c>
      <c r="N390" s="11" t="s">
        <v>856</v>
      </c>
      <c r="O390" s="11">
        <v>389</v>
      </c>
      <c r="P390" s="11" t="s">
        <v>436</v>
      </c>
      <c r="Q390" s="11" t="s">
        <v>435</v>
      </c>
      <c r="R390" s="11" t="s">
        <v>90</v>
      </c>
      <c r="S390" s="11" t="s">
        <v>91</v>
      </c>
      <c r="T390" s="11" t="s">
        <v>89</v>
      </c>
      <c r="U390" s="11" t="s">
        <v>94</v>
      </c>
      <c r="V390" s="11" t="s">
        <v>440</v>
      </c>
      <c r="W390" s="11" t="s">
        <v>442</v>
      </c>
    </row>
    <row r="391" spans="1:23">
      <c r="A391" s="11" t="s">
        <v>855</v>
      </c>
      <c r="B391" s="11">
        <f ca="1">+IF(A391=WORLDCUP!$BI$112,1,0)</f>
        <v>0</v>
      </c>
      <c r="C391" s="11" t="str">
        <f ca="1">+WORLDCUP!BD65</f>
        <v>Uruguay</v>
      </c>
      <c r="D391" s="11" t="str">
        <f ca="1">+WORLDCUP!BD64</f>
        <v>Iran</v>
      </c>
      <c r="E391" s="11" t="str">
        <f ca="1">+WORLDCUP!BD59</f>
        <v>Bosnia and Herzegovina</v>
      </c>
      <c r="F391" s="11" t="str">
        <f ca="1">+WORLDCUP!BD60</f>
        <v>Scotland</v>
      </c>
      <c r="G391" s="11" t="str">
        <f ca="1">+WORLDCUP!BD58</f>
        <v>South Korea</v>
      </c>
      <c r="H391" s="11" t="str">
        <f ca="1">+WORLDCUP!BD63</f>
        <v>Sweden</v>
      </c>
      <c r="I391" s="11" t="str">
        <f ca="1">+WORLDCUP!BD66</f>
        <v>Senegal</v>
      </c>
      <c r="J391" s="11" t="str">
        <f ca="1">+WORLDCUP!BD67</f>
        <v>Algeria</v>
      </c>
      <c r="N391" s="11" t="s">
        <v>855</v>
      </c>
      <c r="O391" s="11">
        <v>390</v>
      </c>
      <c r="P391" s="11" t="s">
        <v>436</v>
      </c>
      <c r="Q391" s="11" t="s">
        <v>435</v>
      </c>
      <c r="R391" s="11" t="s">
        <v>90</v>
      </c>
      <c r="S391" s="11" t="s">
        <v>91</v>
      </c>
      <c r="T391" s="11" t="s">
        <v>89</v>
      </c>
      <c r="U391" s="11" t="s">
        <v>94</v>
      </c>
      <c r="V391" s="11" t="s">
        <v>440</v>
      </c>
      <c r="W391" s="11" t="s">
        <v>441</v>
      </c>
    </row>
    <row r="392" spans="1:23">
      <c r="A392" s="11" t="s">
        <v>854</v>
      </c>
      <c r="B392" s="11">
        <f ca="1">+IF(A392=WORLDCUP!$BI$112,1,0)</f>
        <v>0</v>
      </c>
      <c r="C392" s="11" t="str">
        <f ca="1">+WORLDCUP!BD62</f>
        <v>Ecuador</v>
      </c>
      <c r="D392" s="11" t="str">
        <f ca="1">+WORLDCUP!BD67</f>
        <v>Algeria</v>
      </c>
      <c r="E392" s="11" t="str">
        <f ca="1">+WORLDCUP!BD59</f>
        <v>Bosnia and Herzegovina</v>
      </c>
      <c r="F392" s="11" t="str">
        <f ca="1">+WORLDCUP!BD58</f>
        <v>South Korea</v>
      </c>
      <c r="G392" s="11" t="str">
        <f ca="1">+WORLDCUP!BD66</f>
        <v>Senegal</v>
      </c>
      <c r="H392" s="11" t="str">
        <f ca="1">+WORLDCUP!BD60</f>
        <v>Scotland</v>
      </c>
      <c r="I392" s="11" t="str">
        <f ca="1">+WORLDCUP!BD69</f>
        <v>Ghana</v>
      </c>
      <c r="J392" s="11" t="str">
        <f ca="1">+WORLDCUP!BD68</f>
        <v>DR Congo</v>
      </c>
      <c r="N392" s="11" t="s">
        <v>854</v>
      </c>
      <c r="O392" s="11">
        <v>391</v>
      </c>
      <c r="P392" s="11" t="s">
        <v>93</v>
      </c>
      <c r="Q392" s="11" t="s">
        <v>441</v>
      </c>
      <c r="R392" s="11" t="s">
        <v>90</v>
      </c>
      <c r="S392" s="11" t="s">
        <v>89</v>
      </c>
      <c r="T392" s="11" t="s">
        <v>440</v>
      </c>
      <c r="U392" s="11" t="s">
        <v>91</v>
      </c>
      <c r="V392" s="11" t="s">
        <v>443</v>
      </c>
      <c r="W392" s="11" t="s">
        <v>442</v>
      </c>
    </row>
    <row r="393" spans="1:23">
      <c r="A393" s="11" t="s">
        <v>853</v>
      </c>
      <c r="B393" s="11">
        <f ca="1">+IF(A393=WORLDCUP!$BI$112,1,0)</f>
        <v>0</v>
      </c>
      <c r="C393" s="11" t="str">
        <f ca="1">+WORLDCUP!BD62</f>
        <v>Ecuador</v>
      </c>
      <c r="D393" s="11" t="str">
        <f ca="1">+WORLDCUP!BD67</f>
        <v>Algeria</v>
      </c>
      <c r="E393" s="11" t="str">
        <f ca="1">+WORLDCUP!BD59</f>
        <v>Bosnia and Herzegovina</v>
      </c>
      <c r="F393" s="11" t="str">
        <f ca="1">+WORLDCUP!BD60</f>
        <v>Scotland</v>
      </c>
      <c r="G393" s="11" t="str">
        <f ca="1">+WORLDCUP!BD58</f>
        <v>South Korea</v>
      </c>
      <c r="H393" s="11" t="str">
        <f ca="1">+WORLDCUP!BD65</f>
        <v>Uruguay</v>
      </c>
      <c r="I393" s="11" t="str">
        <f ca="1">+WORLDCUP!BD69</f>
        <v>Ghana</v>
      </c>
      <c r="J393" s="11" t="str">
        <f ca="1">+WORLDCUP!BD68</f>
        <v>DR Congo</v>
      </c>
      <c r="N393" s="11" t="s">
        <v>853</v>
      </c>
      <c r="O393" s="11">
        <v>392</v>
      </c>
      <c r="P393" s="11" t="s">
        <v>93</v>
      </c>
      <c r="Q393" s="11" t="s">
        <v>441</v>
      </c>
      <c r="R393" s="11" t="s">
        <v>90</v>
      </c>
      <c r="S393" s="11" t="s">
        <v>91</v>
      </c>
      <c r="T393" s="11" t="s">
        <v>89</v>
      </c>
      <c r="U393" s="11" t="s">
        <v>436</v>
      </c>
      <c r="V393" s="11" t="s">
        <v>443</v>
      </c>
      <c r="W393" s="11" t="s">
        <v>442</v>
      </c>
    </row>
    <row r="394" spans="1:23">
      <c r="A394" s="11" t="s">
        <v>852</v>
      </c>
      <c r="B394" s="11">
        <f ca="1">+IF(A394=WORLDCUP!$BI$112,1,0)</f>
        <v>0</v>
      </c>
      <c r="C394" s="11" t="str">
        <f ca="1">+WORLDCUP!BD62</f>
        <v>Ecuador</v>
      </c>
      <c r="D394" s="11" t="str">
        <f ca="1">+WORLDCUP!BD66</f>
        <v>Senegal</v>
      </c>
      <c r="E394" s="11" t="str">
        <f ca="1">+WORLDCUP!BD59</f>
        <v>Bosnia and Herzegovina</v>
      </c>
      <c r="F394" s="11" t="str">
        <f ca="1">+WORLDCUP!BD60</f>
        <v>Scotland</v>
      </c>
      <c r="G394" s="11" t="str">
        <f ca="1">+WORLDCUP!BD58</f>
        <v>South Korea</v>
      </c>
      <c r="H394" s="11" t="str">
        <f ca="1">+WORLDCUP!BD65</f>
        <v>Uruguay</v>
      </c>
      <c r="I394" s="11" t="str">
        <f ca="1">+WORLDCUP!BD69</f>
        <v>Ghana</v>
      </c>
      <c r="J394" s="11" t="str">
        <f ca="1">+WORLDCUP!BD68</f>
        <v>DR Congo</v>
      </c>
      <c r="N394" s="11" t="s">
        <v>852</v>
      </c>
      <c r="O394" s="11">
        <v>393</v>
      </c>
      <c r="P394" s="11" t="s">
        <v>93</v>
      </c>
      <c r="Q394" s="11" t="s">
        <v>440</v>
      </c>
      <c r="R394" s="11" t="s">
        <v>90</v>
      </c>
      <c r="S394" s="11" t="s">
        <v>91</v>
      </c>
      <c r="T394" s="11" t="s">
        <v>89</v>
      </c>
      <c r="U394" s="11" t="s">
        <v>436</v>
      </c>
      <c r="V394" s="11" t="s">
        <v>443</v>
      </c>
      <c r="W394" s="11" t="s">
        <v>442</v>
      </c>
    </row>
    <row r="395" spans="1:23">
      <c r="A395" s="11" t="s">
        <v>851</v>
      </c>
      <c r="B395" s="11">
        <f ca="1">+IF(A395=WORLDCUP!$BI$112,1,0)</f>
        <v>0</v>
      </c>
      <c r="C395" s="11" t="str">
        <f ca="1">+WORLDCUP!BD62</f>
        <v>Ecuador</v>
      </c>
      <c r="D395" s="11" t="str">
        <f ca="1">+WORLDCUP!BD67</f>
        <v>Algeria</v>
      </c>
      <c r="E395" s="11" t="str">
        <f ca="1">+WORLDCUP!BD59</f>
        <v>Bosnia and Herzegovina</v>
      </c>
      <c r="F395" s="11" t="str">
        <f ca="1">+WORLDCUP!BD60</f>
        <v>Scotland</v>
      </c>
      <c r="G395" s="11" t="str">
        <f ca="1">+WORLDCUP!BD58</f>
        <v>South Korea</v>
      </c>
      <c r="H395" s="11" t="str">
        <f ca="1">+WORLDCUP!BD65</f>
        <v>Uruguay</v>
      </c>
      <c r="I395" s="11" t="str">
        <f ca="1">+WORLDCUP!BD69</f>
        <v>Ghana</v>
      </c>
      <c r="J395" s="11" t="str">
        <f ca="1">+WORLDCUP!BD66</f>
        <v>Senegal</v>
      </c>
      <c r="N395" s="11" t="s">
        <v>851</v>
      </c>
      <c r="O395" s="11">
        <v>394</v>
      </c>
      <c r="P395" s="11" t="s">
        <v>93</v>
      </c>
      <c r="Q395" s="11" t="s">
        <v>441</v>
      </c>
      <c r="R395" s="11" t="s">
        <v>90</v>
      </c>
      <c r="S395" s="11" t="s">
        <v>91</v>
      </c>
      <c r="T395" s="11" t="s">
        <v>89</v>
      </c>
      <c r="U395" s="11" t="s">
        <v>436</v>
      </c>
      <c r="V395" s="11" t="s">
        <v>443</v>
      </c>
      <c r="W395" s="11" t="s">
        <v>440</v>
      </c>
    </row>
    <row r="396" spans="1:23">
      <c r="A396" s="11" t="s">
        <v>850</v>
      </c>
      <c r="B396" s="11">
        <f ca="1">+IF(A396=WORLDCUP!$BI$112,1,0)</f>
        <v>0</v>
      </c>
      <c r="C396" s="11" t="str">
        <f ca="1">+WORLDCUP!BD62</f>
        <v>Ecuador</v>
      </c>
      <c r="D396" s="11" t="str">
        <f ca="1">+WORLDCUP!BD67</f>
        <v>Algeria</v>
      </c>
      <c r="E396" s="11" t="str">
        <f ca="1">+WORLDCUP!BD59</f>
        <v>Bosnia and Herzegovina</v>
      </c>
      <c r="F396" s="11" t="str">
        <f ca="1">+WORLDCUP!BD60</f>
        <v>Scotland</v>
      </c>
      <c r="G396" s="11" t="str">
        <f ca="1">+WORLDCUP!BD58</f>
        <v>South Korea</v>
      </c>
      <c r="H396" s="11" t="str">
        <f ca="1">+WORLDCUP!BD65</f>
        <v>Uruguay</v>
      </c>
      <c r="I396" s="11" t="str">
        <f ca="1">+WORLDCUP!BD66</f>
        <v>Senegal</v>
      </c>
      <c r="J396" s="11" t="str">
        <f ca="1">+WORLDCUP!BD68</f>
        <v>DR Congo</v>
      </c>
      <c r="N396" s="11" t="s">
        <v>850</v>
      </c>
      <c r="O396" s="11">
        <v>395</v>
      </c>
      <c r="P396" s="11" t="s">
        <v>93</v>
      </c>
      <c r="Q396" s="11" t="s">
        <v>441</v>
      </c>
      <c r="R396" s="11" t="s">
        <v>90</v>
      </c>
      <c r="S396" s="11" t="s">
        <v>91</v>
      </c>
      <c r="T396" s="11" t="s">
        <v>89</v>
      </c>
      <c r="U396" s="11" t="s">
        <v>436</v>
      </c>
      <c r="V396" s="11" t="s">
        <v>440</v>
      </c>
      <c r="W396" s="11" t="s">
        <v>442</v>
      </c>
    </row>
    <row r="397" spans="1:23">
      <c r="A397" s="11" t="s">
        <v>849</v>
      </c>
      <c r="B397" s="11">
        <f ca="1">+IF(A397=WORLDCUP!$BI$112,1,0)</f>
        <v>0</v>
      </c>
      <c r="C397" s="11" t="str">
        <f ca="1">+WORLDCUP!BD62</f>
        <v>Ecuador</v>
      </c>
      <c r="D397" s="11" t="str">
        <f ca="1">+WORLDCUP!BD67</f>
        <v>Algeria</v>
      </c>
      <c r="E397" s="11" t="str">
        <f ca="1">+WORLDCUP!BD59</f>
        <v>Bosnia and Herzegovina</v>
      </c>
      <c r="F397" s="11" t="str">
        <f ca="1">+WORLDCUP!BD60</f>
        <v>Scotland</v>
      </c>
      <c r="G397" s="11" t="str">
        <f ca="1">+WORLDCUP!BD58</f>
        <v>South Korea</v>
      </c>
      <c r="H397" s="11" t="str">
        <f ca="1">+WORLDCUP!BD64</f>
        <v>Iran</v>
      </c>
      <c r="I397" s="11" t="str">
        <f ca="1">+WORLDCUP!BD69</f>
        <v>Ghana</v>
      </c>
      <c r="J397" s="11" t="str">
        <f ca="1">+WORLDCUP!BD68</f>
        <v>DR Congo</v>
      </c>
      <c r="N397" s="11" t="s">
        <v>849</v>
      </c>
      <c r="O397" s="11">
        <v>396</v>
      </c>
      <c r="P397" s="11" t="s">
        <v>93</v>
      </c>
      <c r="Q397" s="11" t="s">
        <v>441</v>
      </c>
      <c r="R397" s="11" t="s">
        <v>90</v>
      </c>
      <c r="S397" s="11" t="s">
        <v>91</v>
      </c>
      <c r="T397" s="11" t="s">
        <v>89</v>
      </c>
      <c r="U397" s="11" t="s">
        <v>435</v>
      </c>
      <c r="V397" s="11" t="s">
        <v>443</v>
      </c>
      <c r="W397" s="11" t="s">
        <v>442</v>
      </c>
    </row>
    <row r="398" spans="1:23">
      <c r="A398" s="11" t="s">
        <v>848</v>
      </c>
      <c r="B398" s="11">
        <f ca="1">+IF(A398=WORLDCUP!$BI$112,1,0)</f>
        <v>0</v>
      </c>
      <c r="C398" s="11" t="str">
        <f ca="1">+WORLDCUP!BD62</f>
        <v>Ecuador</v>
      </c>
      <c r="D398" s="11" t="str">
        <f ca="1">+WORLDCUP!BD64</f>
        <v>Iran</v>
      </c>
      <c r="E398" s="11" t="str">
        <f ca="1">+WORLDCUP!BD59</f>
        <v>Bosnia and Herzegovina</v>
      </c>
      <c r="F398" s="11" t="str">
        <f ca="1">+WORLDCUP!BD58</f>
        <v>South Korea</v>
      </c>
      <c r="G398" s="11" t="str">
        <f ca="1">+WORLDCUP!BD66</f>
        <v>Senegal</v>
      </c>
      <c r="H398" s="11" t="str">
        <f ca="1">+WORLDCUP!BD60</f>
        <v>Scotland</v>
      </c>
      <c r="I398" s="11" t="str">
        <f ca="1">+WORLDCUP!BD69</f>
        <v>Ghana</v>
      </c>
      <c r="J398" s="11" t="str">
        <f ca="1">+WORLDCUP!BD68</f>
        <v>DR Congo</v>
      </c>
      <c r="N398" s="11" t="s">
        <v>848</v>
      </c>
      <c r="O398" s="11">
        <v>397</v>
      </c>
      <c r="P398" s="11" t="s">
        <v>93</v>
      </c>
      <c r="Q398" s="11" t="s">
        <v>435</v>
      </c>
      <c r="R398" s="11" t="s">
        <v>90</v>
      </c>
      <c r="S398" s="11" t="s">
        <v>89</v>
      </c>
      <c r="T398" s="11" t="s">
        <v>440</v>
      </c>
      <c r="U398" s="11" t="s">
        <v>91</v>
      </c>
      <c r="V398" s="11" t="s">
        <v>443</v>
      </c>
      <c r="W398" s="11" t="s">
        <v>442</v>
      </c>
    </row>
    <row r="399" spans="1:23">
      <c r="A399" s="11" t="s">
        <v>847</v>
      </c>
      <c r="B399" s="11">
        <f ca="1">+IF(A399=WORLDCUP!$BI$112,1,0)</f>
        <v>0</v>
      </c>
      <c r="C399" s="11" t="str">
        <f ca="1">+WORLDCUP!BD62</f>
        <v>Ecuador</v>
      </c>
      <c r="D399" s="11" t="str">
        <f ca="1">+WORLDCUP!BD67</f>
        <v>Algeria</v>
      </c>
      <c r="E399" s="11" t="str">
        <f ca="1">+WORLDCUP!BD59</f>
        <v>Bosnia and Herzegovina</v>
      </c>
      <c r="F399" s="11" t="str">
        <f ca="1">+WORLDCUP!BD60</f>
        <v>Scotland</v>
      </c>
      <c r="G399" s="11" t="str">
        <f ca="1">+WORLDCUP!BD58</f>
        <v>South Korea</v>
      </c>
      <c r="H399" s="11" t="str">
        <f ca="1">+WORLDCUP!BD64</f>
        <v>Iran</v>
      </c>
      <c r="I399" s="11" t="str">
        <f ca="1">+WORLDCUP!BD69</f>
        <v>Ghana</v>
      </c>
      <c r="J399" s="11" t="str">
        <f ca="1">+WORLDCUP!BD66</f>
        <v>Senegal</v>
      </c>
      <c r="N399" s="11" t="s">
        <v>847</v>
      </c>
      <c r="O399" s="11">
        <v>398</v>
      </c>
      <c r="P399" s="11" t="s">
        <v>93</v>
      </c>
      <c r="Q399" s="11" t="s">
        <v>441</v>
      </c>
      <c r="R399" s="11" t="s">
        <v>90</v>
      </c>
      <c r="S399" s="11" t="s">
        <v>91</v>
      </c>
      <c r="T399" s="11" t="s">
        <v>89</v>
      </c>
      <c r="U399" s="11" t="s">
        <v>435</v>
      </c>
      <c r="V399" s="11" t="s">
        <v>443</v>
      </c>
      <c r="W399" s="11" t="s">
        <v>440</v>
      </c>
    </row>
    <row r="400" spans="1:23">
      <c r="A400" s="11" t="s">
        <v>846</v>
      </c>
      <c r="B400" s="11">
        <f ca="1">+IF(A400=WORLDCUP!$BI$112,1,0)</f>
        <v>0</v>
      </c>
      <c r="C400" s="11" t="str">
        <f ca="1">+WORLDCUP!BD62</f>
        <v>Ecuador</v>
      </c>
      <c r="D400" s="11" t="str">
        <f ca="1">+WORLDCUP!BD67</f>
        <v>Algeria</v>
      </c>
      <c r="E400" s="11" t="str">
        <f ca="1">+WORLDCUP!BD59</f>
        <v>Bosnia and Herzegovina</v>
      </c>
      <c r="F400" s="11" t="str">
        <f ca="1">+WORLDCUP!BD60</f>
        <v>Scotland</v>
      </c>
      <c r="G400" s="11" t="str">
        <f ca="1">+WORLDCUP!BD58</f>
        <v>South Korea</v>
      </c>
      <c r="H400" s="11" t="str">
        <f ca="1">+WORLDCUP!BD64</f>
        <v>Iran</v>
      </c>
      <c r="I400" s="11" t="str">
        <f ca="1">+WORLDCUP!BD66</f>
        <v>Senegal</v>
      </c>
      <c r="J400" s="11" t="str">
        <f ca="1">+WORLDCUP!BD68</f>
        <v>DR Congo</v>
      </c>
      <c r="N400" s="11" t="s">
        <v>846</v>
      </c>
      <c r="O400" s="11">
        <v>399</v>
      </c>
      <c r="P400" s="11" t="s">
        <v>93</v>
      </c>
      <c r="Q400" s="11" t="s">
        <v>441</v>
      </c>
      <c r="R400" s="11" t="s">
        <v>90</v>
      </c>
      <c r="S400" s="11" t="s">
        <v>91</v>
      </c>
      <c r="T400" s="11" t="s">
        <v>89</v>
      </c>
      <c r="U400" s="11" t="s">
        <v>435</v>
      </c>
      <c r="V400" s="11" t="s">
        <v>440</v>
      </c>
      <c r="W400" s="11" t="s">
        <v>442</v>
      </c>
    </row>
    <row r="401" spans="1:23">
      <c r="A401" s="11" t="s">
        <v>845</v>
      </c>
      <c r="B401" s="11">
        <f ca="1">+IF(A401=WORLDCUP!$BI$112,1,0)</f>
        <v>0</v>
      </c>
      <c r="C401" s="11" t="str">
        <f ca="1">+WORLDCUP!BD62</f>
        <v>Ecuador</v>
      </c>
      <c r="D401" s="11" t="str">
        <f ca="1">+WORLDCUP!BD64</f>
        <v>Iran</v>
      </c>
      <c r="E401" s="11" t="str">
        <f ca="1">+WORLDCUP!BD59</f>
        <v>Bosnia and Herzegovina</v>
      </c>
      <c r="F401" s="11" t="str">
        <f ca="1">+WORLDCUP!BD60</f>
        <v>Scotland</v>
      </c>
      <c r="G401" s="11" t="str">
        <f ca="1">+WORLDCUP!BD58</f>
        <v>South Korea</v>
      </c>
      <c r="H401" s="11" t="str">
        <f ca="1">+WORLDCUP!BD65</f>
        <v>Uruguay</v>
      </c>
      <c r="I401" s="11" t="str">
        <f ca="1">+WORLDCUP!BD69</f>
        <v>Ghana</v>
      </c>
      <c r="J401" s="11" t="str">
        <f ca="1">+WORLDCUP!BD68</f>
        <v>DR Congo</v>
      </c>
      <c r="N401" s="11" t="s">
        <v>845</v>
      </c>
      <c r="O401" s="11">
        <v>400</v>
      </c>
      <c r="P401" s="11" t="s">
        <v>93</v>
      </c>
      <c r="Q401" s="11" t="s">
        <v>435</v>
      </c>
      <c r="R401" s="11" t="s">
        <v>90</v>
      </c>
      <c r="S401" s="11" t="s">
        <v>91</v>
      </c>
      <c r="T401" s="11" t="s">
        <v>89</v>
      </c>
      <c r="U401" s="11" t="s">
        <v>436</v>
      </c>
      <c r="V401" s="11" t="s">
        <v>443</v>
      </c>
      <c r="W401" s="11" t="s">
        <v>442</v>
      </c>
    </row>
    <row r="402" spans="1:23">
      <c r="A402" s="11" t="s">
        <v>844</v>
      </c>
      <c r="B402" s="11">
        <f ca="1">+IF(A402=WORLDCUP!$BI$112,1,0)</f>
        <v>0</v>
      </c>
      <c r="C402" s="11" t="str">
        <f ca="1">+WORLDCUP!BD65</f>
        <v>Uruguay</v>
      </c>
      <c r="D402" s="11" t="str">
        <f ca="1">+WORLDCUP!BD67</f>
        <v>Algeria</v>
      </c>
      <c r="E402" s="11" t="str">
        <f ca="1">+WORLDCUP!BD59</f>
        <v>Bosnia and Herzegovina</v>
      </c>
      <c r="F402" s="11" t="str">
        <f ca="1">+WORLDCUP!BD60</f>
        <v>Scotland</v>
      </c>
      <c r="G402" s="11" t="str">
        <f ca="1">+WORLDCUP!BD58</f>
        <v>South Korea</v>
      </c>
      <c r="H402" s="11" t="str">
        <f ca="1">+WORLDCUP!BD64</f>
        <v>Iran</v>
      </c>
      <c r="I402" s="11" t="str">
        <f ca="1">+WORLDCUP!BD69</f>
        <v>Ghana</v>
      </c>
      <c r="J402" s="11" t="str">
        <f ca="1">+WORLDCUP!BD62</f>
        <v>Ecuador</v>
      </c>
      <c r="N402" s="11" t="s">
        <v>844</v>
      </c>
      <c r="O402" s="11">
        <v>401</v>
      </c>
      <c r="P402" s="11" t="s">
        <v>436</v>
      </c>
      <c r="Q402" s="11" t="s">
        <v>441</v>
      </c>
      <c r="R402" s="11" t="s">
        <v>90</v>
      </c>
      <c r="S402" s="11" t="s">
        <v>91</v>
      </c>
      <c r="T402" s="11" t="s">
        <v>89</v>
      </c>
      <c r="U402" s="11" t="s">
        <v>435</v>
      </c>
      <c r="V402" s="11" t="s">
        <v>443</v>
      </c>
      <c r="W402" s="11" t="s">
        <v>93</v>
      </c>
    </row>
    <row r="403" spans="1:23">
      <c r="A403" s="11" t="s">
        <v>843</v>
      </c>
      <c r="B403" s="11">
        <f ca="1">+IF(A403=WORLDCUP!$BI$112,1,0)</f>
        <v>0</v>
      </c>
      <c r="C403" s="11" t="str">
        <f ca="1">+WORLDCUP!BD65</f>
        <v>Uruguay</v>
      </c>
      <c r="D403" s="11" t="str">
        <f ca="1">+WORLDCUP!BD67</f>
        <v>Algeria</v>
      </c>
      <c r="E403" s="11" t="str">
        <f ca="1">+WORLDCUP!BD59</f>
        <v>Bosnia and Herzegovina</v>
      </c>
      <c r="F403" s="11" t="str">
        <f ca="1">+WORLDCUP!BD60</f>
        <v>Scotland</v>
      </c>
      <c r="G403" s="11" t="str">
        <f ca="1">+WORLDCUP!BD58</f>
        <v>South Korea</v>
      </c>
      <c r="H403" s="11" t="str">
        <f ca="1">+WORLDCUP!BD64</f>
        <v>Iran</v>
      </c>
      <c r="I403" s="11" t="str">
        <f ca="1">+WORLDCUP!BD62</f>
        <v>Ecuador</v>
      </c>
      <c r="J403" s="11" t="str">
        <f ca="1">+WORLDCUP!BD68</f>
        <v>DR Congo</v>
      </c>
      <c r="N403" s="11" t="s">
        <v>843</v>
      </c>
      <c r="O403" s="11">
        <v>402</v>
      </c>
      <c r="P403" s="11" t="s">
        <v>436</v>
      </c>
      <c r="Q403" s="11" t="s">
        <v>441</v>
      </c>
      <c r="R403" s="11" t="s">
        <v>90</v>
      </c>
      <c r="S403" s="11" t="s">
        <v>91</v>
      </c>
      <c r="T403" s="11" t="s">
        <v>89</v>
      </c>
      <c r="U403" s="11" t="s">
        <v>435</v>
      </c>
      <c r="V403" s="11" t="s">
        <v>93</v>
      </c>
      <c r="W403" s="11" t="s">
        <v>442</v>
      </c>
    </row>
    <row r="404" spans="1:23">
      <c r="A404" s="11" t="s">
        <v>842</v>
      </c>
      <c r="B404" s="11">
        <f ca="1">+IF(A404=WORLDCUP!$BI$112,1,0)</f>
        <v>0</v>
      </c>
      <c r="C404" s="11" t="str">
        <f ca="1">+WORLDCUP!BD62</f>
        <v>Ecuador</v>
      </c>
      <c r="D404" s="11" t="str">
        <f ca="1">+WORLDCUP!BD64</f>
        <v>Iran</v>
      </c>
      <c r="E404" s="11" t="str">
        <f ca="1">+WORLDCUP!BD59</f>
        <v>Bosnia and Herzegovina</v>
      </c>
      <c r="F404" s="11" t="str">
        <f ca="1">+WORLDCUP!BD60</f>
        <v>Scotland</v>
      </c>
      <c r="G404" s="11" t="str">
        <f ca="1">+WORLDCUP!BD58</f>
        <v>South Korea</v>
      </c>
      <c r="H404" s="11" t="str">
        <f ca="1">+WORLDCUP!BD65</f>
        <v>Uruguay</v>
      </c>
      <c r="I404" s="11" t="str">
        <f ca="1">+WORLDCUP!BD69</f>
        <v>Ghana</v>
      </c>
      <c r="J404" s="11" t="str">
        <f ca="1">+WORLDCUP!BD66</f>
        <v>Senegal</v>
      </c>
      <c r="N404" s="11" t="s">
        <v>842</v>
      </c>
      <c r="O404" s="11">
        <v>403</v>
      </c>
      <c r="P404" s="11" t="s">
        <v>93</v>
      </c>
      <c r="Q404" s="11" t="s">
        <v>435</v>
      </c>
      <c r="R404" s="11" t="s">
        <v>90</v>
      </c>
      <c r="S404" s="11" t="s">
        <v>91</v>
      </c>
      <c r="T404" s="11" t="s">
        <v>89</v>
      </c>
      <c r="U404" s="11" t="s">
        <v>436</v>
      </c>
      <c r="V404" s="11" t="s">
        <v>443</v>
      </c>
      <c r="W404" s="11" t="s">
        <v>440</v>
      </c>
    </row>
    <row r="405" spans="1:23">
      <c r="A405" s="11" t="s">
        <v>841</v>
      </c>
      <c r="B405" s="11">
        <f ca="1">+IF(A405=WORLDCUP!$BI$112,1,0)</f>
        <v>0</v>
      </c>
      <c r="C405" s="11" t="str">
        <f ca="1">+WORLDCUP!BD62</f>
        <v>Ecuador</v>
      </c>
      <c r="D405" s="11" t="str">
        <f ca="1">+WORLDCUP!BD64</f>
        <v>Iran</v>
      </c>
      <c r="E405" s="11" t="str">
        <f ca="1">+WORLDCUP!BD59</f>
        <v>Bosnia and Herzegovina</v>
      </c>
      <c r="F405" s="11" t="str">
        <f ca="1">+WORLDCUP!BD60</f>
        <v>Scotland</v>
      </c>
      <c r="G405" s="11" t="str">
        <f ca="1">+WORLDCUP!BD58</f>
        <v>South Korea</v>
      </c>
      <c r="H405" s="11" t="str">
        <f ca="1">+WORLDCUP!BD65</f>
        <v>Uruguay</v>
      </c>
      <c r="I405" s="11" t="str">
        <f ca="1">+WORLDCUP!BD66</f>
        <v>Senegal</v>
      </c>
      <c r="J405" s="11" t="str">
        <f ca="1">+WORLDCUP!BD68</f>
        <v>DR Congo</v>
      </c>
      <c r="N405" s="11" t="s">
        <v>841</v>
      </c>
      <c r="O405" s="11">
        <v>404</v>
      </c>
      <c r="P405" s="11" t="s">
        <v>93</v>
      </c>
      <c r="Q405" s="11" t="s">
        <v>435</v>
      </c>
      <c r="R405" s="11" t="s">
        <v>90</v>
      </c>
      <c r="S405" s="11" t="s">
        <v>91</v>
      </c>
      <c r="T405" s="11" t="s">
        <v>89</v>
      </c>
      <c r="U405" s="11" t="s">
        <v>436</v>
      </c>
      <c r="V405" s="11" t="s">
        <v>440</v>
      </c>
      <c r="W405" s="11" t="s">
        <v>442</v>
      </c>
    </row>
    <row r="406" spans="1:23">
      <c r="A406" s="11" t="s">
        <v>840</v>
      </c>
      <c r="B406" s="11">
        <f ca="1">+IF(A406=WORLDCUP!$BI$112,1,0)</f>
        <v>0</v>
      </c>
      <c r="C406" s="11" t="str">
        <f ca="1">+WORLDCUP!BD65</f>
        <v>Uruguay</v>
      </c>
      <c r="D406" s="11" t="str">
        <f ca="1">+WORLDCUP!BD67</f>
        <v>Algeria</v>
      </c>
      <c r="E406" s="11" t="str">
        <f ca="1">+WORLDCUP!BD59</f>
        <v>Bosnia and Herzegovina</v>
      </c>
      <c r="F406" s="11" t="str">
        <f ca="1">+WORLDCUP!BD60</f>
        <v>Scotland</v>
      </c>
      <c r="G406" s="11" t="str">
        <f ca="1">+WORLDCUP!BD58</f>
        <v>South Korea</v>
      </c>
      <c r="H406" s="11" t="str">
        <f ca="1">+WORLDCUP!BD64</f>
        <v>Iran</v>
      </c>
      <c r="I406" s="11" t="str">
        <f ca="1">+WORLDCUP!BD62</f>
        <v>Ecuador</v>
      </c>
      <c r="J406" s="11" t="str">
        <f ca="1">+WORLDCUP!BD66</f>
        <v>Senegal</v>
      </c>
      <c r="N406" s="11" t="s">
        <v>840</v>
      </c>
      <c r="O406" s="11">
        <v>405</v>
      </c>
      <c r="P406" s="11" t="s">
        <v>436</v>
      </c>
      <c r="Q406" s="11" t="s">
        <v>441</v>
      </c>
      <c r="R406" s="11" t="s">
        <v>90</v>
      </c>
      <c r="S406" s="11" t="s">
        <v>91</v>
      </c>
      <c r="T406" s="11" t="s">
        <v>89</v>
      </c>
      <c r="U406" s="11" t="s">
        <v>435</v>
      </c>
      <c r="V406" s="11" t="s">
        <v>93</v>
      </c>
      <c r="W406" s="11" t="s">
        <v>440</v>
      </c>
    </row>
    <row r="407" spans="1:23">
      <c r="A407" s="11" t="s">
        <v>839</v>
      </c>
      <c r="B407" s="11">
        <f ca="1">+IF(A407=WORLDCUP!$BI$112,1,0)</f>
        <v>0</v>
      </c>
      <c r="C407" s="11" t="str">
        <f ca="1">+WORLDCUP!BD62</f>
        <v>Ecuador</v>
      </c>
      <c r="D407" s="11" t="str">
        <f ca="1">+WORLDCUP!BD67</f>
        <v>Algeria</v>
      </c>
      <c r="E407" s="11" t="str">
        <f ca="1">+WORLDCUP!BD59</f>
        <v>Bosnia and Herzegovina</v>
      </c>
      <c r="F407" s="11" t="str">
        <f ca="1">+WORLDCUP!BD60</f>
        <v>Scotland</v>
      </c>
      <c r="G407" s="11" t="str">
        <f ca="1">+WORLDCUP!BD58</f>
        <v>South Korea</v>
      </c>
      <c r="H407" s="11" t="str">
        <f ca="1">+WORLDCUP!BD63</f>
        <v>Sweden</v>
      </c>
      <c r="I407" s="11" t="str">
        <f ca="1">+WORLDCUP!BD69</f>
        <v>Ghana</v>
      </c>
      <c r="J407" s="11" t="str">
        <f ca="1">+WORLDCUP!BD68</f>
        <v>DR Congo</v>
      </c>
      <c r="N407" s="11" t="s">
        <v>839</v>
      </c>
      <c r="O407" s="11">
        <v>406</v>
      </c>
      <c r="P407" s="11" t="s">
        <v>93</v>
      </c>
      <c r="Q407" s="11" t="s">
        <v>441</v>
      </c>
      <c r="R407" s="11" t="s">
        <v>90</v>
      </c>
      <c r="S407" s="11" t="s">
        <v>91</v>
      </c>
      <c r="T407" s="11" t="s">
        <v>89</v>
      </c>
      <c r="U407" s="11" t="s">
        <v>94</v>
      </c>
      <c r="V407" s="11" t="s">
        <v>443</v>
      </c>
      <c r="W407" s="11" t="s">
        <v>442</v>
      </c>
    </row>
    <row r="408" spans="1:23">
      <c r="A408" s="11" t="s">
        <v>838</v>
      </c>
      <c r="B408" s="11">
        <f ca="1">+IF(A408=WORLDCUP!$BI$112,1,0)</f>
        <v>0</v>
      </c>
      <c r="C408" s="11" t="str">
        <f ca="1">+WORLDCUP!BD62</f>
        <v>Ecuador</v>
      </c>
      <c r="D408" s="11" t="str">
        <f ca="1">+WORLDCUP!BD66</f>
        <v>Senegal</v>
      </c>
      <c r="E408" s="11" t="str">
        <f ca="1">+WORLDCUP!BD59</f>
        <v>Bosnia and Herzegovina</v>
      </c>
      <c r="F408" s="11" t="str">
        <f ca="1">+WORLDCUP!BD60</f>
        <v>Scotland</v>
      </c>
      <c r="G408" s="11" t="str">
        <f ca="1">+WORLDCUP!BD58</f>
        <v>South Korea</v>
      </c>
      <c r="H408" s="11" t="str">
        <f ca="1">+WORLDCUP!BD63</f>
        <v>Sweden</v>
      </c>
      <c r="I408" s="11" t="str">
        <f ca="1">+WORLDCUP!BD69</f>
        <v>Ghana</v>
      </c>
      <c r="J408" s="11" t="str">
        <f ca="1">+WORLDCUP!BD68</f>
        <v>DR Congo</v>
      </c>
      <c r="N408" s="11" t="s">
        <v>838</v>
      </c>
      <c r="O408" s="11">
        <v>407</v>
      </c>
      <c r="P408" s="11" t="s">
        <v>93</v>
      </c>
      <c r="Q408" s="11" t="s">
        <v>440</v>
      </c>
      <c r="R408" s="11" t="s">
        <v>90</v>
      </c>
      <c r="S408" s="11" t="s">
        <v>91</v>
      </c>
      <c r="T408" s="11" t="s">
        <v>89</v>
      </c>
      <c r="U408" s="11" t="s">
        <v>94</v>
      </c>
      <c r="V408" s="11" t="s">
        <v>443</v>
      </c>
      <c r="W408" s="11" t="s">
        <v>442</v>
      </c>
    </row>
    <row r="409" spans="1:23">
      <c r="A409" s="11" t="s">
        <v>837</v>
      </c>
      <c r="B409" s="11">
        <f ca="1">+IF(A409=WORLDCUP!$BI$112,1,0)</f>
        <v>0</v>
      </c>
      <c r="C409" s="11" t="str">
        <f ca="1">+WORLDCUP!BD62</f>
        <v>Ecuador</v>
      </c>
      <c r="D409" s="11" t="str">
        <f ca="1">+WORLDCUP!BD67</f>
        <v>Algeria</v>
      </c>
      <c r="E409" s="11" t="str">
        <f ca="1">+WORLDCUP!BD59</f>
        <v>Bosnia and Herzegovina</v>
      </c>
      <c r="F409" s="11" t="str">
        <f ca="1">+WORLDCUP!BD60</f>
        <v>Scotland</v>
      </c>
      <c r="G409" s="11" t="str">
        <f ca="1">+WORLDCUP!BD58</f>
        <v>South Korea</v>
      </c>
      <c r="H409" s="11" t="str">
        <f ca="1">+WORLDCUP!BD63</f>
        <v>Sweden</v>
      </c>
      <c r="I409" s="11" t="str">
        <f ca="1">+WORLDCUP!BD69</f>
        <v>Ghana</v>
      </c>
      <c r="J409" s="11" t="str">
        <f ca="1">+WORLDCUP!BD66</f>
        <v>Senegal</v>
      </c>
      <c r="N409" s="11" t="s">
        <v>837</v>
      </c>
      <c r="O409" s="11">
        <v>408</v>
      </c>
      <c r="P409" s="11" t="s">
        <v>93</v>
      </c>
      <c r="Q409" s="11" t="s">
        <v>441</v>
      </c>
      <c r="R409" s="11" t="s">
        <v>90</v>
      </c>
      <c r="S409" s="11" t="s">
        <v>91</v>
      </c>
      <c r="T409" s="11" t="s">
        <v>89</v>
      </c>
      <c r="U409" s="11" t="s">
        <v>94</v>
      </c>
      <c r="V409" s="11" t="s">
        <v>443</v>
      </c>
      <c r="W409" s="11" t="s">
        <v>440</v>
      </c>
    </row>
    <row r="410" spans="1:23">
      <c r="A410" s="11" t="s">
        <v>836</v>
      </c>
      <c r="B410" s="11">
        <f ca="1">+IF(A410=WORLDCUP!$BI$112,1,0)</f>
        <v>0</v>
      </c>
      <c r="C410" s="11" t="str">
        <f ca="1">+WORLDCUP!BD62</f>
        <v>Ecuador</v>
      </c>
      <c r="D410" s="11" t="str">
        <f ca="1">+WORLDCUP!BD67</f>
        <v>Algeria</v>
      </c>
      <c r="E410" s="11" t="str">
        <f ca="1">+WORLDCUP!BD59</f>
        <v>Bosnia and Herzegovina</v>
      </c>
      <c r="F410" s="11" t="str">
        <f ca="1">+WORLDCUP!BD60</f>
        <v>Scotland</v>
      </c>
      <c r="G410" s="11" t="str">
        <f ca="1">+WORLDCUP!BD58</f>
        <v>South Korea</v>
      </c>
      <c r="H410" s="11" t="str">
        <f ca="1">+WORLDCUP!BD63</f>
        <v>Sweden</v>
      </c>
      <c r="I410" s="11" t="str">
        <f ca="1">+WORLDCUP!BD66</f>
        <v>Senegal</v>
      </c>
      <c r="J410" s="11" t="str">
        <f ca="1">+WORLDCUP!BD68</f>
        <v>DR Congo</v>
      </c>
      <c r="N410" s="11" t="s">
        <v>836</v>
      </c>
      <c r="O410" s="11">
        <v>409</v>
      </c>
      <c r="P410" s="11" t="s">
        <v>93</v>
      </c>
      <c r="Q410" s="11" t="s">
        <v>441</v>
      </c>
      <c r="R410" s="11" t="s">
        <v>90</v>
      </c>
      <c r="S410" s="11" t="s">
        <v>91</v>
      </c>
      <c r="T410" s="11" t="s">
        <v>89</v>
      </c>
      <c r="U410" s="11" t="s">
        <v>94</v>
      </c>
      <c r="V410" s="11" t="s">
        <v>440</v>
      </c>
      <c r="W410" s="11" t="s">
        <v>442</v>
      </c>
    </row>
    <row r="411" spans="1:23">
      <c r="A411" s="11" t="s">
        <v>835</v>
      </c>
      <c r="B411" s="11">
        <f ca="1">+IF(A411=WORLDCUP!$BI$112,1,0)</f>
        <v>0</v>
      </c>
      <c r="C411" s="11" t="str">
        <f ca="1">+WORLDCUP!BD65</f>
        <v>Uruguay</v>
      </c>
      <c r="D411" s="11" t="str">
        <f ca="1">+WORLDCUP!BD62</f>
        <v>Ecuador</v>
      </c>
      <c r="E411" s="11" t="str">
        <f ca="1">+WORLDCUP!BD59</f>
        <v>Bosnia and Herzegovina</v>
      </c>
      <c r="F411" s="11" t="str">
        <f ca="1">+WORLDCUP!BD60</f>
        <v>Scotland</v>
      </c>
      <c r="G411" s="11" t="str">
        <f ca="1">+WORLDCUP!BD58</f>
        <v>South Korea</v>
      </c>
      <c r="H411" s="11" t="str">
        <f ca="1">+WORLDCUP!BD63</f>
        <v>Sweden</v>
      </c>
      <c r="I411" s="11" t="str">
        <f ca="1">+WORLDCUP!BD69</f>
        <v>Ghana</v>
      </c>
      <c r="J411" s="11" t="str">
        <f ca="1">+WORLDCUP!BD68</f>
        <v>DR Congo</v>
      </c>
      <c r="N411" s="11" t="s">
        <v>835</v>
      </c>
      <c r="O411" s="11">
        <v>410</v>
      </c>
      <c r="P411" s="11" t="s">
        <v>436</v>
      </c>
      <c r="Q411" s="11" t="s">
        <v>93</v>
      </c>
      <c r="R411" s="11" t="s">
        <v>90</v>
      </c>
      <c r="S411" s="11" t="s">
        <v>91</v>
      </c>
      <c r="T411" s="11" t="s">
        <v>89</v>
      </c>
      <c r="U411" s="11" t="s">
        <v>94</v>
      </c>
      <c r="V411" s="11" t="s">
        <v>443</v>
      </c>
      <c r="W411" s="11" t="s">
        <v>442</v>
      </c>
    </row>
    <row r="412" spans="1:23">
      <c r="A412" s="11" t="s">
        <v>834</v>
      </c>
      <c r="B412" s="11">
        <f ca="1">+IF(A412=WORLDCUP!$BI$112,1,0)</f>
        <v>0</v>
      </c>
      <c r="C412" s="11" t="str">
        <f ca="1">+WORLDCUP!BD65</f>
        <v>Uruguay</v>
      </c>
      <c r="D412" s="11" t="str">
        <f ca="1">+WORLDCUP!BD67</f>
        <v>Algeria</v>
      </c>
      <c r="E412" s="11" t="str">
        <f ca="1">+WORLDCUP!BD59</f>
        <v>Bosnia and Herzegovina</v>
      </c>
      <c r="F412" s="11" t="str">
        <f ca="1">+WORLDCUP!BD60</f>
        <v>Scotland</v>
      </c>
      <c r="G412" s="11" t="str">
        <f ca="1">+WORLDCUP!BD58</f>
        <v>South Korea</v>
      </c>
      <c r="H412" s="11" t="str">
        <f ca="1">+WORLDCUP!BD63</f>
        <v>Sweden</v>
      </c>
      <c r="I412" s="11" t="str">
        <f ca="1">+WORLDCUP!BD69</f>
        <v>Ghana</v>
      </c>
      <c r="J412" s="11" t="str">
        <f ca="1">+WORLDCUP!BD62</f>
        <v>Ecuador</v>
      </c>
      <c r="N412" s="11" t="s">
        <v>834</v>
      </c>
      <c r="O412" s="11">
        <v>411</v>
      </c>
      <c r="P412" s="11" t="s">
        <v>436</v>
      </c>
      <c r="Q412" s="11" t="s">
        <v>441</v>
      </c>
      <c r="R412" s="11" t="s">
        <v>90</v>
      </c>
      <c r="S412" s="11" t="s">
        <v>91</v>
      </c>
      <c r="T412" s="11" t="s">
        <v>89</v>
      </c>
      <c r="U412" s="11" t="s">
        <v>94</v>
      </c>
      <c r="V412" s="11" t="s">
        <v>443</v>
      </c>
      <c r="W412" s="11" t="s">
        <v>93</v>
      </c>
    </row>
    <row r="413" spans="1:23">
      <c r="A413" s="11" t="s">
        <v>833</v>
      </c>
      <c r="B413" s="11">
        <f ca="1">+IF(A413=WORLDCUP!$BI$112,1,0)</f>
        <v>0</v>
      </c>
      <c r="C413" s="11" t="str">
        <f ca="1">+WORLDCUP!BD65</f>
        <v>Uruguay</v>
      </c>
      <c r="D413" s="11" t="str">
        <f ca="1">+WORLDCUP!BD67</f>
        <v>Algeria</v>
      </c>
      <c r="E413" s="11" t="str">
        <f ca="1">+WORLDCUP!BD59</f>
        <v>Bosnia and Herzegovina</v>
      </c>
      <c r="F413" s="11" t="str">
        <f ca="1">+WORLDCUP!BD60</f>
        <v>Scotland</v>
      </c>
      <c r="G413" s="11" t="str">
        <f ca="1">+WORLDCUP!BD58</f>
        <v>South Korea</v>
      </c>
      <c r="H413" s="11" t="str">
        <f ca="1">+WORLDCUP!BD63</f>
        <v>Sweden</v>
      </c>
      <c r="I413" s="11" t="str">
        <f ca="1">+WORLDCUP!BD62</f>
        <v>Ecuador</v>
      </c>
      <c r="J413" s="11" t="str">
        <f ca="1">+WORLDCUP!BD68</f>
        <v>DR Congo</v>
      </c>
      <c r="N413" s="11" t="s">
        <v>833</v>
      </c>
      <c r="O413" s="11">
        <v>412</v>
      </c>
      <c r="P413" s="11" t="s">
        <v>436</v>
      </c>
      <c r="Q413" s="11" t="s">
        <v>441</v>
      </c>
      <c r="R413" s="11" t="s">
        <v>90</v>
      </c>
      <c r="S413" s="11" t="s">
        <v>91</v>
      </c>
      <c r="T413" s="11" t="s">
        <v>89</v>
      </c>
      <c r="U413" s="11" t="s">
        <v>94</v>
      </c>
      <c r="V413" s="11" t="s">
        <v>93</v>
      </c>
      <c r="W413" s="11" t="s">
        <v>442</v>
      </c>
    </row>
    <row r="414" spans="1:23">
      <c r="A414" s="11" t="s">
        <v>765</v>
      </c>
      <c r="B414" s="11">
        <f ca="1">+IF(A414=WORLDCUP!$BI$112,1,0)</f>
        <v>0</v>
      </c>
      <c r="C414" s="11" t="str">
        <f ca="1">+WORLDCUP!BD65</f>
        <v>Uruguay</v>
      </c>
      <c r="D414" s="11" t="str">
        <f ca="1">+WORLDCUP!BD62</f>
        <v>Ecuador</v>
      </c>
      <c r="E414" s="11" t="str">
        <f ca="1">+WORLDCUP!BD59</f>
        <v>Bosnia and Herzegovina</v>
      </c>
      <c r="F414" s="11" t="str">
        <f ca="1">+WORLDCUP!BD60</f>
        <v>Scotland</v>
      </c>
      <c r="G414" s="11" t="str">
        <f ca="1">+WORLDCUP!BD58</f>
        <v>South Korea</v>
      </c>
      <c r="H414" s="11" t="str">
        <f ca="1">+WORLDCUP!BD63</f>
        <v>Sweden</v>
      </c>
      <c r="I414" s="11" t="str">
        <f ca="1">+WORLDCUP!BD69</f>
        <v>Ghana</v>
      </c>
      <c r="J414" s="11" t="str">
        <f ca="1">+WORLDCUP!BD66</f>
        <v>Senegal</v>
      </c>
      <c r="N414" s="11" t="s">
        <v>765</v>
      </c>
      <c r="O414" s="11">
        <v>413</v>
      </c>
      <c r="P414" s="11" t="s">
        <v>436</v>
      </c>
      <c r="Q414" s="11" t="s">
        <v>93</v>
      </c>
      <c r="R414" s="11" t="s">
        <v>90</v>
      </c>
      <c r="S414" s="11" t="s">
        <v>91</v>
      </c>
      <c r="T414" s="11" t="s">
        <v>89</v>
      </c>
      <c r="U414" s="11" t="s">
        <v>94</v>
      </c>
      <c r="V414" s="11" t="s">
        <v>443</v>
      </c>
      <c r="W414" s="11" t="s">
        <v>440</v>
      </c>
    </row>
    <row r="415" spans="1:23">
      <c r="A415" s="11" t="s">
        <v>832</v>
      </c>
      <c r="B415" s="11">
        <f ca="1">+IF(A415=WORLDCUP!$BI$112,1,0)</f>
        <v>0</v>
      </c>
      <c r="C415" s="11" t="str">
        <f ca="1">+WORLDCUP!BD65</f>
        <v>Uruguay</v>
      </c>
      <c r="D415" s="11" t="str">
        <f ca="1">+WORLDCUP!BD62</f>
        <v>Ecuador</v>
      </c>
      <c r="E415" s="11" t="str">
        <f ca="1">+WORLDCUP!BD59</f>
        <v>Bosnia and Herzegovina</v>
      </c>
      <c r="F415" s="11" t="str">
        <f ca="1">+WORLDCUP!BD60</f>
        <v>Scotland</v>
      </c>
      <c r="G415" s="11" t="str">
        <f ca="1">+WORLDCUP!BD58</f>
        <v>South Korea</v>
      </c>
      <c r="H415" s="11" t="str">
        <f ca="1">+WORLDCUP!BD63</f>
        <v>Sweden</v>
      </c>
      <c r="I415" s="11" t="str">
        <f ca="1">+WORLDCUP!BD66</f>
        <v>Senegal</v>
      </c>
      <c r="J415" s="11" t="str">
        <f ca="1">+WORLDCUP!BD68</f>
        <v>DR Congo</v>
      </c>
      <c r="N415" s="11" t="s">
        <v>832</v>
      </c>
      <c r="O415" s="11">
        <v>414</v>
      </c>
      <c r="P415" s="11" t="s">
        <v>436</v>
      </c>
      <c r="Q415" s="11" t="s">
        <v>93</v>
      </c>
      <c r="R415" s="11" t="s">
        <v>90</v>
      </c>
      <c r="S415" s="11" t="s">
        <v>91</v>
      </c>
      <c r="T415" s="11" t="s">
        <v>89</v>
      </c>
      <c r="U415" s="11" t="s">
        <v>94</v>
      </c>
      <c r="V415" s="11" t="s">
        <v>440</v>
      </c>
      <c r="W415" s="11" t="s">
        <v>442</v>
      </c>
    </row>
    <row r="416" spans="1:23">
      <c r="A416" s="11" t="s">
        <v>831</v>
      </c>
      <c r="B416" s="11">
        <f ca="1">+IF(A416=WORLDCUP!$BI$112,1,0)</f>
        <v>0</v>
      </c>
      <c r="C416" s="11" t="str">
        <f ca="1">+WORLDCUP!BD65</f>
        <v>Uruguay</v>
      </c>
      <c r="D416" s="11" t="str">
        <f ca="1">+WORLDCUP!BD67</f>
        <v>Algeria</v>
      </c>
      <c r="E416" s="11" t="str">
        <f ca="1">+WORLDCUP!BD59</f>
        <v>Bosnia and Herzegovina</v>
      </c>
      <c r="F416" s="11" t="str">
        <f ca="1">+WORLDCUP!BD60</f>
        <v>Scotland</v>
      </c>
      <c r="G416" s="11" t="str">
        <f ca="1">+WORLDCUP!BD58</f>
        <v>South Korea</v>
      </c>
      <c r="H416" s="11" t="str">
        <f ca="1">+WORLDCUP!BD63</f>
        <v>Sweden</v>
      </c>
      <c r="I416" s="11" t="str">
        <f ca="1">+WORLDCUP!BD62</f>
        <v>Ecuador</v>
      </c>
      <c r="J416" s="11" t="str">
        <f ca="1">+WORLDCUP!BD66</f>
        <v>Senegal</v>
      </c>
      <c r="N416" s="11" t="s">
        <v>831</v>
      </c>
      <c r="O416" s="11">
        <v>415</v>
      </c>
      <c r="P416" s="11" t="s">
        <v>436</v>
      </c>
      <c r="Q416" s="11" t="s">
        <v>441</v>
      </c>
      <c r="R416" s="11" t="s">
        <v>90</v>
      </c>
      <c r="S416" s="11" t="s">
        <v>91</v>
      </c>
      <c r="T416" s="11" t="s">
        <v>89</v>
      </c>
      <c r="U416" s="11" t="s">
        <v>94</v>
      </c>
      <c r="V416" s="11" t="s">
        <v>93</v>
      </c>
      <c r="W416" s="11" t="s">
        <v>440</v>
      </c>
    </row>
    <row r="417" spans="1:23">
      <c r="A417" s="11" t="s">
        <v>830</v>
      </c>
      <c r="B417" s="11">
        <f ca="1">+IF(A417=WORLDCUP!$BI$112,1,0)</f>
        <v>0</v>
      </c>
      <c r="C417" s="11" t="str">
        <f ca="1">+WORLDCUP!BD62</f>
        <v>Ecuador</v>
      </c>
      <c r="D417" s="11" t="str">
        <f ca="1">+WORLDCUP!BD64</f>
        <v>Iran</v>
      </c>
      <c r="E417" s="11" t="str">
        <f ca="1">+WORLDCUP!BD59</f>
        <v>Bosnia and Herzegovina</v>
      </c>
      <c r="F417" s="11" t="str">
        <f ca="1">+WORLDCUP!BD60</f>
        <v>Scotland</v>
      </c>
      <c r="G417" s="11" t="str">
        <f ca="1">+WORLDCUP!BD58</f>
        <v>South Korea</v>
      </c>
      <c r="H417" s="11" t="str">
        <f ca="1">+WORLDCUP!BD63</f>
        <v>Sweden</v>
      </c>
      <c r="I417" s="11" t="str">
        <f ca="1">+WORLDCUP!BD69</f>
        <v>Ghana</v>
      </c>
      <c r="J417" s="11" t="str">
        <f ca="1">+WORLDCUP!BD68</f>
        <v>DR Congo</v>
      </c>
      <c r="N417" s="11" t="s">
        <v>830</v>
      </c>
      <c r="O417" s="11">
        <v>416</v>
      </c>
      <c r="P417" s="11" t="s">
        <v>93</v>
      </c>
      <c r="Q417" s="11" t="s">
        <v>435</v>
      </c>
      <c r="R417" s="11" t="s">
        <v>90</v>
      </c>
      <c r="S417" s="11" t="s">
        <v>91</v>
      </c>
      <c r="T417" s="11" t="s">
        <v>89</v>
      </c>
      <c r="U417" s="11" t="s">
        <v>94</v>
      </c>
      <c r="V417" s="11" t="s">
        <v>443</v>
      </c>
      <c r="W417" s="11" t="s">
        <v>442</v>
      </c>
    </row>
    <row r="418" spans="1:23">
      <c r="A418" s="11" t="s">
        <v>829</v>
      </c>
      <c r="B418" s="11">
        <f ca="1">+IF(A418=WORLDCUP!$BI$112,1,0)</f>
        <v>0</v>
      </c>
      <c r="C418" s="11" t="str">
        <f ca="1">+WORLDCUP!BD62</f>
        <v>Ecuador</v>
      </c>
      <c r="D418" s="11" t="str">
        <f ca="1">+WORLDCUP!BD64</f>
        <v>Iran</v>
      </c>
      <c r="E418" s="11" t="str">
        <f ca="1">+WORLDCUP!BD59</f>
        <v>Bosnia and Herzegovina</v>
      </c>
      <c r="F418" s="11" t="str">
        <f ca="1">+WORLDCUP!BD60</f>
        <v>Scotland</v>
      </c>
      <c r="G418" s="11" t="str">
        <f ca="1">+WORLDCUP!BD58</f>
        <v>South Korea</v>
      </c>
      <c r="H418" s="11" t="str">
        <f ca="1">+WORLDCUP!BD63</f>
        <v>Sweden</v>
      </c>
      <c r="I418" s="11" t="str">
        <f ca="1">+WORLDCUP!BD69</f>
        <v>Ghana</v>
      </c>
      <c r="J418" s="11" t="str">
        <f ca="1">+WORLDCUP!BD67</f>
        <v>Algeria</v>
      </c>
      <c r="N418" s="11" t="s">
        <v>829</v>
      </c>
      <c r="O418" s="11">
        <v>417</v>
      </c>
      <c r="P418" s="11" t="s">
        <v>93</v>
      </c>
      <c r="Q418" s="11" t="s">
        <v>435</v>
      </c>
      <c r="R418" s="11" t="s">
        <v>90</v>
      </c>
      <c r="S418" s="11" t="s">
        <v>91</v>
      </c>
      <c r="T418" s="11" t="s">
        <v>89</v>
      </c>
      <c r="U418" s="11" t="s">
        <v>94</v>
      </c>
      <c r="V418" s="11" t="s">
        <v>443</v>
      </c>
      <c r="W418" s="11" t="s">
        <v>441</v>
      </c>
    </row>
    <row r="419" spans="1:23">
      <c r="A419" s="11" t="s">
        <v>828</v>
      </c>
      <c r="B419" s="11">
        <f ca="1">+IF(A419=WORLDCUP!$BI$112,1,0)</f>
        <v>0</v>
      </c>
      <c r="C419" s="11" t="str">
        <f ca="1">+WORLDCUP!BD62</f>
        <v>Ecuador</v>
      </c>
      <c r="D419" s="11" t="str">
        <f ca="1">+WORLDCUP!BD64</f>
        <v>Iran</v>
      </c>
      <c r="E419" s="11" t="str">
        <f ca="1">+WORLDCUP!BD59</f>
        <v>Bosnia and Herzegovina</v>
      </c>
      <c r="F419" s="11" t="str">
        <f ca="1">+WORLDCUP!BD60</f>
        <v>Scotland</v>
      </c>
      <c r="G419" s="11" t="str">
        <f ca="1">+WORLDCUP!BD58</f>
        <v>South Korea</v>
      </c>
      <c r="H419" s="11" t="str">
        <f ca="1">+WORLDCUP!BD63</f>
        <v>Sweden</v>
      </c>
      <c r="I419" s="11" t="str">
        <f ca="1">+WORLDCUP!BD67</f>
        <v>Algeria</v>
      </c>
      <c r="J419" s="11" t="str">
        <f ca="1">+WORLDCUP!BD68</f>
        <v>DR Congo</v>
      </c>
      <c r="N419" s="11" t="s">
        <v>828</v>
      </c>
      <c r="O419" s="11">
        <v>418</v>
      </c>
      <c r="P419" s="11" t="s">
        <v>93</v>
      </c>
      <c r="Q419" s="11" t="s">
        <v>435</v>
      </c>
      <c r="R419" s="11" t="s">
        <v>90</v>
      </c>
      <c r="S419" s="11" t="s">
        <v>91</v>
      </c>
      <c r="T419" s="11" t="s">
        <v>89</v>
      </c>
      <c r="U419" s="11" t="s">
        <v>94</v>
      </c>
      <c r="V419" s="11" t="s">
        <v>441</v>
      </c>
      <c r="W419" s="11" t="s">
        <v>442</v>
      </c>
    </row>
    <row r="420" spans="1:23">
      <c r="A420" s="11" t="s">
        <v>827</v>
      </c>
      <c r="B420" s="11">
        <f ca="1">+IF(A420=WORLDCUP!$BI$112,1,0)</f>
        <v>0</v>
      </c>
      <c r="C420" s="11" t="str">
        <f ca="1">+WORLDCUP!BD62</f>
        <v>Ecuador</v>
      </c>
      <c r="D420" s="11" t="str">
        <f ca="1">+WORLDCUP!BD64</f>
        <v>Iran</v>
      </c>
      <c r="E420" s="11" t="str">
        <f ca="1">+WORLDCUP!BD59</f>
        <v>Bosnia and Herzegovina</v>
      </c>
      <c r="F420" s="11" t="str">
        <f ca="1">+WORLDCUP!BD60</f>
        <v>Scotland</v>
      </c>
      <c r="G420" s="11" t="str">
        <f ca="1">+WORLDCUP!BD58</f>
        <v>South Korea</v>
      </c>
      <c r="H420" s="11" t="str">
        <f ca="1">+WORLDCUP!BD63</f>
        <v>Sweden</v>
      </c>
      <c r="I420" s="11" t="str">
        <f ca="1">+WORLDCUP!BD69</f>
        <v>Ghana</v>
      </c>
      <c r="J420" s="11" t="str">
        <f ca="1">+WORLDCUP!BD66</f>
        <v>Senegal</v>
      </c>
      <c r="N420" s="11" t="s">
        <v>827</v>
      </c>
      <c r="O420" s="11">
        <v>419</v>
      </c>
      <c r="P420" s="11" t="s">
        <v>93</v>
      </c>
      <c r="Q420" s="11" t="s">
        <v>435</v>
      </c>
      <c r="R420" s="11" t="s">
        <v>90</v>
      </c>
      <c r="S420" s="11" t="s">
        <v>91</v>
      </c>
      <c r="T420" s="11" t="s">
        <v>89</v>
      </c>
      <c r="U420" s="11" t="s">
        <v>94</v>
      </c>
      <c r="V420" s="11" t="s">
        <v>443</v>
      </c>
      <c r="W420" s="11" t="s">
        <v>440</v>
      </c>
    </row>
    <row r="421" spans="1:23">
      <c r="A421" s="11" t="s">
        <v>826</v>
      </c>
      <c r="B421" s="11">
        <f ca="1">+IF(A421=WORLDCUP!$BI$112,1,0)</f>
        <v>0</v>
      </c>
      <c r="C421" s="11" t="str">
        <f ca="1">+WORLDCUP!BD62</f>
        <v>Ecuador</v>
      </c>
      <c r="D421" s="11" t="str">
        <f ca="1">+WORLDCUP!BD64</f>
        <v>Iran</v>
      </c>
      <c r="E421" s="11" t="str">
        <f ca="1">+WORLDCUP!BD59</f>
        <v>Bosnia and Herzegovina</v>
      </c>
      <c r="F421" s="11" t="str">
        <f ca="1">+WORLDCUP!BD60</f>
        <v>Scotland</v>
      </c>
      <c r="G421" s="11" t="str">
        <f ca="1">+WORLDCUP!BD58</f>
        <v>South Korea</v>
      </c>
      <c r="H421" s="11" t="str">
        <f ca="1">+WORLDCUP!BD63</f>
        <v>Sweden</v>
      </c>
      <c r="I421" s="11" t="str">
        <f ca="1">+WORLDCUP!BD66</f>
        <v>Senegal</v>
      </c>
      <c r="J421" s="11" t="str">
        <f ca="1">+WORLDCUP!BD68</f>
        <v>DR Congo</v>
      </c>
      <c r="N421" s="11" t="s">
        <v>826</v>
      </c>
      <c r="O421" s="11">
        <v>420</v>
      </c>
      <c r="P421" s="11" t="s">
        <v>93</v>
      </c>
      <c r="Q421" s="11" t="s">
        <v>435</v>
      </c>
      <c r="R421" s="11" t="s">
        <v>90</v>
      </c>
      <c r="S421" s="11" t="s">
        <v>91</v>
      </c>
      <c r="T421" s="11" t="s">
        <v>89</v>
      </c>
      <c r="U421" s="11" t="s">
        <v>94</v>
      </c>
      <c r="V421" s="11" t="s">
        <v>440</v>
      </c>
      <c r="W421" s="11" t="s">
        <v>442</v>
      </c>
    </row>
    <row r="422" spans="1:23">
      <c r="A422" s="11" t="s">
        <v>825</v>
      </c>
      <c r="B422" s="11">
        <f ca="1">+IF(A422=WORLDCUP!$BI$112,1,0)</f>
        <v>0</v>
      </c>
      <c r="C422" s="11" t="str">
        <f ca="1">+WORLDCUP!BD62</f>
        <v>Ecuador</v>
      </c>
      <c r="D422" s="11" t="str">
        <f ca="1">+WORLDCUP!BD64</f>
        <v>Iran</v>
      </c>
      <c r="E422" s="11" t="str">
        <f ca="1">+WORLDCUP!BD59</f>
        <v>Bosnia and Herzegovina</v>
      </c>
      <c r="F422" s="11" t="str">
        <f ca="1">+WORLDCUP!BD60</f>
        <v>Scotland</v>
      </c>
      <c r="G422" s="11" t="str">
        <f ca="1">+WORLDCUP!BD58</f>
        <v>South Korea</v>
      </c>
      <c r="H422" s="11" t="str">
        <f ca="1">+WORLDCUP!BD63</f>
        <v>Sweden</v>
      </c>
      <c r="I422" s="11" t="str">
        <f ca="1">+WORLDCUP!BD66</f>
        <v>Senegal</v>
      </c>
      <c r="J422" s="11" t="str">
        <f ca="1">+WORLDCUP!BD67</f>
        <v>Algeria</v>
      </c>
      <c r="N422" s="11" t="s">
        <v>825</v>
      </c>
      <c r="O422" s="11">
        <v>421</v>
      </c>
      <c r="P422" s="11" t="s">
        <v>93</v>
      </c>
      <c r="Q422" s="11" t="s">
        <v>435</v>
      </c>
      <c r="R422" s="11" t="s">
        <v>90</v>
      </c>
      <c r="S422" s="11" t="s">
        <v>91</v>
      </c>
      <c r="T422" s="11" t="s">
        <v>89</v>
      </c>
      <c r="U422" s="11" t="s">
        <v>94</v>
      </c>
      <c r="V422" s="11" t="s">
        <v>440</v>
      </c>
      <c r="W422" s="11" t="s">
        <v>441</v>
      </c>
    </row>
    <row r="423" spans="1:23">
      <c r="A423" s="11" t="s">
        <v>824</v>
      </c>
      <c r="B423" s="11">
        <f ca="1">+IF(A423=WORLDCUP!$BI$112,1,0)</f>
        <v>0</v>
      </c>
      <c r="C423" s="11" t="str">
        <f ca="1">+WORLDCUP!BD65</f>
        <v>Uruguay</v>
      </c>
      <c r="D423" s="11" t="str">
        <f ca="1">+WORLDCUP!BD64</f>
        <v>Iran</v>
      </c>
      <c r="E423" s="11" t="str">
        <f ca="1">+WORLDCUP!BD59</f>
        <v>Bosnia and Herzegovina</v>
      </c>
      <c r="F423" s="11" t="str">
        <f ca="1">+WORLDCUP!BD60</f>
        <v>Scotland</v>
      </c>
      <c r="G423" s="11" t="str">
        <f ca="1">+WORLDCUP!BD58</f>
        <v>South Korea</v>
      </c>
      <c r="H423" s="11" t="str">
        <f ca="1">+WORLDCUP!BD63</f>
        <v>Sweden</v>
      </c>
      <c r="I423" s="11" t="str">
        <f ca="1">+WORLDCUP!BD69</f>
        <v>Ghana</v>
      </c>
      <c r="J423" s="11" t="str">
        <f ca="1">+WORLDCUP!BD62</f>
        <v>Ecuador</v>
      </c>
      <c r="N423" s="11" t="s">
        <v>824</v>
      </c>
      <c r="O423" s="11">
        <v>422</v>
      </c>
      <c r="P423" s="11" t="s">
        <v>436</v>
      </c>
      <c r="Q423" s="11" t="s">
        <v>435</v>
      </c>
      <c r="R423" s="11" t="s">
        <v>90</v>
      </c>
      <c r="S423" s="11" t="s">
        <v>91</v>
      </c>
      <c r="T423" s="11" t="s">
        <v>89</v>
      </c>
      <c r="U423" s="11" t="s">
        <v>94</v>
      </c>
      <c r="V423" s="11" t="s">
        <v>443</v>
      </c>
      <c r="W423" s="11" t="s">
        <v>93</v>
      </c>
    </row>
    <row r="424" spans="1:23">
      <c r="A424" s="11" t="s">
        <v>823</v>
      </c>
      <c r="B424" s="11">
        <f ca="1">+IF(A424=WORLDCUP!$BI$112,1,0)</f>
        <v>0</v>
      </c>
      <c r="C424" s="11" t="str">
        <f ca="1">+WORLDCUP!BD65</f>
        <v>Uruguay</v>
      </c>
      <c r="D424" s="11" t="str">
        <f ca="1">+WORLDCUP!BD64</f>
        <v>Iran</v>
      </c>
      <c r="E424" s="11" t="str">
        <f ca="1">+WORLDCUP!BD59</f>
        <v>Bosnia and Herzegovina</v>
      </c>
      <c r="F424" s="11" t="str">
        <f ca="1">+WORLDCUP!BD60</f>
        <v>Scotland</v>
      </c>
      <c r="G424" s="11" t="str">
        <f ca="1">+WORLDCUP!BD58</f>
        <v>South Korea</v>
      </c>
      <c r="H424" s="11" t="str">
        <f ca="1">+WORLDCUP!BD63</f>
        <v>Sweden</v>
      </c>
      <c r="I424" s="11" t="str">
        <f ca="1">+WORLDCUP!BD62</f>
        <v>Ecuador</v>
      </c>
      <c r="J424" s="11" t="str">
        <f ca="1">+WORLDCUP!BD68</f>
        <v>DR Congo</v>
      </c>
      <c r="N424" s="11" t="s">
        <v>823</v>
      </c>
      <c r="O424" s="11">
        <v>423</v>
      </c>
      <c r="P424" s="11" t="s">
        <v>436</v>
      </c>
      <c r="Q424" s="11" t="s">
        <v>435</v>
      </c>
      <c r="R424" s="11" t="s">
        <v>90</v>
      </c>
      <c r="S424" s="11" t="s">
        <v>91</v>
      </c>
      <c r="T424" s="11" t="s">
        <v>89</v>
      </c>
      <c r="U424" s="11" t="s">
        <v>94</v>
      </c>
      <c r="V424" s="11" t="s">
        <v>93</v>
      </c>
      <c r="W424" s="11" t="s">
        <v>442</v>
      </c>
    </row>
    <row r="425" spans="1:23">
      <c r="A425" s="11" t="s">
        <v>822</v>
      </c>
      <c r="B425" s="11">
        <f ca="1">+IF(A425=WORLDCUP!$BI$112,1,0)</f>
        <v>0</v>
      </c>
      <c r="C425" s="11" t="str">
        <f ca="1">+WORLDCUP!BD65</f>
        <v>Uruguay</v>
      </c>
      <c r="D425" s="11" t="str">
        <f ca="1">+WORLDCUP!BD64</f>
        <v>Iran</v>
      </c>
      <c r="E425" s="11" t="str">
        <f ca="1">+WORLDCUP!BD59</f>
        <v>Bosnia and Herzegovina</v>
      </c>
      <c r="F425" s="11" t="str">
        <f ca="1">+WORLDCUP!BD60</f>
        <v>Scotland</v>
      </c>
      <c r="G425" s="11" t="str">
        <f ca="1">+WORLDCUP!BD58</f>
        <v>South Korea</v>
      </c>
      <c r="H425" s="11" t="str">
        <f ca="1">+WORLDCUP!BD63</f>
        <v>Sweden</v>
      </c>
      <c r="I425" s="11" t="str">
        <f ca="1">+WORLDCUP!BD62</f>
        <v>Ecuador</v>
      </c>
      <c r="J425" s="11" t="str">
        <f ca="1">+WORLDCUP!BD67</f>
        <v>Algeria</v>
      </c>
      <c r="N425" s="11" t="s">
        <v>822</v>
      </c>
      <c r="O425" s="11">
        <v>424</v>
      </c>
      <c r="P425" s="11" t="s">
        <v>436</v>
      </c>
      <c r="Q425" s="11" t="s">
        <v>435</v>
      </c>
      <c r="R425" s="11" t="s">
        <v>90</v>
      </c>
      <c r="S425" s="11" t="s">
        <v>91</v>
      </c>
      <c r="T425" s="11" t="s">
        <v>89</v>
      </c>
      <c r="U425" s="11" t="s">
        <v>94</v>
      </c>
      <c r="V425" s="11" t="s">
        <v>93</v>
      </c>
      <c r="W425" s="11" t="s">
        <v>441</v>
      </c>
    </row>
    <row r="426" spans="1:23">
      <c r="A426" s="11" t="s">
        <v>821</v>
      </c>
      <c r="B426" s="11">
        <f ca="1">+IF(A426=WORLDCUP!$BI$112,1,0)</f>
        <v>0</v>
      </c>
      <c r="C426" s="11" t="str">
        <f ca="1">+WORLDCUP!BD65</f>
        <v>Uruguay</v>
      </c>
      <c r="D426" s="11" t="str">
        <f ca="1">+WORLDCUP!BD64</f>
        <v>Iran</v>
      </c>
      <c r="E426" s="11" t="str">
        <f ca="1">+WORLDCUP!BD59</f>
        <v>Bosnia and Herzegovina</v>
      </c>
      <c r="F426" s="11" t="str">
        <f ca="1">+WORLDCUP!BD60</f>
        <v>Scotland</v>
      </c>
      <c r="G426" s="11" t="str">
        <f ca="1">+WORLDCUP!BD58</f>
        <v>South Korea</v>
      </c>
      <c r="H426" s="11" t="str">
        <f ca="1">+WORLDCUP!BD63</f>
        <v>Sweden</v>
      </c>
      <c r="I426" s="11" t="str">
        <f ca="1">+WORLDCUP!BD62</f>
        <v>Ecuador</v>
      </c>
      <c r="J426" s="11" t="str">
        <f ca="1">+WORLDCUP!BD66</f>
        <v>Senegal</v>
      </c>
      <c r="N426" s="11" t="s">
        <v>821</v>
      </c>
      <c r="O426" s="11">
        <v>425</v>
      </c>
      <c r="P426" s="11" t="s">
        <v>436</v>
      </c>
      <c r="Q426" s="11" t="s">
        <v>435</v>
      </c>
      <c r="R426" s="11" t="s">
        <v>90</v>
      </c>
      <c r="S426" s="11" t="s">
        <v>91</v>
      </c>
      <c r="T426" s="11" t="s">
        <v>89</v>
      </c>
      <c r="U426" s="11" t="s">
        <v>94</v>
      </c>
      <c r="V426" s="11" t="s">
        <v>93</v>
      </c>
      <c r="W426" s="11" t="s">
        <v>440</v>
      </c>
    </row>
    <row r="427" spans="1:23">
      <c r="A427" s="11" t="s">
        <v>820</v>
      </c>
      <c r="B427" s="11">
        <f ca="1">+IF(A427=WORLDCUP!$BI$112,1,0)</f>
        <v>0</v>
      </c>
      <c r="C427" s="11" t="str">
        <f ca="1">+WORLDCUP!BD66</f>
        <v>Senegal</v>
      </c>
      <c r="D427" s="11" t="str">
        <f ca="1">+WORLDCUP!BD67</f>
        <v>Algeria</v>
      </c>
      <c r="E427" s="11" t="str">
        <f ca="1">+WORLDCUP!BD59</f>
        <v>Bosnia and Herzegovina</v>
      </c>
      <c r="F427" s="11" t="str">
        <f ca="1">+WORLDCUP!BD60</f>
        <v>Scotland</v>
      </c>
      <c r="G427" s="11" t="str">
        <f ca="1">+WORLDCUP!BD58</f>
        <v>South Korea</v>
      </c>
      <c r="H427" s="11" t="str">
        <f ca="1">+WORLDCUP!BD61</f>
        <v>Paraguay</v>
      </c>
      <c r="I427" s="11" t="str">
        <f ca="1">+WORLDCUP!BD69</f>
        <v>Ghana</v>
      </c>
      <c r="J427" s="11" t="str">
        <f ca="1">+WORLDCUP!BD68</f>
        <v>DR Congo</v>
      </c>
      <c r="N427" s="11" t="s">
        <v>820</v>
      </c>
      <c r="O427" s="11">
        <v>426</v>
      </c>
      <c r="P427" s="11" t="s">
        <v>440</v>
      </c>
      <c r="Q427" s="11" t="s">
        <v>441</v>
      </c>
      <c r="R427" s="11" t="s">
        <v>90</v>
      </c>
      <c r="S427" s="11" t="s">
        <v>91</v>
      </c>
      <c r="T427" s="11" t="s">
        <v>89</v>
      </c>
      <c r="U427" s="11" t="s">
        <v>92</v>
      </c>
      <c r="V427" s="11" t="s">
        <v>443</v>
      </c>
      <c r="W427" s="11" t="s">
        <v>442</v>
      </c>
    </row>
    <row r="428" spans="1:23">
      <c r="A428" s="11" t="s">
        <v>819</v>
      </c>
      <c r="B428" s="11">
        <f ca="1">+IF(A428=WORLDCUP!$BI$112,1,0)</f>
        <v>0</v>
      </c>
      <c r="C428" s="11" t="str">
        <f ca="1">+WORLDCUP!BD65</f>
        <v>Uruguay</v>
      </c>
      <c r="D428" s="11" t="str">
        <f ca="1">+WORLDCUP!BD67</f>
        <v>Algeria</v>
      </c>
      <c r="E428" s="11" t="str">
        <f ca="1">+WORLDCUP!BD59</f>
        <v>Bosnia and Herzegovina</v>
      </c>
      <c r="F428" s="11" t="str">
        <f ca="1">+WORLDCUP!BD60</f>
        <v>Scotland</v>
      </c>
      <c r="G428" s="11" t="str">
        <f ca="1">+WORLDCUP!BD58</f>
        <v>South Korea</v>
      </c>
      <c r="H428" s="11" t="str">
        <f ca="1">+WORLDCUP!BD61</f>
        <v>Paraguay</v>
      </c>
      <c r="I428" s="11" t="str">
        <f ca="1">+WORLDCUP!BD69</f>
        <v>Ghana</v>
      </c>
      <c r="J428" s="11" t="str">
        <f ca="1">+WORLDCUP!BD68</f>
        <v>DR Congo</v>
      </c>
      <c r="N428" s="11" t="s">
        <v>819</v>
      </c>
      <c r="O428" s="11">
        <v>427</v>
      </c>
      <c r="P428" s="11" t="s">
        <v>436</v>
      </c>
      <c r="Q428" s="11" t="s">
        <v>441</v>
      </c>
      <c r="R428" s="11" t="s">
        <v>90</v>
      </c>
      <c r="S428" s="11" t="s">
        <v>91</v>
      </c>
      <c r="T428" s="11" t="s">
        <v>89</v>
      </c>
      <c r="U428" s="11" t="s">
        <v>92</v>
      </c>
      <c r="V428" s="11" t="s">
        <v>443</v>
      </c>
      <c r="W428" s="11" t="s">
        <v>442</v>
      </c>
    </row>
    <row r="429" spans="1:23">
      <c r="A429" s="11" t="s">
        <v>818</v>
      </c>
      <c r="B429" s="11">
        <f ca="1">+IF(A429=WORLDCUP!$BI$112,1,0)</f>
        <v>0</v>
      </c>
      <c r="C429" s="11" t="str">
        <f ca="1">+WORLDCUP!BD65</f>
        <v>Uruguay</v>
      </c>
      <c r="D429" s="11" t="str">
        <f ca="1">+WORLDCUP!BD66</f>
        <v>Senegal</v>
      </c>
      <c r="E429" s="11" t="str">
        <f ca="1">+WORLDCUP!BD59</f>
        <v>Bosnia and Herzegovina</v>
      </c>
      <c r="F429" s="11" t="str">
        <f ca="1">+WORLDCUP!BD60</f>
        <v>Scotland</v>
      </c>
      <c r="G429" s="11" t="str">
        <f ca="1">+WORLDCUP!BD58</f>
        <v>South Korea</v>
      </c>
      <c r="H429" s="11" t="str">
        <f ca="1">+WORLDCUP!BD61</f>
        <v>Paraguay</v>
      </c>
      <c r="I429" s="11" t="str">
        <f ca="1">+WORLDCUP!BD69</f>
        <v>Ghana</v>
      </c>
      <c r="J429" s="11" t="str">
        <f ca="1">+WORLDCUP!BD68</f>
        <v>DR Congo</v>
      </c>
      <c r="N429" s="11" t="s">
        <v>818</v>
      </c>
      <c r="O429" s="11">
        <v>428</v>
      </c>
      <c r="P429" s="11" t="s">
        <v>436</v>
      </c>
      <c r="Q429" s="11" t="s">
        <v>440</v>
      </c>
      <c r="R429" s="11" t="s">
        <v>90</v>
      </c>
      <c r="S429" s="11" t="s">
        <v>91</v>
      </c>
      <c r="T429" s="11" t="s">
        <v>89</v>
      </c>
      <c r="U429" s="11" t="s">
        <v>92</v>
      </c>
      <c r="V429" s="11" t="s">
        <v>443</v>
      </c>
      <c r="W429" s="11" t="s">
        <v>442</v>
      </c>
    </row>
    <row r="430" spans="1:23">
      <c r="A430" s="11" t="s">
        <v>817</v>
      </c>
      <c r="B430" s="11">
        <f ca="1">+IF(A430=WORLDCUP!$BI$112,1,0)</f>
        <v>0</v>
      </c>
      <c r="C430" s="11" t="str">
        <f ca="1">+WORLDCUP!BD65</f>
        <v>Uruguay</v>
      </c>
      <c r="D430" s="11" t="str">
        <f ca="1">+WORLDCUP!BD67</f>
        <v>Algeria</v>
      </c>
      <c r="E430" s="11" t="str">
        <f ca="1">+WORLDCUP!BD59</f>
        <v>Bosnia and Herzegovina</v>
      </c>
      <c r="F430" s="11" t="str">
        <f ca="1">+WORLDCUP!BD60</f>
        <v>Scotland</v>
      </c>
      <c r="G430" s="11" t="str">
        <f ca="1">+WORLDCUP!BD58</f>
        <v>South Korea</v>
      </c>
      <c r="H430" s="11" t="str">
        <f ca="1">+WORLDCUP!BD61</f>
        <v>Paraguay</v>
      </c>
      <c r="I430" s="11" t="str">
        <f ca="1">+WORLDCUP!BD69</f>
        <v>Ghana</v>
      </c>
      <c r="J430" s="11" t="str">
        <f ca="1">+WORLDCUP!BD66</f>
        <v>Senegal</v>
      </c>
      <c r="N430" s="11" t="s">
        <v>817</v>
      </c>
      <c r="O430" s="11">
        <v>429</v>
      </c>
      <c r="P430" s="11" t="s">
        <v>436</v>
      </c>
      <c r="Q430" s="11" t="s">
        <v>441</v>
      </c>
      <c r="R430" s="11" t="s">
        <v>90</v>
      </c>
      <c r="S430" s="11" t="s">
        <v>91</v>
      </c>
      <c r="T430" s="11" t="s">
        <v>89</v>
      </c>
      <c r="U430" s="11" t="s">
        <v>92</v>
      </c>
      <c r="V430" s="11" t="s">
        <v>443</v>
      </c>
      <c r="W430" s="11" t="s">
        <v>440</v>
      </c>
    </row>
    <row r="431" spans="1:23">
      <c r="A431" s="11" t="s">
        <v>816</v>
      </c>
      <c r="B431" s="11">
        <f ca="1">+IF(A431=WORLDCUP!$BI$112,1,0)</f>
        <v>0</v>
      </c>
      <c r="C431" s="11" t="str">
        <f ca="1">+WORLDCUP!BD65</f>
        <v>Uruguay</v>
      </c>
      <c r="D431" s="11" t="str">
        <f ca="1">+WORLDCUP!BD67</f>
        <v>Algeria</v>
      </c>
      <c r="E431" s="11" t="str">
        <f ca="1">+WORLDCUP!BD59</f>
        <v>Bosnia and Herzegovina</v>
      </c>
      <c r="F431" s="11" t="str">
        <f ca="1">+WORLDCUP!BD60</f>
        <v>Scotland</v>
      </c>
      <c r="G431" s="11" t="str">
        <f ca="1">+WORLDCUP!BD58</f>
        <v>South Korea</v>
      </c>
      <c r="H431" s="11" t="str">
        <f ca="1">+WORLDCUP!BD61</f>
        <v>Paraguay</v>
      </c>
      <c r="I431" s="11" t="str">
        <f ca="1">+WORLDCUP!BD66</f>
        <v>Senegal</v>
      </c>
      <c r="J431" s="11" t="str">
        <f ca="1">+WORLDCUP!BD68</f>
        <v>DR Congo</v>
      </c>
      <c r="N431" s="11" t="s">
        <v>816</v>
      </c>
      <c r="O431" s="11">
        <v>430</v>
      </c>
      <c r="P431" s="11" t="s">
        <v>436</v>
      </c>
      <c r="Q431" s="11" t="s">
        <v>441</v>
      </c>
      <c r="R431" s="11" t="s">
        <v>90</v>
      </c>
      <c r="S431" s="11" t="s">
        <v>91</v>
      </c>
      <c r="T431" s="11" t="s">
        <v>89</v>
      </c>
      <c r="U431" s="11" t="s">
        <v>92</v>
      </c>
      <c r="V431" s="11" t="s">
        <v>440</v>
      </c>
      <c r="W431" s="11" t="s">
        <v>442</v>
      </c>
    </row>
    <row r="432" spans="1:23">
      <c r="A432" s="11" t="s">
        <v>815</v>
      </c>
      <c r="B432" s="11">
        <f ca="1">+IF(A432=WORLDCUP!$BI$112,1,0)</f>
        <v>0</v>
      </c>
      <c r="C432" s="11" t="str">
        <f ca="1">+WORLDCUP!BD60</f>
        <v>Scotland</v>
      </c>
      <c r="D432" s="11" t="str">
        <f ca="1">+WORLDCUP!BD67</f>
        <v>Algeria</v>
      </c>
      <c r="E432" s="11" t="str">
        <f ca="1">+WORLDCUP!BD59</f>
        <v>Bosnia and Herzegovina</v>
      </c>
      <c r="F432" s="11" t="str">
        <f ca="1">+WORLDCUP!BD61</f>
        <v>Paraguay</v>
      </c>
      <c r="G432" s="11" t="str">
        <f ca="1">+WORLDCUP!BD58</f>
        <v>South Korea</v>
      </c>
      <c r="H432" s="11" t="str">
        <f ca="1">+WORLDCUP!BD64</f>
        <v>Iran</v>
      </c>
      <c r="I432" s="11" t="str">
        <f ca="1">+WORLDCUP!BD69</f>
        <v>Ghana</v>
      </c>
      <c r="J432" s="11" t="str">
        <f ca="1">+WORLDCUP!BD68</f>
        <v>DR Congo</v>
      </c>
      <c r="N432" s="11" t="s">
        <v>815</v>
      </c>
      <c r="O432" s="11">
        <v>431</v>
      </c>
      <c r="P432" s="11" t="s">
        <v>91</v>
      </c>
      <c r="Q432" s="11" t="s">
        <v>441</v>
      </c>
      <c r="R432" s="11" t="s">
        <v>90</v>
      </c>
      <c r="S432" s="11" t="s">
        <v>92</v>
      </c>
      <c r="T432" s="11" t="s">
        <v>89</v>
      </c>
      <c r="U432" s="11" t="s">
        <v>435</v>
      </c>
      <c r="V432" s="11" t="s">
        <v>443</v>
      </c>
      <c r="W432" s="11" t="s">
        <v>442</v>
      </c>
    </row>
    <row r="433" spans="1:23">
      <c r="A433" s="11" t="s">
        <v>814</v>
      </c>
      <c r="B433" s="11">
        <f ca="1">+IF(A433=WORLDCUP!$BI$112,1,0)</f>
        <v>0</v>
      </c>
      <c r="C433" s="11" t="str">
        <f ca="1">+WORLDCUP!BD66</f>
        <v>Senegal</v>
      </c>
      <c r="D433" s="11" t="str">
        <f ca="1">+WORLDCUP!BD64</f>
        <v>Iran</v>
      </c>
      <c r="E433" s="11" t="str">
        <f ca="1">+WORLDCUP!BD59</f>
        <v>Bosnia and Herzegovina</v>
      </c>
      <c r="F433" s="11" t="str">
        <f ca="1">+WORLDCUP!BD60</f>
        <v>Scotland</v>
      </c>
      <c r="G433" s="11" t="str">
        <f ca="1">+WORLDCUP!BD58</f>
        <v>South Korea</v>
      </c>
      <c r="H433" s="11" t="str">
        <f ca="1">+WORLDCUP!BD61</f>
        <v>Paraguay</v>
      </c>
      <c r="I433" s="11" t="str">
        <f ca="1">+WORLDCUP!BD69</f>
        <v>Ghana</v>
      </c>
      <c r="J433" s="11" t="str">
        <f ca="1">+WORLDCUP!BD68</f>
        <v>DR Congo</v>
      </c>
      <c r="N433" s="11" t="s">
        <v>814</v>
      </c>
      <c r="O433" s="11">
        <v>432</v>
      </c>
      <c r="P433" s="11" t="s">
        <v>440</v>
      </c>
      <c r="Q433" s="11" t="s">
        <v>435</v>
      </c>
      <c r="R433" s="11" t="s">
        <v>90</v>
      </c>
      <c r="S433" s="11" t="s">
        <v>91</v>
      </c>
      <c r="T433" s="11" t="s">
        <v>89</v>
      </c>
      <c r="U433" s="11" t="s">
        <v>92</v>
      </c>
      <c r="V433" s="11" t="s">
        <v>443</v>
      </c>
      <c r="W433" s="11" t="s">
        <v>442</v>
      </c>
    </row>
    <row r="434" spans="1:23">
      <c r="A434" s="11" t="s">
        <v>813</v>
      </c>
      <c r="B434" s="11">
        <f ca="1">+IF(A434=WORLDCUP!$BI$112,1,0)</f>
        <v>0</v>
      </c>
      <c r="C434" s="11" t="str">
        <f ca="1">+WORLDCUP!BD60</f>
        <v>Scotland</v>
      </c>
      <c r="D434" s="11" t="str">
        <f ca="1">+WORLDCUP!BD67</f>
        <v>Algeria</v>
      </c>
      <c r="E434" s="11" t="str">
        <f ca="1">+WORLDCUP!BD59</f>
        <v>Bosnia and Herzegovina</v>
      </c>
      <c r="F434" s="11" t="str">
        <f ca="1">+WORLDCUP!BD61</f>
        <v>Paraguay</v>
      </c>
      <c r="G434" s="11" t="str">
        <f ca="1">+WORLDCUP!BD58</f>
        <v>South Korea</v>
      </c>
      <c r="H434" s="11" t="str">
        <f ca="1">+WORLDCUP!BD64</f>
        <v>Iran</v>
      </c>
      <c r="I434" s="11" t="str">
        <f ca="1">+WORLDCUP!BD69</f>
        <v>Ghana</v>
      </c>
      <c r="J434" s="11" t="str">
        <f ca="1">+WORLDCUP!BD66</f>
        <v>Senegal</v>
      </c>
      <c r="N434" s="11" t="s">
        <v>813</v>
      </c>
      <c r="O434" s="11">
        <v>433</v>
      </c>
      <c r="P434" s="11" t="s">
        <v>91</v>
      </c>
      <c r="Q434" s="11" t="s">
        <v>441</v>
      </c>
      <c r="R434" s="11" t="s">
        <v>90</v>
      </c>
      <c r="S434" s="11" t="s">
        <v>92</v>
      </c>
      <c r="T434" s="11" t="s">
        <v>89</v>
      </c>
      <c r="U434" s="11" t="s">
        <v>435</v>
      </c>
      <c r="V434" s="11" t="s">
        <v>443</v>
      </c>
      <c r="W434" s="11" t="s">
        <v>440</v>
      </c>
    </row>
    <row r="435" spans="1:23">
      <c r="A435" s="11" t="s">
        <v>812</v>
      </c>
      <c r="B435" s="11">
        <f ca="1">+IF(A435=WORLDCUP!$BI$112,1,0)</f>
        <v>0</v>
      </c>
      <c r="C435" s="11" t="str">
        <f ca="1">+WORLDCUP!BD60</f>
        <v>Scotland</v>
      </c>
      <c r="D435" s="11" t="str">
        <f ca="1">+WORLDCUP!BD67</f>
        <v>Algeria</v>
      </c>
      <c r="E435" s="11" t="str">
        <f ca="1">+WORLDCUP!BD59</f>
        <v>Bosnia and Herzegovina</v>
      </c>
      <c r="F435" s="11" t="str">
        <f ca="1">+WORLDCUP!BD61</f>
        <v>Paraguay</v>
      </c>
      <c r="G435" s="11" t="str">
        <f ca="1">+WORLDCUP!BD58</f>
        <v>South Korea</v>
      </c>
      <c r="H435" s="11" t="str">
        <f ca="1">+WORLDCUP!BD64</f>
        <v>Iran</v>
      </c>
      <c r="I435" s="11" t="str">
        <f ca="1">+WORLDCUP!BD66</f>
        <v>Senegal</v>
      </c>
      <c r="J435" s="11" t="str">
        <f ca="1">+WORLDCUP!BD68</f>
        <v>DR Congo</v>
      </c>
      <c r="N435" s="11" t="s">
        <v>812</v>
      </c>
      <c r="O435" s="11">
        <v>434</v>
      </c>
      <c r="P435" s="11" t="s">
        <v>91</v>
      </c>
      <c r="Q435" s="11" t="s">
        <v>441</v>
      </c>
      <c r="R435" s="11" t="s">
        <v>90</v>
      </c>
      <c r="S435" s="11" t="s">
        <v>92</v>
      </c>
      <c r="T435" s="11" t="s">
        <v>89</v>
      </c>
      <c r="U435" s="11" t="s">
        <v>435</v>
      </c>
      <c r="V435" s="11" t="s">
        <v>440</v>
      </c>
      <c r="W435" s="11" t="s">
        <v>442</v>
      </c>
    </row>
    <row r="436" spans="1:23">
      <c r="A436" s="11" t="s">
        <v>811</v>
      </c>
      <c r="B436" s="11">
        <f ca="1">+IF(A436=WORLDCUP!$BI$112,1,0)</f>
        <v>0</v>
      </c>
      <c r="C436" s="11" t="str">
        <f ca="1">+WORLDCUP!BD65</f>
        <v>Uruguay</v>
      </c>
      <c r="D436" s="11" t="str">
        <f ca="1">+WORLDCUP!BD64</f>
        <v>Iran</v>
      </c>
      <c r="E436" s="11" t="str">
        <f ca="1">+WORLDCUP!BD59</f>
        <v>Bosnia and Herzegovina</v>
      </c>
      <c r="F436" s="11" t="str">
        <f ca="1">+WORLDCUP!BD60</f>
        <v>Scotland</v>
      </c>
      <c r="G436" s="11" t="str">
        <f ca="1">+WORLDCUP!BD58</f>
        <v>South Korea</v>
      </c>
      <c r="H436" s="11" t="str">
        <f ca="1">+WORLDCUP!BD61</f>
        <v>Paraguay</v>
      </c>
      <c r="I436" s="11" t="str">
        <f ca="1">+WORLDCUP!BD69</f>
        <v>Ghana</v>
      </c>
      <c r="J436" s="11" t="str">
        <f ca="1">+WORLDCUP!BD68</f>
        <v>DR Congo</v>
      </c>
      <c r="N436" s="11" t="s">
        <v>811</v>
      </c>
      <c r="O436" s="11">
        <v>435</v>
      </c>
      <c r="P436" s="11" t="s">
        <v>436</v>
      </c>
      <c r="Q436" s="11" t="s">
        <v>435</v>
      </c>
      <c r="R436" s="11" t="s">
        <v>90</v>
      </c>
      <c r="S436" s="11" t="s">
        <v>91</v>
      </c>
      <c r="T436" s="11" t="s">
        <v>89</v>
      </c>
      <c r="U436" s="11" t="s">
        <v>92</v>
      </c>
      <c r="V436" s="11" t="s">
        <v>443</v>
      </c>
      <c r="W436" s="11" t="s">
        <v>442</v>
      </c>
    </row>
    <row r="437" spans="1:23">
      <c r="A437" s="11" t="s">
        <v>810</v>
      </c>
      <c r="B437" s="11">
        <f ca="1">+IF(A437=WORLDCUP!$BI$112,1,0)</f>
        <v>0</v>
      </c>
      <c r="C437" s="11" t="str">
        <f ca="1">+WORLDCUP!BD65</f>
        <v>Uruguay</v>
      </c>
      <c r="D437" s="11" t="str">
        <f ca="1">+WORLDCUP!BD64</f>
        <v>Iran</v>
      </c>
      <c r="E437" s="11" t="str">
        <f ca="1">+WORLDCUP!BD59</f>
        <v>Bosnia and Herzegovina</v>
      </c>
      <c r="F437" s="11" t="str">
        <f ca="1">+WORLDCUP!BD60</f>
        <v>Scotland</v>
      </c>
      <c r="G437" s="11" t="str">
        <f ca="1">+WORLDCUP!BD58</f>
        <v>South Korea</v>
      </c>
      <c r="H437" s="11" t="str">
        <f ca="1">+WORLDCUP!BD61</f>
        <v>Paraguay</v>
      </c>
      <c r="I437" s="11" t="str">
        <f ca="1">+WORLDCUP!BD69</f>
        <v>Ghana</v>
      </c>
      <c r="J437" s="11" t="str">
        <f ca="1">+WORLDCUP!BD67</f>
        <v>Algeria</v>
      </c>
      <c r="N437" s="11" t="s">
        <v>810</v>
      </c>
      <c r="O437" s="11">
        <v>436</v>
      </c>
      <c r="P437" s="11" t="s">
        <v>436</v>
      </c>
      <c r="Q437" s="11" t="s">
        <v>435</v>
      </c>
      <c r="R437" s="11" t="s">
        <v>90</v>
      </c>
      <c r="S437" s="11" t="s">
        <v>91</v>
      </c>
      <c r="T437" s="11" t="s">
        <v>89</v>
      </c>
      <c r="U437" s="11" t="s">
        <v>92</v>
      </c>
      <c r="V437" s="11" t="s">
        <v>443</v>
      </c>
      <c r="W437" s="11" t="s">
        <v>441</v>
      </c>
    </row>
    <row r="438" spans="1:23">
      <c r="A438" s="11" t="s">
        <v>809</v>
      </c>
      <c r="B438" s="11">
        <f ca="1">+IF(A438=WORLDCUP!$BI$112,1,0)</f>
        <v>0</v>
      </c>
      <c r="C438" s="11" t="str">
        <f ca="1">+WORLDCUP!BD65</f>
        <v>Uruguay</v>
      </c>
      <c r="D438" s="11" t="str">
        <f ca="1">+WORLDCUP!BD64</f>
        <v>Iran</v>
      </c>
      <c r="E438" s="11" t="str">
        <f ca="1">+WORLDCUP!BD59</f>
        <v>Bosnia and Herzegovina</v>
      </c>
      <c r="F438" s="11" t="str">
        <f ca="1">+WORLDCUP!BD60</f>
        <v>Scotland</v>
      </c>
      <c r="G438" s="11" t="str">
        <f ca="1">+WORLDCUP!BD58</f>
        <v>South Korea</v>
      </c>
      <c r="H438" s="11" t="str">
        <f ca="1">+WORLDCUP!BD61</f>
        <v>Paraguay</v>
      </c>
      <c r="I438" s="11" t="str">
        <f ca="1">+WORLDCUP!BD67</f>
        <v>Algeria</v>
      </c>
      <c r="J438" s="11" t="str">
        <f ca="1">+WORLDCUP!BD68</f>
        <v>DR Congo</v>
      </c>
      <c r="N438" s="11" t="s">
        <v>809</v>
      </c>
      <c r="O438" s="11">
        <v>437</v>
      </c>
      <c r="P438" s="11" t="s">
        <v>436</v>
      </c>
      <c r="Q438" s="11" t="s">
        <v>435</v>
      </c>
      <c r="R438" s="11" t="s">
        <v>90</v>
      </c>
      <c r="S438" s="11" t="s">
        <v>91</v>
      </c>
      <c r="T438" s="11" t="s">
        <v>89</v>
      </c>
      <c r="U438" s="11" t="s">
        <v>92</v>
      </c>
      <c r="V438" s="11" t="s">
        <v>441</v>
      </c>
      <c r="W438" s="11" t="s">
        <v>442</v>
      </c>
    </row>
    <row r="439" spans="1:23">
      <c r="A439" s="11" t="s">
        <v>808</v>
      </c>
      <c r="B439" s="11">
        <f ca="1">+IF(A439=WORLDCUP!$BI$112,1,0)</f>
        <v>0</v>
      </c>
      <c r="C439" s="11" t="str">
        <f ca="1">+WORLDCUP!BD65</f>
        <v>Uruguay</v>
      </c>
      <c r="D439" s="11" t="str">
        <f ca="1">+WORLDCUP!BD64</f>
        <v>Iran</v>
      </c>
      <c r="E439" s="11" t="str">
        <f ca="1">+WORLDCUP!BD59</f>
        <v>Bosnia and Herzegovina</v>
      </c>
      <c r="F439" s="11" t="str">
        <f ca="1">+WORLDCUP!BD60</f>
        <v>Scotland</v>
      </c>
      <c r="G439" s="11" t="str">
        <f ca="1">+WORLDCUP!BD58</f>
        <v>South Korea</v>
      </c>
      <c r="H439" s="11" t="str">
        <f ca="1">+WORLDCUP!BD61</f>
        <v>Paraguay</v>
      </c>
      <c r="I439" s="11" t="str">
        <f ca="1">+WORLDCUP!BD69</f>
        <v>Ghana</v>
      </c>
      <c r="J439" s="11" t="str">
        <f ca="1">+WORLDCUP!BD66</f>
        <v>Senegal</v>
      </c>
      <c r="N439" s="11" t="s">
        <v>808</v>
      </c>
      <c r="O439" s="11">
        <v>438</v>
      </c>
      <c r="P439" s="11" t="s">
        <v>436</v>
      </c>
      <c r="Q439" s="11" t="s">
        <v>435</v>
      </c>
      <c r="R439" s="11" t="s">
        <v>90</v>
      </c>
      <c r="S439" s="11" t="s">
        <v>91</v>
      </c>
      <c r="T439" s="11" t="s">
        <v>89</v>
      </c>
      <c r="U439" s="11" t="s">
        <v>92</v>
      </c>
      <c r="V439" s="11" t="s">
        <v>443</v>
      </c>
      <c r="W439" s="11" t="s">
        <v>440</v>
      </c>
    </row>
    <row r="440" spans="1:23">
      <c r="A440" s="11" t="s">
        <v>807</v>
      </c>
      <c r="B440" s="11">
        <f ca="1">+IF(A440=WORLDCUP!$BI$112,1,0)</f>
        <v>0</v>
      </c>
      <c r="C440" s="11" t="str">
        <f ca="1">+WORLDCUP!BD65</f>
        <v>Uruguay</v>
      </c>
      <c r="D440" s="11" t="str">
        <f ca="1">+WORLDCUP!BD64</f>
        <v>Iran</v>
      </c>
      <c r="E440" s="11" t="str">
        <f ca="1">+WORLDCUP!BD59</f>
        <v>Bosnia and Herzegovina</v>
      </c>
      <c r="F440" s="11" t="str">
        <f ca="1">+WORLDCUP!BD60</f>
        <v>Scotland</v>
      </c>
      <c r="G440" s="11" t="str">
        <f ca="1">+WORLDCUP!BD58</f>
        <v>South Korea</v>
      </c>
      <c r="H440" s="11" t="str">
        <f ca="1">+WORLDCUP!BD61</f>
        <v>Paraguay</v>
      </c>
      <c r="I440" s="11" t="str">
        <f ca="1">+WORLDCUP!BD66</f>
        <v>Senegal</v>
      </c>
      <c r="J440" s="11" t="str">
        <f ca="1">+WORLDCUP!BD68</f>
        <v>DR Congo</v>
      </c>
      <c r="N440" s="11" t="s">
        <v>807</v>
      </c>
      <c r="O440" s="11">
        <v>439</v>
      </c>
      <c r="P440" s="11" t="s">
        <v>436</v>
      </c>
      <c r="Q440" s="11" t="s">
        <v>435</v>
      </c>
      <c r="R440" s="11" t="s">
        <v>90</v>
      </c>
      <c r="S440" s="11" t="s">
        <v>91</v>
      </c>
      <c r="T440" s="11" t="s">
        <v>89</v>
      </c>
      <c r="U440" s="11" t="s">
        <v>92</v>
      </c>
      <c r="V440" s="11" t="s">
        <v>440</v>
      </c>
      <c r="W440" s="11" t="s">
        <v>442</v>
      </c>
    </row>
    <row r="441" spans="1:23">
      <c r="A441" s="11" t="s">
        <v>806</v>
      </c>
      <c r="B441" s="11">
        <f ca="1">+IF(A441=WORLDCUP!$BI$112,1,0)</f>
        <v>0</v>
      </c>
      <c r="C441" s="11" t="str">
        <f ca="1">+WORLDCUP!BD65</f>
        <v>Uruguay</v>
      </c>
      <c r="D441" s="11" t="str">
        <f ca="1">+WORLDCUP!BD64</f>
        <v>Iran</v>
      </c>
      <c r="E441" s="11" t="str">
        <f ca="1">+WORLDCUP!BD59</f>
        <v>Bosnia and Herzegovina</v>
      </c>
      <c r="F441" s="11" t="str">
        <f ca="1">+WORLDCUP!BD60</f>
        <v>Scotland</v>
      </c>
      <c r="G441" s="11" t="str">
        <f ca="1">+WORLDCUP!BD58</f>
        <v>South Korea</v>
      </c>
      <c r="H441" s="11" t="str">
        <f ca="1">+WORLDCUP!BD61</f>
        <v>Paraguay</v>
      </c>
      <c r="I441" s="11" t="str">
        <f ca="1">+WORLDCUP!BD66</f>
        <v>Senegal</v>
      </c>
      <c r="J441" s="11" t="str">
        <f ca="1">+WORLDCUP!BD67</f>
        <v>Algeria</v>
      </c>
      <c r="N441" s="11" t="s">
        <v>806</v>
      </c>
      <c r="O441" s="11">
        <v>440</v>
      </c>
      <c r="P441" s="11" t="s">
        <v>436</v>
      </c>
      <c r="Q441" s="11" t="s">
        <v>435</v>
      </c>
      <c r="R441" s="11" t="s">
        <v>90</v>
      </c>
      <c r="S441" s="11" t="s">
        <v>91</v>
      </c>
      <c r="T441" s="11" t="s">
        <v>89</v>
      </c>
      <c r="U441" s="11" t="s">
        <v>92</v>
      </c>
      <c r="V441" s="11" t="s">
        <v>440</v>
      </c>
      <c r="W441" s="11" t="s">
        <v>441</v>
      </c>
    </row>
    <row r="442" spans="1:23">
      <c r="A442" s="11" t="s">
        <v>805</v>
      </c>
      <c r="B442" s="11">
        <f ca="1">+IF(A442=WORLDCUP!$BI$112,1,0)</f>
        <v>0</v>
      </c>
      <c r="C442" s="11" t="str">
        <f ca="1">+WORLDCUP!BD60</f>
        <v>Scotland</v>
      </c>
      <c r="D442" s="11" t="str">
        <f ca="1">+WORLDCUP!BD67</f>
        <v>Algeria</v>
      </c>
      <c r="E442" s="11" t="str">
        <f ca="1">+WORLDCUP!BD59</f>
        <v>Bosnia and Herzegovina</v>
      </c>
      <c r="F442" s="11" t="str">
        <f ca="1">+WORLDCUP!BD61</f>
        <v>Paraguay</v>
      </c>
      <c r="G442" s="11" t="str">
        <f ca="1">+WORLDCUP!BD58</f>
        <v>South Korea</v>
      </c>
      <c r="H442" s="11" t="str">
        <f ca="1">+WORLDCUP!BD63</f>
        <v>Sweden</v>
      </c>
      <c r="I442" s="11" t="str">
        <f ca="1">+WORLDCUP!BD69</f>
        <v>Ghana</v>
      </c>
      <c r="J442" s="11" t="str">
        <f ca="1">+WORLDCUP!BD68</f>
        <v>DR Congo</v>
      </c>
      <c r="N442" s="11" t="s">
        <v>805</v>
      </c>
      <c r="O442" s="11">
        <v>441</v>
      </c>
      <c r="P442" s="11" t="s">
        <v>91</v>
      </c>
      <c r="Q442" s="11" t="s">
        <v>441</v>
      </c>
      <c r="R442" s="11" t="s">
        <v>90</v>
      </c>
      <c r="S442" s="11" t="s">
        <v>92</v>
      </c>
      <c r="T442" s="11" t="s">
        <v>89</v>
      </c>
      <c r="U442" s="11" t="s">
        <v>94</v>
      </c>
      <c r="V442" s="11" t="s">
        <v>443</v>
      </c>
      <c r="W442" s="11" t="s">
        <v>442</v>
      </c>
    </row>
    <row r="443" spans="1:23">
      <c r="A443" s="11" t="s">
        <v>804</v>
      </c>
      <c r="B443" s="11">
        <f ca="1">+IF(A443=WORLDCUP!$BI$112,1,0)</f>
        <v>0</v>
      </c>
      <c r="C443" s="11" t="str">
        <f ca="1">+WORLDCUP!BD60</f>
        <v>Scotland</v>
      </c>
      <c r="D443" s="11" t="str">
        <f ca="1">+WORLDCUP!BD66</f>
        <v>Senegal</v>
      </c>
      <c r="E443" s="11" t="str">
        <f ca="1">+WORLDCUP!BD59</f>
        <v>Bosnia and Herzegovina</v>
      </c>
      <c r="F443" s="11" t="str">
        <f ca="1">+WORLDCUP!BD61</f>
        <v>Paraguay</v>
      </c>
      <c r="G443" s="11" t="str">
        <f ca="1">+WORLDCUP!BD58</f>
        <v>South Korea</v>
      </c>
      <c r="H443" s="11" t="str">
        <f ca="1">+WORLDCUP!BD63</f>
        <v>Sweden</v>
      </c>
      <c r="I443" s="11" t="str">
        <f ca="1">+WORLDCUP!BD69</f>
        <v>Ghana</v>
      </c>
      <c r="J443" s="11" t="str">
        <f ca="1">+WORLDCUP!BD68</f>
        <v>DR Congo</v>
      </c>
      <c r="N443" s="11" t="s">
        <v>804</v>
      </c>
      <c r="O443" s="11">
        <v>442</v>
      </c>
      <c r="P443" s="11" t="s">
        <v>91</v>
      </c>
      <c r="Q443" s="11" t="s">
        <v>440</v>
      </c>
      <c r="R443" s="11" t="s">
        <v>90</v>
      </c>
      <c r="S443" s="11" t="s">
        <v>92</v>
      </c>
      <c r="T443" s="11" t="s">
        <v>89</v>
      </c>
      <c r="U443" s="11" t="s">
        <v>94</v>
      </c>
      <c r="V443" s="11" t="s">
        <v>443</v>
      </c>
      <c r="W443" s="11" t="s">
        <v>442</v>
      </c>
    </row>
    <row r="444" spans="1:23">
      <c r="A444" s="11" t="s">
        <v>803</v>
      </c>
      <c r="B444" s="11">
        <f ca="1">+IF(A444=WORLDCUP!$BI$112,1,0)</f>
        <v>0</v>
      </c>
      <c r="C444" s="11" t="str">
        <f ca="1">+WORLDCUP!BD60</f>
        <v>Scotland</v>
      </c>
      <c r="D444" s="11" t="str">
        <f ca="1">+WORLDCUP!BD67</f>
        <v>Algeria</v>
      </c>
      <c r="E444" s="11" t="str">
        <f ca="1">+WORLDCUP!BD59</f>
        <v>Bosnia and Herzegovina</v>
      </c>
      <c r="F444" s="11" t="str">
        <f ca="1">+WORLDCUP!BD61</f>
        <v>Paraguay</v>
      </c>
      <c r="G444" s="11" t="str">
        <f ca="1">+WORLDCUP!BD58</f>
        <v>South Korea</v>
      </c>
      <c r="H444" s="11" t="str">
        <f ca="1">+WORLDCUP!BD63</f>
        <v>Sweden</v>
      </c>
      <c r="I444" s="11" t="str">
        <f ca="1">+WORLDCUP!BD69</f>
        <v>Ghana</v>
      </c>
      <c r="J444" s="11" t="str">
        <f ca="1">+WORLDCUP!BD66</f>
        <v>Senegal</v>
      </c>
      <c r="N444" s="11" t="s">
        <v>803</v>
      </c>
      <c r="O444" s="11">
        <v>443</v>
      </c>
      <c r="P444" s="11" t="s">
        <v>91</v>
      </c>
      <c r="Q444" s="11" t="s">
        <v>441</v>
      </c>
      <c r="R444" s="11" t="s">
        <v>90</v>
      </c>
      <c r="S444" s="11" t="s">
        <v>92</v>
      </c>
      <c r="T444" s="11" t="s">
        <v>89</v>
      </c>
      <c r="U444" s="11" t="s">
        <v>94</v>
      </c>
      <c r="V444" s="11" t="s">
        <v>443</v>
      </c>
      <c r="W444" s="11" t="s">
        <v>440</v>
      </c>
    </row>
    <row r="445" spans="1:23">
      <c r="A445" s="11" t="s">
        <v>802</v>
      </c>
      <c r="B445" s="11">
        <f ca="1">+IF(A445=WORLDCUP!$BI$112,1,0)</f>
        <v>0</v>
      </c>
      <c r="C445" s="11" t="str">
        <f ca="1">+WORLDCUP!BD60</f>
        <v>Scotland</v>
      </c>
      <c r="D445" s="11" t="str">
        <f ca="1">+WORLDCUP!BD67</f>
        <v>Algeria</v>
      </c>
      <c r="E445" s="11" t="str">
        <f ca="1">+WORLDCUP!BD59</f>
        <v>Bosnia and Herzegovina</v>
      </c>
      <c r="F445" s="11" t="str">
        <f ca="1">+WORLDCUP!BD61</f>
        <v>Paraguay</v>
      </c>
      <c r="G445" s="11" t="str">
        <f ca="1">+WORLDCUP!BD58</f>
        <v>South Korea</v>
      </c>
      <c r="H445" s="11" t="str">
        <f ca="1">+WORLDCUP!BD63</f>
        <v>Sweden</v>
      </c>
      <c r="I445" s="11" t="str">
        <f ca="1">+WORLDCUP!BD66</f>
        <v>Senegal</v>
      </c>
      <c r="J445" s="11" t="str">
        <f ca="1">+WORLDCUP!BD68</f>
        <v>DR Congo</v>
      </c>
      <c r="N445" s="11" t="s">
        <v>802</v>
      </c>
      <c r="O445" s="11">
        <v>444</v>
      </c>
      <c r="P445" s="11" t="s">
        <v>91</v>
      </c>
      <c r="Q445" s="11" t="s">
        <v>441</v>
      </c>
      <c r="R445" s="11" t="s">
        <v>90</v>
      </c>
      <c r="S445" s="11" t="s">
        <v>92</v>
      </c>
      <c r="T445" s="11" t="s">
        <v>89</v>
      </c>
      <c r="U445" s="11" t="s">
        <v>94</v>
      </c>
      <c r="V445" s="11" t="s">
        <v>440</v>
      </c>
      <c r="W445" s="11" t="s">
        <v>442</v>
      </c>
    </row>
    <row r="446" spans="1:23">
      <c r="A446" s="11" t="s">
        <v>801</v>
      </c>
      <c r="B446" s="11">
        <f ca="1">+IF(A446=WORLDCUP!$BI$112,1,0)</f>
        <v>0</v>
      </c>
      <c r="C446" s="11" t="str">
        <f ca="1">+WORLDCUP!BD65</f>
        <v>Uruguay</v>
      </c>
      <c r="D446" s="11" t="str">
        <f ca="1">+WORLDCUP!BD63</f>
        <v>Sweden</v>
      </c>
      <c r="E446" s="11" t="str">
        <f ca="1">+WORLDCUP!BD59</f>
        <v>Bosnia and Herzegovina</v>
      </c>
      <c r="F446" s="11" t="str">
        <f ca="1">+WORLDCUP!BD60</f>
        <v>Scotland</v>
      </c>
      <c r="G446" s="11" t="str">
        <f ca="1">+WORLDCUP!BD58</f>
        <v>South Korea</v>
      </c>
      <c r="H446" s="11" t="str">
        <f ca="1">+WORLDCUP!BD61</f>
        <v>Paraguay</v>
      </c>
      <c r="I446" s="11" t="str">
        <f ca="1">+WORLDCUP!BD69</f>
        <v>Ghana</v>
      </c>
      <c r="J446" s="11" t="str">
        <f ca="1">+WORLDCUP!BD68</f>
        <v>DR Congo</v>
      </c>
      <c r="N446" s="11" t="s">
        <v>801</v>
      </c>
      <c r="O446" s="11">
        <v>445</v>
      </c>
      <c r="P446" s="11" t="s">
        <v>436</v>
      </c>
      <c r="Q446" s="11" t="s">
        <v>94</v>
      </c>
      <c r="R446" s="11" t="s">
        <v>90</v>
      </c>
      <c r="S446" s="11" t="s">
        <v>91</v>
      </c>
      <c r="T446" s="11" t="s">
        <v>89</v>
      </c>
      <c r="U446" s="11" t="s">
        <v>92</v>
      </c>
      <c r="V446" s="11" t="s">
        <v>443</v>
      </c>
      <c r="W446" s="11" t="s">
        <v>442</v>
      </c>
    </row>
    <row r="447" spans="1:23">
      <c r="A447" s="11" t="s">
        <v>800</v>
      </c>
      <c r="B447" s="11">
        <f ca="1">+IF(A447=WORLDCUP!$BI$112,1,0)</f>
        <v>0</v>
      </c>
      <c r="C447" s="11" t="str">
        <f ca="1">+WORLDCUP!BD60</f>
        <v>Scotland</v>
      </c>
      <c r="D447" s="11" t="str">
        <f ca="1">+WORLDCUP!BD67</f>
        <v>Algeria</v>
      </c>
      <c r="E447" s="11" t="str">
        <f ca="1">+WORLDCUP!BD59</f>
        <v>Bosnia and Herzegovina</v>
      </c>
      <c r="F447" s="11" t="str">
        <f ca="1">+WORLDCUP!BD61</f>
        <v>Paraguay</v>
      </c>
      <c r="G447" s="11" t="str">
        <f ca="1">+WORLDCUP!BD58</f>
        <v>South Korea</v>
      </c>
      <c r="H447" s="11" t="str">
        <f ca="1">+WORLDCUP!BD63</f>
        <v>Sweden</v>
      </c>
      <c r="I447" s="11" t="str">
        <f ca="1">+WORLDCUP!BD69</f>
        <v>Ghana</v>
      </c>
      <c r="J447" s="11" t="str">
        <f ca="1">+WORLDCUP!BD65</f>
        <v>Uruguay</v>
      </c>
      <c r="N447" s="11" t="s">
        <v>800</v>
      </c>
      <c r="O447" s="11">
        <v>446</v>
      </c>
      <c r="P447" s="11" t="s">
        <v>91</v>
      </c>
      <c r="Q447" s="11" t="s">
        <v>441</v>
      </c>
      <c r="R447" s="11" t="s">
        <v>90</v>
      </c>
      <c r="S447" s="11" t="s">
        <v>92</v>
      </c>
      <c r="T447" s="11" t="s">
        <v>89</v>
      </c>
      <c r="U447" s="11" t="s">
        <v>94</v>
      </c>
      <c r="V447" s="11" t="s">
        <v>443</v>
      </c>
      <c r="W447" s="11" t="s">
        <v>436</v>
      </c>
    </row>
    <row r="448" spans="1:23">
      <c r="A448" s="11" t="s">
        <v>799</v>
      </c>
      <c r="B448" s="11">
        <f ca="1">+IF(A448=WORLDCUP!$BI$112,1,0)</f>
        <v>0</v>
      </c>
      <c r="C448" s="11" t="str">
        <f ca="1">+WORLDCUP!BD65</f>
        <v>Uruguay</v>
      </c>
      <c r="D448" s="11" t="str">
        <f ca="1">+WORLDCUP!BD67</f>
        <v>Algeria</v>
      </c>
      <c r="E448" s="11" t="str">
        <f ca="1">+WORLDCUP!BD59</f>
        <v>Bosnia and Herzegovina</v>
      </c>
      <c r="F448" s="11" t="str">
        <f ca="1">+WORLDCUP!BD60</f>
        <v>Scotland</v>
      </c>
      <c r="G448" s="11" t="str">
        <f ca="1">+WORLDCUP!BD58</f>
        <v>South Korea</v>
      </c>
      <c r="H448" s="11" t="str">
        <f ca="1">+WORLDCUP!BD63</f>
        <v>Sweden</v>
      </c>
      <c r="I448" s="11" t="str">
        <f ca="1">+WORLDCUP!BD61</f>
        <v>Paraguay</v>
      </c>
      <c r="J448" s="11" t="str">
        <f ca="1">+WORLDCUP!BD68</f>
        <v>DR Congo</v>
      </c>
      <c r="N448" s="11" t="s">
        <v>799</v>
      </c>
      <c r="O448" s="11">
        <v>447</v>
      </c>
      <c r="P448" s="11" t="s">
        <v>436</v>
      </c>
      <c r="Q448" s="11" t="s">
        <v>441</v>
      </c>
      <c r="R448" s="11" t="s">
        <v>90</v>
      </c>
      <c r="S448" s="11" t="s">
        <v>91</v>
      </c>
      <c r="T448" s="11" t="s">
        <v>89</v>
      </c>
      <c r="U448" s="11" t="s">
        <v>94</v>
      </c>
      <c r="V448" s="11" t="s">
        <v>92</v>
      </c>
      <c r="W448" s="11" t="s">
        <v>442</v>
      </c>
    </row>
    <row r="449" spans="1:23">
      <c r="A449" s="11" t="s">
        <v>798</v>
      </c>
      <c r="B449" s="11">
        <f ca="1">+IF(A449=WORLDCUP!$BI$112,1,0)</f>
        <v>0</v>
      </c>
      <c r="C449" s="11" t="str">
        <f ca="1">+WORLDCUP!BD65</f>
        <v>Uruguay</v>
      </c>
      <c r="D449" s="11" t="str">
        <f ca="1">+WORLDCUP!BD63</f>
        <v>Sweden</v>
      </c>
      <c r="E449" s="11" t="str">
        <f ca="1">+WORLDCUP!BD59</f>
        <v>Bosnia and Herzegovina</v>
      </c>
      <c r="F449" s="11" t="str">
        <f ca="1">+WORLDCUP!BD60</f>
        <v>Scotland</v>
      </c>
      <c r="G449" s="11" t="str">
        <f ca="1">+WORLDCUP!BD58</f>
        <v>South Korea</v>
      </c>
      <c r="H449" s="11" t="str">
        <f ca="1">+WORLDCUP!BD61</f>
        <v>Paraguay</v>
      </c>
      <c r="I449" s="11" t="str">
        <f ca="1">+WORLDCUP!BD69</f>
        <v>Ghana</v>
      </c>
      <c r="J449" s="11" t="str">
        <f ca="1">+WORLDCUP!BD66</f>
        <v>Senegal</v>
      </c>
      <c r="N449" s="11" t="s">
        <v>798</v>
      </c>
      <c r="O449" s="11">
        <v>448</v>
      </c>
      <c r="P449" s="11" t="s">
        <v>436</v>
      </c>
      <c r="Q449" s="11" t="s">
        <v>94</v>
      </c>
      <c r="R449" s="11" t="s">
        <v>90</v>
      </c>
      <c r="S449" s="11" t="s">
        <v>91</v>
      </c>
      <c r="T449" s="11" t="s">
        <v>89</v>
      </c>
      <c r="U449" s="11" t="s">
        <v>92</v>
      </c>
      <c r="V449" s="11" t="s">
        <v>443</v>
      </c>
      <c r="W449" s="11" t="s">
        <v>440</v>
      </c>
    </row>
    <row r="450" spans="1:23">
      <c r="A450" s="11" t="s">
        <v>797</v>
      </c>
      <c r="B450" s="11">
        <f ca="1">+IF(A450=WORLDCUP!$BI$112,1,0)</f>
        <v>0</v>
      </c>
      <c r="C450" s="11" t="str">
        <f ca="1">+WORLDCUP!BD65</f>
        <v>Uruguay</v>
      </c>
      <c r="D450" s="11" t="str">
        <f ca="1">+WORLDCUP!BD63</f>
        <v>Sweden</v>
      </c>
      <c r="E450" s="11" t="str">
        <f ca="1">+WORLDCUP!BD59</f>
        <v>Bosnia and Herzegovina</v>
      </c>
      <c r="F450" s="11" t="str">
        <f ca="1">+WORLDCUP!BD60</f>
        <v>Scotland</v>
      </c>
      <c r="G450" s="11" t="str">
        <f ca="1">+WORLDCUP!BD58</f>
        <v>South Korea</v>
      </c>
      <c r="H450" s="11" t="str">
        <f ca="1">+WORLDCUP!BD61</f>
        <v>Paraguay</v>
      </c>
      <c r="I450" s="11" t="str">
        <f ca="1">+WORLDCUP!BD66</f>
        <v>Senegal</v>
      </c>
      <c r="J450" s="11" t="str">
        <f ca="1">+WORLDCUP!BD68</f>
        <v>DR Congo</v>
      </c>
      <c r="N450" s="11" t="s">
        <v>797</v>
      </c>
      <c r="O450" s="11">
        <v>449</v>
      </c>
      <c r="P450" s="11" t="s">
        <v>436</v>
      </c>
      <c r="Q450" s="11" t="s">
        <v>94</v>
      </c>
      <c r="R450" s="11" t="s">
        <v>90</v>
      </c>
      <c r="S450" s="11" t="s">
        <v>91</v>
      </c>
      <c r="T450" s="11" t="s">
        <v>89</v>
      </c>
      <c r="U450" s="11" t="s">
        <v>92</v>
      </c>
      <c r="V450" s="11" t="s">
        <v>440</v>
      </c>
      <c r="W450" s="11" t="s">
        <v>442</v>
      </c>
    </row>
    <row r="451" spans="1:23">
      <c r="A451" s="11" t="s">
        <v>796</v>
      </c>
      <c r="B451" s="11">
        <f ca="1">+IF(A451=WORLDCUP!$BI$112,1,0)</f>
        <v>0</v>
      </c>
      <c r="C451" s="11" t="str">
        <f ca="1">+WORLDCUP!BD65</f>
        <v>Uruguay</v>
      </c>
      <c r="D451" s="11" t="str">
        <f ca="1">+WORLDCUP!BD67</f>
        <v>Algeria</v>
      </c>
      <c r="E451" s="11" t="str">
        <f ca="1">+WORLDCUP!BD59</f>
        <v>Bosnia and Herzegovina</v>
      </c>
      <c r="F451" s="11" t="str">
        <f ca="1">+WORLDCUP!BD60</f>
        <v>Scotland</v>
      </c>
      <c r="G451" s="11" t="str">
        <f ca="1">+WORLDCUP!BD58</f>
        <v>South Korea</v>
      </c>
      <c r="H451" s="11" t="str">
        <f ca="1">+WORLDCUP!BD63</f>
        <v>Sweden</v>
      </c>
      <c r="I451" s="11" t="str">
        <f ca="1">+WORLDCUP!BD61</f>
        <v>Paraguay</v>
      </c>
      <c r="J451" s="11" t="str">
        <f ca="1">+WORLDCUP!BD66</f>
        <v>Senegal</v>
      </c>
      <c r="N451" s="11" t="s">
        <v>796</v>
      </c>
      <c r="O451" s="11">
        <v>450</v>
      </c>
      <c r="P451" s="11" t="s">
        <v>436</v>
      </c>
      <c r="Q451" s="11" t="s">
        <v>441</v>
      </c>
      <c r="R451" s="11" t="s">
        <v>90</v>
      </c>
      <c r="S451" s="11" t="s">
        <v>91</v>
      </c>
      <c r="T451" s="11" t="s">
        <v>89</v>
      </c>
      <c r="U451" s="11" t="s">
        <v>94</v>
      </c>
      <c r="V451" s="11" t="s">
        <v>92</v>
      </c>
      <c r="W451" s="11" t="s">
        <v>440</v>
      </c>
    </row>
    <row r="452" spans="1:23">
      <c r="A452" s="11" t="s">
        <v>795</v>
      </c>
      <c r="B452" s="11">
        <f ca="1">+IF(A452=WORLDCUP!$BI$112,1,0)</f>
        <v>0</v>
      </c>
      <c r="C452" s="11" t="str">
        <f ca="1">+WORLDCUP!BD60</f>
        <v>Scotland</v>
      </c>
      <c r="D452" s="11" t="str">
        <f ca="1">+WORLDCUP!BD64</f>
        <v>Iran</v>
      </c>
      <c r="E452" s="11" t="str">
        <f ca="1">+WORLDCUP!BD59</f>
        <v>Bosnia and Herzegovina</v>
      </c>
      <c r="F452" s="11" t="str">
        <f ca="1">+WORLDCUP!BD61</f>
        <v>Paraguay</v>
      </c>
      <c r="G452" s="11" t="str">
        <f ca="1">+WORLDCUP!BD58</f>
        <v>South Korea</v>
      </c>
      <c r="H452" s="11" t="str">
        <f ca="1">+WORLDCUP!BD63</f>
        <v>Sweden</v>
      </c>
      <c r="I452" s="11" t="str">
        <f ca="1">+WORLDCUP!BD69</f>
        <v>Ghana</v>
      </c>
      <c r="J452" s="11" t="str">
        <f ca="1">+WORLDCUP!BD68</f>
        <v>DR Congo</v>
      </c>
      <c r="N452" s="11" t="s">
        <v>795</v>
      </c>
      <c r="O452" s="11">
        <v>451</v>
      </c>
      <c r="P452" s="11" t="s">
        <v>91</v>
      </c>
      <c r="Q452" s="11" t="s">
        <v>435</v>
      </c>
      <c r="R452" s="11" t="s">
        <v>90</v>
      </c>
      <c r="S452" s="11" t="s">
        <v>92</v>
      </c>
      <c r="T452" s="11" t="s">
        <v>89</v>
      </c>
      <c r="U452" s="11" t="s">
        <v>94</v>
      </c>
      <c r="V452" s="11" t="s">
        <v>443</v>
      </c>
      <c r="W452" s="11" t="s">
        <v>442</v>
      </c>
    </row>
    <row r="453" spans="1:23">
      <c r="A453" s="11" t="s">
        <v>794</v>
      </c>
      <c r="B453" s="11">
        <f ca="1">+IF(A453=WORLDCUP!$BI$112,1,0)</f>
        <v>0</v>
      </c>
      <c r="C453" s="11" t="str">
        <f ca="1">+WORLDCUP!BD60</f>
        <v>Scotland</v>
      </c>
      <c r="D453" s="11" t="str">
        <f ca="1">+WORLDCUP!BD64</f>
        <v>Iran</v>
      </c>
      <c r="E453" s="11" t="str">
        <f ca="1">+WORLDCUP!BD59</f>
        <v>Bosnia and Herzegovina</v>
      </c>
      <c r="F453" s="11" t="str">
        <f ca="1">+WORLDCUP!BD61</f>
        <v>Paraguay</v>
      </c>
      <c r="G453" s="11" t="str">
        <f ca="1">+WORLDCUP!BD58</f>
        <v>South Korea</v>
      </c>
      <c r="H453" s="11" t="str">
        <f ca="1">+WORLDCUP!BD63</f>
        <v>Sweden</v>
      </c>
      <c r="I453" s="11" t="str">
        <f ca="1">+WORLDCUP!BD69</f>
        <v>Ghana</v>
      </c>
      <c r="J453" s="11" t="str">
        <f ca="1">+WORLDCUP!BD67</f>
        <v>Algeria</v>
      </c>
      <c r="N453" s="11" t="s">
        <v>794</v>
      </c>
      <c r="O453" s="11">
        <v>452</v>
      </c>
      <c r="P453" s="11" t="s">
        <v>91</v>
      </c>
      <c r="Q453" s="11" t="s">
        <v>435</v>
      </c>
      <c r="R453" s="11" t="s">
        <v>90</v>
      </c>
      <c r="S453" s="11" t="s">
        <v>92</v>
      </c>
      <c r="T453" s="11" t="s">
        <v>89</v>
      </c>
      <c r="U453" s="11" t="s">
        <v>94</v>
      </c>
      <c r="V453" s="11" t="s">
        <v>443</v>
      </c>
      <c r="W453" s="11" t="s">
        <v>441</v>
      </c>
    </row>
    <row r="454" spans="1:23">
      <c r="A454" s="11" t="s">
        <v>793</v>
      </c>
      <c r="B454" s="11">
        <f ca="1">+IF(A454=WORLDCUP!$BI$112,1,0)</f>
        <v>0</v>
      </c>
      <c r="C454" s="11" t="str">
        <f ca="1">+WORLDCUP!BD60</f>
        <v>Scotland</v>
      </c>
      <c r="D454" s="11" t="str">
        <f ca="1">+WORLDCUP!BD64</f>
        <v>Iran</v>
      </c>
      <c r="E454" s="11" t="str">
        <f ca="1">+WORLDCUP!BD59</f>
        <v>Bosnia and Herzegovina</v>
      </c>
      <c r="F454" s="11" t="str">
        <f ca="1">+WORLDCUP!BD61</f>
        <v>Paraguay</v>
      </c>
      <c r="G454" s="11" t="str">
        <f ca="1">+WORLDCUP!BD58</f>
        <v>South Korea</v>
      </c>
      <c r="H454" s="11" t="str">
        <f ca="1">+WORLDCUP!BD63</f>
        <v>Sweden</v>
      </c>
      <c r="I454" s="11" t="str">
        <f ca="1">+WORLDCUP!BD67</f>
        <v>Algeria</v>
      </c>
      <c r="J454" s="11" t="str">
        <f ca="1">+WORLDCUP!BD68</f>
        <v>DR Congo</v>
      </c>
      <c r="N454" s="11" t="s">
        <v>793</v>
      </c>
      <c r="O454" s="11">
        <v>453</v>
      </c>
      <c r="P454" s="11" t="s">
        <v>91</v>
      </c>
      <c r="Q454" s="11" t="s">
        <v>435</v>
      </c>
      <c r="R454" s="11" t="s">
        <v>90</v>
      </c>
      <c r="S454" s="11" t="s">
        <v>92</v>
      </c>
      <c r="T454" s="11" t="s">
        <v>89</v>
      </c>
      <c r="U454" s="11" t="s">
        <v>94</v>
      </c>
      <c r="V454" s="11" t="s">
        <v>441</v>
      </c>
      <c r="W454" s="11" t="s">
        <v>442</v>
      </c>
    </row>
    <row r="455" spans="1:23">
      <c r="A455" s="11" t="s">
        <v>792</v>
      </c>
      <c r="B455" s="11">
        <f ca="1">+IF(A455=WORLDCUP!$BI$112,1,0)</f>
        <v>0</v>
      </c>
      <c r="C455" s="11" t="str">
        <f ca="1">+WORLDCUP!BD60</f>
        <v>Scotland</v>
      </c>
      <c r="D455" s="11" t="str">
        <f ca="1">+WORLDCUP!BD64</f>
        <v>Iran</v>
      </c>
      <c r="E455" s="11" t="str">
        <f ca="1">+WORLDCUP!BD59</f>
        <v>Bosnia and Herzegovina</v>
      </c>
      <c r="F455" s="11" t="str">
        <f ca="1">+WORLDCUP!BD61</f>
        <v>Paraguay</v>
      </c>
      <c r="G455" s="11" t="str">
        <f ca="1">+WORLDCUP!BD58</f>
        <v>South Korea</v>
      </c>
      <c r="H455" s="11" t="str">
        <f ca="1">+WORLDCUP!BD63</f>
        <v>Sweden</v>
      </c>
      <c r="I455" s="11" t="str">
        <f ca="1">+WORLDCUP!BD69</f>
        <v>Ghana</v>
      </c>
      <c r="J455" s="11" t="str">
        <f ca="1">+WORLDCUP!BD66</f>
        <v>Senegal</v>
      </c>
      <c r="N455" s="11" t="s">
        <v>792</v>
      </c>
      <c r="O455" s="11">
        <v>454</v>
      </c>
      <c r="P455" s="11" t="s">
        <v>91</v>
      </c>
      <c r="Q455" s="11" t="s">
        <v>435</v>
      </c>
      <c r="R455" s="11" t="s">
        <v>90</v>
      </c>
      <c r="S455" s="11" t="s">
        <v>92</v>
      </c>
      <c r="T455" s="11" t="s">
        <v>89</v>
      </c>
      <c r="U455" s="11" t="s">
        <v>94</v>
      </c>
      <c r="V455" s="11" t="s">
        <v>443</v>
      </c>
      <c r="W455" s="11" t="s">
        <v>440</v>
      </c>
    </row>
    <row r="456" spans="1:23">
      <c r="A456" s="11" t="s">
        <v>791</v>
      </c>
      <c r="B456" s="11">
        <f ca="1">+IF(A456=WORLDCUP!$BI$112,1,0)</f>
        <v>0</v>
      </c>
      <c r="C456" s="11" t="str">
        <f ca="1">+WORLDCUP!BD60</f>
        <v>Scotland</v>
      </c>
      <c r="D456" s="11" t="str">
        <f ca="1">+WORLDCUP!BD64</f>
        <v>Iran</v>
      </c>
      <c r="E456" s="11" t="str">
        <f ca="1">+WORLDCUP!BD59</f>
        <v>Bosnia and Herzegovina</v>
      </c>
      <c r="F456" s="11" t="str">
        <f ca="1">+WORLDCUP!BD61</f>
        <v>Paraguay</v>
      </c>
      <c r="G456" s="11" t="str">
        <f ca="1">+WORLDCUP!BD58</f>
        <v>South Korea</v>
      </c>
      <c r="H456" s="11" t="str">
        <f ca="1">+WORLDCUP!BD63</f>
        <v>Sweden</v>
      </c>
      <c r="I456" s="11" t="str">
        <f ca="1">+WORLDCUP!BD66</f>
        <v>Senegal</v>
      </c>
      <c r="J456" s="11" t="str">
        <f ca="1">+WORLDCUP!BD68</f>
        <v>DR Congo</v>
      </c>
      <c r="N456" s="11" t="s">
        <v>791</v>
      </c>
      <c r="O456" s="11">
        <v>455</v>
      </c>
      <c r="P456" s="11" t="s">
        <v>91</v>
      </c>
      <c r="Q456" s="11" t="s">
        <v>435</v>
      </c>
      <c r="R456" s="11" t="s">
        <v>90</v>
      </c>
      <c r="S456" s="11" t="s">
        <v>92</v>
      </c>
      <c r="T456" s="11" t="s">
        <v>89</v>
      </c>
      <c r="U456" s="11" t="s">
        <v>94</v>
      </c>
      <c r="V456" s="11" t="s">
        <v>440</v>
      </c>
      <c r="W456" s="11" t="s">
        <v>442</v>
      </c>
    </row>
    <row r="457" spans="1:23">
      <c r="A457" s="11" t="s">
        <v>790</v>
      </c>
      <c r="B457" s="11">
        <f ca="1">+IF(A457=WORLDCUP!$BI$112,1,0)</f>
        <v>0</v>
      </c>
      <c r="C457" s="11" t="str">
        <f ca="1">+WORLDCUP!BD60</f>
        <v>Scotland</v>
      </c>
      <c r="D457" s="11" t="str">
        <f ca="1">+WORLDCUP!BD64</f>
        <v>Iran</v>
      </c>
      <c r="E457" s="11" t="str">
        <f ca="1">+WORLDCUP!BD59</f>
        <v>Bosnia and Herzegovina</v>
      </c>
      <c r="F457" s="11" t="str">
        <f ca="1">+WORLDCUP!BD61</f>
        <v>Paraguay</v>
      </c>
      <c r="G457" s="11" t="str">
        <f ca="1">+WORLDCUP!BD58</f>
        <v>South Korea</v>
      </c>
      <c r="H457" s="11" t="str">
        <f ca="1">+WORLDCUP!BD63</f>
        <v>Sweden</v>
      </c>
      <c r="I457" s="11" t="str">
        <f ca="1">+WORLDCUP!BD66</f>
        <v>Senegal</v>
      </c>
      <c r="J457" s="11" t="str">
        <f ca="1">+WORLDCUP!BD67</f>
        <v>Algeria</v>
      </c>
      <c r="N457" s="11" t="s">
        <v>790</v>
      </c>
      <c r="O457" s="11">
        <v>456</v>
      </c>
      <c r="P457" s="11" t="s">
        <v>91</v>
      </c>
      <c r="Q457" s="11" t="s">
        <v>435</v>
      </c>
      <c r="R457" s="11" t="s">
        <v>90</v>
      </c>
      <c r="S457" s="11" t="s">
        <v>92</v>
      </c>
      <c r="T457" s="11" t="s">
        <v>89</v>
      </c>
      <c r="U457" s="11" t="s">
        <v>94</v>
      </c>
      <c r="V457" s="11" t="s">
        <v>440</v>
      </c>
      <c r="W457" s="11" t="s">
        <v>441</v>
      </c>
    </row>
    <row r="458" spans="1:23">
      <c r="A458" s="11" t="s">
        <v>789</v>
      </c>
      <c r="B458" s="11">
        <f ca="1">+IF(A458=WORLDCUP!$BI$112,1,0)</f>
        <v>0</v>
      </c>
      <c r="C458" s="11" t="str">
        <f ca="1">+WORLDCUP!BD60</f>
        <v>Scotland</v>
      </c>
      <c r="D458" s="11" t="str">
        <f ca="1">+WORLDCUP!BD64</f>
        <v>Iran</v>
      </c>
      <c r="E458" s="11" t="str">
        <f ca="1">+WORLDCUP!BD59</f>
        <v>Bosnia and Herzegovina</v>
      </c>
      <c r="F458" s="11" t="str">
        <f ca="1">+WORLDCUP!BD61</f>
        <v>Paraguay</v>
      </c>
      <c r="G458" s="11" t="str">
        <f ca="1">+WORLDCUP!BD58</f>
        <v>South Korea</v>
      </c>
      <c r="H458" s="11" t="str">
        <f ca="1">+WORLDCUP!BD63</f>
        <v>Sweden</v>
      </c>
      <c r="I458" s="11" t="str">
        <f ca="1">+WORLDCUP!BD69</f>
        <v>Ghana</v>
      </c>
      <c r="J458" s="11" t="str">
        <f ca="1">+WORLDCUP!BD65</f>
        <v>Uruguay</v>
      </c>
      <c r="N458" s="11" t="s">
        <v>789</v>
      </c>
      <c r="O458" s="11">
        <v>457</v>
      </c>
      <c r="P458" s="11" t="s">
        <v>91</v>
      </c>
      <c r="Q458" s="11" t="s">
        <v>435</v>
      </c>
      <c r="R458" s="11" t="s">
        <v>90</v>
      </c>
      <c r="S458" s="11" t="s">
        <v>92</v>
      </c>
      <c r="T458" s="11" t="s">
        <v>89</v>
      </c>
      <c r="U458" s="11" t="s">
        <v>94</v>
      </c>
      <c r="V458" s="11" t="s">
        <v>443</v>
      </c>
      <c r="W458" s="11" t="s">
        <v>436</v>
      </c>
    </row>
    <row r="459" spans="1:23">
      <c r="A459" s="11" t="s">
        <v>788</v>
      </c>
      <c r="B459" s="11">
        <f ca="1">+IF(A459=WORLDCUP!$BI$112,1,0)</f>
        <v>0</v>
      </c>
      <c r="C459" s="11" t="str">
        <f ca="1">+WORLDCUP!BD65</f>
        <v>Uruguay</v>
      </c>
      <c r="D459" s="11" t="str">
        <f ca="1">+WORLDCUP!BD64</f>
        <v>Iran</v>
      </c>
      <c r="E459" s="11" t="str">
        <f ca="1">+WORLDCUP!BD59</f>
        <v>Bosnia and Herzegovina</v>
      </c>
      <c r="F459" s="11" t="str">
        <f ca="1">+WORLDCUP!BD60</f>
        <v>Scotland</v>
      </c>
      <c r="G459" s="11" t="str">
        <f ca="1">+WORLDCUP!BD58</f>
        <v>South Korea</v>
      </c>
      <c r="H459" s="11" t="str">
        <f ca="1">+WORLDCUP!BD63</f>
        <v>Sweden</v>
      </c>
      <c r="I459" s="11" t="str">
        <f ca="1">+WORLDCUP!BD61</f>
        <v>Paraguay</v>
      </c>
      <c r="J459" s="11" t="str">
        <f ca="1">+WORLDCUP!BD68</f>
        <v>DR Congo</v>
      </c>
      <c r="N459" s="11" t="s">
        <v>788</v>
      </c>
      <c r="O459" s="11">
        <v>458</v>
      </c>
      <c r="P459" s="11" t="s">
        <v>436</v>
      </c>
      <c r="Q459" s="11" t="s">
        <v>435</v>
      </c>
      <c r="R459" s="11" t="s">
        <v>90</v>
      </c>
      <c r="S459" s="11" t="s">
        <v>91</v>
      </c>
      <c r="T459" s="11" t="s">
        <v>89</v>
      </c>
      <c r="U459" s="11" t="s">
        <v>94</v>
      </c>
      <c r="V459" s="11" t="s">
        <v>92</v>
      </c>
      <c r="W459" s="11" t="s">
        <v>442</v>
      </c>
    </row>
    <row r="460" spans="1:23">
      <c r="A460" s="11" t="s">
        <v>787</v>
      </c>
      <c r="B460" s="11">
        <f ca="1">+IF(A460=WORLDCUP!$BI$112,1,0)</f>
        <v>0</v>
      </c>
      <c r="C460" s="11" t="str">
        <f ca="1">+WORLDCUP!BD65</f>
        <v>Uruguay</v>
      </c>
      <c r="D460" s="11" t="str">
        <f ca="1">+WORLDCUP!BD64</f>
        <v>Iran</v>
      </c>
      <c r="E460" s="11" t="str">
        <f ca="1">+WORLDCUP!BD59</f>
        <v>Bosnia and Herzegovina</v>
      </c>
      <c r="F460" s="11" t="str">
        <f ca="1">+WORLDCUP!BD60</f>
        <v>Scotland</v>
      </c>
      <c r="G460" s="11" t="str">
        <f ca="1">+WORLDCUP!BD58</f>
        <v>South Korea</v>
      </c>
      <c r="H460" s="11" t="str">
        <f ca="1">+WORLDCUP!BD63</f>
        <v>Sweden</v>
      </c>
      <c r="I460" s="11" t="str">
        <f ca="1">+WORLDCUP!BD61</f>
        <v>Paraguay</v>
      </c>
      <c r="J460" s="11" t="str">
        <f ca="1">+WORLDCUP!BD67</f>
        <v>Algeria</v>
      </c>
      <c r="N460" s="11" t="s">
        <v>787</v>
      </c>
      <c r="O460" s="11">
        <v>459</v>
      </c>
      <c r="P460" s="11" t="s">
        <v>436</v>
      </c>
      <c r="Q460" s="11" t="s">
        <v>435</v>
      </c>
      <c r="R460" s="11" t="s">
        <v>90</v>
      </c>
      <c r="S460" s="11" t="s">
        <v>91</v>
      </c>
      <c r="T460" s="11" t="s">
        <v>89</v>
      </c>
      <c r="U460" s="11" t="s">
        <v>94</v>
      </c>
      <c r="V460" s="11" t="s">
        <v>92</v>
      </c>
      <c r="W460" s="11" t="s">
        <v>441</v>
      </c>
    </row>
    <row r="461" spans="1:23">
      <c r="A461" s="11" t="s">
        <v>786</v>
      </c>
      <c r="B461" s="11">
        <f ca="1">+IF(A461=WORLDCUP!$BI$112,1,0)</f>
        <v>0</v>
      </c>
      <c r="C461" s="11" t="str">
        <f ca="1">+WORLDCUP!BD65</f>
        <v>Uruguay</v>
      </c>
      <c r="D461" s="11" t="str">
        <f ca="1">+WORLDCUP!BD64</f>
        <v>Iran</v>
      </c>
      <c r="E461" s="11" t="str">
        <f ca="1">+WORLDCUP!BD59</f>
        <v>Bosnia and Herzegovina</v>
      </c>
      <c r="F461" s="11" t="str">
        <f ca="1">+WORLDCUP!BD60</f>
        <v>Scotland</v>
      </c>
      <c r="G461" s="11" t="str">
        <f ca="1">+WORLDCUP!BD58</f>
        <v>South Korea</v>
      </c>
      <c r="H461" s="11" t="str">
        <f ca="1">+WORLDCUP!BD63</f>
        <v>Sweden</v>
      </c>
      <c r="I461" s="11" t="str">
        <f ca="1">+WORLDCUP!BD61</f>
        <v>Paraguay</v>
      </c>
      <c r="J461" s="11" t="str">
        <f ca="1">+WORLDCUP!BD66</f>
        <v>Senegal</v>
      </c>
      <c r="N461" s="11" t="s">
        <v>786</v>
      </c>
      <c r="O461" s="11">
        <v>460</v>
      </c>
      <c r="P461" s="11" t="s">
        <v>436</v>
      </c>
      <c r="Q461" s="11" t="s">
        <v>435</v>
      </c>
      <c r="R461" s="11" t="s">
        <v>90</v>
      </c>
      <c r="S461" s="11" t="s">
        <v>91</v>
      </c>
      <c r="T461" s="11" t="s">
        <v>89</v>
      </c>
      <c r="U461" s="11" t="s">
        <v>94</v>
      </c>
      <c r="V461" s="11" t="s">
        <v>92</v>
      </c>
      <c r="W461" s="11" t="s">
        <v>440</v>
      </c>
    </row>
    <row r="462" spans="1:23">
      <c r="A462" s="11" t="s">
        <v>785</v>
      </c>
      <c r="B462" s="11">
        <f ca="1">+IF(A462=WORLDCUP!$BI$112,1,0)</f>
        <v>0</v>
      </c>
      <c r="C462" s="11" t="str">
        <f ca="1">+WORLDCUP!BD62</f>
        <v>Ecuador</v>
      </c>
      <c r="D462" s="11" t="str">
        <f ca="1">+WORLDCUP!BD67</f>
        <v>Algeria</v>
      </c>
      <c r="E462" s="11" t="str">
        <f ca="1">+WORLDCUP!BD59</f>
        <v>Bosnia and Herzegovina</v>
      </c>
      <c r="F462" s="11" t="str">
        <f ca="1">+WORLDCUP!BD60</f>
        <v>Scotland</v>
      </c>
      <c r="G462" s="11" t="str">
        <f ca="1">+WORLDCUP!BD58</f>
        <v>South Korea</v>
      </c>
      <c r="H462" s="11" t="str">
        <f ca="1">+WORLDCUP!BD61</f>
        <v>Paraguay</v>
      </c>
      <c r="I462" s="11" t="str">
        <f ca="1">+WORLDCUP!BD69</f>
        <v>Ghana</v>
      </c>
      <c r="J462" s="11" t="str">
        <f ca="1">+WORLDCUP!BD68</f>
        <v>DR Congo</v>
      </c>
      <c r="N462" s="11" t="s">
        <v>785</v>
      </c>
      <c r="O462" s="11">
        <v>461</v>
      </c>
      <c r="P462" s="11" t="s">
        <v>93</v>
      </c>
      <c r="Q462" s="11" t="s">
        <v>441</v>
      </c>
      <c r="R462" s="11" t="s">
        <v>90</v>
      </c>
      <c r="S462" s="11" t="s">
        <v>91</v>
      </c>
      <c r="T462" s="11" t="s">
        <v>89</v>
      </c>
      <c r="U462" s="11" t="s">
        <v>92</v>
      </c>
      <c r="V462" s="11" t="s">
        <v>443</v>
      </c>
      <c r="W462" s="11" t="s">
        <v>442</v>
      </c>
    </row>
    <row r="463" spans="1:23">
      <c r="A463" s="11" t="s">
        <v>784</v>
      </c>
      <c r="B463" s="11">
        <f ca="1">+IF(A463=WORLDCUP!$BI$112,1,0)</f>
        <v>0</v>
      </c>
      <c r="C463" s="11" t="str">
        <f ca="1">+WORLDCUP!BD62</f>
        <v>Ecuador</v>
      </c>
      <c r="D463" s="11" t="str">
        <f ca="1">+WORLDCUP!BD66</f>
        <v>Senegal</v>
      </c>
      <c r="E463" s="11" t="str">
        <f ca="1">+WORLDCUP!BD59</f>
        <v>Bosnia and Herzegovina</v>
      </c>
      <c r="F463" s="11" t="str">
        <f ca="1">+WORLDCUP!BD60</f>
        <v>Scotland</v>
      </c>
      <c r="G463" s="11" t="str">
        <f ca="1">+WORLDCUP!BD58</f>
        <v>South Korea</v>
      </c>
      <c r="H463" s="11" t="str">
        <f ca="1">+WORLDCUP!BD61</f>
        <v>Paraguay</v>
      </c>
      <c r="I463" s="11" t="str">
        <f ca="1">+WORLDCUP!BD69</f>
        <v>Ghana</v>
      </c>
      <c r="J463" s="11" t="str">
        <f ca="1">+WORLDCUP!BD68</f>
        <v>DR Congo</v>
      </c>
      <c r="N463" s="11" t="s">
        <v>784</v>
      </c>
      <c r="O463" s="11">
        <v>462</v>
      </c>
      <c r="P463" s="11" t="s">
        <v>93</v>
      </c>
      <c r="Q463" s="11" t="s">
        <v>440</v>
      </c>
      <c r="R463" s="11" t="s">
        <v>90</v>
      </c>
      <c r="S463" s="11" t="s">
        <v>91</v>
      </c>
      <c r="T463" s="11" t="s">
        <v>89</v>
      </c>
      <c r="U463" s="11" t="s">
        <v>92</v>
      </c>
      <c r="V463" s="11" t="s">
        <v>443</v>
      </c>
      <c r="W463" s="11" t="s">
        <v>442</v>
      </c>
    </row>
    <row r="464" spans="1:23">
      <c r="A464" s="11" t="s">
        <v>783</v>
      </c>
      <c r="B464" s="11">
        <f ca="1">+IF(A464=WORLDCUP!$BI$112,1,0)</f>
        <v>0</v>
      </c>
      <c r="C464" s="11" t="str">
        <f ca="1">+WORLDCUP!BD62</f>
        <v>Ecuador</v>
      </c>
      <c r="D464" s="11" t="str">
        <f ca="1">+WORLDCUP!BD67</f>
        <v>Algeria</v>
      </c>
      <c r="E464" s="11" t="str">
        <f ca="1">+WORLDCUP!BD59</f>
        <v>Bosnia and Herzegovina</v>
      </c>
      <c r="F464" s="11" t="str">
        <f ca="1">+WORLDCUP!BD60</f>
        <v>Scotland</v>
      </c>
      <c r="G464" s="11" t="str">
        <f ca="1">+WORLDCUP!BD58</f>
        <v>South Korea</v>
      </c>
      <c r="H464" s="11" t="str">
        <f ca="1">+WORLDCUP!BD61</f>
        <v>Paraguay</v>
      </c>
      <c r="I464" s="11" t="str">
        <f ca="1">+WORLDCUP!BD69</f>
        <v>Ghana</v>
      </c>
      <c r="J464" s="11" t="str">
        <f ca="1">+WORLDCUP!BD66</f>
        <v>Senegal</v>
      </c>
      <c r="N464" s="11" t="s">
        <v>783</v>
      </c>
      <c r="O464" s="11">
        <v>463</v>
      </c>
      <c r="P464" s="11" t="s">
        <v>93</v>
      </c>
      <c r="Q464" s="11" t="s">
        <v>441</v>
      </c>
      <c r="R464" s="11" t="s">
        <v>90</v>
      </c>
      <c r="S464" s="11" t="s">
        <v>91</v>
      </c>
      <c r="T464" s="11" t="s">
        <v>89</v>
      </c>
      <c r="U464" s="11" t="s">
        <v>92</v>
      </c>
      <c r="V464" s="11" t="s">
        <v>443</v>
      </c>
      <c r="W464" s="11" t="s">
        <v>440</v>
      </c>
    </row>
    <row r="465" spans="1:23">
      <c r="A465" s="11" t="s">
        <v>782</v>
      </c>
      <c r="B465" s="11">
        <f ca="1">+IF(A465=WORLDCUP!$BI$112,1,0)</f>
        <v>0</v>
      </c>
      <c r="C465" s="11" t="str">
        <f ca="1">+WORLDCUP!BD62</f>
        <v>Ecuador</v>
      </c>
      <c r="D465" s="11" t="str">
        <f ca="1">+WORLDCUP!BD67</f>
        <v>Algeria</v>
      </c>
      <c r="E465" s="11" t="str">
        <f ca="1">+WORLDCUP!BD59</f>
        <v>Bosnia and Herzegovina</v>
      </c>
      <c r="F465" s="11" t="str">
        <f ca="1">+WORLDCUP!BD60</f>
        <v>Scotland</v>
      </c>
      <c r="G465" s="11" t="str">
        <f ca="1">+WORLDCUP!BD58</f>
        <v>South Korea</v>
      </c>
      <c r="H465" s="11" t="str">
        <f ca="1">+WORLDCUP!BD61</f>
        <v>Paraguay</v>
      </c>
      <c r="I465" s="11" t="str">
        <f ca="1">+WORLDCUP!BD66</f>
        <v>Senegal</v>
      </c>
      <c r="J465" s="11" t="str">
        <f ca="1">+WORLDCUP!BD68</f>
        <v>DR Congo</v>
      </c>
      <c r="N465" s="11" t="s">
        <v>782</v>
      </c>
      <c r="O465" s="11">
        <v>464</v>
      </c>
      <c r="P465" s="11" t="s">
        <v>93</v>
      </c>
      <c r="Q465" s="11" t="s">
        <v>441</v>
      </c>
      <c r="R465" s="11" t="s">
        <v>90</v>
      </c>
      <c r="S465" s="11" t="s">
        <v>91</v>
      </c>
      <c r="T465" s="11" t="s">
        <v>89</v>
      </c>
      <c r="U465" s="11" t="s">
        <v>92</v>
      </c>
      <c r="V465" s="11" t="s">
        <v>440</v>
      </c>
      <c r="W465" s="11" t="s">
        <v>442</v>
      </c>
    </row>
    <row r="466" spans="1:23">
      <c r="A466" s="11" t="s">
        <v>781</v>
      </c>
      <c r="B466" s="11">
        <f ca="1">+IF(A466=WORLDCUP!$BI$112,1,0)</f>
        <v>0</v>
      </c>
      <c r="C466" s="11" t="str">
        <f ca="1">+WORLDCUP!BD65</f>
        <v>Uruguay</v>
      </c>
      <c r="D466" s="11" t="str">
        <f ca="1">+WORLDCUP!BD62</f>
        <v>Ecuador</v>
      </c>
      <c r="E466" s="11" t="str">
        <f ca="1">+WORLDCUP!BD59</f>
        <v>Bosnia and Herzegovina</v>
      </c>
      <c r="F466" s="11" t="str">
        <f ca="1">+WORLDCUP!BD60</f>
        <v>Scotland</v>
      </c>
      <c r="G466" s="11" t="str">
        <f ca="1">+WORLDCUP!BD58</f>
        <v>South Korea</v>
      </c>
      <c r="H466" s="11" t="str">
        <f ca="1">+WORLDCUP!BD61</f>
        <v>Paraguay</v>
      </c>
      <c r="I466" s="11" t="str">
        <f ca="1">+WORLDCUP!BD69</f>
        <v>Ghana</v>
      </c>
      <c r="J466" s="11" t="str">
        <f ca="1">+WORLDCUP!BD68</f>
        <v>DR Congo</v>
      </c>
      <c r="N466" s="11" t="s">
        <v>781</v>
      </c>
      <c r="O466" s="11">
        <v>465</v>
      </c>
      <c r="P466" s="11" t="s">
        <v>436</v>
      </c>
      <c r="Q466" s="11" t="s">
        <v>93</v>
      </c>
      <c r="R466" s="11" t="s">
        <v>90</v>
      </c>
      <c r="S466" s="11" t="s">
        <v>91</v>
      </c>
      <c r="T466" s="11" t="s">
        <v>89</v>
      </c>
      <c r="U466" s="11" t="s">
        <v>92</v>
      </c>
      <c r="V466" s="11" t="s">
        <v>443</v>
      </c>
      <c r="W466" s="11" t="s">
        <v>442</v>
      </c>
    </row>
    <row r="467" spans="1:23">
      <c r="A467" s="11" t="s">
        <v>780</v>
      </c>
      <c r="B467" s="11">
        <f ca="1">+IF(A467=WORLDCUP!$BI$112,1,0)</f>
        <v>0</v>
      </c>
      <c r="C467" s="11" t="str">
        <f ca="1">+WORLDCUP!BD65</f>
        <v>Uruguay</v>
      </c>
      <c r="D467" s="11" t="str">
        <f ca="1">+WORLDCUP!BD67</f>
        <v>Algeria</v>
      </c>
      <c r="E467" s="11" t="str">
        <f ca="1">+WORLDCUP!BD59</f>
        <v>Bosnia and Herzegovina</v>
      </c>
      <c r="F467" s="11" t="str">
        <f ca="1">+WORLDCUP!BD60</f>
        <v>Scotland</v>
      </c>
      <c r="G467" s="11" t="str">
        <f ca="1">+WORLDCUP!BD58</f>
        <v>South Korea</v>
      </c>
      <c r="H467" s="11" t="str">
        <f ca="1">+WORLDCUP!BD61</f>
        <v>Paraguay</v>
      </c>
      <c r="I467" s="11" t="str">
        <f ca="1">+WORLDCUP!BD69</f>
        <v>Ghana</v>
      </c>
      <c r="J467" s="11" t="str">
        <f ca="1">+WORLDCUP!BD62</f>
        <v>Ecuador</v>
      </c>
      <c r="N467" s="11" t="s">
        <v>780</v>
      </c>
      <c r="O467" s="11">
        <v>466</v>
      </c>
      <c r="P467" s="11" t="s">
        <v>436</v>
      </c>
      <c r="Q467" s="11" t="s">
        <v>441</v>
      </c>
      <c r="R467" s="11" t="s">
        <v>90</v>
      </c>
      <c r="S467" s="11" t="s">
        <v>91</v>
      </c>
      <c r="T467" s="11" t="s">
        <v>89</v>
      </c>
      <c r="U467" s="11" t="s">
        <v>92</v>
      </c>
      <c r="V467" s="11" t="s">
        <v>443</v>
      </c>
      <c r="W467" s="11" t="s">
        <v>93</v>
      </c>
    </row>
    <row r="468" spans="1:23">
      <c r="A468" s="11" t="s">
        <v>779</v>
      </c>
      <c r="B468" s="11">
        <f ca="1">+IF(A468=WORLDCUP!$BI$112,1,0)</f>
        <v>0</v>
      </c>
      <c r="C468" s="11" t="str">
        <f ca="1">+WORLDCUP!BD65</f>
        <v>Uruguay</v>
      </c>
      <c r="D468" s="11" t="str">
        <f ca="1">+WORLDCUP!BD67</f>
        <v>Algeria</v>
      </c>
      <c r="E468" s="11" t="str">
        <f ca="1">+WORLDCUP!BD59</f>
        <v>Bosnia and Herzegovina</v>
      </c>
      <c r="F468" s="11" t="str">
        <f ca="1">+WORLDCUP!BD60</f>
        <v>Scotland</v>
      </c>
      <c r="G468" s="11" t="str">
        <f ca="1">+WORLDCUP!BD58</f>
        <v>South Korea</v>
      </c>
      <c r="H468" s="11" t="str">
        <f ca="1">+WORLDCUP!BD61</f>
        <v>Paraguay</v>
      </c>
      <c r="I468" s="11" t="str">
        <f ca="1">+WORLDCUP!BD62</f>
        <v>Ecuador</v>
      </c>
      <c r="J468" s="11" t="str">
        <f ca="1">+WORLDCUP!BD68</f>
        <v>DR Congo</v>
      </c>
      <c r="N468" s="11" t="s">
        <v>779</v>
      </c>
      <c r="O468" s="11">
        <v>467</v>
      </c>
      <c r="P468" s="11" t="s">
        <v>436</v>
      </c>
      <c r="Q468" s="11" t="s">
        <v>441</v>
      </c>
      <c r="R468" s="11" t="s">
        <v>90</v>
      </c>
      <c r="S468" s="11" t="s">
        <v>91</v>
      </c>
      <c r="T468" s="11" t="s">
        <v>89</v>
      </c>
      <c r="U468" s="11" t="s">
        <v>92</v>
      </c>
      <c r="V468" s="11" t="s">
        <v>93</v>
      </c>
      <c r="W468" s="11" t="s">
        <v>442</v>
      </c>
    </row>
    <row r="469" spans="1:23">
      <c r="A469" s="11" t="s">
        <v>778</v>
      </c>
      <c r="B469" s="11">
        <f ca="1">+IF(A469=WORLDCUP!$BI$112,1,0)</f>
        <v>0</v>
      </c>
      <c r="C469" s="11" t="str">
        <f ca="1">+WORLDCUP!BD65</f>
        <v>Uruguay</v>
      </c>
      <c r="D469" s="11" t="str">
        <f ca="1">+WORLDCUP!BD62</f>
        <v>Ecuador</v>
      </c>
      <c r="E469" s="11" t="str">
        <f ca="1">+WORLDCUP!BD59</f>
        <v>Bosnia and Herzegovina</v>
      </c>
      <c r="F469" s="11" t="str">
        <f ca="1">+WORLDCUP!BD60</f>
        <v>Scotland</v>
      </c>
      <c r="G469" s="11" t="str">
        <f ca="1">+WORLDCUP!BD58</f>
        <v>South Korea</v>
      </c>
      <c r="H469" s="11" t="str">
        <f ca="1">+WORLDCUP!BD61</f>
        <v>Paraguay</v>
      </c>
      <c r="I469" s="11" t="str">
        <f ca="1">+WORLDCUP!BD69</f>
        <v>Ghana</v>
      </c>
      <c r="J469" s="11" t="str">
        <f ca="1">+WORLDCUP!BD66</f>
        <v>Senegal</v>
      </c>
      <c r="N469" s="11" t="s">
        <v>778</v>
      </c>
      <c r="O469" s="11">
        <v>468</v>
      </c>
      <c r="P469" s="11" t="s">
        <v>436</v>
      </c>
      <c r="Q469" s="11" t="s">
        <v>93</v>
      </c>
      <c r="R469" s="11" t="s">
        <v>90</v>
      </c>
      <c r="S469" s="11" t="s">
        <v>91</v>
      </c>
      <c r="T469" s="11" t="s">
        <v>89</v>
      </c>
      <c r="U469" s="11" t="s">
        <v>92</v>
      </c>
      <c r="V469" s="11" t="s">
        <v>443</v>
      </c>
      <c r="W469" s="11" t="s">
        <v>440</v>
      </c>
    </row>
    <row r="470" spans="1:23">
      <c r="A470" s="11" t="s">
        <v>777</v>
      </c>
      <c r="B470" s="11">
        <f ca="1">+IF(A470=WORLDCUP!$BI$112,1,0)</f>
        <v>0</v>
      </c>
      <c r="C470" s="11" t="str">
        <f ca="1">+WORLDCUP!BD65</f>
        <v>Uruguay</v>
      </c>
      <c r="D470" s="11" t="str">
        <f ca="1">+WORLDCUP!BD62</f>
        <v>Ecuador</v>
      </c>
      <c r="E470" s="11" t="str">
        <f ca="1">+WORLDCUP!BD59</f>
        <v>Bosnia and Herzegovina</v>
      </c>
      <c r="F470" s="11" t="str">
        <f ca="1">+WORLDCUP!BD60</f>
        <v>Scotland</v>
      </c>
      <c r="G470" s="11" t="str">
        <f ca="1">+WORLDCUP!BD58</f>
        <v>South Korea</v>
      </c>
      <c r="H470" s="11" t="str">
        <f ca="1">+WORLDCUP!BD61</f>
        <v>Paraguay</v>
      </c>
      <c r="I470" s="11" t="str">
        <f ca="1">+WORLDCUP!BD66</f>
        <v>Senegal</v>
      </c>
      <c r="J470" s="11" t="str">
        <f ca="1">+WORLDCUP!BD68</f>
        <v>DR Congo</v>
      </c>
      <c r="N470" s="11" t="s">
        <v>777</v>
      </c>
      <c r="O470" s="11">
        <v>469</v>
      </c>
      <c r="P470" s="11" t="s">
        <v>436</v>
      </c>
      <c r="Q470" s="11" t="s">
        <v>93</v>
      </c>
      <c r="R470" s="11" t="s">
        <v>90</v>
      </c>
      <c r="S470" s="11" t="s">
        <v>91</v>
      </c>
      <c r="T470" s="11" t="s">
        <v>89</v>
      </c>
      <c r="U470" s="11" t="s">
        <v>92</v>
      </c>
      <c r="V470" s="11" t="s">
        <v>440</v>
      </c>
      <c r="W470" s="11" t="s">
        <v>442</v>
      </c>
    </row>
    <row r="471" spans="1:23">
      <c r="A471" s="11" t="s">
        <v>776</v>
      </c>
      <c r="B471" s="11">
        <f ca="1">+IF(A471=WORLDCUP!$BI$112,1,0)</f>
        <v>0</v>
      </c>
      <c r="C471" s="11" t="str">
        <f ca="1">+WORLDCUP!BD65</f>
        <v>Uruguay</v>
      </c>
      <c r="D471" s="11" t="str">
        <f ca="1">+WORLDCUP!BD67</f>
        <v>Algeria</v>
      </c>
      <c r="E471" s="11" t="str">
        <f ca="1">+WORLDCUP!BD59</f>
        <v>Bosnia and Herzegovina</v>
      </c>
      <c r="F471" s="11" t="str">
        <f ca="1">+WORLDCUP!BD60</f>
        <v>Scotland</v>
      </c>
      <c r="G471" s="11" t="str">
        <f ca="1">+WORLDCUP!BD58</f>
        <v>South Korea</v>
      </c>
      <c r="H471" s="11" t="str">
        <f ca="1">+WORLDCUP!BD61</f>
        <v>Paraguay</v>
      </c>
      <c r="I471" s="11" t="str">
        <f ca="1">+WORLDCUP!BD62</f>
        <v>Ecuador</v>
      </c>
      <c r="J471" s="11" t="str">
        <f ca="1">+WORLDCUP!BD66</f>
        <v>Senegal</v>
      </c>
      <c r="N471" s="11" t="s">
        <v>776</v>
      </c>
      <c r="O471" s="11">
        <v>470</v>
      </c>
      <c r="P471" s="11" t="s">
        <v>436</v>
      </c>
      <c r="Q471" s="11" t="s">
        <v>441</v>
      </c>
      <c r="R471" s="11" t="s">
        <v>90</v>
      </c>
      <c r="S471" s="11" t="s">
        <v>91</v>
      </c>
      <c r="T471" s="11" t="s">
        <v>89</v>
      </c>
      <c r="U471" s="11" t="s">
        <v>92</v>
      </c>
      <c r="V471" s="11" t="s">
        <v>93</v>
      </c>
      <c r="W471" s="11" t="s">
        <v>440</v>
      </c>
    </row>
    <row r="472" spans="1:23">
      <c r="A472" s="11" t="s">
        <v>775</v>
      </c>
      <c r="B472" s="11">
        <f ca="1">+IF(A472=WORLDCUP!$BI$112,1,0)</f>
        <v>0</v>
      </c>
      <c r="C472" s="11" t="str">
        <f ca="1">+WORLDCUP!BD62</f>
        <v>Ecuador</v>
      </c>
      <c r="D472" s="11" t="str">
        <f ca="1">+WORLDCUP!BD64</f>
        <v>Iran</v>
      </c>
      <c r="E472" s="11" t="str">
        <f ca="1">+WORLDCUP!BD59</f>
        <v>Bosnia and Herzegovina</v>
      </c>
      <c r="F472" s="11" t="str">
        <f ca="1">+WORLDCUP!BD60</f>
        <v>Scotland</v>
      </c>
      <c r="G472" s="11" t="str">
        <f ca="1">+WORLDCUP!BD58</f>
        <v>South Korea</v>
      </c>
      <c r="H472" s="11" t="str">
        <f ca="1">+WORLDCUP!BD61</f>
        <v>Paraguay</v>
      </c>
      <c r="I472" s="11" t="str">
        <f ca="1">+WORLDCUP!BD69</f>
        <v>Ghana</v>
      </c>
      <c r="J472" s="11" t="str">
        <f ca="1">+WORLDCUP!BD68</f>
        <v>DR Congo</v>
      </c>
      <c r="N472" s="11" t="s">
        <v>775</v>
      </c>
      <c r="O472" s="11">
        <v>471</v>
      </c>
      <c r="P472" s="11" t="s">
        <v>93</v>
      </c>
      <c r="Q472" s="11" t="s">
        <v>435</v>
      </c>
      <c r="R472" s="11" t="s">
        <v>90</v>
      </c>
      <c r="S472" s="11" t="s">
        <v>91</v>
      </c>
      <c r="T472" s="11" t="s">
        <v>89</v>
      </c>
      <c r="U472" s="11" t="s">
        <v>92</v>
      </c>
      <c r="V472" s="11" t="s">
        <v>443</v>
      </c>
      <c r="W472" s="11" t="s">
        <v>442</v>
      </c>
    </row>
    <row r="473" spans="1:23">
      <c r="A473" s="11" t="s">
        <v>774</v>
      </c>
      <c r="B473" s="11">
        <f ca="1">+IF(A473=WORLDCUP!$BI$112,1,0)</f>
        <v>0</v>
      </c>
      <c r="C473" s="11" t="str">
        <f ca="1">+WORLDCUP!BD62</f>
        <v>Ecuador</v>
      </c>
      <c r="D473" s="11" t="str">
        <f ca="1">+WORLDCUP!BD64</f>
        <v>Iran</v>
      </c>
      <c r="E473" s="11" t="str">
        <f ca="1">+WORLDCUP!BD59</f>
        <v>Bosnia and Herzegovina</v>
      </c>
      <c r="F473" s="11" t="str">
        <f ca="1">+WORLDCUP!BD60</f>
        <v>Scotland</v>
      </c>
      <c r="G473" s="11" t="str">
        <f ca="1">+WORLDCUP!BD58</f>
        <v>South Korea</v>
      </c>
      <c r="H473" s="11" t="str">
        <f ca="1">+WORLDCUP!BD61</f>
        <v>Paraguay</v>
      </c>
      <c r="I473" s="11" t="str">
        <f ca="1">+WORLDCUP!BD69</f>
        <v>Ghana</v>
      </c>
      <c r="J473" s="11" t="str">
        <f ca="1">+WORLDCUP!BD67</f>
        <v>Algeria</v>
      </c>
      <c r="N473" s="11" t="s">
        <v>774</v>
      </c>
      <c r="O473" s="11">
        <v>472</v>
      </c>
      <c r="P473" s="11" t="s">
        <v>93</v>
      </c>
      <c r="Q473" s="11" t="s">
        <v>435</v>
      </c>
      <c r="R473" s="11" t="s">
        <v>90</v>
      </c>
      <c r="S473" s="11" t="s">
        <v>91</v>
      </c>
      <c r="T473" s="11" t="s">
        <v>89</v>
      </c>
      <c r="U473" s="11" t="s">
        <v>92</v>
      </c>
      <c r="V473" s="11" t="s">
        <v>443</v>
      </c>
      <c r="W473" s="11" t="s">
        <v>441</v>
      </c>
    </row>
    <row r="474" spans="1:23">
      <c r="A474" s="11" t="s">
        <v>773</v>
      </c>
      <c r="B474" s="11">
        <f ca="1">+IF(A474=WORLDCUP!$BI$112,1,0)</f>
        <v>0</v>
      </c>
      <c r="C474" s="11" t="str">
        <f ca="1">+WORLDCUP!BD62</f>
        <v>Ecuador</v>
      </c>
      <c r="D474" s="11" t="str">
        <f ca="1">+WORLDCUP!BD64</f>
        <v>Iran</v>
      </c>
      <c r="E474" s="11" t="str">
        <f ca="1">+WORLDCUP!BD59</f>
        <v>Bosnia and Herzegovina</v>
      </c>
      <c r="F474" s="11" t="str">
        <f ca="1">+WORLDCUP!BD60</f>
        <v>Scotland</v>
      </c>
      <c r="G474" s="11" t="str">
        <f ca="1">+WORLDCUP!BD58</f>
        <v>South Korea</v>
      </c>
      <c r="H474" s="11" t="str">
        <f ca="1">+WORLDCUP!BD61</f>
        <v>Paraguay</v>
      </c>
      <c r="I474" s="11" t="str">
        <f ca="1">+WORLDCUP!BD67</f>
        <v>Algeria</v>
      </c>
      <c r="J474" s="11" t="str">
        <f ca="1">+WORLDCUP!BD68</f>
        <v>DR Congo</v>
      </c>
      <c r="N474" s="11" t="s">
        <v>773</v>
      </c>
      <c r="O474" s="11">
        <v>473</v>
      </c>
      <c r="P474" s="11" t="s">
        <v>93</v>
      </c>
      <c r="Q474" s="11" t="s">
        <v>435</v>
      </c>
      <c r="R474" s="11" t="s">
        <v>90</v>
      </c>
      <c r="S474" s="11" t="s">
        <v>91</v>
      </c>
      <c r="T474" s="11" t="s">
        <v>89</v>
      </c>
      <c r="U474" s="11" t="s">
        <v>92</v>
      </c>
      <c r="V474" s="11" t="s">
        <v>441</v>
      </c>
      <c r="W474" s="11" t="s">
        <v>442</v>
      </c>
    </row>
    <row r="475" spans="1:23">
      <c r="A475" s="11" t="s">
        <v>772</v>
      </c>
      <c r="B475" s="11">
        <f ca="1">+IF(A475=WORLDCUP!$BI$112,1,0)</f>
        <v>0</v>
      </c>
      <c r="C475" s="11" t="str">
        <f ca="1">+WORLDCUP!BD62</f>
        <v>Ecuador</v>
      </c>
      <c r="D475" s="11" t="str">
        <f ca="1">+WORLDCUP!BD64</f>
        <v>Iran</v>
      </c>
      <c r="E475" s="11" t="str">
        <f ca="1">+WORLDCUP!BD59</f>
        <v>Bosnia and Herzegovina</v>
      </c>
      <c r="F475" s="11" t="str">
        <f ca="1">+WORLDCUP!BD60</f>
        <v>Scotland</v>
      </c>
      <c r="G475" s="11" t="str">
        <f ca="1">+WORLDCUP!BD58</f>
        <v>South Korea</v>
      </c>
      <c r="H475" s="11" t="str">
        <f ca="1">+WORLDCUP!BD61</f>
        <v>Paraguay</v>
      </c>
      <c r="I475" s="11" t="str">
        <f ca="1">+WORLDCUP!BD69</f>
        <v>Ghana</v>
      </c>
      <c r="J475" s="11" t="str">
        <f ca="1">+WORLDCUP!BD66</f>
        <v>Senegal</v>
      </c>
      <c r="N475" s="11" t="s">
        <v>772</v>
      </c>
      <c r="O475" s="11">
        <v>474</v>
      </c>
      <c r="P475" s="11" t="s">
        <v>93</v>
      </c>
      <c r="Q475" s="11" t="s">
        <v>435</v>
      </c>
      <c r="R475" s="11" t="s">
        <v>90</v>
      </c>
      <c r="S475" s="11" t="s">
        <v>91</v>
      </c>
      <c r="T475" s="11" t="s">
        <v>89</v>
      </c>
      <c r="U475" s="11" t="s">
        <v>92</v>
      </c>
      <c r="V475" s="11" t="s">
        <v>443</v>
      </c>
      <c r="W475" s="11" t="s">
        <v>440</v>
      </c>
    </row>
    <row r="476" spans="1:23">
      <c r="A476" s="11" t="s">
        <v>771</v>
      </c>
      <c r="B476" s="11">
        <f ca="1">+IF(A476=WORLDCUP!$BI$112,1,0)</f>
        <v>0</v>
      </c>
      <c r="C476" s="11" t="str">
        <f ca="1">+WORLDCUP!BD62</f>
        <v>Ecuador</v>
      </c>
      <c r="D476" s="11" t="str">
        <f ca="1">+WORLDCUP!BD64</f>
        <v>Iran</v>
      </c>
      <c r="E476" s="11" t="str">
        <f ca="1">+WORLDCUP!BD59</f>
        <v>Bosnia and Herzegovina</v>
      </c>
      <c r="F476" s="11" t="str">
        <f ca="1">+WORLDCUP!BD60</f>
        <v>Scotland</v>
      </c>
      <c r="G476" s="11" t="str">
        <f ca="1">+WORLDCUP!BD58</f>
        <v>South Korea</v>
      </c>
      <c r="H476" s="11" t="str">
        <f ca="1">+WORLDCUP!BD61</f>
        <v>Paraguay</v>
      </c>
      <c r="I476" s="11" t="str">
        <f ca="1">+WORLDCUP!BD66</f>
        <v>Senegal</v>
      </c>
      <c r="J476" s="11" t="str">
        <f ca="1">+WORLDCUP!BD68</f>
        <v>DR Congo</v>
      </c>
      <c r="N476" s="11" t="s">
        <v>771</v>
      </c>
      <c r="O476" s="11">
        <v>475</v>
      </c>
      <c r="P476" s="11" t="s">
        <v>93</v>
      </c>
      <c r="Q476" s="11" t="s">
        <v>435</v>
      </c>
      <c r="R476" s="11" t="s">
        <v>90</v>
      </c>
      <c r="S476" s="11" t="s">
        <v>91</v>
      </c>
      <c r="T476" s="11" t="s">
        <v>89</v>
      </c>
      <c r="U476" s="11" t="s">
        <v>92</v>
      </c>
      <c r="V476" s="11" t="s">
        <v>440</v>
      </c>
      <c r="W476" s="11" t="s">
        <v>442</v>
      </c>
    </row>
    <row r="477" spans="1:23">
      <c r="A477" s="11" t="s">
        <v>770</v>
      </c>
      <c r="B477" s="11">
        <f ca="1">+IF(A477=WORLDCUP!$BI$112,1,0)</f>
        <v>0</v>
      </c>
      <c r="C477" s="11" t="str">
        <f ca="1">+WORLDCUP!BD62</f>
        <v>Ecuador</v>
      </c>
      <c r="D477" s="11" t="str">
        <f ca="1">+WORLDCUP!BD64</f>
        <v>Iran</v>
      </c>
      <c r="E477" s="11" t="str">
        <f ca="1">+WORLDCUP!BD59</f>
        <v>Bosnia and Herzegovina</v>
      </c>
      <c r="F477" s="11" t="str">
        <f ca="1">+WORLDCUP!BD60</f>
        <v>Scotland</v>
      </c>
      <c r="G477" s="11" t="str">
        <f ca="1">+WORLDCUP!BD58</f>
        <v>South Korea</v>
      </c>
      <c r="H477" s="11" t="str">
        <f ca="1">+WORLDCUP!BD61</f>
        <v>Paraguay</v>
      </c>
      <c r="I477" s="11" t="str">
        <f ca="1">+WORLDCUP!BD66</f>
        <v>Senegal</v>
      </c>
      <c r="J477" s="11" t="str">
        <f ca="1">+WORLDCUP!BD67</f>
        <v>Algeria</v>
      </c>
      <c r="N477" s="11" t="s">
        <v>770</v>
      </c>
      <c r="O477" s="11">
        <v>476</v>
      </c>
      <c r="P477" s="11" t="s">
        <v>93</v>
      </c>
      <c r="Q477" s="11" t="s">
        <v>435</v>
      </c>
      <c r="R477" s="11" t="s">
        <v>90</v>
      </c>
      <c r="S477" s="11" t="s">
        <v>91</v>
      </c>
      <c r="T477" s="11" t="s">
        <v>89</v>
      </c>
      <c r="U477" s="11" t="s">
        <v>92</v>
      </c>
      <c r="V477" s="11" t="s">
        <v>440</v>
      </c>
      <c r="W477" s="11" t="s">
        <v>441</v>
      </c>
    </row>
    <row r="478" spans="1:23">
      <c r="A478" s="11" t="s">
        <v>769</v>
      </c>
      <c r="B478" s="11">
        <f ca="1">+IF(A478=WORLDCUP!$BI$112,1,0)</f>
        <v>0</v>
      </c>
      <c r="C478" s="11" t="str">
        <f ca="1">+WORLDCUP!BD65</f>
        <v>Uruguay</v>
      </c>
      <c r="D478" s="11" t="str">
        <f ca="1">+WORLDCUP!BD64</f>
        <v>Iran</v>
      </c>
      <c r="E478" s="11" t="str">
        <f ca="1">+WORLDCUP!BD59</f>
        <v>Bosnia and Herzegovina</v>
      </c>
      <c r="F478" s="11" t="str">
        <f ca="1">+WORLDCUP!BD60</f>
        <v>Scotland</v>
      </c>
      <c r="G478" s="11" t="str">
        <f ca="1">+WORLDCUP!BD58</f>
        <v>South Korea</v>
      </c>
      <c r="H478" s="11" t="str">
        <f ca="1">+WORLDCUP!BD61</f>
        <v>Paraguay</v>
      </c>
      <c r="I478" s="11" t="str">
        <f ca="1">+WORLDCUP!BD69</f>
        <v>Ghana</v>
      </c>
      <c r="J478" s="11" t="str">
        <f ca="1">+WORLDCUP!BD62</f>
        <v>Ecuador</v>
      </c>
      <c r="N478" s="11" t="s">
        <v>769</v>
      </c>
      <c r="O478" s="11">
        <v>477</v>
      </c>
      <c r="P478" s="11" t="s">
        <v>436</v>
      </c>
      <c r="Q478" s="11" t="s">
        <v>435</v>
      </c>
      <c r="R478" s="11" t="s">
        <v>90</v>
      </c>
      <c r="S478" s="11" t="s">
        <v>91</v>
      </c>
      <c r="T478" s="11" t="s">
        <v>89</v>
      </c>
      <c r="U478" s="11" t="s">
        <v>92</v>
      </c>
      <c r="V478" s="11" t="s">
        <v>443</v>
      </c>
      <c r="W478" s="11" t="s">
        <v>93</v>
      </c>
    </row>
    <row r="479" spans="1:23">
      <c r="A479" s="11" t="s">
        <v>768</v>
      </c>
      <c r="B479" s="11">
        <f ca="1">+IF(A479=WORLDCUP!$BI$112,1,0)</f>
        <v>0</v>
      </c>
      <c r="C479" s="11" t="str">
        <f ca="1">+WORLDCUP!BD65</f>
        <v>Uruguay</v>
      </c>
      <c r="D479" s="11" t="str">
        <f ca="1">+WORLDCUP!BD64</f>
        <v>Iran</v>
      </c>
      <c r="E479" s="11" t="str">
        <f ca="1">+WORLDCUP!BD59</f>
        <v>Bosnia and Herzegovina</v>
      </c>
      <c r="F479" s="11" t="str">
        <f ca="1">+WORLDCUP!BD60</f>
        <v>Scotland</v>
      </c>
      <c r="G479" s="11" t="str">
        <f ca="1">+WORLDCUP!BD58</f>
        <v>South Korea</v>
      </c>
      <c r="H479" s="11" t="str">
        <f ca="1">+WORLDCUP!BD61</f>
        <v>Paraguay</v>
      </c>
      <c r="I479" s="11" t="str">
        <f ca="1">+WORLDCUP!BD62</f>
        <v>Ecuador</v>
      </c>
      <c r="J479" s="11" t="str">
        <f ca="1">+WORLDCUP!BD68</f>
        <v>DR Congo</v>
      </c>
      <c r="N479" s="11" t="s">
        <v>768</v>
      </c>
      <c r="O479" s="11">
        <v>478</v>
      </c>
      <c r="P479" s="11" t="s">
        <v>436</v>
      </c>
      <c r="Q479" s="11" t="s">
        <v>435</v>
      </c>
      <c r="R479" s="11" t="s">
        <v>90</v>
      </c>
      <c r="S479" s="11" t="s">
        <v>91</v>
      </c>
      <c r="T479" s="11" t="s">
        <v>89</v>
      </c>
      <c r="U479" s="11" t="s">
        <v>92</v>
      </c>
      <c r="V479" s="11" t="s">
        <v>93</v>
      </c>
      <c r="W479" s="11" t="s">
        <v>442</v>
      </c>
    </row>
    <row r="480" spans="1:23">
      <c r="A480" s="11" t="s">
        <v>767</v>
      </c>
      <c r="B480" s="11">
        <f ca="1">+IF(A480=WORLDCUP!$BI$112,1,0)</f>
        <v>0</v>
      </c>
      <c r="C480" s="11" t="str">
        <f ca="1">+WORLDCUP!BD65</f>
        <v>Uruguay</v>
      </c>
      <c r="D480" s="11" t="str">
        <f ca="1">+WORLDCUP!BD64</f>
        <v>Iran</v>
      </c>
      <c r="E480" s="11" t="str">
        <f ca="1">+WORLDCUP!BD59</f>
        <v>Bosnia and Herzegovina</v>
      </c>
      <c r="F480" s="11" t="str">
        <f ca="1">+WORLDCUP!BD60</f>
        <v>Scotland</v>
      </c>
      <c r="G480" s="11" t="str">
        <f ca="1">+WORLDCUP!BD58</f>
        <v>South Korea</v>
      </c>
      <c r="H480" s="11" t="str">
        <f ca="1">+WORLDCUP!BD61</f>
        <v>Paraguay</v>
      </c>
      <c r="I480" s="11" t="str">
        <f ca="1">+WORLDCUP!BD62</f>
        <v>Ecuador</v>
      </c>
      <c r="J480" s="11" t="str">
        <f ca="1">+WORLDCUP!BD67</f>
        <v>Algeria</v>
      </c>
      <c r="N480" s="11" t="s">
        <v>767</v>
      </c>
      <c r="O480" s="11">
        <v>479</v>
      </c>
      <c r="P480" s="11" t="s">
        <v>436</v>
      </c>
      <c r="Q480" s="11" t="s">
        <v>435</v>
      </c>
      <c r="R480" s="11" t="s">
        <v>90</v>
      </c>
      <c r="S480" s="11" t="s">
        <v>91</v>
      </c>
      <c r="T480" s="11" t="s">
        <v>89</v>
      </c>
      <c r="U480" s="11" t="s">
        <v>92</v>
      </c>
      <c r="V480" s="11" t="s">
        <v>93</v>
      </c>
      <c r="W480" s="11" t="s">
        <v>441</v>
      </c>
    </row>
    <row r="481" spans="1:23">
      <c r="A481" s="11" t="s">
        <v>766</v>
      </c>
      <c r="B481" s="11">
        <f ca="1">+IF(A481=WORLDCUP!$BI$112,1,0)</f>
        <v>0</v>
      </c>
      <c r="C481" s="11" t="str">
        <f ca="1">+WORLDCUP!BD65</f>
        <v>Uruguay</v>
      </c>
      <c r="D481" s="11" t="str">
        <f ca="1">+WORLDCUP!BD64</f>
        <v>Iran</v>
      </c>
      <c r="E481" s="11" t="str">
        <f ca="1">+WORLDCUP!BD59</f>
        <v>Bosnia and Herzegovina</v>
      </c>
      <c r="F481" s="11" t="str">
        <f ca="1">+WORLDCUP!BD60</f>
        <v>Scotland</v>
      </c>
      <c r="G481" s="11" t="str">
        <f ca="1">+WORLDCUP!BD58</f>
        <v>South Korea</v>
      </c>
      <c r="H481" s="11" t="str">
        <f ca="1">+WORLDCUP!BD61</f>
        <v>Paraguay</v>
      </c>
      <c r="I481" s="11" t="str">
        <f ca="1">+WORLDCUP!BD62</f>
        <v>Ecuador</v>
      </c>
      <c r="J481" s="11" t="str">
        <f ca="1">+WORLDCUP!BD66</f>
        <v>Senegal</v>
      </c>
      <c r="N481" s="11" t="s">
        <v>766</v>
      </c>
      <c r="O481" s="11">
        <v>480</v>
      </c>
      <c r="P481" s="11" t="s">
        <v>436</v>
      </c>
      <c r="Q481" s="11" t="s">
        <v>435</v>
      </c>
      <c r="R481" s="11" t="s">
        <v>90</v>
      </c>
      <c r="S481" s="11" t="s">
        <v>91</v>
      </c>
      <c r="T481" s="11" t="s">
        <v>89</v>
      </c>
      <c r="U481" s="11" t="s">
        <v>92</v>
      </c>
      <c r="V481" s="11" t="s">
        <v>93</v>
      </c>
      <c r="W481" s="11" t="s">
        <v>440</v>
      </c>
    </row>
    <row r="482" spans="1:23">
      <c r="A482" s="11" t="s">
        <v>459</v>
      </c>
      <c r="B482" s="11">
        <f ca="1">+IF(A482=WORLDCUP!$BI$112,1,0)</f>
        <v>0</v>
      </c>
      <c r="C482" s="11" t="str">
        <f ca="1">+WORLDCUP!BD60</f>
        <v>Scotland</v>
      </c>
      <c r="D482" s="11" t="str">
        <f ca="1">+WORLDCUP!BD62</f>
        <v>Ecuador</v>
      </c>
      <c r="E482" s="11" t="str">
        <f ca="1">+WORLDCUP!BD59</f>
        <v>Bosnia and Herzegovina</v>
      </c>
      <c r="F482" s="11" t="str">
        <f ca="1">+WORLDCUP!BD61</f>
        <v>Paraguay</v>
      </c>
      <c r="G482" s="11" t="str">
        <f ca="1">+WORLDCUP!BD58</f>
        <v>South Korea</v>
      </c>
      <c r="H482" s="11" t="str">
        <f ca="1">+WORLDCUP!BD63</f>
        <v>Sweden</v>
      </c>
      <c r="I482" s="11" t="str">
        <f ca="1">+WORLDCUP!BD69</f>
        <v>Ghana</v>
      </c>
      <c r="J482" s="11" t="str">
        <f ca="1">+WORLDCUP!BD68</f>
        <v>DR Congo</v>
      </c>
      <c r="N482" s="11" t="s">
        <v>459</v>
      </c>
      <c r="O482" s="11">
        <v>481</v>
      </c>
      <c r="P482" s="11" t="s">
        <v>91</v>
      </c>
      <c r="Q482" s="11" t="s">
        <v>93</v>
      </c>
      <c r="R482" s="11" t="s">
        <v>90</v>
      </c>
      <c r="S482" s="11" t="s">
        <v>92</v>
      </c>
      <c r="T482" s="11" t="s">
        <v>89</v>
      </c>
      <c r="U482" s="11" t="s">
        <v>94</v>
      </c>
      <c r="V482" s="11" t="s">
        <v>443</v>
      </c>
      <c r="W482" s="11" t="s">
        <v>442</v>
      </c>
    </row>
    <row r="483" spans="1:23">
      <c r="A483" s="11" t="s">
        <v>458</v>
      </c>
      <c r="B483" s="11">
        <f ca="1">+IF(A483=WORLDCUP!$BI$112,1,0)</f>
        <v>0</v>
      </c>
      <c r="C483" s="11" t="str">
        <f ca="1">+WORLDCUP!BD60</f>
        <v>Scotland</v>
      </c>
      <c r="D483" s="11" t="str">
        <f ca="1">+WORLDCUP!BD67</f>
        <v>Algeria</v>
      </c>
      <c r="E483" s="11" t="str">
        <f ca="1">+WORLDCUP!BD59</f>
        <v>Bosnia and Herzegovina</v>
      </c>
      <c r="F483" s="11" t="str">
        <f ca="1">+WORLDCUP!BD61</f>
        <v>Paraguay</v>
      </c>
      <c r="G483" s="11" t="str">
        <f ca="1">+WORLDCUP!BD58</f>
        <v>South Korea</v>
      </c>
      <c r="H483" s="11" t="str">
        <f ca="1">+WORLDCUP!BD63</f>
        <v>Sweden</v>
      </c>
      <c r="I483" s="11" t="str">
        <f ca="1">+WORLDCUP!BD69</f>
        <v>Ghana</v>
      </c>
      <c r="J483" s="11" t="str">
        <f ca="1">+WORLDCUP!BD62</f>
        <v>Ecuador</v>
      </c>
      <c r="N483" s="11" t="s">
        <v>458</v>
      </c>
      <c r="O483" s="11">
        <v>482</v>
      </c>
      <c r="P483" s="11" t="s">
        <v>91</v>
      </c>
      <c r="Q483" s="11" t="s">
        <v>441</v>
      </c>
      <c r="R483" s="11" t="s">
        <v>90</v>
      </c>
      <c r="S483" s="11" t="s">
        <v>92</v>
      </c>
      <c r="T483" s="11" t="s">
        <v>89</v>
      </c>
      <c r="U483" s="11" t="s">
        <v>94</v>
      </c>
      <c r="V483" s="11" t="s">
        <v>443</v>
      </c>
      <c r="W483" s="11" t="s">
        <v>93</v>
      </c>
    </row>
    <row r="484" spans="1:23">
      <c r="A484" s="11" t="s">
        <v>457</v>
      </c>
      <c r="B484" s="11">
        <f ca="1">+IF(A484=WORLDCUP!$BI$112,1,0)</f>
        <v>0</v>
      </c>
      <c r="C484" s="11" t="str">
        <f ca="1">+WORLDCUP!BD60</f>
        <v>Scotland</v>
      </c>
      <c r="D484" s="11" t="str">
        <f ca="1">+WORLDCUP!BD67</f>
        <v>Algeria</v>
      </c>
      <c r="E484" s="11" t="str">
        <f ca="1">+WORLDCUP!BD59</f>
        <v>Bosnia and Herzegovina</v>
      </c>
      <c r="F484" s="11" t="str">
        <f ca="1">+WORLDCUP!BD61</f>
        <v>Paraguay</v>
      </c>
      <c r="G484" s="11" t="str">
        <f ca="1">+WORLDCUP!BD58</f>
        <v>South Korea</v>
      </c>
      <c r="H484" s="11" t="str">
        <f ca="1">+WORLDCUP!BD63</f>
        <v>Sweden</v>
      </c>
      <c r="I484" s="11" t="str">
        <f ca="1">+WORLDCUP!BD62</f>
        <v>Ecuador</v>
      </c>
      <c r="J484" s="11" t="str">
        <f ca="1">+WORLDCUP!BD68</f>
        <v>DR Congo</v>
      </c>
      <c r="N484" s="11" t="s">
        <v>457</v>
      </c>
      <c r="O484" s="11">
        <v>483</v>
      </c>
      <c r="P484" s="11" t="s">
        <v>91</v>
      </c>
      <c r="Q484" s="11" t="s">
        <v>441</v>
      </c>
      <c r="R484" s="11" t="s">
        <v>90</v>
      </c>
      <c r="S484" s="11" t="s">
        <v>92</v>
      </c>
      <c r="T484" s="11" t="s">
        <v>89</v>
      </c>
      <c r="U484" s="11" t="s">
        <v>94</v>
      </c>
      <c r="V484" s="11" t="s">
        <v>93</v>
      </c>
      <c r="W484" s="11" t="s">
        <v>442</v>
      </c>
    </row>
    <row r="485" spans="1:23">
      <c r="A485" s="11" t="s">
        <v>456</v>
      </c>
      <c r="B485" s="11">
        <f ca="1">+IF(A485=WORLDCUP!$BI$112,1,0)</f>
        <v>0</v>
      </c>
      <c r="C485" s="11" t="str">
        <f ca="1">+WORLDCUP!BD60</f>
        <v>Scotland</v>
      </c>
      <c r="D485" s="11" t="str">
        <f ca="1">+WORLDCUP!BD62</f>
        <v>Ecuador</v>
      </c>
      <c r="E485" s="11" t="str">
        <f ca="1">+WORLDCUP!BD59</f>
        <v>Bosnia and Herzegovina</v>
      </c>
      <c r="F485" s="11" t="str">
        <f ca="1">+WORLDCUP!BD61</f>
        <v>Paraguay</v>
      </c>
      <c r="G485" s="11" t="str">
        <f ca="1">+WORLDCUP!BD58</f>
        <v>South Korea</v>
      </c>
      <c r="H485" s="11" t="str">
        <f ca="1">+WORLDCUP!BD63</f>
        <v>Sweden</v>
      </c>
      <c r="I485" s="11" t="str">
        <f ca="1">+WORLDCUP!BD69</f>
        <v>Ghana</v>
      </c>
      <c r="J485" s="11" t="str">
        <f ca="1">+WORLDCUP!BD66</f>
        <v>Senegal</v>
      </c>
      <c r="N485" s="11" t="s">
        <v>456</v>
      </c>
      <c r="O485" s="11">
        <v>484</v>
      </c>
      <c r="P485" s="11" t="s">
        <v>91</v>
      </c>
      <c r="Q485" s="11" t="s">
        <v>93</v>
      </c>
      <c r="R485" s="11" t="s">
        <v>90</v>
      </c>
      <c r="S485" s="11" t="s">
        <v>92</v>
      </c>
      <c r="T485" s="11" t="s">
        <v>89</v>
      </c>
      <c r="U485" s="11" t="s">
        <v>94</v>
      </c>
      <c r="V485" s="11" t="s">
        <v>443</v>
      </c>
      <c r="W485" s="11" t="s">
        <v>440</v>
      </c>
    </row>
    <row r="486" spans="1:23">
      <c r="A486" s="11" t="s">
        <v>455</v>
      </c>
      <c r="B486" s="11">
        <f ca="1">+IF(A486=WORLDCUP!$BI$112,1,0)</f>
        <v>0</v>
      </c>
      <c r="C486" s="11" t="str">
        <f ca="1">+WORLDCUP!BD60</f>
        <v>Scotland</v>
      </c>
      <c r="D486" s="11" t="str">
        <f ca="1">+WORLDCUP!BD62</f>
        <v>Ecuador</v>
      </c>
      <c r="E486" s="11" t="str">
        <f ca="1">+WORLDCUP!BD59</f>
        <v>Bosnia and Herzegovina</v>
      </c>
      <c r="F486" s="11" t="str">
        <f ca="1">+WORLDCUP!BD61</f>
        <v>Paraguay</v>
      </c>
      <c r="G486" s="11" t="str">
        <f ca="1">+WORLDCUP!BD58</f>
        <v>South Korea</v>
      </c>
      <c r="H486" s="11" t="str">
        <f ca="1">+WORLDCUP!BD63</f>
        <v>Sweden</v>
      </c>
      <c r="I486" s="11" t="str">
        <f ca="1">+WORLDCUP!BD66</f>
        <v>Senegal</v>
      </c>
      <c r="J486" s="11" t="str">
        <f ca="1">+WORLDCUP!BD68</f>
        <v>DR Congo</v>
      </c>
      <c r="N486" s="11" t="s">
        <v>455</v>
      </c>
      <c r="O486" s="11">
        <v>485</v>
      </c>
      <c r="P486" s="11" t="s">
        <v>91</v>
      </c>
      <c r="Q486" s="11" t="s">
        <v>93</v>
      </c>
      <c r="R486" s="11" t="s">
        <v>90</v>
      </c>
      <c r="S486" s="11" t="s">
        <v>92</v>
      </c>
      <c r="T486" s="11" t="s">
        <v>89</v>
      </c>
      <c r="U486" s="11" t="s">
        <v>94</v>
      </c>
      <c r="V486" s="11" t="s">
        <v>440</v>
      </c>
      <c r="W486" s="11" t="s">
        <v>442</v>
      </c>
    </row>
    <row r="487" spans="1:23">
      <c r="A487" s="11" t="s">
        <v>454</v>
      </c>
      <c r="B487" s="11">
        <f ca="1">+IF(A487=WORLDCUP!$BI$112,1,0)</f>
        <v>0</v>
      </c>
      <c r="C487" s="11" t="str">
        <f ca="1">+WORLDCUP!BD60</f>
        <v>Scotland</v>
      </c>
      <c r="D487" s="11" t="str">
        <f ca="1">+WORLDCUP!BD67</f>
        <v>Algeria</v>
      </c>
      <c r="E487" s="11" t="str">
        <f ca="1">+WORLDCUP!BD59</f>
        <v>Bosnia and Herzegovina</v>
      </c>
      <c r="F487" s="11" t="str">
        <f ca="1">+WORLDCUP!BD61</f>
        <v>Paraguay</v>
      </c>
      <c r="G487" s="11" t="str">
        <f ca="1">+WORLDCUP!BD58</f>
        <v>South Korea</v>
      </c>
      <c r="H487" s="11" t="str">
        <f ca="1">+WORLDCUP!BD63</f>
        <v>Sweden</v>
      </c>
      <c r="I487" s="11" t="str">
        <f ca="1">+WORLDCUP!BD62</f>
        <v>Ecuador</v>
      </c>
      <c r="J487" s="11" t="str">
        <f ca="1">+WORLDCUP!BD66</f>
        <v>Senegal</v>
      </c>
      <c r="N487" s="11" t="s">
        <v>454</v>
      </c>
      <c r="O487" s="11">
        <v>486</v>
      </c>
      <c r="P487" s="11" t="s">
        <v>91</v>
      </c>
      <c r="Q487" s="11" t="s">
        <v>441</v>
      </c>
      <c r="R487" s="11" t="s">
        <v>90</v>
      </c>
      <c r="S487" s="11" t="s">
        <v>92</v>
      </c>
      <c r="T487" s="11" t="s">
        <v>89</v>
      </c>
      <c r="U487" s="11" t="s">
        <v>94</v>
      </c>
      <c r="V487" s="11" t="s">
        <v>93</v>
      </c>
      <c r="W487" s="11" t="s">
        <v>440</v>
      </c>
    </row>
    <row r="488" spans="1:23">
      <c r="A488" s="11" t="s">
        <v>453</v>
      </c>
      <c r="B488" s="11">
        <f ca="1">+IF(A488=WORLDCUP!$BI$112,1,0)</f>
        <v>0</v>
      </c>
      <c r="C488" s="11" t="str">
        <f ca="1">+WORLDCUP!BD65</f>
        <v>Uruguay</v>
      </c>
      <c r="D488" s="11" t="str">
        <f ca="1">+WORLDCUP!BD63</f>
        <v>Sweden</v>
      </c>
      <c r="E488" s="11" t="str">
        <f ca="1">+WORLDCUP!BD59</f>
        <v>Bosnia and Herzegovina</v>
      </c>
      <c r="F488" s="11" t="str">
        <f ca="1">+WORLDCUP!BD60</f>
        <v>Scotland</v>
      </c>
      <c r="G488" s="11" t="str">
        <f ca="1">+WORLDCUP!BD58</f>
        <v>South Korea</v>
      </c>
      <c r="H488" s="11" t="str">
        <f ca="1">+WORLDCUP!BD61</f>
        <v>Paraguay</v>
      </c>
      <c r="I488" s="11" t="str">
        <f ca="1">+WORLDCUP!BD69</f>
        <v>Ghana</v>
      </c>
      <c r="J488" s="11" t="str">
        <f ca="1">+WORLDCUP!BD62</f>
        <v>Ecuador</v>
      </c>
      <c r="N488" s="11" t="s">
        <v>453</v>
      </c>
      <c r="O488" s="11">
        <v>487</v>
      </c>
      <c r="P488" s="11" t="s">
        <v>436</v>
      </c>
      <c r="Q488" s="11" t="s">
        <v>94</v>
      </c>
      <c r="R488" s="11" t="s">
        <v>90</v>
      </c>
      <c r="S488" s="11" t="s">
        <v>91</v>
      </c>
      <c r="T488" s="11" t="s">
        <v>89</v>
      </c>
      <c r="U488" s="11" t="s">
        <v>92</v>
      </c>
      <c r="V488" s="11" t="s">
        <v>443</v>
      </c>
      <c r="W488" s="11" t="s">
        <v>93</v>
      </c>
    </row>
    <row r="489" spans="1:23">
      <c r="A489" s="11" t="s">
        <v>452</v>
      </c>
      <c r="B489" s="11">
        <f ca="1">+IF(A489=WORLDCUP!$BI$112,1,0)</f>
        <v>0</v>
      </c>
      <c r="C489" s="11" t="str">
        <f ca="1">+WORLDCUP!BD65</f>
        <v>Uruguay</v>
      </c>
      <c r="D489" s="11" t="str">
        <f ca="1">+WORLDCUP!BD62</f>
        <v>Ecuador</v>
      </c>
      <c r="E489" s="11" t="str">
        <f ca="1">+WORLDCUP!BD59</f>
        <v>Bosnia and Herzegovina</v>
      </c>
      <c r="F489" s="11" t="str">
        <f ca="1">+WORLDCUP!BD60</f>
        <v>Scotland</v>
      </c>
      <c r="G489" s="11" t="str">
        <f ca="1">+WORLDCUP!BD58</f>
        <v>South Korea</v>
      </c>
      <c r="H489" s="11" t="str">
        <f ca="1">+WORLDCUP!BD63</f>
        <v>Sweden</v>
      </c>
      <c r="I489" s="11" t="str">
        <f ca="1">+WORLDCUP!BD61</f>
        <v>Paraguay</v>
      </c>
      <c r="J489" s="11" t="str">
        <f ca="1">+WORLDCUP!BD68</f>
        <v>DR Congo</v>
      </c>
      <c r="N489" s="11" t="s">
        <v>452</v>
      </c>
      <c r="O489" s="11">
        <v>488</v>
      </c>
      <c r="P489" s="11" t="s">
        <v>436</v>
      </c>
      <c r="Q489" s="11" t="s">
        <v>93</v>
      </c>
      <c r="R489" s="11" t="s">
        <v>90</v>
      </c>
      <c r="S489" s="11" t="s">
        <v>91</v>
      </c>
      <c r="T489" s="11" t="s">
        <v>89</v>
      </c>
      <c r="U489" s="11" t="s">
        <v>94</v>
      </c>
      <c r="V489" s="11" t="s">
        <v>92</v>
      </c>
      <c r="W489" s="11" t="s">
        <v>442</v>
      </c>
    </row>
    <row r="490" spans="1:23">
      <c r="A490" s="11" t="s">
        <v>451</v>
      </c>
      <c r="B490" s="11">
        <f ca="1">+IF(A490=WORLDCUP!$BI$112,1,0)</f>
        <v>0</v>
      </c>
      <c r="C490" s="11" t="str">
        <f ca="1">+WORLDCUP!BD65</f>
        <v>Uruguay</v>
      </c>
      <c r="D490" s="11" t="str">
        <f ca="1">+WORLDCUP!BD67</f>
        <v>Algeria</v>
      </c>
      <c r="E490" s="11" t="str">
        <f ca="1">+WORLDCUP!BD59</f>
        <v>Bosnia and Herzegovina</v>
      </c>
      <c r="F490" s="11" t="str">
        <f ca="1">+WORLDCUP!BD60</f>
        <v>Scotland</v>
      </c>
      <c r="G490" s="11" t="str">
        <f ca="1">+WORLDCUP!BD58</f>
        <v>South Korea</v>
      </c>
      <c r="H490" s="11" t="str">
        <f ca="1">+WORLDCUP!BD63</f>
        <v>Sweden</v>
      </c>
      <c r="I490" s="11" t="str">
        <f ca="1">+WORLDCUP!BD61</f>
        <v>Paraguay</v>
      </c>
      <c r="J490" s="11" t="str">
        <f ca="1">+WORLDCUP!BD62</f>
        <v>Ecuador</v>
      </c>
      <c r="N490" s="11" t="s">
        <v>451</v>
      </c>
      <c r="O490" s="11">
        <v>489</v>
      </c>
      <c r="P490" s="11" t="s">
        <v>436</v>
      </c>
      <c r="Q490" s="11" t="s">
        <v>441</v>
      </c>
      <c r="R490" s="11" t="s">
        <v>90</v>
      </c>
      <c r="S490" s="11" t="s">
        <v>91</v>
      </c>
      <c r="T490" s="11" t="s">
        <v>89</v>
      </c>
      <c r="U490" s="11" t="s">
        <v>94</v>
      </c>
      <c r="V490" s="11" t="s">
        <v>92</v>
      </c>
      <c r="W490" s="11" t="s">
        <v>93</v>
      </c>
    </row>
    <row r="491" spans="1:23">
      <c r="A491" s="11" t="s">
        <v>450</v>
      </c>
      <c r="B491" s="11">
        <f ca="1">+IF(A491=WORLDCUP!$BI$112,1,0)</f>
        <v>0</v>
      </c>
      <c r="C491" s="11" t="str">
        <f ca="1">+WORLDCUP!BD65</f>
        <v>Uruguay</v>
      </c>
      <c r="D491" s="11" t="str">
        <f ca="1">+WORLDCUP!BD62</f>
        <v>Ecuador</v>
      </c>
      <c r="E491" s="11" t="str">
        <f ca="1">+WORLDCUP!BD59</f>
        <v>Bosnia and Herzegovina</v>
      </c>
      <c r="F491" s="11" t="str">
        <f ca="1">+WORLDCUP!BD60</f>
        <v>Scotland</v>
      </c>
      <c r="G491" s="11" t="str">
        <f ca="1">+WORLDCUP!BD58</f>
        <v>South Korea</v>
      </c>
      <c r="H491" s="11" t="str">
        <f ca="1">+WORLDCUP!BD63</f>
        <v>Sweden</v>
      </c>
      <c r="I491" s="11" t="str">
        <f ca="1">+WORLDCUP!BD61</f>
        <v>Paraguay</v>
      </c>
      <c r="J491" s="11" t="str">
        <f ca="1">+WORLDCUP!BD66</f>
        <v>Senegal</v>
      </c>
      <c r="N491" s="11" t="s">
        <v>450</v>
      </c>
      <c r="O491" s="11">
        <v>490</v>
      </c>
      <c r="P491" s="11" t="s">
        <v>436</v>
      </c>
      <c r="Q491" s="11" t="s">
        <v>93</v>
      </c>
      <c r="R491" s="11" t="s">
        <v>90</v>
      </c>
      <c r="S491" s="11" t="s">
        <v>91</v>
      </c>
      <c r="T491" s="11" t="s">
        <v>89</v>
      </c>
      <c r="U491" s="11" t="s">
        <v>94</v>
      </c>
      <c r="V491" s="11" t="s">
        <v>92</v>
      </c>
      <c r="W491" s="11" t="s">
        <v>440</v>
      </c>
    </row>
    <row r="492" spans="1:23">
      <c r="A492" s="11" t="s">
        <v>449</v>
      </c>
      <c r="B492" s="11">
        <f ca="1">+IF(A492=WORLDCUP!$BI$112,1,0)</f>
        <v>0</v>
      </c>
      <c r="C492" s="11" t="str">
        <f ca="1">+WORLDCUP!BD60</f>
        <v>Scotland</v>
      </c>
      <c r="D492" s="11" t="str">
        <f ca="1">+WORLDCUP!BD64</f>
        <v>Iran</v>
      </c>
      <c r="E492" s="11" t="str">
        <f ca="1">+WORLDCUP!BD59</f>
        <v>Bosnia and Herzegovina</v>
      </c>
      <c r="F492" s="11" t="str">
        <f ca="1">+WORLDCUP!BD61</f>
        <v>Paraguay</v>
      </c>
      <c r="G492" s="11" t="str">
        <f ca="1">+WORLDCUP!BD58</f>
        <v>South Korea</v>
      </c>
      <c r="H492" s="11" t="str">
        <f ca="1">+WORLDCUP!BD63</f>
        <v>Sweden</v>
      </c>
      <c r="I492" s="11" t="str">
        <f ca="1">+WORLDCUP!BD69</f>
        <v>Ghana</v>
      </c>
      <c r="J492" s="11" t="str">
        <f ca="1">+WORLDCUP!BD62</f>
        <v>Ecuador</v>
      </c>
      <c r="N492" s="11" t="s">
        <v>449</v>
      </c>
      <c r="O492" s="11">
        <v>491</v>
      </c>
      <c r="P492" s="11" t="s">
        <v>91</v>
      </c>
      <c r="Q492" s="11" t="s">
        <v>435</v>
      </c>
      <c r="R492" s="11" t="s">
        <v>90</v>
      </c>
      <c r="S492" s="11" t="s">
        <v>92</v>
      </c>
      <c r="T492" s="11" t="s">
        <v>89</v>
      </c>
      <c r="U492" s="11" t="s">
        <v>94</v>
      </c>
      <c r="V492" s="11" t="s">
        <v>443</v>
      </c>
      <c r="W492" s="11" t="s">
        <v>93</v>
      </c>
    </row>
    <row r="493" spans="1:23">
      <c r="A493" s="11" t="s">
        <v>448</v>
      </c>
      <c r="B493" s="11">
        <f ca="1">+IF(A493=WORLDCUP!$BI$112,1,0)</f>
        <v>0</v>
      </c>
      <c r="C493" s="11" t="str">
        <f ca="1">+WORLDCUP!BD60</f>
        <v>Scotland</v>
      </c>
      <c r="D493" s="11" t="str">
        <f ca="1">+WORLDCUP!BD64</f>
        <v>Iran</v>
      </c>
      <c r="E493" s="11" t="str">
        <f ca="1">+WORLDCUP!BD59</f>
        <v>Bosnia and Herzegovina</v>
      </c>
      <c r="F493" s="11" t="str">
        <f ca="1">+WORLDCUP!BD61</f>
        <v>Paraguay</v>
      </c>
      <c r="G493" s="11" t="str">
        <f ca="1">+WORLDCUP!BD58</f>
        <v>South Korea</v>
      </c>
      <c r="H493" s="11" t="str">
        <f ca="1">+WORLDCUP!BD63</f>
        <v>Sweden</v>
      </c>
      <c r="I493" s="11" t="str">
        <f ca="1">+WORLDCUP!BD62</f>
        <v>Ecuador</v>
      </c>
      <c r="J493" s="11" t="str">
        <f ca="1">+WORLDCUP!BD68</f>
        <v>DR Congo</v>
      </c>
      <c r="N493" s="11" t="s">
        <v>448</v>
      </c>
      <c r="O493" s="11">
        <v>492</v>
      </c>
      <c r="P493" s="11" t="s">
        <v>91</v>
      </c>
      <c r="Q493" s="11" t="s">
        <v>435</v>
      </c>
      <c r="R493" s="11" t="s">
        <v>90</v>
      </c>
      <c r="S493" s="11" t="s">
        <v>92</v>
      </c>
      <c r="T493" s="11" t="s">
        <v>89</v>
      </c>
      <c r="U493" s="11" t="s">
        <v>94</v>
      </c>
      <c r="V493" s="11" t="s">
        <v>93</v>
      </c>
      <c r="W493" s="11" t="s">
        <v>442</v>
      </c>
    </row>
    <row r="494" spans="1:23">
      <c r="A494" s="11" t="s">
        <v>447</v>
      </c>
      <c r="B494" s="11">
        <f ca="1">+IF(A494=WORLDCUP!$BI$112,1,0)</f>
        <v>0</v>
      </c>
      <c r="C494" s="11" t="str">
        <f ca="1">+WORLDCUP!BD60</f>
        <v>Scotland</v>
      </c>
      <c r="D494" s="11" t="str">
        <f ca="1">+WORLDCUP!BD64</f>
        <v>Iran</v>
      </c>
      <c r="E494" s="11" t="str">
        <f ca="1">+WORLDCUP!BD59</f>
        <v>Bosnia and Herzegovina</v>
      </c>
      <c r="F494" s="11" t="str">
        <f ca="1">+WORLDCUP!BD61</f>
        <v>Paraguay</v>
      </c>
      <c r="G494" s="11" t="str">
        <f ca="1">+WORLDCUP!BD58</f>
        <v>South Korea</v>
      </c>
      <c r="H494" s="11" t="str">
        <f ca="1">+WORLDCUP!BD63</f>
        <v>Sweden</v>
      </c>
      <c r="I494" s="11" t="str">
        <f ca="1">+WORLDCUP!BD62</f>
        <v>Ecuador</v>
      </c>
      <c r="J494" s="11" t="str">
        <f ca="1">+WORLDCUP!BD67</f>
        <v>Algeria</v>
      </c>
      <c r="N494" s="11" t="s">
        <v>447</v>
      </c>
      <c r="O494" s="11">
        <v>493</v>
      </c>
      <c r="P494" s="11" t="s">
        <v>91</v>
      </c>
      <c r="Q494" s="11" t="s">
        <v>435</v>
      </c>
      <c r="R494" s="11" t="s">
        <v>90</v>
      </c>
      <c r="S494" s="11" t="s">
        <v>92</v>
      </c>
      <c r="T494" s="11" t="s">
        <v>89</v>
      </c>
      <c r="U494" s="11" t="s">
        <v>94</v>
      </c>
      <c r="V494" s="11" t="s">
        <v>93</v>
      </c>
      <c r="W494" s="11" t="s">
        <v>441</v>
      </c>
    </row>
    <row r="495" spans="1:23">
      <c r="A495" s="11" t="s">
        <v>446</v>
      </c>
      <c r="B495" s="11">
        <f ca="1">+IF(A495=WORLDCUP!$BI$112,1,0)</f>
        <v>0</v>
      </c>
      <c r="C495" s="11" t="str">
        <f ca="1">+WORLDCUP!BD60</f>
        <v>Scotland</v>
      </c>
      <c r="D495" s="11" t="str">
        <f ca="1">+WORLDCUP!BD64</f>
        <v>Iran</v>
      </c>
      <c r="E495" s="11" t="str">
        <f ca="1">+WORLDCUP!BD59</f>
        <v>Bosnia and Herzegovina</v>
      </c>
      <c r="F495" s="11" t="str">
        <f ca="1">+WORLDCUP!BD61</f>
        <v>Paraguay</v>
      </c>
      <c r="G495" s="11" t="str">
        <f ca="1">+WORLDCUP!BD58</f>
        <v>South Korea</v>
      </c>
      <c r="H495" s="11" t="str">
        <f ca="1">+WORLDCUP!BD63</f>
        <v>Sweden</v>
      </c>
      <c r="I495" s="11" t="str">
        <f ca="1">+WORLDCUP!BD62</f>
        <v>Ecuador</v>
      </c>
      <c r="J495" s="11" t="str">
        <f ca="1">+WORLDCUP!BD66</f>
        <v>Senegal</v>
      </c>
      <c r="N495" s="11" t="s">
        <v>446</v>
      </c>
      <c r="O495" s="11">
        <v>494</v>
      </c>
      <c r="P495" s="11" t="s">
        <v>91</v>
      </c>
      <c r="Q495" s="11" t="s">
        <v>435</v>
      </c>
      <c r="R495" s="11" t="s">
        <v>90</v>
      </c>
      <c r="S495" s="11" t="s">
        <v>92</v>
      </c>
      <c r="T495" s="11" t="s">
        <v>89</v>
      </c>
      <c r="U495" s="11" t="s">
        <v>94</v>
      </c>
      <c r="V495" s="11" t="s">
        <v>93</v>
      </c>
      <c r="W495" s="11" t="s">
        <v>440</v>
      </c>
    </row>
    <row r="496" spans="1:23">
      <c r="A496" s="11" t="s">
        <v>445</v>
      </c>
      <c r="B496" s="11">
        <f ca="1">+IF(A496=WORLDCUP!$BI$112,1,0)</f>
        <v>0</v>
      </c>
      <c r="C496" s="11" t="str">
        <f ca="1">+WORLDCUP!BD65</f>
        <v>Uruguay</v>
      </c>
      <c r="D496" s="11" t="str">
        <f ca="1">+WORLDCUP!BD64</f>
        <v>Iran</v>
      </c>
      <c r="E496" s="11" t="str">
        <f ca="1">+WORLDCUP!BD59</f>
        <v>Bosnia and Herzegovina</v>
      </c>
      <c r="F496" s="11" t="str">
        <f ca="1">+WORLDCUP!BD60</f>
        <v>Scotland</v>
      </c>
      <c r="G496" s="11" t="str">
        <f ca="1">+WORLDCUP!BD58</f>
        <v>South Korea</v>
      </c>
      <c r="H496" s="11" t="str">
        <f ca="1">+WORLDCUP!BD63</f>
        <v>Sweden</v>
      </c>
      <c r="I496" s="11" t="str">
        <f ca="1">+WORLDCUP!BD61</f>
        <v>Paraguay</v>
      </c>
      <c r="J496" s="11" t="str">
        <f ca="1">+WORLDCUP!BD62</f>
        <v>Ecuador</v>
      </c>
      <c r="N496" s="11" t="s">
        <v>445</v>
      </c>
      <c r="O496" s="11">
        <v>495</v>
      </c>
      <c r="P496" s="11" t="s">
        <v>436</v>
      </c>
      <c r="Q496" s="11" t="s">
        <v>435</v>
      </c>
      <c r="R496" s="11" t="s">
        <v>90</v>
      </c>
      <c r="S496" s="11" t="s">
        <v>91</v>
      </c>
      <c r="T496" s="11" t="s">
        <v>89</v>
      </c>
      <c r="U496" s="11" t="s">
        <v>94</v>
      </c>
      <c r="V496" s="11" t="s">
        <v>92</v>
      </c>
      <c r="W496" s="11" t="s">
        <v>93</v>
      </c>
    </row>
    <row r="497" spans="1:10">
      <c r="A497" s="11" t="s">
        <v>721</v>
      </c>
      <c r="B497" s="11" t="str">
        <f ca="1">+IF(AND(WORLDCUP!$H$113=144,SUM(Combinaciones3!$B$2:$B$496)=1),"OK",IF(AND(WORLDCUP!$H$113=144,SUM(Combinaciones3!$B$2:$B$496)=0),"Error1",IF(AND(WORLDCUP!$H$113&lt;&gt;144,SUM(Combinaciones3!$B$2:$B$496)=1),"Error2",IF(AND(WORLDCUP!$H$113&lt;&gt;144,SUM(Combinaciones3!$B$2:$B$496)=0),"Faltan partidos","OTRA COSA"))))</f>
        <v>OK</v>
      </c>
      <c r="C497" s="11"/>
      <c r="D497" s="11"/>
      <c r="E497" s="11"/>
      <c r="F497" s="11"/>
      <c r="G497" s="11"/>
      <c r="H497" s="11"/>
      <c r="I497" s="11"/>
      <c r="J497" s="11"/>
    </row>
  </sheetData>
  <sheetProtection algorithmName="SHA-512" hashValue="LXAN/2l6KklV9iURYSlUsvnaMhf6GTDm4DE2wEg9y5ykcnp+fjbs0FOHkCNZehG020Qm9EzvMnlMIR1fgEcmUg==" saltValue="VwpOi7TJYM4tyG9JqvFUQQ=="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401BC-A6FF-3643-93ED-BEA7B9EC6E88}">
  <sheetPr codeName="Hoja17"/>
  <dimension ref="A1:F38"/>
  <sheetViews>
    <sheetView showGridLines="0" showRowColHeaders="0" topLeftCell="GN1107" workbookViewId="0">
      <selection activeCell="GN1108" sqref="GN1108"/>
    </sheetView>
  </sheetViews>
  <sheetFormatPr defaultColWidth="11.5703125" defaultRowHeight="15"/>
  <cols>
    <col min="4" max="4" width="10.7109375" customWidth="1"/>
  </cols>
  <sheetData>
    <row r="1" spans="1:6">
      <c r="A1" s="431"/>
      <c r="B1" s="451" t="str">
        <f>Idiomas!D515</f>
        <v>Group stage chart only</v>
      </c>
      <c r="C1" s="431"/>
      <c r="D1" s="431"/>
      <c r="F1" s="431"/>
    </row>
    <row r="2" spans="1:6">
      <c r="A2" s="410"/>
      <c r="B2" s="17"/>
      <c r="C2" s="17"/>
      <c r="D2" s="17"/>
    </row>
    <row r="3" spans="1:6">
      <c r="A3" s="410"/>
      <c r="B3" s="17"/>
      <c r="C3" s="17"/>
      <c r="D3" s="17"/>
    </row>
    <row r="4" spans="1:6">
      <c r="A4" s="410"/>
      <c r="B4" s="17"/>
      <c r="C4" s="17"/>
      <c r="D4" s="17"/>
    </row>
    <row r="5" spans="1:6">
      <c r="A5" s="410"/>
      <c r="B5" s="17"/>
      <c r="C5" s="17"/>
      <c r="D5" s="17"/>
    </row>
    <row r="6" spans="1:6">
      <c r="A6" s="410"/>
      <c r="B6" s="17"/>
      <c r="C6" s="17"/>
      <c r="D6" s="17"/>
    </row>
    <row r="7" spans="1:6">
      <c r="A7" s="410"/>
      <c r="B7" s="17"/>
      <c r="C7" s="17"/>
      <c r="D7" s="17"/>
    </row>
    <row r="8" spans="1:6">
      <c r="A8" s="410"/>
      <c r="B8" s="17"/>
      <c r="C8" s="17"/>
      <c r="D8" s="17"/>
    </row>
    <row r="9" spans="1:6">
      <c r="A9" s="410"/>
      <c r="B9" s="17"/>
      <c r="C9" s="17"/>
      <c r="D9" s="17"/>
    </row>
    <row r="10" spans="1:6">
      <c r="A10" s="410"/>
      <c r="B10" s="17"/>
      <c r="C10" s="17"/>
      <c r="D10" s="17"/>
    </row>
    <row r="11" spans="1:6">
      <c r="A11" s="410"/>
      <c r="B11" s="17"/>
      <c r="C11" s="17"/>
      <c r="D11" s="17"/>
    </row>
    <row r="12" spans="1:6">
      <c r="A12" s="410"/>
      <c r="B12" s="17"/>
      <c r="C12" s="17"/>
      <c r="D12" s="17"/>
    </row>
    <row r="13" spans="1:6">
      <c r="A13" s="410"/>
      <c r="B13" s="17"/>
      <c r="C13" s="17"/>
      <c r="D13" s="17"/>
    </row>
    <row r="14" spans="1:6">
      <c r="A14" s="410"/>
      <c r="B14" s="17"/>
      <c r="C14" s="17"/>
      <c r="D14" s="17"/>
    </row>
    <row r="15" spans="1:6">
      <c r="A15" s="411"/>
      <c r="B15" s="412"/>
      <c r="C15" s="412"/>
      <c r="D15" s="412"/>
    </row>
    <row r="20" spans="1:2">
      <c r="A20" s="27"/>
      <c r="B20" s="27"/>
    </row>
    <row r="32" spans="1:2">
      <c r="A32" s="32"/>
      <c r="B32" s="35"/>
    </row>
    <row r="33" spans="1:2">
      <c r="A33" s="32"/>
      <c r="B33" s="35"/>
    </row>
    <row r="34" spans="1:2">
      <c r="A34" s="32"/>
      <c r="B34" s="35"/>
    </row>
    <row r="35" spans="1:2">
      <c r="A35" s="32"/>
      <c r="B35" s="35"/>
    </row>
    <row r="36" spans="1:2">
      <c r="A36" s="26"/>
      <c r="B36" s="27"/>
    </row>
    <row r="37" spans="1:2">
      <c r="A37" s="26"/>
      <c r="B37" s="27"/>
    </row>
    <row r="38" spans="1:2">
      <c r="A38" s="26"/>
      <c r="B38" s="27"/>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W192"/>
  <sheetViews>
    <sheetView showGridLines="0" showRowColHeaders="0" topLeftCell="V136" zoomScaleNormal="100" workbookViewId="0">
      <selection activeCell="AB160" sqref="AB160"/>
    </sheetView>
  </sheetViews>
  <sheetFormatPr defaultColWidth="0" defaultRowHeight="15"/>
  <cols>
    <col min="1" max="2" width="10.7109375" style="5" hidden="1" customWidth="1"/>
    <col min="3" max="3" width="2.140625" style="9" hidden="1" customWidth="1"/>
    <col min="4" max="10" width="8.7109375" style="9" hidden="1" customWidth="1"/>
    <col min="11" max="11" width="12.7109375" style="9" hidden="1" customWidth="1"/>
    <col min="12" max="21" width="8.7109375" style="9" hidden="1" customWidth="1"/>
    <col min="22" max="22" width="3.42578125" customWidth="1"/>
    <col min="23" max="23" width="6.7109375" customWidth="1"/>
    <col min="24" max="24" width="12.7109375" customWidth="1"/>
    <col min="25" max="25" width="6.7109375" customWidth="1"/>
    <col min="26" max="26" width="4.42578125" customWidth="1"/>
    <col min="27" max="27" width="20.7109375" customWidth="1"/>
    <col min="28" max="28" width="3.7109375" customWidth="1"/>
    <col min="29" max="30" width="5.28515625" customWidth="1"/>
    <col min="31" max="31" width="3.7109375" customWidth="1"/>
    <col min="32" max="32" width="20.7109375" customWidth="1"/>
    <col min="33" max="33" width="3.42578125" customWidth="1"/>
    <col min="34" max="34" width="3.7109375" style="21" customWidth="1"/>
    <col min="35" max="35" width="3.28515625" style="21" customWidth="1"/>
    <col min="36" max="36" width="4.28515625" customWidth="1"/>
    <col min="37" max="37" width="3.28515625" customWidth="1"/>
    <col min="38" max="38" width="20.7109375" customWidth="1"/>
    <col min="39" max="39" width="5.7109375" customWidth="1"/>
    <col min="40" max="43" width="4.28515625" customWidth="1"/>
    <col min="44" max="45" width="5.42578125" customWidth="1"/>
    <col min="46" max="46" width="6" customWidth="1"/>
    <col min="47" max="47" width="3.28515625" style="23" customWidth="1"/>
    <col min="48" max="48" width="18.42578125" style="24" customWidth="1"/>
    <col min="49" max="49" width="3.42578125" style="6" customWidth="1"/>
    <col min="50" max="50" width="3.42578125" style="2" customWidth="1"/>
    <col min="51" max="51" width="17" style="10" customWidth="1"/>
    <col min="52" max="52" width="15.7109375" style="6" customWidth="1"/>
    <col min="53" max="53" width="3" customWidth="1"/>
    <col min="54" max="54" width="10.7109375" style="5" hidden="1" customWidth="1"/>
    <col min="55" max="55" width="6" style="5" hidden="1" customWidth="1"/>
    <col min="56" max="56" width="17" style="5" hidden="1" customWidth="1"/>
    <col min="57" max="57" width="3.42578125" style="5" hidden="1" customWidth="1"/>
    <col min="58" max="58" width="2.140625" style="5" hidden="1" customWidth="1"/>
    <col min="59" max="59" width="7.7109375" style="5" hidden="1" customWidth="1"/>
    <col min="60" max="61" width="2.140625" style="5" hidden="1" customWidth="1"/>
    <col min="62" max="63" width="4.140625" style="5" hidden="1" customWidth="1"/>
    <col min="64" max="64" width="3.28515625" style="5" hidden="1" customWidth="1"/>
    <col min="65" max="66" width="5.7109375" style="5" hidden="1" customWidth="1"/>
    <col min="67" max="67" width="7" style="5" hidden="1" customWidth="1"/>
    <col min="68" max="68" width="4.28515625" style="5" hidden="1" customWidth="1"/>
    <col min="69" max="69" width="7.140625" style="5" hidden="1" customWidth="1"/>
    <col min="70" max="71" width="7.28515625" style="5" hidden="1" customWidth="1"/>
    <col min="72" max="100" width="8" style="5" hidden="1" customWidth="1"/>
    <col min="101" max="101" width="4.140625" style="5" hidden="1" customWidth="1"/>
    <col min="102" max="102" width="7.28515625" style="5" hidden="1" customWidth="1"/>
    <col min="103" max="103" width="10.7109375" style="5" hidden="1" customWidth="1"/>
    <col min="104" max="104" width="3.140625" style="5" hidden="1" customWidth="1"/>
    <col min="105" max="105" width="8.7109375" style="5" hidden="1" customWidth="1"/>
    <col min="106" max="106" width="8" style="5" hidden="1" customWidth="1"/>
    <col min="107" max="107" width="15.7109375" style="5" hidden="1" customWidth="1"/>
    <col min="108" max="108" width="10.7109375" style="5" hidden="1" customWidth="1"/>
    <col min="109" max="109" width="2.7109375" style="5" hidden="1" customWidth="1"/>
    <col min="110" max="126" width="10.7109375" style="5" hidden="1" customWidth="1"/>
    <col min="127" max="127" width="10.7109375" style="1" hidden="1" customWidth="1"/>
    <col min="128" max="16384" width="10.7109375" hidden="1"/>
  </cols>
  <sheetData>
    <row r="1" spans="1:127" ht="30" customHeight="1" thickBot="1">
      <c r="A1" s="738"/>
      <c r="B1" s="738"/>
      <c r="C1" s="738"/>
      <c r="D1" s="738"/>
      <c r="E1" s="738"/>
      <c r="F1" s="738"/>
      <c r="G1" s="738"/>
      <c r="H1" s="738"/>
      <c r="I1" s="738"/>
      <c r="J1" s="738"/>
      <c r="K1" s="738"/>
      <c r="L1" s="738"/>
      <c r="M1" s="738"/>
      <c r="N1" s="738"/>
      <c r="O1" s="738"/>
      <c r="P1" s="738"/>
      <c r="Q1" s="738"/>
      <c r="R1" s="738"/>
      <c r="S1" s="738"/>
      <c r="T1" s="738"/>
      <c r="U1" s="738"/>
      <c r="V1" s="170"/>
      <c r="W1" s="804" t="str">
        <f>Idiomas!D8</f>
        <v>XXIII World Cup USA/MEX/CAN 2026</v>
      </c>
      <c r="X1" s="804"/>
      <c r="Y1" s="804"/>
      <c r="Z1" s="804"/>
      <c r="AA1" s="804"/>
      <c r="AB1" s="804"/>
      <c r="AC1" s="804"/>
      <c r="AD1" s="804"/>
      <c r="AE1" s="804"/>
      <c r="AF1" s="804"/>
      <c r="AG1" s="16"/>
      <c r="AH1" s="171"/>
      <c r="AI1" s="171"/>
      <c r="AJ1" s="16"/>
      <c r="AK1" s="16"/>
      <c r="AL1" s="16"/>
      <c r="AM1" s="16"/>
      <c r="AN1" s="16"/>
      <c r="AO1" s="16"/>
      <c r="AP1" s="16"/>
      <c r="AQ1" s="16"/>
      <c r="AR1" s="16"/>
      <c r="AS1" s="16"/>
      <c r="AT1" s="16"/>
      <c r="AU1" s="171"/>
      <c r="AV1" s="770" t="s">
        <v>1335</v>
      </c>
      <c r="AW1" s="16"/>
      <c r="AX1" s="16"/>
      <c r="AY1" s="16"/>
      <c r="AZ1" s="16"/>
      <c r="BA1" s="16"/>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742"/>
      <c r="DC1" s="742"/>
      <c r="DD1" s="742"/>
      <c r="DE1" s="742"/>
      <c r="DF1" s="742"/>
      <c r="DG1" s="742"/>
      <c r="DH1" s="742"/>
      <c r="DI1" s="742"/>
      <c r="DJ1" s="742"/>
      <c r="DK1" s="742"/>
      <c r="DL1" s="742"/>
      <c r="DM1" s="742"/>
      <c r="DN1" s="742" t="s">
        <v>1344</v>
      </c>
      <c r="DO1" s="742"/>
      <c r="DP1" s="742"/>
      <c r="DQ1" s="742"/>
      <c r="DR1" s="742"/>
      <c r="DS1" s="742"/>
      <c r="DT1" s="742"/>
      <c r="DU1" s="742"/>
      <c r="DV1" s="742"/>
      <c r="DW1" s="713"/>
    </row>
    <row r="2" spans="1:127" ht="10.15" customHeight="1" thickBot="1">
      <c r="A2" s="738"/>
      <c r="B2" s="738"/>
      <c r="C2" s="738"/>
      <c r="D2" s="738"/>
      <c r="E2" s="738"/>
      <c r="F2" s="738"/>
      <c r="G2" s="738"/>
      <c r="H2" s="738"/>
      <c r="I2" s="738"/>
      <c r="J2" s="738"/>
      <c r="K2" s="738"/>
      <c r="L2" s="738"/>
      <c r="M2" s="738"/>
      <c r="N2" s="738"/>
      <c r="O2" s="738"/>
      <c r="P2" s="738"/>
      <c r="Q2" s="738"/>
      <c r="R2" s="738"/>
      <c r="S2" s="738"/>
      <c r="T2" s="738"/>
      <c r="U2" s="738"/>
      <c r="V2" s="172"/>
      <c r="W2" s="173"/>
      <c r="X2" s="173"/>
      <c r="Y2" s="16"/>
      <c r="Z2" s="173"/>
      <c r="AA2" s="174"/>
      <c r="AB2" s="173"/>
      <c r="AC2" s="174"/>
      <c r="AD2" s="174"/>
      <c r="AE2" s="174"/>
      <c r="AF2" s="174"/>
      <c r="AG2" s="175"/>
      <c r="AH2" s="18"/>
      <c r="AI2" s="18"/>
      <c r="AJ2" s="175"/>
      <c r="AK2" s="175"/>
      <c r="AL2" s="175"/>
      <c r="AM2" s="175"/>
      <c r="AN2" s="175"/>
      <c r="AO2" s="175"/>
      <c r="AP2" s="175"/>
      <c r="AQ2" s="175"/>
      <c r="AR2" s="175"/>
      <c r="AS2" s="175"/>
      <c r="AT2" s="175"/>
      <c r="AU2" s="22"/>
      <c r="AV2" s="22"/>
      <c r="AW2" s="176"/>
      <c r="AX2" s="176"/>
      <c r="AY2" s="177"/>
      <c r="AZ2" s="178"/>
      <c r="BA2" s="175"/>
      <c r="BB2" s="743"/>
      <c r="BC2" s="743"/>
      <c r="BD2" s="743"/>
      <c r="BE2" s="743"/>
      <c r="BF2" s="743"/>
      <c r="BG2" s="743"/>
      <c r="BH2" s="743"/>
      <c r="BI2" s="743"/>
      <c r="BJ2" s="743"/>
      <c r="BK2" s="743"/>
      <c r="BL2" s="743"/>
      <c r="BM2" s="743"/>
      <c r="BN2" s="743"/>
      <c r="BO2" s="743"/>
      <c r="BP2" s="743"/>
      <c r="BQ2" s="743"/>
      <c r="BR2" s="743"/>
      <c r="BS2" s="743"/>
      <c r="BT2" s="743"/>
      <c r="BU2" s="743"/>
      <c r="BV2" s="743"/>
      <c r="BW2" s="743"/>
      <c r="BX2" s="743"/>
      <c r="BY2" s="743"/>
      <c r="BZ2" s="743"/>
      <c r="CA2" s="743"/>
      <c r="CB2" s="743"/>
      <c r="CC2" s="743"/>
      <c r="CD2" s="743"/>
      <c r="CE2" s="743"/>
      <c r="CF2" s="743"/>
      <c r="CG2" s="743"/>
      <c r="CH2" s="743"/>
      <c r="CI2" s="743"/>
      <c r="CJ2" s="743"/>
      <c r="CK2" s="743"/>
      <c r="CL2" s="743"/>
      <c r="CM2" s="743"/>
      <c r="CN2" s="743"/>
      <c r="CO2" s="743"/>
      <c r="CP2" s="743"/>
      <c r="CQ2" s="743"/>
      <c r="CR2" s="743"/>
      <c r="CS2" s="743"/>
      <c r="CT2" s="743"/>
      <c r="CU2" s="743"/>
      <c r="CV2" s="743"/>
      <c r="CW2" s="743"/>
      <c r="CX2" s="743"/>
      <c r="CY2" s="743"/>
      <c r="CZ2" s="743"/>
      <c r="DA2" s="743"/>
      <c r="DB2" s="743"/>
      <c r="DC2" s="750"/>
      <c r="DD2" s="743"/>
      <c r="DE2" s="743"/>
      <c r="DF2" s="743"/>
      <c r="DG2" s="743"/>
      <c r="DH2" s="743"/>
      <c r="DI2" s="743"/>
      <c r="DJ2" s="743"/>
      <c r="DK2" s="743"/>
      <c r="DL2" s="743"/>
      <c r="DM2" s="743"/>
      <c r="DN2" s="743"/>
      <c r="DO2" s="743"/>
      <c r="DP2" s="743"/>
      <c r="DQ2" s="743"/>
      <c r="DR2" s="743"/>
      <c r="DS2" s="743"/>
      <c r="DT2" s="743"/>
      <c r="DU2" s="743"/>
      <c r="DV2" s="743"/>
      <c r="DW2" s="8"/>
    </row>
    <row r="3" spans="1:127" ht="15.75" thickBot="1">
      <c r="A3" s="738"/>
      <c r="B3" s="738"/>
      <c r="C3" s="738"/>
      <c r="D3" s="738" t="s">
        <v>1199</v>
      </c>
      <c r="E3" s="739" t="s">
        <v>636</v>
      </c>
      <c r="F3" s="739" t="s">
        <v>637</v>
      </c>
      <c r="G3" s="738"/>
      <c r="H3" s="739" t="s">
        <v>638</v>
      </c>
      <c r="I3" s="739" t="s">
        <v>639</v>
      </c>
      <c r="J3" s="738"/>
      <c r="K3" s="739" t="s">
        <v>643</v>
      </c>
      <c r="L3" s="739" t="s">
        <v>644</v>
      </c>
      <c r="M3" s="739"/>
      <c r="N3" s="739" t="s">
        <v>1209</v>
      </c>
      <c r="O3" s="739" t="s">
        <v>1210</v>
      </c>
      <c r="P3" s="738"/>
      <c r="Q3" s="739" t="s">
        <v>1211</v>
      </c>
      <c r="R3" s="739" t="s">
        <v>1212</v>
      </c>
      <c r="S3" s="738"/>
      <c r="T3" s="739" t="s">
        <v>1213</v>
      </c>
      <c r="U3" s="739" t="s">
        <v>1214</v>
      </c>
      <c r="V3" s="172"/>
      <c r="W3" s="179"/>
      <c r="X3" s="180" t="str">
        <f>Idiomas!D16</f>
        <v>Date</v>
      </c>
      <c r="Y3" s="180" t="str">
        <f>Idiomas!D17</f>
        <v>Hour</v>
      </c>
      <c r="Z3" s="181" t="str">
        <f>Idiomas!D18</f>
        <v>R</v>
      </c>
      <c r="AA3" s="182" t="str">
        <f>Idiomas!D19</f>
        <v>Home</v>
      </c>
      <c r="AB3" s="183"/>
      <c r="AC3" s="181" t="str">
        <f>Idiomas!D20</f>
        <v>Goal</v>
      </c>
      <c r="AD3" s="181" t="str">
        <f>Idiomas!D20</f>
        <v>Goal</v>
      </c>
      <c r="AE3" s="183"/>
      <c r="AF3" s="184" t="str">
        <f>Idiomas!D21</f>
        <v>Away</v>
      </c>
      <c r="AG3" s="175"/>
      <c r="AH3" s="18"/>
      <c r="AI3" s="18"/>
      <c r="AJ3" s="18" t="str">
        <f>Idiomas!D22</f>
        <v>Group</v>
      </c>
      <c r="AK3" s="185"/>
      <c r="AL3" s="186"/>
      <c r="AM3" s="186"/>
      <c r="AN3" s="186"/>
      <c r="AO3" s="186"/>
      <c r="AP3" s="186"/>
      <c r="AQ3" s="186"/>
      <c r="AR3" s="186"/>
      <c r="AS3" s="186"/>
      <c r="AT3" s="186"/>
      <c r="AU3" s="22"/>
      <c r="AV3" s="187" t="str">
        <f>Idiomas!D23</f>
        <v>IT'S A DRAW! Choose the order of the Nations to determine their rankings.</v>
      </c>
      <c r="AW3" s="188"/>
      <c r="AX3" s="188"/>
      <c r="AY3" s="425" t="str">
        <f>Idiomas!D74</f>
        <v>Are there penalized teams?</v>
      </c>
      <c r="AZ3" s="426" t="s">
        <v>1220</v>
      </c>
      <c r="BA3" s="175"/>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c r="CL3" s="743"/>
      <c r="CM3" s="743"/>
      <c r="CN3" s="743"/>
      <c r="CO3" s="743"/>
      <c r="CP3" s="743"/>
      <c r="CQ3" s="743"/>
      <c r="CR3" s="743"/>
      <c r="CS3" s="743"/>
      <c r="CT3" s="743"/>
      <c r="CU3" s="743"/>
      <c r="CV3" s="743"/>
      <c r="CW3" s="743"/>
      <c r="CX3" s="743"/>
      <c r="CY3" s="743"/>
      <c r="CZ3" s="743"/>
      <c r="DA3" s="743"/>
      <c r="DB3" s="743"/>
      <c r="DC3" s="743"/>
      <c r="DD3" s="743"/>
      <c r="DE3" s="743"/>
      <c r="DF3" s="743"/>
      <c r="DG3" s="743"/>
      <c r="DH3" s="743"/>
      <c r="DI3" s="743"/>
      <c r="DJ3" s="743"/>
      <c r="DK3" s="743"/>
      <c r="DL3" s="743"/>
      <c r="DM3" s="743"/>
      <c r="DN3" s="743"/>
      <c r="DO3" s="743"/>
      <c r="DP3" s="743"/>
      <c r="DQ3" s="743"/>
      <c r="DR3" s="743"/>
      <c r="DS3" s="743"/>
      <c r="DT3" s="743" t="s">
        <v>1902</v>
      </c>
      <c r="DU3" s="743"/>
      <c r="DV3" s="743"/>
      <c r="DW3" s="8"/>
    </row>
    <row r="4" spans="1:127" ht="15" customHeight="1" thickBot="1">
      <c r="A4" s="740" t="s">
        <v>30</v>
      </c>
      <c r="B4" s="741" t="s">
        <v>0</v>
      </c>
      <c r="C4" s="742">
        <f>COUNTIF(Equipos!$C$2:$C$49,WORLDCUP!B4)</f>
        <v>4</v>
      </c>
      <c r="D4" s="743" t="str">
        <f t="shared" ref="D4:D9" si="0">IF(OR(AC4="",AD4=""),"Pendiente",IF(AC4&gt;AD4,"Local",IF(AC4&lt;AD4,"Visitante","Empate")))</f>
        <v>Local</v>
      </c>
      <c r="E4" s="743" t="str">
        <f t="shared" ref="E4:E9" ca="1" si="1">IF(D4="Pendiente","-",INDEX($BT$6:$BT$53,MATCH($AA4,$BD$6:$BD$53,0)))</f>
        <v>-</v>
      </c>
      <c r="F4" s="743" t="str">
        <f t="shared" ref="F4:F9" ca="1" si="2">IF(D4="Pendiente","-",INDEX($BT$6:$BT$53,MATCH($AF4,$BD$6:$BD$53,0)))</f>
        <v>-</v>
      </c>
      <c r="G4" s="743"/>
      <c r="H4" s="743" t="str">
        <f t="shared" ref="H4:H9" ca="1" si="3">IF(D4="Pendiente","-",INDEX($BZ$6:$BZ$53,MATCH($AA4,$BD$6:$BD$53,0)))</f>
        <v>-</v>
      </c>
      <c r="I4" s="743" t="str">
        <f t="shared" ref="I4:I9" ca="1" si="4">IF(D4="Pendiente","-",INDEX($BZ$6:$BZ$53,MATCH($AF4,$BD$6:$BD$53,0)))</f>
        <v>-</v>
      </c>
      <c r="J4" s="743"/>
      <c r="K4" s="743" t="str">
        <f t="shared" ref="K4:K9" ca="1" si="5">IF(D4="Pendiente","-",INDEX($CE$6:$CE$53,MATCH($AA4,$BD$6:$BD$53,0)))</f>
        <v>-</v>
      </c>
      <c r="L4" s="743" t="str">
        <f t="shared" ref="L4:L9" ca="1" si="6">IF(D4="Pendiente","-",INDEX($CE$6:$CE$53,MATCH($AF4,$BD$6:$BD$53,0)))</f>
        <v>-</v>
      </c>
      <c r="M4" s="743"/>
      <c r="N4" s="743" t="str">
        <f t="shared" ref="N4:N9" ca="1" si="7">IF(D4="Pendiente","-",INDEX($CH$6:$CH$53,MATCH($AA4,$BD$6:$BD$53,0)))</f>
        <v>-</v>
      </c>
      <c r="O4" s="743" t="str">
        <f t="shared" ref="O4:O9" ca="1" si="8">IF(D4="Pendiente","-",INDEX($CH$6:$CH$53,MATCH($AF4,$BD$6:$BD$53,0)))</f>
        <v>-</v>
      </c>
      <c r="P4" s="743"/>
      <c r="Q4" s="743" t="str">
        <f t="shared" ref="Q4:Q9" ca="1" si="9">IF(D4="Pendiente","-",INDEX($CN$6:$CN$53,MATCH($AA4,$BD$6:$BD$53,0)))</f>
        <v>-</v>
      </c>
      <c r="R4" s="743" t="str">
        <f t="shared" ref="R4:R9" ca="1" si="10">IF(D4="Pendiente","-",INDEX($CN$6:$CN$53,MATCH($AF4,$BD$6:$BD$53,0)))</f>
        <v>-</v>
      </c>
      <c r="S4" s="743"/>
      <c r="T4" s="743" t="str">
        <f t="shared" ref="T4:T9" ca="1" si="11">IF(D4="Pendiente","-",INDEX($CS$6:$CS$53,MATCH($AA4,$BD$6:$BD$53,0)))</f>
        <v>-</v>
      </c>
      <c r="U4" s="743" t="str">
        <f t="shared" ref="U4:U9" ca="1" si="12">IF(D4="Pendiente","-",INDEX($CS$6:$CS$53,MATCH($AF4,$BD$6:$BD$53,0)))</f>
        <v>-</v>
      </c>
      <c r="V4" s="172"/>
      <c r="W4" s="800" t="s">
        <v>0</v>
      </c>
      <c r="X4" s="189">
        <f ca="1">Horarios!C4</f>
        <v>46184.875</v>
      </c>
      <c r="Y4" s="190">
        <f ca="1">Horarios!C4</f>
        <v>46184.875</v>
      </c>
      <c r="Z4" s="191" t="str">
        <f>Idiomas!D63</f>
        <v>R1</v>
      </c>
      <c r="AA4" s="192" t="str">
        <f ca="1">+A5</f>
        <v>Mexico</v>
      </c>
      <c r="AB4" s="480" t="e" cm="1" vm="1">
        <f t="array" aca="1" ref="AB4" ca="1">Ver_flag_local</f>
        <v>#VALUE!</v>
      </c>
      <c r="AC4" s="193">
        <v>2</v>
      </c>
      <c r="AD4" s="194">
        <v>0</v>
      </c>
      <c r="AE4" s="483" t="e" cm="1" vm="2">
        <f t="array" aca="1" ref="AE4" ca="1">Ver_flag_visit</f>
        <v>#VALUE!</v>
      </c>
      <c r="AF4" s="195" t="str">
        <f ca="1">A6</f>
        <v>South Africa</v>
      </c>
      <c r="AG4" s="413">
        <f t="shared" ref="AG4:AG9" si="13">IF(NOT(OR(ISBLANK(AC4),ISBLANK(AD4))),1,0)</f>
        <v>1</v>
      </c>
      <c r="AH4" s="196">
        <v>1</v>
      </c>
      <c r="AI4" s="19"/>
      <c r="AJ4" s="197" t="str">
        <f>CONCATENATE(AJ3," ",B4)</f>
        <v>Group A</v>
      </c>
      <c r="AK4" s="198"/>
      <c r="AL4" s="198"/>
      <c r="AM4" s="198"/>
      <c r="AN4" s="198"/>
      <c r="AO4" s="198"/>
      <c r="AP4" s="198"/>
      <c r="AQ4" s="198"/>
      <c r="AR4" s="198"/>
      <c r="AS4" s="198"/>
      <c r="AT4" s="199"/>
      <c r="AU4" s="22"/>
      <c r="AV4" s="200" t="str">
        <f ca="1">IF(AU5&gt;0,$AV$3,"")</f>
        <v/>
      </c>
      <c r="AW4" s="201"/>
      <c r="AX4" s="201"/>
      <c r="AY4" s="202"/>
      <c r="AZ4" s="203"/>
      <c r="BA4" s="175"/>
      <c r="BB4" s="743"/>
      <c r="BC4" s="743"/>
      <c r="BD4" s="743"/>
      <c r="BE4" s="743"/>
      <c r="BF4" s="743"/>
      <c r="BG4" s="743"/>
      <c r="BH4" s="743"/>
      <c r="BI4" s="743"/>
      <c r="BJ4" s="743"/>
      <c r="BK4" s="743"/>
      <c r="BL4" s="743"/>
      <c r="BM4" s="743"/>
      <c r="BN4" s="743"/>
      <c r="BO4" s="743"/>
      <c r="BP4" s="743"/>
      <c r="BQ4" s="743"/>
      <c r="BR4" s="743"/>
      <c r="BS4" s="743"/>
      <c r="BT4" s="743"/>
      <c r="BU4" s="743"/>
      <c r="BV4" s="743"/>
      <c r="BW4" s="743"/>
      <c r="BX4" s="743"/>
      <c r="BY4" s="743"/>
      <c r="BZ4" s="743"/>
      <c r="CA4" s="743"/>
      <c r="CB4" s="743"/>
      <c r="CC4" s="743"/>
      <c r="CD4" s="743"/>
      <c r="CE4" s="743"/>
      <c r="CF4" s="743"/>
      <c r="CG4" s="743"/>
      <c r="CH4" s="743"/>
      <c r="CI4" s="743"/>
      <c r="CJ4" s="743"/>
      <c r="CK4" s="743"/>
      <c r="CL4" s="743"/>
      <c r="CM4" s="743"/>
      <c r="CN4" s="743"/>
      <c r="CO4" s="743"/>
      <c r="CP4" s="743"/>
      <c r="CQ4" s="743"/>
      <c r="CR4" s="743"/>
      <c r="CS4" s="743"/>
      <c r="CT4" s="743"/>
      <c r="CU4" s="743"/>
      <c r="CV4" s="743"/>
      <c r="CW4" s="743"/>
      <c r="CX4" s="743"/>
      <c r="CY4" s="748"/>
      <c r="CZ4" s="743"/>
      <c r="DA4" s="743"/>
      <c r="DB4" s="743"/>
      <c r="DC4" s="743" t="s">
        <v>1336</v>
      </c>
      <c r="DD4" s="743"/>
      <c r="DE4" s="743"/>
      <c r="DF4" s="743"/>
      <c r="DG4" s="743"/>
      <c r="DH4" s="743"/>
      <c r="DI4" s="743"/>
      <c r="DJ4" s="743"/>
      <c r="DK4" s="743"/>
      <c r="DL4" s="743"/>
      <c r="DM4" s="743"/>
      <c r="DN4" s="743"/>
      <c r="DO4" s="743"/>
      <c r="DP4" s="743"/>
      <c r="DQ4" s="743"/>
      <c r="DR4" s="743"/>
      <c r="DS4" s="743"/>
      <c r="DT4" s="743" t="str">
        <f ca="1">AA4&amp;"-"&amp;AF4</f>
        <v>Mexico-South Africa</v>
      </c>
      <c r="DU4" s="743"/>
      <c r="DV4" s="743"/>
      <c r="DW4" s="8"/>
    </row>
    <row r="5" spans="1:127" ht="16.899999999999999" customHeight="1">
      <c r="A5" s="744" t="str">
        <f ca="1">+Equipos!B2</f>
        <v>Mexico</v>
      </c>
      <c r="B5" s="741"/>
      <c r="C5" s="741"/>
      <c r="D5" s="743" t="str">
        <f t="shared" si="0"/>
        <v>Local</v>
      </c>
      <c r="E5" s="743" t="str">
        <f t="shared" ca="1" si="1"/>
        <v>-</v>
      </c>
      <c r="F5" s="743" t="str">
        <f t="shared" ca="1" si="2"/>
        <v>-</v>
      </c>
      <c r="G5" s="743"/>
      <c r="H5" s="743" t="str">
        <f t="shared" ca="1" si="3"/>
        <v>-</v>
      </c>
      <c r="I5" s="743" t="str">
        <f t="shared" ca="1" si="4"/>
        <v>-</v>
      </c>
      <c r="J5" s="743"/>
      <c r="K5" s="743" t="str">
        <f t="shared" ca="1" si="5"/>
        <v>-</v>
      </c>
      <c r="L5" s="743" t="str">
        <f t="shared" ca="1" si="6"/>
        <v>-</v>
      </c>
      <c r="M5" s="743"/>
      <c r="N5" s="743" t="str">
        <f t="shared" ca="1" si="7"/>
        <v>-</v>
      </c>
      <c r="O5" s="743" t="str">
        <f t="shared" ca="1" si="8"/>
        <v>-</v>
      </c>
      <c r="P5" s="743"/>
      <c r="Q5" s="743" t="str">
        <f t="shared" ca="1" si="9"/>
        <v>-</v>
      </c>
      <c r="R5" s="743" t="str">
        <f t="shared" ca="1" si="10"/>
        <v>-</v>
      </c>
      <c r="S5" s="743"/>
      <c r="T5" s="743" t="str">
        <f t="shared" ca="1" si="11"/>
        <v>-</v>
      </c>
      <c r="U5" s="743" t="str">
        <f t="shared" ca="1" si="12"/>
        <v>-</v>
      </c>
      <c r="V5" s="172"/>
      <c r="W5" s="800"/>
      <c r="X5" s="189">
        <f ca="1">Horarios!C5</f>
        <v>46185.166666666664</v>
      </c>
      <c r="Y5" s="190">
        <f ca="1">Horarios!C5</f>
        <v>46185.166666666664</v>
      </c>
      <c r="Z5" s="191" t="str">
        <f>$Z$4</f>
        <v>R1</v>
      </c>
      <c r="AA5" s="192" t="str">
        <f ca="1">A7</f>
        <v>South Korea</v>
      </c>
      <c r="AB5" s="480" t="e" cm="1" vm="3">
        <f t="array" aca="1" ref="AB5" ca="1">Ver_flag_local</f>
        <v>#VALUE!</v>
      </c>
      <c r="AC5" s="193">
        <v>2</v>
      </c>
      <c r="AD5" s="194">
        <v>1</v>
      </c>
      <c r="AE5" s="483" t="e" cm="1" vm="4">
        <f t="array" aca="1" ref="AE5" ca="1">Ver_flag_visit</f>
        <v>#VALUE!</v>
      </c>
      <c r="AF5" s="195" t="str">
        <f ca="1">A8</f>
        <v>Czech Republic</v>
      </c>
      <c r="AG5" s="413">
        <f t="shared" si="13"/>
        <v>1</v>
      </c>
      <c r="AH5" s="196">
        <v>2</v>
      </c>
      <c r="AI5" s="19"/>
      <c r="AJ5" s="204" t="str">
        <f>Idiomas!D53</f>
        <v>Pos</v>
      </c>
      <c r="AK5" s="205"/>
      <c r="AL5" s="206" t="str">
        <f>Idiomas!D54</f>
        <v>Nation</v>
      </c>
      <c r="AM5" s="205" t="str">
        <f>Idiomas!D55</f>
        <v>Pts</v>
      </c>
      <c r="AN5" s="205" t="str">
        <f>Idiomas!D56</f>
        <v>P</v>
      </c>
      <c r="AO5" s="205" t="str">
        <f>Idiomas!D57</f>
        <v>W</v>
      </c>
      <c r="AP5" s="205" t="str">
        <f>Idiomas!D58</f>
        <v>D</v>
      </c>
      <c r="AQ5" s="205" t="str">
        <f>Idiomas!D59</f>
        <v>L</v>
      </c>
      <c r="AR5" s="205" t="str">
        <f>Idiomas!D60</f>
        <v>F</v>
      </c>
      <c r="AS5" s="205" t="str">
        <f>Idiomas!D61</f>
        <v>A</v>
      </c>
      <c r="AT5" s="207" t="str">
        <f>Idiomas!D62</f>
        <v>GD</v>
      </c>
      <c r="AU5" s="22">
        <f ca="1">COUNTIF(AU6:AU9,"&gt;1")</f>
        <v>0</v>
      </c>
      <c r="AV5" s="208"/>
      <c r="AW5" s="201"/>
      <c r="AX5" s="201"/>
      <c r="AY5" s="209" t="str">
        <f>AL5</f>
        <v>Nation</v>
      </c>
      <c r="AZ5" s="210" t="str">
        <f>+Idiomas!$D$69</f>
        <v>Deducted Points</v>
      </c>
      <c r="BA5" s="175"/>
      <c r="BB5" s="743"/>
      <c r="BC5" s="751" t="str">
        <f>Idiomas!D22</f>
        <v>Group</v>
      </c>
      <c r="BD5" s="751" t="str">
        <f>Idiomas!D54</f>
        <v>Nation</v>
      </c>
      <c r="BE5" s="751" t="str">
        <f t="shared" ref="BE5:BL5" si="14">+AM5</f>
        <v>Pts</v>
      </c>
      <c r="BF5" s="751" t="str">
        <f t="shared" si="14"/>
        <v>P</v>
      </c>
      <c r="BG5" s="751" t="str">
        <f t="shared" si="14"/>
        <v>W</v>
      </c>
      <c r="BH5" s="751" t="str">
        <f t="shared" si="14"/>
        <v>D</v>
      </c>
      <c r="BI5" s="751" t="str">
        <f t="shared" si="14"/>
        <v>L</v>
      </c>
      <c r="BJ5" s="751" t="str">
        <f t="shared" si="14"/>
        <v>F</v>
      </c>
      <c r="BK5" s="751" t="str">
        <f t="shared" si="14"/>
        <v>A</v>
      </c>
      <c r="BL5" s="751" t="str">
        <f t="shared" si="14"/>
        <v>GD</v>
      </c>
      <c r="BM5" s="751" t="s">
        <v>612</v>
      </c>
      <c r="BN5" s="751" t="s">
        <v>613</v>
      </c>
      <c r="BO5" s="752" t="s">
        <v>1815</v>
      </c>
      <c r="BP5" s="752" t="s">
        <v>1816</v>
      </c>
      <c r="BQ5" s="752" t="s">
        <v>1817</v>
      </c>
      <c r="BR5" s="752" t="s">
        <v>614</v>
      </c>
      <c r="BS5" s="752" t="s">
        <v>617</v>
      </c>
      <c r="BT5" s="752" t="s">
        <v>615</v>
      </c>
      <c r="BU5" s="751" t="s">
        <v>632</v>
      </c>
      <c r="BV5" s="751" t="s">
        <v>633</v>
      </c>
      <c r="BW5" s="751" t="s">
        <v>634</v>
      </c>
      <c r="BX5" s="751" t="s">
        <v>635</v>
      </c>
      <c r="BY5" s="751" t="s">
        <v>618</v>
      </c>
      <c r="BZ5" s="752" t="s">
        <v>616</v>
      </c>
      <c r="CA5" s="752" t="s">
        <v>640</v>
      </c>
      <c r="CB5" s="752" t="s">
        <v>641</v>
      </c>
      <c r="CC5" s="752" t="s">
        <v>642</v>
      </c>
      <c r="CD5" s="752" t="s">
        <v>619</v>
      </c>
      <c r="CE5" s="752" t="s">
        <v>620</v>
      </c>
      <c r="CF5" s="751" t="s">
        <v>640</v>
      </c>
      <c r="CG5" s="751" t="s">
        <v>621</v>
      </c>
      <c r="CH5" s="752" t="s">
        <v>622</v>
      </c>
      <c r="CI5" s="751" t="s">
        <v>1203</v>
      </c>
      <c r="CJ5" s="751" t="s">
        <v>1204</v>
      </c>
      <c r="CK5" s="751" t="s">
        <v>1205</v>
      </c>
      <c r="CL5" s="751" t="s">
        <v>1206</v>
      </c>
      <c r="CM5" s="751" t="s">
        <v>623</v>
      </c>
      <c r="CN5" s="752" t="s">
        <v>624</v>
      </c>
      <c r="CO5" s="752" t="s">
        <v>1200</v>
      </c>
      <c r="CP5" s="752" t="s">
        <v>1201</v>
      </c>
      <c r="CQ5" s="752" t="s">
        <v>1202</v>
      </c>
      <c r="CR5" s="752" t="s">
        <v>625</v>
      </c>
      <c r="CS5" s="752" t="s">
        <v>626</v>
      </c>
      <c r="CT5" s="751" t="s">
        <v>1200</v>
      </c>
      <c r="CU5" s="751" t="s">
        <v>1207</v>
      </c>
      <c r="CV5" s="752" t="s">
        <v>1208</v>
      </c>
      <c r="CW5" s="752" t="s">
        <v>66</v>
      </c>
      <c r="CX5" s="752" t="s">
        <v>1215</v>
      </c>
      <c r="CY5" s="752" t="s">
        <v>1216</v>
      </c>
      <c r="CZ5" s="752" t="s">
        <v>8</v>
      </c>
      <c r="DA5" s="752" t="s">
        <v>1217</v>
      </c>
      <c r="DB5" s="752" t="s">
        <v>1218</v>
      </c>
      <c r="DC5" s="753" t="s">
        <v>1255</v>
      </c>
      <c r="DD5" s="753" t="s">
        <v>628</v>
      </c>
      <c r="DE5" s="754"/>
      <c r="DF5" s="753" t="s">
        <v>629</v>
      </c>
      <c r="DG5" s="753" t="s">
        <v>630</v>
      </c>
      <c r="DH5" s="753" t="s">
        <v>631</v>
      </c>
      <c r="DI5" s="743"/>
      <c r="DJ5" s="745" t="s">
        <v>652</v>
      </c>
      <c r="DK5" s="745" t="s">
        <v>1195</v>
      </c>
      <c r="DL5" s="745" t="s">
        <v>653</v>
      </c>
      <c r="DM5" s="745" t="s">
        <v>654</v>
      </c>
      <c r="DN5" s="745" t="s">
        <v>655</v>
      </c>
      <c r="DO5" s="745"/>
      <c r="DP5" s="745" t="s">
        <v>762</v>
      </c>
      <c r="DQ5" s="745" t="s">
        <v>763</v>
      </c>
      <c r="DR5" s="743"/>
      <c r="DS5" s="743"/>
      <c r="DT5" s="743" t="str">
        <f t="shared" ref="DT5:DT68" ca="1" si="15">AA5&amp;"-"&amp;AF5</f>
        <v>South Korea-Czech Republic</v>
      </c>
      <c r="DU5" s="743"/>
      <c r="DV5" s="743"/>
      <c r="DW5" s="8"/>
    </row>
    <row r="6" spans="1:127" ht="16.899999999999999" customHeight="1">
      <c r="A6" s="744" t="str">
        <f ca="1">+Equipos!B3</f>
        <v>South Africa</v>
      </c>
      <c r="B6" s="741"/>
      <c r="C6" s="745"/>
      <c r="D6" s="743" t="str">
        <f t="shared" si="0"/>
        <v>Empate</v>
      </c>
      <c r="E6" s="743" t="str">
        <f t="shared" ca="1" si="1"/>
        <v>-</v>
      </c>
      <c r="F6" s="743" t="str">
        <f t="shared" ca="1" si="2"/>
        <v>-</v>
      </c>
      <c r="G6" s="743"/>
      <c r="H6" s="743" t="str">
        <f t="shared" ca="1" si="3"/>
        <v>-</v>
      </c>
      <c r="I6" s="743" t="str">
        <f t="shared" ca="1" si="4"/>
        <v>-</v>
      </c>
      <c r="J6" s="743"/>
      <c r="K6" s="743" t="str">
        <f t="shared" ca="1" si="5"/>
        <v>-</v>
      </c>
      <c r="L6" s="743" t="str">
        <f t="shared" ca="1" si="6"/>
        <v>-</v>
      </c>
      <c r="M6" s="743"/>
      <c r="N6" s="743" t="str">
        <f t="shared" ca="1" si="7"/>
        <v>-</v>
      </c>
      <c r="O6" s="743" t="str">
        <f t="shared" ca="1" si="8"/>
        <v>-</v>
      </c>
      <c r="P6" s="743"/>
      <c r="Q6" s="743" t="str">
        <f t="shared" ca="1" si="9"/>
        <v>-</v>
      </c>
      <c r="R6" s="743" t="str">
        <f t="shared" ca="1" si="10"/>
        <v>-</v>
      </c>
      <c r="S6" s="743"/>
      <c r="T6" s="743" t="str">
        <f t="shared" ca="1" si="11"/>
        <v>-</v>
      </c>
      <c r="U6" s="743" t="str">
        <f t="shared" ca="1" si="12"/>
        <v>-</v>
      </c>
      <c r="V6" s="172"/>
      <c r="W6" s="800"/>
      <c r="X6" s="189">
        <f ca="1">Horarios!C6</f>
        <v>46191.75</v>
      </c>
      <c r="Y6" s="190">
        <f ca="1">Horarios!C6</f>
        <v>46191.75</v>
      </c>
      <c r="Z6" s="191" t="str">
        <f>Idiomas!D64</f>
        <v>R2</v>
      </c>
      <c r="AA6" s="192" t="str">
        <f ca="1">A8</f>
        <v>Czech Republic</v>
      </c>
      <c r="AB6" s="480" t="e" cm="1" vm="4">
        <f t="array" aca="1" ref="AB6" ca="1">Ver_flag_local</f>
        <v>#VALUE!</v>
      </c>
      <c r="AC6" s="193">
        <v>1</v>
      </c>
      <c r="AD6" s="194">
        <v>1</v>
      </c>
      <c r="AE6" s="483" t="e" cm="1" vm="2">
        <f t="array" aca="1" ref="AE6" ca="1">Ver_flag_visit</f>
        <v>#VALUE!</v>
      </c>
      <c r="AF6" s="195" t="str">
        <f ca="1">A6</f>
        <v>South Africa</v>
      </c>
      <c r="AG6" s="413">
        <f t="shared" si="13"/>
        <v>1</v>
      </c>
      <c r="AH6" s="196">
        <v>25</v>
      </c>
      <c r="AI6" s="19" t="str">
        <f>AJ6&amp;$B$4</f>
        <v>1A</v>
      </c>
      <c r="AJ6" s="211">
        <v>1</v>
      </c>
      <c r="AK6" s="490" t="e" cm="1" vm="1">
        <f t="array" aca="1" ref="AK6" ca="1">Ver_flag_visit</f>
        <v>#VALUE!</v>
      </c>
      <c r="AL6" s="212" t="str">
        <f ca="1">IFERROR(INDEX($BD$6:$BD$53,MATCH(AI6,$BN$6:$BN$53,0)),"")</f>
        <v>Mexico</v>
      </c>
      <c r="AM6" s="213">
        <f t="shared" ref="AM6:AT9" ca="1" si="16">INDEX($BE$6:$BN$53,MATCH($AL6,$BD$6:$BD$53,0),MATCH(AM$5,$BE$5:$BN$5,0))</f>
        <v>9</v>
      </c>
      <c r="AN6" s="214">
        <f t="shared" ca="1" si="16"/>
        <v>3</v>
      </c>
      <c r="AO6" s="214">
        <f t="shared" ca="1" si="16"/>
        <v>3</v>
      </c>
      <c r="AP6" s="214">
        <f t="shared" ca="1" si="16"/>
        <v>0</v>
      </c>
      <c r="AQ6" s="214">
        <f t="shared" ca="1" si="16"/>
        <v>0</v>
      </c>
      <c r="AR6" s="214">
        <f t="shared" ca="1" si="16"/>
        <v>6</v>
      </c>
      <c r="AS6" s="214">
        <f t="shared" ca="1" si="16"/>
        <v>0</v>
      </c>
      <c r="AT6" s="215">
        <f t="shared" ca="1" si="16"/>
        <v>6</v>
      </c>
      <c r="AU6" s="420">
        <f ca="1">INDEX($DL$6:$DL$53,MATCH(AI6,$DP$6:$DP$53,0))</f>
        <v>1</v>
      </c>
      <c r="AV6" s="217" t="str">
        <f ca="1">INDEX($BD$6:$BD$53,MATCH(AI6,$BM$6:$BM$53,0))</f>
        <v>Mexico</v>
      </c>
      <c r="AW6" s="427"/>
      <c r="AX6" s="218"/>
      <c r="AY6" s="219" t="str">
        <f ca="1">+A5</f>
        <v>Mexico</v>
      </c>
      <c r="AZ6" s="220"/>
      <c r="BA6" s="175"/>
      <c r="BB6" s="743"/>
      <c r="BC6" s="755" t="str">
        <f ca="1">+INDEX(T_Equipos[Grupo],MATCH(WORLDCUP!BD6,T_Equipos[NombreEquipo],0))</f>
        <v>A</v>
      </c>
      <c r="BD6" s="743" t="str">
        <f ca="1">+Equipos!B2</f>
        <v>Mexico</v>
      </c>
      <c r="BE6" s="747">
        <f ca="1">+BG6*3+BH6+IF($AZ$3="no",0,INDEX($AZ$6:$AZ$97,MATCH(BD6,$AY$6:$AY$97,0)))</f>
        <v>9</v>
      </c>
      <c r="BF6" s="747">
        <f ca="1">+BG6+BH6+BI6</f>
        <v>3</v>
      </c>
      <c r="BG6" s="747">
        <f t="shared" ref="BG6:BG53" ca="1" si="17">+COUNTIFS(FGLocal,BD6,Ganador,"Local")+COUNTIFS(FGVisitante,BD6,Ganador,"Visitante")</f>
        <v>3</v>
      </c>
      <c r="BH6" s="747">
        <f t="shared" ref="BH6:BH53" ca="1" si="18">+COUNTIFS(FGLocal,BD6,Ganador,"Empate")+COUNTIFS(FGVisitante,BD6,Ganador,"Empate")</f>
        <v>0</v>
      </c>
      <c r="BI6" s="747">
        <f t="shared" ref="BI6:BI53" ca="1" si="19">+COUNTIFS(FGVisitante,BD6,Ganador,"Local")+COUNTIFS(FGLocal,BD6,Ganador,"Visitante")</f>
        <v>0</v>
      </c>
      <c r="BJ6" s="747">
        <f t="shared" ref="BJ6:BJ53" ca="1" si="20">+SUMIFS(FG_GolesLocal,FGLocal,BD6,Ganador,"&lt;&gt;"&amp;"Pendiente",FG_GolesLocal,"&lt;&gt;"&amp;"",FG_GolesVisitante,"&lt;&gt;"&amp;"")+SUMIFS(FG_GolesVisitante,FGVisitante,BD6,Ganador,"&lt;&gt;"&amp;"Pendiente",FG_GolesLocal,"&lt;&gt;"&amp;"",FG_GolesVisitante,"&lt;&gt;"&amp;"")</f>
        <v>6</v>
      </c>
      <c r="BK6" s="747">
        <f t="shared" ref="BK6:BK53" ca="1" si="21">+SUMIFS(FG_GolesLocal,FGVisitante,BD6,Ganador,"&lt;&gt;"&amp;"Pendiente",FG_GolesLocal,"&lt;&gt;"&amp;"",FG_GolesVisitante,"&lt;&gt;"&amp;"")+SUMIFS(FG_GolesVisitante,FGLocal,BD6,Ganador,"&lt;&gt;"&amp;"Pendiente",FG_GolesLocal,"&lt;&gt;"&amp;"",FG_GolesVisitante,"&lt;&gt;"&amp;"")</f>
        <v>0</v>
      </c>
      <c r="BL6" s="747">
        <f ca="1">+BJ6-BK6</f>
        <v>6</v>
      </c>
      <c r="BM6" s="747" t="str">
        <f t="shared" ref="BM6:BM53" ca="1" si="22">DD6&amp;BC6</f>
        <v>1A</v>
      </c>
      <c r="BN6" s="747" t="str">
        <f t="shared" ref="BN6:BN53" ca="1" si="23">DH6&amp;BC6</f>
        <v>1A</v>
      </c>
      <c r="BO6" s="756">
        <f ca="1">IF(AND($AJ$99=144,BF6&gt;=1),1,0)</f>
        <v>0</v>
      </c>
      <c r="BP6" s="756">
        <f ca="1">COUNTIFS($BO$6:$BO$53,"&gt;"&amp;BO6,$BC$6:$BC$53,INDEX(T_Equipos[Grupo],MATCH(BD6,T_Equipos[NombreEquipo],0)))+1</f>
        <v>1</v>
      </c>
      <c r="BQ6" s="756" t="str">
        <f ca="1">IF(COUNTIFS($BP$6:$BP$53,BP6,$BC$6:$BC$53,INDEX(T_Equipos[Grupo],MATCH(BD6,T_Equipos[NombreEquipo],0)))=1,"-","P."&amp;BP6&amp;" ("&amp;COUNTIFS($BP$6:$BP$53,BP6,$BC$6:$BC$53,INDEX(T_Equipos[Grupo],MATCH(BD6,T_Equipos[NombreEquipo],0)))&amp;")")</f>
        <v>P.1 (4)</v>
      </c>
      <c r="BR6" s="756">
        <f ca="1">IF($BQ6="-","-",BE6)</f>
        <v>9</v>
      </c>
      <c r="BS6" s="756">
        <f ca="1">BP6+COUNTIFS($BQ$6:$BQ$53,BQ6,$BR$6:BR$53,"&gt;"&amp;BR6,$BC$6:$BC$53,INDEX(T_Equipos[Grupo],MATCH(BD6,T_Equipos[NombreEquipo],0)))</f>
        <v>1</v>
      </c>
      <c r="BT6" s="756" t="str">
        <f ca="1">IF(COUNTIFS($BS$6:$BS$53,BS6,$BC$6:$BC$53,INDEX(T_Equipos[Grupo],MATCH(BD6,T_Equipos[NombreEquipo],0)))=1,"-","P."&amp;BS6&amp;" ("&amp;COUNTIFS($BS$6:$BS$53,BS6,$BC$6:$BC$53,INDEX(T_Equipos[Grupo],MATCH(BD6,T_Equipos[NombreEquipo],0)))&amp;")")</f>
        <v>-</v>
      </c>
      <c r="BU6" s="757" t="str">
        <f ca="1">IF($BT6="-","-",COUNTIFS(FGLocal,$BD6,Ganador,"Local",Part1Empate1V,$BT6)+COUNTIFS(FGVisitante,$BD6,Ganador,"Visitante",Part1Empate1L,$BT6))</f>
        <v>-</v>
      </c>
      <c r="BV6" s="757" t="str">
        <f ca="1">IF($BT6="-","-",COUNTIFS(FGLocal,$BD6,Ganador,"Empate",Part1Empate1V,$BT6)+COUNTIFS(FGVisitante,$BD6,Ganador,"Empate",Part1Empate1L,$BT6))</f>
        <v>-</v>
      </c>
      <c r="BW6" s="757" t="str">
        <f ca="1">IF($BT6="-","-",COUNTIFS(FGLocal,$BD6,Ganador,"Visitante",Part1Empate1V,$BT6)+COUNTIFS(FGVisitante,$BD6,Ganador,"Local",Part1Empate1L,$BT6))</f>
        <v>-</v>
      </c>
      <c r="BX6" s="757" t="str">
        <f ca="1">IF($BT6="-","-",BU6*3+BV6)</f>
        <v>-</v>
      </c>
      <c r="BY6" s="757">
        <f ca="1">BS6+COUNTIFS($BT$6:$BT$53,BT6,$BX$6:BX$53,"&gt;"&amp;BX6,$BC$6:$BC$53,INDEX(T_Equipos[Grupo],MATCH(BD6,T_Equipos[NombreEquipo],0)))</f>
        <v>1</v>
      </c>
      <c r="BZ6" s="756" t="str">
        <f ca="1">IF(COUNTIFS($BY$6:$BY$53,BY6,$BC$6:$BC$53,INDEX(T_Equipos[Grupo],MATCH(BD6,T_Equipos[NombreEquipo],0)))=1,"-","P."&amp;BY6&amp;" ("&amp;COUNTIFS($BY$6:$BY$53,BY6,$BC$6:$BC$53,INDEX(T_Equipos[Grupo],MATCH(BD6,T_Equipos[NombreEquipo],0)))&amp;")")</f>
        <v>-</v>
      </c>
      <c r="CA6" s="757" t="str">
        <f ca="1">IF($BZ6="-","-",SUMIFS(FG_GolesLocal,FGLocal,$BD6,Part1Empate2V,$BZ6)+SUMIFS(FG_GolesVisitante,FGVisitante,$BD6,Part1Empate2L,$BZ6))</f>
        <v>-</v>
      </c>
      <c r="CB6" s="757" t="str">
        <f ca="1">IF($BZ6="-","-",SUMIFS(FG_GolesVisitante,FGLocal,$BD6,Part1Empate2V,$BZ6)+SUMIFS(FG_GolesLocal,FGVisitante,$BD6,Part1Empate2L,$BZ6))</f>
        <v>-</v>
      </c>
      <c r="CC6" s="757" t="str">
        <f ca="1">IF($BZ6="-","-",CA6-CB6)</f>
        <v>-</v>
      </c>
      <c r="CD6" s="757">
        <f ca="1">BY6+COUNTIFS($BZ$6:$BZ$53,BZ6,$CC$6:CC$53,"&gt;"&amp;CC6,$BC$6:$BC$53,INDEX(T_Equipos[Grupo],MATCH(BD6,T_Equipos[NombreEquipo],0)))</f>
        <v>1</v>
      </c>
      <c r="CE6" s="756" t="str">
        <f ca="1">IF(COUNTIFS($CD$6:$CD$53,CD6,$BC$6:$BC$53,INDEX(T_Equipos[Grupo],MATCH(BD6,T_Equipos[NombreEquipo],0)))=1,"-","P."&amp;CD6&amp;" ("&amp;COUNTIFS($CD$6:$CD$53,CD6,$BC$6:$BC$53,INDEX(T_Equipos[Grupo],MATCH(BD6,T_Equipos[NombreEquipo],0)))&amp;")")</f>
        <v>-</v>
      </c>
      <c r="CF6" s="757" t="str">
        <f ca="1">IF($CE6="-","-",SUMIFS(FG_GolesLocal,FGLocal,$BD6,Part1Empate3V,$CE6)+SUMIFS(FG_GolesVisitante,FGVisitante,$BD6,Part1Empate3L,$CE6))</f>
        <v>-</v>
      </c>
      <c r="CG6" s="757">
        <f ca="1">CD6+COUNTIFS($CE$6:$CE$53,CE6,$CF$6:CF$53,"&gt;"&amp;CF6,$BC$6:$BC$53,INDEX(T_Equipos[Grupo],MATCH(BD6,T_Equipos[NombreEquipo],0)))</f>
        <v>1</v>
      </c>
      <c r="CH6" s="756" t="str">
        <f ca="1">IF(COUNTIFS($CG$6:$CG$53,CG6,$BC$6:$BC$53,INDEX(T_Equipos[Grupo],MATCH(BD6,T_Equipos[NombreEquipo],0)))=1,"-","P."&amp;CG6&amp;" ("&amp;COUNTIFS($CG$6:$CG$53,CG6,$BC$6:$BC$53,INDEX(T_Equipos[Grupo],MATCH(BD6,T_Equipos[NombreEquipo],0)))&amp;")")</f>
        <v>-</v>
      </c>
      <c r="CI6" s="757" t="str">
        <f ca="1">IF($CH6="-","-",COUNTIFS(FGLocal,$BD6,Ganador,"Local",Part2Empate4V,$CH6)+COUNTIFS(FGVisitante,$BD6,Ganador,"Visitante",Part2Empate4L,$CH6))</f>
        <v>-</v>
      </c>
      <c r="CJ6" s="757" t="str">
        <f ca="1">IF($CH6="-","-",COUNTIFS(FGLocal,$BD6,Ganador,"Empate",Part2Empate4V,$CH6)+COUNTIFS(FGVisitante,$BD6,Ganador,"Empate",Part2Empate4L,$CH6))</f>
        <v>-</v>
      </c>
      <c r="CK6" s="757" t="str">
        <f ca="1">IF($CH6="-","-",COUNTIFS(FGLocal,$BD6,Ganador,"Visitante",Part2Empate4V,$CH6)+COUNTIFS(FGVisitante,$BD6,Ganador,"Local",Part2Empate4L,$CH6))</f>
        <v>-</v>
      </c>
      <c r="CL6" s="757" t="str">
        <f ca="1">IF($CH6="-","-",CI6*3+CJ6)</f>
        <v>-</v>
      </c>
      <c r="CM6" s="757">
        <f ca="1">CG6+COUNTIFS($CH$6:$CH$53,CH6,$CL$6:CL$53,"&gt;"&amp;CL6,$BC$6:$BC$53,INDEX(T_Equipos[Grupo],MATCH(BD6,T_Equipos[NombreEquipo],0)))</f>
        <v>1</v>
      </c>
      <c r="CN6" s="756" t="str">
        <f ca="1">IF(COUNTIFS($CM$6:$CM$53,CM6,$BC$6:$BC$53,INDEX(T_Equipos[Grupo],MATCH(BD6,T_Equipos[NombreEquipo],0)))=1,"-","P."&amp;CM6&amp;" ("&amp;COUNTIFS($CM$6:$CM$53,CM6,$BC$6:$BC$53,INDEX(T_Equipos[Grupo],MATCH(BD6,T_Equipos[NombreEquipo],0)))&amp;")")</f>
        <v>-</v>
      </c>
      <c r="CO6" s="757" t="str">
        <f ca="1">IF($CN6="-","-",SUMIFS(FG_GolesLocal,FGLocal,$BD6,Part2Empate5V,$CN6)+SUMIFS(FG_GolesVisitante,FGVisitante,$BD6,Part2Empate5L,$CN6))</f>
        <v>-</v>
      </c>
      <c r="CP6" s="757" t="str">
        <f ca="1">IF($CN6="-","-",SUMIFS(FG_GolesVisitante,FGLocal,$BD6,Part2Empate5V,$CN6)+SUMIFS(FG_GolesLocal,FGVisitante,$BD6,Part2Empate5L,$CN6))</f>
        <v>-</v>
      </c>
      <c r="CQ6" s="757" t="str">
        <f ca="1">IF($CN6="-","-",CO6-CP6)</f>
        <v>-</v>
      </c>
      <c r="CR6" s="757">
        <f ca="1">CM6+COUNTIFS($CN$6:$CN$53,CN6,$CQ$6:CQ$53,"&gt;"&amp;CQ6,$BC$6:$BC$53,INDEX(T_Equipos[Grupo],MATCH(BD6,T_Equipos[NombreEquipo],0)))</f>
        <v>1</v>
      </c>
      <c r="CS6" s="756" t="str">
        <f ca="1">IF(COUNTIFS($CR$6:$CR$53,CR6,$BC$6:$BC$53,INDEX(T_Equipos[Grupo],MATCH(BD6,T_Equipos[NombreEquipo],0)))=1,"-","P."&amp;CR6&amp;" ("&amp;COUNTIFS($CR$6:$CR$53,CR6,$BC$6:$BC$53,INDEX(T_Equipos[Grupo],MATCH(BD6,T_Equipos[NombreEquipo],0)))&amp;")")</f>
        <v>-</v>
      </c>
      <c r="CT6" s="757" t="str">
        <f ca="1">IF($CS6="-","-",SUMIFS(FG_GolesLocal,FGLocal,$BD6,Part2Empate6V,$CS6)+SUMIFS(FG_GolesVisitante,FGVisitante,$BD6,Part2Empate6L,$CS6))</f>
        <v>-</v>
      </c>
      <c r="CU6" s="757">
        <f ca="1">CR6+COUNTIFS($CS$6:$CS$53,CS6,$CT$6:CT$53,"&gt;"&amp;CT6,$BC$6:$BC$53,INDEX(T_Equipos[Grupo],MATCH(BD6,T_Equipos[NombreEquipo],0)))</f>
        <v>1</v>
      </c>
      <c r="CV6" s="756" t="str">
        <f ca="1">IF(COUNTIFS($CU$6:$CU$53,CU6,$BC$6:$BC$53,INDEX(T_Equipos[Grupo],MATCH(BD6,T_Equipos[NombreEquipo],0)))=1,"-","P."&amp;CU6&amp;" ("&amp;COUNTIFS($CU$6:$CU$53,CU6,$BC$6:$BC$53,INDEX(T_Equipos[Grupo],MATCH(BD6,T_Equipos[NombreEquipo],0)))&amp;")")</f>
        <v>-</v>
      </c>
      <c r="CW6" s="756" t="str">
        <f ca="1">IF(CV6="-","-",BL6)</f>
        <v>-</v>
      </c>
      <c r="CX6" s="756">
        <f ca="1">CU6+COUNTIFS($CV$6:$CV$53,CV6,$CW$6:CW$53,"&gt;"&amp;CW6,$BC$6:$BC$53,INDEX(T_Equipos[Grupo],MATCH(BD6,T_Equipos[NombreEquipo],0)))</f>
        <v>1</v>
      </c>
      <c r="CY6" s="756" t="str">
        <f ca="1">IF(COUNTIFS($CX$6:$CX$53,CX6,$BC$6:$BC$53,INDEX(T_Equipos[Grupo],MATCH(BD6,T_Equipos[NombreEquipo],0)))=1,"-","P."&amp;CX6&amp;" ("&amp;COUNTIFS($CX$6:$CX$53,CX6,$BC$6:$BC$53,INDEX(T_Equipos[Grupo],MATCH(BD6,T_Equipos[NombreEquipo],0)))&amp;")")</f>
        <v>-</v>
      </c>
      <c r="CZ6" s="756" t="str">
        <f ca="1">IF(CY6="-","-",BJ6)</f>
        <v>-</v>
      </c>
      <c r="DA6" s="757">
        <f ca="1">CX6+COUNTIFS($CY$6:$CY$53,CY6,$CZ$6:CZ$53,"&gt;"&amp;CZ6,$BC$6:$BC$53,INDEX(T_Equipos[Grupo],MATCH(BD6,T_Equipos[NombreEquipo],0)))</f>
        <v>1</v>
      </c>
      <c r="DB6" s="756" t="str">
        <f ca="1">IF(COUNTIFS($DA$6:$DA$53,DA6,$BC$6:$BC$53,INDEX(T_Equipos[Grupo],MATCH(BD6,T_Equipos[NombreEquipo],0)))=1,"-","P."&amp;DA6&amp;" ("&amp;COUNTIFS($DA$6:$DA$53,DA6,$BC$6:$BC$53,INDEX(T_Equipos[Grupo],MATCH(BD6,T_Equipos[NombreEquipo],0)))&amp;")")</f>
        <v>-</v>
      </c>
      <c r="DC6" s="755" t="str">
        <f ca="1">IF(DB6="-","-",COUNTIFS(T_Equipos[Rank],"&lt;"&amp;INDEX(T_Equipos[Rank],MATCH(BD6,T_Equipos[NombreEquipo],0)),$BC$6:$BC$53,INDEX(T_Equipos[Grupo],MATCH(BD6,T_Equipos[NombreEquipo],0)))+1)</f>
        <v>-</v>
      </c>
      <c r="DD6" s="755">
        <f ca="1">DA6+COUNTIFS($DB$6:$DB$53,DB6,$DC$6:DC$53,"&lt;"&amp;DC6,$BC$6:$BC$53,INDEX(T_Equipos[Grupo],MATCH(BD6,T_Equipos[NombreEquipo],0)))</f>
        <v>1</v>
      </c>
      <c r="DE6" s="755"/>
      <c r="DF6" s="755">
        <f ca="1">IF(OR(INDEX($AW$6:$AW$97,MATCH($BD6,$AV$6:$AV$97,0))="",DB6="-"),DD6,INDEX($AW$6:$AW$97,MATCH($BD6,$AV$6:$AV$97,0))+DD6/1000)</f>
        <v>1</v>
      </c>
      <c r="DG6" s="755" t="str">
        <f ca="1">IF(DB6="-","-",COUNTIFS(DF$6:DF$53,"&lt;"&amp;DF6,$BC$6:$BC$53,INDEX(T_Equipos[Grupo],MATCH(BD6,T_Equipos[NombreEquipo],0))))</f>
        <v>-</v>
      </c>
      <c r="DH6" s="755">
        <f ca="1">DA6+COUNTIFS(DB$6:DB$53,DB6,DG$6:DG$53,"&lt;"&amp;DG6,$BC$6:$BC$53,INDEX(T_Equipos[Grupo],MATCH(BD6,T_Equipos[NombreEquipo],0)))</f>
        <v>1</v>
      </c>
      <c r="DI6" s="743"/>
      <c r="DJ6" s="743">
        <f ca="1">INDEX($DA$6:$DA$53,MATCH($DQ6,$BD$6:$BD$53,0))</f>
        <v>1</v>
      </c>
      <c r="DK6" s="743">
        <f t="shared" ref="DK6:DK53" ca="1" si="24">+SUMIF($BC$6:$BC$53,BC6,$BF$6:$BF$53)</f>
        <v>12</v>
      </c>
      <c r="DL6" s="743">
        <f ca="1">IF(OR(DK6=12,$AJ$99=144),COUNTIFS($DJ$6:$DJ$53,DJ6,$BC$6:$BC$53,BC6),1)</f>
        <v>1</v>
      </c>
      <c r="DM6" s="737" t="str">
        <f ca="1">DJ6&amp;"."&amp;DL6</f>
        <v>1.1</v>
      </c>
      <c r="DN6" s="743" cm="1">
        <f t="array" aca="1" ref="DN6" ca="1">OFFSET(Horarios!$P$3,DJ6-1,0,DL6,1)</f>
        <v>1</v>
      </c>
      <c r="DO6" s="743"/>
      <c r="DP6" s="743" t="s">
        <v>645</v>
      </c>
      <c r="DQ6" s="743" t="str">
        <f ca="1">INDEX($BD$6:$BD$53,MATCH(DP6,$BM$6:$BM$53,0))</f>
        <v>Mexico</v>
      </c>
      <c r="DR6" s="743"/>
      <c r="DS6" s="743"/>
      <c r="DT6" s="743" t="str">
        <f t="shared" ca="1" si="15"/>
        <v>Czech Republic-South Africa</v>
      </c>
      <c r="DU6" s="743"/>
      <c r="DV6" s="743"/>
      <c r="DW6" s="8"/>
    </row>
    <row r="7" spans="1:127" ht="16.899999999999999" customHeight="1">
      <c r="A7" s="744" t="str">
        <f ca="1">+Equipos!B4</f>
        <v>South Korea</v>
      </c>
      <c r="B7" s="741"/>
      <c r="C7" s="743"/>
      <c r="D7" s="743" t="str">
        <f t="shared" si="0"/>
        <v>Local</v>
      </c>
      <c r="E7" s="743" t="str">
        <f t="shared" ca="1" si="1"/>
        <v>-</v>
      </c>
      <c r="F7" s="743" t="str">
        <f t="shared" ca="1" si="2"/>
        <v>-</v>
      </c>
      <c r="G7" s="743"/>
      <c r="H7" s="743" t="str">
        <f t="shared" ca="1" si="3"/>
        <v>-</v>
      </c>
      <c r="I7" s="743" t="str">
        <f t="shared" ca="1" si="4"/>
        <v>-</v>
      </c>
      <c r="J7" s="743"/>
      <c r="K7" s="743" t="str">
        <f t="shared" ca="1" si="5"/>
        <v>-</v>
      </c>
      <c r="L7" s="743" t="str">
        <f t="shared" ca="1" si="6"/>
        <v>-</v>
      </c>
      <c r="M7" s="743"/>
      <c r="N7" s="743" t="str">
        <f t="shared" ca="1" si="7"/>
        <v>-</v>
      </c>
      <c r="O7" s="743" t="str">
        <f t="shared" ca="1" si="8"/>
        <v>-</v>
      </c>
      <c r="P7" s="743"/>
      <c r="Q7" s="743" t="str">
        <f t="shared" ca="1" si="9"/>
        <v>-</v>
      </c>
      <c r="R7" s="743" t="str">
        <f t="shared" ca="1" si="10"/>
        <v>-</v>
      </c>
      <c r="S7" s="743"/>
      <c r="T7" s="743" t="str">
        <f t="shared" ca="1" si="11"/>
        <v>-</v>
      </c>
      <c r="U7" s="743" t="str">
        <f t="shared" ca="1" si="12"/>
        <v>-</v>
      </c>
      <c r="V7" s="172"/>
      <c r="W7" s="800"/>
      <c r="X7" s="189">
        <f ca="1">Horarios!C7</f>
        <v>46192.125</v>
      </c>
      <c r="Y7" s="190">
        <f ca="1">Horarios!C7</f>
        <v>46192.125</v>
      </c>
      <c r="Z7" s="191" t="str">
        <f>$Z$6</f>
        <v>R2</v>
      </c>
      <c r="AA7" s="192" t="str">
        <f ca="1">A5</f>
        <v>Mexico</v>
      </c>
      <c r="AB7" s="480" t="e" cm="1" vm="1">
        <f t="array" aca="1" ref="AB7" ca="1">Ver_flag_local</f>
        <v>#VALUE!</v>
      </c>
      <c r="AC7" s="193">
        <v>1</v>
      </c>
      <c r="AD7" s="194">
        <v>0</v>
      </c>
      <c r="AE7" s="483" t="e" cm="1" vm="3">
        <f t="array" aca="1" ref="AE7" ca="1">Ver_flag_visit</f>
        <v>#VALUE!</v>
      </c>
      <c r="AF7" s="195" t="str">
        <f ca="1">A7</f>
        <v>South Korea</v>
      </c>
      <c r="AG7" s="413">
        <f t="shared" si="13"/>
        <v>1</v>
      </c>
      <c r="AH7" s="196">
        <v>28</v>
      </c>
      <c r="AI7" s="19" t="str">
        <f>AJ7&amp;$B$4</f>
        <v>2A</v>
      </c>
      <c r="AJ7" s="221">
        <v>2</v>
      </c>
      <c r="AK7" s="491" t="e" cm="1" vm="2">
        <f t="array" aca="1" ref="AK7" ca="1">Ver_flag_visit</f>
        <v>#VALUE!</v>
      </c>
      <c r="AL7" s="222" t="str">
        <f ca="1">IFERROR(INDEX($BD$6:$BD$53,MATCH(AI7,$BN$6:$BN$53,0)),"")</f>
        <v>South Africa</v>
      </c>
      <c r="AM7" s="223">
        <f t="shared" ca="1" si="16"/>
        <v>4</v>
      </c>
      <c r="AN7" s="224">
        <f t="shared" ca="1" si="16"/>
        <v>3</v>
      </c>
      <c r="AO7" s="224">
        <f t="shared" ca="1" si="16"/>
        <v>1</v>
      </c>
      <c r="AP7" s="224">
        <f t="shared" ca="1" si="16"/>
        <v>1</v>
      </c>
      <c r="AQ7" s="224">
        <f t="shared" ca="1" si="16"/>
        <v>1</v>
      </c>
      <c r="AR7" s="224">
        <f t="shared" ca="1" si="16"/>
        <v>2</v>
      </c>
      <c r="AS7" s="224">
        <f t="shared" ca="1" si="16"/>
        <v>3</v>
      </c>
      <c r="AT7" s="225">
        <f t="shared" ca="1" si="16"/>
        <v>-1</v>
      </c>
      <c r="AU7" s="420">
        <f ca="1">INDEX($DL$6:$DL$53,MATCH(AI7,$DP$6:$DP$53,0))</f>
        <v>1</v>
      </c>
      <c r="AV7" s="217" t="str">
        <f ca="1">INDEX($BD$6:$BD$53,MATCH(AI7,$BM$6:$BM$53,0))</f>
        <v>South Africa</v>
      </c>
      <c r="AW7" s="427"/>
      <c r="AX7" s="218"/>
      <c r="AY7" s="226" t="str">
        <f ca="1">+A6</f>
        <v>South Africa</v>
      </c>
      <c r="AZ7" s="227"/>
      <c r="BA7" s="175"/>
      <c r="BB7" s="743"/>
      <c r="BC7" s="755" t="str">
        <f ca="1">+INDEX(T_Equipos[Grupo],MATCH(WORLDCUP!BD7,T_Equipos[NombreEquipo],0))</f>
        <v>A</v>
      </c>
      <c r="BD7" s="743" t="str">
        <f ca="1">+Equipos!B3</f>
        <v>South Africa</v>
      </c>
      <c r="BE7" s="747">
        <f t="shared" ref="BE7:BE53" ca="1" si="25">+BG7*3+BH7+IF($AZ$3="no",0,INDEX($AZ$6:$AZ$97,MATCH(BD7,$AY$6:$AY$97,0)))</f>
        <v>4</v>
      </c>
      <c r="BF7" s="747">
        <f t="shared" ref="BF7:BF53" ca="1" si="26">+BG7+BH7+BI7</f>
        <v>3</v>
      </c>
      <c r="BG7" s="747">
        <f t="shared" ca="1" si="17"/>
        <v>1</v>
      </c>
      <c r="BH7" s="747">
        <f t="shared" ca="1" si="18"/>
        <v>1</v>
      </c>
      <c r="BI7" s="747">
        <f t="shared" ca="1" si="19"/>
        <v>1</v>
      </c>
      <c r="BJ7" s="747">
        <f t="shared" ca="1" si="20"/>
        <v>2</v>
      </c>
      <c r="BK7" s="747">
        <f t="shared" ca="1" si="21"/>
        <v>3</v>
      </c>
      <c r="BL7" s="747">
        <f t="shared" ref="BL7:BL53" ca="1" si="27">+BJ7-BK7</f>
        <v>-1</v>
      </c>
      <c r="BM7" s="747" t="str">
        <f t="shared" ca="1" si="22"/>
        <v>2A</v>
      </c>
      <c r="BN7" s="747" t="str">
        <f t="shared" ca="1" si="23"/>
        <v>2A</v>
      </c>
      <c r="BO7" s="756">
        <f t="shared" ref="BO7:BO53" ca="1" si="28">IF(AND($AJ$99=144,BF7&gt;=1),1,0)</f>
        <v>0</v>
      </c>
      <c r="BP7" s="756">
        <f ca="1">COUNTIFS($BO$6:$BO$53,"&gt;"&amp;BO7,$BC$6:$BC$53,INDEX(T_Equipos[Grupo],MATCH(BD7,T_Equipos[NombreEquipo],0)))+1</f>
        <v>1</v>
      </c>
      <c r="BQ7" s="756" t="str">
        <f ca="1">IF(COUNTIFS($BP$6:$BP$53,BP7,$BC$6:$BC$53,INDEX(T_Equipos[Grupo],MATCH(BD7,T_Equipos[NombreEquipo],0)))=1,"-","P."&amp;BP7&amp;" ("&amp;COUNTIFS($BP$6:$BP$53,BP7,$BC$6:$BC$53,INDEX(T_Equipos[Grupo],MATCH(BD7,T_Equipos[NombreEquipo],0)))&amp;")")</f>
        <v>P.1 (4)</v>
      </c>
      <c r="BR7" s="756">
        <f t="shared" ref="BR7:BR53" ca="1" si="29">IF($BQ7="-","-",BE7)</f>
        <v>4</v>
      </c>
      <c r="BS7" s="756">
        <f ca="1">BP7+COUNTIFS($BQ$6:$BQ$53,BQ7,$BR$6:BR$53,"&gt;"&amp;BR7,$BC$6:$BC$53,INDEX(T_Equipos[Grupo],MATCH(BD7,T_Equipos[NombreEquipo],0)))</f>
        <v>2</v>
      </c>
      <c r="BT7" s="756" t="str">
        <f ca="1">IF(COUNTIFS($BS$6:$BS$53,BS7,$BC$6:$BC$53,INDEX(T_Equipos[Grupo],MATCH(BD7,T_Equipos[NombreEquipo],0)))=1,"-","P."&amp;BS7&amp;" ("&amp;COUNTIFS($BS$6:$BS$53,BS7,$BC$6:$BC$53,INDEX(T_Equipos[Grupo],MATCH(BD7,T_Equipos[NombreEquipo],0)))&amp;")")</f>
        <v>-</v>
      </c>
      <c r="BU7" s="757" t="str">
        <f ca="1">IF($BT7="-","-",COUNTIFS(FGLocal,$BD7,Ganador,"Local",Part1Empate1V,$BT7)+COUNTIFS(FGVisitante,$BD7,Ganador,"Visitante",Part1Empate1L,$BT7))</f>
        <v>-</v>
      </c>
      <c r="BV7" s="757" t="str">
        <f ca="1">IF($BT7="-","-",COUNTIFS(FGLocal,$BD7,Ganador,"Empate",Part1Empate1V,$BT7)+COUNTIFS(FGVisitante,$BD7,Ganador,"Empate",Part1Empate1L,$BT7))</f>
        <v>-</v>
      </c>
      <c r="BW7" s="757" t="str">
        <f ca="1">IF($BT7="-","-",COUNTIFS(FGLocal,$BD7,Ganador,"Visitante",Part1Empate1V,$BT7)+COUNTIFS(FGVisitante,$BD7,Ganador,"Local",Part1Empate1L,$BT7))</f>
        <v>-</v>
      </c>
      <c r="BX7" s="757" t="str">
        <f ca="1">IF($BT7="-","-",BU7*3+BV7)</f>
        <v>-</v>
      </c>
      <c r="BY7" s="757">
        <f ca="1">BS7+COUNTIFS($BT$6:$BT$53,BT7,$BX$6:BX$53,"&gt;"&amp;BX7,$BC$6:$BC$53,INDEX(T_Equipos[Grupo],MATCH(BD7,T_Equipos[NombreEquipo],0)))</f>
        <v>2</v>
      </c>
      <c r="BZ7" s="756" t="str">
        <f ca="1">IF(COUNTIFS($BY$6:$BY$53,BY7,$BC$6:$BC$53,INDEX(T_Equipos[Grupo],MATCH(BD7,T_Equipos[NombreEquipo],0)))=1,"-","P."&amp;BY7&amp;" ("&amp;COUNTIFS($BY$6:$BY$53,BY7,$BC$6:$BC$53,INDEX(T_Equipos[Grupo],MATCH(BD7,T_Equipos[NombreEquipo],0)))&amp;")")</f>
        <v>-</v>
      </c>
      <c r="CA7" s="757" t="str">
        <f ca="1">IF($BZ7="-","-",SUMIFS(FG_GolesLocal,FGLocal,$BD7,Part1Empate2V,$BZ7)+SUMIFS(FG_GolesVisitante,FGVisitante,$BD7,Part1Empate2L,$BZ7))</f>
        <v>-</v>
      </c>
      <c r="CB7" s="757" t="str">
        <f ca="1">IF($BZ7="-","-",SUMIFS(FG_GolesVisitante,FGLocal,$BD7,Part1Empate2V,$BZ7)+SUMIFS(FG_GolesLocal,FGVisitante,$BD7,Part1Empate2L,$BZ7))</f>
        <v>-</v>
      </c>
      <c r="CC7" s="757" t="str">
        <f ca="1">IF($BZ7="-","-",CA7-CB7)</f>
        <v>-</v>
      </c>
      <c r="CD7" s="757">
        <f ca="1">BY7+COUNTIFS($BZ$6:$BZ$53,BZ7,$CC$6:CC$53,"&gt;"&amp;CC7,$BC$6:$BC$53,INDEX(T_Equipos[Grupo],MATCH(BD7,T_Equipos[NombreEquipo],0)))</f>
        <v>2</v>
      </c>
      <c r="CE7" s="756" t="str">
        <f ca="1">IF(COUNTIFS($CD$6:$CD$53,CD7,$BC$6:$BC$53,INDEX(T_Equipos[Grupo],MATCH(BD7,T_Equipos[NombreEquipo],0)))=1,"-","P."&amp;CD7&amp;" ("&amp;COUNTIFS($CD$6:$CD$53,CD7,$BC$6:$BC$53,INDEX(T_Equipos[Grupo],MATCH(BD7,T_Equipos[NombreEquipo],0)))&amp;")")</f>
        <v>-</v>
      </c>
      <c r="CF7" s="757" t="str">
        <f ca="1">IF($CE7="-","-",SUMIFS(FG_GolesLocal,FGLocal,$BD7,Part1Empate3V,$CE7)+SUMIFS(FG_GolesVisitante,FGVisitante,$BD7,Part1Empate3L,$CE7))</f>
        <v>-</v>
      </c>
      <c r="CG7" s="757">
        <f ca="1">CD7+COUNTIFS($CE$6:$CE$53,CE7,$CF$6:CF$53,"&gt;"&amp;CF7,$BC$6:$BC$53,INDEX(T_Equipos[Grupo],MATCH(BD7,T_Equipos[NombreEquipo],0)))</f>
        <v>2</v>
      </c>
      <c r="CH7" s="756" t="str">
        <f ca="1">IF(COUNTIFS($CG$6:$CG$53,CG7,$BC$6:$BC$53,INDEX(T_Equipos[Grupo],MATCH(BD7,T_Equipos[NombreEquipo],0)))=1,"-","P."&amp;CG7&amp;" ("&amp;COUNTIFS($CG$6:$CG$53,CG7,$BC$6:$BC$53,INDEX(T_Equipos[Grupo],MATCH(BD7,T_Equipos[NombreEquipo],0)))&amp;")")</f>
        <v>-</v>
      </c>
      <c r="CI7" s="757" t="str">
        <f ca="1">IF($CH7="-","-",COUNTIFS(FGLocal,$BD7,Ganador,"Local",Part2Empate4V,$CH7)+COUNTIFS(FGVisitante,$BD7,Ganador,"Visitante",Part2Empate4L,$CH7))</f>
        <v>-</v>
      </c>
      <c r="CJ7" s="757" t="str">
        <f ca="1">IF($CH7="-","-",COUNTIFS(FGLocal,$BD7,Ganador,"Empate",Part2Empate4V,$CH7)+COUNTIFS(FGVisitante,$BD7,Ganador,"Empate",Part2Empate4L,$CH7))</f>
        <v>-</v>
      </c>
      <c r="CK7" s="757" t="str">
        <f ca="1">IF($CH7="-","-",COUNTIFS(FGLocal,$BD7,Ganador,"Visitante",Part2Empate4V,$CH7)+COUNTIFS(FGVisitante,$BD7,Ganador,"Local",Part2Empate4L,$CH7))</f>
        <v>-</v>
      </c>
      <c r="CL7" s="757" t="str">
        <f ca="1">IF($CH7="-","-",CI7*3+CJ7)</f>
        <v>-</v>
      </c>
      <c r="CM7" s="757">
        <f ca="1">CG7+COUNTIFS($CH$6:$CH$53,CH7,$CL$6:CL$53,"&gt;"&amp;CL7,$BC$6:$BC$53,INDEX(T_Equipos[Grupo],MATCH(BD7,T_Equipos[NombreEquipo],0)))</f>
        <v>2</v>
      </c>
      <c r="CN7" s="756" t="str">
        <f ca="1">IF(COUNTIFS($CM$6:$CM$53,CM7,$BC$6:$BC$53,INDEX(T_Equipos[Grupo],MATCH(BD7,T_Equipos[NombreEquipo],0)))=1,"-","P."&amp;CM7&amp;" ("&amp;COUNTIFS($CM$6:$CM$53,CM7,$BC$6:$BC$53,INDEX(T_Equipos[Grupo],MATCH(BD7,T_Equipos[NombreEquipo],0)))&amp;")")</f>
        <v>-</v>
      </c>
      <c r="CO7" s="757" t="str">
        <f ca="1">IF($CN7="-","-",SUMIFS(FG_GolesLocal,FGLocal,$BD7,Part2Empate5V,$CN7)+SUMIFS(FG_GolesVisitante,FGVisitante,$BD7,Part2Empate5L,$CN7))</f>
        <v>-</v>
      </c>
      <c r="CP7" s="757" t="str">
        <f ca="1">IF($CN7="-","-",SUMIFS(FG_GolesVisitante,FGLocal,$BD7,Part2Empate5V,$CN7)+SUMIFS(FG_GolesLocal,FGVisitante,$BD7,Part2Empate5L,$CN7))</f>
        <v>-</v>
      </c>
      <c r="CQ7" s="757" t="str">
        <f ca="1">IF($CN7="-","-",CO7-CP7)</f>
        <v>-</v>
      </c>
      <c r="CR7" s="757">
        <f ca="1">CM7+COUNTIFS($CN$6:$CN$53,CN7,$CQ$6:CQ$53,"&gt;"&amp;CQ7,$BC$6:$BC$53,INDEX(T_Equipos[Grupo],MATCH(BD7,T_Equipos[NombreEquipo],0)))</f>
        <v>2</v>
      </c>
      <c r="CS7" s="756" t="str">
        <f ca="1">IF(COUNTIFS($CR$6:$CR$53,CR7,$BC$6:$BC$53,INDEX(T_Equipos[Grupo],MATCH(BD7,T_Equipos[NombreEquipo],0)))=1,"-","P."&amp;CR7&amp;" ("&amp;COUNTIFS($CR$6:$CR$53,CR7,$BC$6:$BC$53,INDEX(T_Equipos[Grupo],MATCH(BD7,T_Equipos[NombreEquipo],0)))&amp;")")</f>
        <v>-</v>
      </c>
      <c r="CT7" s="757" t="str">
        <f ca="1">IF($CS7="-","-",SUMIFS(FG_GolesLocal,FGLocal,$BD7,Part2Empate6V,$CS7)+SUMIFS(FG_GolesVisitante,FGVisitante,$BD7,Part2Empate6L,$CS7))</f>
        <v>-</v>
      </c>
      <c r="CU7" s="757">
        <f ca="1">CR7+COUNTIFS($CS$6:$CS$53,CS7,$CT$6:CT$53,"&gt;"&amp;CT7,$BC$6:$BC$53,INDEX(T_Equipos[Grupo],MATCH(BD7,T_Equipos[NombreEquipo],0)))</f>
        <v>2</v>
      </c>
      <c r="CV7" s="756" t="str">
        <f ca="1">IF(COUNTIFS($CU$6:$CU$53,CU7,$BC$6:$BC$53,INDEX(T_Equipos[Grupo],MATCH(BD7,T_Equipos[NombreEquipo],0)))=1,"-","P."&amp;CU7&amp;" ("&amp;COUNTIFS($CU$6:$CU$53,CU7,$BC$6:$BC$53,INDEX(T_Equipos[Grupo],MATCH(BD7,T_Equipos[NombreEquipo],0)))&amp;")")</f>
        <v>-</v>
      </c>
      <c r="CW7" s="756" t="str">
        <f t="shared" ref="CW7:CW53" ca="1" si="30">IF(CV7="-","-",BL7)</f>
        <v>-</v>
      </c>
      <c r="CX7" s="756">
        <f ca="1">CU7+COUNTIFS($CV$6:$CV$53,CV7,$CW$6:CW$53,"&gt;"&amp;CW7,$BC$6:$BC$53,INDEX(T_Equipos[Grupo],MATCH(BD7,T_Equipos[NombreEquipo],0)))</f>
        <v>2</v>
      </c>
      <c r="CY7" s="756" t="str">
        <f ca="1">IF(COUNTIFS($CX$6:$CX$53,CX7,$BC$6:$BC$53,INDEX(T_Equipos[Grupo],MATCH(BD7,T_Equipos[NombreEquipo],0)))=1,"-","P."&amp;CX7&amp;" ("&amp;COUNTIFS($CX$6:$CX$53,CX7,$BC$6:$BC$53,INDEX(T_Equipos[Grupo],MATCH(BD7,T_Equipos[NombreEquipo],0)))&amp;")")</f>
        <v>-</v>
      </c>
      <c r="CZ7" s="756" t="str">
        <f t="shared" ref="CZ7:CZ53" ca="1" si="31">IF(CY7="-","-",BJ7)</f>
        <v>-</v>
      </c>
      <c r="DA7" s="757">
        <f ca="1">CX7+COUNTIFS($CY$6:$CY$53,CY7,$CZ$6:CZ$53,"&gt;"&amp;CZ7,$BC$6:$BC$53,INDEX(T_Equipos[Grupo],MATCH(BD7,T_Equipos[NombreEquipo],0)))</f>
        <v>2</v>
      </c>
      <c r="DB7" s="756" t="str">
        <f ca="1">IF(COUNTIFS($DA$6:$DA$53,DA7,$BC$6:$BC$53,INDEX(T_Equipos[Grupo],MATCH(BD7,T_Equipos[NombreEquipo],0)))=1,"-","P."&amp;DA7&amp;" ("&amp;COUNTIFS($DA$6:$DA$53,DA7,$BC$6:$BC$53,INDEX(T_Equipos[Grupo],MATCH(BD7,T_Equipos[NombreEquipo],0)))&amp;")")</f>
        <v>-</v>
      </c>
      <c r="DC7" s="755" t="str">
        <f ca="1">IF(DB7="-","-",COUNTIFS(T_Equipos[Rank],"&lt;"&amp;INDEX(T_Equipos[Rank],MATCH(BD7,T_Equipos[NombreEquipo],0)),$BC$6:$BC$53,INDEX(T_Equipos[Grupo],MATCH(BD7,T_Equipos[NombreEquipo],0)))+1)</f>
        <v>-</v>
      </c>
      <c r="DD7" s="755">
        <f ca="1">DA7+COUNTIFS($DB$6:$DB$53,DB7,$DC$6:DC$53,"&lt;"&amp;DC7,$BC$6:$BC$53,INDEX(T_Equipos[Grupo],MATCH(BD7,T_Equipos[NombreEquipo],0)))</f>
        <v>2</v>
      </c>
      <c r="DE7" s="755"/>
      <c r="DF7" s="755">
        <f t="shared" ref="DF7:DF9" ca="1" si="32">IF(OR(INDEX($AW$6:$AW$97,MATCH($BD7,$AV$6:$AV$97,0))="",DB7="-"),DD7,INDEX($AW$6:$AW$97,MATCH($BD7,$AV$6:$AV$97,0))+DD7/1000)</f>
        <v>2</v>
      </c>
      <c r="DG7" s="755" t="str">
        <f ca="1">IF(DB7="-","-",COUNTIFS(DF$6:DF$53,"&lt;"&amp;DF7,$BC$6:$BC$53,INDEX(T_Equipos[Grupo],MATCH(BD7,T_Equipos[NombreEquipo],0))))</f>
        <v>-</v>
      </c>
      <c r="DH7" s="755">
        <f ca="1">DA7+COUNTIFS(DB$6:DB$53,DB7,DG$6:DG$53,"&lt;"&amp;DG7,$BC$6:$BC$53,INDEX(T_Equipos[Grupo],MATCH(BD7,T_Equipos[NombreEquipo],0)))</f>
        <v>2</v>
      </c>
      <c r="DI7" s="743"/>
      <c r="DJ7" s="743">
        <f ca="1">INDEX($DA$6:$DA$53,MATCH($DQ7,$BD$6:$BD$53,0))</f>
        <v>2</v>
      </c>
      <c r="DK7" s="743">
        <f t="shared" ca="1" si="24"/>
        <v>12</v>
      </c>
      <c r="DL7" s="743">
        <f t="shared" ref="DL7:DL53" ca="1" si="33">IF(OR(DK7=12,$AJ$99=144),COUNTIFS($DJ$6:$DJ$53,DJ7,$BC$6:$BC$53,BC7),1)</f>
        <v>1</v>
      </c>
      <c r="DM7" s="737" t="str">
        <f t="shared" ref="DM7:DM53" ca="1" si="34">DJ7&amp;"."&amp;DL7</f>
        <v>2.1</v>
      </c>
      <c r="DN7" s="743" cm="1">
        <f t="array" aca="1" ref="DN7" ca="1">OFFSET(Horarios!$P$3,DJ7-1,0,DL7,1)</f>
        <v>2</v>
      </c>
      <c r="DO7" s="743"/>
      <c r="DP7" s="743" t="s">
        <v>646</v>
      </c>
      <c r="DQ7" s="743" t="str">
        <f t="shared" ref="DQ7:DQ53" ca="1" si="35">INDEX($BD$6:$BD$53,MATCH(DP7,$BM$6:$BM$53,0))</f>
        <v>South Africa</v>
      </c>
      <c r="DR7" s="743"/>
      <c r="DS7" s="743"/>
      <c r="DT7" s="743" t="str">
        <f t="shared" ca="1" si="15"/>
        <v>Mexico-South Korea</v>
      </c>
      <c r="DU7" s="743"/>
      <c r="DV7" s="743"/>
      <c r="DW7" s="8"/>
    </row>
    <row r="8" spans="1:127" ht="16.899999999999999" customHeight="1">
      <c r="A8" s="744" t="str">
        <f ca="1">+Equipos!B5</f>
        <v>Czech Republic</v>
      </c>
      <c r="B8" s="741"/>
      <c r="C8" s="743"/>
      <c r="D8" s="743" t="str">
        <f t="shared" si="0"/>
        <v>Visitante</v>
      </c>
      <c r="E8" s="743" t="str">
        <f t="shared" ca="1" si="1"/>
        <v>-</v>
      </c>
      <c r="F8" s="743" t="str">
        <f t="shared" ca="1" si="2"/>
        <v>-</v>
      </c>
      <c r="G8" s="743"/>
      <c r="H8" s="743" t="str">
        <f t="shared" ca="1" si="3"/>
        <v>-</v>
      </c>
      <c r="I8" s="743" t="str">
        <f t="shared" ca="1" si="4"/>
        <v>-</v>
      </c>
      <c r="J8" s="743"/>
      <c r="K8" s="743" t="str">
        <f t="shared" ca="1" si="5"/>
        <v>-</v>
      </c>
      <c r="L8" s="743" t="str">
        <f t="shared" ca="1" si="6"/>
        <v>-</v>
      </c>
      <c r="M8" s="743"/>
      <c r="N8" s="743" t="str">
        <f t="shared" ca="1" si="7"/>
        <v>-</v>
      </c>
      <c r="O8" s="743" t="str">
        <f t="shared" ca="1" si="8"/>
        <v>-</v>
      </c>
      <c r="P8" s="743"/>
      <c r="Q8" s="743" t="str">
        <f t="shared" ca="1" si="9"/>
        <v>-</v>
      </c>
      <c r="R8" s="743" t="str">
        <f t="shared" ca="1" si="10"/>
        <v>-</v>
      </c>
      <c r="S8" s="743"/>
      <c r="T8" s="743" t="str">
        <f t="shared" ca="1" si="11"/>
        <v>-</v>
      </c>
      <c r="U8" s="743" t="str">
        <f t="shared" ca="1" si="12"/>
        <v>-</v>
      </c>
      <c r="V8" s="172"/>
      <c r="W8" s="800"/>
      <c r="X8" s="189">
        <f ca="1">Horarios!C8</f>
        <v>46198.125</v>
      </c>
      <c r="Y8" s="190">
        <f ca="1">Horarios!C8</f>
        <v>46198.125</v>
      </c>
      <c r="Z8" s="191" t="str">
        <f>Idiomas!D65</f>
        <v>R3</v>
      </c>
      <c r="AA8" s="192" t="str">
        <f ca="1">A8</f>
        <v>Czech Republic</v>
      </c>
      <c r="AB8" s="480" t="e" cm="1" vm="4">
        <f t="array" aca="1" ref="AB8" ca="1">Ver_flag_local</f>
        <v>#VALUE!</v>
      </c>
      <c r="AC8" s="193">
        <v>0</v>
      </c>
      <c r="AD8" s="194">
        <v>3</v>
      </c>
      <c r="AE8" s="483" t="e" cm="1" vm="1">
        <f t="array" aca="1" ref="AE8" ca="1">Ver_flag_visit</f>
        <v>#VALUE!</v>
      </c>
      <c r="AF8" s="195" t="str">
        <f ca="1">A5</f>
        <v>Mexico</v>
      </c>
      <c r="AG8" s="413">
        <f t="shared" si="13"/>
        <v>1</v>
      </c>
      <c r="AH8" s="196">
        <v>53</v>
      </c>
      <c r="AI8" s="19" t="str">
        <f>AJ8&amp;$B$4</f>
        <v>3A</v>
      </c>
      <c r="AJ8" s="221">
        <v>3</v>
      </c>
      <c r="AK8" s="491" t="e" cm="1" vm="3">
        <f t="array" aca="1" ref="AK8" ca="1">Ver_flag_visit</f>
        <v>#VALUE!</v>
      </c>
      <c r="AL8" s="222" t="str">
        <f ca="1">IFERROR(INDEX($BD$6:$BD$53,MATCH(AI8,$BN$6:$BN$53,0)),"")</f>
        <v>South Korea</v>
      </c>
      <c r="AM8" s="223">
        <f t="shared" ca="1" si="16"/>
        <v>3</v>
      </c>
      <c r="AN8" s="224">
        <f t="shared" ca="1" si="16"/>
        <v>3</v>
      </c>
      <c r="AO8" s="224">
        <f t="shared" ca="1" si="16"/>
        <v>1</v>
      </c>
      <c r="AP8" s="224">
        <f t="shared" ca="1" si="16"/>
        <v>0</v>
      </c>
      <c r="AQ8" s="224">
        <f t="shared" ca="1" si="16"/>
        <v>2</v>
      </c>
      <c r="AR8" s="224">
        <f t="shared" ca="1" si="16"/>
        <v>2</v>
      </c>
      <c r="AS8" s="224">
        <f t="shared" ca="1" si="16"/>
        <v>3</v>
      </c>
      <c r="AT8" s="225">
        <f t="shared" ca="1" si="16"/>
        <v>-1</v>
      </c>
      <c r="AU8" s="420">
        <f ca="1">INDEX($DL$6:$DL$53,MATCH(AI8,$DP$6:$DP$53,0))</f>
        <v>1</v>
      </c>
      <c r="AV8" s="217" t="str">
        <f ca="1">INDEX($BD$6:$BD$53,MATCH(AI8,$BM$6:$BM$53,0))</f>
        <v>South Korea</v>
      </c>
      <c r="AW8" s="427"/>
      <c r="AX8" s="218"/>
      <c r="AY8" s="219" t="str">
        <f ca="1">+A7</f>
        <v>South Korea</v>
      </c>
      <c r="AZ8" s="220"/>
      <c r="BA8" s="175"/>
      <c r="BB8" s="743"/>
      <c r="BC8" s="755" t="str">
        <f ca="1">+INDEX(T_Equipos[Grupo],MATCH(WORLDCUP!BD8,T_Equipos[NombreEquipo],0))</f>
        <v>A</v>
      </c>
      <c r="BD8" s="743" t="str">
        <f ca="1">+Equipos!B4</f>
        <v>South Korea</v>
      </c>
      <c r="BE8" s="747">
        <f t="shared" ca="1" si="25"/>
        <v>3</v>
      </c>
      <c r="BF8" s="747">
        <f t="shared" ca="1" si="26"/>
        <v>3</v>
      </c>
      <c r="BG8" s="747">
        <f t="shared" ca="1" si="17"/>
        <v>1</v>
      </c>
      <c r="BH8" s="747">
        <f t="shared" ca="1" si="18"/>
        <v>0</v>
      </c>
      <c r="BI8" s="747">
        <f t="shared" ca="1" si="19"/>
        <v>2</v>
      </c>
      <c r="BJ8" s="747">
        <f t="shared" ca="1" si="20"/>
        <v>2</v>
      </c>
      <c r="BK8" s="747">
        <f t="shared" ca="1" si="21"/>
        <v>3</v>
      </c>
      <c r="BL8" s="747">
        <f t="shared" ca="1" si="27"/>
        <v>-1</v>
      </c>
      <c r="BM8" s="747" t="str">
        <f t="shared" ca="1" si="22"/>
        <v>3A</v>
      </c>
      <c r="BN8" s="747" t="str">
        <f t="shared" ca="1" si="23"/>
        <v>3A</v>
      </c>
      <c r="BO8" s="756">
        <f t="shared" ca="1" si="28"/>
        <v>0</v>
      </c>
      <c r="BP8" s="756">
        <f ca="1">COUNTIFS($BO$6:$BO$53,"&gt;"&amp;BO8,$BC$6:$BC$53,INDEX(T_Equipos[Grupo],MATCH(BD8,T_Equipos[NombreEquipo],0)))+1</f>
        <v>1</v>
      </c>
      <c r="BQ8" s="756" t="str">
        <f ca="1">IF(COUNTIFS($BP$6:$BP$53,BP8,$BC$6:$BC$53,INDEX(T_Equipos[Grupo],MATCH(BD8,T_Equipos[NombreEquipo],0)))=1,"-","P."&amp;BP8&amp;" ("&amp;COUNTIFS($BP$6:$BP$53,BP8,$BC$6:$BC$53,INDEX(T_Equipos[Grupo],MATCH(BD8,T_Equipos[NombreEquipo],0)))&amp;")")</f>
        <v>P.1 (4)</v>
      </c>
      <c r="BR8" s="756">
        <f t="shared" ca="1" si="29"/>
        <v>3</v>
      </c>
      <c r="BS8" s="756">
        <f ca="1">BP8+COUNTIFS($BQ$6:$BQ$53,BQ8,$BR$6:BR$53,"&gt;"&amp;BR8,$BC$6:$BC$53,INDEX(T_Equipos[Grupo],MATCH(BD8,T_Equipos[NombreEquipo],0)))</f>
        <v>3</v>
      </c>
      <c r="BT8" s="756" t="str">
        <f ca="1">IF(COUNTIFS($BS$6:$BS$53,BS8,$BC$6:$BC$53,INDEX(T_Equipos[Grupo],MATCH(BD8,T_Equipos[NombreEquipo],0)))=1,"-","P."&amp;BS8&amp;" ("&amp;COUNTIFS($BS$6:$BS$53,BS8,$BC$6:$BC$53,INDEX(T_Equipos[Grupo],MATCH(BD8,T_Equipos[NombreEquipo],0)))&amp;")")</f>
        <v>-</v>
      </c>
      <c r="BU8" s="757" t="str">
        <f ca="1">IF($BT8="-","-",COUNTIFS(FGLocal,$BD8,Ganador,"Local",Part1Empate1V,$BT8)+COUNTIFS(FGVisitante,$BD8,Ganador,"Visitante",Part1Empate1L,$BT8))</f>
        <v>-</v>
      </c>
      <c r="BV8" s="757" t="str">
        <f ca="1">IF($BT8="-","-",COUNTIFS(FGLocal,$BD8,Ganador,"Empate",Part1Empate1V,$BT8)+COUNTIFS(FGVisitante,$BD8,Ganador,"Empate",Part1Empate1L,$BT8))</f>
        <v>-</v>
      </c>
      <c r="BW8" s="757" t="str">
        <f ca="1">IF($BT8="-","-",COUNTIFS(FGLocal,$BD8,Ganador,"Visitante",Part1Empate1V,$BT8)+COUNTIFS(FGVisitante,$BD8,Ganador,"Local",Part1Empate1L,$BT8))</f>
        <v>-</v>
      </c>
      <c r="BX8" s="757" t="str">
        <f ca="1">IF($BT8="-","-",BU8*3+BV8)</f>
        <v>-</v>
      </c>
      <c r="BY8" s="757">
        <f ca="1">BS8+COUNTIFS($BT$6:$BT$53,BT8,$BX$6:BX$53,"&gt;"&amp;BX8,$BC$6:$BC$53,INDEX(T_Equipos[Grupo],MATCH(BD8,T_Equipos[NombreEquipo],0)))</f>
        <v>3</v>
      </c>
      <c r="BZ8" s="756" t="str">
        <f ca="1">IF(COUNTIFS($BY$6:$BY$53,BY8,$BC$6:$BC$53,INDEX(T_Equipos[Grupo],MATCH(BD8,T_Equipos[NombreEquipo],0)))=1,"-","P."&amp;BY8&amp;" ("&amp;COUNTIFS($BY$6:$BY$53,BY8,$BC$6:$BC$53,INDEX(T_Equipos[Grupo],MATCH(BD8,T_Equipos[NombreEquipo],0)))&amp;")")</f>
        <v>-</v>
      </c>
      <c r="CA8" s="757" t="str">
        <f ca="1">IF($BZ8="-","-",SUMIFS(FG_GolesLocal,FGLocal,$BD8,Part1Empate2V,$BZ8)+SUMIFS(FG_GolesVisitante,FGVisitante,$BD8,Part1Empate2L,$BZ8))</f>
        <v>-</v>
      </c>
      <c r="CB8" s="757" t="str">
        <f ca="1">IF($BZ8="-","-",SUMIFS(FG_GolesVisitante,FGLocal,$BD8,Part1Empate2V,$BZ8)+SUMIFS(FG_GolesLocal,FGVisitante,$BD8,Part1Empate2L,$BZ8))</f>
        <v>-</v>
      </c>
      <c r="CC8" s="757" t="str">
        <f ca="1">IF($BZ8="-","-",CA8-CB8)</f>
        <v>-</v>
      </c>
      <c r="CD8" s="757">
        <f ca="1">BY8+COUNTIFS($BZ$6:$BZ$53,BZ8,$CC$6:CC$53,"&gt;"&amp;CC8,$BC$6:$BC$53,INDEX(T_Equipos[Grupo],MATCH(BD8,T_Equipos[NombreEquipo],0)))</f>
        <v>3</v>
      </c>
      <c r="CE8" s="756" t="str">
        <f ca="1">IF(COUNTIFS($CD$6:$CD$53,CD8,$BC$6:$BC$53,INDEX(T_Equipos[Grupo],MATCH(BD8,T_Equipos[NombreEquipo],0)))=1,"-","P."&amp;CD8&amp;" ("&amp;COUNTIFS($CD$6:$CD$53,CD8,$BC$6:$BC$53,INDEX(T_Equipos[Grupo],MATCH(BD8,T_Equipos[NombreEquipo],0)))&amp;")")</f>
        <v>-</v>
      </c>
      <c r="CF8" s="757" t="str">
        <f ca="1">IF($CE8="-","-",SUMIFS(FG_GolesLocal,FGLocal,$BD8,Part1Empate3V,$CE8)+SUMIFS(FG_GolesVisitante,FGVisitante,$BD8,Part1Empate3L,$CE8))</f>
        <v>-</v>
      </c>
      <c r="CG8" s="757">
        <f ca="1">CD8+COUNTIFS($CE$6:$CE$53,CE8,$CF$6:CF$53,"&gt;"&amp;CF8,$BC$6:$BC$53,INDEX(T_Equipos[Grupo],MATCH(BD8,T_Equipos[NombreEquipo],0)))</f>
        <v>3</v>
      </c>
      <c r="CH8" s="756" t="str">
        <f ca="1">IF(COUNTIFS($CG$6:$CG$53,CG8,$BC$6:$BC$53,INDEX(T_Equipos[Grupo],MATCH(BD8,T_Equipos[NombreEquipo],0)))=1,"-","P."&amp;CG8&amp;" ("&amp;COUNTIFS($CG$6:$CG$53,CG8,$BC$6:$BC$53,INDEX(T_Equipos[Grupo],MATCH(BD8,T_Equipos[NombreEquipo],0)))&amp;")")</f>
        <v>-</v>
      </c>
      <c r="CI8" s="757" t="str">
        <f ca="1">IF($CH8="-","-",COUNTIFS(FGLocal,$BD8,Ganador,"Local",Part2Empate4V,$CH8)+COUNTIFS(FGVisitante,$BD8,Ganador,"Visitante",Part2Empate4L,$CH8))</f>
        <v>-</v>
      </c>
      <c r="CJ8" s="757" t="str">
        <f ca="1">IF($CH8="-","-",COUNTIFS(FGLocal,$BD8,Ganador,"Empate",Part2Empate4V,$CH8)+COUNTIFS(FGVisitante,$BD8,Ganador,"Empate",Part2Empate4L,$CH8))</f>
        <v>-</v>
      </c>
      <c r="CK8" s="757" t="str">
        <f ca="1">IF($CH8="-","-",COUNTIFS(FGLocal,$BD8,Ganador,"Visitante",Part2Empate4V,$CH8)+COUNTIFS(FGVisitante,$BD8,Ganador,"Local",Part2Empate4L,$CH8))</f>
        <v>-</v>
      </c>
      <c r="CL8" s="757" t="str">
        <f ca="1">IF($CH8="-","-",CI8*3+CJ8)</f>
        <v>-</v>
      </c>
      <c r="CM8" s="757">
        <f ca="1">CG8+COUNTIFS($CH$6:$CH$53,CH8,$CL$6:CL$53,"&gt;"&amp;CL8,$BC$6:$BC$53,INDEX(T_Equipos[Grupo],MATCH(BD8,T_Equipos[NombreEquipo],0)))</f>
        <v>3</v>
      </c>
      <c r="CN8" s="756" t="str">
        <f ca="1">IF(COUNTIFS($CM$6:$CM$53,CM8,$BC$6:$BC$53,INDEX(T_Equipos[Grupo],MATCH(BD8,T_Equipos[NombreEquipo],0)))=1,"-","P."&amp;CM8&amp;" ("&amp;COUNTIFS($CM$6:$CM$53,CM8,$BC$6:$BC$53,INDEX(T_Equipos[Grupo],MATCH(BD8,T_Equipos[NombreEquipo],0)))&amp;")")</f>
        <v>-</v>
      </c>
      <c r="CO8" s="757" t="str">
        <f ca="1">IF($CN8="-","-",SUMIFS(FG_GolesLocal,FGLocal,$BD8,Part2Empate5V,$CN8)+SUMIFS(FG_GolesVisitante,FGVisitante,$BD8,Part2Empate5L,$CN8))</f>
        <v>-</v>
      </c>
      <c r="CP8" s="757" t="str">
        <f ca="1">IF($CN8="-","-",SUMIFS(FG_GolesVisitante,FGLocal,$BD8,Part2Empate5V,$CN8)+SUMIFS(FG_GolesLocal,FGVisitante,$BD8,Part2Empate5L,$CN8))</f>
        <v>-</v>
      </c>
      <c r="CQ8" s="757" t="str">
        <f ca="1">IF($CN8="-","-",CO8-CP8)</f>
        <v>-</v>
      </c>
      <c r="CR8" s="757">
        <f ca="1">CM8+COUNTIFS($CN$6:$CN$53,CN8,$CQ$6:CQ$53,"&gt;"&amp;CQ8,$BC$6:$BC$53,INDEX(T_Equipos[Grupo],MATCH(BD8,T_Equipos[NombreEquipo],0)))</f>
        <v>3</v>
      </c>
      <c r="CS8" s="756" t="str">
        <f ca="1">IF(COUNTIFS($CR$6:$CR$53,CR8,$BC$6:$BC$53,INDEX(T_Equipos[Grupo],MATCH(BD8,T_Equipos[NombreEquipo],0)))=1,"-","P."&amp;CR8&amp;" ("&amp;COUNTIFS($CR$6:$CR$53,CR8,$BC$6:$BC$53,INDEX(T_Equipos[Grupo],MATCH(BD8,T_Equipos[NombreEquipo],0)))&amp;")")</f>
        <v>-</v>
      </c>
      <c r="CT8" s="757" t="str">
        <f ca="1">IF($CS8="-","-",SUMIFS(FG_GolesLocal,FGLocal,$BD8,Part2Empate6V,$CS8)+SUMIFS(FG_GolesVisitante,FGVisitante,$BD8,Part2Empate6L,$CS8))</f>
        <v>-</v>
      </c>
      <c r="CU8" s="757">
        <f ca="1">CR8+COUNTIFS($CS$6:$CS$53,CS8,$CT$6:CT$53,"&gt;"&amp;CT8,$BC$6:$BC$53,INDEX(T_Equipos[Grupo],MATCH(BD8,T_Equipos[NombreEquipo],0)))</f>
        <v>3</v>
      </c>
      <c r="CV8" s="756" t="str">
        <f ca="1">IF(COUNTIFS($CU$6:$CU$53,CU8,$BC$6:$BC$53,INDEX(T_Equipos[Grupo],MATCH(BD8,T_Equipos[NombreEquipo],0)))=1,"-","P."&amp;CU8&amp;" ("&amp;COUNTIFS($CU$6:$CU$53,CU8,$BC$6:$BC$53,INDEX(T_Equipos[Grupo],MATCH(BD8,T_Equipos[NombreEquipo],0)))&amp;")")</f>
        <v>-</v>
      </c>
      <c r="CW8" s="756" t="str">
        <f t="shared" ca="1" si="30"/>
        <v>-</v>
      </c>
      <c r="CX8" s="756">
        <f ca="1">CU8+COUNTIFS($CV$6:$CV$53,CV8,$CW$6:CW$53,"&gt;"&amp;CW8,$BC$6:$BC$53,INDEX(T_Equipos[Grupo],MATCH(BD8,T_Equipos[NombreEquipo],0)))</f>
        <v>3</v>
      </c>
      <c r="CY8" s="756" t="str">
        <f ca="1">IF(COUNTIFS($CX$6:$CX$53,CX8,$BC$6:$BC$53,INDEX(T_Equipos[Grupo],MATCH(BD8,T_Equipos[NombreEquipo],0)))=1,"-","P."&amp;CX8&amp;" ("&amp;COUNTIFS($CX$6:$CX$53,CX8,$BC$6:$BC$53,INDEX(T_Equipos[Grupo],MATCH(BD8,T_Equipos[NombreEquipo],0)))&amp;")")</f>
        <v>-</v>
      </c>
      <c r="CZ8" s="756" t="str">
        <f t="shared" ca="1" si="31"/>
        <v>-</v>
      </c>
      <c r="DA8" s="757">
        <f ca="1">CX8+COUNTIFS($CY$6:$CY$53,CY8,$CZ$6:CZ$53,"&gt;"&amp;CZ8,$BC$6:$BC$53,INDEX(T_Equipos[Grupo],MATCH(BD8,T_Equipos[NombreEquipo],0)))</f>
        <v>3</v>
      </c>
      <c r="DB8" s="756" t="str">
        <f ca="1">IF(COUNTIFS($DA$6:$DA$53,DA8,$BC$6:$BC$53,INDEX(T_Equipos[Grupo],MATCH(BD8,T_Equipos[NombreEquipo],0)))=1,"-","P."&amp;DA8&amp;" ("&amp;COUNTIFS($DA$6:$DA$53,DA8,$BC$6:$BC$53,INDEX(T_Equipos[Grupo],MATCH(BD8,T_Equipos[NombreEquipo],0)))&amp;")")</f>
        <v>-</v>
      </c>
      <c r="DC8" s="755" t="str">
        <f ca="1">IF(DB8="-","-",COUNTIFS(T_Equipos[Rank],"&lt;"&amp;INDEX(T_Equipos[Rank],MATCH(BD8,T_Equipos[NombreEquipo],0)),$BC$6:$BC$53,INDEX(T_Equipos[Grupo],MATCH(BD8,T_Equipos[NombreEquipo],0)))+1)</f>
        <v>-</v>
      </c>
      <c r="DD8" s="755">
        <f ca="1">DA8+COUNTIFS($DB$6:$DB$53,DB8,$DC$6:DC$53,"&lt;"&amp;DC8,$BC$6:$BC$53,INDEX(T_Equipos[Grupo],MATCH(BD8,T_Equipos[NombreEquipo],0)))</f>
        <v>3</v>
      </c>
      <c r="DE8" s="755"/>
      <c r="DF8" s="755">
        <f t="shared" ca="1" si="32"/>
        <v>3</v>
      </c>
      <c r="DG8" s="755" t="str">
        <f ca="1">IF(DB8="-","-",COUNTIFS(DF$6:DF$53,"&lt;"&amp;DF8,$BC$6:$BC$53,INDEX(T_Equipos[Grupo],MATCH(BD8,T_Equipos[NombreEquipo],0))))</f>
        <v>-</v>
      </c>
      <c r="DH8" s="755">
        <f ca="1">DA8+COUNTIFS(DB$6:DB$53,DB8,DG$6:DG$53,"&lt;"&amp;DG8,$BC$6:$BC$53,INDEX(T_Equipos[Grupo],MATCH(BD8,T_Equipos[NombreEquipo],0)))</f>
        <v>3</v>
      </c>
      <c r="DI8" s="743"/>
      <c r="DJ8" s="743">
        <f ca="1">INDEX($DA$6:$DA$53,MATCH($DQ8,$BD$6:$BD$53,0))</f>
        <v>3</v>
      </c>
      <c r="DK8" s="743">
        <f t="shared" ca="1" si="24"/>
        <v>12</v>
      </c>
      <c r="DL8" s="743">
        <f t="shared" ca="1" si="33"/>
        <v>1</v>
      </c>
      <c r="DM8" s="737" t="str">
        <f t="shared" ca="1" si="34"/>
        <v>3.1</v>
      </c>
      <c r="DN8" s="743" cm="1">
        <f t="array" aca="1" ref="DN8" ca="1">OFFSET(Horarios!$P$3,DJ8-1,0,DL8,1)</f>
        <v>3</v>
      </c>
      <c r="DO8" s="743"/>
      <c r="DP8" s="743" t="s">
        <v>89</v>
      </c>
      <c r="DQ8" s="743" t="str">
        <f t="shared" ca="1" si="35"/>
        <v>South Korea</v>
      </c>
      <c r="DR8" s="743"/>
      <c r="DS8" s="743"/>
      <c r="DT8" s="743" t="str">
        <f t="shared" ca="1" si="15"/>
        <v>Czech Republic-Mexico</v>
      </c>
      <c r="DU8" s="743"/>
      <c r="DV8" s="743"/>
      <c r="DW8" s="8"/>
    </row>
    <row r="9" spans="1:127" ht="18" customHeight="1" thickBot="1">
      <c r="A9" s="738"/>
      <c r="B9" s="741"/>
      <c r="C9" s="738"/>
      <c r="D9" s="743" t="str">
        <f t="shared" si="0"/>
        <v>Local</v>
      </c>
      <c r="E9" s="743" t="str">
        <f t="shared" ca="1" si="1"/>
        <v>-</v>
      </c>
      <c r="F9" s="743" t="str">
        <f t="shared" ca="1" si="2"/>
        <v>-</v>
      </c>
      <c r="G9" s="743"/>
      <c r="H9" s="743" t="str">
        <f t="shared" ca="1" si="3"/>
        <v>-</v>
      </c>
      <c r="I9" s="743" t="str">
        <f t="shared" ca="1" si="4"/>
        <v>-</v>
      </c>
      <c r="J9" s="743"/>
      <c r="K9" s="743" t="str">
        <f t="shared" ca="1" si="5"/>
        <v>-</v>
      </c>
      <c r="L9" s="743" t="str">
        <f t="shared" ca="1" si="6"/>
        <v>-</v>
      </c>
      <c r="M9" s="743"/>
      <c r="N9" s="743" t="str">
        <f t="shared" ca="1" si="7"/>
        <v>-</v>
      </c>
      <c r="O9" s="743" t="str">
        <f t="shared" ca="1" si="8"/>
        <v>-</v>
      </c>
      <c r="P9" s="743"/>
      <c r="Q9" s="743" t="str">
        <f t="shared" ca="1" si="9"/>
        <v>-</v>
      </c>
      <c r="R9" s="743" t="str">
        <f t="shared" ca="1" si="10"/>
        <v>-</v>
      </c>
      <c r="S9" s="743"/>
      <c r="T9" s="743" t="str">
        <f t="shared" ca="1" si="11"/>
        <v>-</v>
      </c>
      <c r="U9" s="743" t="str">
        <f t="shared" ca="1" si="12"/>
        <v>-</v>
      </c>
      <c r="V9" s="172"/>
      <c r="W9" s="801"/>
      <c r="X9" s="228">
        <f ca="1">Horarios!C9</f>
        <v>46198.125</v>
      </c>
      <c r="Y9" s="229">
        <f ca="1">Horarios!C9</f>
        <v>46198.125</v>
      </c>
      <c r="Z9" s="230" t="str">
        <f>$Z$8</f>
        <v>R3</v>
      </c>
      <c r="AA9" s="231" t="str">
        <f ca="1">A6</f>
        <v>South Africa</v>
      </c>
      <c r="AB9" s="481" t="e" cm="1" vm="2">
        <f t="array" aca="1" ref="AB9" ca="1">Ver_flag_local</f>
        <v>#VALUE!</v>
      </c>
      <c r="AC9" s="232">
        <v>1</v>
      </c>
      <c r="AD9" s="233">
        <v>0</v>
      </c>
      <c r="AE9" s="484" t="e" cm="1" vm="3">
        <f t="array" aca="1" ref="AE9" ca="1">Ver_flag_visit</f>
        <v>#VALUE!</v>
      </c>
      <c r="AF9" s="234" t="str">
        <f ca="1">A7</f>
        <v>South Korea</v>
      </c>
      <c r="AG9" s="413">
        <f t="shared" si="13"/>
        <v>1</v>
      </c>
      <c r="AH9" s="196">
        <v>54</v>
      </c>
      <c r="AI9" s="19" t="str">
        <f>AJ9&amp;$B$4</f>
        <v>4A</v>
      </c>
      <c r="AJ9" s="235">
        <v>4</v>
      </c>
      <c r="AK9" s="492" t="e" cm="1" vm="4">
        <f t="array" aca="1" ref="AK9" ca="1">Ver_flag_visit</f>
        <v>#VALUE!</v>
      </c>
      <c r="AL9" s="236" t="str">
        <f ca="1">IFERROR(INDEX($BD$6:$BD$53,MATCH(AI9,$BN$6:$BN$53,0)),"")</f>
        <v>Czech Republic</v>
      </c>
      <c r="AM9" s="237">
        <f t="shared" ca="1" si="16"/>
        <v>1</v>
      </c>
      <c r="AN9" s="238">
        <f t="shared" ca="1" si="16"/>
        <v>3</v>
      </c>
      <c r="AO9" s="238">
        <f t="shared" ca="1" si="16"/>
        <v>0</v>
      </c>
      <c r="AP9" s="238">
        <f t="shared" ca="1" si="16"/>
        <v>1</v>
      </c>
      <c r="AQ9" s="238">
        <f t="shared" ca="1" si="16"/>
        <v>2</v>
      </c>
      <c r="AR9" s="238">
        <f t="shared" ca="1" si="16"/>
        <v>2</v>
      </c>
      <c r="AS9" s="238">
        <f t="shared" ca="1" si="16"/>
        <v>6</v>
      </c>
      <c r="AT9" s="239">
        <f t="shared" ca="1" si="16"/>
        <v>-4</v>
      </c>
      <c r="AU9" s="420">
        <f ca="1">INDEX($DL$6:$DL$53,MATCH(AI9,$DP$6:$DP$53,0))</f>
        <v>1</v>
      </c>
      <c r="AV9" s="217" t="str">
        <f ca="1">INDEX($BD$6:$BD$53,MATCH(AI9,$BM$6:$BM$53,0))</f>
        <v>Czech Republic</v>
      </c>
      <c r="AW9" s="427"/>
      <c r="AX9" s="218"/>
      <c r="AY9" s="240" t="str">
        <f ca="1">+A8</f>
        <v>Czech Republic</v>
      </c>
      <c r="AZ9" s="241"/>
      <c r="BA9" s="175"/>
      <c r="BB9" s="743"/>
      <c r="BC9" s="755" t="str">
        <f ca="1">+INDEX(T_Equipos[Grupo],MATCH(WORLDCUP!BD9,T_Equipos[NombreEquipo],0))</f>
        <v>A</v>
      </c>
      <c r="BD9" s="743" t="str">
        <f ca="1">+Equipos!B5</f>
        <v>Czech Republic</v>
      </c>
      <c r="BE9" s="747">
        <f t="shared" ca="1" si="25"/>
        <v>1</v>
      </c>
      <c r="BF9" s="747">
        <f t="shared" ca="1" si="26"/>
        <v>3</v>
      </c>
      <c r="BG9" s="747">
        <f t="shared" ca="1" si="17"/>
        <v>0</v>
      </c>
      <c r="BH9" s="747">
        <f t="shared" ca="1" si="18"/>
        <v>1</v>
      </c>
      <c r="BI9" s="747">
        <f t="shared" ca="1" si="19"/>
        <v>2</v>
      </c>
      <c r="BJ9" s="747">
        <f t="shared" ca="1" si="20"/>
        <v>2</v>
      </c>
      <c r="BK9" s="747">
        <f t="shared" ca="1" si="21"/>
        <v>6</v>
      </c>
      <c r="BL9" s="747">
        <f t="shared" ca="1" si="27"/>
        <v>-4</v>
      </c>
      <c r="BM9" s="747" t="str">
        <f t="shared" ca="1" si="22"/>
        <v>4A</v>
      </c>
      <c r="BN9" s="747" t="str">
        <f t="shared" ca="1" si="23"/>
        <v>4A</v>
      </c>
      <c r="BO9" s="756">
        <f t="shared" ca="1" si="28"/>
        <v>0</v>
      </c>
      <c r="BP9" s="756">
        <f ca="1">COUNTIFS($BO$6:$BO$53,"&gt;"&amp;BO9,$BC$6:$BC$53,INDEX(T_Equipos[Grupo],MATCH(BD9,T_Equipos[NombreEquipo],0)))+1</f>
        <v>1</v>
      </c>
      <c r="BQ9" s="756" t="str">
        <f ca="1">IF(COUNTIFS($BP$6:$BP$53,BP9,$BC$6:$BC$53,INDEX(T_Equipos[Grupo],MATCH(BD9,T_Equipos[NombreEquipo],0)))=1,"-","P."&amp;BP9&amp;" ("&amp;COUNTIFS($BP$6:$BP$53,BP9,$BC$6:$BC$53,INDEX(T_Equipos[Grupo],MATCH(BD9,T_Equipos[NombreEquipo],0)))&amp;")")</f>
        <v>P.1 (4)</v>
      </c>
      <c r="BR9" s="756">
        <f t="shared" ca="1" si="29"/>
        <v>1</v>
      </c>
      <c r="BS9" s="756">
        <f ca="1">BP9+COUNTIFS($BQ$6:$BQ$53,BQ9,$BR$6:BR$53,"&gt;"&amp;BR9,$BC$6:$BC$53,INDEX(T_Equipos[Grupo],MATCH(BD9,T_Equipos[NombreEquipo],0)))</f>
        <v>4</v>
      </c>
      <c r="BT9" s="756" t="str">
        <f ca="1">IF(COUNTIFS($BS$6:$BS$53,BS9,$BC$6:$BC$53,INDEX(T_Equipos[Grupo],MATCH(BD9,T_Equipos[NombreEquipo],0)))=1,"-","P."&amp;BS9&amp;" ("&amp;COUNTIFS($BS$6:$BS$53,BS9,$BC$6:$BC$53,INDEX(T_Equipos[Grupo],MATCH(BD9,T_Equipos[NombreEquipo],0)))&amp;")")</f>
        <v>-</v>
      </c>
      <c r="BU9" s="757" t="str">
        <f ca="1">IF($BT9="-","-",COUNTIFS(FGLocal,$BD9,Ganador,"Local",Part1Empate1V,$BT9)+COUNTIFS(FGVisitante,$BD9,Ganador,"Visitante",Part1Empate1L,$BT9))</f>
        <v>-</v>
      </c>
      <c r="BV9" s="757" t="str">
        <f ca="1">IF($BT9="-","-",COUNTIFS(FGLocal,$BD9,Ganador,"Empate",Part1Empate1V,$BT9)+COUNTIFS(FGVisitante,$BD9,Ganador,"Empate",Part1Empate1L,$BT9))</f>
        <v>-</v>
      </c>
      <c r="BW9" s="757" t="str">
        <f ca="1">IF($BT9="-","-",COUNTIFS(FGLocal,$BD9,Ganador,"Visitante",Part1Empate1V,$BT9)+COUNTIFS(FGVisitante,$BD9,Ganador,"Local",Part1Empate1L,$BT9))</f>
        <v>-</v>
      </c>
      <c r="BX9" s="757" t="str">
        <f ca="1">IF($BT9="-","-",BU9*3+BV9)</f>
        <v>-</v>
      </c>
      <c r="BY9" s="757">
        <f ca="1">BS9+COUNTIFS($BT$6:$BT$53,BT9,$BX$6:BX$53,"&gt;"&amp;BX9,$BC$6:$BC$53,INDEX(T_Equipos[Grupo],MATCH(BD9,T_Equipos[NombreEquipo],0)))</f>
        <v>4</v>
      </c>
      <c r="BZ9" s="756" t="str">
        <f ca="1">IF(COUNTIFS($BY$6:$BY$53,BY9,$BC$6:$BC$53,INDEX(T_Equipos[Grupo],MATCH(BD9,T_Equipos[NombreEquipo],0)))=1,"-","P."&amp;BY9&amp;" ("&amp;COUNTIFS($BY$6:$BY$53,BY9,$BC$6:$BC$53,INDEX(T_Equipos[Grupo],MATCH(BD9,T_Equipos[NombreEquipo],0)))&amp;")")</f>
        <v>-</v>
      </c>
      <c r="CA9" s="757" t="str">
        <f ca="1">IF($BZ9="-","-",SUMIFS(FG_GolesLocal,FGLocal,$BD9,Part1Empate2V,$BZ9)+SUMIFS(FG_GolesVisitante,FGVisitante,$BD9,Part1Empate2L,$BZ9))</f>
        <v>-</v>
      </c>
      <c r="CB9" s="757" t="str">
        <f ca="1">IF($BZ9="-","-",SUMIFS(FG_GolesVisitante,FGLocal,$BD9,Part1Empate2V,$BZ9)+SUMIFS(FG_GolesLocal,FGVisitante,$BD9,Part1Empate2L,$BZ9))</f>
        <v>-</v>
      </c>
      <c r="CC9" s="757" t="str">
        <f ca="1">IF($BZ9="-","-",CA9-CB9)</f>
        <v>-</v>
      </c>
      <c r="CD9" s="757">
        <f ca="1">BY9+COUNTIFS($BZ$6:$BZ$53,BZ9,$CC$6:CC$53,"&gt;"&amp;CC9,$BC$6:$BC$53,INDEX(T_Equipos[Grupo],MATCH(BD9,T_Equipos[NombreEquipo],0)))</f>
        <v>4</v>
      </c>
      <c r="CE9" s="756" t="str">
        <f ca="1">IF(COUNTIFS($CD$6:$CD$53,CD9,$BC$6:$BC$53,INDEX(T_Equipos[Grupo],MATCH(BD9,T_Equipos[NombreEquipo],0)))=1,"-","P."&amp;CD9&amp;" ("&amp;COUNTIFS($CD$6:$CD$53,CD9,$BC$6:$BC$53,INDEX(T_Equipos[Grupo],MATCH(BD9,T_Equipos[NombreEquipo],0)))&amp;")")</f>
        <v>-</v>
      </c>
      <c r="CF9" s="757" t="str">
        <f ca="1">IF($CE9="-","-",SUMIFS(FG_GolesLocal,FGLocal,$BD9,Part1Empate3V,$CE9)+SUMIFS(FG_GolesVisitante,FGVisitante,$BD9,Part1Empate3L,$CE9))</f>
        <v>-</v>
      </c>
      <c r="CG9" s="757">
        <f ca="1">CD9+COUNTIFS($CE$6:$CE$53,CE9,$CF$6:CF$53,"&gt;"&amp;CF9,$BC$6:$BC$53,INDEX(T_Equipos[Grupo],MATCH(BD9,T_Equipos[NombreEquipo],0)))</f>
        <v>4</v>
      </c>
      <c r="CH9" s="756" t="str">
        <f ca="1">IF(COUNTIFS($CG$6:$CG$53,CG9,$BC$6:$BC$53,INDEX(T_Equipos[Grupo],MATCH(BD9,T_Equipos[NombreEquipo],0)))=1,"-","P."&amp;CG9&amp;" ("&amp;COUNTIFS($CG$6:$CG$53,CG9,$BC$6:$BC$53,INDEX(T_Equipos[Grupo],MATCH(BD9,T_Equipos[NombreEquipo],0)))&amp;")")</f>
        <v>-</v>
      </c>
      <c r="CI9" s="757" t="str">
        <f ca="1">IF($CH9="-","-",COUNTIFS(FGLocal,$BD9,Ganador,"Local",Part2Empate4V,$CH9)+COUNTIFS(FGVisitante,$BD9,Ganador,"Visitante",Part2Empate4L,$CH9))</f>
        <v>-</v>
      </c>
      <c r="CJ9" s="757" t="str">
        <f ca="1">IF($CH9="-","-",COUNTIFS(FGLocal,$BD9,Ganador,"Empate",Part2Empate4V,$CH9)+COUNTIFS(FGVisitante,$BD9,Ganador,"Empate",Part2Empate4L,$CH9))</f>
        <v>-</v>
      </c>
      <c r="CK9" s="757" t="str">
        <f ca="1">IF($CH9="-","-",COUNTIFS(FGLocal,$BD9,Ganador,"Visitante",Part2Empate4V,$CH9)+COUNTIFS(FGVisitante,$BD9,Ganador,"Local",Part2Empate4L,$CH9))</f>
        <v>-</v>
      </c>
      <c r="CL9" s="757" t="str">
        <f ca="1">IF($CH9="-","-",CI9*3+CJ9)</f>
        <v>-</v>
      </c>
      <c r="CM9" s="757">
        <f ca="1">CG9+COUNTIFS($CH$6:$CH$53,CH9,$CL$6:CL$53,"&gt;"&amp;CL9,$BC$6:$BC$53,INDEX(T_Equipos[Grupo],MATCH(BD9,T_Equipos[NombreEquipo],0)))</f>
        <v>4</v>
      </c>
      <c r="CN9" s="756" t="str">
        <f ca="1">IF(COUNTIFS($CM$6:$CM$53,CM9,$BC$6:$BC$53,INDEX(T_Equipos[Grupo],MATCH(BD9,T_Equipos[NombreEquipo],0)))=1,"-","P."&amp;CM9&amp;" ("&amp;COUNTIFS($CM$6:$CM$53,CM9,$BC$6:$BC$53,INDEX(T_Equipos[Grupo],MATCH(BD9,T_Equipos[NombreEquipo],0)))&amp;")")</f>
        <v>-</v>
      </c>
      <c r="CO9" s="757" t="str">
        <f ca="1">IF($CN9="-","-",SUMIFS(FG_GolesLocal,FGLocal,$BD9,Part2Empate5V,$CN9)+SUMIFS(FG_GolesVisitante,FGVisitante,$BD9,Part2Empate5L,$CN9))</f>
        <v>-</v>
      </c>
      <c r="CP9" s="757" t="str">
        <f ca="1">IF($CN9="-","-",SUMIFS(FG_GolesVisitante,FGLocal,$BD9,Part2Empate5V,$CN9)+SUMIFS(FG_GolesLocal,FGVisitante,$BD9,Part2Empate5L,$CN9))</f>
        <v>-</v>
      </c>
      <c r="CQ9" s="757" t="str">
        <f ca="1">IF($CN9="-","-",CO9-CP9)</f>
        <v>-</v>
      </c>
      <c r="CR9" s="757">
        <f ca="1">CM9+COUNTIFS($CN$6:$CN$53,CN9,$CQ$6:CQ$53,"&gt;"&amp;CQ9,$BC$6:$BC$53,INDEX(T_Equipos[Grupo],MATCH(BD9,T_Equipos[NombreEquipo],0)))</f>
        <v>4</v>
      </c>
      <c r="CS9" s="756" t="str">
        <f ca="1">IF(COUNTIFS($CR$6:$CR$53,CR9,$BC$6:$BC$53,INDEX(T_Equipos[Grupo],MATCH(BD9,T_Equipos[NombreEquipo],0)))=1,"-","P."&amp;CR9&amp;" ("&amp;COUNTIFS($CR$6:$CR$53,CR9,$BC$6:$BC$53,INDEX(T_Equipos[Grupo],MATCH(BD9,T_Equipos[NombreEquipo],0)))&amp;")")</f>
        <v>-</v>
      </c>
      <c r="CT9" s="757" t="str">
        <f ca="1">IF($CS9="-","-",SUMIFS(FG_GolesLocal,FGLocal,$BD9,Part2Empate6V,$CS9)+SUMIFS(FG_GolesVisitante,FGVisitante,$BD9,Part2Empate6L,$CS9))</f>
        <v>-</v>
      </c>
      <c r="CU9" s="757">
        <f ca="1">CR9+COUNTIFS($CS$6:$CS$53,CS9,$CT$6:CT$53,"&gt;"&amp;CT9,$BC$6:$BC$53,INDEX(T_Equipos[Grupo],MATCH(BD9,T_Equipos[NombreEquipo],0)))</f>
        <v>4</v>
      </c>
      <c r="CV9" s="756" t="str">
        <f ca="1">IF(COUNTIFS($CU$6:$CU$53,CU9,$BC$6:$BC$53,INDEX(T_Equipos[Grupo],MATCH(BD9,T_Equipos[NombreEquipo],0)))=1,"-","P."&amp;CU9&amp;" ("&amp;COUNTIFS($CU$6:$CU$53,CU9,$BC$6:$BC$53,INDEX(T_Equipos[Grupo],MATCH(BD9,T_Equipos[NombreEquipo],0)))&amp;")")</f>
        <v>-</v>
      </c>
      <c r="CW9" s="756" t="str">
        <f t="shared" ca="1" si="30"/>
        <v>-</v>
      </c>
      <c r="CX9" s="756">
        <f ca="1">CU9+COUNTIFS($CV$6:$CV$53,CV9,$CW$6:CW$53,"&gt;"&amp;CW9,$BC$6:$BC$53,INDEX(T_Equipos[Grupo],MATCH(BD9,T_Equipos[NombreEquipo],0)))</f>
        <v>4</v>
      </c>
      <c r="CY9" s="756" t="str">
        <f ca="1">IF(COUNTIFS($CX$6:$CX$53,CX9,$BC$6:$BC$53,INDEX(T_Equipos[Grupo],MATCH(BD9,T_Equipos[NombreEquipo],0)))=1,"-","P."&amp;CX9&amp;" ("&amp;COUNTIFS($CX$6:$CX$53,CX9,$BC$6:$BC$53,INDEX(T_Equipos[Grupo],MATCH(BD9,T_Equipos[NombreEquipo],0)))&amp;")")</f>
        <v>-</v>
      </c>
      <c r="CZ9" s="756" t="str">
        <f t="shared" ca="1" si="31"/>
        <v>-</v>
      </c>
      <c r="DA9" s="757">
        <f ca="1">CX9+COUNTIFS($CY$6:$CY$53,CY9,$CZ$6:CZ$53,"&gt;"&amp;CZ9,$BC$6:$BC$53,INDEX(T_Equipos[Grupo],MATCH(BD9,T_Equipos[NombreEquipo],0)))</f>
        <v>4</v>
      </c>
      <c r="DB9" s="756" t="str">
        <f ca="1">IF(COUNTIFS($DA$6:$DA$53,DA9,$BC$6:$BC$53,INDEX(T_Equipos[Grupo],MATCH(BD9,T_Equipos[NombreEquipo],0)))=1,"-","P."&amp;DA9&amp;" ("&amp;COUNTIFS($DA$6:$DA$53,DA9,$BC$6:$BC$53,INDEX(T_Equipos[Grupo],MATCH(BD9,T_Equipos[NombreEquipo],0)))&amp;")")</f>
        <v>-</v>
      </c>
      <c r="DC9" s="755" t="str">
        <f ca="1">IF(DB9="-","-",COUNTIFS(T_Equipos[Rank],"&lt;"&amp;INDEX(T_Equipos[Rank],MATCH(BD9,T_Equipos[NombreEquipo],0)),$BC$6:$BC$53,INDEX(T_Equipos[Grupo],MATCH(BD9,T_Equipos[NombreEquipo],0)))+1)</f>
        <v>-</v>
      </c>
      <c r="DD9" s="755">
        <f ca="1">DA9+COUNTIFS($DB$6:$DB$53,DB9,$DC$6:DC$53,"&lt;"&amp;DC9,$BC$6:$BC$53,INDEX(T_Equipos[Grupo],MATCH(BD9,T_Equipos[NombreEquipo],0)))</f>
        <v>4</v>
      </c>
      <c r="DE9" s="755"/>
      <c r="DF9" s="755">
        <f t="shared" ca="1" si="32"/>
        <v>4</v>
      </c>
      <c r="DG9" s="755" t="str">
        <f ca="1">IF(DB9="-","-",COUNTIFS(DF$6:DF$53,"&lt;"&amp;DF9,$BC$6:$BC$53,INDEX(T_Equipos[Grupo],MATCH(BD9,T_Equipos[NombreEquipo],0))))</f>
        <v>-</v>
      </c>
      <c r="DH9" s="755">
        <f ca="1">DA9+COUNTIFS(DB$6:DB$53,DB9,DG$6:DG$53,"&lt;"&amp;DG9,$BC$6:$BC$53,INDEX(T_Equipos[Grupo],MATCH(BD9,T_Equipos[NombreEquipo],0)))</f>
        <v>4</v>
      </c>
      <c r="DI9" s="743"/>
      <c r="DJ9" s="743">
        <f ca="1">INDEX($DA$6:$DA$53,MATCH($DQ9,$BD$6:$BD$53,0))</f>
        <v>4</v>
      </c>
      <c r="DK9" s="743">
        <f t="shared" ca="1" si="24"/>
        <v>12</v>
      </c>
      <c r="DL9" s="743">
        <f t="shared" ca="1" si="33"/>
        <v>1</v>
      </c>
      <c r="DM9" s="737" t="str">
        <f t="shared" ca="1" si="34"/>
        <v>4.1</v>
      </c>
      <c r="DN9" s="743" cm="1">
        <f t="array" aca="1" ref="DN9" ca="1">OFFSET(Horarios!$P$3,DJ9-1,0,DL9,1)</f>
        <v>4</v>
      </c>
      <c r="DO9" s="743"/>
      <c r="DP9" s="743" t="s">
        <v>647</v>
      </c>
      <c r="DQ9" s="743" t="str">
        <f t="shared" ca="1" si="35"/>
        <v>Czech Republic</v>
      </c>
      <c r="DR9" s="743"/>
      <c r="DS9" s="743"/>
      <c r="DT9" s="743" t="str">
        <f t="shared" ca="1" si="15"/>
        <v>South Africa-South Korea</v>
      </c>
      <c r="DU9" s="743"/>
      <c r="DV9" s="743"/>
      <c r="DW9" s="8"/>
    </row>
    <row r="10" spans="1:127" ht="15" customHeight="1" thickBot="1">
      <c r="A10" s="738"/>
      <c r="B10" s="741"/>
      <c r="C10" s="738"/>
      <c r="D10" s="743"/>
      <c r="E10" s="743"/>
      <c r="F10" s="743"/>
      <c r="G10" s="743"/>
      <c r="H10" s="743"/>
      <c r="I10" s="743"/>
      <c r="J10" s="743"/>
      <c r="K10" s="743"/>
      <c r="L10" s="743"/>
      <c r="M10" s="743"/>
      <c r="N10" s="743"/>
      <c r="O10" s="743"/>
      <c r="P10" s="743"/>
      <c r="Q10" s="743"/>
      <c r="R10" s="743"/>
      <c r="S10" s="743"/>
      <c r="T10" s="743"/>
      <c r="U10" s="743"/>
      <c r="V10" s="172"/>
      <c r="W10" s="242"/>
      <c r="X10" s="243"/>
      <c r="Y10" s="242"/>
      <c r="Z10" s="244"/>
      <c r="AA10" s="245"/>
      <c r="AB10" s="482"/>
      <c r="AC10" s="247"/>
      <c r="AD10" s="247"/>
      <c r="AE10" s="482"/>
      <c r="AF10" s="248"/>
      <c r="AG10" s="413"/>
      <c r="AH10" s="196"/>
      <c r="AI10" s="19"/>
      <c r="AJ10" s="249"/>
      <c r="AK10" s="250"/>
      <c r="AL10" s="186"/>
      <c r="AM10" s="251"/>
      <c r="AN10" s="249"/>
      <c r="AO10" s="249"/>
      <c r="AP10" s="249"/>
      <c r="AQ10" s="249"/>
      <c r="AR10" s="249"/>
      <c r="AS10" s="249"/>
      <c r="AT10" s="249"/>
      <c r="AU10" s="420"/>
      <c r="AV10" s="216"/>
      <c r="AW10" s="428"/>
      <c r="AX10" s="218"/>
      <c r="AY10" s="242"/>
      <c r="AZ10" s="243"/>
      <c r="BA10" s="175"/>
      <c r="BB10" s="743"/>
      <c r="BC10" s="755" t="str">
        <f ca="1">+INDEX(T_Equipos[Grupo],MATCH(WORLDCUP!BD10,T_Equipos[NombreEquipo],0))</f>
        <v>B</v>
      </c>
      <c r="BD10" s="743" t="str">
        <f ca="1">+Equipos!B6</f>
        <v>Canada</v>
      </c>
      <c r="BE10" s="747">
        <f t="shared" ca="1" si="25"/>
        <v>4</v>
      </c>
      <c r="BF10" s="747">
        <f t="shared" ca="1" si="26"/>
        <v>3</v>
      </c>
      <c r="BG10" s="747">
        <f t="shared" ca="1" si="17"/>
        <v>1</v>
      </c>
      <c r="BH10" s="747">
        <f t="shared" ca="1" si="18"/>
        <v>1</v>
      </c>
      <c r="BI10" s="747">
        <f t="shared" ca="1" si="19"/>
        <v>1</v>
      </c>
      <c r="BJ10" s="747">
        <f t="shared" ca="1" si="20"/>
        <v>8</v>
      </c>
      <c r="BK10" s="747">
        <f t="shared" ca="1" si="21"/>
        <v>3</v>
      </c>
      <c r="BL10" s="747">
        <f t="shared" ca="1" si="27"/>
        <v>5</v>
      </c>
      <c r="BM10" s="747" t="str">
        <f t="shared" ca="1" si="22"/>
        <v>2B</v>
      </c>
      <c r="BN10" s="747" t="str">
        <f t="shared" ca="1" si="23"/>
        <v>2B</v>
      </c>
      <c r="BO10" s="757">
        <f t="shared" ca="1" si="28"/>
        <v>0</v>
      </c>
      <c r="BP10" s="756">
        <f ca="1">COUNTIFS($BO$6:$BO$53,"&gt;"&amp;BO10,$BC$6:$BC$53,INDEX(T_Equipos[Grupo],MATCH(BD10,T_Equipos[NombreEquipo],0)))+1</f>
        <v>1</v>
      </c>
      <c r="BQ10" s="756" t="str">
        <f ca="1">IF(COUNTIFS($BP$6:$BP$53,BP10,$BC$6:$BC$53,INDEX(T_Equipos[Grupo],MATCH(BD10,T_Equipos[NombreEquipo],0)))=1,"-","P."&amp;BP10&amp;" ("&amp;COUNTIFS($BP$6:$BP$53,BP10,$BC$6:$BC$53,INDEX(T_Equipos[Grupo],MATCH(BD10,T_Equipos[NombreEquipo],0)))&amp;")")</f>
        <v>P.1 (4)</v>
      </c>
      <c r="BR10" s="757">
        <f t="shared" ca="1" si="29"/>
        <v>4</v>
      </c>
      <c r="BS10" s="756">
        <f ca="1">BP10+COUNTIFS($BQ$6:$BQ$53,BQ10,$BR$6:BR$53,"&gt;"&amp;BR10,$BC$6:$BC$53,INDEX(T_Equipos[Grupo],MATCH(BD10,T_Equipos[NombreEquipo],0)))</f>
        <v>2</v>
      </c>
      <c r="BT10" s="756" t="str">
        <f ca="1">IF(COUNTIFS($BS$6:$BS$53,BS10,$BC$6:$BC$53,INDEX(T_Equipos[Grupo],MATCH(BD10,T_Equipos[NombreEquipo],0)))=1,"-","P."&amp;BS10&amp;" ("&amp;COUNTIFS($BS$6:$BS$53,BS10,$BC$6:$BC$53,INDEX(T_Equipos[Grupo],MATCH(BD10,T_Equipos[NombreEquipo],0)))&amp;")")</f>
        <v>P.2 (2)</v>
      </c>
      <c r="BU10" s="757">
        <f t="shared" ref="BU10:BU53" ca="1" si="36">IF($BT10="-","-",COUNTIFS(FGLocal,$BD10,Ganador,"Local",Part1Empate1V,$BT10)+COUNTIFS(FGVisitante,$BD10,Ganador,"Visitante",Part1Empate1L,$BT10))</f>
        <v>0</v>
      </c>
      <c r="BV10" s="757">
        <f t="shared" ref="BV10:BV53" ca="1" si="37">IF($BT10="-","-",COUNTIFS(FGLocal,$BD10,Ganador,"Empate",Part1Empate1V,$BT10)+COUNTIFS(FGVisitante,$BD10,Ganador,"Empate",Part1Empate1L,$BT10))</f>
        <v>1</v>
      </c>
      <c r="BW10" s="757">
        <f t="shared" ref="BW10:BW53" ca="1" si="38">IF($BT10="-","-",COUNTIFS(FGLocal,$BD10,Ganador,"Visitante",Part1Empate1V,$BT10)+COUNTIFS(FGVisitante,$BD10,Ganador,"Local",Part1Empate1L,$BT10))</f>
        <v>0</v>
      </c>
      <c r="BX10" s="757">
        <f t="shared" ref="BX10:BX53" ca="1" si="39">IF($BT10="-","-",BU10*3+BV10)</f>
        <v>1</v>
      </c>
      <c r="BY10" s="757">
        <f ca="1">BS10+COUNTIFS($BT$6:$BT$53,BT10,$BX$6:BX$53,"&gt;"&amp;BX10,$BC$6:$BC$53,INDEX(T_Equipos[Grupo],MATCH(BD10,T_Equipos[NombreEquipo],0)))</f>
        <v>2</v>
      </c>
      <c r="BZ10" s="756" t="str">
        <f ca="1">IF(COUNTIFS($BY$6:$BY$53,BY10,$BC$6:$BC$53,INDEX(T_Equipos[Grupo],MATCH(BD10,T_Equipos[NombreEquipo],0)))=1,"-","P."&amp;BY10&amp;" ("&amp;COUNTIFS($BY$6:$BY$53,BY10,$BC$6:$BC$53,INDEX(T_Equipos[Grupo],MATCH(BD10,T_Equipos[NombreEquipo],0)))&amp;")")</f>
        <v>P.2 (2)</v>
      </c>
      <c r="CA10" s="757">
        <f t="shared" ref="CA10:CA53" ca="1" si="40">IF($BZ10="-","-",SUMIFS(FG_GolesLocal,FGLocal,$BD10,Part1Empate2V,$BZ10)+SUMIFS(FG_GolesVisitante,FGVisitante,$BD10,Part1Empate2L,$BZ10))</f>
        <v>1</v>
      </c>
      <c r="CB10" s="757">
        <f t="shared" ref="CB10:CB53" ca="1" si="41">IF($BZ10="-","-",SUMIFS(FG_GolesVisitante,FGLocal,$BD10,Part1Empate2V,$BZ10)+SUMIFS(FG_GolesLocal,FGVisitante,$BD10,Part1Empate2L,$BZ10))</f>
        <v>1</v>
      </c>
      <c r="CC10" s="757">
        <f t="shared" ref="CC10:CC53" ca="1" si="42">IF($BZ10="-","-",CA10-CB10)</f>
        <v>0</v>
      </c>
      <c r="CD10" s="757">
        <f ca="1">BY10+COUNTIFS($BZ$6:$BZ$53,BZ10,$CC$6:CC$53,"&gt;"&amp;CC10,$BC$6:$BC$53,INDEX(T_Equipos[Grupo],MATCH(BD10,T_Equipos[NombreEquipo],0)))</f>
        <v>2</v>
      </c>
      <c r="CE10" s="756" t="str">
        <f ca="1">IF(COUNTIFS($CD$6:$CD$53,CD10,$BC$6:$BC$53,INDEX(T_Equipos[Grupo],MATCH(BD10,T_Equipos[NombreEquipo],0)))=1,"-","P."&amp;CD10&amp;" ("&amp;COUNTIFS($CD$6:$CD$53,CD10,$BC$6:$BC$53,INDEX(T_Equipos[Grupo],MATCH(BD10,T_Equipos[NombreEquipo],0)))&amp;")")</f>
        <v>P.2 (2)</v>
      </c>
      <c r="CF10" s="757">
        <f t="shared" ref="CF10:CF53" ca="1" si="43">IF($CE10="-","-",SUMIFS(FG_GolesLocal,FGLocal,$BD10,Part1Empate3V,$CE10)+SUMIFS(FG_GolesVisitante,FGVisitante,$BD10,Part1Empate3L,$CE10))</f>
        <v>1</v>
      </c>
      <c r="CG10" s="757">
        <f ca="1">CD10+COUNTIFS($CE$6:$CE$53,CE10,$CF$6:CF$53,"&gt;"&amp;CF10,$BC$6:$BC$53,INDEX(T_Equipos[Grupo],MATCH(BD10,T_Equipos[NombreEquipo],0)))</f>
        <v>2</v>
      </c>
      <c r="CH10" s="756" t="str">
        <f ca="1">IF(COUNTIFS($CG$6:$CG$53,CG10,$BC$6:$BC$53,INDEX(T_Equipos[Grupo],MATCH(BD10,T_Equipos[NombreEquipo],0)))=1,"-","P."&amp;CG10&amp;" ("&amp;COUNTIFS($CG$6:$CG$53,CG10,$BC$6:$BC$53,INDEX(T_Equipos[Grupo],MATCH(BD10,T_Equipos[NombreEquipo],0)))&amp;")")</f>
        <v>P.2 (2)</v>
      </c>
      <c r="CI10" s="757">
        <f t="shared" ref="CI10:CI53" ca="1" si="44">IF($CH10="-","-",COUNTIFS(FGLocal,$BD10,Ganador,"Local",Part2Empate4V,$CH10)+COUNTIFS(FGVisitante,$BD10,Ganador,"Visitante",Part2Empate4L,$CH10))</f>
        <v>0</v>
      </c>
      <c r="CJ10" s="757">
        <f t="shared" ref="CJ10:CJ53" ca="1" si="45">IF($CH10="-","-",COUNTIFS(FGLocal,$BD10,Ganador,"Empate",Part2Empate4V,$CH10)+COUNTIFS(FGVisitante,$BD10,Ganador,"Empate",Part2Empate4L,$CH10))</f>
        <v>1</v>
      </c>
      <c r="CK10" s="757">
        <f t="shared" ref="CK10:CK53" ca="1" si="46">IF($CH10="-","-",COUNTIFS(FGLocal,$BD10,Ganador,"Visitante",Part2Empate4V,$CH10)+COUNTIFS(FGVisitante,$BD10,Ganador,"Local",Part2Empate4L,$CH10))</f>
        <v>0</v>
      </c>
      <c r="CL10" s="757">
        <f t="shared" ref="CL10:CL53" ca="1" si="47">IF($CH10="-","-",CI10*3+CJ10)</f>
        <v>1</v>
      </c>
      <c r="CM10" s="757">
        <f ca="1">CG10+COUNTIFS($CH$6:$CH$53,CH10,$CL$6:CL$53,"&gt;"&amp;CL10,$BC$6:$BC$53,INDEX(T_Equipos[Grupo],MATCH(BD10,T_Equipos[NombreEquipo],0)))</f>
        <v>2</v>
      </c>
      <c r="CN10" s="756" t="str">
        <f ca="1">IF(COUNTIFS($CM$6:$CM$53,CM10,$BC$6:$BC$53,INDEX(T_Equipos[Grupo],MATCH(BD10,T_Equipos[NombreEquipo],0)))=1,"-","P."&amp;CM10&amp;" ("&amp;COUNTIFS($CM$6:$CM$53,CM10,$BC$6:$BC$53,INDEX(T_Equipos[Grupo],MATCH(BD10,T_Equipos[NombreEquipo],0)))&amp;")")</f>
        <v>P.2 (2)</v>
      </c>
      <c r="CO10" s="757">
        <f t="shared" ref="CO10:CO53" ca="1" si="48">IF($CN10="-","-",SUMIFS(FG_GolesLocal,FGLocal,$BD10,Part2Empate5V,$CN10)+SUMIFS(FG_GolesVisitante,FGVisitante,$BD10,Part2Empate5L,$CN10))</f>
        <v>1</v>
      </c>
      <c r="CP10" s="757">
        <f t="shared" ref="CP10:CP53" ca="1" si="49">IF($CN10="-","-",SUMIFS(FG_GolesVisitante,FGLocal,$BD10,Part2Empate5V,$CN10)+SUMIFS(FG_GolesLocal,FGVisitante,$BD10,Part2Empate5L,$CN10))</f>
        <v>1</v>
      </c>
      <c r="CQ10" s="757">
        <f t="shared" ref="CQ10:CQ53" ca="1" si="50">IF($CN10="-","-",CO10-CP10)</f>
        <v>0</v>
      </c>
      <c r="CR10" s="757">
        <f ca="1">CM10+COUNTIFS($CN$6:$CN$53,CN10,$CQ$6:CQ$53,"&gt;"&amp;CQ10,$BC$6:$BC$53,INDEX(T_Equipos[Grupo],MATCH(BD10,T_Equipos[NombreEquipo],0)))</f>
        <v>2</v>
      </c>
      <c r="CS10" s="756" t="str">
        <f ca="1">IF(COUNTIFS($CR$6:$CR$53,CR10,$BC$6:$BC$53,INDEX(T_Equipos[Grupo],MATCH(BD10,T_Equipos[NombreEquipo],0)))=1,"-","P."&amp;CR10&amp;" ("&amp;COUNTIFS($CR$6:$CR$53,CR10,$BC$6:$BC$53,INDEX(T_Equipos[Grupo],MATCH(BD10,T_Equipos[NombreEquipo],0)))&amp;")")</f>
        <v>P.2 (2)</v>
      </c>
      <c r="CT10" s="757">
        <f t="shared" ref="CT10:CT53" ca="1" si="51">IF($CS10="-","-",SUMIFS(FG_GolesLocal,FGLocal,$BD10,Part2Empate6V,$CS10)+SUMIFS(FG_GolesVisitante,FGVisitante,$BD10,Part2Empate6L,$CS10))</f>
        <v>1</v>
      </c>
      <c r="CU10" s="757">
        <f ca="1">CR10+COUNTIFS($CS$6:$CS$53,CS10,$CT$6:CT$53,"&gt;"&amp;CT10,$BC$6:$BC$53,INDEX(T_Equipos[Grupo],MATCH(BD10,T_Equipos[NombreEquipo],0)))</f>
        <v>2</v>
      </c>
      <c r="CV10" s="756" t="str">
        <f ca="1">IF(COUNTIFS($CU$6:$CU$53,CU10,$BC$6:$BC$53,INDEX(T_Equipos[Grupo],MATCH(BD10,T_Equipos[NombreEquipo],0)))=1,"-","P."&amp;CU10&amp;" ("&amp;COUNTIFS($CU$6:$CU$53,CU10,$BC$6:$BC$53,INDEX(T_Equipos[Grupo],MATCH(BD10,T_Equipos[NombreEquipo],0)))&amp;")")</f>
        <v>P.2 (2)</v>
      </c>
      <c r="CW10" s="756">
        <f t="shared" ca="1" si="30"/>
        <v>5</v>
      </c>
      <c r="CX10" s="756">
        <f ca="1">CU10+COUNTIFS($CV$6:$CV$53,CV10,$CW$6:CW$53,"&gt;"&amp;CW10,$BC$6:$BC$53,INDEX(T_Equipos[Grupo],MATCH(BD10,T_Equipos[NombreEquipo],0)))</f>
        <v>2</v>
      </c>
      <c r="CY10" s="756" t="str">
        <f ca="1">IF(COUNTIFS($CX$6:$CX$53,CX10,$BC$6:$BC$53,INDEX(T_Equipos[Grupo],MATCH(BD10,T_Equipos[NombreEquipo],0)))=1,"-","P."&amp;CX10&amp;" ("&amp;COUNTIFS($CX$6:$CX$53,CX10,$BC$6:$BC$53,INDEX(T_Equipos[Grupo],MATCH(BD10,T_Equipos[NombreEquipo],0)))&amp;")")</f>
        <v>-</v>
      </c>
      <c r="CZ10" s="756" t="str">
        <f t="shared" ca="1" si="31"/>
        <v>-</v>
      </c>
      <c r="DA10" s="757">
        <f ca="1">CX10+COUNTIFS($CY$6:$CY$53,CY10,$CZ$6:CZ$53,"&gt;"&amp;CZ10,$BC$6:$BC$53,INDEX(T_Equipos[Grupo],MATCH(BD10,T_Equipos[NombreEquipo],0)))</f>
        <v>2</v>
      </c>
      <c r="DB10" s="756" t="str">
        <f ca="1">IF(COUNTIFS($DA$6:$DA$53,DA10,$BC$6:$BC$53,INDEX(T_Equipos[Grupo],MATCH(BD10,T_Equipos[NombreEquipo],0)))=1,"-","P."&amp;DA10&amp;" ("&amp;COUNTIFS($DA$6:$DA$53,DA10,$BC$6:$BC$53,INDEX(T_Equipos[Grupo],MATCH(BD10,T_Equipos[NombreEquipo],0)))&amp;")")</f>
        <v>-</v>
      </c>
      <c r="DC10" s="755" t="str">
        <f ca="1">IF(DB10="-","-",COUNTIFS(T_Equipos[Rank],"&lt;"&amp;INDEX(T_Equipos[Rank],MATCH(BD10,T_Equipos[NombreEquipo],0)),$BC$6:$BC$53,INDEX(T_Equipos[Grupo],MATCH(BD10,T_Equipos[NombreEquipo],0)))+1)</f>
        <v>-</v>
      </c>
      <c r="DD10" s="755">
        <f ca="1">DA10+COUNTIFS($DB$6:$DB$53,DB10,$DC$6:DC$53,"&lt;"&amp;DC10,$BC$6:$BC$53,INDEX(T_Equipos[Grupo],MATCH(BD10,T_Equipos[NombreEquipo],0)))</f>
        <v>2</v>
      </c>
      <c r="DE10" s="755"/>
      <c r="DF10" s="755">
        <f t="shared" ref="DF10:DF53" ca="1" si="52">IF(OR(INDEX($AW$6:$AW$97,MATCH($BD10,$AV$6:$AV$97,0))="",DB10="-"),DD10,INDEX($AW$6:$AW$97,MATCH($BD10,$AV$6:$AV$97,0))+DD10/1000)</f>
        <v>2</v>
      </c>
      <c r="DG10" s="755" t="str">
        <f ca="1">IF(DB10="-","-",COUNTIFS(DF$6:DF$53,"&lt;"&amp;DF10,$BC$6:$BC$53,INDEX(T_Equipos[Grupo],MATCH(BD10,T_Equipos[NombreEquipo],0))))</f>
        <v>-</v>
      </c>
      <c r="DH10" s="755">
        <f ca="1">DA10+COUNTIFS(DB$6:DB$53,DB10,DG$6:DG$53,"&lt;"&amp;DG10,$BC$6:$BC$53,INDEX(T_Equipos[Grupo],MATCH(BD10,T_Equipos[NombreEquipo],0)))</f>
        <v>2</v>
      </c>
      <c r="DI10" s="743"/>
      <c r="DJ10" s="743">
        <f t="shared" ref="DJ10:DJ53" ca="1" si="53">INDEX($DA$6:$DA$53,MATCH($DQ10,$BD$6:$BD$53,0))</f>
        <v>1</v>
      </c>
      <c r="DK10" s="743">
        <f t="shared" ca="1" si="24"/>
        <v>12</v>
      </c>
      <c r="DL10" s="743">
        <f t="shared" ca="1" si="33"/>
        <v>1</v>
      </c>
      <c r="DM10" s="737" t="str">
        <f t="shared" ca="1" si="34"/>
        <v>1.1</v>
      </c>
      <c r="DN10" s="743" cm="1">
        <f t="array" aca="1" ref="DN10" ca="1">OFFSET(Horarios!$P$3,DJ10-1,0,DL10,1)</f>
        <v>1</v>
      </c>
      <c r="DO10" s="743"/>
      <c r="DP10" s="743" t="s">
        <v>648</v>
      </c>
      <c r="DQ10" s="743" t="str">
        <f t="shared" ca="1" si="35"/>
        <v>Switzerland</v>
      </c>
      <c r="DR10" s="743"/>
      <c r="DS10" s="743"/>
      <c r="DT10" s="743" t="str">
        <f t="shared" si="15"/>
        <v>-</v>
      </c>
      <c r="DU10" s="743"/>
      <c r="DV10" s="743"/>
      <c r="DW10" s="8"/>
    </row>
    <row r="11" spans="1:127" ht="16.149999999999999" customHeight="1" thickBot="1">
      <c r="A11" s="738"/>
      <c r="B11" s="741"/>
      <c r="C11" s="738"/>
      <c r="D11" s="738"/>
      <c r="E11" s="738"/>
      <c r="F11" s="738"/>
      <c r="G11" s="738"/>
      <c r="H11" s="738"/>
      <c r="I11" s="738"/>
      <c r="J11" s="738"/>
      <c r="K11" s="738"/>
      <c r="L11" s="738"/>
      <c r="M11" s="738"/>
      <c r="N11" s="743"/>
      <c r="O11" s="743"/>
      <c r="P11" s="743"/>
      <c r="Q11" s="743"/>
      <c r="R11" s="743"/>
      <c r="S11" s="743"/>
      <c r="T11" s="743"/>
      <c r="U11" s="743"/>
      <c r="V11" s="172"/>
      <c r="W11" s="179"/>
      <c r="X11" s="180" t="str">
        <f>X3</f>
        <v>Date</v>
      </c>
      <c r="Y11" s="180" t="str">
        <f>Y3</f>
        <v>Hour</v>
      </c>
      <c r="Z11" s="181" t="str">
        <f>Z3</f>
        <v>R</v>
      </c>
      <c r="AA11" s="182" t="str">
        <f>AA3</f>
        <v>Home</v>
      </c>
      <c r="AB11" s="181"/>
      <c r="AC11" s="181" t="str">
        <f>AC3</f>
        <v>Goal</v>
      </c>
      <c r="AD11" s="181" t="str">
        <f>AD3</f>
        <v>Goal</v>
      </c>
      <c r="AE11" s="181"/>
      <c r="AF11" s="184" t="str">
        <f>AF3</f>
        <v>Away</v>
      </c>
      <c r="AG11" s="414"/>
      <c r="AH11" s="196"/>
      <c r="AI11" s="18"/>
      <c r="AJ11" s="186"/>
      <c r="AK11" s="252"/>
      <c r="AL11" s="186"/>
      <c r="AM11" s="186"/>
      <c r="AN11" s="186"/>
      <c r="AO11" s="186"/>
      <c r="AP11" s="186"/>
      <c r="AQ11" s="186"/>
      <c r="AR11" s="186"/>
      <c r="AS11" s="186"/>
      <c r="AT11" s="186"/>
      <c r="AU11" s="421"/>
      <c r="AV11" s="22"/>
      <c r="AW11" s="429"/>
      <c r="AX11" s="253"/>
      <c r="AY11" s="242"/>
      <c r="AZ11" s="243"/>
      <c r="BA11" s="175"/>
      <c r="BB11" s="743"/>
      <c r="BC11" s="755" t="str">
        <f ca="1">+INDEX(T_Equipos[Grupo],MATCH(WORLDCUP!BD11,T_Equipos[NombreEquipo],0))</f>
        <v>B</v>
      </c>
      <c r="BD11" s="743" t="str">
        <f ca="1">+Equipos!B7</f>
        <v>Bosnia and Herzegovina</v>
      </c>
      <c r="BE11" s="747">
        <f t="shared" ca="1" si="25"/>
        <v>4</v>
      </c>
      <c r="BF11" s="747">
        <f t="shared" ca="1" si="26"/>
        <v>3</v>
      </c>
      <c r="BG11" s="747">
        <f t="shared" ca="1" si="17"/>
        <v>1</v>
      </c>
      <c r="BH11" s="747">
        <f t="shared" ca="1" si="18"/>
        <v>1</v>
      </c>
      <c r="BI11" s="747">
        <f t="shared" ca="1" si="19"/>
        <v>1</v>
      </c>
      <c r="BJ11" s="747">
        <f t="shared" ca="1" si="20"/>
        <v>5</v>
      </c>
      <c r="BK11" s="747">
        <f t="shared" ca="1" si="21"/>
        <v>6</v>
      </c>
      <c r="BL11" s="747">
        <f t="shared" ca="1" si="27"/>
        <v>-1</v>
      </c>
      <c r="BM11" s="747" t="str">
        <f t="shared" ca="1" si="22"/>
        <v>3B</v>
      </c>
      <c r="BN11" s="747" t="str">
        <f t="shared" ca="1" si="23"/>
        <v>3B</v>
      </c>
      <c r="BO11" s="757">
        <f t="shared" ca="1" si="28"/>
        <v>0</v>
      </c>
      <c r="BP11" s="756">
        <f ca="1">COUNTIFS($BO$6:$BO$53,"&gt;"&amp;BO11,$BC$6:$BC$53,INDEX(T_Equipos[Grupo],MATCH(BD11,T_Equipos[NombreEquipo],0)))+1</f>
        <v>1</v>
      </c>
      <c r="BQ11" s="756" t="str">
        <f ca="1">IF(COUNTIFS($BP$6:$BP$53,BP11,$BC$6:$BC$53,INDEX(T_Equipos[Grupo],MATCH(BD11,T_Equipos[NombreEquipo],0)))=1,"-","P."&amp;BP11&amp;" ("&amp;COUNTIFS($BP$6:$BP$53,BP11,$BC$6:$BC$53,INDEX(T_Equipos[Grupo],MATCH(BD11,T_Equipos[NombreEquipo],0)))&amp;")")</f>
        <v>P.1 (4)</v>
      </c>
      <c r="BR11" s="757">
        <f t="shared" ca="1" si="29"/>
        <v>4</v>
      </c>
      <c r="BS11" s="756">
        <f ca="1">BP11+COUNTIFS($BQ$6:$BQ$53,BQ11,$BR$6:BR$53,"&gt;"&amp;BR11,$BC$6:$BC$53,INDEX(T_Equipos[Grupo],MATCH(BD11,T_Equipos[NombreEquipo],0)))</f>
        <v>2</v>
      </c>
      <c r="BT11" s="756" t="str">
        <f ca="1">IF(COUNTIFS($BS$6:$BS$53,BS11,$BC$6:$BC$53,INDEX(T_Equipos[Grupo],MATCH(BD11,T_Equipos[NombreEquipo],0)))=1,"-","P."&amp;BS11&amp;" ("&amp;COUNTIFS($BS$6:$BS$53,BS11,$BC$6:$BC$53,INDEX(T_Equipos[Grupo],MATCH(BD11,T_Equipos[NombreEquipo],0)))&amp;")")</f>
        <v>P.2 (2)</v>
      </c>
      <c r="BU11" s="757">
        <f t="shared" ca="1" si="36"/>
        <v>0</v>
      </c>
      <c r="BV11" s="757">
        <f t="shared" ca="1" si="37"/>
        <v>1</v>
      </c>
      <c r="BW11" s="757">
        <f t="shared" ca="1" si="38"/>
        <v>0</v>
      </c>
      <c r="BX11" s="757">
        <f t="shared" ca="1" si="39"/>
        <v>1</v>
      </c>
      <c r="BY11" s="757">
        <f ca="1">BS11+COUNTIFS($BT$6:$BT$53,BT11,$BX$6:BX$53,"&gt;"&amp;BX11,$BC$6:$BC$53,INDEX(T_Equipos[Grupo],MATCH(BD11,T_Equipos[NombreEquipo],0)))</f>
        <v>2</v>
      </c>
      <c r="BZ11" s="756" t="str">
        <f ca="1">IF(COUNTIFS($BY$6:$BY$53,BY11,$BC$6:$BC$53,INDEX(T_Equipos[Grupo],MATCH(BD11,T_Equipos[NombreEquipo],0)))=1,"-","P."&amp;BY11&amp;" ("&amp;COUNTIFS($BY$6:$BY$53,BY11,$BC$6:$BC$53,INDEX(T_Equipos[Grupo],MATCH(BD11,T_Equipos[NombreEquipo],0)))&amp;")")</f>
        <v>P.2 (2)</v>
      </c>
      <c r="CA11" s="757">
        <f t="shared" ca="1" si="40"/>
        <v>1</v>
      </c>
      <c r="CB11" s="757">
        <f t="shared" ca="1" si="41"/>
        <v>1</v>
      </c>
      <c r="CC11" s="757">
        <f t="shared" ca="1" si="42"/>
        <v>0</v>
      </c>
      <c r="CD11" s="757">
        <f ca="1">BY11+COUNTIFS($BZ$6:$BZ$53,BZ11,$CC$6:CC$53,"&gt;"&amp;CC11,$BC$6:$BC$53,INDEX(T_Equipos[Grupo],MATCH(BD11,T_Equipos[NombreEquipo],0)))</f>
        <v>2</v>
      </c>
      <c r="CE11" s="756" t="str">
        <f ca="1">IF(COUNTIFS($CD$6:$CD$53,CD11,$BC$6:$BC$53,INDEX(T_Equipos[Grupo],MATCH(BD11,T_Equipos[NombreEquipo],0)))=1,"-","P."&amp;CD11&amp;" ("&amp;COUNTIFS($CD$6:$CD$53,CD11,$BC$6:$BC$53,INDEX(T_Equipos[Grupo],MATCH(BD11,T_Equipos[NombreEquipo],0)))&amp;")")</f>
        <v>P.2 (2)</v>
      </c>
      <c r="CF11" s="757">
        <f t="shared" ca="1" si="43"/>
        <v>1</v>
      </c>
      <c r="CG11" s="757">
        <f ca="1">CD11+COUNTIFS($CE$6:$CE$53,CE11,$CF$6:CF$53,"&gt;"&amp;CF11,$BC$6:$BC$53,INDEX(T_Equipos[Grupo],MATCH(BD11,T_Equipos[NombreEquipo],0)))</f>
        <v>2</v>
      </c>
      <c r="CH11" s="756" t="str">
        <f ca="1">IF(COUNTIFS($CG$6:$CG$53,CG11,$BC$6:$BC$53,INDEX(T_Equipos[Grupo],MATCH(BD11,T_Equipos[NombreEquipo],0)))=1,"-","P."&amp;CG11&amp;" ("&amp;COUNTIFS($CG$6:$CG$53,CG11,$BC$6:$BC$53,INDEX(T_Equipos[Grupo],MATCH(BD11,T_Equipos[NombreEquipo],0)))&amp;")")</f>
        <v>P.2 (2)</v>
      </c>
      <c r="CI11" s="757">
        <f t="shared" ca="1" si="44"/>
        <v>0</v>
      </c>
      <c r="CJ11" s="757">
        <f t="shared" ca="1" si="45"/>
        <v>1</v>
      </c>
      <c r="CK11" s="757">
        <f t="shared" ca="1" si="46"/>
        <v>0</v>
      </c>
      <c r="CL11" s="757">
        <f t="shared" ca="1" si="47"/>
        <v>1</v>
      </c>
      <c r="CM11" s="757">
        <f ca="1">CG11+COUNTIFS($CH$6:$CH$53,CH11,$CL$6:CL$53,"&gt;"&amp;CL11,$BC$6:$BC$53,INDEX(T_Equipos[Grupo],MATCH(BD11,T_Equipos[NombreEquipo],0)))</f>
        <v>2</v>
      </c>
      <c r="CN11" s="756" t="str">
        <f ca="1">IF(COUNTIFS($CM$6:$CM$53,CM11,$BC$6:$BC$53,INDEX(T_Equipos[Grupo],MATCH(BD11,T_Equipos[NombreEquipo],0)))=1,"-","P."&amp;CM11&amp;" ("&amp;COUNTIFS($CM$6:$CM$53,CM11,$BC$6:$BC$53,INDEX(T_Equipos[Grupo],MATCH(BD11,T_Equipos[NombreEquipo],0)))&amp;")")</f>
        <v>P.2 (2)</v>
      </c>
      <c r="CO11" s="757">
        <f t="shared" ca="1" si="48"/>
        <v>1</v>
      </c>
      <c r="CP11" s="757">
        <f t="shared" ca="1" si="49"/>
        <v>1</v>
      </c>
      <c r="CQ11" s="757">
        <f t="shared" ca="1" si="50"/>
        <v>0</v>
      </c>
      <c r="CR11" s="757">
        <f ca="1">CM11+COUNTIFS($CN$6:$CN$53,CN11,$CQ$6:CQ$53,"&gt;"&amp;CQ11,$BC$6:$BC$53,INDEX(T_Equipos[Grupo],MATCH(BD11,T_Equipos[NombreEquipo],0)))</f>
        <v>2</v>
      </c>
      <c r="CS11" s="756" t="str">
        <f ca="1">IF(COUNTIFS($CR$6:$CR$53,CR11,$BC$6:$BC$53,INDEX(T_Equipos[Grupo],MATCH(BD11,T_Equipos[NombreEquipo],0)))=1,"-","P."&amp;CR11&amp;" ("&amp;COUNTIFS($CR$6:$CR$53,CR11,$BC$6:$BC$53,INDEX(T_Equipos[Grupo],MATCH(BD11,T_Equipos[NombreEquipo],0)))&amp;")")</f>
        <v>P.2 (2)</v>
      </c>
      <c r="CT11" s="757">
        <f t="shared" ca="1" si="51"/>
        <v>1</v>
      </c>
      <c r="CU11" s="757">
        <f ca="1">CR11+COUNTIFS($CS$6:$CS$53,CS11,$CT$6:CT$53,"&gt;"&amp;CT11,$BC$6:$BC$53,INDEX(T_Equipos[Grupo],MATCH(BD11,T_Equipos[NombreEquipo],0)))</f>
        <v>2</v>
      </c>
      <c r="CV11" s="756" t="str">
        <f ca="1">IF(COUNTIFS($CU$6:$CU$53,CU11,$BC$6:$BC$53,INDEX(T_Equipos[Grupo],MATCH(BD11,T_Equipos[NombreEquipo],0)))=1,"-","P."&amp;CU11&amp;" ("&amp;COUNTIFS($CU$6:$CU$53,CU11,$BC$6:$BC$53,INDEX(T_Equipos[Grupo],MATCH(BD11,T_Equipos[NombreEquipo],0)))&amp;")")</f>
        <v>P.2 (2)</v>
      </c>
      <c r="CW11" s="756">
        <f t="shared" ca="1" si="30"/>
        <v>-1</v>
      </c>
      <c r="CX11" s="756">
        <f ca="1">CU11+COUNTIFS($CV$6:$CV$53,CV11,$CW$6:CW$53,"&gt;"&amp;CW11,$BC$6:$BC$53,INDEX(T_Equipos[Grupo],MATCH(BD11,T_Equipos[NombreEquipo],0)))</f>
        <v>3</v>
      </c>
      <c r="CY11" s="756" t="str">
        <f ca="1">IF(COUNTIFS($CX$6:$CX$53,CX11,$BC$6:$BC$53,INDEX(T_Equipos[Grupo],MATCH(BD11,T_Equipos[NombreEquipo],0)))=1,"-","P."&amp;CX11&amp;" ("&amp;COUNTIFS($CX$6:$CX$53,CX11,$BC$6:$BC$53,INDEX(T_Equipos[Grupo],MATCH(BD11,T_Equipos[NombreEquipo],0)))&amp;")")</f>
        <v>-</v>
      </c>
      <c r="CZ11" s="756" t="str">
        <f t="shared" ca="1" si="31"/>
        <v>-</v>
      </c>
      <c r="DA11" s="757">
        <f ca="1">CX11+COUNTIFS($CY$6:$CY$53,CY11,$CZ$6:CZ$53,"&gt;"&amp;CZ11,$BC$6:$BC$53,INDEX(T_Equipos[Grupo],MATCH(BD11,T_Equipos[NombreEquipo],0)))</f>
        <v>3</v>
      </c>
      <c r="DB11" s="756" t="str">
        <f ca="1">IF(COUNTIFS($DA$6:$DA$53,DA11,$BC$6:$BC$53,INDEX(T_Equipos[Grupo],MATCH(BD11,T_Equipos[NombreEquipo],0)))=1,"-","P."&amp;DA11&amp;" ("&amp;COUNTIFS($DA$6:$DA$53,DA11,$BC$6:$BC$53,INDEX(T_Equipos[Grupo],MATCH(BD11,T_Equipos[NombreEquipo],0)))&amp;")")</f>
        <v>-</v>
      </c>
      <c r="DC11" s="755" t="str">
        <f ca="1">IF(DB11="-","-",COUNTIFS(T_Equipos[Rank],"&lt;"&amp;INDEX(T_Equipos[Rank],MATCH(BD11,T_Equipos[NombreEquipo],0)),$BC$6:$BC$53,INDEX(T_Equipos[Grupo],MATCH(BD11,T_Equipos[NombreEquipo],0)))+1)</f>
        <v>-</v>
      </c>
      <c r="DD11" s="755">
        <f ca="1">DA11+COUNTIFS($DB$6:$DB$53,DB11,$DC$6:DC$53,"&lt;"&amp;DC11,$BC$6:$BC$53,INDEX(T_Equipos[Grupo],MATCH(BD11,T_Equipos[NombreEquipo],0)))</f>
        <v>3</v>
      </c>
      <c r="DE11" s="755"/>
      <c r="DF11" s="755">
        <f t="shared" ca="1" si="52"/>
        <v>3</v>
      </c>
      <c r="DG11" s="755" t="str">
        <f ca="1">IF(DB11="-","-",COUNTIFS(DF$6:DF$53,"&lt;"&amp;DF11,$BC$6:$BC$53,INDEX(T_Equipos[Grupo],MATCH(BD11,T_Equipos[NombreEquipo],0))))</f>
        <v>-</v>
      </c>
      <c r="DH11" s="755">
        <f ca="1">DA11+COUNTIFS(DB$6:DB$53,DB11,DG$6:DG$53,"&lt;"&amp;DG11,$BC$6:$BC$53,INDEX(T_Equipos[Grupo],MATCH(BD11,T_Equipos[NombreEquipo],0)))</f>
        <v>3</v>
      </c>
      <c r="DI11" s="743"/>
      <c r="DJ11" s="743">
        <f t="shared" ca="1" si="53"/>
        <v>2</v>
      </c>
      <c r="DK11" s="743">
        <f t="shared" ca="1" si="24"/>
        <v>12</v>
      </c>
      <c r="DL11" s="743">
        <f t="shared" ca="1" si="33"/>
        <v>1</v>
      </c>
      <c r="DM11" s="737" t="str">
        <f t="shared" ca="1" si="34"/>
        <v>2.1</v>
      </c>
      <c r="DN11" s="743" cm="1">
        <f t="array" aca="1" ref="DN11" ca="1">OFFSET(Horarios!$P$3,DJ11-1,0,DL11,1)</f>
        <v>2</v>
      </c>
      <c r="DO11" s="743"/>
      <c r="DP11" s="743" t="s">
        <v>649</v>
      </c>
      <c r="DQ11" s="743" t="str">
        <f t="shared" ca="1" si="35"/>
        <v>Canada</v>
      </c>
      <c r="DR11" s="743"/>
      <c r="DS11" s="743"/>
      <c r="DT11" s="743" t="str">
        <f t="shared" si="15"/>
        <v>Home-Away</v>
      </c>
      <c r="DU11" s="743"/>
      <c r="DV11" s="743"/>
      <c r="DW11" s="8"/>
    </row>
    <row r="12" spans="1:127" ht="15" customHeight="1" thickBot="1">
      <c r="A12" s="740" t="s">
        <v>30</v>
      </c>
      <c r="B12" s="741" t="s">
        <v>1</v>
      </c>
      <c r="C12" s="742">
        <f>COUNTIF(Equipos!$C$2:$C$49,WORLDCUP!B12)</f>
        <v>4</v>
      </c>
      <c r="D12" s="743" t="str">
        <f t="shared" ref="D12:D17" si="54">IF(OR(AC12="",AD12=""),"Pendiente",IF(AC12&gt;AD12,"Local",IF(AC12&lt;AD12,"Visitante","Empate")))</f>
        <v>Empate</v>
      </c>
      <c r="E12" s="743" t="str">
        <f t="shared" ref="E12:E17" ca="1" si="55">IF(D12="Pendiente","-",INDEX($BT$6:$BT$53,MATCH($AA12,$BD$6:$BD$53,0)))</f>
        <v>P.2 (2)</v>
      </c>
      <c r="F12" s="743" t="str">
        <f t="shared" ref="F12:F17" ca="1" si="56">IF(D12="Pendiente","-",INDEX($BT$6:$BT$53,MATCH($AF12,$BD$6:$BD$53,0)))</f>
        <v>P.2 (2)</v>
      </c>
      <c r="G12" s="743"/>
      <c r="H12" s="743" t="str">
        <f t="shared" ref="H12:H17" ca="1" si="57">IF(D12="Pendiente","-",INDEX($BZ$6:$BZ$53,MATCH($AA12,$BD$6:$BD$53,0)))</f>
        <v>P.2 (2)</v>
      </c>
      <c r="I12" s="743" t="str">
        <f t="shared" ref="I12:I17" ca="1" si="58">IF(D12="Pendiente","-",INDEX($BZ$6:$BZ$53,MATCH($AF12,$BD$6:$BD$53,0)))</f>
        <v>P.2 (2)</v>
      </c>
      <c r="J12" s="743"/>
      <c r="K12" s="743" t="str">
        <f t="shared" ref="K12:K17" ca="1" si="59">IF(D12="Pendiente","-",INDEX($CE$6:$CE$53,MATCH($AA12,$BD$6:$BD$53,0)))</f>
        <v>P.2 (2)</v>
      </c>
      <c r="L12" s="743" t="str">
        <f t="shared" ref="L12:L17" ca="1" si="60">IF(D12="Pendiente","-",INDEX($CE$6:$CE$53,MATCH($AF12,$BD$6:$BD$53,0)))</f>
        <v>P.2 (2)</v>
      </c>
      <c r="M12" s="743"/>
      <c r="N12" s="743" t="str">
        <f t="shared" ref="N12:N17" ca="1" si="61">IF(D12="Pendiente","-",INDEX($CH$6:$CH$53,MATCH($AA12,$BD$6:$BD$53,0)))</f>
        <v>P.2 (2)</v>
      </c>
      <c r="O12" s="743" t="str">
        <f t="shared" ref="O12:O17" ca="1" si="62">IF(D12="Pendiente","-",INDEX($CH$6:$CH$53,MATCH($AF12,$BD$6:$BD$53,0)))</f>
        <v>P.2 (2)</v>
      </c>
      <c r="P12" s="743"/>
      <c r="Q12" s="743" t="str">
        <f t="shared" ref="Q12:Q17" ca="1" si="63">IF(D12="Pendiente","-",INDEX($CN$6:$CN$53,MATCH($AA12,$BD$6:$BD$53,0)))</f>
        <v>P.2 (2)</v>
      </c>
      <c r="R12" s="743" t="str">
        <f t="shared" ref="R12:R17" ca="1" si="64">IF(D12="Pendiente","-",INDEX($CN$6:$CN$53,MATCH($AF12,$BD$6:$BD$53,0)))</f>
        <v>P.2 (2)</v>
      </c>
      <c r="S12" s="743"/>
      <c r="T12" s="743" t="str">
        <f t="shared" ref="T12:T17" ca="1" si="65">IF(D12="Pendiente","-",INDEX($CS$6:$CS$53,MATCH($AA12,$BD$6:$BD$53,0)))</f>
        <v>P.2 (2)</v>
      </c>
      <c r="U12" s="743" t="str">
        <f t="shared" ref="U12:U17" ca="1" si="66">IF(D12="Pendiente","-",INDEX($CS$6:$CS$53,MATCH($AF12,$BD$6:$BD$53,0)))</f>
        <v>P.2 (2)</v>
      </c>
      <c r="V12" s="172"/>
      <c r="W12" s="802" t="s">
        <v>1</v>
      </c>
      <c r="X12" s="189">
        <f ca="1">Horarios!C12</f>
        <v>46185.875</v>
      </c>
      <c r="Y12" s="190">
        <f ca="1">Horarios!C12</f>
        <v>46185.875</v>
      </c>
      <c r="Z12" s="191" t="str">
        <f>$Z$4</f>
        <v>R1</v>
      </c>
      <c r="AA12" s="192" t="str">
        <f ca="1">A13</f>
        <v>Canada</v>
      </c>
      <c r="AB12" s="478" t="e" cm="1" vm="5">
        <f t="array" aca="1" ref="AB12" ca="1">Ver_flag_local</f>
        <v>#VALUE!</v>
      </c>
      <c r="AC12" s="193">
        <v>1</v>
      </c>
      <c r="AD12" s="194">
        <v>1</v>
      </c>
      <c r="AE12" s="483" t="e" cm="1" vm="6">
        <f t="array" aca="1" ref="AE12" ca="1">Ver_flag_visit</f>
        <v>#VALUE!</v>
      </c>
      <c r="AF12" s="195" t="str">
        <f ca="1">A14</f>
        <v>Bosnia and Herzegovina</v>
      </c>
      <c r="AG12" s="413">
        <f t="shared" ref="AG12:AG17" si="67">IF(NOT(OR(ISBLANK(AC12),ISBLANK(AD12))),1,0)</f>
        <v>1</v>
      </c>
      <c r="AH12" s="196">
        <v>3</v>
      </c>
      <c r="AI12" s="19"/>
      <c r="AJ12" s="197" t="str">
        <f>CONCATENATE(AJ3," ",B12)</f>
        <v>Group B</v>
      </c>
      <c r="AK12" s="198"/>
      <c r="AL12" s="198"/>
      <c r="AM12" s="198"/>
      <c r="AN12" s="198"/>
      <c r="AO12" s="198"/>
      <c r="AP12" s="198"/>
      <c r="AQ12" s="198"/>
      <c r="AR12" s="198"/>
      <c r="AS12" s="198"/>
      <c r="AT12" s="199"/>
      <c r="AU12" s="421"/>
      <c r="AV12" s="200" t="str">
        <f t="shared" ref="AV12" ca="1" si="68">IF(AU13&gt;0,$AV$3,"")</f>
        <v/>
      </c>
      <c r="AW12" s="430"/>
      <c r="AX12" s="254"/>
      <c r="AY12" s="242"/>
      <c r="AZ12" s="243"/>
      <c r="BA12" s="175"/>
      <c r="BB12" s="743"/>
      <c r="BC12" s="755" t="str">
        <f ca="1">+INDEX(T_Equipos[Grupo],MATCH(WORLDCUP!BD12,T_Equipos[NombreEquipo],0))</f>
        <v>B</v>
      </c>
      <c r="BD12" s="743" t="str">
        <f ca="1">+Equipos!B8</f>
        <v>Qatar</v>
      </c>
      <c r="BE12" s="747">
        <f t="shared" ca="1" si="25"/>
        <v>1</v>
      </c>
      <c r="BF12" s="747">
        <f t="shared" ca="1" si="26"/>
        <v>3</v>
      </c>
      <c r="BG12" s="747">
        <f t="shared" ca="1" si="17"/>
        <v>0</v>
      </c>
      <c r="BH12" s="747">
        <f t="shared" ca="1" si="18"/>
        <v>1</v>
      </c>
      <c r="BI12" s="747">
        <f t="shared" ca="1" si="19"/>
        <v>2</v>
      </c>
      <c r="BJ12" s="747">
        <f t="shared" ca="1" si="20"/>
        <v>2</v>
      </c>
      <c r="BK12" s="747">
        <f t="shared" ca="1" si="21"/>
        <v>10</v>
      </c>
      <c r="BL12" s="747">
        <f t="shared" ca="1" si="27"/>
        <v>-8</v>
      </c>
      <c r="BM12" s="747" t="str">
        <f t="shared" ca="1" si="22"/>
        <v>4B</v>
      </c>
      <c r="BN12" s="747" t="str">
        <f t="shared" ca="1" si="23"/>
        <v>4B</v>
      </c>
      <c r="BO12" s="757">
        <f t="shared" ca="1" si="28"/>
        <v>0</v>
      </c>
      <c r="BP12" s="756">
        <f ca="1">COUNTIFS($BO$6:$BO$53,"&gt;"&amp;BO12,$BC$6:$BC$53,INDEX(T_Equipos[Grupo],MATCH(BD12,T_Equipos[NombreEquipo],0)))+1</f>
        <v>1</v>
      </c>
      <c r="BQ12" s="756" t="str">
        <f ca="1">IF(COUNTIFS($BP$6:$BP$53,BP12,$BC$6:$BC$53,INDEX(T_Equipos[Grupo],MATCH(BD12,T_Equipos[NombreEquipo],0)))=1,"-","P."&amp;BP12&amp;" ("&amp;COUNTIFS($BP$6:$BP$53,BP12,$BC$6:$BC$53,INDEX(T_Equipos[Grupo],MATCH(BD12,T_Equipos[NombreEquipo],0)))&amp;")")</f>
        <v>P.1 (4)</v>
      </c>
      <c r="BR12" s="757">
        <f t="shared" ca="1" si="29"/>
        <v>1</v>
      </c>
      <c r="BS12" s="756">
        <f ca="1">BP12+COUNTIFS($BQ$6:$BQ$53,BQ12,$BR$6:BR$53,"&gt;"&amp;BR12,$BC$6:$BC$53,INDEX(T_Equipos[Grupo],MATCH(BD12,T_Equipos[NombreEquipo],0)))</f>
        <v>4</v>
      </c>
      <c r="BT12" s="756" t="str">
        <f ca="1">IF(COUNTIFS($BS$6:$BS$53,BS12,$BC$6:$BC$53,INDEX(T_Equipos[Grupo],MATCH(BD12,T_Equipos[NombreEquipo],0)))=1,"-","P."&amp;BS12&amp;" ("&amp;COUNTIFS($BS$6:$BS$53,BS12,$BC$6:$BC$53,INDEX(T_Equipos[Grupo],MATCH(BD12,T_Equipos[NombreEquipo],0)))&amp;")")</f>
        <v>-</v>
      </c>
      <c r="BU12" s="757" t="str">
        <f t="shared" ca="1" si="36"/>
        <v>-</v>
      </c>
      <c r="BV12" s="757" t="str">
        <f t="shared" ca="1" si="37"/>
        <v>-</v>
      </c>
      <c r="BW12" s="757" t="str">
        <f t="shared" ca="1" si="38"/>
        <v>-</v>
      </c>
      <c r="BX12" s="757" t="str">
        <f t="shared" ca="1" si="39"/>
        <v>-</v>
      </c>
      <c r="BY12" s="757">
        <f ca="1">BS12+COUNTIFS($BT$6:$BT$53,BT12,$BX$6:BX$53,"&gt;"&amp;BX12,$BC$6:$BC$53,INDEX(T_Equipos[Grupo],MATCH(BD12,T_Equipos[NombreEquipo],0)))</f>
        <v>4</v>
      </c>
      <c r="BZ12" s="756" t="str">
        <f ca="1">IF(COUNTIFS($BY$6:$BY$53,BY12,$BC$6:$BC$53,INDEX(T_Equipos[Grupo],MATCH(BD12,T_Equipos[NombreEquipo],0)))=1,"-","P."&amp;BY12&amp;" ("&amp;COUNTIFS($BY$6:$BY$53,BY12,$BC$6:$BC$53,INDEX(T_Equipos[Grupo],MATCH(BD12,T_Equipos[NombreEquipo],0)))&amp;")")</f>
        <v>-</v>
      </c>
      <c r="CA12" s="757" t="str">
        <f t="shared" ca="1" si="40"/>
        <v>-</v>
      </c>
      <c r="CB12" s="757" t="str">
        <f t="shared" ca="1" si="41"/>
        <v>-</v>
      </c>
      <c r="CC12" s="757" t="str">
        <f t="shared" ca="1" si="42"/>
        <v>-</v>
      </c>
      <c r="CD12" s="757">
        <f ca="1">BY12+COUNTIFS($BZ$6:$BZ$53,BZ12,$CC$6:CC$53,"&gt;"&amp;CC12,$BC$6:$BC$53,INDEX(T_Equipos[Grupo],MATCH(BD12,T_Equipos[NombreEquipo],0)))</f>
        <v>4</v>
      </c>
      <c r="CE12" s="756" t="str">
        <f ca="1">IF(COUNTIFS($CD$6:$CD$53,CD12,$BC$6:$BC$53,INDEX(T_Equipos[Grupo],MATCH(BD12,T_Equipos[NombreEquipo],0)))=1,"-","P."&amp;CD12&amp;" ("&amp;COUNTIFS($CD$6:$CD$53,CD12,$BC$6:$BC$53,INDEX(T_Equipos[Grupo],MATCH(BD12,T_Equipos[NombreEquipo],0)))&amp;")")</f>
        <v>-</v>
      </c>
      <c r="CF12" s="757" t="str">
        <f t="shared" ca="1" si="43"/>
        <v>-</v>
      </c>
      <c r="CG12" s="757">
        <f ca="1">CD12+COUNTIFS($CE$6:$CE$53,CE12,$CF$6:CF$53,"&gt;"&amp;CF12,$BC$6:$BC$53,INDEX(T_Equipos[Grupo],MATCH(BD12,T_Equipos[NombreEquipo],0)))</f>
        <v>4</v>
      </c>
      <c r="CH12" s="756" t="str">
        <f ca="1">IF(COUNTIFS($CG$6:$CG$53,CG12,$BC$6:$BC$53,INDEX(T_Equipos[Grupo],MATCH(BD12,T_Equipos[NombreEquipo],0)))=1,"-","P."&amp;CG12&amp;" ("&amp;COUNTIFS($CG$6:$CG$53,CG12,$BC$6:$BC$53,INDEX(T_Equipos[Grupo],MATCH(BD12,T_Equipos[NombreEquipo],0)))&amp;")")</f>
        <v>-</v>
      </c>
      <c r="CI12" s="757" t="str">
        <f t="shared" ca="1" si="44"/>
        <v>-</v>
      </c>
      <c r="CJ12" s="757" t="str">
        <f t="shared" ca="1" si="45"/>
        <v>-</v>
      </c>
      <c r="CK12" s="757" t="str">
        <f t="shared" ca="1" si="46"/>
        <v>-</v>
      </c>
      <c r="CL12" s="757" t="str">
        <f t="shared" ca="1" si="47"/>
        <v>-</v>
      </c>
      <c r="CM12" s="757">
        <f ca="1">CG12+COUNTIFS($CH$6:$CH$53,CH12,$CL$6:CL$53,"&gt;"&amp;CL12,$BC$6:$BC$53,INDEX(T_Equipos[Grupo],MATCH(BD12,T_Equipos[NombreEquipo],0)))</f>
        <v>4</v>
      </c>
      <c r="CN12" s="756" t="str">
        <f ca="1">IF(COUNTIFS($CM$6:$CM$53,CM12,$BC$6:$BC$53,INDEX(T_Equipos[Grupo],MATCH(BD12,T_Equipos[NombreEquipo],0)))=1,"-","P."&amp;CM12&amp;" ("&amp;COUNTIFS($CM$6:$CM$53,CM12,$BC$6:$BC$53,INDEX(T_Equipos[Grupo],MATCH(BD12,T_Equipos[NombreEquipo],0)))&amp;")")</f>
        <v>-</v>
      </c>
      <c r="CO12" s="757" t="str">
        <f t="shared" ca="1" si="48"/>
        <v>-</v>
      </c>
      <c r="CP12" s="757" t="str">
        <f t="shared" ca="1" si="49"/>
        <v>-</v>
      </c>
      <c r="CQ12" s="757" t="str">
        <f t="shared" ca="1" si="50"/>
        <v>-</v>
      </c>
      <c r="CR12" s="757">
        <f ca="1">CM12+COUNTIFS($CN$6:$CN$53,CN12,$CQ$6:CQ$53,"&gt;"&amp;CQ12,$BC$6:$BC$53,INDEX(T_Equipos[Grupo],MATCH(BD12,T_Equipos[NombreEquipo],0)))</f>
        <v>4</v>
      </c>
      <c r="CS12" s="756" t="str">
        <f ca="1">IF(COUNTIFS($CR$6:$CR$53,CR12,$BC$6:$BC$53,INDEX(T_Equipos[Grupo],MATCH(BD12,T_Equipos[NombreEquipo],0)))=1,"-","P."&amp;CR12&amp;" ("&amp;COUNTIFS($CR$6:$CR$53,CR12,$BC$6:$BC$53,INDEX(T_Equipos[Grupo],MATCH(BD12,T_Equipos[NombreEquipo],0)))&amp;")")</f>
        <v>-</v>
      </c>
      <c r="CT12" s="757" t="str">
        <f t="shared" ca="1" si="51"/>
        <v>-</v>
      </c>
      <c r="CU12" s="757">
        <f ca="1">CR12+COUNTIFS($CS$6:$CS$53,CS12,$CT$6:CT$53,"&gt;"&amp;CT12,$BC$6:$BC$53,INDEX(T_Equipos[Grupo],MATCH(BD12,T_Equipos[NombreEquipo],0)))</f>
        <v>4</v>
      </c>
      <c r="CV12" s="756" t="str">
        <f ca="1">IF(COUNTIFS($CU$6:$CU$53,CU12,$BC$6:$BC$53,INDEX(T_Equipos[Grupo],MATCH(BD12,T_Equipos[NombreEquipo],0)))=1,"-","P."&amp;CU12&amp;" ("&amp;COUNTIFS($CU$6:$CU$53,CU12,$BC$6:$BC$53,INDEX(T_Equipos[Grupo],MATCH(BD12,T_Equipos[NombreEquipo],0)))&amp;")")</f>
        <v>-</v>
      </c>
      <c r="CW12" s="756" t="str">
        <f t="shared" ca="1" si="30"/>
        <v>-</v>
      </c>
      <c r="CX12" s="756">
        <f ca="1">CU12+COUNTIFS($CV$6:$CV$53,CV12,$CW$6:CW$53,"&gt;"&amp;CW12,$BC$6:$BC$53,INDEX(T_Equipos[Grupo],MATCH(BD12,T_Equipos[NombreEquipo],0)))</f>
        <v>4</v>
      </c>
      <c r="CY12" s="756" t="str">
        <f ca="1">IF(COUNTIFS($CX$6:$CX$53,CX12,$BC$6:$BC$53,INDEX(T_Equipos[Grupo],MATCH(BD12,T_Equipos[NombreEquipo],0)))=1,"-","P."&amp;CX12&amp;" ("&amp;COUNTIFS($CX$6:$CX$53,CX12,$BC$6:$BC$53,INDEX(T_Equipos[Grupo],MATCH(BD12,T_Equipos[NombreEquipo],0)))&amp;")")</f>
        <v>-</v>
      </c>
      <c r="CZ12" s="756" t="str">
        <f t="shared" ca="1" si="31"/>
        <v>-</v>
      </c>
      <c r="DA12" s="757">
        <f ca="1">CX12+COUNTIFS($CY$6:$CY$53,CY12,$CZ$6:CZ$53,"&gt;"&amp;CZ12,$BC$6:$BC$53,INDEX(T_Equipos[Grupo],MATCH(BD12,T_Equipos[NombreEquipo],0)))</f>
        <v>4</v>
      </c>
      <c r="DB12" s="756" t="str">
        <f ca="1">IF(COUNTIFS($DA$6:$DA$53,DA12,$BC$6:$BC$53,INDEX(T_Equipos[Grupo],MATCH(BD12,T_Equipos[NombreEquipo],0)))=1,"-","P."&amp;DA12&amp;" ("&amp;COUNTIFS($DA$6:$DA$53,DA12,$BC$6:$BC$53,INDEX(T_Equipos[Grupo],MATCH(BD12,T_Equipos[NombreEquipo],0)))&amp;")")</f>
        <v>-</v>
      </c>
      <c r="DC12" s="755" t="str">
        <f ca="1">IF(DB12="-","-",COUNTIFS(T_Equipos[Rank],"&lt;"&amp;INDEX(T_Equipos[Rank],MATCH(BD12,T_Equipos[NombreEquipo],0)),$BC$6:$BC$53,INDEX(T_Equipos[Grupo],MATCH(BD12,T_Equipos[NombreEquipo],0)))+1)</f>
        <v>-</v>
      </c>
      <c r="DD12" s="755">
        <f ca="1">DA12+COUNTIFS($DB$6:$DB$53,DB12,$DC$6:DC$53,"&lt;"&amp;DC12,$BC$6:$BC$53,INDEX(T_Equipos[Grupo],MATCH(BD12,T_Equipos[NombreEquipo],0)))</f>
        <v>4</v>
      </c>
      <c r="DE12" s="755"/>
      <c r="DF12" s="755">
        <f t="shared" ca="1" si="52"/>
        <v>4</v>
      </c>
      <c r="DG12" s="755" t="str">
        <f ca="1">IF(DB12="-","-",COUNTIFS(DF$6:DF$53,"&lt;"&amp;DF12,$BC$6:$BC$53,INDEX(T_Equipos[Grupo],MATCH(BD12,T_Equipos[NombreEquipo],0))))</f>
        <v>-</v>
      </c>
      <c r="DH12" s="755">
        <f ca="1">DA12+COUNTIFS(DB$6:DB$53,DB12,DG$6:DG$53,"&lt;"&amp;DG12,$BC$6:$BC$53,INDEX(T_Equipos[Grupo],MATCH(BD12,T_Equipos[NombreEquipo],0)))</f>
        <v>4</v>
      </c>
      <c r="DI12" s="743"/>
      <c r="DJ12" s="743">
        <f t="shared" ca="1" si="53"/>
        <v>3</v>
      </c>
      <c r="DK12" s="743">
        <f t="shared" ca="1" si="24"/>
        <v>12</v>
      </c>
      <c r="DL12" s="743">
        <f t="shared" ca="1" si="33"/>
        <v>1</v>
      </c>
      <c r="DM12" s="737" t="str">
        <f t="shared" ca="1" si="34"/>
        <v>3.1</v>
      </c>
      <c r="DN12" s="743" cm="1">
        <f t="array" aca="1" ref="DN12" ca="1">OFFSET(Horarios!$P$3,DJ12-1,0,DL12,1)</f>
        <v>3</v>
      </c>
      <c r="DO12" s="743"/>
      <c r="DP12" s="743" t="s">
        <v>90</v>
      </c>
      <c r="DQ12" s="743" t="str">
        <f t="shared" ca="1" si="35"/>
        <v>Bosnia and Herzegovina</v>
      </c>
      <c r="DR12" s="743"/>
      <c r="DS12" s="743"/>
      <c r="DT12" s="743" t="str">
        <f t="shared" ca="1" si="15"/>
        <v>Canada-Bosnia and Herzegovina</v>
      </c>
      <c r="DU12" s="743"/>
      <c r="DV12" s="743"/>
      <c r="DW12" s="8"/>
    </row>
    <row r="13" spans="1:127" ht="16.149999999999999" customHeight="1">
      <c r="A13" s="744" t="str">
        <f ca="1">+Equipos!B6</f>
        <v>Canada</v>
      </c>
      <c r="B13" s="741"/>
      <c r="C13" s="741"/>
      <c r="D13" s="743" t="str">
        <f t="shared" si="54"/>
        <v>Empate</v>
      </c>
      <c r="E13" s="743" t="str">
        <f t="shared" ca="1" si="55"/>
        <v>-</v>
      </c>
      <c r="F13" s="743" t="str">
        <f t="shared" ca="1" si="56"/>
        <v>-</v>
      </c>
      <c r="G13" s="743"/>
      <c r="H13" s="743" t="str">
        <f t="shared" ca="1" si="57"/>
        <v>-</v>
      </c>
      <c r="I13" s="743" t="str">
        <f t="shared" ca="1" si="58"/>
        <v>-</v>
      </c>
      <c r="J13" s="743"/>
      <c r="K13" s="743" t="str">
        <f t="shared" ca="1" si="59"/>
        <v>-</v>
      </c>
      <c r="L13" s="743" t="str">
        <f t="shared" ca="1" si="60"/>
        <v>-</v>
      </c>
      <c r="M13" s="743"/>
      <c r="N13" s="743" t="str">
        <f t="shared" ca="1" si="61"/>
        <v>-</v>
      </c>
      <c r="O13" s="743" t="str">
        <f t="shared" ca="1" si="62"/>
        <v>-</v>
      </c>
      <c r="P13" s="743"/>
      <c r="Q13" s="743" t="str">
        <f t="shared" ca="1" si="63"/>
        <v>-</v>
      </c>
      <c r="R13" s="743" t="str">
        <f t="shared" ca="1" si="64"/>
        <v>-</v>
      </c>
      <c r="S13" s="743"/>
      <c r="T13" s="743" t="str">
        <f t="shared" ca="1" si="65"/>
        <v>-</v>
      </c>
      <c r="U13" s="743" t="str">
        <f t="shared" ca="1" si="66"/>
        <v>-</v>
      </c>
      <c r="V13" s="172"/>
      <c r="W13" s="802"/>
      <c r="X13" s="189">
        <f ca="1">Horarios!C13</f>
        <v>46186.875</v>
      </c>
      <c r="Y13" s="190">
        <f ca="1">Horarios!C13</f>
        <v>46186.875</v>
      </c>
      <c r="Z13" s="191" t="str">
        <f>$Z$4</f>
        <v>R1</v>
      </c>
      <c r="AA13" s="192" t="str">
        <f ca="1">A15</f>
        <v>Qatar</v>
      </c>
      <c r="AB13" s="478" t="e" cm="1" vm="7">
        <f t="array" aca="1" ref="AB13" ca="1">Ver_flag_local</f>
        <v>#VALUE!</v>
      </c>
      <c r="AC13" s="193">
        <v>1</v>
      </c>
      <c r="AD13" s="194">
        <v>1</v>
      </c>
      <c r="AE13" s="483" t="e" cm="1" vm="8">
        <f t="array" aca="1" ref="AE13" ca="1">Ver_flag_visit</f>
        <v>#VALUE!</v>
      </c>
      <c r="AF13" s="195" t="str">
        <f ca="1">A16</f>
        <v>Switzerland</v>
      </c>
      <c r="AG13" s="413">
        <f t="shared" si="67"/>
        <v>1</v>
      </c>
      <c r="AH13" s="196">
        <v>8</v>
      </c>
      <c r="AI13" s="19"/>
      <c r="AJ13" s="204" t="str">
        <f>AJ5</f>
        <v>Pos</v>
      </c>
      <c r="AK13" s="205"/>
      <c r="AL13" s="206" t="str">
        <f t="shared" ref="AL13:AT13" si="69">AL5</f>
        <v>Nation</v>
      </c>
      <c r="AM13" s="205" t="str">
        <f t="shared" si="69"/>
        <v>Pts</v>
      </c>
      <c r="AN13" s="205" t="str">
        <f t="shared" si="69"/>
        <v>P</v>
      </c>
      <c r="AO13" s="205" t="str">
        <f t="shared" si="69"/>
        <v>W</v>
      </c>
      <c r="AP13" s="205" t="str">
        <f t="shared" si="69"/>
        <v>D</v>
      </c>
      <c r="AQ13" s="205" t="str">
        <f t="shared" si="69"/>
        <v>L</v>
      </c>
      <c r="AR13" s="205" t="str">
        <f t="shared" si="69"/>
        <v>F</v>
      </c>
      <c r="AS13" s="205" t="str">
        <f t="shared" si="69"/>
        <v>A</v>
      </c>
      <c r="AT13" s="207" t="str">
        <f t="shared" si="69"/>
        <v>GD</v>
      </c>
      <c r="AU13" s="421">
        <f t="shared" ref="AU13" ca="1" si="70">COUNTIF(AU14:AU17,"&gt;1")</f>
        <v>0</v>
      </c>
      <c r="AV13" s="208"/>
      <c r="AW13" s="208"/>
      <c r="AX13" s="255"/>
      <c r="AY13" s="209" t="str">
        <f>AL13</f>
        <v>Nation</v>
      </c>
      <c r="AZ13" s="210" t="str">
        <f>+Idiomas!$D$69</f>
        <v>Deducted Points</v>
      </c>
      <c r="BA13" s="175"/>
      <c r="BB13" s="743"/>
      <c r="BC13" s="755" t="str">
        <f ca="1">+INDEX(T_Equipos[Grupo],MATCH(WORLDCUP!BD13,T_Equipos[NombreEquipo],0))</f>
        <v>B</v>
      </c>
      <c r="BD13" s="743" t="str">
        <f ca="1">+Equipos!B9</f>
        <v>Switzerland</v>
      </c>
      <c r="BE13" s="747">
        <f t="shared" ca="1" si="25"/>
        <v>7</v>
      </c>
      <c r="BF13" s="747">
        <f t="shared" ca="1" si="26"/>
        <v>3</v>
      </c>
      <c r="BG13" s="747">
        <f t="shared" ca="1" si="17"/>
        <v>2</v>
      </c>
      <c r="BH13" s="747">
        <f t="shared" ca="1" si="18"/>
        <v>1</v>
      </c>
      <c r="BI13" s="747">
        <f t="shared" ca="1" si="19"/>
        <v>0</v>
      </c>
      <c r="BJ13" s="747">
        <f t="shared" ca="1" si="20"/>
        <v>7</v>
      </c>
      <c r="BK13" s="747">
        <f t="shared" ca="1" si="21"/>
        <v>3</v>
      </c>
      <c r="BL13" s="747">
        <f t="shared" ca="1" si="27"/>
        <v>4</v>
      </c>
      <c r="BM13" s="747" t="str">
        <f t="shared" ca="1" si="22"/>
        <v>1B</v>
      </c>
      <c r="BN13" s="747" t="str">
        <f t="shared" ca="1" si="23"/>
        <v>1B</v>
      </c>
      <c r="BO13" s="757">
        <f t="shared" ca="1" si="28"/>
        <v>0</v>
      </c>
      <c r="BP13" s="756">
        <f ca="1">COUNTIFS($BO$6:$BO$53,"&gt;"&amp;BO13,$BC$6:$BC$53,INDEX(T_Equipos[Grupo],MATCH(BD13,T_Equipos[NombreEquipo],0)))+1</f>
        <v>1</v>
      </c>
      <c r="BQ13" s="756" t="str">
        <f ca="1">IF(COUNTIFS($BP$6:$BP$53,BP13,$BC$6:$BC$53,INDEX(T_Equipos[Grupo],MATCH(BD13,T_Equipos[NombreEquipo],0)))=1,"-","P."&amp;BP13&amp;" ("&amp;COUNTIFS($BP$6:$BP$53,BP13,$BC$6:$BC$53,INDEX(T_Equipos[Grupo],MATCH(BD13,T_Equipos[NombreEquipo],0)))&amp;")")</f>
        <v>P.1 (4)</v>
      </c>
      <c r="BR13" s="757">
        <f t="shared" ca="1" si="29"/>
        <v>7</v>
      </c>
      <c r="BS13" s="756">
        <f ca="1">BP13+COUNTIFS($BQ$6:$BQ$53,BQ13,$BR$6:BR$53,"&gt;"&amp;BR13,$BC$6:$BC$53,INDEX(T_Equipos[Grupo],MATCH(BD13,T_Equipos[NombreEquipo],0)))</f>
        <v>1</v>
      </c>
      <c r="BT13" s="756" t="str">
        <f ca="1">IF(COUNTIFS($BS$6:$BS$53,BS13,$BC$6:$BC$53,INDEX(T_Equipos[Grupo],MATCH(BD13,T_Equipos[NombreEquipo],0)))=1,"-","P."&amp;BS13&amp;" ("&amp;COUNTIFS($BS$6:$BS$53,BS13,$BC$6:$BC$53,INDEX(T_Equipos[Grupo],MATCH(BD13,T_Equipos[NombreEquipo],0)))&amp;")")</f>
        <v>-</v>
      </c>
      <c r="BU13" s="757" t="str">
        <f t="shared" ca="1" si="36"/>
        <v>-</v>
      </c>
      <c r="BV13" s="757" t="str">
        <f t="shared" ca="1" si="37"/>
        <v>-</v>
      </c>
      <c r="BW13" s="757" t="str">
        <f t="shared" ca="1" si="38"/>
        <v>-</v>
      </c>
      <c r="BX13" s="757" t="str">
        <f t="shared" ca="1" si="39"/>
        <v>-</v>
      </c>
      <c r="BY13" s="757">
        <f ca="1">BS13+COUNTIFS($BT$6:$BT$53,BT13,$BX$6:BX$53,"&gt;"&amp;BX13,$BC$6:$BC$53,INDEX(T_Equipos[Grupo],MATCH(BD13,T_Equipos[NombreEquipo],0)))</f>
        <v>1</v>
      </c>
      <c r="BZ13" s="756" t="str">
        <f ca="1">IF(COUNTIFS($BY$6:$BY$53,BY13,$BC$6:$BC$53,INDEX(T_Equipos[Grupo],MATCH(BD13,T_Equipos[NombreEquipo],0)))=1,"-","P."&amp;BY13&amp;" ("&amp;COUNTIFS($BY$6:$BY$53,BY13,$BC$6:$BC$53,INDEX(T_Equipos[Grupo],MATCH(BD13,T_Equipos[NombreEquipo],0)))&amp;")")</f>
        <v>-</v>
      </c>
      <c r="CA13" s="757" t="str">
        <f t="shared" ca="1" si="40"/>
        <v>-</v>
      </c>
      <c r="CB13" s="757" t="str">
        <f t="shared" ca="1" si="41"/>
        <v>-</v>
      </c>
      <c r="CC13" s="757" t="str">
        <f t="shared" ca="1" si="42"/>
        <v>-</v>
      </c>
      <c r="CD13" s="757">
        <f ca="1">BY13+COUNTIFS($BZ$6:$BZ$53,BZ13,$CC$6:CC$53,"&gt;"&amp;CC13,$BC$6:$BC$53,INDEX(T_Equipos[Grupo],MATCH(BD13,T_Equipos[NombreEquipo],0)))</f>
        <v>1</v>
      </c>
      <c r="CE13" s="756" t="str">
        <f ca="1">IF(COUNTIFS($CD$6:$CD$53,CD13,$BC$6:$BC$53,INDEX(T_Equipos[Grupo],MATCH(BD13,T_Equipos[NombreEquipo],0)))=1,"-","P."&amp;CD13&amp;" ("&amp;COUNTIFS($CD$6:$CD$53,CD13,$BC$6:$BC$53,INDEX(T_Equipos[Grupo],MATCH(BD13,T_Equipos[NombreEquipo],0)))&amp;")")</f>
        <v>-</v>
      </c>
      <c r="CF13" s="757" t="str">
        <f t="shared" ca="1" si="43"/>
        <v>-</v>
      </c>
      <c r="CG13" s="757">
        <f ca="1">CD13+COUNTIFS($CE$6:$CE$53,CE13,$CF$6:CF$53,"&gt;"&amp;CF13,$BC$6:$BC$53,INDEX(T_Equipos[Grupo],MATCH(BD13,T_Equipos[NombreEquipo],0)))</f>
        <v>1</v>
      </c>
      <c r="CH13" s="756" t="str">
        <f ca="1">IF(COUNTIFS($CG$6:$CG$53,CG13,$BC$6:$BC$53,INDEX(T_Equipos[Grupo],MATCH(BD13,T_Equipos[NombreEquipo],0)))=1,"-","P."&amp;CG13&amp;" ("&amp;COUNTIFS($CG$6:$CG$53,CG13,$BC$6:$BC$53,INDEX(T_Equipos[Grupo],MATCH(BD13,T_Equipos[NombreEquipo],0)))&amp;")")</f>
        <v>-</v>
      </c>
      <c r="CI13" s="757" t="str">
        <f t="shared" ca="1" si="44"/>
        <v>-</v>
      </c>
      <c r="CJ13" s="757" t="str">
        <f t="shared" ca="1" si="45"/>
        <v>-</v>
      </c>
      <c r="CK13" s="757" t="str">
        <f t="shared" ca="1" si="46"/>
        <v>-</v>
      </c>
      <c r="CL13" s="757" t="str">
        <f t="shared" ca="1" si="47"/>
        <v>-</v>
      </c>
      <c r="CM13" s="757">
        <f ca="1">CG13+COUNTIFS($CH$6:$CH$53,CH13,$CL$6:CL$53,"&gt;"&amp;CL13,$BC$6:$BC$53,INDEX(T_Equipos[Grupo],MATCH(BD13,T_Equipos[NombreEquipo],0)))</f>
        <v>1</v>
      </c>
      <c r="CN13" s="756" t="str">
        <f ca="1">IF(COUNTIFS($CM$6:$CM$53,CM13,$BC$6:$BC$53,INDEX(T_Equipos[Grupo],MATCH(BD13,T_Equipos[NombreEquipo],0)))=1,"-","P."&amp;CM13&amp;" ("&amp;COUNTIFS($CM$6:$CM$53,CM13,$BC$6:$BC$53,INDEX(T_Equipos[Grupo],MATCH(BD13,T_Equipos[NombreEquipo],0)))&amp;")")</f>
        <v>-</v>
      </c>
      <c r="CO13" s="757" t="str">
        <f t="shared" ca="1" si="48"/>
        <v>-</v>
      </c>
      <c r="CP13" s="757" t="str">
        <f t="shared" ca="1" si="49"/>
        <v>-</v>
      </c>
      <c r="CQ13" s="757" t="str">
        <f t="shared" ca="1" si="50"/>
        <v>-</v>
      </c>
      <c r="CR13" s="757">
        <f ca="1">CM13+COUNTIFS($CN$6:$CN$53,CN13,$CQ$6:CQ$53,"&gt;"&amp;CQ13,$BC$6:$BC$53,INDEX(T_Equipos[Grupo],MATCH(BD13,T_Equipos[NombreEquipo],0)))</f>
        <v>1</v>
      </c>
      <c r="CS13" s="756" t="str">
        <f ca="1">IF(COUNTIFS($CR$6:$CR$53,CR13,$BC$6:$BC$53,INDEX(T_Equipos[Grupo],MATCH(BD13,T_Equipos[NombreEquipo],0)))=1,"-","P."&amp;CR13&amp;" ("&amp;COUNTIFS($CR$6:$CR$53,CR13,$BC$6:$BC$53,INDEX(T_Equipos[Grupo],MATCH(BD13,T_Equipos[NombreEquipo],0)))&amp;")")</f>
        <v>-</v>
      </c>
      <c r="CT13" s="757" t="str">
        <f t="shared" ca="1" si="51"/>
        <v>-</v>
      </c>
      <c r="CU13" s="757">
        <f ca="1">CR13+COUNTIFS($CS$6:$CS$53,CS13,$CT$6:CT$53,"&gt;"&amp;CT13,$BC$6:$BC$53,INDEX(T_Equipos[Grupo],MATCH(BD13,T_Equipos[NombreEquipo],0)))</f>
        <v>1</v>
      </c>
      <c r="CV13" s="756" t="str">
        <f ca="1">IF(COUNTIFS($CU$6:$CU$53,CU13,$BC$6:$BC$53,INDEX(T_Equipos[Grupo],MATCH(BD13,T_Equipos[NombreEquipo],0)))=1,"-","P."&amp;CU13&amp;" ("&amp;COUNTIFS($CU$6:$CU$53,CU13,$BC$6:$BC$53,INDEX(T_Equipos[Grupo],MATCH(BD13,T_Equipos[NombreEquipo],0)))&amp;")")</f>
        <v>-</v>
      </c>
      <c r="CW13" s="756" t="str">
        <f t="shared" ca="1" si="30"/>
        <v>-</v>
      </c>
      <c r="CX13" s="756">
        <f ca="1">CU13+COUNTIFS($CV$6:$CV$53,CV13,$CW$6:CW$53,"&gt;"&amp;CW13,$BC$6:$BC$53,INDEX(T_Equipos[Grupo],MATCH(BD13,T_Equipos[NombreEquipo],0)))</f>
        <v>1</v>
      </c>
      <c r="CY13" s="756" t="str">
        <f ca="1">IF(COUNTIFS($CX$6:$CX$53,CX13,$BC$6:$BC$53,INDEX(T_Equipos[Grupo],MATCH(BD13,T_Equipos[NombreEquipo],0)))=1,"-","P."&amp;CX13&amp;" ("&amp;COUNTIFS($CX$6:$CX$53,CX13,$BC$6:$BC$53,INDEX(T_Equipos[Grupo],MATCH(BD13,T_Equipos[NombreEquipo],0)))&amp;")")</f>
        <v>-</v>
      </c>
      <c r="CZ13" s="756" t="str">
        <f t="shared" ca="1" si="31"/>
        <v>-</v>
      </c>
      <c r="DA13" s="757">
        <f ca="1">CX13+COUNTIFS($CY$6:$CY$53,CY13,$CZ$6:CZ$53,"&gt;"&amp;CZ13,$BC$6:$BC$53,INDEX(T_Equipos[Grupo],MATCH(BD13,T_Equipos[NombreEquipo],0)))</f>
        <v>1</v>
      </c>
      <c r="DB13" s="756" t="str">
        <f ca="1">IF(COUNTIFS($DA$6:$DA$53,DA13,$BC$6:$BC$53,INDEX(T_Equipos[Grupo],MATCH(BD13,T_Equipos[NombreEquipo],0)))=1,"-","P."&amp;DA13&amp;" ("&amp;COUNTIFS($DA$6:$DA$53,DA13,$BC$6:$BC$53,INDEX(T_Equipos[Grupo],MATCH(BD13,T_Equipos[NombreEquipo],0)))&amp;")")</f>
        <v>-</v>
      </c>
      <c r="DC13" s="755" t="str">
        <f ca="1">IF(DB13="-","-",COUNTIFS(T_Equipos[Rank],"&lt;"&amp;INDEX(T_Equipos[Rank],MATCH(BD13,T_Equipos[NombreEquipo],0)),$BC$6:$BC$53,INDEX(T_Equipos[Grupo],MATCH(BD13,T_Equipos[NombreEquipo],0)))+1)</f>
        <v>-</v>
      </c>
      <c r="DD13" s="755">
        <f ca="1">DA13+COUNTIFS($DB$6:$DB$53,DB13,$DC$6:DC$53,"&lt;"&amp;DC13,$BC$6:$BC$53,INDEX(T_Equipos[Grupo],MATCH(BD13,T_Equipos[NombreEquipo],0)))</f>
        <v>1</v>
      </c>
      <c r="DE13" s="755"/>
      <c r="DF13" s="755">
        <f t="shared" ca="1" si="52"/>
        <v>1</v>
      </c>
      <c r="DG13" s="755" t="str">
        <f ca="1">IF(DB13="-","-",COUNTIFS(DF$6:DF$53,"&lt;"&amp;DF13,$BC$6:$BC$53,INDEX(T_Equipos[Grupo],MATCH(BD13,T_Equipos[NombreEquipo],0))))</f>
        <v>-</v>
      </c>
      <c r="DH13" s="755">
        <f ca="1">DA13+COUNTIFS(DB$6:DB$53,DB13,DG$6:DG$53,"&lt;"&amp;DG13,$BC$6:$BC$53,INDEX(T_Equipos[Grupo],MATCH(BD13,T_Equipos[NombreEquipo],0)))</f>
        <v>1</v>
      </c>
      <c r="DI13" s="743"/>
      <c r="DJ13" s="743">
        <f t="shared" ca="1" si="53"/>
        <v>4</v>
      </c>
      <c r="DK13" s="743">
        <f t="shared" ca="1" si="24"/>
        <v>12</v>
      </c>
      <c r="DL13" s="743">
        <f t="shared" ca="1" si="33"/>
        <v>1</v>
      </c>
      <c r="DM13" s="737" t="str">
        <f t="shared" ca="1" si="34"/>
        <v>4.1</v>
      </c>
      <c r="DN13" s="743" cm="1">
        <f t="array" aca="1" ref="DN13" ca="1">OFFSET(Horarios!$P$3,DJ13-1,0,DL13,1)</f>
        <v>4</v>
      </c>
      <c r="DO13" s="743"/>
      <c r="DP13" s="743" t="s">
        <v>650</v>
      </c>
      <c r="DQ13" s="743" t="str">
        <f t="shared" ca="1" si="35"/>
        <v>Qatar</v>
      </c>
      <c r="DR13" s="743"/>
      <c r="DS13" s="743"/>
      <c r="DT13" s="743" t="str">
        <f t="shared" ca="1" si="15"/>
        <v>Qatar-Switzerland</v>
      </c>
      <c r="DU13" s="743"/>
      <c r="DV13" s="743"/>
      <c r="DW13" s="8"/>
    </row>
    <row r="14" spans="1:127" ht="16.899999999999999" customHeight="1">
      <c r="A14" s="744" t="str">
        <f ca="1">+Equipos!B7</f>
        <v>Bosnia and Herzegovina</v>
      </c>
      <c r="B14" s="741"/>
      <c r="C14" s="745"/>
      <c r="D14" s="743" t="str">
        <f t="shared" si="54"/>
        <v>Local</v>
      </c>
      <c r="E14" s="743" t="str">
        <f t="shared" ca="1" si="55"/>
        <v>-</v>
      </c>
      <c r="F14" s="743" t="str">
        <f t="shared" ca="1" si="56"/>
        <v>P.2 (2)</v>
      </c>
      <c r="G14" s="743"/>
      <c r="H14" s="743" t="str">
        <f t="shared" ca="1" si="57"/>
        <v>-</v>
      </c>
      <c r="I14" s="743" t="str">
        <f t="shared" ca="1" si="58"/>
        <v>P.2 (2)</v>
      </c>
      <c r="J14" s="743"/>
      <c r="K14" s="743" t="str">
        <f t="shared" ca="1" si="59"/>
        <v>-</v>
      </c>
      <c r="L14" s="743" t="str">
        <f t="shared" ca="1" si="60"/>
        <v>P.2 (2)</v>
      </c>
      <c r="M14" s="743"/>
      <c r="N14" s="743" t="str">
        <f t="shared" ca="1" si="61"/>
        <v>-</v>
      </c>
      <c r="O14" s="743" t="str">
        <f t="shared" ca="1" si="62"/>
        <v>P.2 (2)</v>
      </c>
      <c r="P14" s="743"/>
      <c r="Q14" s="743" t="str">
        <f t="shared" ca="1" si="63"/>
        <v>-</v>
      </c>
      <c r="R14" s="743" t="str">
        <f t="shared" ca="1" si="64"/>
        <v>P.2 (2)</v>
      </c>
      <c r="S14" s="743"/>
      <c r="T14" s="743" t="str">
        <f t="shared" ca="1" si="65"/>
        <v>-</v>
      </c>
      <c r="U14" s="743" t="str">
        <f t="shared" ca="1" si="66"/>
        <v>P.2 (2)</v>
      </c>
      <c r="V14" s="172"/>
      <c r="W14" s="802"/>
      <c r="X14" s="189">
        <f ca="1">Horarios!C14</f>
        <v>46191.875</v>
      </c>
      <c r="Y14" s="190">
        <f ca="1">Horarios!C14</f>
        <v>46191.875</v>
      </c>
      <c r="Z14" s="191" t="str">
        <f>$Z$6</f>
        <v>R2</v>
      </c>
      <c r="AA14" s="192" t="str">
        <f ca="1">A16</f>
        <v>Switzerland</v>
      </c>
      <c r="AB14" s="478" t="e" cm="1" vm="8">
        <f t="array" aca="1" ref="AB14" ca="1">Ver_flag_local</f>
        <v>#VALUE!</v>
      </c>
      <c r="AC14" s="193">
        <v>4</v>
      </c>
      <c r="AD14" s="194">
        <v>1</v>
      </c>
      <c r="AE14" s="483" t="e" cm="1" vm="6">
        <f t="array" aca="1" ref="AE14" ca="1">Ver_flag_visit</f>
        <v>#VALUE!</v>
      </c>
      <c r="AF14" s="195" t="str">
        <f ca="1">A14</f>
        <v>Bosnia and Herzegovina</v>
      </c>
      <c r="AG14" s="413">
        <f t="shared" si="67"/>
        <v>1</v>
      </c>
      <c r="AH14" s="196">
        <v>26</v>
      </c>
      <c r="AI14" s="19" t="str">
        <f>AJ14&amp;$B$12</f>
        <v>1B</v>
      </c>
      <c r="AJ14" s="256">
        <v>1</v>
      </c>
      <c r="AK14" s="488" t="e" cm="1" vm="8">
        <f t="array" aca="1" ref="AK14" ca="1">Ver_flag_visit</f>
        <v>#VALUE!</v>
      </c>
      <c r="AL14" s="212" t="str">
        <f ca="1">IFERROR(INDEX($BD$6:$BD$53,MATCH(AI14,$BN$6:$BN$53,0)),"")</f>
        <v>Switzerland</v>
      </c>
      <c r="AM14" s="213">
        <f t="shared" ref="AM14:AT17" ca="1" si="71">INDEX($BE$6:$BN$53,MATCH($AL14,$BD$6:$BD$53,0),MATCH(AM$5,$BE$5:$BN$5,0))</f>
        <v>7</v>
      </c>
      <c r="AN14" s="214">
        <f t="shared" ca="1" si="71"/>
        <v>3</v>
      </c>
      <c r="AO14" s="214">
        <f t="shared" ca="1" si="71"/>
        <v>2</v>
      </c>
      <c r="AP14" s="214">
        <f t="shared" ca="1" si="71"/>
        <v>1</v>
      </c>
      <c r="AQ14" s="214">
        <f t="shared" ca="1" si="71"/>
        <v>0</v>
      </c>
      <c r="AR14" s="214">
        <f t="shared" ca="1" si="71"/>
        <v>7</v>
      </c>
      <c r="AS14" s="214">
        <f t="shared" ca="1" si="71"/>
        <v>3</v>
      </c>
      <c r="AT14" s="257">
        <f t="shared" ca="1" si="71"/>
        <v>4</v>
      </c>
      <c r="AU14" s="420">
        <f ca="1">INDEX($DL$6:$DL$53,MATCH(AI14,$DP$6:$DP$53,0))</f>
        <v>1</v>
      </c>
      <c r="AV14" s="217" t="str">
        <f ca="1">INDEX($BD$6:$BD$53,MATCH(AI14,$BM$6:$BM$53,0))</f>
        <v>Switzerland</v>
      </c>
      <c r="AW14" s="427"/>
      <c r="AX14" s="218"/>
      <c r="AY14" s="219" t="str">
        <f ca="1">+A13</f>
        <v>Canada</v>
      </c>
      <c r="AZ14" s="220"/>
      <c r="BA14" s="175"/>
      <c r="BB14" s="743"/>
      <c r="BC14" s="755" t="str">
        <f ca="1">+INDEX(T_Equipos[Grupo],MATCH(WORLDCUP!BD14,T_Equipos[NombreEquipo],0))</f>
        <v>C</v>
      </c>
      <c r="BD14" s="743" t="str">
        <f ca="1">+Equipos!B10</f>
        <v>Brazil</v>
      </c>
      <c r="BE14" s="747">
        <f t="shared" ca="1" si="25"/>
        <v>7</v>
      </c>
      <c r="BF14" s="747">
        <f t="shared" ca="1" si="26"/>
        <v>3</v>
      </c>
      <c r="BG14" s="747">
        <f t="shared" ca="1" si="17"/>
        <v>2</v>
      </c>
      <c r="BH14" s="747">
        <f t="shared" ca="1" si="18"/>
        <v>1</v>
      </c>
      <c r="BI14" s="747">
        <f t="shared" ca="1" si="19"/>
        <v>0</v>
      </c>
      <c r="BJ14" s="747">
        <f t="shared" ca="1" si="20"/>
        <v>7</v>
      </c>
      <c r="BK14" s="747">
        <f t="shared" ca="1" si="21"/>
        <v>1</v>
      </c>
      <c r="BL14" s="747">
        <f t="shared" ca="1" si="27"/>
        <v>6</v>
      </c>
      <c r="BM14" s="747" t="str">
        <f t="shared" ca="1" si="22"/>
        <v>1C</v>
      </c>
      <c r="BN14" s="747" t="str">
        <f t="shared" ca="1" si="23"/>
        <v>1C</v>
      </c>
      <c r="BO14" s="756">
        <f t="shared" ca="1" si="28"/>
        <v>0</v>
      </c>
      <c r="BP14" s="756">
        <f ca="1">COUNTIFS($BO$6:$BO$53,"&gt;"&amp;BO14,$BC$6:$BC$53,INDEX(T_Equipos[Grupo],MATCH(BD14,T_Equipos[NombreEquipo],0)))+1</f>
        <v>1</v>
      </c>
      <c r="BQ14" s="756" t="str">
        <f ca="1">IF(COUNTIFS($BP$6:$BP$53,BP14,$BC$6:$BC$53,INDEX(T_Equipos[Grupo],MATCH(BD14,T_Equipos[NombreEquipo],0)))=1,"-","P."&amp;BP14&amp;" ("&amp;COUNTIFS($BP$6:$BP$53,BP14,$BC$6:$BC$53,INDEX(T_Equipos[Grupo],MATCH(BD14,T_Equipos[NombreEquipo],0)))&amp;")")</f>
        <v>P.1 (4)</v>
      </c>
      <c r="BR14" s="756">
        <f t="shared" ca="1" si="29"/>
        <v>7</v>
      </c>
      <c r="BS14" s="756">
        <f ca="1">BP14+COUNTIFS($BQ$6:$BQ$53,BQ14,$BR$6:BR$53,"&gt;"&amp;BR14,$BC$6:$BC$53,INDEX(T_Equipos[Grupo],MATCH(BD14,T_Equipos[NombreEquipo],0)))</f>
        <v>1</v>
      </c>
      <c r="BT14" s="756" t="str">
        <f ca="1">IF(COUNTIFS($BS$6:$BS$53,BS14,$BC$6:$BC$53,INDEX(T_Equipos[Grupo],MATCH(BD14,T_Equipos[NombreEquipo],0)))=1,"-","P."&amp;BS14&amp;" ("&amp;COUNTIFS($BS$6:$BS$53,BS14,$BC$6:$BC$53,INDEX(T_Equipos[Grupo],MATCH(BD14,T_Equipos[NombreEquipo],0)))&amp;")")</f>
        <v>P.1 (2)</v>
      </c>
      <c r="BU14" s="757">
        <f t="shared" ca="1" si="36"/>
        <v>0</v>
      </c>
      <c r="BV14" s="757">
        <f t="shared" ca="1" si="37"/>
        <v>1</v>
      </c>
      <c r="BW14" s="757">
        <f t="shared" ca="1" si="38"/>
        <v>0</v>
      </c>
      <c r="BX14" s="757">
        <f t="shared" ca="1" si="39"/>
        <v>1</v>
      </c>
      <c r="BY14" s="757">
        <f ca="1">BS14+COUNTIFS($BT$6:$BT$53,BT14,$BX$6:BX$53,"&gt;"&amp;BX14,$BC$6:$BC$53,INDEX(T_Equipos[Grupo],MATCH(BD14,T_Equipos[NombreEquipo],0)))</f>
        <v>1</v>
      </c>
      <c r="BZ14" s="756" t="str">
        <f ca="1">IF(COUNTIFS($BY$6:$BY$53,BY14,$BC$6:$BC$53,INDEX(T_Equipos[Grupo],MATCH(BD14,T_Equipos[NombreEquipo],0)))=1,"-","P."&amp;BY14&amp;" ("&amp;COUNTIFS($BY$6:$BY$53,BY14,$BC$6:$BC$53,INDEX(T_Equipos[Grupo],MATCH(BD14,T_Equipos[NombreEquipo],0)))&amp;")")</f>
        <v>P.1 (2)</v>
      </c>
      <c r="CA14" s="757">
        <f t="shared" ca="1" si="40"/>
        <v>1</v>
      </c>
      <c r="CB14" s="757">
        <f t="shared" ca="1" si="41"/>
        <v>1</v>
      </c>
      <c r="CC14" s="757">
        <f t="shared" ca="1" si="42"/>
        <v>0</v>
      </c>
      <c r="CD14" s="757">
        <f ca="1">BY14+COUNTIFS($BZ$6:$BZ$53,BZ14,$CC$6:CC$53,"&gt;"&amp;CC14,$BC$6:$BC$53,INDEX(T_Equipos[Grupo],MATCH(BD14,T_Equipos[NombreEquipo],0)))</f>
        <v>1</v>
      </c>
      <c r="CE14" s="756" t="str">
        <f ca="1">IF(COUNTIFS($CD$6:$CD$53,CD14,$BC$6:$BC$53,INDEX(T_Equipos[Grupo],MATCH(BD14,T_Equipos[NombreEquipo],0)))=1,"-","P."&amp;CD14&amp;" ("&amp;COUNTIFS($CD$6:$CD$53,CD14,$BC$6:$BC$53,INDEX(T_Equipos[Grupo],MATCH(BD14,T_Equipos[NombreEquipo],0)))&amp;")")</f>
        <v>P.1 (2)</v>
      </c>
      <c r="CF14" s="757">
        <f t="shared" ca="1" si="43"/>
        <v>1</v>
      </c>
      <c r="CG14" s="757">
        <f ca="1">CD14+COUNTIFS($CE$6:$CE$53,CE14,$CF$6:CF$53,"&gt;"&amp;CF14,$BC$6:$BC$53,INDEX(T_Equipos[Grupo],MATCH(BD14,T_Equipos[NombreEquipo],0)))</f>
        <v>1</v>
      </c>
      <c r="CH14" s="756" t="str">
        <f ca="1">IF(COUNTIFS($CG$6:$CG$53,CG14,$BC$6:$BC$53,INDEX(T_Equipos[Grupo],MATCH(BD14,T_Equipos[NombreEquipo],0)))=1,"-","P."&amp;CG14&amp;" ("&amp;COUNTIFS($CG$6:$CG$53,CG14,$BC$6:$BC$53,INDEX(T_Equipos[Grupo],MATCH(BD14,T_Equipos[NombreEquipo],0)))&amp;")")</f>
        <v>P.1 (2)</v>
      </c>
      <c r="CI14" s="757">
        <f t="shared" ca="1" si="44"/>
        <v>0</v>
      </c>
      <c r="CJ14" s="757">
        <f t="shared" ca="1" si="45"/>
        <v>1</v>
      </c>
      <c r="CK14" s="757">
        <f t="shared" ca="1" si="46"/>
        <v>0</v>
      </c>
      <c r="CL14" s="757">
        <f t="shared" ca="1" si="47"/>
        <v>1</v>
      </c>
      <c r="CM14" s="757">
        <f ca="1">CG14+COUNTIFS($CH$6:$CH$53,CH14,$CL$6:CL$53,"&gt;"&amp;CL14,$BC$6:$BC$53,INDEX(T_Equipos[Grupo],MATCH(BD14,T_Equipos[NombreEquipo],0)))</f>
        <v>1</v>
      </c>
      <c r="CN14" s="756" t="str">
        <f ca="1">IF(COUNTIFS($CM$6:$CM$53,CM14,$BC$6:$BC$53,INDEX(T_Equipos[Grupo],MATCH(BD14,T_Equipos[NombreEquipo],0)))=1,"-","P."&amp;CM14&amp;" ("&amp;COUNTIFS($CM$6:$CM$53,CM14,$BC$6:$BC$53,INDEX(T_Equipos[Grupo],MATCH(BD14,T_Equipos[NombreEquipo],0)))&amp;")")</f>
        <v>P.1 (2)</v>
      </c>
      <c r="CO14" s="757">
        <f t="shared" ca="1" si="48"/>
        <v>1</v>
      </c>
      <c r="CP14" s="757">
        <f t="shared" ca="1" si="49"/>
        <v>1</v>
      </c>
      <c r="CQ14" s="757">
        <f t="shared" ca="1" si="50"/>
        <v>0</v>
      </c>
      <c r="CR14" s="757">
        <f ca="1">CM14+COUNTIFS($CN$6:$CN$53,CN14,$CQ$6:CQ$53,"&gt;"&amp;CQ14,$BC$6:$BC$53,INDEX(T_Equipos[Grupo],MATCH(BD14,T_Equipos[NombreEquipo],0)))</f>
        <v>1</v>
      </c>
      <c r="CS14" s="756" t="str">
        <f ca="1">IF(COUNTIFS($CR$6:$CR$53,CR14,$BC$6:$BC$53,INDEX(T_Equipos[Grupo],MATCH(BD14,T_Equipos[NombreEquipo],0)))=1,"-","P."&amp;CR14&amp;" ("&amp;COUNTIFS($CR$6:$CR$53,CR14,$BC$6:$BC$53,INDEX(T_Equipos[Grupo],MATCH(BD14,T_Equipos[NombreEquipo],0)))&amp;")")</f>
        <v>P.1 (2)</v>
      </c>
      <c r="CT14" s="757">
        <f t="shared" ca="1" si="51"/>
        <v>1</v>
      </c>
      <c r="CU14" s="757">
        <f ca="1">CR14+COUNTIFS($CS$6:$CS$53,CS14,$CT$6:CT$53,"&gt;"&amp;CT14,$BC$6:$BC$53,INDEX(T_Equipos[Grupo],MATCH(BD14,T_Equipos[NombreEquipo],0)))</f>
        <v>1</v>
      </c>
      <c r="CV14" s="756" t="str">
        <f ca="1">IF(COUNTIFS($CU$6:$CU$53,CU14,$BC$6:$BC$53,INDEX(T_Equipos[Grupo],MATCH(BD14,T_Equipos[NombreEquipo],0)))=1,"-","P."&amp;CU14&amp;" ("&amp;COUNTIFS($CU$6:$CU$53,CU14,$BC$6:$BC$53,INDEX(T_Equipos[Grupo],MATCH(BD14,T_Equipos[NombreEquipo],0)))&amp;")")</f>
        <v>P.1 (2)</v>
      </c>
      <c r="CW14" s="756">
        <f t="shared" ca="1" si="30"/>
        <v>6</v>
      </c>
      <c r="CX14" s="756">
        <f ca="1">CU14+COUNTIFS($CV$6:$CV$53,CV14,$CW$6:CW$53,"&gt;"&amp;CW14,$BC$6:$BC$53,INDEX(T_Equipos[Grupo],MATCH(BD14,T_Equipos[NombreEquipo],0)))</f>
        <v>1</v>
      </c>
      <c r="CY14" s="756" t="str">
        <f ca="1">IF(COUNTIFS($CX$6:$CX$53,CX14,$BC$6:$BC$53,INDEX(T_Equipos[Grupo],MATCH(BD14,T_Equipos[NombreEquipo],0)))=1,"-","P."&amp;CX14&amp;" ("&amp;COUNTIFS($CX$6:$CX$53,CX14,$BC$6:$BC$53,INDEX(T_Equipos[Grupo],MATCH(BD14,T_Equipos[NombreEquipo],0)))&amp;")")</f>
        <v>-</v>
      </c>
      <c r="CZ14" s="756" t="str">
        <f t="shared" ca="1" si="31"/>
        <v>-</v>
      </c>
      <c r="DA14" s="757">
        <f ca="1">CX14+COUNTIFS($CY$6:$CY$53,CY14,$CZ$6:CZ$53,"&gt;"&amp;CZ14,$BC$6:$BC$53,INDEX(T_Equipos[Grupo],MATCH(BD14,T_Equipos[NombreEquipo],0)))</f>
        <v>1</v>
      </c>
      <c r="DB14" s="756" t="str">
        <f ca="1">IF(COUNTIFS($DA$6:$DA$53,DA14,$BC$6:$BC$53,INDEX(T_Equipos[Grupo],MATCH(BD14,T_Equipos[NombreEquipo],0)))=1,"-","P."&amp;DA14&amp;" ("&amp;COUNTIFS($DA$6:$DA$53,DA14,$BC$6:$BC$53,INDEX(T_Equipos[Grupo],MATCH(BD14,T_Equipos[NombreEquipo],0)))&amp;")")</f>
        <v>-</v>
      </c>
      <c r="DC14" s="755" t="str">
        <f ca="1">IF(DB14="-","-",COUNTIFS(T_Equipos[Rank],"&lt;"&amp;INDEX(T_Equipos[Rank],MATCH(BD14,T_Equipos[NombreEquipo],0)),$BC$6:$BC$53,INDEX(T_Equipos[Grupo],MATCH(BD14,T_Equipos[NombreEquipo],0)))+1)</f>
        <v>-</v>
      </c>
      <c r="DD14" s="755">
        <f ca="1">DA14+COUNTIFS($DB$6:$DB$53,DB14,$DC$6:DC$53,"&lt;"&amp;DC14,$BC$6:$BC$53,INDEX(T_Equipos[Grupo],MATCH(BD14,T_Equipos[NombreEquipo],0)))</f>
        <v>1</v>
      </c>
      <c r="DE14" s="755"/>
      <c r="DF14" s="755">
        <f t="shared" ca="1" si="52"/>
        <v>1</v>
      </c>
      <c r="DG14" s="755" t="str">
        <f ca="1">IF(DB14="-","-",COUNTIFS(DF$6:DF$53,"&lt;"&amp;DF14,$BC$6:$BC$53,INDEX(T_Equipos[Grupo],MATCH(BD14,T_Equipos[NombreEquipo],0))))</f>
        <v>-</v>
      </c>
      <c r="DH14" s="755">
        <f ca="1">DA14+COUNTIFS(DB$6:DB$53,DB14,DG$6:DG$53,"&lt;"&amp;DG14,$BC$6:$BC$53,INDEX(T_Equipos[Grupo],MATCH(BD14,T_Equipos[NombreEquipo],0)))</f>
        <v>1</v>
      </c>
      <c r="DI14" s="743"/>
      <c r="DJ14" s="743">
        <f t="shared" ca="1" si="53"/>
        <v>1</v>
      </c>
      <c r="DK14" s="743">
        <f t="shared" ca="1" si="24"/>
        <v>12</v>
      </c>
      <c r="DL14" s="743">
        <f t="shared" ca="1" si="33"/>
        <v>1</v>
      </c>
      <c r="DM14" s="737" t="str">
        <f t="shared" ca="1" si="34"/>
        <v>1.1</v>
      </c>
      <c r="DN14" s="743" cm="1">
        <f t="array" aca="1" ref="DN14" ca="1">OFFSET(Horarios!$P$3,DJ14-1,0,DL14,1)</f>
        <v>1</v>
      </c>
      <c r="DO14" s="743"/>
      <c r="DP14" s="743" t="s">
        <v>651</v>
      </c>
      <c r="DQ14" s="743" t="str">
        <f t="shared" ca="1" si="35"/>
        <v>Brazil</v>
      </c>
      <c r="DR14" s="743"/>
      <c r="DS14" s="743"/>
      <c r="DT14" s="743" t="str">
        <f t="shared" ca="1" si="15"/>
        <v>Switzerland-Bosnia and Herzegovina</v>
      </c>
      <c r="DU14" s="743"/>
      <c r="DV14" s="743"/>
      <c r="DW14" s="8"/>
    </row>
    <row r="15" spans="1:127">
      <c r="A15" s="744" t="str">
        <f ca="1">+Equipos!B8</f>
        <v>Qatar</v>
      </c>
      <c r="B15" s="741"/>
      <c r="C15" s="743"/>
      <c r="D15" s="743" t="str">
        <f t="shared" si="54"/>
        <v>Local</v>
      </c>
      <c r="E15" s="743" t="str">
        <f t="shared" ca="1" si="55"/>
        <v>P.2 (2)</v>
      </c>
      <c r="F15" s="743" t="str">
        <f t="shared" ca="1" si="56"/>
        <v>-</v>
      </c>
      <c r="G15" s="743"/>
      <c r="H15" s="743" t="str">
        <f t="shared" ca="1" si="57"/>
        <v>P.2 (2)</v>
      </c>
      <c r="I15" s="743" t="str">
        <f t="shared" ca="1" si="58"/>
        <v>-</v>
      </c>
      <c r="J15" s="743"/>
      <c r="K15" s="743" t="str">
        <f t="shared" ca="1" si="59"/>
        <v>P.2 (2)</v>
      </c>
      <c r="L15" s="743" t="str">
        <f t="shared" ca="1" si="60"/>
        <v>-</v>
      </c>
      <c r="M15" s="743"/>
      <c r="N15" s="743" t="str">
        <f t="shared" ca="1" si="61"/>
        <v>P.2 (2)</v>
      </c>
      <c r="O15" s="743" t="str">
        <f t="shared" ca="1" si="62"/>
        <v>-</v>
      </c>
      <c r="P15" s="743"/>
      <c r="Q15" s="743" t="str">
        <f t="shared" ca="1" si="63"/>
        <v>P.2 (2)</v>
      </c>
      <c r="R15" s="743" t="str">
        <f t="shared" ca="1" si="64"/>
        <v>-</v>
      </c>
      <c r="S15" s="743"/>
      <c r="T15" s="743" t="str">
        <f t="shared" ca="1" si="65"/>
        <v>P.2 (2)</v>
      </c>
      <c r="U15" s="743" t="str">
        <f t="shared" ca="1" si="66"/>
        <v>-</v>
      </c>
      <c r="V15" s="172"/>
      <c r="W15" s="802"/>
      <c r="X15" s="189">
        <f ca="1">Horarios!C15</f>
        <v>46192</v>
      </c>
      <c r="Y15" s="190">
        <f ca="1">Horarios!C15</f>
        <v>46192</v>
      </c>
      <c r="Z15" s="191" t="str">
        <f>$Z$6</f>
        <v>R2</v>
      </c>
      <c r="AA15" s="192" t="str">
        <f ca="1">A13</f>
        <v>Canada</v>
      </c>
      <c r="AB15" s="478" t="e" cm="1" vm="5">
        <f t="array" aca="1" ref="AB15" ca="1">Ver_flag_local</f>
        <v>#VALUE!</v>
      </c>
      <c r="AC15" s="193">
        <v>6</v>
      </c>
      <c r="AD15" s="194">
        <v>0</v>
      </c>
      <c r="AE15" s="483" t="e" cm="1" vm="7">
        <f t="array" aca="1" ref="AE15" ca="1">Ver_flag_visit</f>
        <v>#VALUE!</v>
      </c>
      <c r="AF15" s="195" t="str">
        <f ca="1">A15</f>
        <v>Qatar</v>
      </c>
      <c r="AG15" s="413">
        <f t="shared" si="67"/>
        <v>1</v>
      </c>
      <c r="AH15" s="196">
        <v>27</v>
      </c>
      <c r="AI15" s="19" t="str">
        <f t="shared" ref="AI15:AI17" si="72">AJ15&amp;$B$12</f>
        <v>2B</v>
      </c>
      <c r="AJ15" s="258">
        <v>2</v>
      </c>
      <c r="AK15" s="486" t="e" cm="1" vm="5">
        <f t="array" aca="1" ref="AK15" ca="1">Ver_flag_visit</f>
        <v>#VALUE!</v>
      </c>
      <c r="AL15" s="222" t="str">
        <f ca="1">IFERROR(INDEX($BD$6:$BD$53,MATCH(AI15,$BN$6:$BN$53,0)),"")</f>
        <v>Canada</v>
      </c>
      <c r="AM15" s="223">
        <f t="shared" ca="1" si="71"/>
        <v>4</v>
      </c>
      <c r="AN15" s="224">
        <f t="shared" ca="1" si="71"/>
        <v>3</v>
      </c>
      <c r="AO15" s="224">
        <f t="shared" ca="1" si="71"/>
        <v>1</v>
      </c>
      <c r="AP15" s="224">
        <f t="shared" ca="1" si="71"/>
        <v>1</v>
      </c>
      <c r="AQ15" s="224">
        <f t="shared" ca="1" si="71"/>
        <v>1</v>
      </c>
      <c r="AR15" s="224">
        <f t="shared" ca="1" si="71"/>
        <v>8</v>
      </c>
      <c r="AS15" s="224">
        <f t="shared" ca="1" si="71"/>
        <v>3</v>
      </c>
      <c r="AT15" s="259">
        <f t="shared" ca="1" si="71"/>
        <v>5</v>
      </c>
      <c r="AU15" s="420">
        <f ca="1">INDEX($DL$6:$DL$53,MATCH(AI15,$DP$6:$DP$53,0))</f>
        <v>1</v>
      </c>
      <c r="AV15" s="217" t="str">
        <f ca="1">INDEX($BD$6:$BD$53,MATCH(AI15,$BM$6:$BM$53,0))</f>
        <v>Canada</v>
      </c>
      <c r="AW15" s="427"/>
      <c r="AX15" s="218"/>
      <c r="AY15" s="226" t="str">
        <f ca="1">+A14</f>
        <v>Bosnia and Herzegovina</v>
      </c>
      <c r="AZ15" s="227"/>
      <c r="BA15" s="175"/>
      <c r="BB15" s="743"/>
      <c r="BC15" s="755" t="str">
        <f ca="1">+INDEX(T_Equipos[Grupo],MATCH(WORLDCUP!BD15,T_Equipos[NombreEquipo],0))</f>
        <v>C</v>
      </c>
      <c r="BD15" s="743" t="str">
        <f ca="1">+Equipos!B11</f>
        <v>Morocco</v>
      </c>
      <c r="BE15" s="747">
        <f t="shared" ca="1" si="25"/>
        <v>7</v>
      </c>
      <c r="BF15" s="747">
        <f t="shared" ca="1" si="26"/>
        <v>3</v>
      </c>
      <c r="BG15" s="747">
        <f t="shared" ca="1" si="17"/>
        <v>2</v>
      </c>
      <c r="BH15" s="747">
        <f t="shared" ca="1" si="18"/>
        <v>1</v>
      </c>
      <c r="BI15" s="747">
        <f t="shared" ca="1" si="19"/>
        <v>0</v>
      </c>
      <c r="BJ15" s="747">
        <f t="shared" ca="1" si="20"/>
        <v>6</v>
      </c>
      <c r="BK15" s="747">
        <f t="shared" ca="1" si="21"/>
        <v>3</v>
      </c>
      <c r="BL15" s="747">
        <f t="shared" ca="1" si="27"/>
        <v>3</v>
      </c>
      <c r="BM15" s="747" t="str">
        <f t="shared" ca="1" si="22"/>
        <v>2C</v>
      </c>
      <c r="BN15" s="747" t="str">
        <f t="shared" ca="1" si="23"/>
        <v>2C</v>
      </c>
      <c r="BO15" s="756">
        <f t="shared" ca="1" si="28"/>
        <v>0</v>
      </c>
      <c r="BP15" s="756">
        <f ca="1">COUNTIFS($BO$6:$BO$53,"&gt;"&amp;BO15,$BC$6:$BC$53,INDEX(T_Equipos[Grupo],MATCH(BD15,T_Equipos[NombreEquipo],0)))+1</f>
        <v>1</v>
      </c>
      <c r="BQ15" s="756" t="str">
        <f ca="1">IF(COUNTIFS($BP$6:$BP$53,BP15,$BC$6:$BC$53,INDEX(T_Equipos[Grupo],MATCH(BD15,T_Equipos[NombreEquipo],0)))=1,"-","P."&amp;BP15&amp;" ("&amp;COUNTIFS($BP$6:$BP$53,BP15,$BC$6:$BC$53,INDEX(T_Equipos[Grupo],MATCH(BD15,T_Equipos[NombreEquipo],0)))&amp;")")</f>
        <v>P.1 (4)</v>
      </c>
      <c r="BR15" s="756">
        <f t="shared" ca="1" si="29"/>
        <v>7</v>
      </c>
      <c r="BS15" s="756">
        <f ca="1">BP15+COUNTIFS($BQ$6:$BQ$53,BQ15,$BR$6:BR$53,"&gt;"&amp;BR15,$BC$6:$BC$53,INDEX(T_Equipos[Grupo],MATCH(BD15,T_Equipos[NombreEquipo],0)))</f>
        <v>1</v>
      </c>
      <c r="BT15" s="756" t="str">
        <f ca="1">IF(COUNTIFS($BS$6:$BS$53,BS15,$BC$6:$BC$53,INDEX(T_Equipos[Grupo],MATCH(BD15,T_Equipos[NombreEquipo],0)))=1,"-","P."&amp;BS15&amp;" ("&amp;COUNTIFS($BS$6:$BS$53,BS15,$BC$6:$BC$53,INDEX(T_Equipos[Grupo],MATCH(BD15,T_Equipos[NombreEquipo],0)))&amp;")")</f>
        <v>P.1 (2)</v>
      </c>
      <c r="BU15" s="757">
        <f t="shared" ca="1" si="36"/>
        <v>0</v>
      </c>
      <c r="BV15" s="757">
        <f t="shared" ca="1" si="37"/>
        <v>1</v>
      </c>
      <c r="BW15" s="757">
        <f t="shared" ca="1" si="38"/>
        <v>0</v>
      </c>
      <c r="BX15" s="757">
        <f t="shared" ca="1" si="39"/>
        <v>1</v>
      </c>
      <c r="BY15" s="757">
        <f ca="1">BS15+COUNTIFS($BT$6:$BT$53,BT15,$BX$6:BX$53,"&gt;"&amp;BX15,$BC$6:$BC$53,INDEX(T_Equipos[Grupo],MATCH(BD15,T_Equipos[NombreEquipo],0)))</f>
        <v>1</v>
      </c>
      <c r="BZ15" s="756" t="str">
        <f ca="1">IF(COUNTIFS($BY$6:$BY$53,BY15,$BC$6:$BC$53,INDEX(T_Equipos[Grupo],MATCH(BD15,T_Equipos[NombreEquipo],0)))=1,"-","P."&amp;BY15&amp;" ("&amp;COUNTIFS($BY$6:$BY$53,BY15,$BC$6:$BC$53,INDEX(T_Equipos[Grupo],MATCH(BD15,T_Equipos[NombreEquipo],0)))&amp;")")</f>
        <v>P.1 (2)</v>
      </c>
      <c r="CA15" s="757">
        <f t="shared" ca="1" si="40"/>
        <v>1</v>
      </c>
      <c r="CB15" s="757">
        <f t="shared" ca="1" si="41"/>
        <v>1</v>
      </c>
      <c r="CC15" s="757">
        <f t="shared" ca="1" si="42"/>
        <v>0</v>
      </c>
      <c r="CD15" s="757">
        <f ca="1">BY15+COUNTIFS($BZ$6:$BZ$53,BZ15,$CC$6:CC$53,"&gt;"&amp;CC15,$BC$6:$BC$53,INDEX(T_Equipos[Grupo],MATCH(BD15,T_Equipos[NombreEquipo],0)))</f>
        <v>1</v>
      </c>
      <c r="CE15" s="756" t="str">
        <f ca="1">IF(COUNTIFS($CD$6:$CD$53,CD15,$BC$6:$BC$53,INDEX(T_Equipos[Grupo],MATCH(BD15,T_Equipos[NombreEquipo],0)))=1,"-","P."&amp;CD15&amp;" ("&amp;COUNTIFS($CD$6:$CD$53,CD15,$BC$6:$BC$53,INDEX(T_Equipos[Grupo],MATCH(BD15,T_Equipos[NombreEquipo],0)))&amp;")")</f>
        <v>P.1 (2)</v>
      </c>
      <c r="CF15" s="757">
        <f t="shared" ca="1" si="43"/>
        <v>1</v>
      </c>
      <c r="CG15" s="757">
        <f ca="1">CD15+COUNTIFS($CE$6:$CE$53,CE15,$CF$6:CF$53,"&gt;"&amp;CF15,$BC$6:$BC$53,INDEX(T_Equipos[Grupo],MATCH(BD15,T_Equipos[NombreEquipo],0)))</f>
        <v>1</v>
      </c>
      <c r="CH15" s="756" t="str">
        <f ca="1">IF(COUNTIFS($CG$6:$CG$53,CG15,$BC$6:$BC$53,INDEX(T_Equipos[Grupo],MATCH(BD15,T_Equipos[NombreEquipo],0)))=1,"-","P."&amp;CG15&amp;" ("&amp;COUNTIFS($CG$6:$CG$53,CG15,$BC$6:$BC$53,INDEX(T_Equipos[Grupo],MATCH(BD15,T_Equipos[NombreEquipo],0)))&amp;")")</f>
        <v>P.1 (2)</v>
      </c>
      <c r="CI15" s="757">
        <f t="shared" ca="1" si="44"/>
        <v>0</v>
      </c>
      <c r="CJ15" s="757">
        <f t="shared" ca="1" si="45"/>
        <v>1</v>
      </c>
      <c r="CK15" s="757">
        <f t="shared" ca="1" si="46"/>
        <v>0</v>
      </c>
      <c r="CL15" s="757">
        <f t="shared" ca="1" si="47"/>
        <v>1</v>
      </c>
      <c r="CM15" s="757">
        <f ca="1">CG15+COUNTIFS($CH$6:$CH$53,CH15,$CL$6:CL$53,"&gt;"&amp;CL15,$BC$6:$BC$53,INDEX(T_Equipos[Grupo],MATCH(BD15,T_Equipos[NombreEquipo],0)))</f>
        <v>1</v>
      </c>
      <c r="CN15" s="756" t="str">
        <f ca="1">IF(COUNTIFS($CM$6:$CM$53,CM15,$BC$6:$BC$53,INDEX(T_Equipos[Grupo],MATCH(BD15,T_Equipos[NombreEquipo],0)))=1,"-","P."&amp;CM15&amp;" ("&amp;COUNTIFS($CM$6:$CM$53,CM15,$BC$6:$BC$53,INDEX(T_Equipos[Grupo],MATCH(BD15,T_Equipos[NombreEquipo],0)))&amp;")")</f>
        <v>P.1 (2)</v>
      </c>
      <c r="CO15" s="757">
        <f t="shared" ca="1" si="48"/>
        <v>1</v>
      </c>
      <c r="CP15" s="757">
        <f t="shared" ca="1" si="49"/>
        <v>1</v>
      </c>
      <c r="CQ15" s="757">
        <f t="shared" ca="1" si="50"/>
        <v>0</v>
      </c>
      <c r="CR15" s="757">
        <f ca="1">CM15+COUNTIFS($CN$6:$CN$53,CN15,$CQ$6:CQ$53,"&gt;"&amp;CQ15,$BC$6:$BC$53,INDEX(T_Equipos[Grupo],MATCH(BD15,T_Equipos[NombreEquipo],0)))</f>
        <v>1</v>
      </c>
      <c r="CS15" s="756" t="str">
        <f ca="1">IF(COUNTIFS($CR$6:$CR$53,CR15,$BC$6:$BC$53,INDEX(T_Equipos[Grupo],MATCH(BD15,T_Equipos[NombreEquipo],0)))=1,"-","P."&amp;CR15&amp;" ("&amp;COUNTIFS($CR$6:$CR$53,CR15,$BC$6:$BC$53,INDEX(T_Equipos[Grupo],MATCH(BD15,T_Equipos[NombreEquipo],0)))&amp;")")</f>
        <v>P.1 (2)</v>
      </c>
      <c r="CT15" s="757">
        <f t="shared" ca="1" si="51"/>
        <v>1</v>
      </c>
      <c r="CU15" s="757">
        <f ca="1">CR15+COUNTIFS($CS$6:$CS$53,CS15,$CT$6:CT$53,"&gt;"&amp;CT15,$BC$6:$BC$53,INDEX(T_Equipos[Grupo],MATCH(BD15,T_Equipos[NombreEquipo],0)))</f>
        <v>1</v>
      </c>
      <c r="CV15" s="756" t="str">
        <f ca="1">IF(COUNTIFS($CU$6:$CU$53,CU15,$BC$6:$BC$53,INDEX(T_Equipos[Grupo],MATCH(BD15,T_Equipos[NombreEquipo],0)))=1,"-","P."&amp;CU15&amp;" ("&amp;COUNTIFS($CU$6:$CU$53,CU15,$BC$6:$BC$53,INDEX(T_Equipos[Grupo],MATCH(BD15,T_Equipos[NombreEquipo],0)))&amp;")")</f>
        <v>P.1 (2)</v>
      </c>
      <c r="CW15" s="756">
        <f t="shared" ca="1" si="30"/>
        <v>3</v>
      </c>
      <c r="CX15" s="756">
        <f ca="1">CU15+COUNTIFS($CV$6:$CV$53,CV15,$CW$6:CW$53,"&gt;"&amp;CW15,$BC$6:$BC$53,INDEX(T_Equipos[Grupo],MATCH(BD15,T_Equipos[NombreEquipo],0)))</f>
        <v>2</v>
      </c>
      <c r="CY15" s="756" t="str">
        <f ca="1">IF(COUNTIFS($CX$6:$CX$53,CX15,$BC$6:$BC$53,INDEX(T_Equipos[Grupo],MATCH(BD15,T_Equipos[NombreEquipo],0)))=1,"-","P."&amp;CX15&amp;" ("&amp;COUNTIFS($CX$6:$CX$53,CX15,$BC$6:$BC$53,INDEX(T_Equipos[Grupo],MATCH(BD15,T_Equipos[NombreEquipo],0)))&amp;")")</f>
        <v>-</v>
      </c>
      <c r="CZ15" s="756" t="str">
        <f t="shared" ca="1" si="31"/>
        <v>-</v>
      </c>
      <c r="DA15" s="757">
        <f ca="1">CX15+COUNTIFS($CY$6:$CY$53,CY15,$CZ$6:CZ$53,"&gt;"&amp;CZ15,$BC$6:$BC$53,INDEX(T_Equipos[Grupo],MATCH(BD15,T_Equipos[NombreEquipo],0)))</f>
        <v>2</v>
      </c>
      <c r="DB15" s="756" t="str">
        <f ca="1">IF(COUNTIFS($DA$6:$DA$53,DA15,$BC$6:$BC$53,INDEX(T_Equipos[Grupo],MATCH(BD15,T_Equipos[NombreEquipo],0)))=1,"-","P."&amp;DA15&amp;" ("&amp;COUNTIFS($DA$6:$DA$53,DA15,$BC$6:$BC$53,INDEX(T_Equipos[Grupo],MATCH(BD15,T_Equipos[NombreEquipo],0)))&amp;")")</f>
        <v>-</v>
      </c>
      <c r="DC15" s="755" t="str">
        <f ca="1">IF(DB15="-","-",COUNTIFS(T_Equipos[Rank],"&lt;"&amp;INDEX(T_Equipos[Rank],MATCH(BD15,T_Equipos[NombreEquipo],0)),$BC$6:$BC$53,INDEX(T_Equipos[Grupo],MATCH(BD15,T_Equipos[NombreEquipo],0)))+1)</f>
        <v>-</v>
      </c>
      <c r="DD15" s="755">
        <f ca="1">DA15+COUNTIFS($DB$6:$DB$53,DB15,$DC$6:DC$53,"&lt;"&amp;DC15,$BC$6:$BC$53,INDEX(T_Equipos[Grupo],MATCH(BD15,T_Equipos[NombreEquipo],0)))</f>
        <v>2</v>
      </c>
      <c r="DE15" s="755"/>
      <c r="DF15" s="755">
        <f t="shared" ca="1" si="52"/>
        <v>2</v>
      </c>
      <c r="DG15" s="755" t="str">
        <f ca="1">IF(DB15="-","-",COUNTIFS(DF$6:DF$53,"&lt;"&amp;DF15,$BC$6:$BC$53,INDEX(T_Equipos[Grupo],MATCH(BD15,T_Equipos[NombreEquipo],0))))</f>
        <v>-</v>
      </c>
      <c r="DH15" s="755">
        <f ca="1">DA15+COUNTIFS(DB$6:DB$53,DB15,DG$6:DG$53,"&lt;"&amp;DG15,$BC$6:$BC$53,INDEX(T_Equipos[Grupo],MATCH(BD15,T_Equipos[NombreEquipo],0)))</f>
        <v>2</v>
      </c>
      <c r="DI15" s="743"/>
      <c r="DJ15" s="743">
        <f t="shared" ca="1" si="53"/>
        <v>2</v>
      </c>
      <c r="DK15" s="743">
        <f t="shared" ca="1" si="24"/>
        <v>12</v>
      </c>
      <c r="DL15" s="743">
        <f t="shared" ca="1" si="33"/>
        <v>1</v>
      </c>
      <c r="DM15" s="737" t="str">
        <f t="shared" ca="1" si="34"/>
        <v>2.1</v>
      </c>
      <c r="DN15" s="743" cm="1">
        <f t="array" aca="1" ref="DN15" ca="1">OFFSET(Horarios!$P$3,DJ15-1,0,DL15,1)</f>
        <v>2</v>
      </c>
      <c r="DO15" s="743"/>
      <c r="DP15" s="743" t="s">
        <v>656</v>
      </c>
      <c r="DQ15" s="743" t="str">
        <f t="shared" ca="1" si="35"/>
        <v>Morocco</v>
      </c>
      <c r="DR15" s="743"/>
      <c r="DS15" s="743"/>
      <c r="DT15" s="743" t="str">
        <f t="shared" ca="1" si="15"/>
        <v>Canada-Qatar</v>
      </c>
      <c r="DU15" s="743"/>
      <c r="DV15" s="743"/>
      <c r="DW15" s="8"/>
    </row>
    <row r="16" spans="1:127">
      <c r="A16" s="744" t="str">
        <f ca="1">+Equipos!B9</f>
        <v>Switzerland</v>
      </c>
      <c r="B16" s="741"/>
      <c r="C16" s="743"/>
      <c r="D16" s="743" t="str">
        <f t="shared" si="54"/>
        <v>Local</v>
      </c>
      <c r="E16" s="743" t="str">
        <f t="shared" ca="1" si="55"/>
        <v>-</v>
      </c>
      <c r="F16" s="743" t="str">
        <f t="shared" ca="1" si="56"/>
        <v>P.2 (2)</v>
      </c>
      <c r="G16" s="743"/>
      <c r="H16" s="743" t="str">
        <f t="shared" ca="1" si="57"/>
        <v>-</v>
      </c>
      <c r="I16" s="743" t="str">
        <f t="shared" ca="1" si="58"/>
        <v>P.2 (2)</v>
      </c>
      <c r="J16" s="743"/>
      <c r="K16" s="743" t="str">
        <f t="shared" ca="1" si="59"/>
        <v>-</v>
      </c>
      <c r="L16" s="743" t="str">
        <f t="shared" ca="1" si="60"/>
        <v>P.2 (2)</v>
      </c>
      <c r="M16" s="743"/>
      <c r="N16" s="743" t="str">
        <f t="shared" ca="1" si="61"/>
        <v>-</v>
      </c>
      <c r="O16" s="743" t="str">
        <f t="shared" ca="1" si="62"/>
        <v>P.2 (2)</v>
      </c>
      <c r="P16" s="743"/>
      <c r="Q16" s="743" t="str">
        <f t="shared" ca="1" si="63"/>
        <v>-</v>
      </c>
      <c r="R16" s="743" t="str">
        <f t="shared" ca="1" si="64"/>
        <v>P.2 (2)</v>
      </c>
      <c r="S16" s="743"/>
      <c r="T16" s="743" t="str">
        <f t="shared" ca="1" si="65"/>
        <v>-</v>
      </c>
      <c r="U16" s="743" t="str">
        <f t="shared" ca="1" si="66"/>
        <v>P.2 (2)</v>
      </c>
      <c r="V16" s="172"/>
      <c r="W16" s="802"/>
      <c r="X16" s="189">
        <f ca="1">Horarios!C16</f>
        <v>46197.875</v>
      </c>
      <c r="Y16" s="190">
        <f ca="1">Horarios!C16</f>
        <v>46197.875</v>
      </c>
      <c r="Z16" s="191" t="str">
        <f>$Z$8</f>
        <v>R3</v>
      </c>
      <c r="AA16" s="192" t="str">
        <f ca="1">A16</f>
        <v>Switzerland</v>
      </c>
      <c r="AB16" s="478" t="e" cm="1" vm="8">
        <f t="array" aca="1" ref="AB16" ca="1">Ver_flag_local</f>
        <v>#VALUE!</v>
      </c>
      <c r="AC16" s="193">
        <v>2</v>
      </c>
      <c r="AD16" s="194">
        <v>1</v>
      </c>
      <c r="AE16" s="483" t="e" cm="1" vm="5">
        <f t="array" aca="1" ref="AE16" ca="1">Ver_flag_visit</f>
        <v>#VALUE!</v>
      </c>
      <c r="AF16" s="195" t="str">
        <f ca="1">A13</f>
        <v>Canada</v>
      </c>
      <c r="AG16" s="413">
        <f t="shared" si="67"/>
        <v>1</v>
      </c>
      <c r="AH16" s="196">
        <v>51</v>
      </c>
      <c r="AI16" s="19" t="str">
        <f t="shared" si="72"/>
        <v>3B</v>
      </c>
      <c r="AJ16" s="258">
        <v>3</v>
      </c>
      <c r="AK16" s="486" t="e" cm="1" vm="6">
        <f t="array" aca="1" ref="AK16" ca="1">Ver_flag_visit</f>
        <v>#VALUE!</v>
      </c>
      <c r="AL16" s="222" t="str">
        <f ca="1">IFERROR(INDEX($BD$6:$BD$53,MATCH(AI16,$BN$6:$BN$53,0)),"")</f>
        <v>Bosnia and Herzegovina</v>
      </c>
      <c r="AM16" s="223">
        <f t="shared" ca="1" si="71"/>
        <v>4</v>
      </c>
      <c r="AN16" s="224">
        <f t="shared" ca="1" si="71"/>
        <v>3</v>
      </c>
      <c r="AO16" s="224">
        <f t="shared" ca="1" si="71"/>
        <v>1</v>
      </c>
      <c r="AP16" s="224">
        <f t="shared" ca="1" si="71"/>
        <v>1</v>
      </c>
      <c r="AQ16" s="224">
        <f t="shared" ca="1" si="71"/>
        <v>1</v>
      </c>
      <c r="AR16" s="224">
        <f t="shared" ca="1" si="71"/>
        <v>5</v>
      </c>
      <c r="AS16" s="224">
        <f t="shared" ca="1" si="71"/>
        <v>6</v>
      </c>
      <c r="AT16" s="259">
        <f t="shared" ca="1" si="71"/>
        <v>-1</v>
      </c>
      <c r="AU16" s="420">
        <f ca="1">INDEX($DL$6:$DL$53,MATCH(AI16,$DP$6:$DP$53,0))</f>
        <v>1</v>
      </c>
      <c r="AV16" s="217" t="str">
        <f ca="1">INDEX($BD$6:$BD$53,MATCH(AI16,$BM$6:$BM$53,0))</f>
        <v>Bosnia and Herzegovina</v>
      </c>
      <c r="AW16" s="427"/>
      <c r="AX16" s="218"/>
      <c r="AY16" s="219" t="str">
        <f ca="1">+A15</f>
        <v>Qatar</v>
      </c>
      <c r="AZ16" s="220"/>
      <c r="BA16" s="175"/>
      <c r="BB16" s="743"/>
      <c r="BC16" s="755" t="str">
        <f ca="1">+INDEX(T_Equipos[Grupo],MATCH(WORLDCUP!BD16,T_Equipos[NombreEquipo],0))</f>
        <v>C</v>
      </c>
      <c r="BD16" s="743" t="str">
        <f ca="1">+Equipos!B12</f>
        <v>Haiti</v>
      </c>
      <c r="BE16" s="747">
        <f t="shared" ca="1" si="25"/>
        <v>0</v>
      </c>
      <c r="BF16" s="747">
        <f t="shared" ca="1" si="26"/>
        <v>3</v>
      </c>
      <c r="BG16" s="747">
        <f t="shared" ca="1" si="17"/>
        <v>0</v>
      </c>
      <c r="BH16" s="747">
        <f t="shared" ca="1" si="18"/>
        <v>0</v>
      </c>
      <c r="BI16" s="747">
        <f t="shared" ca="1" si="19"/>
        <v>3</v>
      </c>
      <c r="BJ16" s="747">
        <f t="shared" ca="1" si="20"/>
        <v>2</v>
      </c>
      <c r="BK16" s="747">
        <f t="shared" ca="1" si="21"/>
        <v>8</v>
      </c>
      <c r="BL16" s="747">
        <f t="shared" ca="1" si="27"/>
        <v>-6</v>
      </c>
      <c r="BM16" s="747" t="str">
        <f t="shared" ca="1" si="22"/>
        <v>4C</v>
      </c>
      <c r="BN16" s="747" t="str">
        <f t="shared" ca="1" si="23"/>
        <v>4C</v>
      </c>
      <c r="BO16" s="756">
        <f t="shared" ca="1" si="28"/>
        <v>0</v>
      </c>
      <c r="BP16" s="756">
        <f ca="1">COUNTIFS($BO$6:$BO$53,"&gt;"&amp;BO16,$BC$6:$BC$53,INDEX(T_Equipos[Grupo],MATCH(BD16,T_Equipos[NombreEquipo],0)))+1</f>
        <v>1</v>
      </c>
      <c r="BQ16" s="756" t="str">
        <f ca="1">IF(COUNTIFS($BP$6:$BP$53,BP16,$BC$6:$BC$53,INDEX(T_Equipos[Grupo],MATCH(BD16,T_Equipos[NombreEquipo],0)))=1,"-","P."&amp;BP16&amp;" ("&amp;COUNTIFS($BP$6:$BP$53,BP16,$BC$6:$BC$53,INDEX(T_Equipos[Grupo],MATCH(BD16,T_Equipos[NombreEquipo],0)))&amp;")")</f>
        <v>P.1 (4)</v>
      </c>
      <c r="BR16" s="756">
        <f t="shared" ca="1" si="29"/>
        <v>0</v>
      </c>
      <c r="BS16" s="756">
        <f ca="1">BP16+COUNTIFS($BQ$6:$BQ$53,BQ16,$BR$6:BR$53,"&gt;"&amp;BR16,$BC$6:$BC$53,INDEX(T_Equipos[Grupo],MATCH(BD16,T_Equipos[NombreEquipo],0)))</f>
        <v>4</v>
      </c>
      <c r="BT16" s="756" t="str">
        <f ca="1">IF(COUNTIFS($BS$6:$BS$53,BS16,$BC$6:$BC$53,INDEX(T_Equipos[Grupo],MATCH(BD16,T_Equipos[NombreEquipo],0)))=1,"-","P."&amp;BS16&amp;" ("&amp;COUNTIFS($BS$6:$BS$53,BS16,$BC$6:$BC$53,INDEX(T_Equipos[Grupo],MATCH(BD16,T_Equipos[NombreEquipo],0)))&amp;")")</f>
        <v>-</v>
      </c>
      <c r="BU16" s="757" t="str">
        <f t="shared" ca="1" si="36"/>
        <v>-</v>
      </c>
      <c r="BV16" s="757" t="str">
        <f t="shared" ca="1" si="37"/>
        <v>-</v>
      </c>
      <c r="BW16" s="757" t="str">
        <f t="shared" ca="1" si="38"/>
        <v>-</v>
      </c>
      <c r="BX16" s="757" t="str">
        <f t="shared" ca="1" si="39"/>
        <v>-</v>
      </c>
      <c r="BY16" s="757">
        <f ca="1">BS16+COUNTIFS($BT$6:$BT$53,BT16,$BX$6:BX$53,"&gt;"&amp;BX16,$BC$6:$BC$53,INDEX(T_Equipos[Grupo],MATCH(BD16,T_Equipos[NombreEquipo],0)))</f>
        <v>4</v>
      </c>
      <c r="BZ16" s="756" t="str">
        <f ca="1">IF(COUNTIFS($BY$6:$BY$53,BY16,$BC$6:$BC$53,INDEX(T_Equipos[Grupo],MATCH(BD16,T_Equipos[NombreEquipo],0)))=1,"-","P."&amp;BY16&amp;" ("&amp;COUNTIFS($BY$6:$BY$53,BY16,$BC$6:$BC$53,INDEX(T_Equipos[Grupo],MATCH(BD16,T_Equipos[NombreEquipo],0)))&amp;")")</f>
        <v>-</v>
      </c>
      <c r="CA16" s="757" t="str">
        <f t="shared" ca="1" si="40"/>
        <v>-</v>
      </c>
      <c r="CB16" s="757" t="str">
        <f t="shared" ca="1" si="41"/>
        <v>-</v>
      </c>
      <c r="CC16" s="757" t="str">
        <f t="shared" ca="1" si="42"/>
        <v>-</v>
      </c>
      <c r="CD16" s="757">
        <f ca="1">BY16+COUNTIFS($BZ$6:$BZ$53,BZ16,$CC$6:CC$53,"&gt;"&amp;CC16,$BC$6:$BC$53,INDEX(T_Equipos[Grupo],MATCH(BD16,T_Equipos[NombreEquipo],0)))</f>
        <v>4</v>
      </c>
      <c r="CE16" s="756" t="str">
        <f ca="1">IF(COUNTIFS($CD$6:$CD$53,CD16,$BC$6:$BC$53,INDEX(T_Equipos[Grupo],MATCH(BD16,T_Equipos[NombreEquipo],0)))=1,"-","P."&amp;CD16&amp;" ("&amp;COUNTIFS($CD$6:$CD$53,CD16,$BC$6:$BC$53,INDEX(T_Equipos[Grupo],MATCH(BD16,T_Equipos[NombreEquipo],0)))&amp;")")</f>
        <v>-</v>
      </c>
      <c r="CF16" s="757" t="str">
        <f t="shared" ca="1" si="43"/>
        <v>-</v>
      </c>
      <c r="CG16" s="757">
        <f ca="1">CD16+COUNTIFS($CE$6:$CE$53,CE16,$CF$6:CF$53,"&gt;"&amp;CF16,$BC$6:$BC$53,INDEX(T_Equipos[Grupo],MATCH(BD16,T_Equipos[NombreEquipo],0)))</f>
        <v>4</v>
      </c>
      <c r="CH16" s="756" t="str">
        <f ca="1">IF(COUNTIFS($CG$6:$CG$53,CG16,$BC$6:$BC$53,INDEX(T_Equipos[Grupo],MATCH(BD16,T_Equipos[NombreEquipo],0)))=1,"-","P."&amp;CG16&amp;" ("&amp;COUNTIFS($CG$6:$CG$53,CG16,$BC$6:$BC$53,INDEX(T_Equipos[Grupo],MATCH(BD16,T_Equipos[NombreEquipo],0)))&amp;")")</f>
        <v>-</v>
      </c>
      <c r="CI16" s="757" t="str">
        <f t="shared" ca="1" si="44"/>
        <v>-</v>
      </c>
      <c r="CJ16" s="757" t="str">
        <f t="shared" ca="1" si="45"/>
        <v>-</v>
      </c>
      <c r="CK16" s="757" t="str">
        <f t="shared" ca="1" si="46"/>
        <v>-</v>
      </c>
      <c r="CL16" s="757" t="str">
        <f t="shared" ca="1" si="47"/>
        <v>-</v>
      </c>
      <c r="CM16" s="757">
        <f ca="1">CG16+COUNTIFS($CH$6:$CH$53,CH16,$CL$6:CL$53,"&gt;"&amp;CL16,$BC$6:$BC$53,INDEX(T_Equipos[Grupo],MATCH(BD16,T_Equipos[NombreEquipo],0)))</f>
        <v>4</v>
      </c>
      <c r="CN16" s="756" t="str">
        <f ca="1">IF(COUNTIFS($CM$6:$CM$53,CM16,$BC$6:$BC$53,INDEX(T_Equipos[Grupo],MATCH(BD16,T_Equipos[NombreEquipo],0)))=1,"-","P."&amp;CM16&amp;" ("&amp;COUNTIFS($CM$6:$CM$53,CM16,$BC$6:$BC$53,INDEX(T_Equipos[Grupo],MATCH(BD16,T_Equipos[NombreEquipo],0)))&amp;")")</f>
        <v>-</v>
      </c>
      <c r="CO16" s="757" t="str">
        <f t="shared" ca="1" si="48"/>
        <v>-</v>
      </c>
      <c r="CP16" s="757" t="str">
        <f t="shared" ca="1" si="49"/>
        <v>-</v>
      </c>
      <c r="CQ16" s="757" t="str">
        <f t="shared" ca="1" si="50"/>
        <v>-</v>
      </c>
      <c r="CR16" s="757">
        <f ca="1">CM16+COUNTIFS($CN$6:$CN$53,CN16,$CQ$6:CQ$53,"&gt;"&amp;CQ16,$BC$6:$BC$53,INDEX(T_Equipos[Grupo],MATCH(BD16,T_Equipos[NombreEquipo],0)))</f>
        <v>4</v>
      </c>
      <c r="CS16" s="756" t="str">
        <f ca="1">IF(COUNTIFS($CR$6:$CR$53,CR16,$BC$6:$BC$53,INDEX(T_Equipos[Grupo],MATCH(BD16,T_Equipos[NombreEquipo],0)))=1,"-","P."&amp;CR16&amp;" ("&amp;COUNTIFS($CR$6:$CR$53,CR16,$BC$6:$BC$53,INDEX(T_Equipos[Grupo],MATCH(BD16,T_Equipos[NombreEquipo],0)))&amp;")")</f>
        <v>-</v>
      </c>
      <c r="CT16" s="757" t="str">
        <f t="shared" ca="1" si="51"/>
        <v>-</v>
      </c>
      <c r="CU16" s="757">
        <f ca="1">CR16+COUNTIFS($CS$6:$CS$53,CS16,$CT$6:CT$53,"&gt;"&amp;CT16,$BC$6:$BC$53,INDEX(T_Equipos[Grupo],MATCH(BD16,T_Equipos[NombreEquipo],0)))</f>
        <v>4</v>
      </c>
      <c r="CV16" s="756" t="str">
        <f ca="1">IF(COUNTIFS($CU$6:$CU$53,CU16,$BC$6:$BC$53,INDEX(T_Equipos[Grupo],MATCH(BD16,T_Equipos[NombreEquipo],0)))=1,"-","P."&amp;CU16&amp;" ("&amp;COUNTIFS($CU$6:$CU$53,CU16,$BC$6:$BC$53,INDEX(T_Equipos[Grupo],MATCH(BD16,T_Equipos[NombreEquipo],0)))&amp;")")</f>
        <v>-</v>
      </c>
      <c r="CW16" s="756" t="str">
        <f t="shared" ca="1" si="30"/>
        <v>-</v>
      </c>
      <c r="CX16" s="756">
        <f ca="1">CU16+COUNTIFS($CV$6:$CV$53,CV16,$CW$6:CW$53,"&gt;"&amp;CW16,$BC$6:$BC$53,INDEX(T_Equipos[Grupo],MATCH(BD16,T_Equipos[NombreEquipo],0)))</f>
        <v>4</v>
      </c>
      <c r="CY16" s="756" t="str">
        <f ca="1">IF(COUNTIFS($CX$6:$CX$53,CX16,$BC$6:$BC$53,INDEX(T_Equipos[Grupo],MATCH(BD16,T_Equipos[NombreEquipo],0)))=1,"-","P."&amp;CX16&amp;" ("&amp;COUNTIFS($CX$6:$CX$53,CX16,$BC$6:$BC$53,INDEX(T_Equipos[Grupo],MATCH(BD16,T_Equipos[NombreEquipo],0)))&amp;")")</f>
        <v>-</v>
      </c>
      <c r="CZ16" s="756" t="str">
        <f t="shared" ca="1" si="31"/>
        <v>-</v>
      </c>
      <c r="DA16" s="757">
        <f ca="1">CX16+COUNTIFS($CY$6:$CY$53,CY16,$CZ$6:CZ$53,"&gt;"&amp;CZ16,$BC$6:$BC$53,INDEX(T_Equipos[Grupo],MATCH(BD16,T_Equipos[NombreEquipo],0)))</f>
        <v>4</v>
      </c>
      <c r="DB16" s="756" t="str">
        <f ca="1">IF(COUNTIFS($DA$6:$DA$53,DA16,$BC$6:$BC$53,INDEX(T_Equipos[Grupo],MATCH(BD16,T_Equipos[NombreEquipo],0)))=1,"-","P."&amp;DA16&amp;" ("&amp;COUNTIFS($DA$6:$DA$53,DA16,$BC$6:$BC$53,INDEX(T_Equipos[Grupo],MATCH(BD16,T_Equipos[NombreEquipo],0)))&amp;")")</f>
        <v>-</v>
      </c>
      <c r="DC16" s="755" t="str">
        <f ca="1">IF(DB16="-","-",COUNTIFS(T_Equipos[Rank],"&lt;"&amp;INDEX(T_Equipos[Rank],MATCH(BD16,T_Equipos[NombreEquipo],0)),$BC$6:$BC$53,INDEX(T_Equipos[Grupo],MATCH(BD16,T_Equipos[NombreEquipo],0)))+1)</f>
        <v>-</v>
      </c>
      <c r="DD16" s="755">
        <f ca="1">DA16+COUNTIFS($DB$6:$DB$53,DB16,$DC$6:DC$53,"&lt;"&amp;DC16,$BC$6:$BC$53,INDEX(T_Equipos[Grupo],MATCH(BD16,T_Equipos[NombreEquipo],0)))</f>
        <v>4</v>
      </c>
      <c r="DE16" s="755"/>
      <c r="DF16" s="755">
        <f t="shared" ca="1" si="52"/>
        <v>4</v>
      </c>
      <c r="DG16" s="755" t="str">
        <f ca="1">IF(DB16="-","-",COUNTIFS(DF$6:DF$53,"&lt;"&amp;DF16,$BC$6:$BC$53,INDEX(T_Equipos[Grupo],MATCH(BD16,T_Equipos[NombreEquipo],0))))</f>
        <v>-</v>
      </c>
      <c r="DH16" s="755">
        <f ca="1">DA16+COUNTIFS(DB$6:DB$53,DB16,DG$6:DG$53,"&lt;"&amp;DG16,$BC$6:$BC$53,INDEX(T_Equipos[Grupo],MATCH(BD16,T_Equipos[NombreEquipo],0)))</f>
        <v>4</v>
      </c>
      <c r="DI16" s="743"/>
      <c r="DJ16" s="743">
        <f t="shared" ca="1" si="53"/>
        <v>3</v>
      </c>
      <c r="DK16" s="743">
        <f t="shared" ca="1" si="24"/>
        <v>12</v>
      </c>
      <c r="DL16" s="743">
        <f t="shared" ca="1" si="33"/>
        <v>1</v>
      </c>
      <c r="DM16" s="737" t="str">
        <f t="shared" ca="1" si="34"/>
        <v>3.1</v>
      </c>
      <c r="DN16" s="743" cm="1">
        <f t="array" aca="1" ref="DN16" ca="1">OFFSET(Horarios!$P$3,DJ16-1,0,DL16,1)</f>
        <v>3</v>
      </c>
      <c r="DO16" s="743"/>
      <c r="DP16" s="743" t="s">
        <v>91</v>
      </c>
      <c r="DQ16" s="743" t="str">
        <f t="shared" ca="1" si="35"/>
        <v>Scotland</v>
      </c>
      <c r="DR16" s="743"/>
      <c r="DS16" s="743"/>
      <c r="DT16" s="743" t="str">
        <f t="shared" ca="1" si="15"/>
        <v>Switzerland-Canada</v>
      </c>
      <c r="DU16" s="743"/>
      <c r="DV16" s="743"/>
      <c r="DW16" s="8"/>
    </row>
    <row r="17" spans="1:127" ht="15.75" thickBot="1">
      <c r="A17" s="738"/>
      <c r="B17" s="741"/>
      <c r="C17" s="738"/>
      <c r="D17" s="743" t="str">
        <f t="shared" si="54"/>
        <v>Local</v>
      </c>
      <c r="E17" s="743" t="str">
        <f t="shared" ca="1" si="55"/>
        <v>P.2 (2)</v>
      </c>
      <c r="F17" s="743" t="str">
        <f t="shared" ca="1" si="56"/>
        <v>-</v>
      </c>
      <c r="G17" s="743"/>
      <c r="H17" s="743" t="str">
        <f t="shared" ca="1" si="57"/>
        <v>P.2 (2)</v>
      </c>
      <c r="I17" s="743" t="str">
        <f t="shared" ca="1" si="58"/>
        <v>-</v>
      </c>
      <c r="J17" s="743"/>
      <c r="K17" s="743" t="str">
        <f t="shared" ca="1" si="59"/>
        <v>P.2 (2)</v>
      </c>
      <c r="L17" s="743" t="str">
        <f t="shared" ca="1" si="60"/>
        <v>-</v>
      </c>
      <c r="M17" s="743"/>
      <c r="N17" s="743" t="str">
        <f t="shared" ca="1" si="61"/>
        <v>P.2 (2)</v>
      </c>
      <c r="O17" s="743" t="str">
        <f t="shared" ca="1" si="62"/>
        <v>-</v>
      </c>
      <c r="P17" s="743"/>
      <c r="Q17" s="743" t="str">
        <f t="shared" ca="1" si="63"/>
        <v>P.2 (2)</v>
      </c>
      <c r="R17" s="743" t="str">
        <f t="shared" ca="1" si="64"/>
        <v>-</v>
      </c>
      <c r="S17" s="743"/>
      <c r="T17" s="743" t="str">
        <f t="shared" ca="1" si="65"/>
        <v>P.2 (2)</v>
      </c>
      <c r="U17" s="743" t="str">
        <f t="shared" ca="1" si="66"/>
        <v>-</v>
      </c>
      <c r="V17" s="172"/>
      <c r="W17" s="803"/>
      <c r="X17" s="228">
        <f ca="1">Horarios!C17</f>
        <v>46197.875</v>
      </c>
      <c r="Y17" s="229">
        <f ca="1">Horarios!C17</f>
        <v>46197.875</v>
      </c>
      <c r="Z17" s="230" t="str">
        <f>$Z$8</f>
        <v>R3</v>
      </c>
      <c r="AA17" s="231" t="str">
        <f ca="1">A14</f>
        <v>Bosnia and Herzegovina</v>
      </c>
      <c r="AB17" s="479" t="e" cm="1" vm="6">
        <f t="array" aca="1" ref="AB17" ca="1">Ver_flag_local</f>
        <v>#VALUE!</v>
      </c>
      <c r="AC17" s="232">
        <v>3</v>
      </c>
      <c r="AD17" s="233">
        <v>1</v>
      </c>
      <c r="AE17" s="484" t="e" cm="1" vm="7">
        <f t="array" aca="1" ref="AE17" ca="1">Ver_flag_visit</f>
        <v>#VALUE!</v>
      </c>
      <c r="AF17" s="234" t="str">
        <f ca="1">A15</f>
        <v>Qatar</v>
      </c>
      <c r="AG17" s="413">
        <f t="shared" si="67"/>
        <v>1</v>
      </c>
      <c r="AH17" s="196">
        <v>52</v>
      </c>
      <c r="AI17" s="19" t="str">
        <f t="shared" si="72"/>
        <v>4B</v>
      </c>
      <c r="AJ17" s="260">
        <v>4</v>
      </c>
      <c r="AK17" s="489" t="e" cm="1" vm="7">
        <f t="array" aca="1" ref="AK17" ca="1">Ver_flag_visit</f>
        <v>#VALUE!</v>
      </c>
      <c r="AL17" s="261" t="str">
        <f ca="1">IFERROR(INDEX($BD$6:$BD$53,MATCH(AI17,$BN$6:$BN$53,0)),"")</f>
        <v>Qatar</v>
      </c>
      <c r="AM17" s="262">
        <f t="shared" ca="1" si="71"/>
        <v>1</v>
      </c>
      <c r="AN17" s="263">
        <f t="shared" ca="1" si="71"/>
        <v>3</v>
      </c>
      <c r="AO17" s="263">
        <f t="shared" ca="1" si="71"/>
        <v>0</v>
      </c>
      <c r="AP17" s="263">
        <f t="shared" ca="1" si="71"/>
        <v>1</v>
      </c>
      <c r="AQ17" s="263">
        <f t="shared" ca="1" si="71"/>
        <v>2</v>
      </c>
      <c r="AR17" s="263">
        <f t="shared" ca="1" si="71"/>
        <v>2</v>
      </c>
      <c r="AS17" s="263">
        <f t="shared" ca="1" si="71"/>
        <v>10</v>
      </c>
      <c r="AT17" s="264">
        <f t="shared" ca="1" si="71"/>
        <v>-8</v>
      </c>
      <c r="AU17" s="420">
        <f ca="1">INDEX($DL$6:$DL$53,MATCH(AI17,$DP$6:$DP$53,0))</f>
        <v>1</v>
      </c>
      <c r="AV17" s="217" t="str">
        <f ca="1">INDEX($BD$6:$BD$53,MATCH(AI17,$BM$6:$BM$53,0))</f>
        <v>Qatar</v>
      </c>
      <c r="AW17" s="427"/>
      <c r="AX17" s="218"/>
      <c r="AY17" s="240" t="str">
        <f ca="1">+A16</f>
        <v>Switzerland</v>
      </c>
      <c r="AZ17" s="241"/>
      <c r="BA17" s="175"/>
      <c r="BB17" s="743"/>
      <c r="BC17" s="755" t="str">
        <f ca="1">+INDEX(T_Equipos[Grupo],MATCH(WORLDCUP!BD17,T_Equipos[NombreEquipo],0))</f>
        <v>C</v>
      </c>
      <c r="BD17" s="743" t="str">
        <f ca="1">+Equipos!B13</f>
        <v>Scotland</v>
      </c>
      <c r="BE17" s="747">
        <f t="shared" ca="1" si="25"/>
        <v>3</v>
      </c>
      <c r="BF17" s="747">
        <f t="shared" ca="1" si="26"/>
        <v>3</v>
      </c>
      <c r="BG17" s="747">
        <f t="shared" ca="1" si="17"/>
        <v>1</v>
      </c>
      <c r="BH17" s="747">
        <f t="shared" ca="1" si="18"/>
        <v>0</v>
      </c>
      <c r="BI17" s="747">
        <f t="shared" ca="1" si="19"/>
        <v>2</v>
      </c>
      <c r="BJ17" s="747">
        <f t="shared" ca="1" si="20"/>
        <v>1</v>
      </c>
      <c r="BK17" s="747">
        <f t="shared" ca="1" si="21"/>
        <v>4</v>
      </c>
      <c r="BL17" s="747">
        <f t="shared" ca="1" si="27"/>
        <v>-3</v>
      </c>
      <c r="BM17" s="747" t="str">
        <f t="shared" ca="1" si="22"/>
        <v>3C</v>
      </c>
      <c r="BN17" s="747" t="str">
        <f t="shared" ca="1" si="23"/>
        <v>3C</v>
      </c>
      <c r="BO17" s="756">
        <f t="shared" ca="1" si="28"/>
        <v>0</v>
      </c>
      <c r="BP17" s="756">
        <f ca="1">COUNTIFS($BO$6:$BO$53,"&gt;"&amp;BO17,$BC$6:$BC$53,INDEX(T_Equipos[Grupo],MATCH(BD17,T_Equipos[NombreEquipo],0)))+1</f>
        <v>1</v>
      </c>
      <c r="BQ17" s="756" t="str">
        <f ca="1">IF(COUNTIFS($BP$6:$BP$53,BP17,$BC$6:$BC$53,INDEX(T_Equipos[Grupo],MATCH(BD17,T_Equipos[NombreEquipo],0)))=1,"-","P."&amp;BP17&amp;" ("&amp;COUNTIFS($BP$6:$BP$53,BP17,$BC$6:$BC$53,INDEX(T_Equipos[Grupo],MATCH(BD17,T_Equipos[NombreEquipo],0)))&amp;")")</f>
        <v>P.1 (4)</v>
      </c>
      <c r="BR17" s="756">
        <f t="shared" ca="1" si="29"/>
        <v>3</v>
      </c>
      <c r="BS17" s="756">
        <f ca="1">BP17+COUNTIFS($BQ$6:$BQ$53,BQ17,$BR$6:BR$53,"&gt;"&amp;BR17,$BC$6:$BC$53,INDEX(T_Equipos[Grupo],MATCH(BD17,T_Equipos[NombreEquipo],0)))</f>
        <v>3</v>
      </c>
      <c r="BT17" s="756" t="str">
        <f ca="1">IF(COUNTIFS($BS$6:$BS$53,BS17,$BC$6:$BC$53,INDEX(T_Equipos[Grupo],MATCH(BD17,T_Equipos[NombreEquipo],0)))=1,"-","P."&amp;BS17&amp;" ("&amp;COUNTIFS($BS$6:$BS$53,BS17,$BC$6:$BC$53,INDEX(T_Equipos[Grupo],MATCH(BD17,T_Equipos[NombreEquipo],0)))&amp;")")</f>
        <v>-</v>
      </c>
      <c r="BU17" s="757" t="str">
        <f t="shared" ca="1" si="36"/>
        <v>-</v>
      </c>
      <c r="BV17" s="757" t="str">
        <f t="shared" ca="1" si="37"/>
        <v>-</v>
      </c>
      <c r="BW17" s="757" t="str">
        <f t="shared" ca="1" si="38"/>
        <v>-</v>
      </c>
      <c r="BX17" s="757" t="str">
        <f t="shared" ca="1" si="39"/>
        <v>-</v>
      </c>
      <c r="BY17" s="757">
        <f ca="1">BS17+COUNTIFS($BT$6:$BT$53,BT17,$BX$6:BX$53,"&gt;"&amp;BX17,$BC$6:$BC$53,INDEX(T_Equipos[Grupo],MATCH(BD17,T_Equipos[NombreEquipo],0)))</f>
        <v>3</v>
      </c>
      <c r="BZ17" s="756" t="str">
        <f ca="1">IF(COUNTIFS($BY$6:$BY$53,BY17,$BC$6:$BC$53,INDEX(T_Equipos[Grupo],MATCH(BD17,T_Equipos[NombreEquipo],0)))=1,"-","P."&amp;BY17&amp;" ("&amp;COUNTIFS($BY$6:$BY$53,BY17,$BC$6:$BC$53,INDEX(T_Equipos[Grupo],MATCH(BD17,T_Equipos[NombreEquipo],0)))&amp;")")</f>
        <v>-</v>
      </c>
      <c r="CA17" s="757" t="str">
        <f t="shared" ca="1" si="40"/>
        <v>-</v>
      </c>
      <c r="CB17" s="757" t="str">
        <f t="shared" ca="1" si="41"/>
        <v>-</v>
      </c>
      <c r="CC17" s="757" t="str">
        <f t="shared" ca="1" si="42"/>
        <v>-</v>
      </c>
      <c r="CD17" s="757">
        <f ca="1">BY17+COUNTIFS($BZ$6:$BZ$53,BZ17,$CC$6:CC$53,"&gt;"&amp;CC17,$BC$6:$BC$53,INDEX(T_Equipos[Grupo],MATCH(BD17,T_Equipos[NombreEquipo],0)))</f>
        <v>3</v>
      </c>
      <c r="CE17" s="756" t="str">
        <f ca="1">IF(COUNTIFS($CD$6:$CD$53,CD17,$BC$6:$BC$53,INDEX(T_Equipos[Grupo],MATCH(BD17,T_Equipos[NombreEquipo],0)))=1,"-","P."&amp;CD17&amp;" ("&amp;COUNTIFS($CD$6:$CD$53,CD17,$BC$6:$BC$53,INDEX(T_Equipos[Grupo],MATCH(BD17,T_Equipos[NombreEquipo],0)))&amp;")")</f>
        <v>-</v>
      </c>
      <c r="CF17" s="757" t="str">
        <f t="shared" ca="1" si="43"/>
        <v>-</v>
      </c>
      <c r="CG17" s="757">
        <f ca="1">CD17+COUNTIFS($CE$6:$CE$53,CE17,$CF$6:CF$53,"&gt;"&amp;CF17,$BC$6:$BC$53,INDEX(T_Equipos[Grupo],MATCH(BD17,T_Equipos[NombreEquipo],0)))</f>
        <v>3</v>
      </c>
      <c r="CH17" s="756" t="str">
        <f ca="1">IF(COUNTIFS($CG$6:$CG$53,CG17,$BC$6:$BC$53,INDEX(T_Equipos[Grupo],MATCH(BD17,T_Equipos[NombreEquipo],0)))=1,"-","P."&amp;CG17&amp;" ("&amp;COUNTIFS($CG$6:$CG$53,CG17,$BC$6:$BC$53,INDEX(T_Equipos[Grupo],MATCH(BD17,T_Equipos[NombreEquipo],0)))&amp;")")</f>
        <v>-</v>
      </c>
      <c r="CI17" s="757" t="str">
        <f t="shared" ca="1" si="44"/>
        <v>-</v>
      </c>
      <c r="CJ17" s="757" t="str">
        <f t="shared" ca="1" si="45"/>
        <v>-</v>
      </c>
      <c r="CK17" s="757" t="str">
        <f t="shared" ca="1" si="46"/>
        <v>-</v>
      </c>
      <c r="CL17" s="757" t="str">
        <f t="shared" ca="1" si="47"/>
        <v>-</v>
      </c>
      <c r="CM17" s="757">
        <f ca="1">CG17+COUNTIFS($CH$6:$CH$53,CH17,$CL$6:CL$53,"&gt;"&amp;CL17,$BC$6:$BC$53,INDEX(T_Equipos[Grupo],MATCH(BD17,T_Equipos[NombreEquipo],0)))</f>
        <v>3</v>
      </c>
      <c r="CN17" s="756" t="str">
        <f ca="1">IF(COUNTIFS($CM$6:$CM$53,CM17,$BC$6:$BC$53,INDEX(T_Equipos[Grupo],MATCH(BD17,T_Equipos[NombreEquipo],0)))=1,"-","P."&amp;CM17&amp;" ("&amp;COUNTIFS($CM$6:$CM$53,CM17,$BC$6:$BC$53,INDEX(T_Equipos[Grupo],MATCH(BD17,T_Equipos[NombreEquipo],0)))&amp;")")</f>
        <v>-</v>
      </c>
      <c r="CO17" s="757" t="str">
        <f t="shared" ca="1" si="48"/>
        <v>-</v>
      </c>
      <c r="CP17" s="757" t="str">
        <f t="shared" ca="1" si="49"/>
        <v>-</v>
      </c>
      <c r="CQ17" s="757" t="str">
        <f t="shared" ca="1" si="50"/>
        <v>-</v>
      </c>
      <c r="CR17" s="757">
        <f ca="1">CM17+COUNTIFS($CN$6:$CN$53,CN17,$CQ$6:CQ$53,"&gt;"&amp;CQ17,$BC$6:$BC$53,INDEX(T_Equipos[Grupo],MATCH(BD17,T_Equipos[NombreEquipo],0)))</f>
        <v>3</v>
      </c>
      <c r="CS17" s="756" t="str">
        <f ca="1">IF(COUNTIFS($CR$6:$CR$53,CR17,$BC$6:$BC$53,INDEX(T_Equipos[Grupo],MATCH(BD17,T_Equipos[NombreEquipo],0)))=1,"-","P."&amp;CR17&amp;" ("&amp;COUNTIFS($CR$6:$CR$53,CR17,$BC$6:$BC$53,INDEX(T_Equipos[Grupo],MATCH(BD17,T_Equipos[NombreEquipo],0)))&amp;")")</f>
        <v>-</v>
      </c>
      <c r="CT17" s="757" t="str">
        <f t="shared" ca="1" si="51"/>
        <v>-</v>
      </c>
      <c r="CU17" s="757">
        <f ca="1">CR17+COUNTIFS($CS$6:$CS$53,CS17,$CT$6:CT$53,"&gt;"&amp;CT17,$BC$6:$BC$53,INDEX(T_Equipos[Grupo],MATCH(BD17,T_Equipos[NombreEquipo],0)))</f>
        <v>3</v>
      </c>
      <c r="CV17" s="756" t="str">
        <f ca="1">IF(COUNTIFS($CU$6:$CU$53,CU17,$BC$6:$BC$53,INDEX(T_Equipos[Grupo],MATCH(BD17,T_Equipos[NombreEquipo],0)))=1,"-","P."&amp;CU17&amp;" ("&amp;COUNTIFS($CU$6:$CU$53,CU17,$BC$6:$BC$53,INDEX(T_Equipos[Grupo],MATCH(BD17,T_Equipos[NombreEquipo],0)))&amp;")")</f>
        <v>-</v>
      </c>
      <c r="CW17" s="756" t="str">
        <f t="shared" ca="1" si="30"/>
        <v>-</v>
      </c>
      <c r="CX17" s="756">
        <f ca="1">CU17+COUNTIFS($CV$6:$CV$53,CV17,$CW$6:CW$53,"&gt;"&amp;CW17,$BC$6:$BC$53,INDEX(T_Equipos[Grupo],MATCH(BD17,T_Equipos[NombreEquipo],0)))</f>
        <v>3</v>
      </c>
      <c r="CY17" s="756" t="str">
        <f ca="1">IF(COUNTIFS($CX$6:$CX$53,CX17,$BC$6:$BC$53,INDEX(T_Equipos[Grupo],MATCH(BD17,T_Equipos[NombreEquipo],0)))=1,"-","P."&amp;CX17&amp;" ("&amp;COUNTIFS($CX$6:$CX$53,CX17,$BC$6:$BC$53,INDEX(T_Equipos[Grupo],MATCH(BD17,T_Equipos[NombreEquipo],0)))&amp;")")</f>
        <v>-</v>
      </c>
      <c r="CZ17" s="756" t="str">
        <f t="shared" ca="1" si="31"/>
        <v>-</v>
      </c>
      <c r="DA17" s="757">
        <f ca="1">CX17+COUNTIFS($CY$6:$CY$53,CY17,$CZ$6:CZ$53,"&gt;"&amp;CZ17,$BC$6:$BC$53,INDEX(T_Equipos[Grupo],MATCH(BD17,T_Equipos[NombreEquipo],0)))</f>
        <v>3</v>
      </c>
      <c r="DB17" s="756" t="str">
        <f ca="1">IF(COUNTIFS($DA$6:$DA$53,DA17,$BC$6:$BC$53,INDEX(T_Equipos[Grupo],MATCH(BD17,T_Equipos[NombreEquipo],0)))=1,"-","P."&amp;DA17&amp;" ("&amp;COUNTIFS($DA$6:$DA$53,DA17,$BC$6:$BC$53,INDEX(T_Equipos[Grupo],MATCH(BD17,T_Equipos[NombreEquipo],0)))&amp;")")</f>
        <v>-</v>
      </c>
      <c r="DC17" s="755" t="str">
        <f ca="1">IF(DB17="-","-",COUNTIFS(T_Equipos[Rank],"&lt;"&amp;INDEX(T_Equipos[Rank],MATCH(BD17,T_Equipos[NombreEquipo],0)),$BC$6:$BC$53,INDEX(T_Equipos[Grupo],MATCH(BD17,T_Equipos[NombreEquipo],0)))+1)</f>
        <v>-</v>
      </c>
      <c r="DD17" s="755">
        <f ca="1">DA17+COUNTIFS($DB$6:$DB$53,DB17,$DC$6:DC$53,"&lt;"&amp;DC17,$BC$6:$BC$53,INDEX(T_Equipos[Grupo],MATCH(BD17,T_Equipos[NombreEquipo],0)))</f>
        <v>3</v>
      </c>
      <c r="DE17" s="755"/>
      <c r="DF17" s="755">
        <f t="shared" ca="1" si="52"/>
        <v>3</v>
      </c>
      <c r="DG17" s="755" t="str">
        <f ca="1">IF(DB17="-","-",COUNTIFS(DF$6:DF$53,"&lt;"&amp;DF17,$BC$6:$BC$53,INDEX(T_Equipos[Grupo],MATCH(BD17,T_Equipos[NombreEquipo],0))))</f>
        <v>-</v>
      </c>
      <c r="DH17" s="755">
        <f ca="1">DA17+COUNTIFS(DB$6:DB$53,DB17,DG$6:DG$53,"&lt;"&amp;DG17,$BC$6:$BC$53,INDEX(T_Equipos[Grupo],MATCH(BD17,T_Equipos[NombreEquipo],0)))</f>
        <v>3</v>
      </c>
      <c r="DI17" s="743"/>
      <c r="DJ17" s="743">
        <f t="shared" ca="1" si="53"/>
        <v>4</v>
      </c>
      <c r="DK17" s="743">
        <f t="shared" ca="1" si="24"/>
        <v>12</v>
      </c>
      <c r="DL17" s="743">
        <f t="shared" ca="1" si="33"/>
        <v>1</v>
      </c>
      <c r="DM17" s="737" t="str">
        <f t="shared" ca="1" si="34"/>
        <v>4.1</v>
      </c>
      <c r="DN17" s="743" cm="1">
        <f t="array" aca="1" ref="DN17" ca="1">OFFSET(Horarios!$P$3,DJ17-1,0,DL17,1)</f>
        <v>4</v>
      </c>
      <c r="DO17" s="743"/>
      <c r="DP17" s="743" t="s">
        <v>657</v>
      </c>
      <c r="DQ17" s="743" t="str">
        <f t="shared" ca="1" si="35"/>
        <v>Haiti</v>
      </c>
      <c r="DR17" s="743"/>
      <c r="DS17" s="743"/>
      <c r="DT17" s="743" t="str">
        <f t="shared" ca="1" si="15"/>
        <v>Bosnia and Herzegovina-Qatar</v>
      </c>
      <c r="DU17" s="743"/>
      <c r="DV17" s="743"/>
      <c r="DW17" s="8"/>
    </row>
    <row r="18" spans="1:127" ht="15.75" thickBot="1">
      <c r="A18" s="738"/>
      <c r="B18" s="741"/>
      <c r="C18" s="738"/>
      <c r="D18" s="743"/>
      <c r="E18" s="743"/>
      <c r="F18" s="743"/>
      <c r="G18" s="743"/>
      <c r="H18" s="743"/>
      <c r="I18" s="743"/>
      <c r="J18" s="743"/>
      <c r="K18" s="743"/>
      <c r="L18" s="743"/>
      <c r="M18" s="743"/>
      <c r="N18" s="743"/>
      <c r="O18" s="743"/>
      <c r="P18" s="743"/>
      <c r="Q18" s="743"/>
      <c r="R18" s="743"/>
      <c r="S18" s="743"/>
      <c r="T18" s="743"/>
      <c r="U18" s="743"/>
      <c r="V18" s="172"/>
      <c r="W18" s="242"/>
      <c r="X18" s="243"/>
      <c r="Y18" s="242"/>
      <c r="Z18" s="244"/>
      <c r="AA18" s="245"/>
      <c r="AB18" s="482"/>
      <c r="AC18" s="247"/>
      <c r="AD18" s="247"/>
      <c r="AE18" s="482"/>
      <c r="AF18" s="248"/>
      <c r="AG18" s="415"/>
      <c r="AH18" s="196"/>
      <c r="AI18" s="171"/>
      <c r="AJ18" s="249"/>
      <c r="AK18" s="250"/>
      <c r="AL18" s="186"/>
      <c r="AM18" s="251"/>
      <c r="AN18" s="249"/>
      <c r="AO18" s="249"/>
      <c r="AP18" s="249"/>
      <c r="AQ18" s="249"/>
      <c r="AR18" s="249"/>
      <c r="AS18" s="249"/>
      <c r="AT18" s="249"/>
      <c r="AU18" s="420"/>
      <c r="AV18" s="216"/>
      <c r="AW18" s="428"/>
      <c r="AX18" s="218"/>
      <c r="AY18" s="242"/>
      <c r="AZ18" s="243"/>
      <c r="BA18" s="175"/>
      <c r="BB18" s="743"/>
      <c r="BC18" s="755" t="str">
        <f ca="1">+INDEX(T_Equipos[Grupo],MATCH(WORLDCUP!BD18,T_Equipos[NombreEquipo],0))</f>
        <v>D</v>
      </c>
      <c r="BD18" s="743" t="str">
        <f ca="1">+Equipos!B14</f>
        <v>United States</v>
      </c>
      <c r="BE18" s="747">
        <f t="shared" ca="1" si="25"/>
        <v>6</v>
      </c>
      <c r="BF18" s="747">
        <f t="shared" ca="1" si="26"/>
        <v>3</v>
      </c>
      <c r="BG18" s="747">
        <f t="shared" ca="1" si="17"/>
        <v>2</v>
      </c>
      <c r="BH18" s="747">
        <f t="shared" ca="1" si="18"/>
        <v>0</v>
      </c>
      <c r="BI18" s="747">
        <f t="shared" ca="1" si="19"/>
        <v>1</v>
      </c>
      <c r="BJ18" s="747">
        <f t="shared" ca="1" si="20"/>
        <v>8</v>
      </c>
      <c r="BK18" s="747">
        <f t="shared" ca="1" si="21"/>
        <v>4</v>
      </c>
      <c r="BL18" s="747">
        <f t="shared" ca="1" si="27"/>
        <v>4</v>
      </c>
      <c r="BM18" s="747" t="str">
        <f t="shared" ca="1" si="22"/>
        <v>1D</v>
      </c>
      <c r="BN18" s="747" t="str">
        <f t="shared" ca="1" si="23"/>
        <v>1D</v>
      </c>
      <c r="BO18" s="757">
        <f t="shared" ca="1" si="28"/>
        <v>0</v>
      </c>
      <c r="BP18" s="756">
        <f ca="1">COUNTIFS($BO$6:$BO$53,"&gt;"&amp;BO18,$BC$6:$BC$53,INDEX(T_Equipos[Grupo],MATCH(BD18,T_Equipos[NombreEquipo],0)))+1</f>
        <v>1</v>
      </c>
      <c r="BQ18" s="756" t="str">
        <f ca="1">IF(COUNTIFS($BP$6:$BP$53,BP18,$BC$6:$BC$53,INDEX(T_Equipos[Grupo],MATCH(BD18,T_Equipos[NombreEquipo],0)))=1,"-","P."&amp;BP18&amp;" ("&amp;COUNTIFS($BP$6:$BP$53,BP18,$BC$6:$BC$53,INDEX(T_Equipos[Grupo],MATCH(BD18,T_Equipos[NombreEquipo],0)))&amp;")")</f>
        <v>P.1 (4)</v>
      </c>
      <c r="BR18" s="757">
        <f t="shared" ca="1" si="29"/>
        <v>6</v>
      </c>
      <c r="BS18" s="756">
        <f ca="1">BP18+COUNTIFS($BQ$6:$BQ$53,BQ18,$BR$6:BR$53,"&gt;"&amp;BR18,$BC$6:$BC$53,INDEX(T_Equipos[Grupo],MATCH(BD18,T_Equipos[NombreEquipo],0)))</f>
        <v>1</v>
      </c>
      <c r="BT18" s="756" t="str">
        <f ca="1">IF(COUNTIFS($BS$6:$BS$53,BS18,$BC$6:$BC$53,INDEX(T_Equipos[Grupo],MATCH(BD18,T_Equipos[NombreEquipo],0)))=1,"-","P."&amp;BS18&amp;" ("&amp;COUNTIFS($BS$6:$BS$53,BS18,$BC$6:$BC$53,INDEX(T_Equipos[Grupo],MATCH(BD18,T_Equipos[NombreEquipo],0)))&amp;")")</f>
        <v>-</v>
      </c>
      <c r="BU18" s="757" t="str">
        <f t="shared" ca="1" si="36"/>
        <v>-</v>
      </c>
      <c r="BV18" s="757" t="str">
        <f t="shared" ca="1" si="37"/>
        <v>-</v>
      </c>
      <c r="BW18" s="757" t="str">
        <f t="shared" ca="1" si="38"/>
        <v>-</v>
      </c>
      <c r="BX18" s="757" t="str">
        <f t="shared" ca="1" si="39"/>
        <v>-</v>
      </c>
      <c r="BY18" s="757">
        <f ca="1">BS18+COUNTIFS($BT$6:$BT$53,BT18,$BX$6:BX$53,"&gt;"&amp;BX18,$BC$6:$BC$53,INDEX(T_Equipos[Grupo],MATCH(BD18,T_Equipos[NombreEquipo],0)))</f>
        <v>1</v>
      </c>
      <c r="BZ18" s="756" t="str">
        <f ca="1">IF(COUNTIFS($BY$6:$BY$53,BY18,$BC$6:$BC$53,INDEX(T_Equipos[Grupo],MATCH(BD18,T_Equipos[NombreEquipo],0)))=1,"-","P."&amp;BY18&amp;" ("&amp;COUNTIFS($BY$6:$BY$53,BY18,$BC$6:$BC$53,INDEX(T_Equipos[Grupo],MATCH(BD18,T_Equipos[NombreEquipo],0)))&amp;")")</f>
        <v>-</v>
      </c>
      <c r="CA18" s="757" t="str">
        <f t="shared" ca="1" si="40"/>
        <v>-</v>
      </c>
      <c r="CB18" s="757" t="str">
        <f t="shared" ca="1" si="41"/>
        <v>-</v>
      </c>
      <c r="CC18" s="757" t="str">
        <f t="shared" ca="1" si="42"/>
        <v>-</v>
      </c>
      <c r="CD18" s="757">
        <f ca="1">BY18+COUNTIFS($BZ$6:$BZ$53,BZ18,$CC$6:CC$53,"&gt;"&amp;CC18,$BC$6:$BC$53,INDEX(T_Equipos[Grupo],MATCH(BD18,T_Equipos[NombreEquipo],0)))</f>
        <v>1</v>
      </c>
      <c r="CE18" s="756" t="str">
        <f ca="1">IF(COUNTIFS($CD$6:$CD$53,CD18,$BC$6:$BC$53,INDEX(T_Equipos[Grupo],MATCH(BD18,T_Equipos[NombreEquipo],0)))=1,"-","P."&amp;CD18&amp;" ("&amp;COUNTIFS($CD$6:$CD$53,CD18,$BC$6:$BC$53,INDEX(T_Equipos[Grupo],MATCH(BD18,T_Equipos[NombreEquipo],0)))&amp;")")</f>
        <v>-</v>
      </c>
      <c r="CF18" s="757" t="str">
        <f t="shared" ca="1" si="43"/>
        <v>-</v>
      </c>
      <c r="CG18" s="757">
        <f ca="1">CD18+COUNTIFS($CE$6:$CE$53,CE18,$CF$6:CF$53,"&gt;"&amp;CF18,$BC$6:$BC$53,INDEX(T_Equipos[Grupo],MATCH(BD18,T_Equipos[NombreEquipo],0)))</f>
        <v>1</v>
      </c>
      <c r="CH18" s="756" t="str">
        <f ca="1">IF(COUNTIFS($CG$6:$CG$53,CG18,$BC$6:$BC$53,INDEX(T_Equipos[Grupo],MATCH(BD18,T_Equipos[NombreEquipo],0)))=1,"-","P."&amp;CG18&amp;" ("&amp;COUNTIFS($CG$6:$CG$53,CG18,$BC$6:$BC$53,INDEX(T_Equipos[Grupo],MATCH(BD18,T_Equipos[NombreEquipo],0)))&amp;")")</f>
        <v>-</v>
      </c>
      <c r="CI18" s="757" t="str">
        <f t="shared" ca="1" si="44"/>
        <v>-</v>
      </c>
      <c r="CJ18" s="757" t="str">
        <f t="shared" ca="1" si="45"/>
        <v>-</v>
      </c>
      <c r="CK18" s="757" t="str">
        <f t="shared" ca="1" si="46"/>
        <v>-</v>
      </c>
      <c r="CL18" s="757" t="str">
        <f t="shared" ca="1" si="47"/>
        <v>-</v>
      </c>
      <c r="CM18" s="757">
        <f ca="1">CG18+COUNTIFS($CH$6:$CH$53,CH18,$CL$6:CL$53,"&gt;"&amp;CL18,$BC$6:$BC$53,INDEX(T_Equipos[Grupo],MATCH(BD18,T_Equipos[NombreEquipo],0)))</f>
        <v>1</v>
      </c>
      <c r="CN18" s="756" t="str">
        <f ca="1">IF(COUNTIFS($CM$6:$CM$53,CM18,$BC$6:$BC$53,INDEX(T_Equipos[Grupo],MATCH(BD18,T_Equipos[NombreEquipo],0)))=1,"-","P."&amp;CM18&amp;" ("&amp;COUNTIFS($CM$6:$CM$53,CM18,$BC$6:$BC$53,INDEX(T_Equipos[Grupo],MATCH(BD18,T_Equipos[NombreEquipo],0)))&amp;")")</f>
        <v>-</v>
      </c>
      <c r="CO18" s="757" t="str">
        <f t="shared" ca="1" si="48"/>
        <v>-</v>
      </c>
      <c r="CP18" s="757" t="str">
        <f t="shared" ca="1" si="49"/>
        <v>-</v>
      </c>
      <c r="CQ18" s="757" t="str">
        <f t="shared" ca="1" si="50"/>
        <v>-</v>
      </c>
      <c r="CR18" s="757">
        <f ca="1">CM18+COUNTIFS($CN$6:$CN$53,CN18,$CQ$6:CQ$53,"&gt;"&amp;CQ18,$BC$6:$BC$53,INDEX(T_Equipos[Grupo],MATCH(BD18,T_Equipos[NombreEquipo],0)))</f>
        <v>1</v>
      </c>
      <c r="CS18" s="756" t="str">
        <f ca="1">IF(COUNTIFS($CR$6:$CR$53,CR18,$BC$6:$BC$53,INDEX(T_Equipos[Grupo],MATCH(BD18,T_Equipos[NombreEquipo],0)))=1,"-","P."&amp;CR18&amp;" ("&amp;COUNTIFS($CR$6:$CR$53,CR18,$BC$6:$BC$53,INDEX(T_Equipos[Grupo],MATCH(BD18,T_Equipos[NombreEquipo],0)))&amp;")")</f>
        <v>-</v>
      </c>
      <c r="CT18" s="757" t="str">
        <f t="shared" ca="1" si="51"/>
        <v>-</v>
      </c>
      <c r="CU18" s="757">
        <f ca="1">CR18+COUNTIFS($CS$6:$CS$53,CS18,$CT$6:CT$53,"&gt;"&amp;CT18,$BC$6:$BC$53,INDEX(T_Equipos[Grupo],MATCH(BD18,T_Equipos[NombreEquipo],0)))</f>
        <v>1</v>
      </c>
      <c r="CV18" s="756" t="str">
        <f ca="1">IF(COUNTIFS($CU$6:$CU$53,CU18,$BC$6:$BC$53,INDEX(T_Equipos[Grupo],MATCH(BD18,T_Equipos[NombreEquipo],0)))=1,"-","P."&amp;CU18&amp;" ("&amp;COUNTIFS($CU$6:$CU$53,CU18,$BC$6:$BC$53,INDEX(T_Equipos[Grupo],MATCH(BD18,T_Equipos[NombreEquipo],0)))&amp;")")</f>
        <v>-</v>
      </c>
      <c r="CW18" s="756" t="str">
        <f t="shared" ca="1" si="30"/>
        <v>-</v>
      </c>
      <c r="CX18" s="756">
        <f ca="1">CU18+COUNTIFS($CV$6:$CV$53,CV18,$CW$6:CW$53,"&gt;"&amp;CW18,$BC$6:$BC$53,INDEX(T_Equipos[Grupo],MATCH(BD18,T_Equipos[NombreEquipo],0)))</f>
        <v>1</v>
      </c>
      <c r="CY18" s="756" t="str">
        <f ca="1">IF(COUNTIFS($CX$6:$CX$53,CX18,$BC$6:$BC$53,INDEX(T_Equipos[Grupo],MATCH(BD18,T_Equipos[NombreEquipo],0)))=1,"-","P."&amp;CX18&amp;" ("&amp;COUNTIFS($CX$6:$CX$53,CX18,$BC$6:$BC$53,INDEX(T_Equipos[Grupo],MATCH(BD18,T_Equipos[NombreEquipo],0)))&amp;")")</f>
        <v>-</v>
      </c>
      <c r="CZ18" s="756" t="str">
        <f t="shared" ca="1" si="31"/>
        <v>-</v>
      </c>
      <c r="DA18" s="757">
        <f ca="1">CX18+COUNTIFS($CY$6:$CY$53,CY18,$CZ$6:CZ$53,"&gt;"&amp;CZ18,$BC$6:$BC$53,INDEX(T_Equipos[Grupo],MATCH(BD18,T_Equipos[NombreEquipo],0)))</f>
        <v>1</v>
      </c>
      <c r="DB18" s="756" t="str">
        <f ca="1">IF(COUNTIFS($DA$6:$DA$53,DA18,$BC$6:$BC$53,INDEX(T_Equipos[Grupo],MATCH(BD18,T_Equipos[NombreEquipo],0)))=1,"-","P."&amp;DA18&amp;" ("&amp;COUNTIFS($DA$6:$DA$53,DA18,$BC$6:$BC$53,INDEX(T_Equipos[Grupo],MATCH(BD18,T_Equipos[NombreEquipo],0)))&amp;")")</f>
        <v>-</v>
      </c>
      <c r="DC18" s="755" t="str">
        <f ca="1">IF(DB18="-","-",COUNTIFS(T_Equipos[Rank],"&lt;"&amp;INDEX(T_Equipos[Rank],MATCH(BD18,T_Equipos[NombreEquipo],0)),$BC$6:$BC$53,INDEX(T_Equipos[Grupo],MATCH(BD18,T_Equipos[NombreEquipo],0)))+1)</f>
        <v>-</v>
      </c>
      <c r="DD18" s="755">
        <f ca="1">DA18+COUNTIFS($DB$6:$DB$53,DB18,$DC$6:DC$53,"&lt;"&amp;DC18,$BC$6:$BC$53,INDEX(T_Equipos[Grupo],MATCH(BD18,T_Equipos[NombreEquipo],0)))</f>
        <v>1</v>
      </c>
      <c r="DE18" s="755"/>
      <c r="DF18" s="755">
        <f t="shared" ca="1" si="52"/>
        <v>1</v>
      </c>
      <c r="DG18" s="755" t="str">
        <f ca="1">IF(DB18="-","-",COUNTIFS(DF$6:DF$53,"&lt;"&amp;DF18,$BC$6:$BC$53,INDEX(T_Equipos[Grupo],MATCH(BD18,T_Equipos[NombreEquipo],0))))</f>
        <v>-</v>
      </c>
      <c r="DH18" s="755">
        <f ca="1">DA18+COUNTIFS(DB$6:DB$53,DB18,DG$6:DG$53,"&lt;"&amp;DG18,$BC$6:$BC$53,INDEX(T_Equipos[Grupo],MATCH(BD18,T_Equipos[NombreEquipo],0)))</f>
        <v>1</v>
      </c>
      <c r="DI18" s="743"/>
      <c r="DJ18" s="743">
        <f t="shared" ca="1" si="53"/>
        <v>1</v>
      </c>
      <c r="DK18" s="743">
        <f t="shared" ca="1" si="24"/>
        <v>12</v>
      </c>
      <c r="DL18" s="743">
        <f t="shared" ca="1" si="33"/>
        <v>1</v>
      </c>
      <c r="DM18" s="737" t="str">
        <f t="shared" ca="1" si="34"/>
        <v>1.1</v>
      </c>
      <c r="DN18" s="743" cm="1">
        <f t="array" aca="1" ref="DN18" ca="1">OFFSET(Horarios!$P$3,DJ18-1,0,DL18,1)</f>
        <v>1</v>
      </c>
      <c r="DO18" s="743"/>
      <c r="DP18" s="743" t="s">
        <v>658</v>
      </c>
      <c r="DQ18" s="743" t="str">
        <f t="shared" ca="1" si="35"/>
        <v>United States</v>
      </c>
      <c r="DR18" s="743"/>
      <c r="DS18" s="743"/>
      <c r="DT18" s="743" t="str">
        <f t="shared" si="15"/>
        <v>-</v>
      </c>
      <c r="DU18" s="743"/>
      <c r="DV18" s="743"/>
      <c r="DW18" s="8"/>
    </row>
    <row r="19" spans="1:127" ht="15.75" thickBot="1">
      <c r="A19" s="738"/>
      <c r="B19" s="741"/>
      <c r="C19" s="738"/>
      <c r="D19" s="738"/>
      <c r="E19" s="738"/>
      <c r="F19" s="738"/>
      <c r="G19" s="738"/>
      <c r="H19" s="738"/>
      <c r="I19" s="738"/>
      <c r="J19" s="738"/>
      <c r="K19" s="738"/>
      <c r="L19" s="738"/>
      <c r="M19" s="738"/>
      <c r="N19" s="743"/>
      <c r="O19" s="743"/>
      <c r="P19" s="743"/>
      <c r="Q19" s="743"/>
      <c r="R19" s="743"/>
      <c r="S19" s="743"/>
      <c r="T19" s="743"/>
      <c r="U19" s="743"/>
      <c r="V19" s="172"/>
      <c r="W19" s="179"/>
      <c r="X19" s="180" t="str">
        <f>X3</f>
        <v>Date</v>
      </c>
      <c r="Y19" s="180" t="str">
        <f>Y3</f>
        <v>Hour</v>
      </c>
      <c r="Z19" s="181" t="str">
        <f>Z3</f>
        <v>R</v>
      </c>
      <c r="AA19" s="182" t="str">
        <f>AA3</f>
        <v>Home</v>
      </c>
      <c r="AB19" s="181"/>
      <c r="AC19" s="181" t="str">
        <f>AC3</f>
        <v>Goal</v>
      </c>
      <c r="AD19" s="181" t="str">
        <f>AD3</f>
        <v>Goal</v>
      </c>
      <c r="AE19" s="181"/>
      <c r="AF19" s="184" t="str">
        <f>AF3</f>
        <v>Away</v>
      </c>
      <c r="AG19" s="414"/>
      <c r="AH19" s="196"/>
      <c r="AI19" s="18"/>
      <c r="AJ19" s="186"/>
      <c r="AK19" s="252"/>
      <c r="AL19" s="186"/>
      <c r="AM19" s="186"/>
      <c r="AN19" s="186"/>
      <c r="AO19" s="186"/>
      <c r="AP19" s="186"/>
      <c r="AQ19" s="186"/>
      <c r="AR19" s="186"/>
      <c r="AS19" s="186"/>
      <c r="AT19" s="186"/>
      <c r="AU19" s="421"/>
      <c r="AV19" s="22"/>
      <c r="AW19" s="429"/>
      <c r="AX19" s="253"/>
      <c r="AY19" s="242"/>
      <c r="AZ19" s="243"/>
      <c r="BA19" s="175"/>
      <c r="BB19" s="743"/>
      <c r="BC19" s="755" t="str">
        <f ca="1">+INDEX(T_Equipos[Grupo],MATCH(WORLDCUP!BD19,T_Equipos[NombreEquipo],0))</f>
        <v>D</v>
      </c>
      <c r="BD19" s="743" t="str">
        <f ca="1">+Equipos!B15</f>
        <v>Paraguay</v>
      </c>
      <c r="BE19" s="747">
        <f t="shared" ca="1" si="25"/>
        <v>4</v>
      </c>
      <c r="BF19" s="747">
        <f t="shared" ca="1" si="26"/>
        <v>3</v>
      </c>
      <c r="BG19" s="747">
        <f t="shared" ca="1" si="17"/>
        <v>1</v>
      </c>
      <c r="BH19" s="747">
        <f t="shared" ca="1" si="18"/>
        <v>1</v>
      </c>
      <c r="BI19" s="747">
        <f t="shared" ca="1" si="19"/>
        <v>1</v>
      </c>
      <c r="BJ19" s="747">
        <f t="shared" ca="1" si="20"/>
        <v>2</v>
      </c>
      <c r="BK19" s="747">
        <f t="shared" ca="1" si="21"/>
        <v>4</v>
      </c>
      <c r="BL19" s="747">
        <f t="shared" ca="1" si="27"/>
        <v>-2</v>
      </c>
      <c r="BM19" s="747" t="str">
        <f t="shared" ca="1" si="22"/>
        <v>3D</v>
      </c>
      <c r="BN19" s="747" t="str">
        <f t="shared" ca="1" si="23"/>
        <v>3D</v>
      </c>
      <c r="BO19" s="757">
        <f t="shared" ca="1" si="28"/>
        <v>0</v>
      </c>
      <c r="BP19" s="756">
        <f ca="1">COUNTIFS($BO$6:$BO$53,"&gt;"&amp;BO19,$BC$6:$BC$53,INDEX(T_Equipos[Grupo],MATCH(BD19,T_Equipos[NombreEquipo],0)))+1</f>
        <v>1</v>
      </c>
      <c r="BQ19" s="756" t="str">
        <f ca="1">IF(COUNTIFS($BP$6:$BP$53,BP19,$BC$6:$BC$53,INDEX(T_Equipos[Grupo],MATCH(BD19,T_Equipos[NombreEquipo],0)))=1,"-","P."&amp;BP19&amp;" ("&amp;COUNTIFS($BP$6:$BP$53,BP19,$BC$6:$BC$53,INDEX(T_Equipos[Grupo],MATCH(BD19,T_Equipos[NombreEquipo],0)))&amp;")")</f>
        <v>P.1 (4)</v>
      </c>
      <c r="BR19" s="757">
        <f t="shared" ca="1" si="29"/>
        <v>4</v>
      </c>
      <c r="BS19" s="756">
        <f ca="1">BP19+COUNTIFS($BQ$6:$BQ$53,BQ19,$BR$6:BR$53,"&gt;"&amp;BR19,$BC$6:$BC$53,INDEX(T_Equipos[Grupo],MATCH(BD19,T_Equipos[NombreEquipo],0)))</f>
        <v>2</v>
      </c>
      <c r="BT19" s="756" t="str">
        <f ca="1">IF(COUNTIFS($BS$6:$BS$53,BS19,$BC$6:$BC$53,INDEX(T_Equipos[Grupo],MATCH(BD19,T_Equipos[NombreEquipo],0)))=1,"-","P."&amp;BS19&amp;" ("&amp;COUNTIFS($BS$6:$BS$53,BS19,$BC$6:$BC$53,INDEX(T_Equipos[Grupo],MATCH(BD19,T_Equipos[NombreEquipo],0)))&amp;")")</f>
        <v>P.2 (2)</v>
      </c>
      <c r="BU19" s="757">
        <f t="shared" ca="1" si="36"/>
        <v>0</v>
      </c>
      <c r="BV19" s="757">
        <f t="shared" ca="1" si="37"/>
        <v>1</v>
      </c>
      <c r="BW19" s="757">
        <f t="shared" ca="1" si="38"/>
        <v>0</v>
      </c>
      <c r="BX19" s="757">
        <f t="shared" ca="1" si="39"/>
        <v>1</v>
      </c>
      <c r="BY19" s="757">
        <f ca="1">BS19+COUNTIFS($BT$6:$BT$53,BT19,$BX$6:BX$53,"&gt;"&amp;BX19,$BC$6:$BC$53,INDEX(T_Equipos[Grupo],MATCH(BD19,T_Equipos[NombreEquipo],0)))</f>
        <v>2</v>
      </c>
      <c r="BZ19" s="756" t="str">
        <f ca="1">IF(COUNTIFS($BY$6:$BY$53,BY19,$BC$6:$BC$53,INDEX(T_Equipos[Grupo],MATCH(BD19,T_Equipos[NombreEquipo],0)))=1,"-","P."&amp;BY19&amp;" ("&amp;COUNTIFS($BY$6:$BY$53,BY19,$BC$6:$BC$53,INDEX(T_Equipos[Grupo],MATCH(BD19,T_Equipos[NombreEquipo],0)))&amp;")")</f>
        <v>P.2 (2)</v>
      </c>
      <c r="CA19" s="757">
        <f t="shared" ca="1" si="40"/>
        <v>0</v>
      </c>
      <c r="CB19" s="757">
        <f t="shared" ca="1" si="41"/>
        <v>0</v>
      </c>
      <c r="CC19" s="757">
        <f t="shared" ca="1" si="42"/>
        <v>0</v>
      </c>
      <c r="CD19" s="757">
        <f ca="1">BY19+COUNTIFS($BZ$6:$BZ$53,BZ19,$CC$6:CC$53,"&gt;"&amp;CC19,$BC$6:$BC$53,INDEX(T_Equipos[Grupo],MATCH(BD19,T_Equipos[NombreEquipo],0)))</f>
        <v>2</v>
      </c>
      <c r="CE19" s="756" t="str">
        <f ca="1">IF(COUNTIFS($CD$6:$CD$53,CD19,$BC$6:$BC$53,INDEX(T_Equipos[Grupo],MATCH(BD19,T_Equipos[NombreEquipo],0)))=1,"-","P."&amp;CD19&amp;" ("&amp;COUNTIFS($CD$6:$CD$53,CD19,$BC$6:$BC$53,INDEX(T_Equipos[Grupo],MATCH(BD19,T_Equipos[NombreEquipo],0)))&amp;")")</f>
        <v>P.2 (2)</v>
      </c>
      <c r="CF19" s="757">
        <f t="shared" ca="1" si="43"/>
        <v>0</v>
      </c>
      <c r="CG19" s="757">
        <f ca="1">CD19+COUNTIFS($CE$6:$CE$53,CE19,$CF$6:CF$53,"&gt;"&amp;CF19,$BC$6:$BC$53,INDEX(T_Equipos[Grupo],MATCH(BD19,T_Equipos[NombreEquipo],0)))</f>
        <v>2</v>
      </c>
      <c r="CH19" s="756" t="str">
        <f ca="1">IF(COUNTIFS($CG$6:$CG$53,CG19,$BC$6:$BC$53,INDEX(T_Equipos[Grupo],MATCH(BD19,T_Equipos[NombreEquipo],0)))=1,"-","P."&amp;CG19&amp;" ("&amp;COUNTIFS($CG$6:$CG$53,CG19,$BC$6:$BC$53,INDEX(T_Equipos[Grupo],MATCH(BD19,T_Equipos[NombreEquipo],0)))&amp;")")</f>
        <v>P.2 (2)</v>
      </c>
      <c r="CI19" s="757">
        <f t="shared" ca="1" si="44"/>
        <v>0</v>
      </c>
      <c r="CJ19" s="757">
        <f t="shared" ca="1" si="45"/>
        <v>1</v>
      </c>
      <c r="CK19" s="757">
        <f t="shared" ca="1" si="46"/>
        <v>0</v>
      </c>
      <c r="CL19" s="757">
        <f t="shared" ca="1" si="47"/>
        <v>1</v>
      </c>
      <c r="CM19" s="757">
        <f ca="1">CG19+COUNTIFS($CH$6:$CH$53,CH19,$CL$6:CL$53,"&gt;"&amp;CL19,$BC$6:$BC$53,INDEX(T_Equipos[Grupo],MATCH(BD19,T_Equipos[NombreEquipo],0)))</f>
        <v>2</v>
      </c>
      <c r="CN19" s="756" t="str">
        <f ca="1">IF(COUNTIFS($CM$6:$CM$53,CM19,$BC$6:$BC$53,INDEX(T_Equipos[Grupo],MATCH(BD19,T_Equipos[NombreEquipo],0)))=1,"-","P."&amp;CM19&amp;" ("&amp;COUNTIFS($CM$6:$CM$53,CM19,$BC$6:$BC$53,INDEX(T_Equipos[Grupo],MATCH(BD19,T_Equipos[NombreEquipo],0)))&amp;")")</f>
        <v>P.2 (2)</v>
      </c>
      <c r="CO19" s="757">
        <f t="shared" ca="1" si="48"/>
        <v>0</v>
      </c>
      <c r="CP19" s="757">
        <f t="shared" ca="1" si="49"/>
        <v>0</v>
      </c>
      <c r="CQ19" s="757">
        <f t="shared" ca="1" si="50"/>
        <v>0</v>
      </c>
      <c r="CR19" s="757">
        <f ca="1">CM19+COUNTIFS($CN$6:$CN$53,CN19,$CQ$6:CQ$53,"&gt;"&amp;CQ19,$BC$6:$BC$53,INDEX(T_Equipos[Grupo],MATCH(BD19,T_Equipos[NombreEquipo],0)))</f>
        <v>2</v>
      </c>
      <c r="CS19" s="756" t="str">
        <f ca="1">IF(COUNTIFS($CR$6:$CR$53,CR19,$BC$6:$BC$53,INDEX(T_Equipos[Grupo],MATCH(BD19,T_Equipos[NombreEquipo],0)))=1,"-","P."&amp;CR19&amp;" ("&amp;COUNTIFS($CR$6:$CR$53,CR19,$BC$6:$BC$53,INDEX(T_Equipos[Grupo],MATCH(BD19,T_Equipos[NombreEquipo],0)))&amp;")")</f>
        <v>P.2 (2)</v>
      </c>
      <c r="CT19" s="757">
        <f t="shared" ca="1" si="51"/>
        <v>0</v>
      </c>
      <c r="CU19" s="757">
        <f ca="1">CR19+COUNTIFS($CS$6:$CS$53,CS19,$CT$6:CT$53,"&gt;"&amp;CT19,$BC$6:$BC$53,INDEX(T_Equipos[Grupo],MATCH(BD19,T_Equipos[NombreEquipo],0)))</f>
        <v>2</v>
      </c>
      <c r="CV19" s="756" t="str">
        <f ca="1">IF(COUNTIFS($CU$6:$CU$53,CU19,$BC$6:$BC$53,INDEX(T_Equipos[Grupo],MATCH(BD19,T_Equipos[NombreEquipo],0)))=1,"-","P."&amp;CU19&amp;" ("&amp;COUNTIFS($CU$6:$CU$53,CU19,$BC$6:$BC$53,INDEX(T_Equipos[Grupo],MATCH(BD19,T_Equipos[NombreEquipo],0)))&amp;")")</f>
        <v>P.2 (2)</v>
      </c>
      <c r="CW19" s="756">
        <f t="shared" ca="1" si="30"/>
        <v>-2</v>
      </c>
      <c r="CX19" s="756">
        <f ca="1">CU19+COUNTIFS($CV$6:$CV$53,CV19,$CW$6:CW$53,"&gt;"&amp;CW19,$BC$6:$BC$53,INDEX(T_Equipos[Grupo],MATCH(BD19,T_Equipos[NombreEquipo],0)))</f>
        <v>3</v>
      </c>
      <c r="CY19" s="756" t="str">
        <f ca="1">IF(COUNTIFS($CX$6:$CX$53,CX19,$BC$6:$BC$53,INDEX(T_Equipos[Grupo],MATCH(BD19,T_Equipos[NombreEquipo],0)))=1,"-","P."&amp;CX19&amp;" ("&amp;COUNTIFS($CX$6:$CX$53,CX19,$BC$6:$BC$53,INDEX(T_Equipos[Grupo],MATCH(BD19,T_Equipos[NombreEquipo],0)))&amp;")")</f>
        <v>-</v>
      </c>
      <c r="CZ19" s="756" t="str">
        <f t="shared" ca="1" si="31"/>
        <v>-</v>
      </c>
      <c r="DA19" s="757">
        <f ca="1">CX19+COUNTIFS($CY$6:$CY$53,CY19,$CZ$6:CZ$53,"&gt;"&amp;CZ19,$BC$6:$BC$53,INDEX(T_Equipos[Grupo],MATCH(BD19,T_Equipos[NombreEquipo],0)))</f>
        <v>3</v>
      </c>
      <c r="DB19" s="756" t="str">
        <f ca="1">IF(COUNTIFS($DA$6:$DA$53,DA19,$BC$6:$BC$53,INDEX(T_Equipos[Grupo],MATCH(BD19,T_Equipos[NombreEquipo],0)))=1,"-","P."&amp;DA19&amp;" ("&amp;COUNTIFS($DA$6:$DA$53,DA19,$BC$6:$BC$53,INDEX(T_Equipos[Grupo],MATCH(BD19,T_Equipos[NombreEquipo],0)))&amp;")")</f>
        <v>-</v>
      </c>
      <c r="DC19" s="755" t="str">
        <f ca="1">IF(DB19="-","-",COUNTIFS(T_Equipos[Rank],"&lt;"&amp;INDEX(T_Equipos[Rank],MATCH(BD19,T_Equipos[NombreEquipo],0)),$BC$6:$BC$53,INDEX(T_Equipos[Grupo],MATCH(BD19,T_Equipos[NombreEquipo],0)))+1)</f>
        <v>-</v>
      </c>
      <c r="DD19" s="755">
        <f ca="1">DA19+COUNTIFS($DB$6:$DB$53,DB19,$DC$6:DC$53,"&lt;"&amp;DC19,$BC$6:$BC$53,INDEX(T_Equipos[Grupo],MATCH(BD19,T_Equipos[NombreEquipo],0)))</f>
        <v>3</v>
      </c>
      <c r="DE19" s="755"/>
      <c r="DF19" s="755">
        <f t="shared" ca="1" si="52"/>
        <v>3</v>
      </c>
      <c r="DG19" s="755" t="str">
        <f ca="1">IF(DB19="-","-",COUNTIFS(DF$6:DF$53,"&lt;"&amp;DF19,$BC$6:$BC$53,INDEX(T_Equipos[Grupo],MATCH(BD19,T_Equipos[NombreEquipo],0))))</f>
        <v>-</v>
      </c>
      <c r="DH19" s="755">
        <f ca="1">DA19+COUNTIFS(DB$6:DB$53,DB19,DG$6:DG$53,"&lt;"&amp;DG19,$BC$6:$BC$53,INDEX(T_Equipos[Grupo],MATCH(BD19,T_Equipos[NombreEquipo],0)))</f>
        <v>3</v>
      </c>
      <c r="DI19" s="743"/>
      <c r="DJ19" s="743">
        <f t="shared" ca="1" si="53"/>
        <v>2</v>
      </c>
      <c r="DK19" s="743">
        <f t="shared" ca="1" si="24"/>
        <v>12</v>
      </c>
      <c r="DL19" s="743">
        <f t="shared" ca="1" si="33"/>
        <v>1</v>
      </c>
      <c r="DM19" s="737" t="str">
        <f t="shared" ca="1" si="34"/>
        <v>2.1</v>
      </c>
      <c r="DN19" s="743" cm="1">
        <f t="array" aca="1" ref="DN19" ca="1">OFFSET(Horarios!$P$3,DJ19-1,0,DL19,1)</f>
        <v>2</v>
      </c>
      <c r="DO19" s="743"/>
      <c r="DP19" s="743" t="s">
        <v>659</v>
      </c>
      <c r="DQ19" s="743" t="str">
        <f t="shared" ca="1" si="35"/>
        <v>Australia</v>
      </c>
      <c r="DR19" s="743"/>
      <c r="DS19" s="743"/>
      <c r="DT19" s="743" t="str">
        <f t="shared" si="15"/>
        <v>Home-Away</v>
      </c>
      <c r="DU19" s="743"/>
      <c r="DV19" s="743"/>
      <c r="DW19" s="8"/>
    </row>
    <row r="20" spans="1:127" ht="15" customHeight="1" thickBot="1">
      <c r="A20" s="740" t="s">
        <v>30</v>
      </c>
      <c r="B20" s="741" t="s">
        <v>2</v>
      </c>
      <c r="C20" s="742">
        <f>COUNTIF(Equipos!$C$2:$C$49,WORLDCUP!B20)</f>
        <v>4</v>
      </c>
      <c r="D20" s="743" t="str">
        <f t="shared" ref="D20:D25" si="73">IF(OR(AC20="",AD20=""),"Pendiente",IF(AC20&gt;AD20,"Local",IF(AC20&lt;AD20,"Visitante","Empate")))</f>
        <v>Empate</v>
      </c>
      <c r="E20" s="743" t="str">
        <f t="shared" ref="E20:E25" ca="1" si="74">IF(D20="Pendiente","-",INDEX($BT$6:$BT$53,MATCH($AA20,$BD$6:$BD$53,0)))</f>
        <v>P.1 (2)</v>
      </c>
      <c r="F20" s="743" t="str">
        <f t="shared" ref="F20:F25" ca="1" si="75">IF(D20="Pendiente","-",INDEX($BT$6:$BT$53,MATCH($AF20,$BD$6:$BD$53,0)))</f>
        <v>P.1 (2)</v>
      </c>
      <c r="G20" s="743"/>
      <c r="H20" s="743" t="str">
        <f t="shared" ref="H20:H25" ca="1" si="76">IF(D20="Pendiente","-",INDEX($BZ$6:$BZ$53,MATCH($AA20,$BD$6:$BD$53,0)))</f>
        <v>P.1 (2)</v>
      </c>
      <c r="I20" s="743" t="str">
        <f t="shared" ref="I20:I25" ca="1" si="77">IF(D20="Pendiente","-",INDEX($BZ$6:$BZ$53,MATCH($AF20,$BD$6:$BD$53,0)))</f>
        <v>P.1 (2)</v>
      </c>
      <c r="J20" s="743"/>
      <c r="K20" s="743" t="str">
        <f t="shared" ref="K20:K25" ca="1" si="78">IF(D20="Pendiente","-",INDEX($CE$6:$CE$53,MATCH($AA20,$BD$6:$BD$53,0)))</f>
        <v>P.1 (2)</v>
      </c>
      <c r="L20" s="743" t="str">
        <f t="shared" ref="L20:L25" ca="1" si="79">IF(D20="Pendiente","-",INDEX($CE$6:$CE$53,MATCH($AF20,$BD$6:$BD$53,0)))</f>
        <v>P.1 (2)</v>
      </c>
      <c r="M20" s="743"/>
      <c r="N20" s="743" t="str">
        <f t="shared" ref="N20:N25" ca="1" si="80">IF(D20="Pendiente","-",INDEX($CH$6:$CH$53,MATCH($AA20,$BD$6:$BD$53,0)))</f>
        <v>P.1 (2)</v>
      </c>
      <c r="O20" s="743" t="str">
        <f t="shared" ref="O20:O25" ca="1" si="81">IF(D20="Pendiente","-",INDEX($CH$6:$CH$53,MATCH($AF20,$BD$6:$BD$53,0)))</f>
        <v>P.1 (2)</v>
      </c>
      <c r="P20" s="743"/>
      <c r="Q20" s="743" t="str">
        <f t="shared" ref="Q20:Q25" ca="1" si="82">IF(D20="Pendiente","-",INDEX($CN$6:$CN$53,MATCH($AA20,$BD$6:$BD$53,0)))</f>
        <v>P.1 (2)</v>
      </c>
      <c r="R20" s="743" t="str">
        <f t="shared" ref="R20:R25" ca="1" si="83">IF(D20="Pendiente","-",INDEX($CN$6:$CN$53,MATCH($AF20,$BD$6:$BD$53,0)))</f>
        <v>P.1 (2)</v>
      </c>
      <c r="S20" s="743"/>
      <c r="T20" s="743" t="str">
        <f t="shared" ref="T20:T25" ca="1" si="84">IF(D20="Pendiente","-",INDEX($CS$6:$CS$53,MATCH($AA20,$BD$6:$BD$53,0)))</f>
        <v>P.1 (2)</v>
      </c>
      <c r="U20" s="743" t="str">
        <f t="shared" ref="U20:U25" ca="1" si="85">IF(D20="Pendiente","-",INDEX($CS$6:$CS$53,MATCH($AF20,$BD$6:$BD$53,0)))</f>
        <v>P.1 (2)</v>
      </c>
      <c r="V20" s="172"/>
      <c r="W20" s="811" t="s">
        <v>2</v>
      </c>
      <c r="X20" s="189">
        <f ca="1">Horarios!C20</f>
        <v>46187</v>
      </c>
      <c r="Y20" s="190">
        <f ca="1">Horarios!C20</f>
        <v>46187</v>
      </c>
      <c r="Z20" s="191" t="str">
        <f>$Z$4</f>
        <v>R1</v>
      </c>
      <c r="AA20" s="192" t="str">
        <f ca="1">A21</f>
        <v>Brazil</v>
      </c>
      <c r="AB20" s="478" t="e" cm="1" vm="9">
        <f t="array" aca="1" ref="AB20" ca="1">Ver_flag_local</f>
        <v>#VALUE!</v>
      </c>
      <c r="AC20" s="193">
        <v>1</v>
      </c>
      <c r="AD20" s="194">
        <v>1</v>
      </c>
      <c r="AE20" s="483" t="e" cm="1" vm="10">
        <f t="array" aca="1" ref="AE20" ca="1">Ver_flag_visit</f>
        <v>#VALUE!</v>
      </c>
      <c r="AF20" s="195" t="str">
        <f ca="1">A22</f>
        <v>Morocco</v>
      </c>
      <c r="AG20" s="413">
        <f t="shared" ref="AG20:AG25" si="86">IF(NOT(OR(ISBLANK(AC20),ISBLANK(AD20))),1,0)</f>
        <v>1</v>
      </c>
      <c r="AH20" s="196">
        <v>7</v>
      </c>
      <c r="AI20" s="19"/>
      <c r="AJ20" s="197" t="str">
        <f>CONCATENATE(AJ3," ",B20)</f>
        <v>Group C</v>
      </c>
      <c r="AK20" s="198"/>
      <c r="AL20" s="198"/>
      <c r="AM20" s="198"/>
      <c r="AN20" s="198"/>
      <c r="AO20" s="198"/>
      <c r="AP20" s="198"/>
      <c r="AQ20" s="198"/>
      <c r="AR20" s="198"/>
      <c r="AS20" s="198"/>
      <c r="AT20" s="199"/>
      <c r="AU20" s="421"/>
      <c r="AV20" s="200" t="str">
        <f t="shared" ref="AV20" ca="1" si="87">IF(AU21&gt;0,$AV$3,"")</f>
        <v/>
      </c>
      <c r="AW20" s="208"/>
      <c r="AX20" s="255"/>
      <c r="AY20" s="242"/>
      <c r="AZ20" s="243"/>
      <c r="BA20" s="175"/>
      <c r="BB20" s="743"/>
      <c r="BC20" s="755" t="str">
        <f ca="1">+INDEX(T_Equipos[Grupo],MATCH(WORLDCUP!BD20,T_Equipos[NombreEquipo],0))</f>
        <v>D</v>
      </c>
      <c r="BD20" s="743" t="str">
        <f ca="1">+Equipos!B16</f>
        <v>Australia</v>
      </c>
      <c r="BE20" s="747">
        <f t="shared" ca="1" si="25"/>
        <v>4</v>
      </c>
      <c r="BF20" s="747">
        <f t="shared" ca="1" si="26"/>
        <v>3</v>
      </c>
      <c r="BG20" s="747">
        <f t="shared" ca="1" si="17"/>
        <v>1</v>
      </c>
      <c r="BH20" s="747">
        <f t="shared" ca="1" si="18"/>
        <v>1</v>
      </c>
      <c r="BI20" s="747">
        <f t="shared" ca="1" si="19"/>
        <v>1</v>
      </c>
      <c r="BJ20" s="747">
        <f t="shared" ca="1" si="20"/>
        <v>2</v>
      </c>
      <c r="BK20" s="747">
        <f t="shared" ca="1" si="21"/>
        <v>2</v>
      </c>
      <c r="BL20" s="747">
        <f t="shared" ca="1" si="27"/>
        <v>0</v>
      </c>
      <c r="BM20" s="747" t="str">
        <f t="shared" ca="1" si="22"/>
        <v>2D</v>
      </c>
      <c r="BN20" s="747" t="str">
        <f t="shared" ca="1" si="23"/>
        <v>2D</v>
      </c>
      <c r="BO20" s="757">
        <f t="shared" ca="1" si="28"/>
        <v>0</v>
      </c>
      <c r="BP20" s="756">
        <f ca="1">COUNTIFS($BO$6:$BO$53,"&gt;"&amp;BO20,$BC$6:$BC$53,INDEX(T_Equipos[Grupo],MATCH(BD20,T_Equipos[NombreEquipo],0)))+1</f>
        <v>1</v>
      </c>
      <c r="BQ20" s="756" t="str">
        <f ca="1">IF(COUNTIFS($BP$6:$BP$53,BP20,$BC$6:$BC$53,INDEX(T_Equipos[Grupo],MATCH(BD20,T_Equipos[NombreEquipo],0)))=1,"-","P."&amp;BP20&amp;" ("&amp;COUNTIFS($BP$6:$BP$53,BP20,$BC$6:$BC$53,INDEX(T_Equipos[Grupo],MATCH(BD20,T_Equipos[NombreEquipo],0)))&amp;")")</f>
        <v>P.1 (4)</v>
      </c>
      <c r="BR20" s="757">
        <f t="shared" ca="1" si="29"/>
        <v>4</v>
      </c>
      <c r="BS20" s="756">
        <f ca="1">BP20+COUNTIFS($BQ$6:$BQ$53,BQ20,$BR$6:BR$53,"&gt;"&amp;BR20,$BC$6:$BC$53,INDEX(T_Equipos[Grupo],MATCH(BD20,T_Equipos[NombreEquipo],0)))</f>
        <v>2</v>
      </c>
      <c r="BT20" s="756" t="str">
        <f ca="1">IF(COUNTIFS($BS$6:$BS$53,BS20,$BC$6:$BC$53,INDEX(T_Equipos[Grupo],MATCH(BD20,T_Equipos[NombreEquipo],0)))=1,"-","P."&amp;BS20&amp;" ("&amp;COUNTIFS($BS$6:$BS$53,BS20,$BC$6:$BC$53,INDEX(T_Equipos[Grupo],MATCH(BD20,T_Equipos[NombreEquipo],0)))&amp;")")</f>
        <v>P.2 (2)</v>
      </c>
      <c r="BU20" s="757">
        <f t="shared" ca="1" si="36"/>
        <v>0</v>
      </c>
      <c r="BV20" s="757">
        <f t="shared" ca="1" si="37"/>
        <v>1</v>
      </c>
      <c r="BW20" s="757">
        <f t="shared" ca="1" si="38"/>
        <v>0</v>
      </c>
      <c r="BX20" s="757">
        <f t="shared" ca="1" si="39"/>
        <v>1</v>
      </c>
      <c r="BY20" s="757">
        <f ca="1">BS20+COUNTIFS($BT$6:$BT$53,BT20,$BX$6:BX$53,"&gt;"&amp;BX20,$BC$6:$BC$53,INDEX(T_Equipos[Grupo],MATCH(BD20,T_Equipos[NombreEquipo],0)))</f>
        <v>2</v>
      </c>
      <c r="BZ20" s="756" t="str">
        <f ca="1">IF(COUNTIFS($BY$6:$BY$53,BY20,$BC$6:$BC$53,INDEX(T_Equipos[Grupo],MATCH(BD20,T_Equipos[NombreEquipo],0)))=1,"-","P."&amp;BY20&amp;" ("&amp;COUNTIFS($BY$6:$BY$53,BY20,$BC$6:$BC$53,INDEX(T_Equipos[Grupo],MATCH(BD20,T_Equipos[NombreEquipo],0)))&amp;")")</f>
        <v>P.2 (2)</v>
      </c>
      <c r="CA20" s="757">
        <f t="shared" ca="1" si="40"/>
        <v>0</v>
      </c>
      <c r="CB20" s="757">
        <f t="shared" ca="1" si="41"/>
        <v>0</v>
      </c>
      <c r="CC20" s="757">
        <f t="shared" ca="1" si="42"/>
        <v>0</v>
      </c>
      <c r="CD20" s="757">
        <f ca="1">BY20+COUNTIFS($BZ$6:$BZ$53,BZ20,$CC$6:CC$53,"&gt;"&amp;CC20,$BC$6:$BC$53,INDEX(T_Equipos[Grupo],MATCH(BD20,T_Equipos[NombreEquipo],0)))</f>
        <v>2</v>
      </c>
      <c r="CE20" s="756" t="str">
        <f ca="1">IF(COUNTIFS($CD$6:$CD$53,CD20,$BC$6:$BC$53,INDEX(T_Equipos[Grupo],MATCH(BD20,T_Equipos[NombreEquipo],0)))=1,"-","P."&amp;CD20&amp;" ("&amp;COUNTIFS($CD$6:$CD$53,CD20,$BC$6:$BC$53,INDEX(T_Equipos[Grupo],MATCH(BD20,T_Equipos[NombreEquipo],0)))&amp;")")</f>
        <v>P.2 (2)</v>
      </c>
      <c r="CF20" s="757">
        <f t="shared" ca="1" si="43"/>
        <v>0</v>
      </c>
      <c r="CG20" s="757">
        <f ca="1">CD20+COUNTIFS($CE$6:$CE$53,CE20,$CF$6:CF$53,"&gt;"&amp;CF20,$BC$6:$BC$53,INDEX(T_Equipos[Grupo],MATCH(BD20,T_Equipos[NombreEquipo],0)))</f>
        <v>2</v>
      </c>
      <c r="CH20" s="756" t="str">
        <f ca="1">IF(COUNTIFS($CG$6:$CG$53,CG20,$BC$6:$BC$53,INDEX(T_Equipos[Grupo],MATCH(BD20,T_Equipos[NombreEquipo],0)))=1,"-","P."&amp;CG20&amp;" ("&amp;COUNTIFS($CG$6:$CG$53,CG20,$BC$6:$BC$53,INDEX(T_Equipos[Grupo],MATCH(BD20,T_Equipos[NombreEquipo],0)))&amp;")")</f>
        <v>P.2 (2)</v>
      </c>
      <c r="CI20" s="757">
        <f t="shared" ca="1" si="44"/>
        <v>0</v>
      </c>
      <c r="CJ20" s="757">
        <f t="shared" ca="1" si="45"/>
        <v>1</v>
      </c>
      <c r="CK20" s="757">
        <f t="shared" ca="1" si="46"/>
        <v>0</v>
      </c>
      <c r="CL20" s="757">
        <f t="shared" ca="1" si="47"/>
        <v>1</v>
      </c>
      <c r="CM20" s="757">
        <f ca="1">CG20+COUNTIFS($CH$6:$CH$53,CH20,$CL$6:CL$53,"&gt;"&amp;CL20,$BC$6:$BC$53,INDEX(T_Equipos[Grupo],MATCH(BD20,T_Equipos[NombreEquipo],0)))</f>
        <v>2</v>
      </c>
      <c r="CN20" s="756" t="str">
        <f ca="1">IF(COUNTIFS($CM$6:$CM$53,CM20,$BC$6:$BC$53,INDEX(T_Equipos[Grupo],MATCH(BD20,T_Equipos[NombreEquipo],0)))=1,"-","P."&amp;CM20&amp;" ("&amp;COUNTIFS($CM$6:$CM$53,CM20,$BC$6:$BC$53,INDEX(T_Equipos[Grupo],MATCH(BD20,T_Equipos[NombreEquipo],0)))&amp;")")</f>
        <v>P.2 (2)</v>
      </c>
      <c r="CO20" s="757">
        <f t="shared" ca="1" si="48"/>
        <v>0</v>
      </c>
      <c r="CP20" s="757">
        <f t="shared" ca="1" si="49"/>
        <v>0</v>
      </c>
      <c r="CQ20" s="757">
        <f t="shared" ca="1" si="50"/>
        <v>0</v>
      </c>
      <c r="CR20" s="757">
        <f ca="1">CM20+COUNTIFS($CN$6:$CN$53,CN20,$CQ$6:CQ$53,"&gt;"&amp;CQ20,$BC$6:$BC$53,INDEX(T_Equipos[Grupo],MATCH(BD20,T_Equipos[NombreEquipo],0)))</f>
        <v>2</v>
      </c>
      <c r="CS20" s="756" t="str">
        <f ca="1">IF(COUNTIFS($CR$6:$CR$53,CR20,$BC$6:$BC$53,INDEX(T_Equipos[Grupo],MATCH(BD20,T_Equipos[NombreEquipo],0)))=1,"-","P."&amp;CR20&amp;" ("&amp;COUNTIFS($CR$6:$CR$53,CR20,$BC$6:$BC$53,INDEX(T_Equipos[Grupo],MATCH(BD20,T_Equipos[NombreEquipo],0)))&amp;")")</f>
        <v>P.2 (2)</v>
      </c>
      <c r="CT20" s="757">
        <f t="shared" ca="1" si="51"/>
        <v>0</v>
      </c>
      <c r="CU20" s="757">
        <f ca="1">CR20+COUNTIFS($CS$6:$CS$53,CS20,$CT$6:CT$53,"&gt;"&amp;CT20,$BC$6:$BC$53,INDEX(T_Equipos[Grupo],MATCH(BD20,T_Equipos[NombreEquipo],0)))</f>
        <v>2</v>
      </c>
      <c r="CV20" s="756" t="str">
        <f ca="1">IF(COUNTIFS($CU$6:$CU$53,CU20,$BC$6:$BC$53,INDEX(T_Equipos[Grupo],MATCH(BD20,T_Equipos[NombreEquipo],0)))=1,"-","P."&amp;CU20&amp;" ("&amp;COUNTIFS($CU$6:$CU$53,CU20,$BC$6:$BC$53,INDEX(T_Equipos[Grupo],MATCH(BD20,T_Equipos[NombreEquipo],0)))&amp;")")</f>
        <v>P.2 (2)</v>
      </c>
      <c r="CW20" s="756">
        <f t="shared" ca="1" si="30"/>
        <v>0</v>
      </c>
      <c r="CX20" s="756">
        <f ca="1">CU20+COUNTIFS($CV$6:$CV$53,CV20,$CW$6:CW$53,"&gt;"&amp;CW20,$BC$6:$BC$53,INDEX(T_Equipos[Grupo],MATCH(BD20,T_Equipos[NombreEquipo],0)))</f>
        <v>2</v>
      </c>
      <c r="CY20" s="756" t="str">
        <f ca="1">IF(COUNTIFS($CX$6:$CX$53,CX20,$BC$6:$BC$53,INDEX(T_Equipos[Grupo],MATCH(BD20,T_Equipos[NombreEquipo],0)))=1,"-","P."&amp;CX20&amp;" ("&amp;COUNTIFS($CX$6:$CX$53,CX20,$BC$6:$BC$53,INDEX(T_Equipos[Grupo],MATCH(BD20,T_Equipos[NombreEquipo],0)))&amp;")")</f>
        <v>-</v>
      </c>
      <c r="CZ20" s="756" t="str">
        <f t="shared" ca="1" si="31"/>
        <v>-</v>
      </c>
      <c r="DA20" s="757">
        <f ca="1">CX20+COUNTIFS($CY$6:$CY$53,CY20,$CZ$6:CZ$53,"&gt;"&amp;CZ20,$BC$6:$BC$53,INDEX(T_Equipos[Grupo],MATCH(BD20,T_Equipos[NombreEquipo],0)))</f>
        <v>2</v>
      </c>
      <c r="DB20" s="756" t="str">
        <f ca="1">IF(COUNTIFS($DA$6:$DA$53,DA20,$BC$6:$BC$53,INDEX(T_Equipos[Grupo],MATCH(BD20,T_Equipos[NombreEquipo],0)))=1,"-","P."&amp;DA20&amp;" ("&amp;COUNTIFS($DA$6:$DA$53,DA20,$BC$6:$BC$53,INDEX(T_Equipos[Grupo],MATCH(BD20,T_Equipos[NombreEquipo],0)))&amp;")")</f>
        <v>-</v>
      </c>
      <c r="DC20" s="755" t="str">
        <f ca="1">IF(DB20="-","-",COUNTIFS(T_Equipos[Rank],"&lt;"&amp;INDEX(T_Equipos[Rank],MATCH(BD20,T_Equipos[NombreEquipo],0)),$BC$6:$BC$53,INDEX(T_Equipos[Grupo],MATCH(BD20,T_Equipos[NombreEquipo],0)))+1)</f>
        <v>-</v>
      </c>
      <c r="DD20" s="755">
        <f ca="1">DA20+COUNTIFS($DB$6:$DB$53,DB20,$DC$6:DC$53,"&lt;"&amp;DC20,$BC$6:$BC$53,INDEX(T_Equipos[Grupo],MATCH(BD20,T_Equipos[NombreEquipo],0)))</f>
        <v>2</v>
      </c>
      <c r="DE20" s="755"/>
      <c r="DF20" s="755">
        <f t="shared" ca="1" si="52"/>
        <v>2</v>
      </c>
      <c r="DG20" s="755" t="str">
        <f ca="1">IF(DB20="-","-",COUNTIFS(DF$6:DF$53,"&lt;"&amp;DF20,$BC$6:$BC$53,INDEX(T_Equipos[Grupo],MATCH(BD20,T_Equipos[NombreEquipo],0))))</f>
        <v>-</v>
      </c>
      <c r="DH20" s="755">
        <f ca="1">DA20+COUNTIFS(DB$6:DB$53,DB20,DG$6:DG$53,"&lt;"&amp;DG20,$BC$6:$BC$53,INDEX(T_Equipos[Grupo],MATCH(BD20,T_Equipos[NombreEquipo],0)))</f>
        <v>2</v>
      </c>
      <c r="DI20" s="743"/>
      <c r="DJ20" s="743">
        <f t="shared" ca="1" si="53"/>
        <v>3</v>
      </c>
      <c r="DK20" s="743">
        <f t="shared" ca="1" si="24"/>
        <v>12</v>
      </c>
      <c r="DL20" s="743">
        <f t="shared" ca="1" si="33"/>
        <v>1</v>
      </c>
      <c r="DM20" s="737" t="str">
        <f t="shared" ca="1" si="34"/>
        <v>3.1</v>
      </c>
      <c r="DN20" s="743" cm="1">
        <f t="array" aca="1" ref="DN20" ca="1">OFFSET(Horarios!$P$3,DJ20-1,0,DL20,1)</f>
        <v>3</v>
      </c>
      <c r="DO20" s="743"/>
      <c r="DP20" s="743" t="s">
        <v>92</v>
      </c>
      <c r="DQ20" s="743" t="str">
        <f t="shared" ca="1" si="35"/>
        <v>Paraguay</v>
      </c>
      <c r="DR20" s="743"/>
      <c r="DS20" s="743"/>
      <c r="DT20" s="743" t="str">
        <f t="shared" ca="1" si="15"/>
        <v>Brazil-Morocco</v>
      </c>
      <c r="DU20" s="743"/>
      <c r="DV20" s="743"/>
      <c r="DW20" s="8"/>
    </row>
    <row r="21" spans="1:127" ht="16.149999999999999" customHeight="1">
      <c r="A21" s="744" t="str">
        <f ca="1">+Equipos!B10</f>
        <v>Brazil</v>
      </c>
      <c r="B21" s="741"/>
      <c r="C21" s="741"/>
      <c r="D21" s="743" t="str">
        <f t="shared" si="73"/>
        <v>Visitante</v>
      </c>
      <c r="E21" s="743" t="str">
        <f t="shared" ca="1" si="74"/>
        <v>-</v>
      </c>
      <c r="F21" s="743" t="str">
        <f t="shared" ca="1" si="75"/>
        <v>-</v>
      </c>
      <c r="G21" s="743"/>
      <c r="H21" s="743" t="str">
        <f t="shared" ca="1" si="76"/>
        <v>-</v>
      </c>
      <c r="I21" s="743" t="str">
        <f t="shared" ca="1" si="77"/>
        <v>-</v>
      </c>
      <c r="J21" s="743"/>
      <c r="K21" s="743" t="str">
        <f t="shared" ca="1" si="78"/>
        <v>-</v>
      </c>
      <c r="L21" s="743" t="str">
        <f t="shared" ca="1" si="79"/>
        <v>-</v>
      </c>
      <c r="M21" s="743"/>
      <c r="N21" s="743" t="str">
        <f t="shared" ca="1" si="80"/>
        <v>-</v>
      </c>
      <c r="O21" s="743" t="str">
        <f t="shared" ca="1" si="81"/>
        <v>-</v>
      </c>
      <c r="P21" s="743"/>
      <c r="Q21" s="743" t="str">
        <f t="shared" ca="1" si="82"/>
        <v>-</v>
      </c>
      <c r="R21" s="743" t="str">
        <f t="shared" ca="1" si="83"/>
        <v>-</v>
      </c>
      <c r="S21" s="743"/>
      <c r="T21" s="743" t="str">
        <f t="shared" ca="1" si="84"/>
        <v>-</v>
      </c>
      <c r="U21" s="743" t="str">
        <f t="shared" ca="1" si="85"/>
        <v>-</v>
      </c>
      <c r="V21" s="172"/>
      <c r="W21" s="811"/>
      <c r="X21" s="189">
        <f ca="1">Horarios!C21</f>
        <v>46187.125</v>
      </c>
      <c r="Y21" s="190">
        <f ca="1">Horarios!C21</f>
        <v>46187.125</v>
      </c>
      <c r="Z21" s="191" t="str">
        <f>$Z$4</f>
        <v>R1</v>
      </c>
      <c r="AA21" s="192" t="str">
        <f ca="1">A23</f>
        <v>Haiti</v>
      </c>
      <c r="AB21" s="478" t="e" cm="1" vm="11">
        <f t="array" aca="1" ref="AB21" ca="1">Ver_flag_local</f>
        <v>#VALUE!</v>
      </c>
      <c r="AC21" s="193">
        <v>0</v>
      </c>
      <c r="AD21" s="194">
        <v>1</v>
      </c>
      <c r="AE21" s="483" t="e" cm="1" vm="12">
        <f t="array" aca="1" ref="AE21" ca="1">Ver_flag_visit</f>
        <v>#VALUE!</v>
      </c>
      <c r="AF21" s="195" t="str">
        <f ca="1">A24</f>
        <v>Scotland</v>
      </c>
      <c r="AG21" s="413">
        <f t="shared" si="86"/>
        <v>1</v>
      </c>
      <c r="AH21" s="196">
        <v>5</v>
      </c>
      <c r="AI21" s="19"/>
      <c r="AJ21" s="204" t="str">
        <f>AJ5</f>
        <v>Pos</v>
      </c>
      <c r="AK21" s="205"/>
      <c r="AL21" s="206" t="str">
        <f t="shared" ref="AL21:AT21" si="88">AL5</f>
        <v>Nation</v>
      </c>
      <c r="AM21" s="205" t="str">
        <f t="shared" si="88"/>
        <v>Pts</v>
      </c>
      <c r="AN21" s="205" t="str">
        <f t="shared" si="88"/>
        <v>P</v>
      </c>
      <c r="AO21" s="205" t="str">
        <f t="shared" si="88"/>
        <v>W</v>
      </c>
      <c r="AP21" s="205" t="str">
        <f t="shared" si="88"/>
        <v>D</v>
      </c>
      <c r="AQ21" s="205" t="str">
        <f t="shared" si="88"/>
        <v>L</v>
      </c>
      <c r="AR21" s="205" t="str">
        <f t="shared" si="88"/>
        <v>F</v>
      </c>
      <c r="AS21" s="205" t="str">
        <f t="shared" si="88"/>
        <v>A</v>
      </c>
      <c r="AT21" s="207" t="str">
        <f t="shared" si="88"/>
        <v>GD</v>
      </c>
      <c r="AU21" s="421">
        <f t="shared" ref="AU21" ca="1" si="89">COUNTIF(AU22:AU25,"&gt;1")</f>
        <v>0</v>
      </c>
      <c r="AV21" s="208"/>
      <c r="AW21" s="208"/>
      <c r="AX21" s="255"/>
      <c r="AY21" s="209" t="str">
        <f>AL21</f>
        <v>Nation</v>
      </c>
      <c r="AZ21" s="210" t="str">
        <f>+Idiomas!$D$69</f>
        <v>Deducted Points</v>
      </c>
      <c r="BA21" s="175"/>
      <c r="BB21" s="743"/>
      <c r="BC21" s="755" t="str">
        <f ca="1">+INDEX(T_Equipos[Grupo],MATCH(WORLDCUP!BD21,T_Equipos[NombreEquipo],0))</f>
        <v>D</v>
      </c>
      <c r="BD21" s="743" t="str">
        <f ca="1">+Equipos!B17</f>
        <v>Turkey</v>
      </c>
      <c r="BE21" s="747">
        <f t="shared" ca="1" si="25"/>
        <v>3</v>
      </c>
      <c r="BF21" s="747">
        <f t="shared" ca="1" si="26"/>
        <v>3</v>
      </c>
      <c r="BG21" s="747">
        <f t="shared" ca="1" si="17"/>
        <v>1</v>
      </c>
      <c r="BH21" s="747">
        <f t="shared" ca="1" si="18"/>
        <v>0</v>
      </c>
      <c r="BI21" s="747">
        <f t="shared" ca="1" si="19"/>
        <v>2</v>
      </c>
      <c r="BJ21" s="747">
        <f t="shared" ca="1" si="20"/>
        <v>3</v>
      </c>
      <c r="BK21" s="747">
        <f t="shared" ca="1" si="21"/>
        <v>5</v>
      </c>
      <c r="BL21" s="747">
        <f t="shared" ca="1" si="27"/>
        <v>-2</v>
      </c>
      <c r="BM21" s="747" t="str">
        <f t="shared" ca="1" si="22"/>
        <v>4D</v>
      </c>
      <c r="BN21" s="747" t="str">
        <f t="shared" ca="1" si="23"/>
        <v>4D</v>
      </c>
      <c r="BO21" s="757">
        <f t="shared" ca="1" si="28"/>
        <v>0</v>
      </c>
      <c r="BP21" s="756">
        <f ca="1">COUNTIFS($BO$6:$BO$53,"&gt;"&amp;BO21,$BC$6:$BC$53,INDEX(T_Equipos[Grupo],MATCH(BD21,T_Equipos[NombreEquipo],0)))+1</f>
        <v>1</v>
      </c>
      <c r="BQ21" s="756" t="str">
        <f ca="1">IF(COUNTIFS($BP$6:$BP$53,BP21,$BC$6:$BC$53,INDEX(T_Equipos[Grupo],MATCH(BD21,T_Equipos[NombreEquipo],0)))=1,"-","P."&amp;BP21&amp;" ("&amp;COUNTIFS($BP$6:$BP$53,BP21,$BC$6:$BC$53,INDEX(T_Equipos[Grupo],MATCH(BD21,T_Equipos[NombreEquipo],0)))&amp;")")</f>
        <v>P.1 (4)</v>
      </c>
      <c r="BR21" s="757">
        <f t="shared" ca="1" si="29"/>
        <v>3</v>
      </c>
      <c r="BS21" s="756">
        <f ca="1">BP21+COUNTIFS($BQ$6:$BQ$53,BQ21,$BR$6:BR$53,"&gt;"&amp;BR21,$BC$6:$BC$53,INDEX(T_Equipos[Grupo],MATCH(BD21,T_Equipos[NombreEquipo],0)))</f>
        <v>4</v>
      </c>
      <c r="BT21" s="756" t="str">
        <f ca="1">IF(COUNTIFS($BS$6:$BS$53,BS21,$BC$6:$BC$53,INDEX(T_Equipos[Grupo],MATCH(BD21,T_Equipos[NombreEquipo],0)))=1,"-","P."&amp;BS21&amp;" ("&amp;COUNTIFS($BS$6:$BS$53,BS21,$BC$6:$BC$53,INDEX(T_Equipos[Grupo],MATCH(BD21,T_Equipos[NombreEquipo],0)))&amp;")")</f>
        <v>-</v>
      </c>
      <c r="BU21" s="757" t="str">
        <f t="shared" ca="1" si="36"/>
        <v>-</v>
      </c>
      <c r="BV21" s="757" t="str">
        <f t="shared" ca="1" si="37"/>
        <v>-</v>
      </c>
      <c r="BW21" s="757" t="str">
        <f t="shared" ca="1" si="38"/>
        <v>-</v>
      </c>
      <c r="BX21" s="757" t="str">
        <f t="shared" ca="1" si="39"/>
        <v>-</v>
      </c>
      <c r="BY21" s="757">
        <f ca="1">BS21+COUNTIFS($BT$6:$BT$53,BT21,$BX$6:BX$53,"&gt;"&amp;BX21,$BC$6:$BC$53,INDEX(T_Equipos[Grupo],MATCH(BD21,T_Equipos[NombreEquipo],0)))</f>
        <v>4</v>
      </c>
      <c r="BZ21" s="756" t="str">
        <f ca="1">IF(COUNTIFS($BY$6:$BY$53,BY21,$BC$6:$BC$53,INDEX(T_Equipos[Grupo],MATCH(BD21,T_Equipos[NombreEquipo],0)))=1,"-","P."&amp;BY21&amp;" ("&amp;COUNTIFS($BY$6:$BY$53,BY21,$BC$6:$BC$53,INDEX(T_Equipos[Grupo],MATCH(BD21,T_Equipos[NombreEquipo],0)))&amp;")")</f>
        <v>-</v>
      </c>
      <c r="CA21" s="757" t="str">
        <f t="shared" ca="1" si="40"/>
        <v>-</v>
      </c>
      <c r="CB21" s="757" t="str">
        <f t="shared" ca="1" si="41"/>
        <v>-</v>
      </c>
      <c r="CC21" s="757" t="str">
        <f t="shared" ca="1" si="42"/>
        <v>-</v>
      </c>
      <c r="CD21" s="757">
        <f ca="1">BY21+COUNTIFS($BZ$6:$BZ$53,BZ21,$CC$6:CC$53,"&gt;"&amp;CC21,$BC$6:$BC$53,INDEX(T_Equipos[Grupo],MATCH(BD21,T_Equipos[NombreEquipo],0)))</f>
        <v>4</v>
      </c>
      <c r="CE21" s="756" t="str">
        <f ca="1">IF(COUNTIFS($CD$6:$CD$53,CD21,$BC$6:$BC$53,INDEX(T_Equipos[Grupo],MATCH(BD21,T_Equipos[NombreEquipo],0)))=1,"-","P."&amp;CD21&amp;" ("&amp;COUNTIFS($CD$6:$CD$53,CD21,$BC$6:$BC$53,INDEX(T_Equipos[Grupo],MATCH(BD21,T_Equipos[NombreEquipo],0)))&amp;")")</f>
        <v>-</v>
      </c>
      <c r="CF21" s="757" t="str">
        <f t="shared" ca="1" si="43"/>
        <v>-</v>
      </c>
      <c r="CG21" s="757">
        <f ca="1">CD21+COUNTIFS($CE$6:$CE$53,CE21,$CF$6:CF$53,"&gt;"&amp;CF21,$BC$6:$BC$53,INDEX(T_Equipos[Grupo],MATCH(BD21,T_Equipos[NombreEquipo],0)))</f>
        <v>4</v>
      </c>
      <c r="CH21" s="756" t="str">
        <f ca="1">IF(COUNTIFS($CG$6:$CG$53,CG21,$BC$6:$BC$53,INDEX(T_Equipos[Grupo],MATCH(BD21,T_Equipos[NombreEquipo],0)))=1,"-","P."&amp;CG21&amp;" ("&amp;COUNTIFS($CG$6:$CG$53,CG21,$BC$6:$BC$53,INDEX(T_Equipos[Grupo],MATCH(BD21,T_Equipos[NombreEquipo],0)))&amp;")")</f>
        <v>-</v>
      </c>
      <c r="CI21" s="757" t="str">
        <f t="shared" ca="1" si="44"/>
        <v>-</v>
      </c>
      <c r="CJ21" s="757" t="str">
        <f t="shared" ca="1" si="45"/>
        <v>-</v>
      </c>
      <c r="CK21" s="757" t="str">
        <f t="shared" ca="1" si="46"/>
        <v>-</v>
      </c>
      <c r="CL21" s="757" t="str">
        <f t="shared" ca="1" si="47"/>
        <v>-</v>
      </c>
      <c r="CM21" s="757">
        <f ca="1">CG21+COUNTIFS($CH$6:$CH$53,CH21,$CL$6:CL$53,"&gt;"&amp;CL21,$BC$6:$BC$53,INDEX(T_Equipos[Grupo],MATCH(BD21,T_Equipos[NombreEquipo],0)))</f>
        <v>4</v>
      </c>
      <c r="CN21" s="756" t="str">
        <f ca="1">IF(COUNTIFS($CM$6:$CM$53,CM21,$BC$6:$BC$53,INDEX(T_Equipos[Grupo],MATCH(BD21,T_Equipos[NombreEquipo],0)))=1,"-","P."&amp;CM21&amp;" ("&amp;COUNTIFS($CM$6:$CM$53,CM21,$BC$6:$BC$53,INDEX(T_Equipos[Grupo],MATCH(BD21,T_Equipos[NombreEquipo],0)))&amp;")")</f>
        <v>-</v>
      </c>
      <c r="CO21" s="757" t="str">
        <f t="shared" ca="1" si="48"/>
        <v>-</v>
      </c>
      <c r="CP21" s="757" t="str">
        <f t="shared" ca="1" si="49"/>
        <v>-</v>
      </c>
      <c r="CQ21" s="757" t="str">
        <f t="shared" ca="1" si="50"/>
        <v>-</v>
      </c>
      <c r="CR21" s="757">
        <f ca="1">CM21+COUNTIFS($CN$6:$CN$53,CN21,$CQ$6:CQ$53,"&gt;"&amp;CQ21,$BC$6:$BC$53,INDEX(T_Equipos[Grupo],MATCH(BD21,T_Equipos[NombreEquipo],0)))</f>
        <v>4</v>
      </c>
      <c r="CS21" s="756" t="str">
        <f ca="1">IF(COUNTIFS($CR$6:$CR$53,CR21,$BC$6:$BC$53,INDEX(T_Equipos[Grupo],MATCH(BD21,T_Equipos[NombreEquipo],0)))=1,"-","P."&amp;CR21&amp;" ("&amp;COUNTIFS($CR$6:$CR$53,CR21,$BC$6:$BC$53,INDEX(T_Equipos[Grupo],MATCH(BD21,T_Equipos[NombreEquipo],0)))&amp;")")</f>
        <v>-</v>
      </c>
      <c r="CT21" s="757" t="str">
        <f t="shared" ca="1" si="51"/>
        <v>-</v>
      </c>
      <c r="CU21" s="757">
        <f ca="1">CR21+COUNTIFS($CS$6:$CS$53,CS21,$CT$6:CT$53,"&gt;"&amp;CT21,$BC$6:$BC$53,INDEX(T_Equipos[Grupo],MATCH(BD21,T_Equipos[NombreEquipo],0)))</f>
        <v>4</v>
      </c>
      <c r="CV21" s="756" t="str">
        <f ca="1">IF(COUNTIFS($CU$6:$CU$53,CU21,$BC$6:$BC$53,INDEX(T_Equipos[Grupo],MATCH(BD21,T_Equipos[NombreEquipo],0)))=1,"-","P."&amp;CU21&amp;" ("&amp;COUNTIFS($CU$6:$CU$53,CU21,$BC$6:$BC$53,INDEX(T_Equipos[Grupo],MATCH(BD21,T_Equipos[NombreEquipo],0)))&amp;")")</f>
        <v>-</v>
      </c>
      <c r="CW21" s="756" t="str">
        <f t="shared" ca="1" si="30"/>
        <v>-</v>
      </c>
      <c r="CX21" s="756">
        <f ca="1">CU21+COUNTIFS($CV$6:$CV$53,CV21,$CW$6:CW$53,"&gt;"&amp;CW21,$BC$6:$BC$53,INDEX(T_Equipos[Grupo],MATCH(BD21,T_Equipos[NombreEquipo],0)))</f>
        <v>4</v>
      </c>
      <c r="CY21" s="756" t="str">
        <f ca="1">IF(COUNTIFS($CX$6:$CX$53,CX21,$BC$6:$BC$53,INDEX(T_Equipos[Grupo],MATCH(BD21,T_Equipos[NombreEquipo],0)))=1,"-","P."&amp;CX21&amp;" ("&amp;COUNTIFS($CX$6:$CX$53,CX21,$BC$6:$BC$53,INDEX(T_Equipos[Grupo],MATCH(BD21,T_Equipos[NombreEquipo],0)))&amp;")")</f>
        <v>-</v>
      </c>
      <c r="CZ21" s="756" t="str">
        <f t="shared" ca="1" si="31"/>
        <v>-</v>
      </c>
      <c r="DA21" s="757">
        <f ca="1">CX21+COUNTIFS($CY$6:$CY$53,CY21,$CZ$6:CZ$53,"&gt;"&amp;CZ21,$BC$6:$BC$53,INDEX(T_Equipos[Grupo],MATCH(BD21,T_Equipos[NombreEquipo],0)))</f>
        <v>4</v>
      </c>
      <c r="DB21" s="756" t="str">
        <f ca="1">IF(COUNTIFS($DA$6:$DA$53,DA21,$BC$6:$BC$53,INDEX(T_Equipos[Grupo],MATCH(BD21,T_Equipos[NombreEquipo],0)))=1,"-","P."&amp;DA21&amp;" ("&amp;COUNTIFS($DA$6:$DA$53,DA21,$BC$6:$BC$53,INDEX(T_Equipos[Grupo],MATCH(BD21,T_Equipos[NombreEquipo],0)))&amp;")")</f>
        <v>-</v>
      </c>
      <c r="DC21" s="755" t="str">
        <f ca="1">IF(DB21="-","-",COUNTIFS(T_Equipos[Rank],"&lt;"&amp;INDEX(T_Equipos[Rank],MATCH(BD21,T_Equipos[NombreEquipo],0)),$BC$6:$BC$53,INDEX(T_Equipos[Grupo],MATCH(BD21,T_Equipos[NombreEquipo],0)))+1)</f>
        <v>-</v>
      </c>
      <c r="DD21" s="755">
        <f ca="1">DA21+COUNTIFS($DB$6:$DB$53,DB21,$DC$6:DC$53,"&lt;"&amp;DC21,$BC$6:$BC$53,INDEX(T_Equipos[Grupo],MATCH(BD21,T_Equipos[NombreEquipo],0)))</f>
        <v>4</v>
      </c>
      <c r="DE21" s="755"/>
      <c r="DF21" s="755">
        <f t="shared" ca="1" si="52"/>
        <v>4</v>
      </c>
      <c r="DG21" s="755" t="str">
        <f ca="1">IF(DB21="-","-",COUNTIFS(DF$6:DF$53,"&lt;"&amp;DF21,$BC$6:$BC$53,INDEX(T_Equipos[Grupo],MATCH(BD21,T_Equipos[NombreEquipo],0))))</f>
        <v>-</v>
      </c>
      <c r="DH21" s="755">
        <f ca="1">DA21+COUNTIFS(DB$6:DB$53,DB21,DG$6:DG$53,"&lt;"&amp;DG21,$BC$6:$BC$53,INDEX(T_Equipos[Grupo],MATCH(BD21,T_Equipos[NombreEquipo],0)))</f>
        <v>4</v>
      </c>
      <c r="DI21" s="743"/>
      <c r="DJ21" s="743">
        <f t="shared" ca="1" si="53"/>
        <v>4</v>
      </c>
      <c r="DK21" s="743">
        <f t="shared" ca="1" si="24"/>
        <v>12</v>
      </c>
      <c r="DL21" s="743">
        <f t="shared" ca="1" si="33"/>
        <v>1</v>
      </c>
      <c r="DM21" s="737" t="str">
        <f t="shared" ca="1" si="34"/>
        <v>4.1</v>
      </c>
      <c r="DN21" s="743" cm="1">
        <f t="array" aca="1" ref="DN21" ca="1">OFFSET(Horarios!$P$3,DJ21-1,0,DL21,1)</f>
        <v>4</v>
      </c>
      <c r="DO21" s="743"/>
      <c r="DP21" s="743" t="s">
        <v>660</v>
      </c>
      <c r="DQ21" s="743" t="str">
        <f t="shared" ca="1" si="35"/>
        <v>Turkey</v>
      </c>
      <c r="DR21" s="743"/>
      <c r="DS21" s="743"/>
      <c r="DT21" s="743" t="str">
        <f t="shared" ca="1" si="15"/>
        <v>Haiti-Scotland</v>
      </c>
      <c r="DU21" s="743"/>
      <c r="DV21" s="743"/>
      <c r="DW21" s="8"/>
    </row>
    <row r="22" spans="1:127" ht="16.149999999999999" customHeight="1">
      <c r="A22" s="744" t="str">
        <f ca="1">+Equipos!B11</f>
        <v>Morocco</v>
      </c>
      <c r="B22" s="741"/>
      <c r="C22" s="745"/>
      <c r="D22" s="743" t="str">
        <f t="shared" si="73"/>
        <v>Visitante</v>
      </c>
      <c r="E22" s="743" t="str">
        <f t="shared" ca="1" si="74"/>
        <v>-</v>
      </c>
      <c r="F22" s="743" t="str">
        <f t="shared" ca="1" si="75"/>
        <v>P.1 (2)</v>
      </c>
      <c r="G22" s="743"/>
      <c r="H22" s="743" t="str">
        <f t="shared" ca="1" si="76"/>
        <v>-</v>
      </c>
      <c r="I22" s="743" t="str">
        <f t="shared" ca="1" si="77"/>
        <v>P.1 (2)</v>
      </c>
      <c r="J22" s="743"/>
      <c r="K22" s="743" t="str">
        <f t="shared" ca="1" si="78"/>
        <v>-</v>
      </c>
      <c r="L22" s="743" t="str">
        <f t="shared" ca="1" si="79"/>
        <v>P.1 (2)</v>
      </c>
      <c r="M22" s="743"/>
      <c r="N22" s="743" t="str">
        <f t="shared" ca="1" si="80"/>
        <v>-</v>
      </c>
      <c r="O22" s="743" t="str">
        <f t="shared" ca="1" si="81"/>
        <v>P.1 (2)</v>
      </c>
      <c r="P22" s="743"/>
      <c r="Q22" s="743" t="str">
        <f t="shared" ca="1" si="82"/>
        <v>-</v>
      </c>
      <c r="R22" s="743" t="str">
        <f t="shared" ca="1" si="83"/>
        <v>P.1 (2)</v>
      </c>
      <c r="S22" s="743"/>
      <c r="T22" s="743" t="str">
        <f t="shared" ca="1" si="84"/>
        <v>-</v>
      </c>
      <c r="U22" s="743" t="str">
        <f t="shared" ca="1" si="85"/>
        <v>P.1 (2)</v>
      </c>
      <c r="V22" s="172"/>
      <c r="W22" s="811"/>
      <c r="X22" s="189">
        <f ca="1">Horarios!C22</f>
        <v>46193</v>
      </c>
      <c r="Y22" s="190">
        <f ca="1">Horarios!C22</f>
        <v>46193</v>
      </c>
      <c r="Z22" s="191" t="str">
        <f>$Z$6</f>
        <v>R2</v>
      </c>
      <c r="AA22" s="192" t="str">
        <f ca="1">A24</f>
        <v>Scotland</v>
      </c>
      <c r="AB22" s="478" t="e" cm="1" vm="12">
        <f t="array" aca="1" ref="AB22" ca="1">Ver_flag_local</f>
        <v>#VALUE!</v>
      </c>
      <c r="AC22" s="193">
        <v>0</v>
      </c>
      <c r="AD22" s="194">
        <v>1</v>
      </c>
      <c r="AE22" s="483" t="e" cm="1" vm="10">
        <f t="array" aca="1" ref="AE22" ca="1">Ver_flag_visit</f>
        <v>#VALUE!</v>
      </c>
      <c r="AF22" s="195" t="str">
        <f ca="1">A22</f>
        <v>Morocco</v>
      </c>
      <c r="AG22" s="413">
        <f t="shared" si="86"/>
        <v>1</v>
      </c>
      <c r="AH22" s="196">
        <v>30</v>
      </c>
      <c r="AI22" s="19" t="str">
        <f>AJ22&amp;$B$20</f>
        <v>1C</v>
      </c>
      <c r="AJ22" s="211">
        <v>1</v>
      </c>
      <c r="AK22" s="488" t="e" cm="1" vm="9">
        <f t="array" aca="1" ref="AK22" ca="1">Ver_flag_visit</f>
        <v>#VALUE!</v>
      </c>
      <c r="AL22" s="212" t="str">
        <f ca="1">IFERROR(INDEX($BD$6:$BD$53,MATCH(AI22,$BN$6:$BN$53,0)),"")</f>
        <v>Brazil</v>
      </c>
      <c r="AM22" s="213">
        <f t="shared" ref="AM22:AT25" ca="1" si="90">INDEX($BE$6:$BN$53,MATCH($AL22,$BD$6:$BD$53,0),MATCH(AM$5,$BE$5:$BN$5,0))</f>
        <v>7</v>
      </c>
      <c r="AN22" s="214">
        <f t="shared" ca="1" si="90"/>
        <v>3</v>
      </c>
      <c r="AO22" s="214">
        <f t="shared" ca="1" si="90"/>
        <v>2</v>
      </c>
      <c r="AP22" s="214">
        <f t="shared" ca="1" si="90"/>
        <v>1</v>
      </c>
      <c r="AQ22" s="214">
        <f t="shared" ca="1" si="90"/>
        <v>0</v>
      </c>
      <c r="AR22" s="214">
        <f t="shared" ca="1" si="90"/>
        <v>7</v>
      </c>
      <c r="AS22" s="214">
        <f t="shared" ca="1" si="90"/>
        <v>1</v>
      </c>
      <c r="AT22" s="215">
        <f t="shared" ca="1" si="90"/>
        <v>6</v>
      </c>
      <c r="AU22" s="420">
        <f ca="1">INDEX($DL$6:$DL$53,MATCH(AI22,$DP$6:$DP$53,0))</f>
        <v>1</v>
      </c>
      <c r="AV22" s="217" t="str">
        <f ca="1">INDEX($BD$6:$BD$53,MATCH(AI22,$BM$6:$BM$53,0))</f>
        <v>Brazil</v>
      </c>
      <c r="AW22" s="427"/>
      <c r="AX22" s="218"/>
      <c r="AY22" s="219" t="str">
        <f ca="1">+A21</f>
        <v>Brazil</v>
      </c>
      <c r="AZ22" s="220"/>
      <c r="BA22" s="175"/>
      <c r="BB22" s="743"/>
      <c r="BC22" s="755" t="str">
        <f ca="1">+INDEX(T_Equipos[Grupo],MATCH(WORLDCUP!BD22,T_Equipos[NombreEquipo],0))</f>
        <v>E</v>
      </c>
      <c r="BD22" s="743" t="str">
        <f ca="1">+Equipos!B18</f>
        <v>Germany</v>
      </c>
      <c r="BE22" s="747">
        <f t="shared" ca="1" si="25"/>
        <v>6</v>
      </c>
      <c r="BF22" s="747">
        <f t="shared" ca="1" si="26"/>
        <v>3</v>
      </c>
      <c r="BG22" s="747">
        <f t="shared" ca="1" si="17"/>
        <v>2</v>
      </c>
      <c r="BH22" s="747">
        <f t="shared" ca="1" si="18"/>
        <v>0</v>
      </c>
      <c r="BI22" s="747">
        <f t="shared" ca="1" si="19"/>
        <v>1</v>
      </c>
      <c r="BJ22" s="747">
        <f t="shared" ca="1" si="20"/>
        <v>10</v>
      </c>
      <c r="BK22" s="747">
        <f t="shared" ca="1" si="21"/>
        <v>4</v>
      </c>
      <c r="BL22" s="747">
        <f t="shared" ca="1" si="27"/>
        <v>6</v>
      </c>
      <c r="BM22" s="747" t="str">
        <f t="shared" ca="1" si="22"/>
        <v>1E</v>
      </c>
      <c r="BN22" s="747" t="str">
        <f t="shared" ca="1" si="23"/>
        <v>1E</v>
      </c>
      <c r="BO22" s="756">
        <f t="shared" ca="1" si="28"/>
        <v>0</v>
      </c>
      <c r="BP22" s="756">
        <f ca="1">COUNTIFS($BO$6:$BO$53,"&gt;"&amp;BO22,$BC$6:$BC$53,INDEX(T_Equipos[Grupo],MATCH(BD22,T_Equipos[NombreEquipo],0)))+1</f>
        <v>1</v>
      </c>
      <c r="BQ22" s="756" t="str">
        <f ca="1">IF(COUNTIFS($BP$6:$BP$53,BP22,$BC$6:$BC$53,INDEX(T_Equipos[Grupo],MATCH(BD22,T_Equipos[NombreEquipo],0)))=1,"-","P."&amp;BP22&amp;" ("&amp;COUNTIFS($BP$6:$BP$53,BP22,$BC$6:$BC$53,INDEX(T_Equipos[Grupo],MATCH(BD22,T_Equipos[NombreEquipo],0)))&amp;")")</f>
        <v>P.1 (4)</v>
      </c>
      <c r="BR22" s="756">
        <f t="shared" ca="1" si="29"/>
        <v>6</v>
      </c>
      <c r="BS22" s="756">
        <f ca="1">BP22+COUNTIFS($BQ$6:$BQ$53,BQ22,$BR$6:BR$53,"&gt;"&amp;BR22,$BC$6:$BC$53,INDEX(T_Equipos[Grupo],MATCH(BD22,T_Equipos[NombreEquipo],0)))</f>
        <v>1</v>
      </c>
      <c r="BT22" s="756" t="str">
        <f ca="1">IF(COUNTIFS($BS$6:$BS$53,BS22,$BC$6:$BC$53,INDEX(T_Equipos[Grupo],MATCH(BD22,T_Equipos[NombreEquipo],0)))=1,"-","P."&amp;BS22&amp;" ("&amp;COUNTIFS($BS$6:$BS$53,BS22,$BC$6:$BC$53,INDEX(T_Equipos[Grupo],MATCH(BD22,T_Equipos[NombreEquipo],0)))&amp;")")</f>
        <v>P.1 (2)</v>
      </c>
      <c r="BU22" s="757">
        <f t="shared" ca="1" si="36"/>
        <v>1</v>
      </c>
      <c r="BV22" s="757">
        <f t="shared" ca="1" si="37"/>
        <v>0</v>
      </c>
      <c r="BW22" s="757">
        <f t="shared" ca="1" si="38"/>
        <v>0</v>
      </c>
      <c r="BX22" s="757">
        <f t="shared" ca="1" si="39"/>
        <v>3</v>
      </c>
      <c r="BY22" s="757">
        <f ca="1">BS22+COUNTIFS($BT$6:$BT$53,BT22,$BX$6:BX$53,"&gt;"&amp;BX22,$BC$6:$BC$53,INDEX(T_Equipos[Grupo],MATCH(BD22,T_Equipos[NombreEquipo],0)))</f>
        <v>1</v>
      </c>
      <c r="BZ22" s="756" t="str">
        <f ca="1">IF(COUNTIFS($BY$6:$BY$53,BY22,$BC$6:$BC$53,INDEX(T_Equipos[Grupo],MATCH(BD22,T_Equipos[NombreEquipo],0)))=1,"-","P."&amp;BY22&amp;" ("&amp;COUNTIFS($BY$6:$BY$53,BY22,$BC$6:$BC$53,INDEX(T_Equipos[Grupo],MATCH(BD22,T_Equipos[NombreEquipo],0)))&amp;")")</f>
        <v>-</v>
      </c>
      <c r="CA22" s="757" t="str">
        <f t="shared" ca="1" si="40"/>
        <v>-</v>
      </c>
      <c r="CB22" s="757" t="str">
        <f t="shared" ca="1" si="41"/>
        <v>-</v>
      </c>
      <c r="CC22" s="757" t="str">
        <f t="shared" ca="1" si="42"/>
        <v>-</v>
      </c>
      <c r="CD22" s="757">
        <f ca="1">BY22+COUNTIFS($BZ$6:$BZ$53,BZ22,$CC$6:CC$53,"&gt;"&amp;CC22,$BC$6:$BC$53,INDEX(T_Equipos[Grupo],MATCH(BD22,T_Equipos[NombreEquipo],0)))</f>
        <v>1</v>
      </c>
      <c r="CE22" s="756" t="str">
        <f ca="1">IF(COUNTIFS($CD$6:$CD$53,CD22,$BC$6:$BC$53,INDEX(T_Equipos[Grupo],MATCH(BD22,T_Equipos[NombreEquipo],0)))=1,"-","P."&amp;CD22&amp;" ("&amp;COUNTIFS($CD$6:$CD$53,CD22,$BC$6:$BC$53,INDEX(T_Equipos[Grupo],MATCH(BD22,T_Equipos[NombreEquipo],0)))&amp;")")</f>
        <v>-</v>
      </c>
      <c r="CF22" s="757" t="str">
        <f t="shared" ca="1" si="43"/>
        <v>-</v>
      </c>
      <c r="CG22" s="757">
        <f ca="1">CD22+COUNTIFS($CE$6:$CE$53,CE22,$CF$6:CF$53,"&gt;"&amp;CF22,$BC$6:$BC$53,INDEX(T_Equipos[Grupo],MATCH(BD22,T_Equipos[NombreEquipo],0)))</f>
        <v>1</v>
      </c>
      <c r="CH22" s="756" t="str">
        <f ca="1">IF(COUNTIFS($CG$6:$CG$53,CG22,$BC$6:$BC$53,INDEX(T_Equipos[Grupo],MATCH(BD22,T_Equipos[NombreEquipo],0)))=1,"-","P."&amp;CG22&amp;" ("&amp;COUNTIFS($CG$6:$CG$53,CG22,$BC$6:$BC$53,INDEX(T_Equipos[Grupo],MATCH(BD22,T_Equipos[NombreEquipo],0)))&amp;")")</f>
        <v>-</v>
      </c>
      <c r="CI22" s="757" t="str">
        <f t="shared" ca="1" si="44"/>
        <v>-</v>
      </c>
      <c r="CJ22" s="757" t="str">
        <f t="shared" ca="1" si="45"/>
        <v>-</v>
      </c>
      <c r="CK22" s="757" t="str">
        <f t="shared" ca="1" si="46"/>
        <v>-</v>
      </c>
      <c r="CL22" s="757" t="str">
        <f t="shared" ca="1" si="47"/>
        <v>-</v>
      </c>
      <c r="CM22" s="757">
        <f ca="1">CG22+COUNTIFS($CH$6:$CH$53,CH22,$CL$6:CL$53,"&gt;"&amp;CL22,$BC$6:$BC$53,INDEX(T_Equipos[Grupo],MATCH(BD22,T_Equipos[NombreEquipo],0)))</f>
        <v>1</v>
      </c>
      <c r="CN22" s="756" t="str">
        <f ca="1">IF(COUNTIFS($CM$6:$CM$53,CM22,$BC$6:$BC$53,INDEX(T_Equipos[Grupo],MATCH(BD22,T_Equipos[NombreEquipo],0)))=1,"-","P."&amp;CM22&amp;" ("&amp;COUNTIFS($CM$6:$CM$53,CM22,$BC$6:$BC$53,INDEX(T_Equipos[Grupo],MATCH(BD22,T_Equipos[NombreEquipo],0)))&amp;")")</f>
        <v>-</v>
      </c>
      <c r="CO22" s="757" t="str">
        <f t="shared" ca="1" si="48"/>
        <v>-</v>
      </c>
      <c r="CP22" s="757" t="str">
        <f t="shared" ca="1" si="49"/>
        <v>-</v>
      </c>
      <c r="CQ22" s="757" t="str">
        <f t="shared" ca="1" si="50"/>
        <v>-</v>
      </c>
      <c r="CR22" s="757">
        <f ca="1">CM22+COUNTIFS($CN$6:$CN$53,CN22,$CQ$6:CQ$53,"&gt;"&amp;CQ22,$BC$6:$BC$53,INDEX(T_Equipos[Grupo],MATCH(BD22,T_Equipos[NombreEquipo],0)))</f>
        <v>1</v>
      </c>
      <c r="CS22" s="756" t="str">
        <f ca="1">IF(COUNTIFS($CR$6:$CR$53,CR22,$BC$6:$BC$53,INDEX(T_Equipos[Grupo],MATCH(BD22,T_Equipos[NombreEquipo],0)))=1,"-","P."&amp;CR22&amp;" ("&amp;COUNTIFS($CR$6:$CR$53,CR22,$BC$6:$BC$53,INDEX(T_Equipos[Grupo],MATCH(BD22,T_Equipos[NombreEquipo],0)))&amp;")")</f>
        <v>-</v>
      </c>
      <c r="CT22" s="757" t="str">
        <f t="shared" ca="1" si="51"/>
        <v>-</v>
      </c>
      <c r="CU22" s="757">
        <f ca="1">CR22+COUNTIFS($CS$6:$CS$53,CS22,$CT$6:CT$53,"&gt;"&amp;CT22,$BC$6:$BC$53,INDEX(T_Equipos[Grupo],MATCH(BD22,T_Equipos[NombreEquipo],0)))</f>
        <v>1</v>
      </c>
      <c r="CV22" s="756" t="str">
        <f ca="1">IF(COUNTIFS($CU$6:$CU$53,CU22,$BC$6:$BC$53,INDEX(T_Equipos[Grupo],MATCH(BD22,T_Equipos[NombreEquipo],0)))=1,"-","P."&amp;CU22&amp;" ("&amp;COUNTIFS($CU$6:$CU$53,CU22,$BC$6:$BC$53,INDEX(T_Equipos[Grupo],MATCH(BD22,T_Equipos[NombreEquipo],0)))&amp;")")</f>
        <v>-</v>
      </c>
      <c r="CW22" s="756" t="str">
        <f t="shared" ca="1" si="30"/>
        <v>-</v>
      </c>
      <c r="CX22" s="756">
        <f ca="1">CU22+COUNTIFS($CV$6:$CV$53,CV22,$CW$6:CW$53,"&gt;"&amp;CW22,$BC$6:$BC$53,INDEX(T_Equipos[Grupo],MATCH(BD22,T_Equipos[NombreEquipo],0)))</f>
        <v>1</v>
      </c>
      <c r="CY22" s="756" t="str">
        <f ca="1">IF(COUNTIFS($CX$6:$CX$53,CX22,$BC$6:$BC$53,INDEX(T_Equipos[Grupo],MATCH(BD22,T_Equipos[NombreEquipo],0)))=1,"-","P."&amp;CX22&amp;" ("&amp;COUNTIFS($CX$6:$CX$53,CX22,$BC$6:$BC$53,INDEX(T_Equipos[Grupo],MATCH(BD22,T_Equipos[NombreEquipo],0)))&amp;")")</f>
        <v>-</v>
      </c>
      <c r="CZ22" s="756" t="str">
        <f t="shared" ca="1" si="31"/>
        <v>-</v>
      </c>
      <c r="DA22" s="757">
        <f ca="1">CX22+COUNTIFS($CY$6:$CY$53,CY22,$CZ$6:CZ$53,"&gt;"&amp;CZ22,$BC$6:$BC$53,INDEX(T_Equipos[Grupo],MATCH(BD22,T_Equipos[NombreEquipo],0)))</f>
        <v>1</v>
      </c>
      <c r="DB22" s="756" t="str">
        <f ca="1">IF(COUNTIFS($DA$6:$DA$53,DA22,$BC$6:$BC$53,INDEX(T_Equipos[Grupo],MATCH(BD22,T_Equipos[NombreEquipo],0)))=1,"-","P."&amp;DA22&amp;" ("&amp;COUNTIFS($DA$6:$DA$53,DA22,$BC$6:$BC$53,INDEX(T_Equipos[Grupo],MATCH(BD22,T_Equipos[NombreEquipo],0)))&amp;")")</f>
        <v>-</v>
      </c>
      <c r="DC22" s="755" t="str">
        <f ca="1">IF(DB22="-","-",COUNTIFS(T_Equipos[Rank],"&lt;"&amp;INDEX(T_Equipos[Rank],MATCH(BD22,T_Equipos[NombreEquipo],0)),$BC$6:$BC$53,INDEX(T_Equipos[Grupo],MATCH(BD22,T_Equipos[NombreEquipo],0)))+1)</f>
        <v>-</v>
      </c>
      <c r="DD22" s="755">
        <f ca="1">DA22+COUNTIFS($DB$6:$DB$53,DB22,$DC$6:DC$53,"&lt;"&amp;DC22,$BC$6:$BC$53,INDEX(T_Equipos[Grupo],MATCH(BD22,T_Equipos[NombreEquipo],0)))</f>
        <v>1</v>
      </c>
      <c r="DE22" s="755"/>
      <c r="DF22" s="755">
        <f t="shared" ca="1" si="52"/>
        <v>1</v>
      </c>
      <c r="DG22" s="755" t="str">
        <f ca="1">IF(DB22="-","-",COUNTIFS(DF$6:DF$53,"&lt;"&amp;DF22,$BC$6:$BC$53,INDEX(T_Equipos[Grupo],MATCH(BD22,T_Equipos[NombreEquipo],0))))</f>
        <v>-</v>
      </c>
      <c r="DH22" s="755">
        <f ca="1">DA22+COUNTIFS(DB$6:DB$53,DB22,DG$6:DG$53,"&lt;"&amp;DG22,$BC$6:$BC$53,INDEX(T_Equipos[Grupo],MATCH(BD22,T_Equipos[NombreEquipo],0)))</f>
        <v>1</v>
      </c>
      <c r="DI22" s="743"/>
      <c r="DJ22" s="743">
        <f t="shared" ca="1" si="53"/>
        <v>1</v>
      </c>
      <c r="DK22" s="743">
        <f t="shared" ca="1" si="24"/>
        <v>12</v>
      </c>
      <c r="DL22" s="743">
        <f t="shared" ca="1" si="33"/>
        <v>1</v>
      </c>
      <c r="DM22" s="737" t="str">
        <f t="shared" ca="1" si="34"/>
        <v>1.1</v>
      </c>
      <c r="DN22" s="743" cm="1">
        <f t="array" aca="1" ref="DN22" ca="1">OFFSET(Horarios!$P$3,DJ22-1,0,DL22,1)</f>
        <v>1</v>
      </c>
      <c r="DO22" s="743"/>
      <c r="DP22" s="743" t="s">
        <v>661</v>
      </c>
      <c r="DQ22" s="743" t="str">
        <f t="shared" ca="1" si="35"/>
        <v>Germany</v>
      </c>
      <c r="DR22" s="743"/>
      <c r="DS22" s="743"/>
      <c r="DT22" s="743" t="str">
        <f t="shared" ca="1" si="15"/>
        <v>Scotland-Morocco</v>
      </c>
      <c r="DU22" s="743"/>
      <c r="DV22" s="743"/>
      <c r="DW22" s="8"/>
    </row>
    <row r="23" spans="1:127" ht="16.149999999999999" customHeight="1">
      <c r="A23" s="744" t="str">
        <f ca="1">+Equipos!B12</f>
        <v>Haiti</v>
      </c>
      <c r="B23" s="741"/>
      <c r="C23" s="743"/>
      <c r="D23" s="743" t="str">
        <f t="shared" si="73"/>
        <v>Local</v>
      </c>
      <c r="E23" s="743" t="str">
        <f t="shared" ca="1" si="74"/>
        <v>P.1 (2)</v>
      </c>
      <c r="F23" s="743" t="str">
        <f t="shared" ca="1" si="75"/>
        <v>-</v>
      </c>
      <c r="G23" s="743"/>
      <c r="H23" s="743" t="str">
        <f t="shared" ca="1" si="76"/>
        <v>P.1 (2)</v>
      </c>
      <c r="I23" s="743" t="str">
        <f t="shared" ca="1" si="77"/>
        <v>-</v>
      </c>
      <c r="J23" s="743"/>
      <c r="K23" s="743" t="str">
        <f t="shared" ca="1" si="78"/>
        <v>P.1 (2)</v>
      </c>
      <c r="L23" s="743" t="str">
        <f t="shared" ca="1" si="79"/>
        <v>-</v>
      </c>
      <c r="M23" s="743"/>
      <c r="N23" s="743" t="str">
        <f t="shared" ca="1" si="80"/>
        <v>P.1 (2)</v>
      </c>
      <c r="O23" s="743" t="str">
        <f t="shared" ca="1" si="81"/>
        <v>-</v>
      </c>
      <c r="P23" s="743"/>
      <c r="Q23" s="743" t="str">
        <f t="shared" ca="1" si="82"/>
        <v>P.1 (2)</v>
      </c>
      <c r="R23" s="743" t="str">
        <f t="shared" ca="1" si="83"/>
        <v>-</v>
      </c>
      <c r="S23" s="743"/>
      <c r="T23" s="743" t="str">
        <f t="shared" ca="1" si="84"/>
        <v>P.1 (2)</v>
      </c>
      <c r="U23" s="743" t="str">
        <f t="shared" ca="1" si="85"/>
        <v>-</v>
      </c>
      <c r="V23" s="172"/>
      <c r="W23" s="811"/>
      <c r="X23" s="189">
        <f ca="1">Horarios!C23</f>
        <v>46193.104166666664</v>
      </c>
      <c r="Y23" s="190">
        <f ca="1">Horarios!C23</f>
        <v>46193.104166666664</v>
      </c>
      <c r="Z23" s="191" t="str">
        <f>$Z$6</f>
        <v>R2</v>
      </c>
      <c r="AA23" s="192" t="str">
        <f ca="1">A21</f>
        <v>Brazil</v>
      </c>
      <c r="AB23" s="478" t="e" cm="1" vm="9">
        <f t="array" aca="1" ref="AB23" ca="1">Ver_flag_local</f>
        <v>#VALUE!</v>
      </c>
      <c r="AC23" s="193">
        <v>3</v>
      </c>
      <c r="AD23" s="194">
        <v>0</v>
      </c>
      <c r="AE23" s="483" t="e" cm="1" vm="11">
        <f t="array" aca="1" ref="AE23" ca="1">Ver_flag_visit</f>
        <v>#VALUE!</v>
      </c>
      <c r="AF23" s="195" t="str">
        <f ca="1">A23</f>
        <v>Haiti</v>
      </c>
      <c r="AG23" s="413">
        <f t="shared" si="86"/>
        <v>1</v>
      </c>
      <c r="AH23" s="196">
        <v>29</v>
      </c>
      <c r="AI23" s="19" t="str">
        <f t="shared" ref="AI23:AI25" si="91">AJ23&amp;$B$20</f>
        <v>2C</v>
      </c>
      <c r="AJ23" s="221">
        <v>2</v>
      </c>
      <c r="AK23" s="486" t="e" cm="1" vm="10">
        <f t="array" aca="1" ref="AK23" ca="1">Ver_flag_visit</f>
        <v>#VALUE!</v>
      </c>
      <c r="AL23" s="222" t="str">
        <f ca="1">IFERROR(INDEX($BD$6:$BD$53,MATCH(AI23,$BN$6:$BN$53,0)),"")</f>
        <v>Morocco</v>
      </c>
      <c r="AM23" s="223">
        <f t="shared" ca="1" si="90"/>
        <v>7</v>
      </c>
      <c r="AN23" s="224">
        <f t="shared" ca="1" si="90"/>
        <v>3</v>
      </c>
      <c r="AO23" s="224">
        <f t="shared" ca="1" si="90"/>
        <v>2</v>
      </c>
      <c r="AP23" s="224">
        <f t="shared" ca="1" si="90"/>
        <v>1</v>
      </c>
      <c r="AQ23" s="224">
        <f t="shared" ca="1" si="90"/>
        <v>0</v>
      </c>
      <c r="AR23" s="224">
        <f t="shared" ca="1" si="90"/>
        <v>6</v>
      </c>
      <c r="AS23" s="224">
        <f t="shared" ca="1" si="90"/>
        <v>3</v>
      </c>
      <c r="AT23" s="225">
        <f t="shared" ca="1" si="90"/>
        <v>3</v>
      </c>
      <c r="AU23" s="420">
        <f ca="1">INDEX($DL$6:$DL$53,MATCH(AI23,$DP$6:$DP$53,0))</f>
        <v>1</v>
      </c>
      <c r="AV23" s="217" t="str">
        <f ca="1">INDEX($BD$6:$BD$53,MATCH(AI23,$BM$6:$BM$53,0))</f>
        <v>Morocco</v>
      </c>
      <c r="AW23" s="427"/>
      <c r="AX23" s="218"/>
      <c r="AY23" s="226" t="str">
        <f ca="1">+A22</f>
        <v>Morocco</v>
      </c>
      <c r="AZ23" s="227"/>
      <c r="BA23" s="175"/>
      <c r="BB23" s="743"/>
      <c r="BC23" s="755" t="str">
        <f ca="1">+INDEX(T_Equipos[Grupo],MATCH(WORLDCUP!BD23,T_Equipos[NombreEquipo],0))</f>
        <v>E</v>
      </c>
      <c r="BD23" s="743" t="str">
        <f ca="1">+Equipos!B19</f>
        <v>Curaçao</v>
      </c>
      <c r="BE23" s="747">
        <f t="shared" ca="1" si="25"/>
        <v>1</v>
      </c>
      <c r="BF23" s="747">
        <f t="shared" ca="1" si="26"/>
        <v>3</v>
      </c>
      <c r="BG23" s="747">
        <f t="shared" ca="1" si="17"/>
        <v>0</v>
      </c>
      <c r="BH23" s="747">
        <f t="shared" ca="1" si="18"/>
        <v>1</v>
      </c>
      <c r="BI23" s="747">
        <f t="shared" ca="1" si="19"/>
        <v>2</v>
      </c>
      <c r="BJ23" s="747">
        <f t="shared" ca="1" si="20"/>
        <v>1</v>
      </c>
      <c r="BK23" s="747">
        <f t="shared" ca="1" si="21"/>
        <v>9</v>
      </c>
      <c r="BL23" s="747">
        <f t="shared" ca="1" si="27"/>
        <v>-8</v>
      </c>
      <c r="BM23" s="747" t="str">
        <f t="shared" ca="1" si="22"/>
        <v>4E</v>
      </c>
      <c r="BN23" s="747" t="str">
        <f t="shared" ca="1" si="23"/>
        <v>4E</v>
      </c>
      <c r="BO23" s="756">
        <f t="shared" ca="1" si="28"/>
        <v>0</v>
      </c>
      <c r="BP23" s="756">
        <f ca="1">COUNTIFS($BO$6:$BO$53,"&gt;"&amp;BO23,$BC$6:$BC$53,INDEX(T_Equipos[Grupo],MATCH(BD23,T_Equipos[NombreEquipo],0)))+1</f>
        <v>1</v>
      </c>
      <c r="BQ23" s="756" t="str">
        <f ca="1">IF(COUNTIFS($BP$6:$BP$53,BP23,$BC$6:$BC$53,INDEX(T_Equipos[Grupo],MATCH(BD23,T_Equipos[NombreEquipo],0)))=1,"-","P."&amp;BP23&amp;" ("&amp;COUNTIFS($BP$6:$BP$53,BP23,$BC$6:$BC$53,INDEX(T_Equipos[Grupo],MATCH(BD23,T_Equipos[NombreEquipo],0)))&amp;")")</f>
        <v>P.1 (4)</v>
      </c>
      <c r="BR23" s="756">
        <f t="shared" ca="1" si="29"/>
        <v>1</v>
      </c>
      <c r="BS23" s="756">
        <f ca="1">BP23+COUNTIFS($BQ$6:$BQ$53,BQ23,$BR$6:BR$53,"&gt;"&amp;BR23,$BC$6:$BC$53,INDEX(T_Equipos[Grupo],MATCH(BD23,T_Equipos[NombreEquipo],0)))</f>
        <v>4</v>
      </c>
      <c r="BT23" s="756" t="str">
        <f ca="1">IF(COUNTIFS($BS$6:$BS$53,BS23,$BC$6:$BC$53,INDEX(T_Equipos[Grupo],MATCH(BD23,T_Equipos[NombreEquipo],0)))=1,"-","P."&amp;BS23&amp;" ("&amp;COUNTIFS($BS$6:$BS$53,BS23,$BC$6:$BC$53,INDEX(T_Equipos[Grupo],MATCH(BD23,T_Equipos[NombreEquipo],0)))&amp;")")</f>
        <v>-</v>
      </c>
      <c r="BU23" s="757" t="str">
        <f t="shared" ca="1" si="36"/>
        <v>-</v>
      </c>
      <c r="BV23" s="757" t="str">
        <f t="shared" ca="1" si="37"/>
        <v>-</v>
      </c>
      <c r="BW23" s="757" t="str">
        <f t="shared" ca="1" si="38"/>
        <v>-</v>
      </c>
      <c r="BX23" s="757" t="str">
        <f t="shared" ca="1" si="39"/>
        <v>-</v>
      </c>
      <c r="BY23" s="757">
        <f ca="1">BS23+COUNTIFS($BT$6:$BT$53,BT23,$BX$6:BX$53,"&gt;"&amp;BX23,$BC$6:$BC$53,INDEX(T_Equipos[Grupo],MATCH(BD23,T_Equipos[NombreEquipo],0)))</f>
        <v>4</v>
      </c>
      <c r="BZ23" s="756" t="str">
        <f ca="1">IF(COUNTIFS($BY$6:$BY$53,BY23,$BC$6:$BC$53,INDEX(T_Equipos[Grupo],MATCH(BD23,T_Equipos[NombreEquipo],0)))=1,"-","P."&amp;BY23&amp;" ("&amp;COUNTIFS($BY$6:$BY$53,BY23,$BC$6:$BC$53,INDEX(T_Equipos[Grupo],MATCH(BD23,T_Equipos[NombreEquipo],0)))&amp;")")</f>
        <v>-</v>
      </c>
      <c r="CA23" s="757" t="str">
        <f t="shared" ca="1" si="40"/>
        <v>-</v>
      </c>
      <c r="CB23" s="757" t="str">
        <f t="shared" ca="1" si="41"/>
        <v>-</v>
      </c>
      <c r="CC23" s="757" t="str">
        <f t="shared" ca="1" si="42"/>
        <v>-</v>
      </c>
      <c r="CD23" s="757">
        <f ca="1">BY23+COUNTIFS($BZ$6:$BZ$53,BZ23,$CC$6:CC$53,"&gt;"&amp;CC23,$BC$6:$BC$53,INDEX(T_Equipos[Grupo],MATCH(BD23,T_Equipos[NombreEquipo],0)))</f>
        <v>4</v>
      </c>
      <c r="CE23" s="756" t="str">
        <f ca="1">IF(COUNTIFS($CD$6:$CD$53,CD23,$BC$6:$BC$53,INDEX(T_Equipos[Grupo],MATCH(BD23,T_Equipos[NombreEquipo],0)))=1,"-","P."&amp;CD23&amp;" ("&amp;COUNTIFS($CD$6:$CD$53,CD23,$BC$6:$BC$53,INDEX(T_Equipos[Grupo],MATCH(BD23,T_Equipos[NombreEquipo],0)))&amp;")")</f>
        <v>-</v>
      </c>
      <c r="CF23" s="757" t="str">
        <f t="shared" ca="1" si="43"/>
        <v>-</v>
      </c>
      <c r="CG23" s="757">
        <f ca="1">CD23+COUNTIFS($CE$6:$CE$53,CE23,$CF$6:CF$53,"&gt;"&amp;CF23,$BC$6:$BC$53,INDEX(T_Equipos[Grupo],MATCH(BD23,T_Equipos[NombreEquipo],0)))</f>
        <v>4</v>
      </c>
      <c r="CH23" s="756" t="str">
        <f ca="1">IF(COUNTIFS($CG$6:$CG$53,CG23,$BC$6:$BC$53,INDEX(T_Equipos[Grupo],MATCH(BD23,T_Equipos[NombreEquipo],0)))=1,"-","P."&amp;CG23&amp;" ("&amp;COUNTIFS($CG$6:$CG$53,CG23,$BC$6:$BC$53,INDEX(T_Equipos[Grupo],MATCH(BD23,T_Equipos[NombreEquipo],0)))&amp;")")</f>
        <v>-</v>
      </c>
      <c r="CI23" s="757" t="str">
        <f t="shared" ca="1" si="44"/>
        <v>-</v>
      </c>
      <c r="CJ23" s="757" t="str">
        <f t="shared" ca="1" si="45"/>
        <v>-</v>
      </c>
      <c r="CK23" s="757" t="str">
        <f t="shared" ca="1" si="46"/>
        <v>-</v>
      </c>
      <c r="CL23" s="757" t="str">
        <f t="shared" ca="1" si="47"/>
        <v>-</v>
      </c>
      <c r="CM23" s="757">
        <f ca="1">CG23+COUNTIFS($CH$6:$CH$53,CH23,$CL$6:CL$53,"&gt;"&amp;CL23,$BC$6:$BC$53,INDEX(T_Equipos[Grupo],MATCH(BD23,T_Equipos[NombreEquipo],0)))</f>
        <v>4</v>
      </c>
      <c r="CN23" s="756" t="str">
        <f ca="1">IF(COUNTIFS($CM$6:$CM$53,CM23,$BC$6:$BC$53,INDEX(T_Equipos[Grupo],MATCH(BD23,T_Equipos[NombreEquipo],0)))=1,"-","P."&amp;CM23&amp;" ("&amp;COUNTIFS($CM$6:$CM$53,CM23,$BC$6:$BC$53,INDEX(T_Equipos[Grupo],MATCH(BD23,T_Equipos[NombreEquipo],0)))&amp;")")</f>
        <v>-</v>
      </c>
      <c r="CO23" s="757" t="str">
        <f t="shared" ca="1" si="48"/>
        <v>-</v>
      </c>
      <c r="CP23" s="757" t="str">
        <f t="shared" ca="1" si="49"/>
        <v>-</v>
      </c>
      <c r="CQ23" s="757" t="str">
        <f t="shared" ca="1" si="50"/>
        <v>-</v>
      </c>
      <c r="CR23" s="757">
        <f ca="1">CM23+COUNTIFS($CN$6:$CN$53,CN23,$CQ$6:CQ$53,"&gt;"&amp;CQ23,$BC$6:$BC$53,INDEX(T_Equipos[Grupo],MATCH(BD23,T_Equipos[NombreEquipo],0)))</f>
        <v>4</v>
      </c>
      <c r="CS23" s="756" t="str">
        <f ca="1">IF(COUNTIFS($CR$6:$CR$53,CR23,$BC$6:$BC$53,INDEX(T_Equipos[Grupo],MATCH(BD23,T_Equipos[NombreEquipo],0)))=1,"-","P."&amp;CR23&amp;" ("&amp;COUNTIFS($CR$6:$CR$53,CR23,$BC$6:$BC$53,INDEX(T_Equipos[Grupo],MATCH(BD23,T_Equipos[NombreEquipo],0)))&amp;")")</f>
        <v>-</v>
      </c>
      <c r="CT23" s="757" t="str">
        <f t="shared" ca="1" si="51"/>
        <v>-</v>
      </c>
      <c r="CU23" s="757">
        <f ca="1">CR23+COUNTIFS($CS$6:$CS$53,CS23,$CT$6:CT$53,"&gt;"&amp;CT23,$BC$6:$BC$53,INDEX(T_Equipos[Grupo],MATCH(BD23,T_Equipos[NombreEquipo],0)))</f>
        <v>4</v>
      </c>
      <c r="CV23" s="756" t="str">
        <f ca="1">IF(COUNTIFS($CU$6:$CU$53,CU23,$BC$6:$BC$53,INDEX(T_Equipos[Grupo],MATCH(BD23,T_Equipos[NombreEquipo],0)))=1,"-","P."&amp;CU23&amp;" ("&amp;COUNTIFS($CU$6:$CU$53,CU23,$BC$6:$BC$53,INDEX(T_Equipos[Grupo],MATCH(BD23,T_Equipos[NombreEquipo],0)))&amp;")")</f>
        <v>-</v>
      </c>
      <c r="CW23" s="756" t="str">
        <f t="shared" ca="1" si="30"/>
        <v>-</v>
      </c>
      <c r="CX23" s="756">
        <f ca="1">CU23+COUNTIFS($CV$6:$CV$53,CV23,$CW$6:CW$53,"&gt;"&amp;CW23,$BC$6:$BC$53,INDEX(T_Equipos[Grupo],MATCH(BD23,T_Equipos[NombreEquipo],0)))</f>
        <v>4</v>
      </c>
      <c r="CY23" s="756" t="str">
        <f ca="1">IF(COUNTIFS($CX$6:$CX$53,CX23,$BC$6:$BC$53,INDEX(T_Equipos[Grupo],MATCH(BD23,T_Equipos[NombreEquipo],0)))=1,"-","P."&amp;CX23&amp;" ("&amp;COUNTIFS($CX$6:$CX$53,CX23,$BC$6:$BC$53,INDEX(T_Equipos[Grupo],MATCH(BD23,T_Equipos[NombreEquipo],0)))&amp;")")</f>
        <v>-</v>
      </c>
      <c r="CZ23" s="756" t="str">
        <f t="shared" ca="1" si="31"/>
        <v>-</v>
      </c>
      <c r="DA23" s="757">
        <f ca="1">CX23+COUNTIFS($CY$6:$CY$53,CY23,$CZ$6:CZ$53,"&gt;"&amp;CZ23,$BC$6:$BC$53,INDEX(T_Equipos[Grupo],MATCH(BD23,T_Equipos[NombreEquipo],0)))</f>
        <v>4</v>
      </c>
      <c r="DB23" s="756" t="str">
        <f ca="1">IF(COUNTIFS($DA$6:$DA$53,DA23,$BC$6:$BC$53,INDEX(T_Equipos[Grupo],MATCH(BD23,T_Equipos[NombreEquipo],0)))=1,"-","P."&amp;DA23&amp;" ("&amp;COUNTIFS($DA$6:$DA$53,DA23,$BC$6:$BC$53,INDEX(T_Equipos[Grupo],MATCH(BD23,T_Equipos[NombreEquipo],0)))&amp;")")</f>
        <v>-</v>
      </c>
      <c r="DC23" s="755" t="str">
        <f ca="1">IF(DB23="-","-",COUNTIFS(T_Equipos[Rank],"&lt;"&amp;INDEX(T_Equipos[Rank],MATCH(BD23,T_Equipos[NombreEquipo],0)),$BC$6:$BC$53,INDEX(T_Equipos[Grupo],MATCH(BD23,T_Equipos[NombreEquipo],0)))+1)</f>
        <v>-</v>
      </c>
      <c r="DD23" s="755">
        <f ca="1">DA23+COUNTIFS($DB$6:$DB$53,DB23,$DC$6:DC$53,"&lt;"&amp;DC23,$BC$6:$BC$53,INDEX(T_Equipos[Grupo],MATCH(BD23,T_Equipos[NombreEquipo],0)))</f>
        <v>4</v>
      </c>
      <c r="DE23" s="755"/>
      <c r="DF23" s="755">
        <f t="shared" ca="1" si="52"/>
        <v>4</v>
      </c>
      <c r="DG23" s="755" t="str">
        <f ca="1">IF(DB23="-","-",COUNTIFS(DF$6:DF$53,"&lt;"&amp;DF23,$BC$6:$BC$53,INDEX(T_Equipos[Grupo],MATCH(BD23,T_Equipos[NombreEquipo],0))))</f>
        <v>-</v>
      </c>
      <c r="DH23" s="755">
        <f ca="1">DA23+COUNTIFS(DB$6:DB$53,DB23,DG$6:DG$53,"&lt;"&amp;DG23,$BC$6:$BC$53,INDEX(T_Equipos[Grupo],MATCH(BD23,T_Equipos[NombreEquipo],0)))</f>
        <v>4</v>
      </c>
      <c r="DI23" s="743"/>
      <c r="DJ23" s="743">
        <f t="shared" ca="1" si="53"/>
        <v>2</v>
      </c>
      <c r="DK23" s="743">
        <f t="shared" ca="1" si="24"/>
        <v>12</v>
      </c>
      <c r="DL23" s="743">
        <f t="shared" ca="1" si="33"/>
        <v>1</v>
      </c>
      <c r="DM23" s="737" t="str">
        <f t="shared" ca="1" si="34"/>
        <v>2.1</v>
      </c>
      <c r="DN23" s="743" cm="1">
        <f t="array" aca="1" ref="DN23" ca="1">OFFSET(Horarios!$P$3,DJ23-1,0,DL23,1)</f>
        <v>2</v>
      </c>
      <c r="DO23" s="743"/>
      <c r="DP23" s="743" t="s">
        <v>662</v>
      </c>
      <c r="DQ23" s="743" t="str">
        <f t="shared" ca="1" si="35"/>
        <v>Ivory Coast</v>
      </c>
      <c r="DR23" s="743"/>
      <c r="DS23" s="743"/>
      <c r="DT23" s="743" t="str">
        <f t="shared" ca="1" si="15"/>
        <v>Brazil-Haiti</v>
      </c>
      <c r="DU23" s="743"/>
      <c r="DV23" s="743"/>
      <c r="DW23" s="8"/>
    </row>
    <row r="24" spans="1:127" ht="16.149999999999999" customHeight="1">
      <c r="A24" s="744" t="str">
        <f ca="1">+Equipos!B13</f>
        <v>Scotland</v>
      </c>
      <c r="B24" s="741"/>
      <c r="C24" s="743"/>
      <c r="D24" s="743" t="str">
        <f t="shared" si="73"/>
        <v>Visitante</v>
      </c>
      <c r="E24" s="743" t="str">
        <f t="shared" ca="1" si="74"/>
        <v>-</v>
      </c>
      <c r="F24" s="743" t="str">
        <f t="shared" ca="1" si="75"/>
        <v>P.1 (2)</v>
      </c>
      <c r="G24" s="743"/>
      <c r="H24" s="743" t="str">
        <f t="shared" ca="1" si="76"/>
        <v>-</v>
      </c>
      <c r="I24" s="743" t="str">
        <f t="shared" ca="1" si="77"/>
        <v>P.1 (2)</v>
      </c>
      <c r="J24" s="743"/>
      <c r="K24" s="743" t="str">
        <f t="shared" ca="1" si="78"/>
        <v>-</v>
      </c>
      <c r="L24" s="743" t="str">
        <f t="shared" ca="1" si="79"/>
        <v>P.1 (2)</v>
      </c>
      <c r="M24" s="743"/>
      <c r="N24" s="743" t="str">
        <f t="shared" ca="1" si="80"/>
        <v>-</v>
      </c>
      <c r="O24" s="743" t="str">
        <f t="shared" ca="1" si="81"/>
        <v>P.1 (2)</v>
      </c>
      <c r="P24" s="743"/>
      <c r="Q24" s="743" t="str">
        <f t="shared" ca="1" si="82"/>
        <v>-</v>
      </c>
      <c r="R24" s="743" t="str">
        <f t="shared" ca="1" si="83"/>
        <v>P.1 (2)</v>
      </c>
      <c r="S24" s="743"/>
      <c r="T24" s="743" t="str">
        <f t="shared" ca="1" si="84"/>
        <v>-</v>
      </c>
      <c r="U24" s="743" t="str">
        <f t="shared" ca="1" si="85"/>
        <v>P.1 (2)</v>
      </c>
      <c r="V24" s="172"/>
      <c r="W24" s="811"/>
      <c r="X24" s="189">
        <f ca="1">Horarios!C24</f>
        <v>46198</v>
      </c>
      <c r="Y24" s="190">
        <f ca="1">Horarios!C24</f>
        <v>46198</v>
      </c>
      <c r="Z24" s="191" t="str">
        <f>$Z$8</f>
        <v>R3</v>
      </c>
      <c r="AA24" s="192" t="str">
        <f ca="1">A24</f>
        <v>Scotland</v>
      </c>
      <c r="AB24" s="478" t="e" cm="1" vm="12">
        <f t="array" aca="1" ref="AB24" ca="1">Ver_flag_local</f>
        <v>#VALUE!</v>
      </c>
      <c r="AC24" s="193">
        <v>0</v>
      </c>
      <c r="AD24" s="194">
        <v>3</v>
      </c>
      <c r="AE24" s="483" t="e" cm="1" vm="9">
        <f t="array" aca="1" ref="AE24" ca="1">Ver_flag_visit</f>
        <v>#VALUE!</v>
      </c>
      <c r="AF24" s="195" t="str">
        <f ca="1">A21</f>
        <v>Brazil</v>
      </c>
      <c r="AG24" s="413">
        <f t="shared" si="86"/>
        <v>1</v>
      </c>
      <c r="AH24" s="196">
        <v>49</v>
      </c>
      <c r="AI24" s="19" t="str">
        <f t="shared" si="91"/>
        <v>3C</v>
      </c>
      <c r="AJ24" s="221">
        <v>3</v>
      </c>
      <c r="AK24" s="486" t="e" cm="1" vm="12">
        <f t="array" aca="1" ref="AK24" ca="1">Ver_flag_visit</f>
        <v>#VALUE!</v>
      </c>
      <c r="AL24" s="222" t="str">
        <f ca="1">IFERROR(INDEX($BD$6:$BD$53,MATCH(AI24,$BN$6:$BN$53,0)),"")</f>
        <v>Scotland</v>
      </c>
      <c r="AM24" s="223">
        <f t="shared" ca="1" si="90"/>
        <v>3</v>
      </c>
      <c r="AN24" s="224">
        <f t="shared" ca="1" si="90"/>
        <v>3</v>
      </c>
      <c r="AO24" s="224">
        <f t="shared" ca="1" si="90"/>
        <v>1</v>
      </c>
      <c r="AP24" s="224">
        <f t="shared" ca="1" si="90"/>
        <v>0</v>
      </c>
      <c r="AQ24" s="224">
        <f t="shared" ca="1" si="90"/>
        <v>2</v>
      </c>
      <c r="AR24" s="224">
        <f t="shared" ca="1" si="90"/>
        <v>1</v>
      </c>
      <c r="AS24" s="224">
        <f t="shared" ca="1" si="90"/>
        <v>4</v>
      </c>
      <c r="AT24" s="225">
        <f t="shared" ca="1" si="90"/>
        <v>-3</v>
      </c>
      <c r="AU24" s="420">
        <f ca="1">INDEX($DL$6:$DL$53,MATCH(AI24,$DP$6:$DP$53,0))</f>
        <v>1</v>
      </c>
      <c r="AV24" s="217" t="str">
        <f ca="1">INDEX($BD$6:$BD$53,MATCH(AI24,$BM$6:$BM$53,0))</f>
        <v>Scotland</v>
      </c>
      <c r="AW24" s="427"/>
      <c r="AX24" s="218"/>
      <c r="AY24" s="219" t="str">
        <f ca="1">+A23</f>
        <v>Haiti</v>
      </c>
      <c r="AZ24" s="220"/>
      <c r="BA24" s="175"/>
      <c r="BB24" s="743"/>
      <c r="BC24" s="755" t="str">
        <f ca="1">+INDEX(T_Equipos[Grupo],MATCH(WORLDCUP!BD24,T_Equipos[NombreEquipo],0))</f>
        <v>E</v>
      </c>
      <c r="BD24" s="743" t="str">
        <f ca="1">+Equipos!B20</f>
        <v>Ivory Coast</v>
      </c>
      <c r="BE24" s="747">
        <f t="shared" ca="1" si="25"/>
        <v>6</v>
      </c>
      <c r="BF24" s="747">
        <f t="shared" ca="1" si="26"/>
        <v>3</v>
      </c>
      <c r="BG24" s="747">
        <f t="shared" ca="1" si="17"/>
        <v>2</v>
      </c>
      <c r="BH24" s="747">
        <f t="shared" ca="1" si="18"/>
        <v>0</v>
      </c>
      <c r="BI24" s="747">
        <f t="shared" ca="1" si="19"/>
        <v>1</v>
      </c>
      <c r="BJ24" s="747">
        <f t="shared" ca="1" si="20"/>
        <v>4</v>
      </c>
      <c r="BK24" s="747">
        <f t="shared" ca="1" si="21"/>
        <v>2</v>
      </c>
      <c r="BL24" s="747">
        <f t="shared" ca="1" si="27"/>
        <v>2</v>
      </c>
      <c r="BM24" s="747" t="str">
        <f t="shared" ca="1" si="22"/>
        <v>2E</v>
      </c>
      <c r="BN24" s="747" t="str">
        <f t="shared" ca="1" si="23"/>
        <v>2E</v>
      </c>
      <c r="BO24" s="756">
        <f t="shared" ca="1" si="28"/>
        <v>0</v>
      </c>
      <c r="BP24" s="756">
        <f ca="1">COUNTIFS($BO$6:$BO$53,"&gt;"&amp;BO24,$BC$6:$BC$53,INDEX(T_Equipos[Grupo],MATCH(BD24,T_Equipos[NombreEquipo],0)))+1</f>
        <v>1</v>
      </c>
      <c r="BQ24" s="756" t="str">
        <f ca="1">IF(COUNTIFS($BP$6:$BP$53,BP24,$BC$6:$BC$53,INDEX(T_Equipos[Grupo],MATCH(BD24,T_Equipos[NombreEquipo],0)))=1,"-","P."&amp;BP24&amp;" ("&amp;COUNTIFS($BP$6:$BP$53,BP24,$BC$6:$BC$53,INDEX(T_Equipos[Grupo],MATCH(BD24,T_Equipos[NombreEquipo],0)))&amp;")")</f>
        <v>P.1 (4)</v>
      </c>
      <c r="BR24" s="756">
        <f t="shared" ca="1" si="29"/>
        <v>6</v>
      </c>
      <c r="BS24" s="756">
        <f ca="1">BP24+COUNTIFS($BQ$6:$BQ$53,BQ24,$BR$6:BR$53,"&gt;"&amp;BR24,$BC$6:$BC$53,INDEX(T_Equipos[Grupo],MATCH(BD24,T_Equipos[NombreEquipo],0)))</f>
        <v>1</v>
      </c>
      <c r="BT24" s="756" t="str">
        <f ca="1">IF(COUNTIFS($BS$6:$BS$53,BS24,$BC$6:$BC$53,INDEX(T_Equipos[Grupo],MATCH(BD24,T_Equipos[NombreEquipo],0)))=1,"-","P."&amp;BS24&amp;" ("&amp;COUNTIFS($BS$6:$BS$53,BS24,$BC$6:$BC$53,INDEX(T_Equipos[Grupo],MATCH(BD24,T_Equipos[NombreEquipo],0)))&amp;")")</f>
        <v>P.1 (2)</v>
      </c>
      <c r="BU24" s="757">
        <f t="shared" ca="1" si="36"/>
        <v>0</v>
      </c>
      <c r="BV24" s="757">
        <f t="shared" ca="1" si="37"/>
        <v>0</v>
      </c>
      <c r="BW24" s="757">
        <f t="shared" ca="1" si="38"/>
        <v>1</v>
      </c>
      <c r="BX24" s="757">
        <f t="shared" ca="1" si="39"/>
        <v>0</v>
      </c>
      <c r="BY24" s="757">
        <f ca="1">BS24+COUNTIFS($BT$6:$BT$53,BT24,$BX$6:BX$53,"&gt;"&amp;BX24,$BC$6:$BC$53,INDEX(T_Equipos[Grupo],MATCH(BD24,T_Equipos[NombreEquipo],0)))</f>
        <v>2</v>
      </c>
      <c r="BZ24" s="756" t="str">
        <f ca="1">IF(COUNTIFS($BY$6:$BY$53,BY24,$BC$6:$BC$53,INDEX(T_Equipos[Grupo],MATCH(BD24,T_Equipos[NombreEquipo],0)))=1,"-","P."&amp;BY24&amp;" ("&amp;COUNTIFS($BY$6:$BY$53,BY24,$BC$6:$BC$53,INDEX(T_Equipos[Grupo],MATCH(BD24,T_Equipos[NombreEquipo],0)))&amp;")")</f>
        <v>-</v>
      </c>
      <c r="CA24" s="757" t="str">
        <f t="shared" ca="1" si="40"/>
        <v>-</v>
      </c>
      <c r="CB24" s="757" t="str">
        <f t="shared" ca="1" si="41"/>
        <v>-</v>
      </c>
      <c r="CC24" s="757" t="str">
        <f t="shared" ca="1" si="42"/>
        <v>-</v>
      </c>
      <c r="CD24" s="757">
        <f ca="1">BY24+COUNTIFS($BZ$6:$BZ$53,BZ24,$CC$6:CC$53,"&gt;"&amp;CC24,$BC$6:$BC$53,INDEX(T_Equipos[Grupo],MATCH(BD24,T_Equipos[NombreEquipo],0)))</f>
        <v>2</v>
      </c>
      <c r="CE24" s="756" t="str">
        <f ca="1">IF(COUNTIFS($CD$6:$CD$53,CD24,$BC$6:$BC$53,INDEX(T_Equipos[Grupo],MATCH(BD24,T_Equipos[NombreEquipo],0)))=1,"-","P."&amp;CD24&amp;" ("&amp;COUNTIFS($CD$6:$CD$53,CD24,$BC$6:$BC$53,INDEX(T_Equipos[Grupo],MATCH(BD24,T_Equipos[NombreEquipo],0)))&amp;")")</f>
        <v>-</v>
      </c>
      <c r="CF24" s="757" t="str">
        <f t="shared" ca="1" si="43"/>
        <v>-</v>
      </c>
      <c r="CG24" s="757">
        <f ca="1">CD24+COUNTIFS($CE$6:$CE$53,CE24,$CF$6:CF$53,"&gt;"&amp;CF24,$BC$6:$BC$53,INDEX(T_Equipos[Grupo],MATCH(BD24,T_Equipos[NombreEquipo],0)))</f>
        <v>2</v>
      </c>
      <c r="CH24" s="756" t="str">
        <f ca="1">IF(COUNTIFS($CG$6:$CG$53,CG24,$BC$6:$BC$53,INDEX(T_Equipos[Grupo],MATCH(BD24,T_Equipos[NombreEquipo],0)))=1,"-","P."&amp;CG24&amp;" ("&amp;COUNTIFS($CG$6:$CG$53,CG24,$BC$6:$BC$53,INDEX(T_Equipos[Grupo],MATCH(BD24,T_Equipos[NombreEquipo],0)))&amp;")")</f>
        <v>-</v>
      </c>
      <c r="CI24" s="757" t="str">
        <f t="shared" ca="1" si="44"/>
        <v>-</v>
      </c>
      <c r="CJ24" s="757" t="str">
        <f t="shared" ca="1" si="45"/>
        <v>-</v>
      </c>
      <c r="CK24" s="757" t="str">
        <f t="shared" ca="1" si="46"/>
        <v>-</v>
      </c>
      <c r="CL24" s="757" t="str">
        <f t="shared" ca="1" si="47"/>
        <v>-</v>
      </c>
      <c r="CM24" s="757">
        <f ca="1">CG24+COUNTIFS($CH$6:$CH$53,CH24,$CL$6:CL$53,"&gt;"&amp;CL24,$BC$6:$BC$53,INDEX(T_Equipos[Grupo],MATCH(BD24,T_Equipos[NombreEquipo],0)))</f>
        <v>2</v>
      </c>
      <c r="CN24" s="756" t="str">
        <f ca="1">IF(COUNTIFS($CM$6:$CM$53,CM24,$BC$6:$BC$53,INDEX(T_Equipos[Grupo],MATCH(BD24,T_Equipos[NombreEquipo],0)))=1,"-","P."&amp;CM24&amp;" ("&amp;COUNTIFS($CM$6:$CM$53,CM24,$BC$6:$BC$53,INDEX(T_Equipos[Grupo],MATCH(BD24,T_Equipos[NombreEquipo],0)))&amp;")")</f>
        <v>-</v>
      </c>
      <c r="CO24" s="757" t="str">
        <f t="shared" ca="1" si="48"/>
        <v>-</v>
      </c>
      <c r="CP24" s="757" t="str">
        <f t="shared" ca="1" si="49"/>
        <v>-</v>
      </c>
      <c r="CQ24" s="757" t="str">
        <f t="shared" ca="1" si="50"/>
        <v>-</v>
      </c>
      <c r="CR24" s="757">
        <f ca="1">CM24+COUNTIFS($CN$6:$CN$53,CN24,$CQ$6:CQ$53,"&gt;"&amp;CQ24,$BC$6:$BC$53,INDEX(T_Equipos[Grupo],MATCH(BD24,T_Equipos[NombreEquipo],0)))</f>
        <v>2</v>
      </c>
      <c r="CS24" s="756" t="str">
        <f ca="1">IF(COUNTIFS($CR$6:$CR$53,CR24,$BC$6:$BC$53,INDEX(T_Equipos[Grupo],MATCH(BD24,T_Equipos[NombreEquipo],0)))=1,"-","P."&amp;CR24&amp;" ("&amp;COUNTIFS($CR$6:$CR$53,CR24,$BC$6:$BC$53,INDEX(T_Equipos[Grupo],MATCH(BD24,T_Equipos[NombreEquipo],0)))&amp;")")</f>
        <v>-</v>
      </c>
      <c r="CT24" s="757" t="str">
        <f t="shared" ca="1" si="51"/>
        <v>-</v>
      </c>
      <c r="CU24" s="757">
        <f ca="1">CR24+COUNTIFS($CS$6:$CS$53,CS24,$CT$6:CT$53,"&gt;"&amp;CT24,$BC$6:$BC$53,INDEX(T_Equipos[Grupo],MATCH(BD24,T_Equipos[NombreEquipo],0)))</f>
        <v>2</v>
      </c>
      <c r="CV24" s="756" t="str">
        <f ca="1">IF(COUNTIFS($CU$6:$CU$53,CU24,$BC$6:$BC$53,INDEX(T_Equipos[Grupo],MATCH(BD24,T_Equipos[NombreEquipo],0)))=1,"-","P."&amp;CU24&amp;" ("&amp;COUNTIFS($CU$6:$CU$53,CU24,$BC$6:$BC$53,INDEX(T_Equipos[Grupo],MATCH(BD24,T_Equipos[NombreEquipo],0)))&amp;")")</f>
        <v>-</v>
      </c>
      <c r="CW24" s="756" t="str">
        <f t="shared" ca="1" si="30"/>
        <v>-</v>
      </c>
      <c r="CX24" s="756">
        <f ca="1">CU24+COUNTIFS($CV$6:$CV$53,CV24,$CW$6:CW$53,"&gt;"&amp;CW24,$BC$6:$BC$53,INDEX(T_Equipos[Grupo],MATCH(BD24,T_Equipos[NombreEquipo],0)))</f>
        <v>2</v>
      </c>
      <c r="CY24" s="756" t="str">
        <f ca="1">IF(COUNTIFS($CX$6:$CX$53,CX24,$BC$6:$BC$53,INDEX(T_Equipos[Grupo],MATCH(BD24,T_Equipos[NombreEquipo],0)))=1,"-","P."&amp;CX24&amp;" ("&amp;COUNTIFS($CX$6:$CX$53,CX24,$BC$6:$BC$53,INDEX(T_Equipos[Grupo],MATCH(BD24,T_Equipos[NombreEquipo],0)))&amp;")")</f>
        <v>-</v>
      </c>
      <c r="CZ24" s="756" t="str">
        <f t="shared" ca="1" si="31"/>
        <v>-</v>
      </c>
      <c r="DA24" s="757">
        <f ca="1">CX24+COUNTIFS($CY$6:$CY$53,CY24,$CZ$6:CZ$53,"&gt;"&amp;CZ24,$BC$6:$BC$53,INDEX(T_Equipos[Grupo],MATCH(BD24,T_Equipos[NombreEquipo],0)))</f>
        <v>2</v>
      </c>
      <c r="DB24" s="756" t="str">
        <f ca="1">IF(COUNTIFS($DA$6:$DA$53,DA24,$BC$6:$BC$53,INDEX(T_Equipos[Grupo],MATCH(BD24,T_Equipos[NombreEquipo],0)))=1,"-","P."&amp;DA24&amp;" ("&amp;COUNTIFS($DA$6:$DA$53,DA24,$BC$6:$BC$53,INDEX(T_Equipos[Grupo],MATCH(BD24,T_Equipos[NombreEquipo],0)))&amp;")")</f>
        <v>-</v>
      </c>
      <c r="DC24" s="755" t="str">
        <f ca="1">IF(DB24="-","-",COUNTIFS(T_Equipos[Rank],"&lt;"&amp;INDEX(T_Equipos[Rank],MATCH(BD24,T_Equipos[NombreEquipo],0)),$BC$6:$BC$53,INDEX(T_Equipos[Grupo],MATCH(BD24,T_Equipos[NombreEquipo],0)))+1)</f>
        <v>-</v>
      </c>
      <c r="DD24" s="755">
        <f ca="1">DA24+COUNTIFS($DB$6:$DB$53,DB24,$DC$6:DC$53,"&lt;"&amp;DC24,$BC$6:$BC$53,INDEX(T_Equipos[Grupo],MATCH(BD24,T_Equipos[NombreEquipo],0)))</f>
        <v>2</v>
      </c>
      <c r="DE24" s="755"/>
      <c r="DF24" s="755">
        <f t="shared" ca="1" si="52"/>
        <v>2</v>
      </c>
      <c r="DG24" s="755" t="str">
        <f ca="1">IF(DB24="-","-",COUNTIFS(DF$6:DF$53,"&lt;"&amp;DF24,$BC$6:$BC$53,INDEX(T_Equipos[Grupo],MATCH(BD24,T_Equipos[NombreEquipo],0))))</f>
        <v>-</v>
      </c>
      <c r="DH24" s="755">
        <f ca="1">DA24+COUNTIFS(DB$6:DB$53,DB24,DG$6:DG$53,"&lt;"&amp;DG24,$BC$6:$BC$53,INDEX(T_Equipos[Grupo],MATCH(BD24,T_Equipos[NombreEquipo],0)))</f>
        <v>2</v>
      </c>
      <c r="DI24" s="743"/>
      <c r="DJ24" s="743">
        <f t="shared" ca="1" si="53"/>
        <v>3</v>
      </c>
      <c r="DK24" s="743">
        <f t="shared" ca="1" si="24"/>
        <v>12</v>
      </c>
      <c r="DL24" s="743">
        <f t="shared" ca="1" si="33"/>
        <v>1</v>
      </c>
      <c r="DM24" s="737" t="str">
        <f t="shared" ca="1" si="34"/>
        <v>3.1</v>
      </c>
      <c r="DN24" s="743" cm="1">
        <f t="array" aca="1" ref="DN24" ca="1">OFFSET(Horarios!$P$3,DJ24-1,0,DL24,1)</f>
        <v>3</v>
      </c>
      <c r="DO24" s="743"/>
      <c r="DP24" s="743" t="s">
        <v>93</v>
      </c>
      <c r="DQ24" s="743" t="str">
        <f t="shared" ca="1" si="35"/>
        <v>Ecuador</v>
      </c>
      <c r="DR24" s="743"/>
      <c r="DS24" s="743"/>
      <c r="DT24" s="743" t="str">
        <f t="shared" ca="1" si="15"/>
        <v>Scotland-Brazil</v>
      </c>
      <c r="DU24" s="743"/>
      <c r="DV24" s="743"/>
      <c r="DW24" s="8"/>
    </row>
    <row r="25" spans="1:127" ht="16.899999999999999" customHeight="1" thickBot="1">
      <c r="A25" s="738"/>
      <c r="B25" s="738"/>
      <c r="C25" s="738"/>
      <c r="D25" s="743" t="str">
        <f t="shared" si="73"/>
        <v>Local</v>
      </c>
      <c r="E25" s="743" t="str">
        <f t="shared" ca="1" si="74"/>
        <v>P.1 (2)</v>
      </c>
      <c r="F25" s="743" t="str">
        <f t="shared" ca="1" si="75"/>
        <v>-</v>
      </c>
      <c r="G25" s="743"/>
      <c r="H25" s="743" t="str">
        <f t="shared" ca="1" si="76"/>
        <v>P.1 (2)</v>
      </c>
      <c r="I25" s="743" t="str">
        <f t="shared" ca="1" si="77"/>
        <v>-</v>
      </c>
      <c r="J25" s="743"/>
      <c r="K25" s="743" t="str">
        <f t="shared" ca="1" si="78"/>
        <v>P.1 (2)</v>
      </c>
      <c r="L25" s="743" t="str">
        <f t="shared" ca="1" si="79"/>
        <v>-</v>
      </c>
      <c r="M25" s="743"/>
      <c r="N25" s="743" t="str">
        <f t="shared" ca="1" si="80"/>
        <v>P.1 (2)</v>
      </c>
      <c r="O25" s="743" t="str">
        <f t="shared" ca="1" si="81"/>
        <v>-</v>
      </c>
      <c r="P25" s="743"/>
      <c r="Q25" s="743" t="str">
        <f t="shared" ca="1" si="82"/>
        <v>P.1 (2)</v>
      </c>
      <c r="R25" s="743" t="str">
        <f t="shared" ca="1" si="83"/>
        <v>-</v>
      </c>
      <c r="S25" s="743"/>
      <c r="T25" s="743" t="str">
        <f t="shared" ca="1" si="84"/>
        <v>P.1 (2)</v>
      </c>
      <c r="U25" s="743" t="str">
        <f t="shared" ca="1" si="85"/>
        <v>-</v>
      </c>
      <c r="V25" s="172"/>
      <c r="W25" s="812"/>
      <c r="X25" s="228">
        <f ca="1">Horarios!C25</f>
        <v>46198</v>
      </c>
      <c r="Y25" s="229">
        <f ca="1">Horarios!C25</f>
        <v>46198</v>
      </c>
      <c r="Z25" s="230" t="str">
        <f>$Z$8</f>
        <v>R3</v>
      </c>
      <c r="AA25" s="231" t="str">
        <f ca="1">A22</f>
        <v>Morocco</v>
      </c>
      <c r="AB25" s="479" t="e" cm="1" vm="10">
        <f t="array" aca="1" ref="AB25" ca="1">Ver_flag_local</f>
        <v>#VALUE!</v>
      </c>
      <c r="AC25" s="232">
        <v>4</v>
      </c>
      <c r="AD25" s="233">
        <v>2</v>
      </c>
      <c r="AE25" s="484" t="e" cm="1" vm="11">
        <f t="array" aca="1" ref="AE25" ca="1">Ver_flag_visit</f>
        <v>#VALUE!</v>
      </c>
      <c r="AF25" s="234" t="str">
        <f ca="1">A23</f>
        <v>Haiti</v>
      </c>
      <c r="AG25" s="413">
        <f t="shared" si="86"/>
        <v>1</v>
      </c>
      <c r="AH25" s="196">
        <v>50</v>
      </c>
      <c r="AI25" s="19" t="str">
        <f t="shared" si="91"/>
        <v>4C</v>
      </c>
      <c r="AJ25" s="235">
        <v>4</v>
      </c>
      <c r="AK25" s="487" t="e" cm="1" vm="11">
        <f t="array" aca="1" ref="AK25" ca="1">Ver_flag_visit</f>
        <v>#VALUE!</v>
      </c>
      <c r="AL25" s="236" t="str">
        <f ca="1">IFERROR(INDEX($BD$6:$BD$53,MATCH(AI25,$BN$6:$BN$53,0)),"")</f>
        <v>Haiti</v>
      </c>
      <c r="AM25" s="237">
        <f t="shared" ca="1" si="90"/>
        <v>0</v>
      </c>
      <c r="AN25" s="238">
        <f t="shared" ca="1" si="90"/>
        <v>3</v>
      </c>
      <c r="AO25" s="238">
        <f t="shared" ca="1" si="90"/>
        <v>0</v>
      </c>
      <c r="AP25" s="238">
        <f t="shared" ca="1" si="90"/>
        <v>0</v>
      </c>
      <c r="AQ25" s="238">
        <f t="shared" ca="1" si="90"/>
        <v>3</v>
      </c>
      <c r="AR25" s="238">
        <f t="shared" ca="1" si="90"/>
        <v>2</v>
      </c>
      <c r="AS25" s="238">
        <f t="shared" ca="1" si="90"/>
        <v>8</v>
      </c>
      <c r="AT25" s="239">
        <f t="shared" ca="1" si="90"/>
        <v>-6</v>
      </c>
      <c r="AU25" s="420">
        <f ca="1">INDEX($DL$6:$DL$53,MATCH(AI25,$DP$6:$DP$53,0))</f>
        <v>1</v>
      </c>
      <c r="AV25" s="217" t="str">
        <f ca="1">INDEX($BD$6:$BD$53,MATCH(AI25,$BM$6:$BM$53,0))</f>
        <v>Haiti</v>
      </c>
      <c r="AW25" s="427"/>
      <c r="AX25" s="218"/>
      <c r="AY25" s="240" t="str">
        <f ca="1">+A24</f>
        <v>Scotland</v>
      </c>
      <c r="AZ25" s="241"/>
      <c r="BA25" s="175"/>
      <c r="BB25" s="743"/>
      <c r="BC25" s="755" t="str">
        <f ca="1">+INDEX(T_Equipos[Grupo],MATCH(WORLDCUP!BD25,T_Equipos[NombreEquipo],0))</f>
        <v>E</v>
      </c>
      <c r="BD25" s="743" t="str">
        <f ca="1">+Equipos!B21</f>
        <v>Ecuador</v>
      </c>
      <c r="BE25" s="747">
        <f t="shared" ca="1" si="25"/>
        <v>4</v>
      </c>
      <c r="BF25" s="747">
        <f t="shared" ca="1" si="26"/>
        <v>3</v>
      </c>
      <c r="BG25" s="747">
        <f t="shared" ca="1" si="17"/>
        <v>1</v>
      </c>
      <c r="BH25" s="747">
        <f t="shared" ca="1" si="18"/>
        <v>1</v>
      </c>
      <c r="BI25" s="747">
        <f t="shared" ca="1" si="19"/>
        <v>1</v>
      </c>
      <c r="BJ25" s="747">
        <f t="shared" ca="1" si="20"/>
        <v>2</v>
      </c>
      <c r="BK25" s="747">
        <f t="shared" ca="1" si="21"/>
        <v>2</v>
      </c>
      <c r="BL25" s="747">
        <f t="shared" ca="1" si="27"/>
        <v>0</v>
      </c>
      <c r="BM25" s="747" t="str">
        <f t="shared" ca="1" si="22"/>
        <v>3E</v>
      </c>
      <c r="BN25" s="747" t="str">
        <f t="shared" ca="1" si="23"/>
        <v>3E</v>
      </c>
      <c r="BO25" s="756">
        <f t="shared" ca="1" si="28"/>
        <v>0</v>
      </c>
      <c r="BP25" s="756">
        <f ca="1">COUNTIFS($BO$6:$BO$53,"&gt;"&amp;BO25,$BC$6:$BC$53,INDEX(T_Equipos[Grupo],MATCH(BD25,T_Equipos[NombreEquipo],0)))+1</f>
        <v>1</v>
      </c>
      <c r="BQ25" s="756" t="str">
        <f ca="1">IF(COUNTIFS($BP$6:$BP$53,BP25,$BC$6:$BC$53,INDEX(T_Equipos[Grupo],MATCH(BD25,T_Equipos[NombreEquipo],0)))=1,"-","P."&amp;BP25&amp;" ("&amp;COUNTIFS($BP$6:$BP$53,BP25,$BC$6:$BC$53,INDEX(T_Equipos[Grupo],MATCH(BD25,T_Equipos[NombreEquipo],0)))&amp;")")</f>
        <v>P.1 (4)</v>
      </c>
      <c r="BR25" s="756">
        <f t="shared" ca="1" si="29"/>
        <v>4</v>
      </c>
      <c r="BS25" s="756">
        <f ca="1">BP25+COUNTIFS($BQ$6:$BQ$53,BQ25,$BR$6:BR$53,"&gt;"&amp;BR25,$BC$6:$BC$53,INDEX(T_Equipos[Grupo],MATCH(BD25,T_Equipos[NombreEquipo],0)))</f>
        <v>3</v>
      </c>
      <c r="BT25" s="756" t="str">
        <f ca="1">IF(COUNTIFS($BS$6:$BS$53,BS25,$BC$6:$BC$53,INDEX(T_Equipos[Grupo],MATCH(BD25,T_Equipos[NombreEquipo],0)))=1,"-","P."&amp;BS25&amp;" ("&amp;COUNTIFS($BS$6:$BS$53,BS25,$BC$6:$BC$53,INDEX(T_Equipos[Grupo],MATCH(BD25,T_Equipos[NombreEquipo],0)))&amp;")")</f>
        <v>-</v>
      </c>
      <c r="BU25" s="757" t="str">
        <f t="shared" ca="1" si="36"/>
        <v>-</v>
      </c>
      <c r="BV25" s="757" t="str">
        <f t="shared" ca="1" si="37"/>
        <v>-</v>
      </c>
      <c r="BW25" s="757" t="str">
        <f t="shared" ca="1" si="38"/>
        <v>-</v>
      </c>
      <c r="BX25" s="757" t="str">
        <f t="shared" ca="1" si="39"/>
        <v>-</v>
      </c>
      <c r="BY25" s="757">
        <f ca="1">BS25+COUNTIFS($BT$6:$BT$53,BT25,$BX$6:BX$53,"&gt;"&amp;BX25,$BC$6:$BC$53,INDEX(T_Equipos[Grupo],MATCH(BD25,T_Equipos[NombreEquipo],0)))</f>
        <v>3</v>
      </c>
      <c r="BZ25" s="756" t="str">
        <f ca="1">IF(COUNTIFS($BY$6:$BY$53,BY25,$BC$6:$BC$53,INDEX(T_Equipos[Grupo],MATCH(BD25,T_Equipos[NombreEquipo],0)))=1,"-","P."&amp;BY25&amp;" ("&amp;COUNTIFS($BY$6:$BY$53,BY25,$BC$6:$BC$53,INDEX(T_Equipos[Grupo],MATCH(BD25,T_Equipos[NombreEquipo],0)))&amp;")")</f>
        <v>-</v>
      </c>
      <c r="CA25" s="757" t="str">
        <f t="shared" ca="1" si="40"/>
        <v>-</v>
      </c>
      <c r="CB25" s="757" t="str">
        <f t="shared" ca="1" si="41"/>
        <v>-</v>
      </c>
      <c r="CC25" s="757" t="str">
        <f t="shared" ca="1" si="42"/>
        <v>-</v>
      </c>
      <c r="CD25" s="757">
        <f ca="1">BY25+COUNTIFS($BZ$6:$BZ$53,BZ25,$CC$6:CC$53,"&gt;"&amp;CC25,$BC$6:$BC$53,INDEX(T_Equipos[Grupo],MATCH(BD25,T_Equipos[NombreEquipo],0)))</f>
        <v>3</v>
      </c>
      <c r="CE25" s="756" t="str">
        <f ca="1">IF(COUNTIFS($CD$6:$CD$53,CD25,$BC$6:$BC$53,INDEX(T_Equipos[Grupo],MATCH(BD25,T_Equipos[NombreEquipo],0)))=1,"-","P."&amp;CD25&amp;" ("&amp;COUNTIFS($CD$6:$CD$53,CD25,$BC$6:$BC$53,INDEX(T_Equipos[Grupo],MATCH(BD25,T_Equipos[NombreEquipo],0)))&amp;")")</f>
        <v>-</v>
      </c>
      <c r="CF25" s="757" t="str">
        <f t="shared" ca="1" si="43"/>
        <v>-</v>
      </c>
      <c r="CG25" s="757">
        <f ca="1">CD25+COUNTIFS($CE$6:$CE$53,CE25,$CF$6:CF$53,"&gt;"&amp;CF25,$BC$6:$BC$53,INDEX(T_Equipos[Grupo],MATCH(BD25,T_Equipos[NombreEquipo],0)))</f>
        <v>3</v>
      </c>
      <c r="CH25" s="756" t="str">
        <f ca="1">IF(COUNTIFS($CG$6:$CG$53,CG25,$BC$6:$BC$53,INDEX(T_Equipos[Grupo],MATCH(BD25,T_Equipos[NombreEquipo],0)))=1,"-","P."&amp;CG25&amp;" ("&amp;COUNTIFS($CG$6:$CG$53,CG25,$BC$6:$BC$53,INDEX(T_Equipos[Grupo],MATCH(BD25,T_Equipos[NombreEquipo],0)))&amp;")")</f>
        <v>-</v>
      </c>
      <c r="CI25" s="757" t="str">
        <f t="shared" ca="1" si="44"/>
        <v>-</v>
      </c>
      <c r="CJ25" s="757" t="str">
        <f t="shared" ca="1" si="45"/>
        <v>-</v>
      </c>
      <c r="CK25" s="757" t="str">
        <f t="shared" ca="1" si="46"/>
        <v>-</v>
      </c>
      <c r="CL25" s="757" t="str">
        <f t="shared" ca="1" si="47"/>
        <v>-</v>
      </c>
      <c r="CM25" s="757">
        <f ca="1">CG25+COUNTIFS($CH$6:$CH$53,CH25,$CL$6:CL$53,"&gt;"&amp;CL25,$BC$6:$BC$53,INDEX(T_Equipos[Grupo],MATCH(BD25,T_Equipos[NombreEquipo],0)))</f>
        <v>3</v>
      </c>
      <c r="CN25" s="756" t="str">
        <f ca="1">IF(COUNTIFS($CM$6:$CM$53,CM25,$BC$6:$BC$53,INDEX(T_Equipos[Grupo],MATCH(BD25,T_Equipos[NombreEquipo],0)))=1,"-","P."&amp;CM25&amp;" ("&amp;COUNTIFS($CM$6:$CM$53,CM25,$BC$6:$BC$53,INDEX(T_Equipos[Grupo],MATCH(BD25,T_Equipos[NombreEquipo],0)))&amp;")")</f>
        <v>-</v>
      </c>
      <c r="CO25" s="757" t="str">
        <f t="shared" ca="1" si="48"/>
        <v>-</v>
      </c>
      <c r="CP25" s="757" t="str">
        <f t="shared" ca="1" si="49"/>
        <v>-</v>
      </c>
      <c r="CQ25" s="757" t="str">
        <f t="shared" ca="1" si="50"/>
        <v>-</v>
      </c>
      <c r="CR25" s="757">
        <f ca="1">CM25+COUNTIFS($CN$6:$CN$53,CN25,$CQ$6:CQ$53,"&gt;"&amp;CQ25,$BC$6:$BC$53,INDEX(T_Equipos[Grupo],MATCH(BD25,T_Equipos[NombreEquipo],0)))</f>
        <v>3</v>
      </c>
      <c r="CS25" s="756" t="str">
        <f ca="1">IF(COUNTIFS($CR$6:$CR$53,CR25,$BC$6:$BC$53,INDEX(T_Equipos[Grupo],MATCH(BD25,T_Equipos[NombreEquipo],0)))=1,"-","P."&amp;CR25&amp;" ("&amp;COUNTIFS($CR$6:$CR$53,CR25,$BC$6:$BC$53,INDEX(T_Equipos[Grupo],MATCH(BD25,T_Equipos[NombreEquipo],0)))&amp;")")</f>
        <v>-</v>
      </c>
      <c r="CT25" s="757" t="str">
        <f t="shared" ca="1" si="51"/>
        <v>-</v>
      </c>
      <c r="CU25" s="757">
        <f ca="1">CR25+COUNTIFS($CS$6:$CS$53,CS25,$CT$6:CT$53,"&gt;"&amp;CT25,$BC$6:$BC$53,INDEX(T_Equipos[Grupo],MATCH(BD25,T_Equipos[NombreEquipo],0)))</f>
        <v>3</v>
      </c>
      <c r="CV25" s="756" t="str">
        <f ca="1">IF(COUNTIFS($CU$6:$CU$53,CU25,$BC$6:$BC$53,INDEX(T_Equipos[Grupo],MATCH(BD25,T_Equipos[NombreEquipo],0)))=1,"-","P."&amp;CU25&amp;" ("&amp;COUNTIFS($CU$6:$CU$53,CU25,$BC$6:$BC$53,INDEX(T_Equipos[Grupo],MATCH(BD25,T_Equipos[NombreEquipo],0)))&amp;")")</f>
        <v>-</v>
      </c>
      <c r="CW25" s="756" t="str">
        <f t="shared" ca="1" si="30"/>
        <v>-</v>
      </c>
      <c r="CX25" s="756">
        <f ca="1">CU25+COUNTIFS($CV$6:$CV$53,CV25,$CW$6:CW$53,"&gt;"&amp;CW25,$BC$6:$BC$53,INDEX(T_Equipos[Grupo],MATCH(BD25,T_Equipos[NombreEquipo],0)))</f>
        <v>3</v>
      </c>
      <c r="CY25" s="756" t="str">
        <f ca="1">IF(COUNTIFS($CX$6:$CX$53,CX25,$BC$6:$BC$53,INDEX(T_Equipos[Grupo],MATCH(BD25,T_Equipos[NombreEquipo],0)))=1,"-","P."&amp;CX25&amp;" ("&amp;COUNTIFS($CX$6:$CX$53,CX25,$BC$6:$BC$53,INDEX(T_Equipos[Grupo],MATCH(BD25,T_Equipos[NombreEquipo],0)))&amp;")")</f>
        <v>-</v>
      </c>
      <c r="CZ25" s="756" t="str">
        <f t="shared" ca="1" si="31"/>
        <v>-</v>
      </c>
      <c r="DA25" s="757">
        <f ca="1">CX25+COUNTIFS($CY$6:$CY$53,CY25,$CZ$6:CZ$53,"&gt;"&amp;CZ25,$BC$6:$BC$53,INDEX(T_Equipos[Grupo],MATCH(BD25,T_Equipos[NombreEquipo],0)))</f>
        <v>3</v>
      </c>
      <c r="DB25" s="756" t="str">
        <f ca="1">IF(COUNTIFS($DA$6:$DA$53,DA25,$BC$6:$BC$53,INDEX(T_Equipos[Grupo],MATCH(BD25,T_Equipos[NombreEquipo],0)))=1,"-","P."&amp;DA25&amp;" ("&amp;COUNTIFS($DA$6:$DA$53,DA25,$BC$6:$BC$53,INDEX(T_Equipos[Grupo],MATCH(BD25,T_Equipos[NombreEquipo],0)))&amp;")")</f>
        <v>-</v>
      </c>
      <c r="DC25" s="755" t="str">
        <f ca="1">IF(DB25="-","-",COUNTIFS(T_Equipos[Rank],"&lt;"&amp;INDEX(T_Equipos[Rank],MATCH(BD25,T_Equipos[NombreEquipo],0)),$BC$6:$BC$53,INDEX(T_Equipos[Grupo],MATCH(BD25,T_Equipos[NombreEquipo],0)))+1)</f>
        <v>-</v>
      </c>
      <c r="DD25" s="755">
        <f ca="1">DA25+COUNTIFS($DB$6:$DB$53,DB25,$DC$6:DC$53,"&lt;"&amp;DC25,$BC$6:$BC$53,INDEX(T_Equipos[Grupo],MATCH(BD25,T_Equipos[NombreEquipo],0)))</f>
        <v>3</v>
      </c>
      <c r="DE25" s="755"/>
      <c r="DF25" s="755">
        <f t="shared" ca="1" si="52"/>
        <v>3</v>
      </c>
      <c r="DG25" s="755" t="str">
        <f ca="1">IF(DB25="-","-",COUNTIFS(DF$6:DF$53,"&lt;"&amp;DF25,$BC$6:$BC$53,INDEX(T_Equipos[Grupo],MATCH(BD25,T_Equipos[NombreEquipo],0))))</f>
        <v>-</v>
      </c>
      <c r="DH25" s="755">
        <f ca="1">DA25+COUNTIFS(DB$6:DB$53,DB25,DG$6:DG$53,"&lt;"&amp;DG25,$BC$6:$BC$53,INDEX(T_Equipos[Grupo],MATCH(BD25,T_Equipos[NombreEquipo],0)))</f>
        <v>3</v>
      </c>
      <c r="DI25" s="743"/>
      <c r="DJ25" s="743">
        <f t="shared" ca="1" si="53"/>
        <v>4</v>
      </c>
      <c r="DK25" s="743">
        <f t="shared" ca="1" si="24"/>
        <v>12</v>
      </c>
      <c r="DL25" s="743">
        <f t="shared" ca="1" si="33"/>
        <v>1</v>
      </c>
      <c r="DM25" s="737" t="str">
        <f t="shared" ca="1" si="34"/>
        <v>4.1</v>
      </c>
      <c r="DN25" s="743" cm="1">
        <f t="array" aca="1" ref="DN25" ca="1">OFFSET(Horarios!$P$3,DJ25-1,0,DL25,1)</f>
        <v>4</v>
      </c>
      <c r="DO25" s="743"/>
      <c r="DP25" s="743" t="s">
        <v>663</v>
      </c>
      <c r="DQ25" s="743" t="str">
        <f t="shared" ca="1" si="35"/>
        <v>Curaçao</v>
      </c>
      <c r="DR25" s="743"/>
      <c r="DS25" s="743"/>
      <c r="DT25" s="743" t="str">
        <f t="shared" ca="1" si="15"/>
        <v>Morocco-Haiti</v>
      </c>
      <c r="DU25" s="743"/>
      <c r="DV25" s="743"/>
      <c r="DW25" s="8"/>
    </row>
    <row r="26" spans="1:127" ht="15.75" thickBot="1">
      <c r="A26" s="738"/>
      <c r="B26" s="738"/>
      <c r="C26" s="738"/>
      <c r="D26" s="743"/>
      <c r="E26" s="743"/>
      <c r="F26" s="743"/>
      <c r="G26" s="743"/>
      <c r="H26" s="743"/>
      <c r="I26" s="743"/>
      <c r="J26" s="743"/>
      <c r="K26" s="743"/>
      <c r="L26" s="743"/>
      <c r="M26" s="743"/>
      <c r="N26" s="743"/>
      <c r="O26" s="743"/>
      <c r="P26" s="743"/>
      <c r="Q26" s="743"/>
      <c r="R26" s="743"/>
      <c r="S26" s="743"/>
      <c r="T26" s="743"/>
      <c r="U26" s="743"/>
      <c r="V26" s="172"/>
      <c r="W26" s="242"/>
      <c r="X26" s="243"/>
      <c r="Y26" s="242"/>
      <c r="Z26" s="244"/>
      <c r="AA26" s="245"/>
      <c r="AB26" s="482"/>
      <c r="AC26" s="247"/>
      <c r="AD26" s="247"/>
      <c r="AE26" s="482"/>
      <c r="AF26" s="248"/>
      <c r="AG26" s="415"/>
      <c r="AH26" s="196"/>
      <c r="AI26" s="171"/>
      <c r="AJ26" s="249"/>
      <c r="AK26" s="250"/>
      <c r="AL26" s="186"/>
      <c r="AM26" s="251"/>
      <c r="AN26" s="249"/>
      <c r="AO26" s="249"/>
      <c r="AP26" s="249"/>
      <c r="AQ26" s="249"/>
      <c r="AR26" s="249"/>
      <c r="AS26" s="249"/>
      <c r="AT26" s="249"/>
      <c r="AU26" s="420"/>
      <c r="AV26" s="216"/>
      <c r="AW26" s="428"/>
      <c r="AX26" s="218"/>
      <c r="AY26" s="242"/>
      <c r="AZ26" s="243"/>
      <c r="BA26" s="175"/>
      <c r="BB26" s="743"/>
      <c r="BC26" s="755" t="str">
        <f ca="1">+INDEX(T_Equipos[Grupo],MATCH(WORLDCUP!BD26,T_Equipos[NombreEquipo],0))</f>
        <v>F</v>
      </c>
      <c r="BD26" s="743" t="str">
        <f ca="1">+Equipos!B22</f>
        <v>Netherlands</v>
      </c>
      <c r="BE26" s="747">
        <f t="shared" ca="1" si="25"/>
        <v>7</v>
      </c>
      <c r="BF26" s="747">
        <f t="shared" ca="1" si="26"/>
        <v>3</v>
      </c>
      <c r="BG26" s="747">
        <f t="shared" ca="1" si="17"/>
        <v>2</v>
      </c>
      <c r="BH26" s="747">
        <f t="shared" ca="1" si="18"/>
        <v>1</v>
      </c>
      <c r="BI26" s="747">
        <f t="shared" ca="1" si="19"/>
        <v>0</v>
      </c>
      <c r="BJ26" s="747">
        <f t="shared" ca="1" si="20"/>
        <v>10</v>
      </c>
      <c r="BK26" s="747">
        <f t="shared" ca="1" si="21"/>
        <v>4</v>
      </c>
      <c r="BL26" s="747">
        <f t="shared" ca="1" si="27"/>
        <v>6</v>
      </c>
      <c r="BM26" s="747" t="str">
        <f t="shared" ca="1" si="22"/>
        <v>1F</v>
      </c>
      <c r="BN26" s="747" t="str">
        <f t="shared" ca="1" si="23"/>
        <v>1F</v>
      </c>
      <c r="BO26" s="757">
        <f t="shared" ca="1" si="28"/>
        <v>0</v>
      </c>
      <c r="BP26" s="756">
        <f ca="1">COUNTIFS($BO$6:$BO$53,"&gt;"&amp;BO26,$BC$6:$BC$53,INDEX(T_Equipos[Grupo],MATCH(BD26,T_Equipos[NombreEquipo],0)))+1</f>
        <v>1</v>
      </c>
      <c r="BQ26" s="756" t="str">
        <f ca="1">IF(COUNTIFS($BP$6:$BP$53,BP26,$BC$6:$BC$53,INDEX(T_Equipos[Grupo],MATCH(BD26,T_Equipos[NombreEquipo],0)))=1,"-","P."&amp;BP26&amp;" ("&amp;COUNTIFS($BP$6:$BP$53,BP26,$BC$6:$BC$53,INDEX(T_Equipos[Grupo],MATCH(BD26,T_Equipos[NombreEquipo],0)))&amp;")")</f>
        <v>P.1 (4)</v>
      </c>
      <c r="BR26" s="757">
        <f t="shared" ca="1" si="29"/>
        <v>7</v>
      </c>
      <c r="BS26" s="756">
        <f ca="1">BP26+COUNTIFS($BQ$6:$BQ$53,BQ26,$BR$6:BR$53,"&gt;"&amp;BR26,$BC$6:$BC$53,INDEX(T_Equipos[Grupo],MATCH(BD26,T_Equipos[NombreEquipo],0)))</f>
        <v>1</v>
      </c>
      <c r="BT26" s="756" t="str">
        <f ca="1">IF(COUNTIFS($BS$6:$BS$53,BS26,$BC$6:$BC$53,INDEX(T_Equipos[Grupo],MATCH(BD26,T_Equipos[NombreEquipo],0)))=1,"-","P."&amp;BS26&amp;" ("&amp;COUNTIFS($BS$6:$BS$53,BS26,$BC$6:$BC$53,INDEX(T_Equipos[Grupo],MATCH(BD26,T_Equipos[NombreEquipo],0)))&amp;")")</f>
        <v>-</v>
      </c>
      <c r="BU26" s="757" t="str">
        <f t="shared" ca="1" si="36"/>
        <v>-</v>
      </c>
      <c r="BV26" s="757" t="str">
        <f t="shared" ca="1" si="37"/>
        <v>-</v>
      </c>
      <c r="BW26" s="757" t="str">
        <f t="shared" ca="1" si="38"/>
        <v>-</v>
      </c>
      <c r="BX26" s="757" t="str">
        <f t="shared" ca="1" si="39"/>
        <v>-</v>
      </c>
      <c r="BY26" s="757">
        <f ca="1">BS26+COUNTIFS($BT$6:$BT$53,BT26,$BX$6:BX$53,"&gt;"&amp;BX26,$BC$6:$BC$53,INDEX(T_Equipos[Grupo],MATCH(BD26,T_Equipos[NombreEquipo],0)))</f>
        <v>1</v>
      </c>
      <c r="BZ26" s="756" t="str">
        <f ca="1">IF(COUNTIFS($BY$6:$BY$53,BY26,$BC$6:$BC$53,INDEX(T_Equipos[Grupo],MATCH(BD26,T_Equipos[NombreEquipo],0)))=1,"-","P."&amp;BY26&amp;" ("&amp;COUNTIFS($BY$6:$BY$53,BY26,$BC$6:$BC$53,INDEX(T_Equipos[Grupo],MATCH(BD26,T_Equipos[NombreEquipo],0)))&amp;")")</f>
        <v>-</v>
      </c>
      <c r="CA26" s="757" t="str">
        <f t="shared" ca="1" si="40"/>
        <v>-</v>
      </c>
      <c r="CB26" s="757" t="str">
        <f t="shared" ca="1" si="41"/>
        <v>-</v>
      </c>
      <c r="CC26" s="757" t="str">
        <f t="shared" ca="1" si="42"/>
        <v>-</v>
      </c>
      <c r="CD26" s="757">
        <f ca="1">BY26+COUNTIFS($BZ$6:$BZ$53,BZ26,$CC$6:CC$53,"&gt;"&amp;CC26,$BC$6:$BC$53,INDEX(T_Equipos[Grupo],MATCH(BD26,T_Equipos[NombreEquipo],0)))</f>
        <v>1</v>
      </c>
      <c r="CE26" s="756" t="str">
        <f ca="1">IF(COUNTIFS($CD$6:$CD$53,CD26,$BC$6:$BC$53,INDEX(T_Equipos[Grupo],MATCH(BD26,T_Equipos[NombreEquipo],0)))=1,"-","P."&amp;CD26&amp;" ("&amp;COUNTIFS($CD$6:$CD$53,CD26,$BC$6:$BC$53,INDEX(T_Equipos[Grupo],MATCH(BD26,T_Equipos[NombreEquipo],0)))&amp;")")</f>
        <v>-</v>
      </c>
      <c r="CF26" s="757" t="str">
        <f t="shared" ca="1" si="43"/>
        <v>-</v>
      </c>
      <c r="CG26" s="757">
        <f ca="1">CD26+COUNTIFS($CE$6:$CE$53,CE26,$CF$6:CF$53,"&gt;"&amp;CF26,$BC$6:$BC$53,INDEX(T_Equipos[Grupo],MATCH(BD26,T_Equipos[NombreEquipo],0)))</f>
        <v>1</v>
      </c>
      <c r="CH26" s="756" t="str">
        <f ca="1">IF(COUNTIFS($CG$6:$CG$53,CG26,$BC$6:$BC$53,INDEX(T_Equipos[Grupo],MATCH(BD26,T_Equipos[NombreEquipo],0)))=1,"-","P."&amp;CG26&amp;" ("&amp;COUNTIFS($CG$6:$CG$53,CG26,$BC$6:$BC$53,INDEX(T_Equipos[Grupo],MATCH(BD26,T_Equipos[NombreEquipo],0)))&amp;")")</f>
        <v>-</v>
      </c>
      <c r="CI26" s="757" t="str">
        <f t="shared" ca="1" si="44"/>
        <v>-</v>
      </c>
      <c r="CJ26" s="757" t="str">
        <f t="shared" ca="1" si="45"/>
        <v>-</v>
      </c>
      <c r="CK26" s="757" t="str">
        <f t="shared" ca="1" si="46"/>
        <v>-</v>
      </c>
      <c r="CL26" s="757" t="str">
        <f t="shared" ca="1" si="47"/>
        <v>-</v>
      </c>
      <c r="CM26" s="757">
        <f ca="1">CG26+COUNTIFS($CH$6:$CH$53,CH26,$CL$6:CL$53,"&gt;"&amp;CL26,$BC$6:$BC$53,INDEX(T_Equipos[Grupo],MATCH(BD26,T_Equipos[NombreEquipo],0)))</f>
        <v>1</v>
      </c>
      <c r="CN26" s="756" t="str">
        <f ca="1">IF(COUNTIFS($CM$6:$CM$53,CM26,$BC$6:$BC$53,INDEX(T_Equipos[Grupo],MATCH(BD26,T_Equipos[NombreEquipo],0)))=1,"-","P."&amp;CM26&amp;" ("&amp;COUNTIFS($CM$6:$CM$53,CM26,$BC$6:$BC$53,INDEX(T_Equipos[Grupo],MATCH(BD26,T_Equipos[NombreEquipo],0)))&amp;")")</f>
        <v>-</v>
      </c>
      <c r="CO26" s="757" t="str">
        <f t="shared" ca="1" si="48"/>
        <v>-</v>
      </c>
      <c r="CP26" s="757" t="str">
        <f t="shared" ca="1" si="49"/>
        <v>-</v>
      </c>
      <c r="CQ26" s="757" t="str">
        <f t="shared" ca="1" si="50"/>
        <v>-</v>
      </c>
      <c r="CR26" s="757">
        <f ca="1">CM26+COUNTIFS($CN$6:$CN$53,CN26,$CQ$6:CQ$53,"&gt;"&amp;CQ26,$BC$6:$BC$53,INDEX(T_Equipos[Grupo],MATCH(BD26,T_Equipos[NombreEquipo],0)))</f>
        <v>1</v>
      </c>
      <c r="CS26" s="756" t="str">
        <f ca="1">IF(COUNTIFS($CR$6:$CR$53,CR26,$BC$6:$BC$53,INDEX(T_Equipos[Grupo],MATCH(BD26,T_Equipos[NombreEquipo],0)))=1,"-","P."&amp;CR26&amp;" ("&amp;COUNTIFS($CR$6:$CR$53,CR26,$BC$6:$BC$53,INDEX(T_Equipos[Grupo],MATCH(BD26,T_Equipos[NombreEquipo],0)))&amp;")")</f>
        <v>-</v>
      </c>
      <c r="CT26" s="757" t="str">
        <f t="shared" ca="1" si="51"/>
        <v>-</v>
      </c>
      <c r="CU26" s="757">
        <f ca="1">CR26+COUNTIFS($CS$6:$CS$53,CS26,$CT$6:CT$53,"&gt;"&amp;CT26,$BC$6:$BC$53,INDEX(T_Equipos[Grupo],MATCH(BD26,T_Equipos[NombreEquipo],0)))</f>
        <v>1</v>
      </c>
      <c r="CV26" s="756" t="str">
        <f ca="1">IF(COUNTIFS($CU$6:$CU$53,CU26,$BC$6:$BC$53,INDEX(T_Equipos[Grupo],MATCH(BD26,T_Equipos[NombreEquipo],0)))=1,"-","P."&amp;CU26&amp;" ("&amp;COUNTIFS($CU$6:$CU$53,CU26,$BC$6:$BC$53,INDEX(T_Equipos[Grupo],MATCH(BD26,T_Equipos[NombreEquipo],0)))&amp;")")</f>
        <v>-</v>
      </c>
      <c r="CW26" s="756" t="str">
        <f t="shared" ca="1" si="30"/>
        <v>-</v>
      </c>
      <c r="CX26" s="756">
        <f ca="1">CU26+COUNTIFS($CV$6:$CV$53,CV26,$CW$6:CW$53,"&gt;"&amp;CW26,$BC$6:$BC$53,INDEX(T_Equipos[Grupo],MATCH(BD26,T_Equipos[NombreEquipo],0)))</f>
        <v>1</v>
      </c>
      <c r="CY26" s="756" t="str">
        <f ca="1">IF(COUNTIFS($CX$6:$CX$53,CX26,$BC$6:$BC$53,INDEX(T_Equipos[Grupo],MATCH(BD26,T_Equipos[NombreEquipo],0)))=1,"-","P."&amp;CX26&amp;" ("&amp;COUNTIFS($CX$6:$CX$53,CX26,$BC$6:$BC$53,INDEX(T_Equipos[Grupo],MATCH(BD26,T_Equipos[NombreEquipo],0)))&amp;")")</f>
        <v>-</v>
      </c>
      <c r="CZ26" s="756" t="str">
        <f t="shared" ca="1" si="31"/>
        <v>-</v>
      </c>
      <c r="DA26" s="757">
        <f ca="1">CX26+COUNTIFS($CY$6:$CY$53,CY26,$CZ$6:CZ$53,"&gt;"&amp;CZ26,$BC$6:$BC$53,INDEX(T_Equipos[Grupo],MATCH(BD26,T_Equipos[NombreEquipo],0)))</f>
        <v>1</v>
      </c>
      <c r="DB26" s="756" t="str">
        <f ca="1">IF(COUNTIFS($DA$6:$DA$53,DA26,$BC$6:$BC$53,INDEX(T_Equipos[Grupo],MATCH(BD26,T_Equipos[NombreEquipo],0)))=1,"-","P."&amp;DA26&amp;" ("&amp;COUNTIFS($DA$6:$DA$53,DA26,$BC$6:$BC$53,INDEX(T_Equipos[Grupo],MATCH(BD26,T_Equipos[NombreEquipo],0)))&amp;")")</f>
        <v>-</v>
      </c>
      <c r="DC26" s="755" t="str">
        <f ca="1">IF(DB26="-","-",COUNTIFS(T_Equipos[Rank],"&lt;"&amp;INDEX(T_Equipos[Rank],MATCH(BD26,T_Equipos[NombreEquipo],0)),$BC$6:$BC$53,INDEX(T_Equipos[Grupo],MATCH(BD26,T_Equipos[NombreEquipo],0)))+1)</f>
        <v>-</v>
      </c>
      <c r="DD26" s="755">
        <f ca="1">DA26+COUNTIFS($DB$6:$DB$53,DB26,$DC$6:DC$53,"&lt;"&amp;DC26,$BC$6:$BC$53,INDEX(T_Equipos[Grupo],MATCH(BD26,T_Equipos[NombreEquipo],0)))</f>
        <v>1</v>
      </c>
      <c r="DE26" s="755"/>
      <c r="DF26" s="755">
        <f t="shared" ca="1" si="52"/>
        <v>1</v>
      </c>
      <c r="DG26" s="755" t="str">
        <f ca="1">IF(DB26="-","-",COUNTIFS(DF$6:DF$53,"&lt;"&amp;DF26,$BC$6:$BC$53,INDEX(T_Equipos[Grupo],MATCH(BD26,T_Equipos[NombreEquipo],0))))</f>
        <v>-</v>
      </c>
      <c r="DH26" s="755">
        <f ca="1">DA26+COUNTIFS(DB$6:DB$53,DB26,DG$6:DG$53,"&lt;"&amp;DG26,$BC$6:$BC$53,INDEX(T_Equipos[Grupo],MATCH(BD26,T_Equipos[NombreEquipo],0)))</f>
        <v>1</v>
      </c>
      <c r="DI26" s="743"/>
      <c r="DJ26" s="743">
        <f t="shared" ca="1" si="53"/>
        <v>1</v>
      </c>
      <c r="DK26" s="743">
        <f t="shared" ca="1" si="24"/>
        <v>12</v>
      </c>
      <c r="DL26" s="743">
        <f t="shared" ca="1" si="33"/>
        <v>1</v>
      </c>
      <c r="DM26" s="737" t="str">
        <f t="shared" ca="1" si="34"/>
        <v>1.1</v>
      </c>
      <c r="DN26" s="743" cm="1">
        <f t="array" aca="1" ref="DN26" ca="1">OFFSET(Horarios!$P$3,DJ26-1,0,DL26,1)</f>
        <v>1</v>
      </c>
      <c r="DO26" s="743"/>
      <c r="DP26" s="743" t="s">
        <v>664</v>
      </c>
      <c r="DQ26" s="743" t="str">
        <f t="shared" ca="1" si="35"/>
        <v>Netherlands</v>
      </c>
      <c r="DR26" s="743"/>
      <c r="DS26" s="743"/>
      <c r="DT26" s="743" t="str">
        <f t="shared" si="15"/>
        <v>-</v>
      </c>
      <c r="DU26" s="743"/>
      <c r="DV26" s="743"/>
      <c r="DW26" s="8"/>
    </row>
    <row r="27" spans="1:127" ht="15.75" thickBot="1">
      <c r="A27" s="738"/>
      <c r="B27" s="741"/>
      <c r="C27" s="738"/>
      <c r="D27" s="738"/>
      <c r="E27" s="738"/>
      <c r="F27" s="738"/>
      <c r="G27" s="738"/>
      <c r="H27" s="738"/>
      <c r="I27" s="738"/>
      <c r="J27" s="738"/>
      <c r="K27" s="738"/>
      <c r="L27" s="738"/>
      <c r="M27" s="738"/>
      <c r="N27" s="743"/>
      <c r="O27" s="743"/>
      <c r="P27" s="743"/>
      <c r="Q27" s="743"/>
      <c r="R27" s="743"/>
      <c r="S27" s="743"/>
      <c r="T27" s="743"/>
      <c r="U27" s="743"/>
      <c r="V27" s="172"/>
      <c r="W27" s="179"/>
      <c r="X27" s="180" t="str">
        <f>X11</f>
        <v>Date</v>
      </c>
      <c r="Y27" s="180" t="str">
        <f>Y11</f>
        <v>Hour</v>
      </c>
      <c r="Z27" s="181" t="str">
        <f t="shared" ref="Z27:AA27" si="92">Z11</f>
        <v>R</v>
      </c>
      <c r="AA27" s="182" t="str">
        <f t="shared" si="92"/>
        <v>Home</v>
      </c>
      <c r="AB27" s="181"/>
      <c r="AC27" s="181" t="str">
        <f>AC3</f>
        <v>Goal</v>
      </c>
      <c r="AD27" s="181" t="str">
        <f>AD3</f>
        <v>Goal</v>
      </c>
      <c r="AE27" s="181"/>
      <c r="AF27" s="184" t="str">
        <f t="shared" ref="AF27" si="93">AF11</f>
        <v>Away</v>
      </c>
      <c r="AG27" s="414"/>
      <c r="AH27" s="196"/>
      <c r="AI27" s="18"/>
      <c r="AJ27" s="186"/>
      <c r="AK27" s="252"/>
      <c r="AL27" s="186"/>
      <c r="AM27" s="186"/>
      <c r="AN27" s="186"/>
      <c r="AO27" s="186"/>
      <c r="AP27" s="186"/>
      <c r="AQ27" s="186"/>
      <c r="AR27" s="186"/>
      <c r="AS27" s="186"/>
      <c r="AT27" s="186"/>
      <c r="AU27" s="421"/>
      <c r="AV27" s="22"/>
      <c r="AW27" s="429"/>
      <c r="AX27" s="253"/>
      <c r="AY27" s="242"/>
      <c r="AZ27" s="243"/>
      <c r="BA27" s="175"/>
      <c r="BB27" s="743"/>
      <c r="BC27" s="755" t="str">
        <f ca="1">+INDEX(T_Equipos[Grupo],MATCH(WORLDCUP!BD27,T_Equipos[NombreEquipo],0))</f>
        <v>F</v>
      </c>
      <c r="BD27" s="743" t="str">
        <f ca="1">+Equipos!B23</f>
        <v>Japan</v>
      </c>
      <c r="BE27" s="747">
        <f t="shared" ca="1" si="25"/>
        <v>5</v>
      </c>
      <c r="BF27" s="747">
        <f t="shared" ca="1" si="26"/>
        <v>3</v>
      </c>
      <c r="BG27" s="747">
        <f t="shared" ca="1" si="17"/>
        <v>1</v>
      </c>
      <c r="BH27" s="747">
        <f t="shared" ca="1" si="18"/>
        <v>2</v>
      </c>
      <c r="BI27" s="747">
        <f t="shared" ca="1" si="19"/>
        <v>0</v>
      </c>
      <c r="BJ27" s="747">
        <f t="shared" ca="1" si="20"/>
        <v>7</v>
      </c>
      <c r="BK27" s="747">
        <f t="shared" ca="1" si="21"/>
        <v>3</v>
      </c>
      <c r="BL27" s="747">
        <f t="shared" ca="1" si="27"/>
        <v>4</v>
      </c>
      <c r="BM27" s="747" t="str">
        <f t="shared" ca="1" si="22"/>
        <v>2F</v>
      </c>
      <c r="BN27" s="747" t="str">
        <f t="shared" ca="1" si="23"/>
        <v>2F</v>
      </c>
      <c r="BO27" s="757">
        <f t="shared" ca="1" si="28"/>
        <v>0</v>
      </c>
      <c r="BP27" s="756">
        <f ca="1">COUNTIFS($BO$6:$BO$53,"&gt;"&amp;BO27,$BC$6:$BC$53,INDEX(T_Equipos[Grupo],MATCH(BD27,T_Equipos[NombreEquipo],0)))+1</f>
        <v>1</v>
      </c>
      <c r="BQ27" s="756" t="str">
        <f ca="1">IF(COUNTIFS($BP$6:$BP$53,BP27,$BC$6:$BC$53,INDEX(T_Equipos[Grupo],MATCH(BD27,T_Equipos[NombreEquipo],0)))=1,"-","P."&amp;BP27&amp;" ("&amp;COUNTIFS($BP$6:$BP$53,BP27,$BC$6:$BC$53,INDEX(T_Equipos[Grupo],MATCH(BD27,T_Equipos[NombreEquipo],0)))&amp;")")</f>
        <v>P.1 (4)</v>
      </c>
      <c r="BR27" s="757">
        <f t="shared" ca="1" si="29"/>
        <v>5</v>
      </c>
      <c r="BS27" s="756">
        <f ca="1">BP27+COUNTIFS($BQ$6:$BQ$53,BQ27,$BR$6:BR$53,"&gt;"&amp;BR27,$BC$6:$BC$53,INDEX(T_Equipos[Grupo],MATCH(BD27,T_Equipos[NombreEquipo],0)))</f>
        <v>2</v>
      </c>
      <c r="BT27" s="756" t="str">
        <f ca="1">IF(COUNTIFS($BS$6:$BS$53,BS27,$BC$6:$BC$53,INDEX(T_Equipos[Grupo],MATCH(BD27,T_Equipos[NombreEquipo],0)))=1,"-","P."&amp;BS27&amp;" ("&amp;COUNTIFS($BS$6:$BS$53,BS27,$BC$6:$BC$53,INDEX(T_Equipos[Grupo],MATCH(BD27,T_Equipos[NombreEquipo],0)))&amp;")")</f>
        <v>-</v>
      </c>
      <c r="BU27" s="757" t="str">
        <f t="shared" ca="1" si="36"/>
        <v>-</v>
      </c>
      <c r="BV27" s="757" t="str">
        <f t="shared" ca="1" si="37"/>
        <v>-</v>
      </c>
      <c r="BW27" s="757" t="str">
        <f t="shared" ca="1" si="38"/>
        <v>-</v>
      </c>
      <c r="BX27" s="757" t="str">
        <f t="shared" ca="1" si="39"/>
        <v>-</v>
      </c>
      <c r="BY27" s="757">
        <f ca="1">BS27+COUNTIFS($BT$6:$BT$53,BT27,$BX$6:BX$53,"&gt;"&amp;BX27,$BC$6:$BC$53,INDEX(T_Equipos[Grupo],MATCH(BD27,T_Equipos[NombreEquipo],0)))</f>
        <v>2</v>
      </c>
      <c r="BZ27" s="756" t="str">
        <f ca="1">IF(COUNTIFS($BY$6:$BY$53,BY27,$BC$6:$BC$53,INDEX(T_Equipos[Grupo],MATCH(BD27,T_Equipos[NombreEquipo],0)))=1,"-","P."&amp;BY27&amp;" ("&amp;COUNTIFS($BY$6:$BY$53,BY27,$BC$6:$BC$53,INDEX(T_Equipos[Grupo],MATCH(BD27,T_Equipos[NombreEquipo],0)))&amp;")")</f>
        <v>-</v>
      </c>
      <c r="CA27" s="757" t="str">
        <f t="shared" ca="1" si="40"/>
        <v>-</v>
      </c>
      <c r="CB27" s="757" t="str">
        <f t="shared" ca="1" si="41"/>
        <v>-</v>
      </c>
      <c r="CC27" s="757" t="str">
        <f t="shared" ca="1" si="42"/>
        <v>-</v>
      </c>
      <c r="CD27" s="757">
        <f ca="1">BY27+COUNTIFS($BZ$6:$BZ$53,BZ27,$CC$6:CC$53,"&gt;"&amp;CC27,$BC$6:$BC$53,INDEX(T_Equipos[Grupo],MATCH(BD27,T_Equipos[NombreEquipo],0)))</f>
        <v>2</v>
      </c>
      <c r="CE27" s="756" t="str">
        <f ca="1">IF(COUNTIFS($CD$6:$CD$53,CD27,$BC$6:$BC$53,INDEX(T_Equipos[Grupo],MATCH(BD27,T_Equipos[NombreEquipo],0)))=1,"-","P."&amp;CD27&amp;" ("&amp;COUNTIFS($CD$6:$CD$53,CD27,$BC$6:$BC$53,INDEX(T_Equipos[Grupo],MATCH(BD27,T_Equipos[NombreEquipo],0)))&amp;")")</f>
        <v>-</v>
      </c>
      <c r="CF27" s="757" t="str">
        <f t="shared" ca="1" si="43"/>
        <v>-</v>
      </c>
      <c r="CG27" s="757">
        <f ca="1">CD27+COUNTIFS($CE$6:$CE$53,CE27,$CF$6:CF$53,"&gt;"&amp;CF27,$BC$6:$BC$53,INDEX(T_Equipos[Grupo],MATCH(BD27,T_Equipos[NombreEquipo],0)))</f>
        <v>2</v>
      </c>
      <c r="CH27" s="756" t="str">
        <f ca="1">IF(COUNTIFS($CG$6:$CG$53,CG27,$BC$6:$BC$53,INDEX(T_Equipos[Grupo],MATCH(BD27,T_Equipos[NombreEquipo],0)))=1,"-","P."&amp;CG27&amp;" ("&amp;COUNTIFS($CG$6:$CG$53,CG27,$BC$6:$BC$53,INDEX(T_Equipos[Grupo],MATCH(BD27,T_Equipos[NombreEquipo],0)))&amp;")")</f>
        <v>-</v>
      </c>
      <c r="CI27" s="757" t="str">
        <f t="shared" ca="1" si="44"/>
        <v>-</v>
      </c>
      <c r="CJ27" s="757" t="str">
        <f t="shared" ca="1" si="45"/>
        <v>-</v>
      </c>
      <c r="CK27" s="757" t="str">
        <f t="shared" ca="1" si="46"/>
        <v>-</v>
      </c>
      <c r="CL27" s="757" t="str">
        <f t="shared" ca="1" si="47"/>
        <v>-</v>
      </c>
      <c r="CM27" s="757">
        <f ca="1">CG27+COUNTIFS($CH$6:$CH$53,CH27,$CL$6:CL$53,"&gt;"&amp;CL27,$BC$6:$BC$53,INDEX(T_Equipos[Grupo],MATCH(BD27,T_Equipos[NombreEquipo],0)))</f>
        <v>2</v>
      </c>
      <c r="CN27" s="756" t="str">
        <f ca="1">IF(COUNTIFS($CM$6:$CM$53,CM27,$BC$6:$BC$53,INDEX(T_Equipos[Grupo],MATCH(BD27,T_Equipos[NombreEquipo],0)))=1,"-","P."&amp;CM27&amp;" ("&amp;COUNTIFS($CM$6:$CM$53,CM27,$BC$6:$BC$53,INDEX(T_Equipos[Grupo],MATCH(BD27,T_Equipos[NombreEquipo],0)))&amp;")")</f>
        <v>-</v>
      </c>
      <c r="CO27" s="757" t="str">
        <f t="shared" ca="1" si="48"/>
        <v>-</v>
      </c>
      <c r="CP27" s="757" t="str">
        <f t="shared" ca="1" si="49"/>
        <v>-</v>
      </c>
      <c r="CQ27" s="757" t="str">
        <f t="shared" ca="1" si="50"/>
        <v>-</v>
      </c>
      <c r="CR27" s="757">
        <f ca="1">CM27+COUNTIFS($CN$6:$CN$53,CN27,$CQ$6:CQ$53,"&gt;"&amp;CQ27,$BC$6:$BC$53,INDEX(T_Equipos[Grupo],MATCH(BD27,T_Equipos[NombreEquipo],0)))</f>
        <v>2</v>
      </c>
      <c r="CS27" s="756" t="str">
        <f ca="1">IF(COUNTIFS($CR$6:$CR$53,CR27,$BC$6:$BC$53,INDEX(T_Equipos[Grupo],MATCH(BD27,T_Equipos[NombreEquipo],0)))=1,"-","P."&amp;CR27&amp;" ("&amp;COUNTIFS($CR$6:$CR$53,CR27,$BC$6:$BC$53,INDEX(T_Equipos[Grupo],MATCH(BD27,T_Equipos[NombreEquipo],0)))&amp;")")</f>
        <v>-</v>
      </c>
      <c r="CT27" s="757" t="str">
        <f t="shared" ca="1" si="51"/>
        <v>-</v>
      </c>
      <c r="CU27" s="757">
        <f ca="1">CR27+COUNTIFS($CS$6:$CS$53,CS27,$CT$6:CT$53,"&gt;"&amp;CT27,$BC$6:$BC$53,INDEX(T_Equipos[Grupo],MATCH(BD27,T_Equipos[NombreEquipo],0)))</f>
        <v>2</v>
      </c>
      <c r="CV27" s="756" t="str">
        <f ca="1">IF(COUNTIFS($CU$6:$CU$53,CU27,$BC$6:$BC$53,INDEX(T_Equipos[Grupo],MATCH(BD27,T_Equipos[NombreEquipo],0)))=1,"-","P."&amp;CU27&amp;" ("&amp;COUNTIFS($CU$6:$CU$53,CU27,$BC$6:$BC$53,INDEX(T_Equipos[Grupo],MATCH(BD27,T_Equipos[NombreEquipo],0)))&amp;")")</f>
        <v>-</v>
      </c>
      <c r="CW27" s="756" t="str">
        <f t="shared" ca="1" si="30"/>
        <v>-</v>
      </c>
      <c r="CX27" s="756">
        <f ca="1">CU27+COUNTIFS($CV$6:$CV$53,CV27,$CW$6:CW$53,"&gt;"&amp;CW27,$BC$6:$BC$53,INDEX(T_Equipos[Grupo],MATCH(BD27,T_Equipos[NombreEquipo],0)))</f>
        <v>2</v>
      </c>
      <c r="CY27" s="756" t="str">
        <f ca="1">IF(COUNTIFS($CX$6:$CX$53,CX27,$BC$6:$BC$53,INDEX(T_Equipos[Grupo],MATCH(BD27,T_Equipos[NombreEquipo],0)))=1,"-","P."&amp;CX27&amp;" ("&amp;COUNTIFS($CX$6:$CX$53,CX27,$BC$6:$BC$53,INDEX(T_Equipos[Grupo],MATCH(BD27,T_Equipos[NombreEquipo],0)))&amp;")")</f>
        <v>-</v>
      </c>
      <c r="CZ27" s="756" t="str">
        <f t="shared" ca="1" si="31"/>
        <v>-</v>
      </c>
      <c r="DA27" s="757">
        <f ca="1">CX27+COUNTIFS($CY$6:$CY$53,CY27,$CZ$6:CZ$53,"&gt;"&amp;CZ27,$BC$6:$BC$53,INDEX(T_Equipos[Grupo],MATCH(BD27,T_Equipos[NombreEquipo],0)))</f>
        <v>2</v>
      </c>
      <c r="DB27" s="756" t="str">
        <f ca="1">IF(COUNTIFS($DA$6:$DA$53,DA27,$BC$6:$BC$53,INDEX(T_Equipos[Grupo],MATCH(BD27,T_Equipos[NombreEquipo],0)))=1,"-","P."&amp;DA27&amp;" ("&amp;COUNTIFS($DA$6:$DA$53,DA27,$BC$6:$BC$53,INDEX(T_Equipos[Grupo],MATCH(BD27,T_Equipos[NombreEquipo],0)))&amp;")")</f>
        <v>-</v>
      </c>
      <c r="DC27" s="755" t="str">
        <f ca="1">IF(DB27="-","-",COUNTIFS(T_Equipos[Rank],"&lt;"&amp;INDEX(T_Equipos[Rank],MATCH(BD27,T_Equipos[NombreEquipo],0)),$BC$6:$BC$53,INDEX(T_Equipos[Grupo],MATCH(BD27,T_Equipos[NombreEquipo],0)))+1)</f>
        <v>-</v>
      </c>
      <c r="DD27" s="755">
        <f ca="1">DA27+COUNTIFS($DB$6:$DB$53,DB27,$DC$6:DC$53,"&lt;"&amp;DC27,$BC$6:$BC$53,INDEX(T_Equipos[Grupo],MATCH(BD27,T_Equipos[NombreEquipo],0)))</f>
        <v>2</v>
      </c>
      <c r="DE27" s="755"/>
      <c r="DF27" s="755">
        <f t="shared" ca="1" si="52"/>
        <v>2</v>
      </c>
      <c r="DG27" s="755" t="str">
        <f ca="1">IF(DB27="-","-",COUNTIFS(DF$6:DF$53,"&lt;"&amp;DF27,$BC$6:$BC$53,INDEX(T_Equipos[Grupo],MATCH(BD27,T_Equipos[NombreEquipo],0))))</f>
        <v>-</v>
      </c>
      <c r="DH27" s="755">
        <f ca="1">DA27+COUNTIFS(DB$6:DB$53,DB27,DG$6:DG$53,"&lt;"&amp;DG27,$BC$6:$BC$53,INDEX(T_Equipos[Grupo],MATCH(BD27,T_Equipos[NombreEquipo],0)))</f>
        <v>2</v>
      </c>
      <c r="DI27" s="743"/>
      <c r="DJ27" s="743">
        <f t="shared" ca="1" si="53"/>
        <v>2</v>
      </c>
      <c r="DK27" s="743">
        <f t="shared" ca="1" si="24"/>
        <v>12</v>
      </c>
      <c r="DL27" s="743">
        <f t="shared" ca="1" si="33"/>
        <v>1</v>
      </c>
      <c r="DM27" s="737" t="str">
        <f t="shared" ca="1" si="34"/>
        <v>2.1</v>
      </c>
      <c r="DN27" s="743" cm="1">
        <f t="array" aca="1" ref="DN27" ca="1">OFFSET(Horarios!$P$3,DJ27-1,0,DL27,1)</f>
        <v>2</v>
      </c>
      <c r="DO27" s="743"/>
      <c r="DP27" s="743" t="s">
        <v>665</v>
      </c>
      <c r="DQ27" s="743" t="str">
        <f t="shared" ca="1" si="35"/>
        <v>Japan</v>
      </c>
      <c r="DR27" s="743"/>
      <c r="DS27" s="743"/>
      <c r="DT27" s="743" t="str">
        <f t="shared" si="15"/>
        <v>Home-Away</v>
      </c>
      <c r="DU27" s="743"/>
      <c r="DV27" s="743"/>
      <c r="DW27" s="8"/>
    </row>
    <row r="28" spans="1:127" ht="15" customHeight="1" thickBot="1">
      <c r="A28" s="740" t="s">
        <v>30</v>
      </c>
      <c r="B28" s="741" t="s">
        <v>73</v>
      </c>
      <c r="C28" s="742">
        <f>COUNTIF(Equipos!$C$2:$C$49,WORLDCUP!B28)</f>
        <v>4</v>
      </c>
      <c r="D28" s="743" t="str">
        <f t="shared" ref="D28:D33" si="94">IF(OR(AC28="",AD28=""),"Pendiente",IF(AC28&gt;AD28,"Local",IF(AC28&lt;AD28,"Visitante","Empate")))</f>
        <v>Local</v>
      </c>
      <c r="E28" s="743" t="str">
        <f t="shared" ref="E28:E33" ca="1" si="95">IF(D28="Pendiente","-",INDEX($BT$6:$BT$53,MATCH($AA28,$BD$6:$BD$53,0)))</f>
        <v>-</v>
      </c>
      <c r="F28" s="743" t="str">
        <f t="shared" ref="F28:F33" ca="1" si="96">IF(D28="Pendiente","-",INDEX($BT$6:$BT$53,MATCH($AF28,$BD$6:$BD$53,0)))</f>
        <v>P.2 (2)</v>
      </c>
      <c r="G28" s="743"/>
      <c r="H28" s="743" t="str">
        <f t="shared" ref="H28:H33" ca="1" si="97">IF(D28="Pendiente","-",INDEX($BZ$6:$BZ$53,MATCH($AA28,$BD$6:$BD$53,0)))</f>
        <v>-</v>
      </c>
      <c r="I28" s="743" t="str">
        <f t="shared" ref="I28:I33" ca="1" si="98">IF(D28="Pendiente","-",INDEX($BZ$6:$BZ$53,MATCH($AF28,$BD$6:$BD$53,0)))</f>
        <v>P.2 (2)</v>
      </c>
      <c r="J28" s="743"/>
      <c r="K28" s="743" t="str">
        <f t="shared" ref="K28:K33" ca="1" si="99">IF(D28="Pendiente","-",INDEX($CE$6:$CE$53,MATCH($AA28,$BD$6:$BD$53,0)))</f>
        <v>-</v>
      </c>
      <c r="L28" s="743" t="str">
        <f t="shared" ref="L28:L33" ca="1" si="100">IF(D28="Pendiente","-",INDEX($CE$6:$CE$53,MATCH($AF28,$BD$6:$BD$53,0)))</f>
        <v>P.2 (2)</v>
      </c>
      <c r="M28" s="743"/>
      <c r="N28" s="743" t="str">
        <f t="shared" ref="N28:N33" ca="1" si="101">IF(D28="Pendiente","-",INDEX($CH$6:$CH$53,MATCH($AA28,$BD$6:$BD$53,0)))</f>
        <v>-</v>
      </c>
      <c r="O28" s="743" t="str">
        <f t="shared" ref="O28:O33" ca="1" si="102">IF(D28="Pendiente","-",INDEX($CH$6:$CH$53,MATCH($AF28,$BD$6:$BD$53,0)))</f>
        <v>P.2 (2)</v>
      </c>
      <c r="P28" s="743"/>
      <c r="Q28" s="743" t="str">
        <f t="shared" ref="Q28:Q33" ca="1" si="103">IF(D28="Pendiente","-",INDEX($CN$6:$CN$53,MATCH($AA28,$BD$6:$BD$53,0)))</f>
        <v>-</v>
      </c>
      <c r="R28" s="743" t="str">
        <f t="shared" ref="R28:R33" ca="1" si="104">IF(D28="Pendiente","-",INDEX($CN$6:$CN$53,MATCH($AF28,$BD$6:$BD$53,0)))</f>
        <v>P.2 (2)</v>
      </c>
      <c r="S28" s="743"/>
      <c r="T28" s="743" t="str">
        <f t="shared" ref="T28:T33" ca="1" si="105">IF(D28="Pendiente","-",INDEX($CS$6:$CS$53,MATCH($AA28,$BD$6:$BD$53,0)))</f>
        <v>-</v>
      </c>
      <c r="U28" s="743" t="str">
        <f t="shared" ref="U28:U33" ca="1" si="106">IF(D28="Pendiente","-",INDEX($CS$6:$CS$53,MATCH($AF28,$BD$6:$BD$53,0)))</f>
        <v>P.2 (2)</v>
      </c>
      <c r="V28" s="172"/>
      <c r="W28" s="813" t="s">
        <v>73</v>
      </c>
      <c r="X28" s="189">
        <f ca="1">Horarios!C28</f>
        <v>46186.125</v>
      </c>
      <c r="Y28" s="190">
        <f ca="1">Horarios!C28</f>
        <v>46186.125</v>
      </c>
      <c r="Z28" s="191" t="str">
        <f>$Z$4</f>
        <v>R1</v>
      </c>
      <c r="AA28" s="192" t="str">
        <f ca="1">A29</f>
        <v>United States</v>
      </c>
      <c r="AB28" s="478" t="e" cm="1" vm="13">
        <f t="array" aca="1" ref="AB28" ca="1">Ver_flag_local</f>
        <v>#VALUE!</v>
      </c>
      <c r="AC28" s="193">
        <v>4</v>
      </c>
      <c r="AD28" s="194">
        <v>1</v>
      </c>
      <c r="AE28" s="483" t="e" cm="1" vm="14">
        <f t="array" aca="1" ref="AE28" ca="1">Ver_flag_visit</f>
        <v>#VALUE!</v>
      </c>
      <c r="AF28" s="195" t="str">
        <f ca="1">A30</f>
        <v>Paraguay</v>
      </c>
      <c r="AG28" s="413">
        <f t="shared" ref="AG28:AG33" si="107">IF(NOT(OR(ISBLANK(AC28),ISBLANK(AD28))),1,0)</f>
        <v>1</v>
      </c>
      <c r="AH28" s="196">
        <v>4</v>
      </c>
      <c r="AI28" s="19"/>
      <c r="AJ28" s="197" t="str">
        <f>CONCATENATE(AJ3," ",B28)</f>
        <v>Group D</v>
      </c>
      <c r="AK28" s="198"/>
      <c r="AL28" s="198"/>
      <c r="AM28" s="198"/>
      <c r="AN28" s="198"/>
      <c r="AO28" s="198"/>
      <c r="AP28" s="198"/>
      <c r="AQ28" s="198"/>
      <c r="AR28" s="198"/>
      <c r="AS28" s="198"/>
      <c r="AT28" s="199"/>
      <c r="AU28" s="421"/>
      <c r="AV28" s="200" t="str">
        <f t="shared" ref="AV28" ca="1" si="108">IF(AU29&gt;0,$AV$3,"")</f>
        <v/>
      </c>
      <c r="AW28" s="208"/>
      <c r="AX28" s="255"/>
      <c r="AY28" s="242"/>
      <c r="AZ28" s="243"/>
      <c r="BA28" s="175"/>
      <c r="BB28" s="743"/>
      <c r="BC28" s="755" t="str">
        <f ca="1">+INDEX(T_Equipos[Grupo],MATCH(WORLDCUP!BD28,T_Equipos[NombreEquipo],0))</f>
        <v>F</v>
      </c>
      <c r="BD28" s="743" t="str">
        <f ca="1">+Equipos!B24</f>
        <v>Sweden</v>
      </c>
      <c r="BE28" s="747">
        <f t="shared" ca="1" si="25"/>
        <v>4</v>
      </c>
      <c r="BF28" s="747">
        <f t="shared" ca="1" si="26"/>
        <v>3</v>
      </c>
      <c r="BG28" s="747">
        <f t="shared" ca="1" si="17"/>
        <v>1</v>
      </c>
      <c r="BH28" s="747">
        <f t="shared" ca="1" si="18"/>
        <v>1</v>
      </c>
      <c r="BI28" s="747">
        <f t="shared" ca="1" si="19"/>
        <v>1</v>
      </c>
      <c r="BJ28" s="747">
        <f t="shared" ca="1" si="20"/>
        <v>7</v>
      </c>
      <c r="BK28" s="747">
        <f t="shared" ca="1" si="21"/>
        <v>7</v>
      </c>
      <c r="BL28" s="747">
        <f t="shared" ca="1" si="27"/>
        <v>0</v>
      </c>
      <c r="BM28" s="747" t="str">
        <f t="shared" ca="1" si="22"/>
        <v>3F</v>
      </c>
      <c r="BN28" s="747" t="str">
        <f t="shared" ca="1" si="23"/>
        <v>3F</v>
      </c>
      <c r="BO28" s="757">
        <f t="shared" ca="1" si="28"/>
        <v>0</v>
      </c>
      <c r="BP28" s="756">
        <f ca="1">COUNTIFS($BO$6:$BO$53,"&gt;"&amp;BO28,$BC$6:$BC$53,INDEX(T_Equipos[Grupo],MATCH(BD28,T_Equipos[NombreEquipo],0)))+1</f>
        <v>1</v>
      </c>
      <c r="BQ28" s="756" t="str">
        <f ca="1">IF(COUNTIFS($BP$6:$BP$53,BP28,$BC$6:$BC$53,INDEX(T_Equipos[Grupo],MATCH(BD28,T_Equipos[NombreEquipo],0)))=1,"-","P."&amp;BP28&amp;" ("&amp;COUNTIFS($BP$6:$BP$53,BP28,$BC$6:$BC$53,INDEX(T_Equipos[Grupo],MATCH(BD28,T_Equipos[NombreEquipo],0)))&amp;")")</f>
        <v>P.1 (4)</v>
      </c>
      <c r="BR28" s="757">
        <f t="shared" ca="1" si="29"/>
        <v>4</v>
      </c>
      <c r="BS28" s="756">
        <f ca="1">BP28+COUNTIFS($BQ$6:$BQ$53,BQ28,$BR$6:BR$53,"&gt;"&amp;BR28,$BC$6:$BC$53,INDEX(T_Equipos[Grupo],MATCH(BD28,T_Equipos[NombreEquipo],0)))</f>
        <v>3</v>
      </c>
      <c r="BT28" s="756" t="str">
        <f ca="1">IF(COUNTIFS($BS$6:$BS$53,BS28,$BC$6:$BC$53,INDEX(T_Equipos[Grupo],MATCH(BD28,T_Equipos[NombreEquipo],0)))=1,"-","P."&amp;BS28&amp;" ("&amp;COUNTIFS($BS$6:$BS$53,BS28,$BC$6:$BC$53,INDEX(T_Equipos[Grupo],MATCH(BD28,T_Equipos[NombreEquipo],0)))&amp;")")</f>
        <v>-</v>
      </c>
      <c r="BU28" s="757" t="str">
        <f t="shared" ca="1" si="36"/>
        <v>-</v>
      </c>
      <c r="BV28" s="757" t="str">
        <f t="shared" ca="1" si="37"/>
        <v>-</v>
      </c>
      <c r="BW28" s="757" t="str">
        <f t="shared" ca="1" si="38"/>
        <v>-</v>
      </c>
      <c r="BX28" s="757" t="str">
        <f t="shared" ca="1" si="39"/>
        <v>-</v>
      </c>
      <c r="BY28" s="757">
        <f ca="1">BS28+COUNTIFS($BT$6:$BT$53,BT28,$BX$6:BX$53,"&gt;"&amp;BX28,$BC$6:$BC$53,INDEX(T_Equipos[Grupo],MATCH(BD28,T_Equipos[NombreEquipo],0)))</f>
        <v>3</v>
      </c>
      <c r="BZ28" s="756" t="str">
        <f ca="1">IF(COUNTIFS($BY$6:$BY$53,BY28,$BC$6:$BC$53,INDEX(T_Equipos[Grupo],MATCH(BD28,T_Equipos[NombreEquipo],0)))=1,"-","P."&amp;BY28&amp;" ("&amp;COUNTIFS($BY$6:$BY$53,BY28,$BC$6:$BC$53,INDEX(T_Equipos[Grupo],MATCH(BD28,T_Equipos[NombreEquipo],0)))&amp;")")</f>
        <v>-</v>
      </c>
      <c r="CA28" s="757" t="str">
        <f t="shared" ca="1" si="40"/>
        <v>-</v>
      </c>
      <c r="CB28" s="757" t="str">
        <f t="shared" ca="1" si="41"/>
        <v>-</v>
      </c>
      <c r="CC28" s="757" t="str">
        <f t="shared" ca="1" si="42"/>
        <v>-</v>
      </c>
      <c r="CD28" s="757">
        <f ca="1">BY28+COUNTIFS($BZ$6:$BZ$53,BZ28,$CC$6:CC$53,"&gt;"&amp;CC28,$BC$6:$BC$53,INDEX(T_Equipos[Grupo],MATCH(BD28,T_Equipos[NombreEquipo],0)))</f>
        <v>3</v>
      </c>
      <c r="CE28" s="756" t="str">
        <f ca="1">IF(COUNTIFS($CD$6:$CD$53,CD28,$BC$6:$BC$53,INDEX(T_Equipos[Grupo],MATCH(BD28,T_Equipos[NombreEquipo],0)))=1,"-","P."&amp;CD28&amp;" ("&amp;COUNTIFS($CD$6:$CD$53,CD28,$BC$6:$BC$53,INDEX(T_Equipos[Grupo],MATCH(BD28,T_Equipos[NombreEquipo],0)))&amp;")")</f>
        <v>-</v>
      </c>
      <c r="CF28" s="757" t="str">
        <f t="shared" ca="1" si="43"/>
        <v>-</v>
      </c>
      <c r="CG28" s="757">
        <f ca="1">CD28+COUNTIFS($CE$6:$CE$53,CE28,$CF$6:CF$53,"&gt;"&amp;CF28,$BC$6:$BC$53,INDEX(T_Equipos[Grupo],MATCH(BD28,T_Equipos[NombreEquipo],0)))</f>
        <v>3</v>
      </c>
      <c r="CH28" s="756" t="str">
        <f ca="1">IF(COUNTIFS($CG$6:$CG$53,CG28,$BC$6:$BC$53,INDEX(T_Equipos[Grupo],MATCH(BD28,T_Equipos[NombreEquipo],0)))=1,"-","P."&amp;CG28&amp;" ("&amp;COUNTIFS($CG$6:$CG$53,CG28,$BC$6:$BC$53,INDEX(T_Equipos[Grupo],MATCH(BD28,T_Equipos[NombreEquipo],0)))&amp;")")</f>
        <v>-</v>
      </c>
      <c r="CI28" s="757" t="str">
        <f t="shared" ca="1" si="44"/>
        <v>-</v>
      </c>
      <c r="CJ28" s="757" t="str">
        <f t="shared" ca="1" si="45"/>
        <v>-</v>
      </c>
      <c r="CK28" s="757" t="str">
        <f t="shared" ca="1" si="46"/>
        <v>-</v>
      </c>
      <c r="CL28" s="757" t="str">
        <f t="shared" ca="1" si="47"/>
        <v>-</v>
      </c>
      <c r="CM28" s="757">
        <f ca="1">CG28+COUNTIFS($CH$6:$CH$53,CH28,$CL$6:CL$53,"&gt;"&amp;CL28,$BC$6:$BC$53,INDEX(T_Equipos[Grupo],MATCH(BD28,T_Equipos[NombreEquipo],0)))</f>
        <v>3</v>
      </c>
      <c r="CN28" s="756" t="str">
        <f ca="1">IF(COUNTIFS($CM$6:$CM$53,CM28,$BC$6:$BC$53,INDEX(T_Equipos[Grupo],MATCH(BD28,T_Equipos[NombreEquipo],0)))=1,"-","P."&amp;CM28&amp;" ("&amp;COUNTIFS($CM$6:$CM$53,CM28,$BC$6:$BC$53,INDEX(T_Equipos[Grupo],MATCH(BD28,T_Equipos[NombreEquipo],0)))&amp;")")</f>
        <v>-</v>
      </c>
      <c r="CO28" s="757" t="str">
        <f t="shared" ca="1" si="48"/>
        <v>-</v>
      </c>
      <c r="CP28" s="757" t="str">
        <f t="shared" ca="1" si="49"/>
        <v>-</v>
      </c>
      <c r="CQ28" s="757" t="str">
        <f t="shared" ca="1" si="50"/>
        <v>-</v>
      </c>
      <c r="CR28" s="757">
        <f ca="1">CM28+COUNTIFS($CN$6:$CN$53,CN28,$CQ$6:CQ$53,"&gt;"&amp;CQ28,$BC$6:$BC$53,INDEX(T_Equipos[Grupo],MATCH(BD28,T_Equipos[NombreEquipo],0)))</f>
        <v>3</v>
      </c>
      <c r="CS28" s="756" t="str">
        <f ca="1">IF(COUNTIFS($CR$6:$CR$53,CR28,$BC$6:$BC$53,INDEX(T_Equipos[Grupo],MATCH(BD28,T_Equipos[NombreEquipo],0)))=1,"-","P."&amp;CR28&amp;" ("&amp;COUNTIFS($CR$6:$CR$53,CR28,$BC$6:$BC$53,INDEX(T_Equipos[Grupo],MATCH(BD28,T_Equipos[NombreEquipo],0)))&amp;")")</f>
        <v>-</v>
      </c>
      <c r="CT28" s="757" t="str">
        <f t="shared" ca="1" si="51"/>
        <v>-</v>
      </c>
      <c r="CU28" s="757">
        <f ca="1">CR28+COUNTIFS($CS$6:$CS$53,CS28,$CT$6:CT$53,"&gt;"&amp;CT28,$BC$6:$BC$53,INDEX(T_Equipos[Grupo],MATCH(BD28,T_Equipos[NombreEquipo],0)))</f>
        <v>3</v>
      </c>
      <c r="CV28" s="756" t="str">
        <f ca="1">IF(COUNTIFS($CU$6:$CU$53,CU28,$BC$6:$BC$53,INDEX(T_Equipos[Grupo],MATCH(BD28,T_Equipos[NombreEquipo],0)))=1,"-","P."&amp;CU28&amp;" ("&amp;COUNTIFS($CU$6:$CU$53,CU28,$BC$6:$BC$53,INDEX(T_Equipos[Grupo],MATCH(BD28,T_Equipos[NombreEquipo],0)))&amp;")")</f>
        <v>-</v>
      </c>
      <c r="CW28" s="756" t="str">
        <f t="shared" ca="1" si="30"/>
        <v>-</v>
      </c>
      <c r="CX28" s="756">
        <f ca="1">CU28+COUNTIFS($CV$6:$CV$53,CV28,$CW$6:CW$53,"&gt;"&amp;CW28,$BC$6:$BC$53,INDEX(T_Equipos[Grupo],MATCH(BD28,T_Equipos[NombreEquipo],0)))</f>
        <v>3</v>
      </c>
      <c r="CY28" s="756" t="str">
        <f ca="1">IF(COUNTIFS($CX$6:$CX$53,CX28,$BC$6:$BC$53,INDEX(T_Equipos[Grupo],MATCH(BD28,T_Equipos[NombreEquipo],0)))=1,"-","P."&amp;CX28&amp;" ("&amp;COUNTIFS($CX$6:$CX$53,CX28,$BC$6:$BC$53,INDEX(T_Equipos[Grupo],MATCH(BD28,T_Equipos[NombreEquipo],0)))&amp;")")</f>
        <v>-</v>
      </c>
      <c r="CZ28" s="756" t="str">
        <f t="shared" ca="1" si="31"/>
        <v>-</v>
      </c>
      <c r="DA28" s="757">
        <f ca="1">CX28+COUNTIFS($CY$6:$CY$53,CY28,$CZ$6:CZ$53,"&gt;"&amp;CZ28,$BC$6:$BC$53,INDEX(T_Equipos[Grupo],MATCH(BD28,T_Equipos[NombreEquipo],0)))</f>
        <v>3</v>
      </c>
      <c r="DB28" s="756" t="str">
        <f ca="1">IF(COUNTIFS($DA$6:$DA$53,DA28,$BC$6:$BC$53,INDEX(T_Equipos[Grupo],MATCH(BD28,T_Equipos[NombreEquipo],0)))=1,"-","P."&amp;DA28&amp;" ("&amp;COUNTIFS($DA$6:$DA$53,DA28,$BC$6:$BC$53,INDEX(T_Equipos[Grupo],MATCH(BD28,T_Equipos[NombreEquipo],0)))&amp;")")</f>
        <v>-</v>
      </c>
      <c r="DC28" s="755" t="str">
        <f ca="1">IF(DB28="-","-",COUNTIFS(T_Equipos[Rank],"&lt;"&amp;INDEX(T_Equipos[Rank],MATCH(BD28,T_Equipos[NombreEquipo],0)),$BC$6:$BC$53,INDEX(T_Equipos[Grupo],MATCH(BD28,T_Equipos[NombreEquipo],0)))+1)</f>
        <v>-</v>
      </c>
      <c r="DD28" s="755">
        <f ca="1">DA28+COUNTIFS($DB$6:$DB$53,DB28,$DC$6:DC$53,"&lt;"&amp;DC28,$BC$6:$BC$53,INDEX(T_Equipos[Grupo],MATCH(BD28,T_Equipos[NombreEquipo],0)))</f>
        <v>3</v>
      </c>
      <c r="DE28" s="755"/>
      <c r="DF28" s="755">
        <f t="shared" ca="1" si="52"/>
        <v>3</v>
      </c>
      <c r="DG28" s="755" t="str">
        <f ca="1">IF(DB28="-","-",COUNTIFS(DF$6:DF$53,"&lt;"&amp;DF28,$BC$6:$BC$53,INDEX(T_Equipos[Grupo],MATCH(BD28,T_Equipos[NombreEquipo],0))))</f>
        <v>-</v>
      </c>
      <c r="DH28" s="755">
        <f ca="1">DA28+COUNTIFS(DB$6:DB$53,DB28,DG$6:DG$53,"&lt;"&amp;DG28,$BC$6:$BC$53,INDEX(T_Equipos[Grupo],MATCH(BD28,T_Equipos[NombreEquipo],0)))</f>
        <v>3</v>
      </c>
      <c r="DI28" s="743"/>
      <c r="DJ28" s="743">
        <f t="shared" ca="1" si="53"/>
        <v>3</v>
      </c>
      <c r="DK28" s="743">
        <f t="shared" ca="1" si="24"/>
        <v>12</v>
      </c>
      <c r="DL28" s="743">
        <f t="shared" ca="1" si="33"/>
        <v>1</v>
      </c>
      <c r="DM28" s="737" t="str">
        <f t="shared" ca="1" si="34"/>
        <v>3.1</v>
      </c>
      <c r="DN28" s="743" cm="1">
        <f t="array" aca="1" ref="DN28" ca="1">OFFSET(Horarios!$P$3,DJ28-1,0,DL28,1)</f>
        <v>3</v>
      </c>
      <c r="DO28" s="743"/>
      <c r="DP28" s="743" t="s">
        <v>94</v>
      </c>
      <c r="DQ28" s="743" t="str">
        <f t="shared" ca="1" si="35"/>
        <v>Sweden</v>
      </c>
      <c r="DR28" s="743"/>
      <c r="DS28" s="743"/>
      <c r="DT28" s="743" t="str">
        <f t="shared" ca="1" si="15"/>
        <v>United States-Paraguay</v>
      </c>
      <c r="DU28" s="743"/>
      <c r="DV28" s="743"/>
      <c r="DW28" s="8"/>
    </row>
    <row r="29" spans="1:127" ht="16.149999999999999" customHeight="1">
      <c r="A29" s="744" t="str">
        <f ca="1">+Equipos!B14</f>
        <v>United States</v>
      </c>
      <c r="B29" s="741"/>
      <c r="C29" s="741"/>
      <c r="D29" s="743" t="str">
        <f t="shared" si="94"/>
        <v>Local</v>
      </c>
      <c r="E29" s="743" t="str">
        <f t="shared" ca="1" si="95"/>
        <v>P.2 (2)</v>
      </c>
      <c r="F29" s="743" t="str">
        <f t="shared" ca="1" si="96"/>
        <v>-</v>
      </c>
      <c r="G29" s="743"/>
      <c r="H29" s="743" t="str">
        <f t="shared" ca="1" si="97"/>
        <v>P.2 (2)</v>
      </c>
      <c r="I29" s="743" t="str">
        <f t="shared" ca="1" si="98"/>
        <v>-</v>
      </c>
      <c r="J29" s="743"/>
      <c r="K29" s="743" t="str">
        <f t="shared" ca="1" si="99"/>
        <v>P.2 (2)</v>
      </c>
      <c r="L29" s="743" t="str">
        <f t="shared" ca="1" si="100"/>
        <v>-</v>
      </c>
      <c r="M29" s="743"/>
      <c r="N29" s="743" t="str">
        <f t="shared" ca="1" si="101"/>
        <v>P.2 (2)</v>
      </c>
      <c r="O29" s="743" t="str">
        <f t="shared" ca="1" si="102"/>
        <v>-</v>
      </c>
      <c r="P29" s="743"/>
      <c r="Q29" s="743" t="str">
        <f t="shared" ca="1" si="103"/>
        <v>P.2 (2)</v>
      </c>
      <c r="R29" s="743" t="str">
        <f t="shared" ca="1" si="104"/>
        <v>-</v>
      </c>
      <c r="S29" s="743"/>
      <c r="T29" s="743" t="str">
        <f t="shared" ca="1" si="105"/>
        <v>P.2 (2)</v>
      </c>
      <c r="U29" s="743" t="str">
        <f t="shared" ca="1" si="106"/>
        <v>-</v>
      </c>
      <c r="V29" s="172"/>
      <c r="W29" s="813"/>
      <c r="X29" s="189">
        <f ca="1">Horarios!C29</f>
        <v>46187.25</v>
      </c>
      <c r="Y29" s="190">
        <f ca="1">Horarios!C29</f>
        <v>46187.25</v>
      </c>
      <c r="Z29" s="191" t="str">
        <f>$Z$4</f>
        <v>R1</v>
      </c>
      <c r="AA29" s="192" t="str">
        <f ca="1">A31</f>
        <v>Australia</v>
      </c>
      <c r="AB29" s="478" t="e" cm="1" vm="15">
        <f t="array" aca="1" ref="AB29" ca="1">Ver_flag_local</f>
        <v>#VALUE!</v>
      </c>
      <c r="AC29" s="193">
        <v>2</v>
      </c>
      <c r="AD29" s="194">
        <v>0</v>
      </c>
      <c r="AE29" s="483" t="e" cm="1" vm="16">
        <f t="array" aca="1" ref="AE29" ca="1">Ver_flag_visit</f>
        <v>#VALUE!</v>
      </c>
      <c r="AF29" s="195" t="str">
        <f ca="1">A32</f>
        <v>Turkey</v>
      </c>
      <c r="AG29" s="413">
        <f t="shared" si="107"/>
        <v>1</v>
      </c>
      <c r="AH29" s="196">
        <v>6</v>
      </c>
      <c r="AI29" s="19"/>
      <c r="AJ29" s="204" t="str">
        <f>AJ5</f>
        <v>Pos</v>
      </c>
      <c r="AK29" s="205"/>
      <c r="AL29" s="206" t="str">
        <f t="shared" ref="AL29:AT29" si="109">AL5</f>
        <v>Nation</v>
      </c>
      <c r="AM29" s="205" t="str">
        <f t="shared" si="109"/>
        <v>Pts</v>
      </c>
      <c r="AN29" s="205" t="str">
        <f t="shared" si="109"/>
        <v>P</v>
      </c>
      <c r="AO29" s="205" t="str">
        <f t="shared" si="109"/>
        <v>W</v>
      </c>
      <c r="AP29" s="205" t="str">
        <f t="shared" si="109"/>
        <v>D</v>
      </c>
      <c r="AQ29" s="205" t="str">
        <f t="shared" si="109"/>
        <v>L</v>
      </c>
      <c r="AR29" s="205" t="str">
        <f t="shared" si="109"/>
        <v>F</v>
      </c>
      <c r="AS29" s="205" t="str">
        <f t="shared" si="109"/>
        <v>A</v>
      </c>
      <c r="AT29" s="207" t="str">
        <f t="shared" si="109"/>
        <v>GD</v>
      </c>
      <c r="AU29" s="421">
        <f t="shared" ref="AU29" ca="1" si="110">COUNTIF(AU30:AU33,"&gt;1")</f>
        <v>0</v>
      </c>
      <c r="AV29" s="208"/>
      <c r="AW29" s="208"/>
      <c r="AX29" s="255"/>
      <c r="AY29" s="209" t="str">
        <f>AL29</f>
        <v>Nation</v>
      </c>
      <c r="AZ29" s="210" t="str">
        <f>+Idiomas!$D$69</f>
        <v>Deducted Points</v>
      </c>
      <c r="BA29" s="175"/>
      <c r="BB29" s="743"/>
      <c r="BC29" s="755" t="str">
        <f ca="1">+INDEX(T_Equipos[Grupo],MATCH(WORLDCUP!BD29,T_Equipos[NombreEquipo],0))</f>
        <v>F</v>
      </c>
      <c r="BD29" s="743" t="str">
        <f ca="1">+Equipos!B25</f>
        <v>Tunisia</v>
      </c>
      <c r="BE29" s="747">
        <f t="shared" ca="1" si="25"/>
        <v>0</v>
      </c>
      <c r="BF29" s="747">
        <f t="shared" ca="1" si="26"/>
        <v>3</v>
      </c>
      <c r="BG29" s="747">
        <f t="shared" ca="1" si="17"/>
        <v>0</v>
      </c>
      <c r="BH29" s="747">
        <f t="shared" ca="1" si="18"/>
        <v>0</v>
      </c>
      <c r="BI29" s="747">
        <f t="shared" ca="1" si="19"/>
        <v>3</v>
      </c>
      <c r="BJ29" s="747">
        <f t="shared" ca="1" si="20"/>
        <v>2</v>
      </c>
      <c r="BK29" s="747">
        <f t="shared" ca="1" si="21"/>
        <v>12</v>
      </c>
      <c r="BL29" s="747">
        <f t="shared" ca="1" si="27"/>
        <v>-10</v>
      </c>
      <c r="BM29" s="747" t="str">
        <f t="shared" ca="1" si="22"/>
        <v>4F</v>
      </c>
      <c r="BN29" s="747" t="str">
        <f t="shared" ca="1" si="23"/>
        <v>4F</v>
      </c>
      <c r="BO29" s="757">
        <f t="shared" ca="1" si="28"/>
        <v>0</v>
      </c>
      <c r="BP29" s="756">
        <f ca="1">COUNTIFS($BO$6:$BO$53,"&gt;"&amp;BO29,$BC$6:$BC$53,INDEX(T_Equipos[Grupo],MATCH(BD29,T_Equipos[NombreEquipo],0)))+1</f>
        <v>1</v>
      </c>
      <c r="BQ29" s="756" t="str">
        <f ca="1">IF(COUNTIFS($BP$6:$BP$53,BP29,$BC$6:$BC$53,INDEX(T_Equipos[Grupo],MATCH(BD29,T_Equipos[NombreEquipo],0)))=1,"-","P."&amp;BP29&amp;" ("&amp;COUNTIFS($BP$6:$BP$53,BP29,$BC$6:$BC$53,INDEX(T_Equipos[Grupo],MATCH(BD29,T_Equipos[NombreEquipo],0)))&amp;")")</f>
        <v>P.1 (4)</v>
      </c>
      <c r="BR29" s="757">
        <f t="shared" ca="1" si="29"/>
        <v>0</v>
      </c>
      <c r="BS29" s="756">
        <f ca="1">BP29+COUNTIFS($BQ$6:$BQ$53,BQ29,$BR$6:BR$53,"&gt;"&amp;BR29,$BC$6:$BC$53,INDEX(T_Equipos[Grupo],MATCH(BD29,T_Equipos[NombreEquipo],0)))</f>
        <v>4</v>
      </c>
      <c r="BT29" s="756" t="str">
        <f ca="1">IF(COUNTIFS($BS$6:$BS$53,BS29,$BC$6:$BC$53,INDEX(T_Equipos[Grupo],MATCH(BD29,T_Equipos[NombreEquipo],0)))=1,"-","P."&amp;BS29&amp;" ("&amp;COUNTIFS($BS$6:$BS$53,BS29,$BC$6:$BC$53,INDEX(T_Equipos[Grupo],MATCH(BD29,T_Equipos[NombreEquipo],0)))&amp;")")</f>
        <v>-</v>
      </c>
      <c r="BU29" s="757" t="str">
        <f t="shared" ca="1" si="36"/>
        <v>-</v>
      </c>
      <c r="BV29" s="757" t="str">
        <f t="shared" ca="1" si="37"/>
        <v>-</v>
      </c>
      <c r="BW29" s="757" t="str">
        <f t="shared" ca="1" si="38"/>
        <v>-</v>
      </c>
      <c r="BX29" s="757" t="str">
        <f t="shared" ca="1" si="39"/>
        <v>-</v>
      </c>
      <c r="BY29" s="757">
        <f ca="1">BS29+COUNTIFS($BT$6:$BT$53,BT29,$BX$6:BX$53,"&gt;"&amp;BX29,$BC$6:$BC$53,INDEX(T_Equipos[Grupo],MATCH(BD29,T_Equipos[NombreEquipo],0)))</f>
        <v>4</v>
      </c>
      <c r="BZ29" s="756" t="str">
        <f ca="1">IF(COUNTIFS($BY$6:$BY$53,BY29,$BC$6:$BC$53,INDEX(T_Equipos[Grupo],MATCH(BD29,T_Equipos[NombreEquipo],0)))=1,"-","P."&amp;BY29&amp;" ("&amp;COUNTIFS($BY$6:$BY$53,BY29,$BC$6:$BC$53,INDEX(T_Equipos[Grupo],MATCH(BD29,T_Equipos[NombreEquipo],0)))&amp;")")</f>
        <v>-</v>
      </c>
      <c r="CA29" s="757" t="str">
        <f t="shared" ca="1" si="40"/>
        <v>-</v>
      </c>
      <c r="CB29" s="757" t="str">
        <f t="shared" ca="1" si="41"/>
        <v>-</v>
      </c>
      <c r="CC29" s="757" t="str">
        <f t="shared" ca="1" si="42"/>
        <v>-</v>
      </c>
      <c r="CD29" s="757">
        <f ca="1">BY29+COUNTIFS($BZ$6:$BZ$53,BZ29,$CC$6:CC$53,"&gt;"&amp;CC29,$BC$6:$BC$53,INDEX(T_Equipos[Grupo],MATCH(BD29,T_Equipos[NombreEquipo],0)))</f>
        <v>4</v>
      </c>
      <c r="CE29" s="756" t="str">
        <f ca="1">IF(COUNTIFS($CD$6:$CD$53,CD29,$BC$6:$BC$53,INDEX(T_Equipos[Grupo],MATCH(BD29,T_Equipos[NombreEquipo],0)))=1,"-","P."&amp;CD29&amp;" ("&amp;COUNTIFS($CD$6:$CD$53,CD29,$BC$6:$BC$53,INDEX(T_Equipos[Grupo],MATCH(BD29,T_Equipos[NombreEquipo],0)))&amp;")")</f>
        <v>-</v>
      </c>
      <c r="CF29" s="757" t="str">
        <f t="shared" ca="1" si="43"/>
        <v>-</v>
      </c>
      <c r="CG29" s="757">
        <f ca="1">CD29+COUNTIFS($CE$6:$CE$53,CE29,$CF$6:CF$53,"&gt;"&amp;CF29,$BC$6:$BC$53,INDEX(T_Equipos[Grupo],MATCH(BD29,T_Equipos[NombreEquipo],0)))</f>
        <v>4</v>
      </c>
      <c r="CH29" s="756" t="str">
        <f ca="1">IF(COUNTIFS($CG$6:$CG$53,CG29,$BC$6:$BC$53,INDEX(T_Equipos[Grupo],MATCH(BD29,T_Equipos[NombreEquipo],0)))=1,"-","P."&amp;CG29&amp;" ("&amp;COUNTIFS($CG$6:$CG$53,CG29,$BC$6:$BC$53,INDEX(T_Equipos[Grupo],MATCH(BD29,T_Equipos[NombreEquipo],0)))&amp;")")</f>
        <v>-</v>
      </c>
      <c r="CI29" s="757" t="str">
        <f t="shared" ca="1" si="44"/>
        <v>-</v>
      </c>
      <c r="CJ29" s="757" t="str">
        <f t="shared" ca="1" si="45"/>
        <v>-</v>
      </c>
      <c r="CK29" s="757" t="str">
        <f t="shared" ca="1" si="46"/>
        <v>-</v>
      </c>
      <c r="CL29" s="757" t="str">
        <f t="shared" ca="1" si="47"/>
        <v>-</v>
      </c>
      <c r="CM29" s="757">
        <f ca="1">CG29+COUNTIFS($CH$6:$CH$53,CH29,$CL$6:CL$53,"&gt;"&amp;CL29,$BC$6:$BC$53,INDEX(T_Equipos[Grupo],MATCH(BD29,T_Equipos[NombreEquipo],0)))</f>
        <v>4</v>
      </c>
      <c r="CN29" s="756" t="str">
        <f ca="1">IF(COUNTIFS($CM$6:$CM$53,CM29,$BC$6:$BC$53,INDEX(T_Equipos[Grupo],MATCH(BD29,T_Equipos[NombreEquipo],0)))=1,"-","P."&amp;CM29&amp;" ("&amp;COUNTIFS($CM$6:$CM$53,CM29,$BC$6:$BC$53,INDEX(T_Equipos[Grupo],MATCH(BD29,T_Equipos[NombreEquipo],0)))&amp;")")</f>
        <v>-</v>
      </c>
      <c r="CO29" s="757" t="str">
        <f t="shared" ca="1" si="48"/>
        <v>-</v>
      </c>
      <c r="CP29" s="757" t="str">
        <f t="shared" ca="1" si="49"/>
        <v>-</v>
      </c>
      <c r="CQ29" s="757" t="str">
        <f t="shared" ca="1" si="50"/>
        <v>-</v>
      </c>
      <c r="CR29" s="757">
        <f ca="1">CM29+COUNTIFS($CN$6:$CN$53,CN29,$CQ$6:CQ$53,"&gt;"&amp;CQ29,$BC$6:$BC$53,INDEX(T_Equipos[Grupo],MATCH(BD29,T_Equipos[NombreEquipo],0)))</f>
        <v>4</v>
      </c>
      <c r="CS29" s="756" t="str">
        <f ca="1">IF(COUNTIFS($CR$6:$CR$53,CR29,$BC$6:$BC$53,INDEX(T_Equipos[Grupo],MATCH(BD29,T_Equipos[NombreEquipo],0)))=1,"-","P."&amp;CR29&amp;" ("&amp;COUNTIFS($CR$6:$CR$53,CR29,$BC$6:$BC$53,INDEX(T_Equipos[Grupo],MATCH(BD29,T_Equipos[NombreEquipo],0)))&amp;")")</f>
        <v>-</v>
      </c>
      <c r="CT29" s="757" t="str">
        <f t="shared" ca="1" si="51"/>
        <v>-</v>
      </c>
      <c r="CU29" s="757">
        <f ca="1">CR29+COUNTIFS($CS$6:$CS$53,CS29,$CT$6:CT$53,"&gt;"&amp;CT29,$BC$6:$BC$53,INDEX(T_Equipos[Grupo],MATCH(BD29,T_Equipos[NombreEquipo],0)))</f>
        <v>4</v>
      </c>
      <c r="CV29" s="756" t="str">
        <f ca="1">IF(COUNTIFS($CU$6:$CU$53,CU29,$BC$6:$BC$53,INDEX(T_Equipos[Grupo],MATCH(BD29,T_Equipos[NombreEquipo],0)))=1,"-","P."&amp;CU29&amp;" ("&amp;COUNTIFS($CU$6:$CU$53,CU29,$BC$6:$BC$53,INDEX(T_Equipos[Grupo],MATCH(BD29,T_Equipos[NombreEquipo],0)))&amp;")")</f>
        <v>-</v>
      </c>
      <c r="CW29" s="756" t="str">
        <f t="shared" ca="1" si="30"/>
        <v>-</v>
      </c>
      <c r="CX29" s="756">
        <f ca="1">CU29+COUNTIFS($CV$6:$CV$53,CV29,$CW$6:CW$53,"&gt;"&amp;CW29,$BC$6:$BC$53,INDEX(T_Equipos[Grupo],MATCH(BD29,T_Equipos[NombreEquipo],0)))</f>
        <v>4</v>
      </c>
      <c r="CY29" s="756" t="str">
        <f ca="1">IF(COUNTIFS($CX$6:$CX$53,CX29,$BC$6:$BC$53,INDEX(T_Equipos[Grupo],MATCH(BD29,T_Equipos[NombreEquipo],0)))=1,"-","P."&amp;CX29&amp;" ("&amp;COUNTIFS($CX$6:$CX$53,CX29,$BC$6:$BC$53,INDEX(T_Equipos[Grupo],MATCH(BD29,T_Equipos[NombreEquipo],0)))&amp;")")</f>
        <v>-</v>
      </c>
      <c r="CZ29" s="756" t="str">
        <f t="shared" ca="1" si="31"/>
        <v>-</v>
      </c>
      <c r="DA29" s="757">
        <f ca="1">CX29+COUNTIFS($CY$6:$CY$53,CY29,$CZ$6:CZ$53,"&gt;"&amp;CZ29,$BC$6:$BC$53,INDEX(T_Equipos[Grupo],MATCH(BD29,T_Equipos[NombreEquipo],0)))</f>
        <v>4</v>
      </c>
      <c r="DB29" s="756" t="str">
        <f ca="1">IF(COUNTIFS($DA$6:$DA$53,DA29,$BC$6:$BC$53,INDEX(T_Equipos[Grupo],MATCH(BD29,T_Equipos[NombreEquipo],0)))=1,"-","P."&amp;DA29&amp;" ("&amp;COUNTIFS($DA$6:$DA$53,DA29,$BC$6:$BC$53,INDEX(T_Equipos[Grupo],MATCH(BD29,T_Equipos[NombreEquipo],0)))&amp;")")</f>
        <v>-</v>
      </c>
      <c r="DC29" s="755" t="str">
        <f ca="1">IF(DB29="-","-",COUNTIFS(T_Equipos[Rank],"&lt;"&amp;INDEX(T_Equipos[Rank],MATCH(BD29,T_Equipos[NombreEquipo],0)),$BC$6:$BC$53,INDEX(T_Equipos[Grupo],MATCH(BD29,T_Equipos[NombreEquipo],0)))+1)</f>
        <v>-</v>
      </c>
      <c r="DD29" s="755">
        <f ca="1">DA29+COUNTIFS($DB$6:$DB$53,DB29,$DC$6:DC$53,"&lt;"&amp;DC29,$BC$6:$BC$53,INDEX(T_Equipos[Grupo],MATCH(BD29,T_Equipos[NombreEquipo],0)))</f>
        <v>4</v>
      </c>
      <c r="DE29" s="755"/>
      <c r="DF29" s="755">
        <f t="shared" ca="1" si="52"/>
        <v>4</v>
      </c>
      <c r="DG29" s="755" t="str">
        <f ca="1">IF(DB29="-","-",COUNTIFS(DF$6:DF$53,"&lt;"&amp;DF29,$BC$6:$BC$53,INDEX(T_Equipos[Grupo],MATCH(BD29,T_Equipos[NombreEquipo],0))))</f>
        <v>-</v>
      </c>
      <c r="DH29" s="755">
        <f ca="1">DA29+COUNTIFS(DB$6:DB$53,DB29,DG$6:DG$53,"&lt;"&amp;DG29,$BC$6:$BC$53,INDEX(T_Equipos[Grupo],MATCH(BD29,T_Equipos[NombreEquipo],0)))</f>
        <v>4</v>
      </c>
      <c r="DI29" s="743"/>
      <c r="DJ29" s="743">
        <f t="shared" ca="1" si="53"/>
        <v>4</v>
      </c>
      <c r="DK29" s="743">
        <f t="shared" ca="1" si="24"/>
        <v>12</v>
      </c>
      <c r="DL29" s="743">
        <f t="shared" ca="1" si="33"/>
        <v>1</v>
      </c>
      <c r="DM29" s="737" t="str">
        <f t="shared" ca="1" si="34"/>
        <v>4.1</v>
      </c>
      <c r="DN29" s="743" cm="1">
        <f t="array" aca="1" ref="DN29" ca="1">OFFSET(Horarios!$P$3,DJ29-1,0,DL29,1)</f>
        <v>4</v>
      </c>
      <c r="DO29" s="743"/>
      <c r="DP29" s="743" t="s">
        <v>666</v>
      </c>
      <c r="DQ29" s="743" t="str">
        <f t="shared" ca="1" si="35"/>
        <v>Tunisia</v>
      </c>
      <c r="DR29" s="743"/>
      <c r="DS29" s="743"/>
      <c r="DT29" s="743" t="str">
        <f t="shared" ca="1" si="15"/>
        <v>Australia-Turkey</v>
      </c>
      <c r="DU29" s="743"/>
      <c r="DV29" s="743"/>
      <c r="DW29" s="8"/>
    </row>
    <row r="30" spans="1:127" ht="16.149999999999999" customHeight="1">
      <c r="A30" s="744" t="str">
        <f ca="1">+Equipos!B15</f>
        <v>Paraguay</v>
      </c>
      <c r="B30" s="741"/>
      <c r="C30" s="745"/>
      <c r="D30" s="743" t="str">
        <f t="shared" si="94"/>
        <v>Local</v>
      </c>
      <c r="E30" s="743" t="str">
        <f t="shared" ca="1" si="95"/>
        <v>-</v>
      </c>
      <c r="F30" s="743" t="str">
        <f t="shared" ca="1" si="96"/>
        <v>P.2 (2)</v>
      </c>
      <c r="G30" s="743"/>
      <c r="H30" s="743" t="str">
        <f t="shared" ca="1" si="97"/>
        <v>-</v>
      </c>
      <c r="I30" s="743" t="str">
        <f t="shared" ca="1" si="98"/>
        <v>P.2 (2)</v>
      </c>
      <c r="J30" s="743"/>
      <c r="K30" s="743" t="str">
        <f t="shared" ca="1" si="99"/>
        <v>-</v>
      </c>
      <c r="L30" s="743" t="str">
        <f t="shared" ca="1" si="100"/>
        <v>P.2 (2)</v>
      </c>
      <c r="M30" s="743"/>
      <c r="N30" s="743" t="str">
        <f t="shared" ca="1" si="101"/>
        <v>-</v>
      </c>
      <c r="O30" s="743" t="str">
        <f t="shared" ca="1" si="102"/>
        <v>P.2 (2)</v>
      </c>
      <c r="P30" s="743"/>
      <c r="Q30" s="743" t="str">
        <f t="shared" ca="1" si="103"/>
        <v>-</v>
      </c>
      <c r="R30" s="743" t="str">
        <f t="shared" ca="1" si="104"/>
        <v>P.2 (2)</v>
      </c>
      <c r="S30" s="743"/>
      <c r="T30" s="743" t="str">
        <f t="shared" ca="1" si="105"/>
        <v>-</v>
      </c>
      <c r="U30" s="743" t="str">
        <f t="shared" ca="1" si="106"/>
        <v>P.2 (2)</v>
      </c>
      <c r="V30" s="172"/>
      <c r="W30" s="813"/>
      <c r="X30" s="189">
        <f ca="1">Horarios!C30</f>
        <v>46192.875</v>
      </c>
      <c r="Y30" s="190">
        <f ca="1">Horarios!C30</f>
        <v>46192.875</v>
      </c>
      <c r="Z30" s="191" t="str">
        <f>$Z$6</f>
        <v>R2</v>
      </c>
      <c r="AA30" s="192" t="str">
        <f ca="1">A29</f>
        <v>United States</v>
      </c>
      <c r="AB30" s="478" t="e" cm="1" vm="13">
        <f t="array" aca="1" ref="AB30" ca="1">Ver_flag_local</f>
        <v>#VALUE!</v>
      </c>
      <c r="AC30" s="193">
        <v>2</v>
      </c>
      <c r="AD30" s="194">
        <v>0</v>
      </c>
      <c r="AE30" s="483" t="e" cm="1" vm="15">
        <f t="array" aca="1" ref="AE30" ca="1">Ver_flag_visit</f>
        <v>#VALUE!</v>
      </c>
      <c r="AF30" s="195" t="str">
        <f ca="1">A31</f>
        <v>Australia</v>
      </c>
      <c r="AG30" s="413">
        <f t="shared" si="107"/>
        <v>1</v>
      </c>
      <c r="AH30" s="196">
        <v>32</v>
      </c>
      <c r="AI30" s="19" t="str">
        <f>AJ30&amp;$B$28</f>
        <v>1D</v>
      </c>
      <c r="AJ30" s="211">
        <v>1</v>
      </c>
      <c r="AK30" s="488" t="e" cm="1" vm="13">
        <f t="array" aca="1" ref="AK30" ca="1">Ver_flag_visit</f>
        <v>#VALUE!</v>
      </c>
      <c r="AL30" s="212" t="str">
        <f ca="1">IFERROR(INDEX($BD$6:$BD$53,MATCH(AI30,$BN$6:$BN$53,0)),"")</f>
        <v>United States</v>
      </c>
      <c r="AM30" s="213">
        <f t="shared" ref="AM30:AT33" ca="1" si="111">INDEX($BE$6:$BN$53,MATCH($AL30,$BD$6:$BD$53,0),MATCH(AM$5,$BE$5:$BN$5,0))</f>
        <v>6</v>
      </c>
      <c r="AN30" s="214">
        <f t="shared" ca="1" si="111"/>
        <v>3</v>
      </c>
      <c r="AO30" s="214">
        <f t="shared" ca="1" si="111"/>
        <v>2</v>
      </c>
      <c r="AP30" s="214">
        <f t="shared" ca="1" si="111"/>
        <v>0</v>
      </c>
      <c r="AQ30" s="214">
        <f t="shared" ca="1" si="111"/>
        <v>1</v>
      </c>
      <c r="AR30" s="214">
        <f t="shared" ca="1" si="111"/>
        <v>8</v>
      </c>
      <c r="AS30" s="214">
        <f t="shared" ca="1" si="111"/>
        <v>4</v>
      </c>
      <c r="AT30" s="215">
        <f t="shared" ca="1" si="111"/>
        <v>4</v>
      </c>
      <c r="AU30" s="420">
        <f ca="1">INDEX($DL$6:$DL$53,MATCH(AI30,$DP$6:$DP$53,0))</f>
        <v>1</v>
      </c>
      <c r="AV30" s="217" t="str">
        <f ca="1">INDEX($BD$6:$BD$53,MATCH(AI30,$BM$6:$BM$53,0))</f>
        <v>United States</v>
      </c>
      <c r="AW30" s="427"/>
      <c r="AX30" s="218"/>
      <c r="AY30" s="219" t="str">
        <f ca="1">+A29</f>
        <v>United States</v>
      </c>
      <c r="AZ30" s="220"/>
      <c r="BA30" s="175"/>
      <c r="BB30" s="743"/>
      <c r="BC30" s="755" t="str">
        <f ca="1">+INDEX(T_Equipos[Grupo],MATCH(WORLDCUP!BD30,T_Equipos[NombreEquipo],0))</f>
        <v>G</v>
      </c>
      <c r="BD30" s="743" t="str">
        <f ca="1">+Equipos!B26</f>
        <v>Belgium</v>
      </c>
      <c r="BE30" s="747">
        <f t="shared" ca="1" si="25"/>
        <v>5</v>
      </c>
      <c r="BF30" s="747">
        <f t="shared" ca="1" si="26"/>
        <v>3</v>
      </c>
      <c r="BG30" s="747">
        <f t="shared" ca="1" si="17"/>
        <v>1</v>
      </c>
      <c r="BH30" s="747">
        <f t="shared" ca="1" si="18"/>
        <v>2</v>
      </c>
      <c r="BI30" s="747">
        <f t="shared" ca="1" si="19"/>
        <v>0</v>
      </c>
      <c r="BJ30" s="747">
        <f t="shared" ca="1" si="20"/>
        <v>6</v>
      </c>
      <c r="BK30" s="747">
        <f t="shared" ca="1" si="21"/>
        <v>2</v>
      </c>
      <c r="BL30" s="747">
        <f t="shared" ca="1" si="27"/>
        <v>4</v>
      </c>
      <c r="BM30" s="747" t="str">
        <f t="shared" ca="1" si="22"/>
        <v>1G</v>
      </c>
      <c r="BN30" s="747" t="str">
        <f t="shared" ca="1" si="23"/>
        <v>1G</v>
      </c>
      <c r="BO30" s="756">
        <f t="shared" ca="1" si="28"/>
        <v>0</v>
      </c>
      <c r="BP30" s="756">
        <f ca="1">COUNTIFS($BO$6:$BO$53,"&gt;"&amp;BO30,$BC$6:$BC$53,INDEX(T_Equipos[Grupo],MATCH(BD30,T_Equipos[NombreEquipo],0)))+1</f>
        <v>1</v>
      </c>
      <c r="BQ30" s="756" t="str">
        <f ca="1">IF(COUNTIFS($BP$6:$BP$53,BP30,$BC$6:$BC$53,INDEX(T_Equipos[Grupo],MATCH(BD30,T_Equipos[NombreEquipo],0)))=1,"-","P."&amp;BP30&amp;" ("&amp;COUNTIFS($BP$6:$BP$53,BP30,$BC$6:$BC$53,INDEX(T_Equipos[Grupo],MATCH(BD30,T_Equipos[NombreEquipo],0)))&amp;")")</f>
        <v>P.1 (4)</v>
      </c>
      <c r="BR30" s="756">
        <f t="shared" ca="1" si="29"/>
        <v>5</v>
      </c>
      <c r="BS30" s="756">
        <f ca="1">BP30+COUNTIFS($BQ$6:$BQ$53,BQ30,$BR$6:BR$53,"&gt;"&amp;BR30,$BC$6:$BC$53,INDEX(T_Equipos[Grupo],MATCH(BD30,T_Equipos[NombreEquipo],0)))</f>
        <v>1</v>
      </c>
      <c r="BT30" s="756" t="str">
        <f ca="1">IF(COUNTIFS($BS$6:$BS$53,BS30,$BC$6:$BC$53,INDEX(T_Equipos[Grupo],MATCH(BD30,T_Equipos[NombreEquipo],0)))=1,"-","P."&amp;BS30&amp;" ("&amp;COUNTIFS($BS$6:$BS$53,BS30,$BC$6:$BC$53,INDEX(T_Equipos[Grupo],MATCH(BD30,T_Equipos[NombreEquipo],0)))&amp;")")</f>
        <v>P.1 (2)</v>
      </c>
      <c r="BU30" s="757">
        <f t="shared" ca="1" si="36"/>
        <v>0</v>
      </c>
      <c r="BV30" s="757">
        <f t="shared" ca="1" si="37"/>
        <v>1</v>
      </c>
      <c r="BW30" s="757">
        <f t="shared" ca="1" si="38"/>
        <v>0</v>
      </c>
      <c r="BX30" s="757">
        <f t="shared" ca="1" si="39"/>
        <v>1</v>
      </c>
      <c r="BY30" s="757">
        <f ca="1">BS30+COUNTIFS($BT$6:$BT$53,BT30,$BX$6:BX$53,"&gt;"&amp;BX30,$BC$6:$BC$53,INDEX(T_Equipos[Grupo],MATCH(BD30,T_Equipos[NombreEquipo],0)))</f>
        <v>1</v>
      </c>
      <c r="BZ30" s="756" t="str">
        <f ca="1">IF(COUNTIFS($BY$6:$BY$53,BY30,$BC$6:$BC$53,INDEX(T_Equipos[Grupo],MATCH(BD30,T_Equipos[NombreEquipo],0)))=1,"-","P."&amp;BY30&amp;" ("&amp;COUNTIFS($BY$6:$BY$53,BY30,$BC$6:$BC$53,INDEX(T_Equipos[Grupo],MATCH(BD30,T_Equipos[NombreEquipo],0)))&amp;")")</f>
        <v>P.1 (2)</v>
      </c>
      <c r="CA30" s="757">
        <f t="shared" ca="1" si="40"/>
        <v>1</v>
      </c>
      <c r="CB30" s="757">
        <f t="shared" ca="1" si="41"/>
        <v>1</v>
      </c>
      <c r="CC30" s="757">
        <f t="shared" ca="1" si="42"/>
        <v>0</v>
      </c>
      <c r="CD30" s="757">
        <f ca="1">BY30+COUNTIFS($BZ$6:$BZ$53,BZ30,$CC$6:CC$53,"&gt;"&amp;CC30,$BC$6:$BC$53,INDEX(T_Equipos[Grupo],MATCH(BD30,T_Equipos[NombreEquipo],0)))</f>
        <v>1</v>
      </c>
      <c r="CE30" s="756" t="str">
        <f ca="1">IF(COUNTIFS($CD$6:$CD$53,CD30,$BC$6:$BC$53,INDEX(T_Equipos[Grupo],MATCH(BD30,T_Equipos[NombreEquipo],0)))=1,"-","P."&amp;CD30&amp;" ("&amp;COUNTIFS($CD$6:$CD$53,CD30,$BC$6:$BC$53,INDEX(T_Equipos[Grupo],MATCH(BD30,T_Equipos[NombreEquipo],0)))&amp;")")</f>
        <v>P.1 (2)</v>
      </c>
      <c r="CF30" s="757">
        <f t="shared" ca="1" si="43"/>
        <v>1</v>
      </c>
      <c r="CG30" s="757">
        <f ca="1">CD30+COUNTIFS($CE$6:$CE$53,CE30,$CF$6:CF$53,"&gt;"&amp;CF30,$BC$6:$BC$53,INDEX(T_Equipos[Grupo],MATCH(BD30,T_Equipos[NombreEquipo],0)))</f>
        <v>1</v>
      </c>
      <c r="CH30" s="756" t="str">
        <f ca="1">IF(COUNTIFS($CG$6:$CG$53,CG30,$BC$6:$BC$53,INDEX(T_Equipos[Grupo],MATCH(BD30,T_Equipos[NombreEquipo],0)))=1,"-","P."&amp;CG30&amp;" ("&amp;COUNTIFS($CG$6:$CG$53,CG30,$BC$6:$BC$53,INDEX(T_Equipos[Grupo],MATCH(BD30,T_Equipos[NombreEquipo],0)))&amp;")")</f>
        <v>P.1 (2)</v>
      </c>
      <c r="CI30" s="757">
        <f t="shared" ca="1" si="44"/>
        <v>0</v>
      </c>
      <c r="CJ30" s="757">
        <f t="shared" ca="1" si="45"/>
        <v>1</v>
      </c>
      <c r="CK30" s="757">
        <f t="shared" ca="1" si="46"/>
        <v>0</v>
      </c>
      <c r="CL30" s="757">
        <f t="shared" ca="1" si="47"/>
        <v>1</v>
      </c>
      <c r="CM30" s="757">
        <f ca="1">CG30+COUNTIFS($CH$6:$CH$53,CH30,$CL$6:CL$53,"&gt;"&amp;CL30,$BC$6:$BC$53,INDEX(T_Equipos[Grupo],MATCH(BD30,T_Equipos[NombreEquipo],0)))</f>
        <v>1</v>
      </c>
      <c r="CN30" s="756" t="str">
        <f ca="1">IF(COUNTIFS($CM$6:$CM$53,CM30,$BC$6:$BC$53,INDEX(T_Equipos[Grupo],MATCH(BD30,T_Equipos[NombreEquipo],0)))=1,"-","P."&amp;CM30&amp;" ("&amp;COUNTIFS($CM$6:$CM$53,CM30,$BC$6:$BC$53,INDEX(T_Equipos[Grupo],MATCH(BD30,T_Equipos[NombreEquipo],0)))&amp;")")</f>
        <v>P.1 (2)</v>
      </c>
      <c r="CO30" s="757">
        <f t="shared" ca="1" si="48"/>
        <v>1</v>
      </c>
      <c r="CP30" s="757">
        <f t="shared" ca="1" si="49"/>
        <v>1</v>
      </c>
      <c r="CQ30" s="757">
        <f t="shared" ca="1" si="50"/>
        <v>0</v>
      </c>
      <c r="CR30" s="757">
        <f ca="1">CM30+COUNTIFS($CN$6:$CN$53,CN30,$CQ$6:CQ$53,"&gt;"&amp;CQ30,$BC$6:$BC$53,INDEX(T_Equipos[Grupo],MATCH(BD30,T_Equipos[NombreEquipo],0)))</f>
        <v>1</v>
      </c>
      <c r="CS30" s="756" t="str">
        <f ca="1">IF(COUNTIFS($CR$6:$CR$53,CR30,$BC$6:$BC$53,INDEX(T_Equipos[Grupo],MATCH(BD30,T_Equipos[NombreEquipo],0)))=1,"-","P."&amp;CR30&amp;" ("&amp;COUNTIFS($CR$6:$CR$53,CR30,$BC$6:$BC$53,INDEX(T_Equipos[Grupo],MATCH(BD30,T_Equipos[NombreEquipo],0)))&amp;")")</f>
        <v>P.1 (2)</v>
      </c>
      <c r="CT30" s="757">
        <f t="shared" ca="1" si="51"/>
        <v>1</v>
      </c>
      <c r="CU30" s="757">
        <f ca="1">CR30+COUNTIFS($CS$6:$CS$53,CS30,$CT$6:CT$53,"&gt;"&amp;CT30,$BC$6:$BC$53,INDEX(T_Equipos[Grupo],MATCH(BD30,T_Equipos[NombreEquipo],0)))</f>
        <v>1</v>
      </c>
      <c r="CV30" s="756" t="str">
        <f ca="1">IF(COUNTIFS($CU$6:$CU$53,CU30,$BC$6:$BC$53,INDEX(T_Equipos[Grupo],MATCH(BD30,T_Equipos[NombreEquipo],0)))=1,"-","P."&amp;CU30&amp;" ("&amp;COUNTIFS($CU$6:$CU$53,CU30,$BC$6:$BC$53,INDEX(T_Equipos[Grupo],MATCH(BD30,T_Equipos[NombreEquipo],0)))&amp;")")</f>
        <v>P.1 (2)</v>
      </c>
      <c r="CW30" s="756">
        <f t="shared" ca="1" si="30"/>
        <v>4</v>
      </c>
      <c r="CX30" s="756">
        <f ca="1">CU30+COUNTIFS($CV$6:$CV$53,CV30,$CW$6:CW$53,"&gt;"&amp;CW30,$BC$6:$BC$53,INDEX(T_Equipos[Grupo],MATCH(BD30,T_Equipos[NombreEquipo],0)))</f>
        <v>1</v>
      </c>
      <c r="CY30" s="756" t="str">
        <f ca="1">IF(COUNTIFS($CX$6:$CX$53,CX30,$BC$6:$BC$53,INDEX(T_Equipos[Grupo],MATCH(BD30,T_Equipos[NombreEquipo],0)))=1,"-","P."&amp;CX30&amp;" ("&amp;COUNTIFS($CX$6:$CX$53,CX30,$BC$6:$BC$53,INDEX(T_Equipos[Grupo],MATCH(BD30,T_Equipos[NombreEquipo],0)))&amp;")")</f>
        <v>-</v>
      </c>
      <c r="CZ30" s="756" t="str">
        <f t="shared" ca="1" si="31"/>
        <v>-</v>
      </c>
      <c r="DA30" s="757">
        <f ca="1">CX30+COUNTIFS($CY$6:$CY$53,CY30,$CZ$6:CZ$53,"&gt;"&amp;CZ30,$BC$6:$BC$53,INDEX(T_Equipos[Grupo],MATCH(BD30,T_Equipos[NombreEquipo],0)))</f>
        <v>1</v>
      </c>
      <c r="DB30" s="756" t="str">
        <f ca="1">IF(COUNTIFS($DA$6:$DA$53,DA30,$BC$6:$BC$53,INDEX(T_Equipos[Grupo],MATCH(BD30,T_Equipos[NombreEquipo],0)))=1,"-","P."&amp;DA30&amp;" ("&amp;COUNTIFS($DA$6:$DA$53,DA30,$BC$6:$BC$53,INDEX(T_Equipos[Grupo],MATCH(BD30,T_Equipos[NombreEquipo],0)))&amp;")")</f>
        <v>-</v>
      </c>
      <c r="DC30" s="755" t="str">
        <f ca="1">IF(DB30="-","-",COUNTIFS(T_Equipos[Rank],"&lt;"&amp;INDEX(T_Equipos[Rank],MATCH(BD30,T_Equipos[NombreEquipo],0)),$BC$6:$BC$53,INDEX(T_Equipos[Grupo],MATCH(BD30,T_Equipos[NombreEquipo],0)))+1)</f>
        <v>-</v>
      </c>
      <c r="DD30" s="755">
        <f ca="1">DA30+COUNTIFS($DB$6:$DB$53,DB30,$DC$6:DC$53,"&lt;"&amp;DC30,$BC$6:$BC$53,INDEX(T_Equipos[Grupo],MATCH(BD30,T_Equipos[NombreEquipo],0)))</f>
        <v>1</v>
      </c>
      <c r="DE30" s="755"/>
      <c r="DF30" s="755">
        <f t="shared" ca="1" si="52"/>
        <v>1</v>
      </c>
      <c r="DG30" s="755" t="str">
        <f ca="1">IF(DB30="-","-",COUNTIFS(DF$6:DF$53,"&lt;"&amp;DF30,$BC$6:$BC$53,INDEX(T_Equipos[Grupo],MATCH(BD30,T_Equipos[NombreEquipo],0))))</f>
        <v>-</v>
      </c>
      <c r="DH30" s="755">
        <f ca="1">DA30+COUNTIFS(DB$6:DB$53,DB30,DG$6:DG$53,"&lt;"&amp;DG30,$BC$6:$BC$53,INDEX(T_Equipos[Grupo],MATCH(BD30,T_Equipos[NombreEquipo],0)))</f>
        <v>1</v>
      </c>
      <c r="DI30" s="743"/>
      <c r="DJ30" s="743">
        <f t="shared" ca="1" si="53"/>
        <v>1</v>
      </c>
      <c r="DK30" s="743">
        <f t="shared" ca="1" si="24"/>
        <v>12</v>
      </c>
      <c r="DL30" s="743">
        <f t="shared" ca="1" si="33"/>
        <v>1</v>
      </c>
      <c r="DM30" s="737" t="str">
        <f t="shared" ca="1" si="34"/>
        <v>1.1</v>
      </c>
      <c r="DN30" s="743" cm="1">
        <f t="array" aca="1" ref="DN30" ca="1">OFFSET(Horarios!$P$3,DJ30-1,0,DL30,1)</f>
        <v>1</v>
      </c>
      <c r="DO30" s="743"/>
      <c r="DP30" s="743" t="s">
        <v>667</v>
      </c>
      <c r="DQ30" s="743" t="str">
        <f t="shared" ca="1" si="35"/>
        <v>Belgium</v>
      </c>
      <c r="DR30" s="743"/>
      <c r="DS30" s="743"/>
      <c r="DT30" s="743" t="str">
        <f t="shared" ca="1" si="15"/>
        <v>United States-Australia</v>
      </c>
      <c r="DU30" s="743"/>
      <c r="DV30" s="743"/>
      <c r="DW30" s="8"/>
    </row>
    <row r="31" spans="1:127" ht="16.149999999999999" customHeight="1">
      <c r="A31" s="744" t="str">
        <f ca="1">+Equipos!B16</f>
        <v>Australia</v>
      </c>
      <c r="B31" s="741"/>
      <c r="C31" s="743"/>
      <c r="D31" s="743" t="str">
        <f t="shared" si="94"/>
        <v>Visitante</v>
      </c>
      <c r="E31" s="743" t="str">
        <f t="shared" ca="1" si="95"/>
        <v>-</v>
      </c>
      <c r="F31" s="743" t="str">
        <f t="shared" ca="1" si="96"/>
        <v>P.2 (2)</v>
      </c>
      <c r="G31" s="743"/>
      <c r="H31" s="743" t="str">
        <f t="shared" ca="1" si="97"/>
        <v>-</v>
      </c>
      <c r="I31" s="743" t="str">
        <f t="shared" ca="1" si="98"/>
        <v>P.2 (2)</v>
      </c>
      <c r="J31" s="743"/>
      <c r="K31" s="743" t="str">
        <f t="shared" ca="1" si="99"/>
        <v>-</v>
      </c>
      <c r="L31" s="743" t="str">
        <f t="shared" ca="1" si="100"/>
        <v>P.2 (2)</v>
      </c>
      <c r="M31" s="743"/>
      <c r="N31" s="743" t="str">
        <f t="shared" ca="1" si="101"/>
        <v>-</v>
      </c>
      <c r="O31" s="743" t="str">
        <f t="shared" ca="1" si="102"/>
        <v>P.2 (2)</v>
      </c>
      <c r="P31" s="743"/>
      <c r="Q31" s="743" t="str">
        <f t="shared" ca="1" si="103"/>
        <v>-</v>
      </c>
      <c r="R31" s="743" t="str">
        <f t="shared" ca="1" si="104"/>
        <v>P.2 (2)</v>
      </c>
      <c r="S31" s="743"/>
      <c r="T31" s="743" t="str">
        <f t="shared" ca="1" si="105"/>
        <v>-</v>
      </c>
      <c r="U31" s="743" t="str">
        <f t="shared" ca="1" si="106"/>
        <v>P.2 (2)</v>
      </c>
      <c r="V31" s="172"/>
      <c r="W31" s="813"/>
      <c r="X31" s="189">
        <f ca="1">Horarios!C31</f>
        <v>46193.208333333336</v>
      </c>
      <c r="Y31" s="190">
        <f ca="1">Horarios!C31</f>
        <v>46193.208333333336</v>
      </c>
      <c r="Z31" s="191" t="str">
        <f>$Z$6</f>
        <v>R2</v>
      </c>
      <c r="AA31" s="192" t="str">
        <f ca="1">A32</f>
        <v>Turkey</v>
      </c>
      <c r="AB31" s="478" t="e" cm="1" vm="16">
        <f t="array" aca="1" ref="AB31" ca="1">Ver_flag_local</f>
        <v>#VALUE!</v>
      </c>
      <c r="AC31" s="193">
        <v>0</v>
      </c>
      <c r="AD31" s="194">
        <v>1</v>
      </c>
      <c r="AE31" s="483" t="e" cm="1" vm="14">
        <f t="array" aca="1" ref="AE31" ca="1">Ver_flag_visit</f>
        <v>#VALUE!</v>
      </c>
      <c r="AF31" s="195" t="str">
        <f ca="1">A30</f>
        <v>Paraguay</v>
      </c>
      <c r="AG31" s="413">
        <f t="shared" si="107"/>
        <v>1</v>
      </c>
      <c r="AH31" s="196">
        <v>31</v>
      </c>
      <c r="AI31" s="19" t="str">
        <f t="shared" ref="AI31:AI33" si="112">AJ31&amp;$B$28</f>
        <v>2D</v>
      </c>
      <c r="AJ31" s="221">
        <v>2</v>
      </c>
      <c r="AK31" s="486" t="e" cm="1" vm="15">
        <f t="array" aca="1" ref="AK31" ca="1">Ver_flag_visit</f>
        <v>#VALUE!</v>
      </c>
      <c r="AL31" s="222" t="str">
        <f ca="1">IFERROR(INDEX($BD$6:$BD$53,MATCH(AI31,$BN$6:$BN$53,0)),"")</f>
        <v>Australia</v>
      </c>
      <c r="AM31" s="223">
        <f t="shared" ca="1" si="111"/>
        <v>4</v>
      </c>
      <c r="AN31" s="224">
        <f t="shared" ca="1" si="111"/>
        <v>3</v>
      </c>
      <c r="AO31" s="224">
        <f t="shared" ca="1" si="111"/>
        <v>1</v>
      </c>
      <c r="AP31" s="224">
        <f t="shared" ca="1" si="111"/>
        <v>1</v>
      </c>
      <c r="AQ31" s="224">
        <f t="shared" ca="1" si="111"/>
        <v>1</v>
      </c>
      <c r="AR31" s="224">
        <f t="shared" ca="1" si="111"/>
        <v>2</v>
      </c>
      <c r="AS31" s="224">
        <f t="shared" ca="1" si="111"/>
        <v>2</v>
      </c>
      <c r="AT31" s="225">
        <f t="shared" ca="1" si="111"/>
        <v>0</v>
      </c>
      <c r="AU31" s="420">
        <f ca="1">INDEX($DL$6:$DL$53,MATCH(AI31,$DP$6:$DP$53,0))</f>
        <v>1</v>
      </c>
      <c r="AV31" s="217" t="str">
        <f ca="1">INDEX($BD$6:$BD$53,MATCH(AI31,$BM$6:$BM$53,0))</f>
        <v>Australia</v>
      </c>
      <c r="AW31" s="427"/>
      <c r="AX31" s="218"/>
      <c r="AY31" s="226" t="str">
        <f ca="1">+A30</f>
        <v>Paraguay</v>
      </c>
      <c r="AZ31" s="227"/>
      <c r="BA31" s="175"/>
      <c r="BB31" s="743"/>
      <c r="BC31" s="755" t="str">
        <f ca="1">+INDEX(T_Equipos[Grupo],MATCH(WORLDCUP!BD31,T_Equipos[NombreEquipo],0))</f>
        <v>G</v>
      </c>
      <c r="BD31" s="743" t="str">
        <f ca="1">+Equipos!B27</f>
        <v>Egypt</v>
      </c>
      <c r="BE31" s="747">
        <f t="shared" ca="1" si="25"/>
        <v>5</v>
      </c>
      <c r="BF31" s="747">
        <f t="shared" ca="1" si="26"/>
        <v>3</v>
      </c>
      <c r="BG31" s="747">
        <f t="shared" ca="1" si="17"/>
        <v>1</v>
      </c>
      <c r="BH31" s="747">
        <f t="shared" ca="1" si="18"/>
        <v>2</v>
      </c>
      <c r="BI31" s="747">
        <f t="shared" ca="1" si="19"/>
        <v>0</v>
      </c>
      <c r="BJ31" s="747">
        <f t="shared" ca="1" si="20"/>
        <v>5</v>
      </c>
      <c r="BK31" s="747">
        <f t="shared" ca="1" si="21"/>
        <v>3</v>
      </c>
      <c r="BL31" s="747">
        <f t="shared" ca="1" si="27"/>
        <v>2</v>
      </c>
      <c r="BM31" s="747" t="str">
        <f t="shared" ca="1" si="22"/>
        <v>2G</v>
      </c>
      <c r="BN31" s="747" t="str">
        <f t="shared" ca="1" si="23"/>
        <v>2G</v>
      </c>
      <c r="BO31" s="756">
        <f t="shared" ca="1" si="28"/>
        <v>0</v>
      </c>
      <c r="BP31" s="756">
        <f ca="1">COUNTIFS($BO$6:$BO$53,"&gt;"&amp;BO31,$BC$6:$BC$53,INDEX(T_Equipos[Grupo],MATCH(BD31,T_Equipos[NombreEquipo],0)))+1</f>
        <v>1</v>
      </c>
      <c r="BQ31" s="756" t="str">
        <f ca="1">IF(COUNTIFS($BP$6:$BP$53,BP31,$BC$6:$BC$53,INDEX(T_Equipos[Grupo],MATCH(BD31,T_Equipos[NombreEquipo],0)))=1,"-","P."&amp;BP31&amp;" ("&amp;COUNTIFS($BP$6:$BP$53,BP31,$BC$6:$BC$53,INDEX(T_Equipos[Grupo],MATCH(BD31,T_Equipos[NombreEquipo],0)))&amp;")")</f>
        <v>P.1 (4)</v>
      </c>
      <c r="BR31" s="756">
        <f t="shared" ca="1" si="29"/>
        <v>5</v>
      </c>
      <c r="BS31" s="756">
        <f ca="1">BP31+COUNTIFS($BQ$6:$BQ$53,BQ31,$BR$6:BR$53,"&gt;"&amp;BR31,$BC$6:$BC$53,INDEX(T_Equipos[Grupo],MATCH(BD31,T_Equipos[NombreEquipo],0)))</f>
        <v>1</v>
      </c>
      <c r="BT31" s="756" t="str">
        <f ca="1">IF(COUNTIFS($BS$6:$BS$53,BS31,$BC$6:$BC$53,INDEX(T_Equipos[Grupo],MATCH(BD31,T_Equipos[NombreEquipo],0)))=1,"-","P."&amp;BS31&amp;" ("&amp;COUNTIFS($BS$6:$BS$53,BS31,$BC$6:$BC$53,INDEX(T_Equipos[Grupo],MATCH(BD31,T_Equipos[NombreEquipo],0)))&amp;")")</f>
        <v>P.1 (2)</v>
      </c>
      <c r="BU31" s="757">
        <f t="shared" ca="1" si="36"/>
        <v>0</v>
      </c>
      <c r="BV31" s="757">
        <f t="shared" ca="1" si="37"/>
        <v>1</v>
      </c>
      <c r="BW31" s="757">
        <f t="shared" ca="1" si="38"/>
        <v>0</v>
      </c>
      <c r="BX31" s="757">
        <f t="shared" ca="1" si="39"/>
        <v>1</v>
      </c>
      <c r="BY31" s="757">
        <f ca="1">BS31+COUNTIFS($BT$6:$BT$53,BT31,$BX$6:BX$53,"&gt;"&amp;BX31,$BC$6:$BC$53,INDEX(T_Equipos[Grupo],MATCH(BD31,T_Equipos[NombreEquipo],0)))</f>
        <v>1</v>
      </c>
      <c r="BZ31" s="756" t="str">
        <f ca="1">IF(COUNTIFS($BY$6:$BY$53,BY31,$BC$6:$BC$53,INDEX(T_Equipos[Grupo],MATCH(BD31,T_Equipos[NombreEquipo],0)))=1,"-","P."&amp;BY31&amp;" ("&amp;COUNTIFS($BY$6:$BY$53,BY31,$BC$6:$BC$53,INDEX(T_Equipos[Grupo],MATCH(BD31,T_Equipos[NombreEquipo],0)))&amp;")")</f>
        <v>P.1 (2)</v>
      </c>
      <c r="CA31" s="757">
        <f t="shared" ca="1" si="40"/>
        <v>1</v>
      </c>
      <c r="CB31" s="757">
        <f t="shared" ca="1" si="41"/>
        <v>1</v>
      </c>
      <c r="CC31" s="757">
        <f t="shared" ca="1" si="42"/>
        <v>0</v>
      </c>
      <c r="CD31" s="757">
        <f ca="1">BY31+COUNTIFS($BZ$6:$BZ$53,BZ31,$CC$6:CC$53,"&gt;"&amp;CC31,$BC$6:$BC$53,INDEX(T_Equipos[Grupo],MATCH(BD31,T_Equipos[NombreEquipo],0)))</f>
        <v>1</v>
      </c>
      <c r="CE31" s="756" t="str">
        <f ca="1">IF(COUNTIFS($CD$6:$CD$53,CD31,$BC$6:$BC$53,INDEX(T_Equipos[Grupo],MATCH(BD31,T_Equipos[NombreEquipo],0)))=1,"-","P."&amp;CD31&amp;" ("&amp;COUNTIFS($CD$6:$CD$53,CD31,$BC$6:$BC$53,INDEX(T_Equipos[Grupo],MATCH(BD31,T_Equipos[NombreEquipo],0)))&amp;")")</f>
        <v>P.1 (2)</v>
      </c>
      <c r="CF31" s="757">
        <f t="shared" ca="1" si="43"/>
        <v>1</v>
      </c>
      <c r="CG31" s="757">
        <f ca="1">CD31+COUNTIFS($CE$6:$CE$53,CE31,$CF$6:CF$53,"&gt;"&amp;CF31,$BC$6:$BC$53,INDEX(T_Equipos[Grupo],MATCH(BD31,T_Equipos[NombreEquipo],0)))</f>
        <v>1</v>
      </c>
      <c r="CH31" s="756" t="str">
        <f ca="1">IF(COUNTIFS($CG$6:$CG$53,CG31,$BC$6:$BC$53,INDEX(T_Equipos[Grupo],MATCH(BD31,T_Equipos[NombreEquipo],0)))=1,"-","P."&amp;CG31&amp;" ("&amp;COUNTIFS($CG$6:$CG$53,CG31,$BC$6:$BC$53,INDEX(T_Equipos[Grupo],MATCH(BD31,T_Equipos[NombreEquipo],0)))&amp;")")</f>
        <v>P.1 (2)</v>
      </c>
      <c r="CI31" s="757">
        <f t="shared" ca="1" si="44"/>
        <v>0</v>
      </c>
      <c r="CJ31" s="757">
        <f t="shared" ca="1" si="45"/>
        <v>1</v>
      </c>
      <c r="CK31" s="757">
        <f t="shared" ca="1" si="46"/>
        <v>0</v>
      </c>
      <c r="CL31" s="757">
        <f t="shared" ca="1" si="47"/>
        <v>1</v>
      </c>
      <c r="CM31" s="757">
        <f ca="1">CG31+COUNTIFS($CH$6:$CH$53,CH31,$CL$6:CL$53,"&gt;"&amp;CL31,$BC$6:$BC$53,INDEX(T_Equipos[Grupo],MATCH(BD31,T_Equipos[NombreEquipo],0)))</f>
        <v>1</v>
      </c>
      <c r="CN31" s="756" t="str">
        <f ca="1">IF(COUNTIFS($CM$6:$CM$53,CM31,$BC$6:$BC$53,INDEX(T_Equipos[Grupo],MATCH(BD31,T_Equipos[NombreEquipo],0)))=1,"-","P."&amp;CM31&amp;" ("&amp;COUNTIFS($CM$6:$CM$53,CM31,$BC$6:$BC$53,INDEX(T_Equipos[Grupo],MATCH(BD31,T_Equipos[NombreEquipo],0)))&amp;")")</f>
        <v>P.1 (2)</v>
      </c>
      <c r="CO31" s="757">
        <f t="shared" ca="1" si="48"/>
        <v>1</v>
      </c>
      <c r="CP31" s="757">
        <f t="shared" ca="1" si="49"/>
        <v>1</v>
      </c>
      <c r="CQ31" s="757">
        <f t="shared" ca="1" si="50"/>
        <v>0</v>
      </c>
      <c r="CR31" s="757">
        <f ca="1">CM31+COUNTIFS($CN$6:$CN$53,CN31,$CQ$6:CQ$53,"&gt;"&amp;CQ31,$BC$6:$BC$53,INDEX(T_Equipos[Grupo],MATCH(BD31,T_Equipos[NombreEquipo],0)))</f>
        <v>1</v>
      </c>
      <c r="CS31" s="756" t="str">
        <f ca="1">IF(COUNTIFS($CR$6:$CR$53,CR31,$BC$6:$BC$53,INDEX(T_Equipos[Grupo],MATCH(BD31,T_Equipos[NombreEquipo],0)))=1,"-","P."&amp;CR31&amp;" ("&amp;COUNTIFS($CR$6:$CR$53,CR31,$BC$6:$BC$53,INDEX(T_Equipos[Grupo],MATCH(BD31,T_Equipos[NombreEquipo],0)))&amp;")")</f>
        <v>P.1 (2)</v>
      </c>
      <c r="CT31" s="757">
        <f t="shared" ca="1" si="51"/>
        <v>1</v>
      </c>
      <c r="CU31" s="757">
        <f ca="1">CR31+COUNTIFS($CS$6:$CS$53,CS31,$CT$6:CT$53,"&gt;"&amp;CT31,$BC$6:$BC$53,INDEX(T_Equipos[Grupo],MATCH(BD31,T_Equipos[NombreEquipo],0)))</f>
        <v>1</v>
      </c>
      <c r="CV31" s="756" t="str">
        <f ca="1">IF(COUNTIFS($CU$6:$CU$53,CU31,$BC$6:$BC$53,INDEX(T_Equipos[Grupo],MATCH(BD31,T_Equipos[NombreEquipo],0)))=1,"-","P."&amp;CU31&amp;" ("&amp;COUNTIFS($CU$6:$CU$53,CU31,$BC$6:$BC$53,INDEX(T_Equipos[Grupo],MATCH(BD31,T_Equipos[NombreEquipo],0)))&amp;")")</f>
        <v>P.1 (2)</v>
      </c>
      <c r="CW31" s="756">
        <f t="shared" ca="1" si="30"/>
        <v>2</v>
      </c>
      <c r="CX31" s="756">
        <f ca="1">CU31+COUNTIFS($CV$6:$CV$53,CV31,$CW$6:CW$53,"&gt;"&amp;CW31,$BC$6:$BC$53,INDEX(T_Equipos[Grupo],MATCH(BD31,T_Equipos[NombreEquipo],0)))</f>
        <v>2</v>
      </c>
      <c r="CY31" s="756" t="str">
        <f ca="1">IF(COUNTIFS($CX$6:$CX$53,CX31,$BC$6:$BC$53,INDEX(T_Equipos[Grupo],MATCH(BD31,T_Equipos[NombreEquipo],0)))=1,"-","P."&amp;CX31&amp;" ("&amp;COUNTIFS($CX$6:$CX$53,CX31,$BC$6:$BC$53,INDEX(T_Equipos[Grupo],MATCH(BD31,T_Equipos[NombreEquipo],0)))&amp;")")</f>
        <v>-</v>
      </c>
      <c r="CZ31" s="756" t="str">
        <f t="shared" ca="1" si="31"/>
        <v>-</v>
      </c>
      <c r="DA31" s="757">
        <f ca="1">CX31+COUNTIFS($CY$6:$CY$53,CY31,$CZ$6:CZ$53,"&gt;"&amp;CZ31,$BC$6:$BC$53,INDEX(T_Equipos[Grupo],MATCH(BD31,T_Equipos[NombreEquipo],0)))</f>
        <v>2</v>
      </c>
      <c r="DB31" s="756" t="str">
        <f ca="1">IF(COUNTIFS($DA$6:$DA$53,DA31,$BC$6:$BC$53,INDEX(T_Equipos[Grupo],MATCH(BD31,T_Equipos[NombreEquipo],0)))=1,"-","P."&amp;DA31&amp;" ("&amp;COUNTIFS($DA$6:$DA$53,DA31,$BC$6:$BC$53,INDEX(T_Equipos[Grupo],MATCH(BD31,T_Equipos[NombreEquipo],0)))&amp;")")</f>
        <v>-</v>
      </c>
      <c r="DC31" s="755" t="str">
        <f ca="1">IF(DB31="-","-",COUNTIFS(T_Equipos[Rank],"&lt;"&amp;INDEX(T_Equipos[Rank],MATCH(BD31,T_Equipos[NombreEquipo],0)),$BC$6:$BC$53,INDEX(T_Equipos[Grupo],MATCH(BD31,T_Equipos[NombreEquipo],0)))+1)</f>
        <v>-</v>
      </c>
      <c r="DD31" s="755">
        <f ca="1">DA31+COUNTIFS($DB$6:$DB$53,DB31,$DC$6:DC$53,"&lt;"&amp;DC31,$BC$6:$BC$53,INDEX(T_Equipos[Grupo],MATCH(BD31,T_Equipos[NombreEquipo],0)))</f>
        <v>2</v>
      </c>
      <c r="DE31" s="755"/>
      <c r="DF31" s="755">
        <f t="shared" ca="1" si="52"/>
        <v>2</v>
      </c>
      <c r="DG31" s="755" t="str">
        <f ca="1">IF(DB31="-","-",COUNTIFS(DF$6:DF$53,"&lt;"&amp;DF31,$BC$6:$BC$53,INDEX(T_Equipos[Grupo],MATCH(BD31,T_Equipos[NombreEquipo],0))))</f>
        <v>-</v>
      </c>
      <c r="DH31" s="755">
        <f ca="1">DA31+COUNTIFS(DB$6:DB$53,DB31,DG$6:DG$53,"&lt;"&amp;DG31,$BC$6:$BC$53,INDEX(T_Equipos[Grupo],MATCH(BD31,T_Equipos[NombreEquipo],0)))</f>
        <v>2</v>
      </c>
      <c r="DI31" s="743"/>
      <c r="DJ31" s="743">
        <f t="shared" ca="1" si="53"/>
        <v>2</v>
      </c>
      <c r="DK31" s="743">
        <f t="shared" ca="1" si="24"/>
        <v>12</v>
      </c>
      <c r="DL31" s="743">
        <f t="shared" ca="1" si="33"/>
        <v>1</v>
      </c>
      <c r="DM31" s="737" t="str">
        <f t="shared" ca="1" si="34"/>
        <v>2.1</v>
      </c>
      <c r="DN31" s="743" cm="1">
        <f t="array" aca="1" ref="DN31" ca="1">OFFSET(Horarios!$P$3,DJ31-1,0,DL31,1)</f>
        <v>2</v>
      </c>
      <c r="DO31" s="743"/>
      <c r="DP31" s="743" t="s">
        <v>668</v>
      </c>
      <c r="DQ31" s="743" t="str">
        <f t="shared" ca="1" si="35"/>
        <v>Egypt</v>
      </c>
      <c r="DR31" s="743"/>
      <c r="DS31" s="743"/>
      <c r="DT31" s="743" t="str">
        <f t="shared" ca="1" si="15"/>
        <v>Turkey-Paraguay</v>
      </c>
      <c r="DU31" s="743"/>
      <c r="DV31" s="743"/>
      <c r="DW31" s="8"/>
    </row>
    <row r="32" spans="1:127" ht="16.149999999999999" customHeight="1">
      <c r="A32" s="744" t="str">
        <f ca="1">+Equipos!B17</f>
        <v>Turkey</v>
      </c>
      <c r="B32" s="741"/>
      <c r="C32" s="743"/>
      <c r="D32" s="743" t="str">
        <f t="shared" si="94"/>
        <v>Local</v>
      </c>
      <c r="E32" s="743" t="str">
        <f t="shared" ca="1" si="95"/>
        <v>-</v>
      </c>
      <c r="F32" s="743" t="str">
        <f t="shared" ca="1" si="96"/>
        <v>-</v>
      </c>
      <c r="G32" s="743"/>
      <c r="H32" s="743" t="str">
        <f t="shared" ca="1" si="97"/>
        <v>-</v>
      </c>
      <c r="I32" s="743" t="str">
        <f t="shared" ca="1" si="98"/>
        <v>-</v>
      </c>
      <c r="J32" s="743"/>
      <c r="K32" s="743" t="str">
        <f t="shared" ca="1" si="99"/>
        <v>-</v>
      </c>
      <c r="L32" s="743" t="str">
        <f t="shared" ca="1" si="100"/>
        <v>-</v>
      </c>
      <c r="M32" s="743"/>
      <c r="N32" s="743" t="str">
        <f t="shared" ca="1" si="101"/>
        <v>-</v>
      </c>
      <c r="O32" s="743" t="str">
        <f t="shared" ca="1" si="102"/>
        <v>-</v>
      </c>
      <c r="P32" s="743"/>
      <c r="Q32" s="743" t="str">
        <f t="shared" ca="1" si="103"/>
        <v>-</v>
      </c>
      <c r="R32" s="743" t="str">
        <f t="shared" ca="1" si="104"/>
        <v>-</v>
      </c>
      <c r="S32" s="743"/>
      <c r="T32" s="743" t="str">
        <f t="shared" ca="1" si="105"/>
        <v>-</v>
      </c>
      <c r="U32" s="743" t="str">
        <f t="shared" ca="1" si="106"/>
        <v>-</v>
      </c>
      <c r="V32" s="172"/>
      <c r="W32" s="813"/>
      <c r="X32" s="189">
        <f ca="1">Horarios!C32</f>
        <v>46199.166666666664</v>
      </c>
      <c r="Y32" s="190">
        <f ca="1">Horarios!C32</f>
        <v>46199.166666666664</v>
      </c>
      <c r="Z32" s="191" t="str">
        <f>$Z$8</f>
        <v>R3</v>
      </c>
      <c r="AA32" s="192" t="str">
        <f ca="1">A32</f>
        <v>Turkey</v>
      </c>
      <c r="AB32" s="478" t="e" cm="1" vm="16">
        <f t="array" aca="1" ref="AB32" ca="1">Ver_flag_local</f>
        <v>#VALUE!</v>
      </c>
      <c r="AC32" s="193">
        <v>3</v>
      </c>
      <c r="AD32" s="194">
        <v>2</v>
      </c>
      <c r="AE32" s="483" t="e" cm="1" vm="13">
        <f t="array" aca="1" ref="AE32" ca="1">Ver_flag_visit</f>
        <v>#VALUE!</v>
      </c>
      <c r="AF32" s="195" t="str">
        <f ca="1">A29</f>
        <v>United States</v>
      </c>
      <c r="AG32" s="413">
        <f t="shared" si="107"/>
        <v>1</v>
      </c>
      <c r="AH32" s="196">
        <v>59</v>
      </c>
      <c r="AI32" s="19" t="str">
        <f t="shared" si="112"/>
        <v>3D</v>
      </c>
      <c r="AJ32" s="221">
        <v>3</v>
      </c>
      <c r="AK32" s="486" t="e" cm="1" vm="14">
        <f t="array" aca="1" ref="AK32" ca="1">Ver_flag_visit</f>
        <v>#VALUE!</v>
      </c>
      <c r="AL32" s="222" t="str">
        <f ca="1">IFERROR(INDEX($BD$6:$BD$53,MATCH(AI32,$BN$6:$BN$53,0)),"")</f>
        <v>Paraguay</v>
      </c>
      <c r="AM32" s="223">
        <f t="shared" ca="1" si="111"/>
        <v>4</v>
      </c>
      <c r="AN32" s="224">
        <f t="shared" ca="1" si="111"/>
        <v>3</v>
      </c>
      <c r="AO32" s="224">
        <f t="shared" ca="1" si="111"/>
        <v>1</v>
      </c>
      <c r="AP32" s="224">
        <f t="shared" ca="1" si="111"/>
        <v>1</v>
      </c>
      <c r="AQ32" s="224">
        <f t="shared" ca="1" si="111"/>
        <v>1</v>
      </c>
      <c r="AR32" s="224">
        <f t="shared" ca="1" si="111"/>
        <v>2</v>
      </c>
      <c r="AS32" s="224">
        <f t="shared" ca="1" si="111"/>
        <v>4</v>
      </c>
      <c r="AT32" s="225">
        <f t="shared" ca="1" si="111"/>
        <v>-2</v>
      </c>
      <c r="AU32" s="420">
        <f ca="1">INDEX($DL$6:$DL$53,MATCH(AI32,$DP$6:$DP$53,0))</f>
        <v>1</v>
      </c>
      <c r="AV32" s="217" t="str">
        <f ca="1">INDEX($BD$6:$BD$53,MATCH(AI32,$BM$6:$BM$53,0))</f>
        <v>Paraguay</v>
      </c>
      <c r="AW32" s="427"/>
      <c r="AX32" s="218"/>
      <c r="AY32" s="219" t="str">
        <f ca="1">+A31</f>
        <v>Australia</v>
      </c>
      <c r="AZ32" s="220"/>
      <c r="BA32" s="175"/>
      <c r="BB32" s="743"/>
      <c r="BC32" s="755" t="str">
        <f ca="1">+INDEX(T_Equipos[Grupo],MATCH(WORLDCUP!BD32,T_Equipos[NombreEquipo],0))</f>
        <v>G</v>
      </c>
      <c r="BD32" s="743" t="str">
        <f ca="1">+Equipos!B28</f>
        <v>Iran</v>
      </c>
      <c r="BE32" s="747">
        <f t="shared" ca="1" si="25"/>
        <v>3</v>
      </c>
      <c r="BF32" s="747">
        <f t="shared" ca="1" si="26"/>
        <v>3</v>
      </c>
      <c r="BG32" s="747">
        <f t="shared" ca="1" si="17"/>
        <v>0</v>
      </c>
      <c r="BH32" s="747">
        <f t="shared" ca="1" si="18"/>
        <v>3</v>
      </c>
      <c r="BI32" s="747">
        <f t="shared" ca="1" si="19"/>
        <v>0</v>
      </c>
      <c r="BJ32" s="747">
        <f t="shared" ca="1" si="20"/>
        <v>3</v>
      </c>
      <c r="BK32" s="747">
        <f t="shared" ca="1" si="21"/>
        <v>3</v>
      </c>
      <c r="BL32" s="747">
        <f t="shared" ca="1" si="27"/>
        <v>0</v>
      </c>
      <c r="BM32" s="747" t="str">
        <f t="shared" ca="1" si="22"/>
        <v>3G</v>
      </c>
      <c r="BN32" s="747" t="str">
        <f t="shared" ca="1" si="23"/>
        <v>3G</v>
      </c>
      <c r="BO32" s="756">
        <f t="shared" ca="1" si="28"/>
        <v>0</v>
      </c>
      <c r="BP32" s="756">
        <f ca="1">COUNTIFS($BO$6:$BO$53,"&gt;"&amp;BO32,$BC$6:$BC$53,INDEX(T_Equipos[Grupo],MATCH(BD32,T_Equipos[NombreEquipo],0)))+1</f>
        <v>1</v>
      </c>
      <c r="BQ32" s="756" t="str">
        <f ca="1">IF(COUNTIFS($BP$6:$BP$53,BP32,$BC$6:$BC$53,INDEX(T_Equipos[Grupo],MATCH(BD32,T_Equipos[NombreEquipo],0)))=1,"-","P."&amp;BP32&amp;" ("&amp;COUNTIFS($BP$6:$BP$53,BP32,$BC$6:$BC$53,INDEX(T_Equipos[Grupo],MATCH(BD32,T_Equipos[NombreEquipo],0)))&amp;")")</f>
        <v>P.1 (4)</v>
      </c>
      <c r="BR32" s="756">
        <f t="shared" ca="1" si="29"/>
        <v>3</v>
      </c>
      <c r="BS32" s="756">
        <f ca="1">BP32+COUNTIFS($BQ$6:$BQ$53,BQ32,$BR$6:BR$53,"&gt;"&amp;BR32,$BC$6:$BC$53,INDEX(T_Equipos[Grupo],MATCH(BD32,T_Equipos[NombreEquipo],0)))</f>
        <v>3</v>
      </c>
      <c r="BT32" s="756" t="str">
        <f ca="1">IF(COUNTIFS($BS$6:$BS$53,BS32,$BC$6:$BC$53,INDEX(T_Equipos[Grupo],MATCH(BD32,T_Equipos[NombreEquipo],0)))=1,"-","P."&amp;BS32&amp;" ("&amp;COUNTIFS($BS$6:$BS$53,BS32,$BC$6:$BC$53,INDEX(T_Equipos[Grupo],MATCH(BD32,T_Equipos[NombreEquipo],0)))&amp;")")</f>
        <v>-</v>
      </c>
      <c r="BU32" s="757" t="str">
        <f t="shared" ca="1" si="36"/>
        <v>-</v>
      </c>
      <c r="BV32" s="757" t="str">
        <f t="shared" ca="1" si="37"/>
        <v>-</v>
      </c>
      <c r="BW32" s="757" t="str">
        <f t="shared" ca="1" si="38"/>
        <v>-</v>
      </c>
      <c r="BX32" s="757" t="str">
        <f t="shared" ca="1" si="39"/>
        <v>-</v>
      </c>
      <c r="BY32" s="757">
        <f ca="1">BS32+COUNTIFS($BT$6:$BT$53,BT32,$BX$6:BX$53,"&gt;"&amp;BX32,$BC$6:$BC$53,INDEX(T_Equipos[Grupo],MATCH(BD32,T_Equipos[NombreEquipo],0)))</f>
        <v>3</v>
      </c>
      <c r="BZ32" s="756" t="str">
        <f ca="1">IF(COUNTIFS($BY$6:$BY$53,BY32,$BC$6:$BC$53,INDEX(T_Equipos[Grupo],MATCH(BD32,T_Equipos[NombreEquipo],0)))=1,"-","P."&amp;BY32&amp;" ("&amp;COUNTIFS($BY$6:$BY$53,BY32,$BC$6:$BC$53,INDEX(T_Equipos[Grupo],MATCH(BD32,T_Equipos[NombreEquipo],0)))&amp;")")</f>
        <v>-</v>
      </c>
      <c r="CA32" s="757" t="str">
        <f t="shared" ca="1" si="40"/>
        <v>-</v>
      </c>
      <c r="CB32" s="757" t="str">
        <f t="shared" ca="1" si="41"/>
        <v>-</v>
      </c>
      <c r="CC32" s="757" t="str">
        <f t="shared" ca="1" si="42"/>
        <v>-</v>
      </c>
      <c r="CD32" s="757">
        <f ca="1">BY32+COUNTIFS($BZ$6:$BZ$53,BZ32,$CC$6:CC$53,"&gt;"&amp;CC32,$BC$6:$BC$53,INDEX(T_Equipos[Grupo],MATCH(BD32,T_Equipos[NombreEquipo],0)))</f>
        <v>3</v>
      </c>
      <c r="CE32" s="756" t="str">
        <f ca="1">IF(COUNTIFS($CD$6:$CD$53,CD32,$BC$6:$BC$53,INDEX(T_Equipos[Grupo],MATCH(BD32,T_Equipos[NombreEquipo],0)))=1,"-","P."&amp;CD32&amp;" ("&amp;COUNTIFS($CD$6:$CD$53,CD32,$BC$6:$BC$53,INDEX(T_Equipos[Grupo],MATCH(BD32,T_Equipos[NombreEquipo],0)))&amp;")")</f>
        <v>-</v>
      </c>
      <c r="CF32" s="757" t="str">
        <f t="shared" ca="1" si="43"/>
        <v>-</v>
      </c>
      <c r="CG32" s="757">
        <f ca="1">CD32+COUNTIFS($CE$6:$CE$53,CE32,$CF$6:CF$53,"&gt;"&amp;CF32,$BC$6:$BC$53,INDEX(T_Equipos[Grupo],MATCH(BD32,T_Equipos[NombreEquipo],0)))</f>
        <v>3</v>
      </c>
      <c r="CH32" s="756" t="str">
        <f ca="1">IF(COUNTIFS($CG$6:$CG$53,CG32,$BC$6:$BC$53,INDEX(T_Equipos[Grupo],MATCH(BD32,T_Equipos[NombreEquipo],0)))=1,"-","P."&amp;CG32&amp;" ("&amp;COUNTIFS($CG$6:$CG$53,CG32,$BC$6:$BC$53,INDEX(T_Equipos[Grupo],MATCH(BD32,T_Equipos[NombreEquipo],0)))&amp;")")</f>
        <v>-</v>
      </c>
      <c r="CI32" s="757" t="str">
        <f t="shared" ca="1" si="44"/>
        <v>-</v>
      </c>
      <c r="CJ32" s="757" t="str">
        <f t="shared" ca="1" si="45"/>
        <v>-</v>
      </c>
      <c r="CK32" s="757" t="str">
        <f t="shared" ca="1" si="46"/>
        <v>-</v>
      </c>
      <c r="CL32" s="757" t="str">
        <f t="shared" ca="1" si="47"/>
        <v>-</v>
      </c>
      <c r="CM32" s="757">
        <f ca="1">CG32+COUNTIFS($CH$6:$CH$53,CH32,$CL$6:CL$53,"&gt;"&amp;CL32,$BC$6:$BC$53,INDEX(T_Equipos[Grupo],MATCH(BD32,T_Equipos[NombreEquipo],0)))</f>
        <v>3</v>
      </c>
      <c r="CN32" s="756" t="str">
        <f ca="1">IF(COUNTIFS($CM$6:$CM$53,CM32,$BC$6:$BC$53,INDEX(T_Equipos[Grupo],MATCH(BD32,T_Equipos[NombreEquipo],0)))=1,"-","P."&amp;CM32&amp;" ("&amp;COUNTIFS($CM$6:$CM$53,CM32,$BC$6:$BC$53,INDEX(T_Equipos[Grupo],MATCH(BD32,T_Equipos[NombreEquipo],0)))&amp;")")</f>
        <v>-</v>
      </c>
      <c r="CO32" s="757" t="str">
        <f t="shared" ca="1" si="48"/>
        <v>-</v>
      </c>
      <c r="CP32" s="757" t="str">
        <f t="shared" ca="1" si="49"/>
        <v>-</v>
      </c>
      <c r="CQ32" s="757" t="str">
        <f t="shared" ca="1" si="50"/>
        <v>-</v>
      </c>
      <c r="CR32" s="757">
        <f ca="1">CM32+COUNTIFS($CN$6:$CN$53,CN32,$CQ$6:CQ$53,"&gt;"&amp;CQ32,$BC$6:$BC$53,INDEX(T_Equipos[Grupo],MATCH(BD32,T_Equipos[NombreEquipo],0)))</f>
        <v>3</v>
      </c>
      <c r="CS32" s="756" t="str">
        <f ca="1">IF(COUNTIFS($CR$6:$CR$53,CR32,$BC$6:$BC$53,INDEX(T_Equipos[Grupo],MATCH(BD32,T_Equipos[NombreEquipo],0)))=1,"-","P."&amp;CR32&amp;" ("&amp;COUNTIFS($CR$6:$CR$53,CR32,$BC$6:$BC$53,INDEX(T_Equipos[Grupo],MATCH(BD32,T_Equipos[NombreEquipo],0)))&amp;")")</f>
        <v>-</v>
      </c>
      <c r="CT32" s="757" t="str">
        <f t="shared" ca="1" si="51"/>
        <v>-</v>
      </c>
      <c r="CU32" s="757">
        <f ca="1">CR32+COUNTIFS($CS$6:$CS$53,CS32,$CT$6:CT$53,"&gt;"&amp;CT32,$BC$6:$BC$53,INDEX(T_Equipos[Grupo],MATCH(BD32,T_Equipos[NombreEquipo],0)))</f>
        <v>3</v>
      </c>
      <c r="CV32" s="756" t="str">
        <f ca="1">IF(COUNTIFS($CU$6:$CU$53,CU32,$BC$6:$BC$53,INDEX(T_Equipos[Grupo],MATCH(BD32,T_Equipos[NombreEquipo],0)))=1,"-","P."&amp;CU32&amp;" ("&amp;COUNTIFS($CU$6:$CU$53,CU32,$BC$6:$BC$53,INDEX(T_Equipos[Grupo],MATCH(BD32,T_Equipos[NombreEquipo],0)))&amp;")")</f>
        <v>-</v>
      </c>
      <c r="CW32" s="756" t="str">
        <f t="shared" ca="1" si="30"/>
        <v>-</v>
      </c>
      <c r="CX32" s="756">
        <f ca="1">CU32+COUNTIFS($CV$6:$CV$53,CV32,$CW$6:CW$53,"&gt;"&amp;CW32,$BC$6:$BC$53,INDEX(T_Equipos[Grupo],MATCH(BD32,T_Equipos[NombreEquipo],0)))</f>
        <v>3</v>
      </c>
      <c r="CY32" s="756" t="str">
        <f ca="1">IF(COUNTIFS($CX$6:$CX$53,CX32,$BC$6:$BC$53,INDEX(T_Equipos[Grupo],MATCH(BD32,T_Equipos[NombreEquipo],0)))=1,"-","P."&amp;CX32&amp;" ("&amp;COUNTIFS($CX$6:$CX$53,CX32,$BC$6:$BC$53,INDEX(T_Equipos[Grupo],MATCH(BD32,T_Equipos[NombreEquipo],0)))&amp;")")</f>
        <v>-</v>
      </c>
      <c r="CZ32" s="756" t="str">
        <f t="shared" ca="1" si="31"/>
        <v>-</v>
      </c>
      <c r="DA32" s="757">
        <f ca="1">CX32+COUNTIFS($CY$6:$CY$53,CY32,$CZ$6:CZ$53,"&gt;"&amp;CZ32,$BC$6:$BC$53,INDEX(T_Equipos[Grupo],MATCH(BD32,T_Equipos[NombreEquipo],0)))</f>
        <v>3</v>
      </c>
      <c r="DB32" s="756" t="str">
        <f ca="1">IF(COUNTIFS($DA$6:$DA$53,DA32,$BC$6:$BC$53,INDEX(T_Equipos[Grupo],MATCH(BD32,T_Equipos[NombreEquipo],0)))=1,"-","P."&amp;DA32&amp;" ("&amp;COUNTIFS($DA$6:$DA$53,DA32,$BC$6:$BC$53,INDEX(T_Equipos[Grupo],MATCH(BD32,T_Equipos[NombreEquipo],0)))&amp;")")</f>
        <v>-</v>
      </c>
      <c r="DC32" s="755" t="str">
        <f ca="1">IF(DB32="-","-",COUNTIFS(T_Equipos[Rank],"&lt;"&amp;INDEX(T_Equipos[Rank],MATCH(BD32,T_Equipos[NombreEquipo],0)),$BC$6:$BC$53,INDEX(T_Equipos[Grupo],MATCH(BD32,T_Equipos[NombreEquipo],0)))+1)</f>
        <v>-</v>
      </c>
      <c r="DD32" s="755">
        <f ca="1">DA32+COUNTIFS($DB$6:$DB$53,DB32,$DC$6:DC$53,"&lt;"&amp;DC32,$BC$6:$BC$53,INDEX(T_Equipos[Grupo],MATCH(BD32,T_Equipos[NombreEquipo],0)))</f>
        <v>3</v>
      </c>
      <c r="DE32" s="755"/>
      <c r="DF32" s="755">
        <f t="shared" ca="1" si="52"/>
        <v>3</v>
      </c>
      <c r="DG32" s="755" t="str">
        <f ca="1">IF(DB32="-","-",COUNTIFS(DF$6:DF$53,"&lt;"&amp;DF32,$BC$6:$BC$53,INDEX(T_Equipos[Grupo],MATCH(BD32,T_Equipos[NombreEquipo],0))))</f>
        <v>-</v>
      </c>
      <c r="DH32" s="755">
        <f ca="1">DA32+COUNTIFS(DB$6:DB$53,DB32,DG$6:DG$53,"&lt;"&amp;DG32,$BC$6:$BC$53,INDEX(T_Equipos[Grupo],MATCH(BD32,T_Equipos[NombreEquipo],0)))</f>
        <v>3</v>
      </c>
      <c r="DI32" s="743"/>
      <c r="DJ32" s="743">
        <f t="shared" ca="1" si="53"/>
        <v>3</v>
      </c>
      <c r="DK32" s="743">
        <f t="shared" ca="1" si="24"/>
        <v>12</v>
      </c>
      <c r="DL32" s="743">
        <f t="shared" ca="1" si="33"/>
        <v>1</v>
      </c>
      <c r="DM32" s="737" t="str">
        <f t="shared" ca="1" si="34"/>
        <v>3.1</v>
      </c>
      <c r="DN32" s="743" cm="1">
        <f t="array" aca="1" ref="DN32" ca="1">OFFSET(Horarios!$P$3,DJ32-1,0,DL32,1)</f>
        <v>3</v>
      </c>
      <c r="DO32" s="743"/>
      <c r="DP32" s="743" t="s">
        <v>435</v>
      </c>
      <c r="DQ32" s="743" t="str">
        <f t="shared" ca="1" si="35"/>
        <v>Iran</v>
      </c>
      <c r="DR32" s="743"/>
      <c r="DS32" s="743"/>
      <c r="DT32" s="743" t="str">
        <f t="shared" ca="1" si="15"/>
        <v>Turkey-United States</v>
      </c>
      <c r="DU32" s="743"/>
      <c r="DV32" s="743"/>
      <c r="DW32" s="8"/>
    </row>
    <row r="33" spans="1:127" ht="16.899999999999999" customHeight="1" thickBot="1">
      <c r="A33" s="738"/>
      <c r="B33" s="738"/>
      <c r="C33" s="738"/>
      <c r="D33" s="743" t="str">
        <f t="shared" si="94"/>
        <v>Empate</v>
      </c>
      <c r="E33" s="743" t="str">
        <f t="shared" ca="1" si="95"/>
        <v>P.2 (2)</v>
      </c>
      <c r="F33" s="743" t="str">
        <f t="shared" ca="1" si="96"/>
        <v>P.2 (2)</v>
      </c>
      <c r="G33" s="743"/>
      <c r="H33" s="743" t="str">
        <f t="shared" ca="1" si="97"/>
        <v>P.2 (2)</v>
      </c>
      <c r="I33" s="743" t="str">
        <f t="shared" ca="1" si="98"/>
        <v>P.2 (2)</v>
      </c>
      <c r="J33" s="743"/>
      <c r="K33" s="743" t="str">
        <f t="shared" ca="1" si="99"/>
        <v>P.2 (2)</v>
      </c>
      <c r="L33" s="743" t="str">
        <f t="shared" ca="1" si="100"/>
        <v>P.2 (2)</v>
      </c>
      <c r="M33" s="743"/>
      <c r="N33" s="743" t="str">
        <f t="shared" ca="1" si="101"/>
        <v>P.2 (2)</v>
      </c>
      <c r="O33" s="743" t="str">
        <f t="shared" ca="1" si="102"/>
        <v>P.2 (2)</v>
      </c>
      <c r="P33" s="743"/>
      <c r="Q33" s="743" t="str">
        <f t="shared" ca="1" si="103"/>
        <v>P.2 (2)</v>
      </c>
      <c r="R33" s="743" t="str">
        <f t="shared" ca="1" si="104"/>
        <v>P.2 (2)</v>
      </c>
      <c r="S33" s="743"/>
      <c r="T33" s="743" t="str">
        <f t="shared" ca="1" si="105"/>
        <v>P.2 (2)</v>
      </c>
      <c r="U33" s="743" t="str">
        <f t="shared" ca="1" si="106"/>
        <v>P.2 (2)</v>
      </c>
      <c r="V33" s="172"/>
      <c r="W33" s="814"/>
      <c r="X33" s="228">
        <f ca="1">Horarios!C33</f>
        <v>46199.166666666664</v>
      </c>
      <c r="Y33" s="229">
        <f ca="1">Horarios!C33</f>
        <v>46199.166666666664</v>
      </c>
      <c r="Z33" s="230" t="str">
        <f>$Z$8</f>
        <v>R3</v>
      </c>
      <c r="AA33" s="231" t="str">
        <f ca="1">A30</f>
        <v>Paraguay</v>
      </c>
      <c r="AB33" s="479" t="e" cm="1" vm="14">
        <f t="array" aca="1" ref="AB33" ca="1">Ver_flag_local</f>
        <v>#VALUE!</v>
      </c>
      <c r="AC33" s="232">
        <v>0</v>
      </c>
      <c r="AD33" s="233">
        <v>0</v>
      </c>
      <c r="AE33" s="484" t="e" cm="1" vm="15">
        <f t="array" aca="1" ref="AE33" ca="1">Ver_flag_visit</f>
        <v>#VALUE!</v>
      </c>
      <c r="AF33" s="234" t="str">
        <f ca="1">A31</f>
        <v>Australia</v>
      </c>
      <c r="AG33" s="413">
        <f t="shared" si="107"/>
        <v>1</v>
      </c>
      <c r="AH33" s="196">
        <v>60</v>
      </c>
      <c r="AI33" s="19" t="str">
        <f t="shared" si="112"/>
        <v>4D</v>
      </c>
      <c r="AJ33" s="235">
        <v>4</v>
      </c>
      <c r="AK33" s="487" t="e" cm="1" vm="16">
        <f t="array" aca="1" ref="AK33" ca="1">Ver_flag_visit</f>
        <v>#VALUE!</v>
      </c>
      <c r="AL33" s="236" t="str">
        <f ca="1">IFERROR(INDEX($BD$6:$BD$53,MATCH(AI33,$BN$6:$BN$53,0)),"")</f>
        <v>Turkey</v>
      </c>
      <c r="AM33" s="237">
        <f t="shared" ca="1" si="111"/>
        <v>3</v>
      </c>
      <c r="AN33" s="238">
        <f t="shared" ca="1" si="111"/>
        <v>3</v>
      </c>
      <c r="AO33" s="238">
        <f t="shared" ca="1" si="111"/>
        <v>1</v>
      </c>
      <c r="AP33" s="238">
        <f t="shared" ca="1" si="111"/>
        <v>0</v>
      </c>
      <c r="AQ33" s="238">
        <f t="shared" ca="1" si="111"/>
        <v>2</v>
      </c>
      <c r="AR33" s="238">
        <f t="shared" ca="1" si="111"/>
        <v>3</v>
      </c>
      <c r="AS33" s="238">
        <f t="shared" ca="1" si="111"/>
        <v>5</v>
      </c>
      <c r="AT33" s="239">
        <f t="shared" ca="1" si="111"/>
        <v>-2</v>
      </c>
      <c r="AU33" s="420">
        <f ca="1">INDEX($DL$6:$DL$53,MATCH(AI33,$DP$6:$DP$53,0))</f>
        <v>1</v>
      </c>
      <c r="AV33" s="217" t="str">
        <f ca="1">INDEX($BD$6:$BD$53,MATCH(AI33,$BM$6:$BM$53,0))</f>
        <v>Turkey</v>
      </c>
      <c r="AW33" s="427"/>
      <c r="AX33" s="218"/>
      <c r="AY33" s="240" t="str">
        <f ca="1">+A32</f>
        <v>Turkey</v>
      </c>
      <c r="AZ33" s="241"/>
      <c r="BA33" s="175"/>
      <c r="BB33" s="743"/>
      <c r="BC33" s="755" t="str">
        <f ca="1">+INDEX(T_Equipos[Grupo],MATCH(WORLDCUP!BD33,T_Equipos[NombreEquipo],0))</f>
        <v>G</v>
      </c>
      <c r="BD33" s="743" t="str">
        <f ca="1">+Equipos!B29</f>
        <v>New Zealand</v>
      </c>
      <c r="BE33" s="747">
        <f t="shared" ca="1" si="25"/>
        <v>1</v>
      </c>
      <c r="BF33" s="747">
        <f t="shared" ca="1" si="26"/>
        <v>3</v>
      </c>
      <c r="BG33" s="747">
        <f t="shared" ca="1" si="17"/>
        <v>0</v>
      </c>
      <c r="BH33" s="747">
        <f t="shared" ca="1" si="18"/>
        <v>1</v>
      </c>
      <c r="BI33" s="747">
        <f t="shared" ca="1" si="19"/>
        <v>2</v>
      </c>
      <c r="BJ33" s="747">
        <f t="shared" ca="1" si="20"/>
        <v>4</v>
      </c>
      <c r="BK33" s="747">
        <f t="shared" ca="1" si="21"/>
        <v>10</v>
      </c>
      <c r="BL33" s="747">
        <f t="shared" ca="1" si="27"/>
        <v>-6</v>
      </c>
      <c r="BM33" s="747" t="str">
        <f t="shared" ca="1" si="22"/>
        <v>4G</v>
      </c>
      <c r="BN33" s="747" t="str">
        <f t="shared" ca="1" si="23"/>
        <v>4G</v>
      </c>
      <c r="BO33" s="756">
        <f t="shared" ca="1" si="28"/>
        <v>0</v>
      </c>
      <c r="BP33" s="756">
        <f ca="1">COUNTIFS($BO$6:$BO$53,"&gt;"&amp;BO33,$BC$6:$BC$53,INDEX(T_Equipos[Grupo],MATCH(BD33,T_Equipos[NombreEquipo],0)))+1</f>
        <v>1</v>
      </c>
      <c r="BQ33" s="756" t="str">
        <f ca="1">IF(COUNTIFS($BP$6:$BP$53,BP33,$BC$6:$BC$53,INDEX(T_Equipos[Grupo],MATCH(BD33,T_Equipos[NombreEquipo],0)))=1,"-","P."&amp;BP33&amp;" ("&amp;COUNTIFS($BP$6:$BP$53,BP33,$BC$6:$BC$53,INDEX(T_Equipos[Grupo],MATCH(BD33,T_Equipos[NombreEquipo],0)))&amp;")")</f>
        <v>P.1 (4)</v>
      </c>
      <c r="BR33" s="756">
        <f t="shared" ca="1" si="29"/>
        <v>1</v>
      </c>
      <c r="BS33" s="756">
        <f ca="1">BP33+COUNTIFS($BQ$6:$BQ$53,BQ33,$BR$6:BR$53,"&gt;"&amp;BR33,$BC$6:$BC$53,INDEX(T_Equipos[Grupo],MATCH(BD33,T_Equipos[NombreEquipo],0)))</f>
        <v>4</v>
      </c>
      <c r="BT33" s="756" t="str">
        <f ca="1">IF(COUNTIFS($BS$6:$BS$53,BS33,$BC$6:$BC$53,INDEX(T_Equipos[Grupo],MATCH(BD33,T_Equipos[NombreEquipo],0)))=1,"-","P."&amp;BS33&amp;" ("&amp;COUNTIFS($BS$6:$BS$53,BS33,$BC$6:$BC$53,INDEX(T_Equipos[Grupo],MATCH(BD33,T_Equipos[NombreEquipo],0)))&amp;")")</f>
        <v>-</v>
      </c>
      <c r="BU33" s="757" t="str">
        <f t="shared" ca="1" si="36"/>
        <v>-</v>
      </c>
      <c r="BV33" s="757" t="str">
        <f t="shared" ca="1" si="37"/>
        <v>-</v>
      </c>
      <c r="BW33" s="757" t="str">
        <f t="shared" ca="1" si="38"/>
        <v>-</v>
      </c>
      <c r="BX33" s="757" t="str">
        <f t="shared" ca="1" si="39"/>
        <v>-</v>
      </c>
      <c r="BY33" s="757">
        <f ca="1">BS33+COUNTIFS($BT$6:$BT$53,BT33,$BX$6:BX$53,"&gt;"&amp;BX33,$BC$6:$BC$53,INDEX(T_Equipos[Grupo],MATCH(BD33,T_Equipos[NombreEquipo],0)))</f>
        <v>4</v>
      </c>
      <c r="BZ33" s="756" t="str">
        <f ca="1">IF(COUNTIFS($BY$6:$BY$53,BY33,$BC$6:$BC$53,INDEX(T_Equipos[Grupo],MATCH(BD33,T_Equipos[NombreEquipo],0)))=1,"-","P."&amp;BY33&amp;" ("&amp;COUNTIFS($BY$6:$BY$53,BY33,$BC$6:$BC$53,INDEX(T_Equipos[Grupo],MATCH(BD33,T_Equipos[NombreEquipo],0)))&amp;")")</f>
        <v>-</v>
      </c>
      <c r="CA33" s="757" t="str">
        <f t="shared" ca="1" si="40"/>
        <v>-</v>
      </c>
      <c r="CB33" s="757" t="str">
        <f t="shared" ca="1" si="41"/>
        <v>-</v>
      </c>
      <c r="CC33" s="757" t="str">
        <f t="shared" ca="1" si="42"/>
        <v>-</v>
      </c>
      <c r="CD33" s="757">
        <f ca="1">BY33+COUNTIFS($BZ$6:$BZ$53,BZ33,$CC$6:CC$53,"&gt;"&amp;CC33,$BC$6:$BC$53,INDEX(T_Equipos[Grupo],MATCH(BD33,T_Equipos[NombreEquipo],0)))</f>
        <v>4</v>
      </c>
      <c r="CE33" s="756" t="str">
        <f ca="1">IF(COUNTIFS($CD$6:$CD$53,CD33,$BC$6:$BC$53,INDEX(T_Equipos[Grupo],MATCH(BD33,T_Equipos[NombreEquipo],0)))=1,"-","P."&amp;CD33&amp;" ("&amp;COUNTIFS($CD$6:$CD$53,CD33,$BC$6:$BC$53,INDEX(T_Equipos[Grupo],MATCH(BD33,T_Equipos[NombreEquipo],0)))&amp;")")</f>
        <v>-</v>
      </c>
      <c r="CF33" s="757" t="str">
        <f t="shared" ca="1" si="43"/>
        <v>-</v>
      </c>
      <c r="CG33" s="757">
        <f ca="1">CD33+COUNTIFS($CE$6:$CE$53,CE33,$CF$6:CF$53,"&gt;"&amp;CF33,$BC$6:$BC$53,INDEX(T_Equipos[Grupo],MATCH(BD33,T_Equipos[NombreEquipo],0)))</f>
        <v>4</v>
      </c>
      <c r="CH33" s="756" t="str">
        <f ca="1">IF(COUNTIFS($CG$6:$CG$53,CG33,$BC$6:$BC$53,INDEX(T_Equipos[Grupo],MATCH(BD33,T_Equipos[NombreEquipo],0)))=1,"-","P."&amp;CG33&amp;" ("&amp;COUNTIFS($CG$6:$CG$53,CG33,$BC$6:$BC$53,INDEX(T_Equipos[Grupo],MATCH(BD33,T_Equipos[NombreEquipo],0)))&amp;")")</f>
        <v>-</v>
      </c>
      <c r="CI33" s="757" t="str">
        <f t="shared" ca="1" si="44"/>
        <v>-</v>
      </c>
      <c r="CJ33" s="757" t="str">
        <f t="shared" ca="1" si="45"/>
        <v>-</v>
      </c>
      <c r="CK33" s="757" t="str">
        <f t="shared" ca="1" si="46"/>
        <v>-</v>
      </c>
      <c r="CL33" s="757" t="str">
        <f t="shared" ca="1" si="47"/>
        <v>-</v>
      </c>
      <c r="CM33" s="757">
        <f ca="1">CG33+COUNTIFS($CH$6:$CH$53,CH33,$CL$6:CL$53,"&gt;"&amp;CL33,$BC$6:$BC$53,INDEX(T_Equipos[Grupo],MATCH(BD33,T_Equipos[NombreEquipo],0)))</f>
        <v>4</v>
      </c>
      <c r="CN33" s="756" t="str">
        <f ca="1">IF(COUNTIFS($CM$6:$CM$53,CM33,$BC$6:$BC$53,INDEX(T_Equipos[Grupo],MATCH(BD33,T_Equipos[NombreEquipo],0)))=1,"-","P."&amp;CM33&amp;" ("&amp;COUNTIFS($CM$6:$CM$53,CM33,$BC$6:$BC$53,INDEX(T_Equipos[Grupo],MATCH(BD33,T_Equipos[NombreEquipo],0)))&amp;")")</f>
        <v>-</v>
      </c>
      <c r="CO33" s="757" t="str">
        <f t="shared" ca="1" si="48"/>
        <v>-</v>
      </c>
      <c r="CP33" s="757" t="str">
        <f t="shared" ca="1" si="49"/>
        <v>-</v>
      </c>
      <c r="CQ33" s="757" t="str">
        <f t="shared" ca="1" si="50"/>
        <v>-</v>
      </c>
      <c r="CR33" s="757">
        <f ca="1">CM33+COUNTIFS($CN$6:$CN$53,CN33,$CQ$6:CQ$53,"&gt;"&amp;CQ33,$BC$6:$BC$53,INDEX(T_Equipos[Grupo],MATCH(BD33,T_Equipos[NombreEquipo],0)))</f>
        <v>4</v>
      </c>
      <c r="CS33" s="756" t="str">
        <f ca="1">IF(COUNTIFS($CR$6:$CR$53,CR33,$BC$6:$BC$53,INDEX(T_Equipos[Grupo],MATCH(BD33,T_Equipos[NombreEquipo],0)))=1,"-","P."&amp;CR33&amp;" ("&amp;COUNTIFS($CR$6:$CR$53,CR33,$BC$6:$BC$53,INDEX(T_Equipos[Grupo],MATCH(BD33,T_Equipos[NombreEquipo],0)))&amp;")")</f>
        <v>-</v>
      </c>
      <c r="CT33" s="757" t="str">
        <f t="shared" ca="1" si="51"/>
        <v>-</v>
      </c>
      <c r="CU33" s="757">
        <f ca="1">CR33+COUNTIFS($CS$6:$CS$53,CS33,$CT$6:CT$53,"&gt;"&amp;CT33,$BC$6:$BC$53,INDEX(T_Equipos[Grupo],MATCH(BD33,T_Equipos[NombreEquipo],0)))</f>
        <v>4</v>
      </c>
      <c r="CV33" s="756" t="str">
        <f ca="1">IF(COUNTIFS($CU$6:$CU$53,CU33,$BC$6:$BC$53,INDEX(T_Equipos[Grupo],MATCH(BD33,T_Equipos[NombreEquipo],0)))=1,"-","P."&amp;CU33&amp;" ("&amp;COUNTIFS($CU$6:$CU$53,CU33,$BC$6:$BC$53,INDEX(T_Equipos[Grupo],MATCH(BD33,T_Equipos[NombreEquipo],0)))&amp;")")</f>
        <v>-</v>
      </c>
      <c r="CW33" s="756" t="str">
        <f t="shared" ca="1" si="30"/>
        <v>-</v>
      </c>
      <c r="CX33" s="756">
        <f ca="1">CU33+COUNTIFS($CV$6:$CV$53,CV33,$CW$6:CW$53,"&gt;"&amp;CW33,$BC$6:$BC$53,INDEX(T_Equipos[Grupo],MATCH(BD33,T_Equipos[NombreEquipo],0)))</f>
        <v>4</v>
      </c>
      <c r="CY33" s="756" t="str">
        <f ca="1">IF(COUNTIFS($CX$6:$CX$53,CX33,$BC$6:$BC$53,INDEX(T_Equipos[Grupo],MATCH(BD33,T_Equipos[NombreEquipo],0)))=1,"-","P."&amp;CX33&amp;" ("&amp;COUNTIFS($CX$6:$CX$53,CX33,$BC$6:$BC$53,INDEX(T_Equipos[Grupo],MATCH(BD33,T_Equipos[NombreEquipo],0)))&amp;")")</f>
        <v>-</v>
      </c>
      <c r="CZ33" s="756" t="str">
        <f t="shared" ca="1" si="31"/>
        <v>-</v>
      </c>
      <c r="DA33" s="757">
        <f ca="1">CX33+COUNTIFS($CY$6:$CY$53,CY33,$CZ$6:CZ$53,"&gt;"&amp;CZ33,$BC$6:$BC$53,INDEX(T_Equipos[Grupo],MATCH(BD33,T_Equipos[NombreEquipo],0)))</f>
        <v>4</v>
      </c>
      <c r="DB33" s="756" t="str">
        <f ca="1">IF(COUNTIFS($DA$6:$DA$53,DA33,$BC$6:$BC$53,INDEX(T_Equipos[Grupo],MATCH(BD33,T_Equipos[NombreEquipo],0)))=1,"-","P."&amp;DA33&amp;" ("&amp;COUNTIFS($DA$6:$DA$53,DA33,$BC$6:$BC$53,INDEX(T_Equipos[Grupo],MATCH(BD33,T_Equipos[NombreEquipo],0)))&amp;")")</f>
        <v>-</v>
      </c>
      <c r="DC33" s="755" t="str">
        <f ca="1">IF(DB33="-","-",COUNTIFS(T_Equipos[Rank],"&lt;"&amp;INDEX(T_Equipos[Rank],MATCH(BD33,T_Equipos[NombreEquipo],0)),$BC$6:$BC$53,INDEX(T_Equipos[Grupo],MATCH(BD33,T_Equipos[NombreEquipo],0)))+1)</f>
        <v>-</v>
      </c>
      <c r="DD33" s="755">
        <f ca="1">DA33+COUNTIFS($DB$6:$DB$53,DB33,$DC$6:DC$53,"&lt;"&amp;DC33,$BC$6:$BC$53,INDEX(T_Equipos[Grupo],MATCH(BD33,T_Equipos[NombreEquipo],0)))</f>
        <v>4</v>
      </c>
      <c r="DE33" s="755"/>
      <c r="DF33" s="755">
        <f t="shared" ca="1" si="52"/>
        <v>4</v>
      </c>
      <c r="DG33" s="755" t="str">
        <f ca="1">IF(DB33="-","-",COUNTIFS(DF$6:DF$53,"&lt;"&amp;DF33,$BC$6:$BC$53,INDEX(T_Equipos[Grupo],MATCH(BD33,T_Equipos[NombreEquipo],0))))</f>
        <v>-</v>
      </c>
      <c r="DH33" s="755">
        <f ca="1">DA33+COUNTIFS(DB$6:DB$53,DB33,DG$6:DG$53,"&lt;"&amp;DG33,$BC$6:$BC$53,INDEX(T_Equipos[Grupo],MATCH(BD33,T_Equipos[NombreEquipo],0)))</f>
        <v>4</v>
      </c>
      <c r="DI33" s="743"/>
      <c r="DJ33" s="743">
        <f t="shared" ca="1" si="53"/>
        <v>4</v>
      </c>
      <c r="DK33" s="743">
        <f t="shared" ca="1" si="24"/>
        <v>12</v>
      </c>
      <c r="DL33" s="743">
        <f t="shared" ca="1" si="33"/>
        <v>1</v>
      </c>
      <c r="DM33" s="737" t="str">
        <f t="shared" ca="1" si="34"/>
        <v>4.1</v>
      </c>
      <c r="DN33" s="743" cm="1">
        <f t="array" aca="1" ref="DN33" ca="1">OFFSET(Horarios!$P$3,DJ33-1,0,DL33,1)</f>
        <v>4</v>
      </c>
      <c r="DO33" s="743"/>
      <c r="DP33" s="743" t="s">
        <v>669</v>
      </c>
      <c r="DQ33" s="743" t="str">
        <f t="shared" ca="1" si="35"/>
        <v>New Zealand</v>
      </c>
      <c r="DR33" s="743"/>
      <c r="DS33" s="743"/>
      <c r="DT33" s="743" t="str">
        <f t="shared" ca="1" si="15"/>
        <v>Paraguay-Australia</v>
      </c>
      <c r="DU33" s="743"/>
      <c r="DV33" s="743"/>
      <c r="DW33" s="8"/>
    </row>
    <row r="34" spans="1:127" ht="15.75" thickBot="1">
      <c r="A34" s="738"/>
      <c r="B34" s="738"/>
      <c r="C34" s="738"/>
      <c r="D34" s="743"/>
      <c r="E34" s="743"/>
      <c r="F34" s="743"/>
      <c r="G34" s="743"/>
      <c r="H34" s="743"/>
      <c r="I34" s="743"/>
      <c r="J34" s="743"/>
      <c r="K34" s="743"/>
      <c r="L34" s="743"/>
      <c r="M34" s="743"/>
      <c r="N34" s="743"/>
      <c r="O34" s="743"/>
      <c r="P34" s="743"/>
      <c r="Q34" s="743"/>
      <c r="R34" s="743"/>
      <c r="S34" s="743"/>
      <c r="T34" s="743"/>
      <c r="U34" s="743"/>
      <c r="V34" s="172"/>
      <c r="W34" s="242"/>
      <c r="X34" s="243"/>
      <c r="Y34" s="242"/>
      <c r="Z34" s="244"/>
      <c r="AA34" s="245"/>
      <c r="AB34" s="482"/>
      <c r="AC34" s="247"/>
      <c r="AD34" s="247"/>
      <c r="AE34" s="482"/>
      <c r="AF34" s="248"/>
      <c r="AG34" s="415"/>
      <c r="AH34" s="196"/>
      <c r="AI34" s="171"/>
      <c r="AJ34" s="249"/>
      <c r="AK34" s="250"/>
      <c r="AL34" s="186"/>
      <c r="AM34" s="251"/>
      <c r="AN34" s="249"/>
      <c r="AO34" s="249"/>
      <c r="AP34" s="249"/>
      <c r="AQ34" s="249"/>
      <c r="AR34" s="249"/>
      <c r="AS34" s="249"/>
      <c r="AT34" s="249"/>
      <c r="AU34" s="420"/>
      <c r="AV34" s="216"/>
      <c r="AW34" s="428"/>
      <c r="AX34" s="218"/>
      <c r="AY34" s="242"/>
      <c r="AZ34" s="243"/>
      <c r="BA34" s="175"/>
      <c r="BB34" s="743"/>
      <c r="BC34" s="755" t="str">
        <f ca="1">+INDEX(T_Equipos[Grupo],MATCH(WORLDCUP!BD34,T_Equipos[NombreEquipo],0))</f>
        <v>H</v>
      </c>
      <c r="BD34" s="743" t="str">
        <f ca="1">+Equipos!B30</f>
        <v>Spain</v>
      </c>
      <c r="BE34" s="747">
        <f t="shared" ca="1" si="25"/>
        <v>7</v>
      </c>
      <c r="BF34" s="747">
        <f t="shared" ca="1" si="26"/>
        <v>3</v>
      </c>
      <c r="BG34" s="747">
        <f t="shared" ca="1" si="17"/>
        <v>2</v>
      </c>
      <c r="BH34" s="747">
        <f t="shared" ca="1" si="18"/>
        <v>1</v>
      </c>
      <c r="BI34" s="747">
        <f t="shared" ca="1" si="19"/>
        <v>0</v>
      </c>
      <c r="BJ34" s="747">
        <f t="shared" ca="1" si="20"/>
        <v>5</v>
      </c>
      <c r="BK34" s="747">
        <f t="shared" ca="1" si="21"/>
        <v>0</v>
      </c>
      <c r="BL34" s="747">
        <f t="shared" ca="1" si="27"/>
        <v>5</v>
      </c>
      <c r="BM34" s="747" t="str">
        <f t="shared" ca="1" si="22"/>
        <v>1H</v>
      </c>
      <c r="BN34" s="747" t="str">
        <f t="shared" ca="1" si="23"/>
        <v>1H</v>
      </c>
      <c r="BO34" s="757">
        <f t="shared" ca="1" si="28"/>
        <v>0</v>
      </c>
      <c r="BP34" s="756">
        <f ca="1">COUNTIFS($BO$6:$BO$53,"&gt;"&amp;BO34,$BC$6:$BC$53,INDEX(T_Equipos[Grupo],MATCH(BD34,T_Equipos[NombreEquipo],0)))+1</f>
        <v>1</v>
      </c>
      <c r="BQ34" s="756" t="str">
        <f ca="1">IF(COUNTIFS($BP$6:$BP$53,BP34,$BC$6:$BC$53,INDEX(T_Equipos[Grupo],MATCH(BD34,T_Equipos[NombreEquipo],0)))=1,"-","P."&amp;BP34&amp;" ("&amp;COUNTIFS($BP$6:$BP$53,BP34,$BC$6:$BC$53,INDEX(T_Equipos[Grupo],MATCH(BD34,T_Equipos[NombreEquipo],0)))&amp;")")</f>
        <v>P.1 (4)</v>
      </c>
      <c r="BR34" s="757">
        <f t="shared" ca="1" si="29"/>
        <v>7</v>
      </c>
      <c r="BS34" s="756">
        <f ca="1">BP34+COUNTIFS($BQ$6:$BQ$53,BQ34,$BR$6:BR$53,"&gt;"&amp;BR34,$BC$6:$BC$53,INDEX(T_Equipos[Grupo],MATCH(BD34,T_Equipos[NombreEquipo],0)))</f>
        <v>1</v>
      </c>
      <c r="BT34" s="756" t="str">
        <f ca="1">IF(COUNTIFS($BS$6:$BS$53,BS34,$BC$6:$BC$53,INDEX(T_Equipos[Grupo],MATCH(BD34,T_Equipos[NombreEquipo],0)))=1,"-","P."&amp;BS34&amp;" ("&amp;COUNTIFS($BS$6:$BS$53,BS34,$BC$6:$BC$53,INDEX(T_Equipos[Grupo],MATCH(BD34,T_Equipos[NombreEquipo],0)))&amp;")")</f>
        <v>-</v>
      </c>
      <c r="BU34" s="757" t="str">
        <f t="shared" ca="1" si="36"/>
        <v>-</v>
      </c>
      <c r="BV34" s="757" t="str">
        <f t="shared" ca="1" si="37"/>
        <v>-</v>
      </c>
      <c r="BW34" s="757" t="str">
        <f t="shared" ca="1" si="38"/>
        <v>-</v>
      </c>
      <c r="BX34" s="757" t="str">
        <f t="shared" ca="1" si="39"/>
        <v>-</v>
      </c>
      <c r="BY34" s="757">
        <f ca="1">BS34+COUNTIFS($BT$6:$BT$53,BT34,$BX$6:BX$53,"&gt;"&amp;BX34,$BC$6:$BC$53,INDEX(T_Equipos[Grupo],MATCH(BD34,T_Equipos[NombreEquipo],0)))</f>
        <v>1</v>
      </c>
      <c r="BZ34" s="756" t="str">
        <f ca="1">IF(COUNTIFS($BY$6:$BY$53,BY34,$BC$6:$BC$53,INDEX(T_Equipos[Grupo],MATCH(BD34,T_Equipos[NombreEquipo],0)))=1,"-","P."&amp;BY34&amp;" ("&amp;COUNTIFS($BY$6:$BY$53,BY34,$BC$6:$BC$53,INDEX(T_Equipos[Grupo],MATCH(BD34,T_Equipos[NombreEquipo],0)))&amp;")")</f>
        <v>-</v>
      </c>
      <c r="CA34" s="757" t="str">
        <f t="shared" ca="1" si="40"/>
        <v>-</v>
      </c>
      <c r="CB34" s="757" t="str">
        <f t="shared" ca="1" si="41"/>
        <v>-</v>
      </c>
      <c r="CC34" s="757" t="str">
        <f t="shared" ca="1" si="42"/>
        <v>-</v>
      </c>
      <c r="CD34" s="757">
        <f ca="1">BY34+COUNTIFS($BZ$6:$BZ$53,BZ34,$CC$6:CC$53,"&gt;"&amp;CC34,$BC$6:$BC$53,INDEX(T_Equipos[Grupo],MATCH(BD34,T_Equipos[NombreEquipo],0)))</f>
        <v>1</v>
      </c>
      <c r="CE34" s="756" t="str">
        <f ca="1">IF(COUNTIFS($CD$6:$CD$53,CD34,$BC$6:$BC$53,INDEX(T_Equipos[Grupo],MATCH(BD34,T_Equipos[NombreEquipo],0)))=1,"-","P."&amp;CD34&amp;" ("&amp;COUNTIFS($CD$6:$CD$53,CD34,$BC$6:$BC$53,INDEX(T_Equipos[Grupo],MATCH(BD34,T_Equipos[NombreEquipo],0)))&amp;")")</f>
        <v>-</v>
      </c>
      <c r="CF34" s="757" t="str">
        <f t="shared" ca="1" si="43"/>
        <v>-</v>
      </c>
      <c r="CG34" s="757">
        <f ca="1">CD34+COUNTIFS($CE$6:$CE$53,CE34,$CF$6:CF$53,"&gt;"&amp;CF34,$BC$6:$BC$53,INDEX(T_Equipos[Grupo],MATCH(BD34,T_Equipos[NombreEquipo],0)))</f>
        <v>1</v>
      </c>
      <c r="CH34" s="756" t="str">
        <f ca="1">IF(COUNTIFS($CG$6:$CG$53,CG34,$BC$6:$BC$53,INDEX(T_Equipos[Grupo],MATCH(BD34,T_Equipos[NombreEquipo],0)))=1,"-","P."&amp;CG34&amp;" ("&amp;COUNTIFS($CG$6:$CG$53,CG34,$BC$6:$BC$53,INDEX(T_Equipos[Grupo],MATCH(BD34,T_Equipos[NombreEquipo],0)))&amp;")")</f>
        <v>-</v>
      </c>
      <c r="CI34" s="757" t="str">
        <f t="shared" ca="1" si="44"/>
        <v>-</v>
      </c>
      <c r="CJ34" s="757" t="str">
        <f t="shared" ca="1" si="45"/>
        <v>-</v>
      </c>
      <c r="CK34" s="757" t="str">
        <f t="shared" ca="1" si="46"/>
        <v>-</v>
      </c>
      <c r="CL34" s="757" t="str">
        <f t="shared" ca="1" si="47"/>
        <v>-</v>
      </c>
      <c r="CM34" s="757">
        <f ca="1">CG34+COUNTIFS($CH$6:$CH$53,CH34,$CL$6:CL$53,"&gt;"&amp;CL34,$BC$6:$BC$53,INDEX(T_Equipos[Grupo],MATCH(BD34,T_Equipos[NombreEquipo],0)))</f>
        <v>1</v>
      </c>
      <c r="CN34" s="756" t="str">
        <f ca="1">IF(COUNTIFS($CM$6:$CM$53,CM34,$BC$6:$BC$53,INDEX(T_Equipos[Grupo],MATCH(BD34,T_Equipos[NombreEquipo],0)))=1,"-","P."&amp;CM34&amp;" ("&amp;COUNTIFS($CM$6:$CM$53,CM34,$BC$6:$BC$53,INDEX(T_Equipos[Grupo],MATCH(BD34,T_Equipos[NombreEquipo],0)))&amp;")")</f>
        <v>-</v>
      </c>
      <c r="CO34" s="757" t="str">
        <f t="shared" ca="1" si="48"/>
        <v>-</v>
      </c>
      <c r="CP34" s="757" t="str">
        <f t="shared" ca="1" si="49"/>
        <v>-</v>
      </c>
      <c r="CQ34" s="757" t="str">
        <f t="shared" ca="1" si="50"/>
        <v>-</v>
      </c>
      <c r="CR34" s="757">
        <f ca="1">CM34+COUNTIFS($CN$6:$CN$53,CN34,$CQ$6:CQ$53,"&gt;"&amp;CQ34,$BC$6:$BC$53,INDEX(T_Equipos[Grupo],MATCH(BD34,T_Equipos[NombreEquipo],0)))</f>
        <v>1</v>
      </c>
      <c r="CS34" s="756" t="str">
        <f ca="1">IF(COUNTIFS($CR$6:$CR$53,CR34,$BC$6:$BC$53,INDEX(T_Equipos[Grupo],MATCH(BD34,T_Equipos[NombreEquipo],0)))=1,"-","P."&amp;CR34&amp;" ("&amp;COUNTIFS($CR$6:$CR$53,CR34,$BC$6:$BC$53,INDEX(T_Equipos[Grupo],MATCH(BD34,T_Equipos[NombreEquipo],0)))&amp;")")</f>
        <v>-</v>
      </c>
      <c r="CT34" s="757" t="str">
        <f t="shared" ca="1" si="51"/>
        <v>-</v>
      </c>
      <c r="CU34" s="757">
        <f ca="1">CR34+COUNTIFS($CS$6:$CS$53,CS34,$CT$6:CT$53,"&gt;"&amp;CT34,$BC$6:$BC$53,INDEX(T_Equipos[Grupo],MATCH(BD34,T_Equipos[NombreEquipo],0)))</f>
        <v>1</v>
      </c>
      <c r="CV34" s="756" t="str">
        <f ca="1">IF(COUNTIFS($CU$6:$CU$53,CU34,$BC$6:$BC$53,INDEX(T_Equipos[Grupo],MATCH(BD34,T_Equipos[NombreEquipo],0)))=1,"-","P."&amp;CU34&amp;" ("&amp;COUNTIFS($CU$6:$CU$53,CU34,$BC$6:$BC$53,INDEX(T_Equipos[Grupo],MATCH(BD34,T_Equipos[NombreEquipo],0)))&amp;")")</f>
        <v>-</v>
      </c>
      <c r="CW34" s="756" t="str">
        <f t="shared" ca="1" si="30"/>
        <v>-</v>
      </c>
      <c r="CX34" s="756">
        <f ca="1">CU34+COUNTIFS($CV$6:$CV$53,CV34,$CW$6:CW$53,"&gt;"&amp;CW34,$BC$6:$BC$53,INDEX(T_Equipos[Grupo],MATCH(BD34,T_Equipos[NombreEquipo],0)))</f>
        <v>1</v>
      </c>
      <c r="CY34" s="756" t="str">
        <f ca="1">IF(COUNTIFS($CX$6:$CX$53,CX34,$BC$6:$BC$53,INDEX(T_Equipos[Grupo],MATCH(BD34,T_Equipos[NombreEquipo],0)))=1,"-","P."&amp;CX34&amp;" ("&amp;COUNTIFS($CX$6:$CX$53,CX34,$BC$6:$BC$53,INDEX(T_Equipos[Grupo],MATCH(BD34,T_Equipos[NombreEquipo],0)))&amp;")")</f>
        <v>-</v>
      </c>
      <c r="CZ34" s="756" t="str">
        <f t="shared" ca="1" si="31"/>
        <v>-</v>
      </c>
      <c r="DA34" s="757">
        <f ca="1">CX34+COUNTIFS($CY$6:$CY$53,CY34,$CZ$6:CZ$53,"&gt;"&amp;CZ34,$BC$6:$BC$53,INDEX(T_Equipos[Grupo],MATCH(BD34,T_Equipos[NombreEquipo],0)))</f>
        <v>1</v>
      </c>
      <c r="DB34" s="756" t="str">
        <f ca="1">IF(COUNTIFS($DA$6:$DA$53,DA34,$BC$6:$BC$53,INDEX(T_Equipos[Grupo],MATCH(BD34,T_Equipos[NombreEquipo],0)))=1,"-","P."&amp;DA34&amp;" ("&amp;COUNTIFS($DA$6:$DA$53,DA34,$BC$6:$BC$53,INDEX(T_Equipos[Grupo],MATCH(BD34,T_Equipos[NombreEquipo],0)))&amp;")")</f>
        <v>-</v>
      </c>
      <c r="DC34" s="755" t="str">
        <f ca="1">IF(DB34="-","-",COUNTIFS(T_Equipos[Rank],"&lt;"&amp;INDEX(T_Equipos[Rank],MATCH(BD34,T_Equipos[NombreEquipo],0)),$BC$6:$BC$53,INDEX(T_Equipos[Grupo],MATCH(BD34,T_Equipos[NombreEquipo],0)))+1)</f>
        <v>-</v>
      </c>
      <c r="DD34" s="755">
        <f ca="1">DA34+COUNTIFS($DB$6:$DB$53,DB34,$DC$6:DC$53,"&lt;"&amp;DC34,$BC$6:$BC$53,INDEX(T_Equipos[Grupo],MATCH(BD34,T_Equipos[NombreEquipo],0)))</f>
        <v>1</v>
      </c>
      <c r="DE34" s="755"/>
      <c r="DF34" s="755">
        <f t="shared" ca="1" si="52"/>
        <v>1</v>
      </c>
      <c r="DG34" s="755" t="str">
        <f ca="1">IF(DB34="-","-",COUNTIFS(DF$6:DF$53,"&lt;"&amp;DF34,$BC$6:$BC$53,INDEX(T_Equipos[Grupo],MATCH(BD34,T_Equipos[NombreEquipo],0))))</f>
        <v>-</v>
      </c>
      <c r="DH34" s="755">
        <f ca="1">DA34+COUNTIFS(DB$6:DB$53,DB34,DG$6:DG$53,"&lt;"&amp;DG34,$BC$6:$BC$53,INDEX(T_Equipos[Grupo],MATCH(BD34,T_Equipos[NombreEquipo],0)))</f>
        <v>1</v>
      </c>
      <c r="DI34" s="743"/>
      <c r="DJ34" s="743">
        <f t="shared" ca="1" si="53"/>
        <v>1</v>
      </c>
      <c r="DK34" s="743">
        <f t="shared" ca="1" si="24"/>
        <v>12</v>
      </c>
      <c r="DL34" s="743">
        <f t="shared" ca="1" si="33"/>
        <v>1</v>
      </c>
      <c r="DM34" s="737" t="str">
        <f t="shared" ca="1" si="34"/>
        <v>1.1</v>
      </c>
      <c r="DN34" s="743" cm="1">
        <f t="array" aca="1" ref="DN34" ca="1">OFFSET(Horarios!$P$3,DJ34-1,0,DL34,1)</f>
        <v>1</v>
      </c>
      <c r="DO34" s="743"/>
      <c r="DP34" s="743" t="s">
        <v>670</v>
      </c>
      <c r="DQ34" s="743" t="str">
        <f t="shared" ca="1" si="35"/>
        <v>Spain</v>
      </c>
      <c r="DR34" s="743"/>
      <c r="DS34" s="743"/>
      <c r="DT34" s="743" t="str">
        <f t="shared" si="15"/>
        <v>-</v>
      </c>
      <c r="DU34" s="743"/>
      <c r="DV34" s="743"/>
      <c r="DW34" s="8"/>
    </row>
    <row r="35" spans="1:127" ht="15.75" thickBot="1">
      <c r="A35" s="738"/>
      <c r="B35" s="741"/>
      <c r="C35" s="738"/>
      <c r="D35" s="738"/>
      <c r="E35" s="738"/>
      <c r="F35" s="738"/>
      <c r="G35" s="738"/>
      <c r="H35" s="738"/>
      <c r="I35" s="738"/>
      <c r="J35" s="738"/>
      <c r="K35" s="738"/>
      <c r="L35" s="738"/>
      <c r="M35" s="738"/>
      <c r="N35" s="743"/>
      <c r="O35" s="743"/>
      <c r="P35" s="743"/>
      <c r="Q35" s="743"/>
      <c r="R35" s="743"/>
      <c r="S35" s="743"/>
      <c r="T35" s="743"/>
      <c r="U35" s="743"/>
      <c r="V35" s="172"/>
      <c r="W35" s="179"/>
      <c r="X35" s="180" t="str">
        <f>X19</f>
        <v>Date</v>
      </c>
      <c r="Y35" s="180" t="str">
        <f>Y19</f>
        <v>Hour</v>
      </c>
      <c r="Z35" s="181" t="str">
        <f t="shared" ref="Z35:AA35" si="113">Z19</f>
        <v>R</v>
      </c>
      <c r="AA35" s="182" t="str">
        <f t="shared" si="113"/>
        <v>Home</v>
      </c>
      <c r="AB35" s="181"/>
      <c r="AC35" s="181" t="str">
        <f>AC3</f>
        <v>Goal</v>
      </c>
      <c r="AD35" s="181" t="str">
        <f>AD3</f>
        <v>Goal</v>
      </c>
      <c r="AE35" s="181"/>
      <c r="AF35" s="184" t="str">
        <f t="shared" ref="AF35" si="114">AF19</f>
        <v>Away</v>
      </c>
      <c r="AG35" s="414"/>
      <c r="AH35" s="196"/>
      <c r="AI35" s="18"/>
      <c r="AJ35" s="186"/>
      <c r="AK35" s="252"/>
      <c r="AL35" s="186"/>
      <c r="AM35" s="186"/>
      <c r="AN35" s="186"/>
      <c r="AO35" s="186"/>
      <c r="AP35" s="186"/>
      <c r="AQ35" s="186"/>
      <c r="AR35" s="186"/>
      <c r="AS35" s="186"/>
      <c r="AT35" s="186"/>
      <c r="AU35" s="421"/>
      <c r="AV35" s="22"/>
      <c r="AW35" s="429"/>
      <c r="AX35" s="253"/>
      <c r="AY35" s="242"/>
      <c r="AZ35" s="243"/>
      <c r="BA35" s="175"/>
      <c r="BB35" s="743"/>
      <c r="BC35" s="755" t="str">
        <f ca="1">+INDEX(T_Equipos[Grupo],MATCH(WORLDCUP!BD35,T_Equipos[NombreEquipo],0))</f>
        <v>H</v>
      </c>
      <c r="BD35" s="743" t="str">
        <f ca="1">+Equipos!B31</f>
        <v>Cape Verde</v>
      </c>
      <c r="BE35" s="747">
        <f t="shared" ca="1" si="25"/>
        <v>3</v>
      </c>
      <c r="BF35" s="747">
        <f t="shared" ca="1" si="26"/>
        <v>3</v>
      </c>
      <c r="BG35" s="747">
        <f t="shared" ca="1" si="17"/>
        <v>0</v>
      </c>
      <c r="BH35" s="747">
        <f t="shared" ca="1" si="18"/>
        <v>3</v>
      </c>
      <c r="BI35" s="747">
        <f t="shared" ca="1" si="19"/>
        <v>0</v>
      </c>
      <c r="BJ35" s="747">
        <f t="shared" ca="1" si="20"/>
        <v>2</v>
      </c>
      <c r="BK35" s="747">
        <f t="shared" ca="1" si="21"/>
        <v>2</v>
      </c>
      <c r="BL35" s="747">
        <f t="shared" ca="1" si="27"/>
        <v>0</v>
      </c>
      <c r="BM35" s="747" t="str">
        <f t="shared" ca="1" si="22"/>
        <v>2H</v>
      </c>
      <c r="BN35" s="747" t="str">
        <f t="shared" ca="1" si="23"/>
        <v>2H</v>
      </c>
      <c r="BO35" s="757">
        <f t="shared" ca="1" si="28"/>
        <v>0</v>
      </c>
      <c r="BP35" s="756">
        <f ca="1">COUNTIFS($BO$6:$BO$53,"&gt;"&amp;BO35,$BC$6:$BC$53,INDEX(T_Equipos[Grupo],MATCH(BD35,T_Equipos[NombreEquipo],0)))+1</f>
        <v>1</v>
      </c>
      <c r="BQ35" s="756" t="str">
        <f ca="1">IF(COUNTIFS($BP$6:$BP$53,BP35,$BC$6:$BC$53,INDEX(T_Equipos[Grupo],MATCH(BD35,T_Equipos[NombreEquipo],0)))=1,"-","P."&amp;BP35&amp;" ("&amp;COUNTIFS($BP$6:$BP$53,BP35,$BC$6:$BC$53,INDEX(T_Equipos[Grupo],MATCH(BD35,T_Equipos[NombreEquipo],0)))&amp;")")</f>
        <v>P.1 (4)</v>
      </c>
      <c r="BR35" s="757">
        <f t="shared" ca="1" si="29"/>
        <v>3</v>
      </c>
      <c r="BS35" s="756">
        <f ca="1">BP35+COUNTIFS($BQ$6:$BQ$53,BQ35,$BR$6:BR$53,"&gt;"&amp;BR35,$BC$6:$BC$53,INDEX(T_Equipos[Grupo],MATCH(BD35,T_Equipos[NombreEquipo],0)))</f>
        <v>2</v>
      </c>
      <c r="BT35" s="756" t="str">
        <f ca="1">IF(COUNTIFS($BS$6:$BS$53,BS35,$BC$6:$BC$53,INDEX(T_Equipos[Grupo],MATCH(BD35,T_Equipos[NombreEquipo],0)))=1,"-","P."&amp;BS35&amp;" ("&amp;COUNTIFS($BS$6:$BS$53,BS35,$BC$6:$BC$53,INDEX(T_Equipos[Grupo],MATCH(BD35,T_Equipos[NombreEquipo],0)))&amp;")")</f>
        <v>-</v>
      </c>
      <c r="BU35" s="757" t="str">
        <f t="shared" ca="1" si="36"/>
        <v>-</v>
      </c>
      <c r="BV35" s="757" t="str">
        <f t="shared" ca="1" si="37"/>
        <v>-</v>
      </c>
      <c r="BW35" s="757" t="str">
        <f t="shared" ca="1" si="38"/>
        <v>-</v>
      </c>
      <c r="BX35" s="757" t="str">
        <f t="shared" ca="1" si="39"/>
        <v>-</v>
      </c>
      <c r="BY35" s="757">
        <f ca="1">BS35+COUNTIFS($BT$6:$BT$53,BT35,$BX$6:BX$53,"&gt;"&amp;BX35,$BC$6:$BC$53,INDEX(T_Equipos[Grupo],MATCH(BD35,T_Equipos[NombreEquipo],0)))</f>
        <v>2</v>
      </c>
      <c r="BZ35" s="756" t="str">
        <f ca="1">IF(COUNTIFS($BY$6:$BY$53,BY35,$BC$6:$BC$53,INDEX(T_Equipos[Grupo],MATCH(BD35,T_Equipos[NombreEquipo],0)))=1,"-","P."&amp;BY35&amp;" ("&amp;COUNTIFS($BY$6:$BY$53,BY35,$BC$6:$BC$53,INDEX(T_Equipos[Grupo],MATCH(BD35,T_Equipos[NombreEquipo],0)))&amp;")")</f>
        <v>-</v>
      </c>
      <c r="CA35" s="757" t="str">
        <f t="shared" ca="1" si="40"/>
        <v>-</v>
      </c>
      <c r="CB35" s="757" t="str">
        <f t="shared" ca="1" si="41"/>
        <v>-</v>
      </c>
      <c r="CC35" s="757" t="str">
        <f t="shared" ca="1" si="42"/>
        <v>-</v>
      </c>
      <c r="CD35" s="757">
        <f ca="1">BY35+COUNTIFS($BZ$6:$BZ$53,BZ35,$CC$6:CC$53,"&gt;"&amp;CC35,$BC$6:$BC$53,INDEX(T_Equipos[Grupo],MATCH(BD35,T_Equipos[NombreEquipo],0)))</f>
        <v>2</v>
      </c>
      <c r="CE35" s="756" t="str">
        <f ca="1">IF(COUNTIFS($CD$6:$CD$53,CD35,$BC$6:$BC$53,INDEX(T_Equipos[Grupo],MATCH(BD35,T_Equipos[NombreEquipo],0)))=1,"-","P."&amp;CD35&amp;" ("&amp;COUNTIFS($CD$6:$CD$53,CD35,$BC$6:$BC$53,INDEX(T_Equipos[Grupo],MATCH(BD35,T_Equipos[NombreEquipo],0)))&amp;")")</f>
        <v>-</v>
      </c>
      <c r="CF35" s="757" t="str">
        <f t="shared" ca="1" si="43"/>
        <v>-</v>
      </c>
      <c r="CG35" s="757">
        <f ca="1">CD35+COUNTIFS($CE$6:$CE$53,CE35,$CF$6:CF$53,"&gt;"&amp;CF35,$BC$6:$BC$53,INDEX(T_Equipos[Grupo],MATCH(BD35,T_Equipos[NombreEquipo],0)))</f>
        <v>2</v>
      </c>
      <c r="CH35" s="756" t="str">
        <f ca="1">IF(COUNTIFS($CG$6:$CG$53,CG35,$BC$6:$BC$53,INDEX(T_Equipos[Grupo],MATCH(BD35,T_Equipos[NombreEquipo],0)))=1,"-","P."&amp;CG35&amp;" ("&amp;COUNTIFS($CG$6:$CG$53,CG35,$BC$6:$BC$53,INDEX(T_Equipos[Grupo],MATCH(BD35,T_Equipos[NombreEquipo],0)))&amp;")")</f>
        <v>-</v>
      </c>
      <c r="CI35" s="757" t="str">
        <f t="shared" ca="1" si="44"/>
        <v>-</v>
      </c>
      <c r="CJ35" s="757" t="str">
        <f t="shared" ca="1" si="45"/>
        <v>-</v>
      </c>
      <c r="CK35" s="757" t="str">
        <f t="shared" ca="1" si="46"/>
        <v>-</v>
      </c>
      <c r="CL35" s="757" t="str">
        <f t="shared" ca="1" si="47"/>
        <v>-</v>
      </c>
      <c r="CM35" s="757">
        <f ca="1">CG35+COUNTIFS($CH$6:$CH$53,CH35,$CL$6:CL$53,"&gt;"&amp;CL35,$BC$6:$BC$53,INDEX(T_Equipos[Grupo],MATCH(BD35,T_Equipos[NombreEquipo],0)))</f>
        <v>2</v>
      </c>
      <c r="CN35" s="756" t="str">
        <f ca="1">IF(COUNTIFS($CM$6:$CM$53,CM35,$BC$6:$BC$53,INDEX(T_Equipos[Grupo],MATCH(BD35,T_Equipos[NombreEquipo],0)))=1,"-","P."&amp;CM35&amp;" ("&amp;COUNTIFS($CM$6:$CM$53,CM35,$BC$6:$BC$53,INDEX(T_Equipos[Grupo],MATCH(BD35,T_Equipos[NombreEquipo],0)))&amp;")")</f>
        <v>-</v>
      </c>
      <c r="CO35" s="757" t="str">
        <f t="shared" ca="1" si="48"/>
        <v>-</v>
      </c>
      <c r="CP35" s="757" t="str">
        <f t="shared" ca="1" si="49"/>
        <v>-</v>
      </c>
      <c r="CQ35" s="757" t="str">
        <f t="shared" ca="1" si="50"/>
        <v>-</v>
      </c>
      <c r="CR35" s="757">
        <f ca="1">CM35+COUNTIFS($CN$6:$CN$53,CN35,$CQ$6:CQ$53,"&gt;"&amp;CQ35,$BC$6:$BC$53,INDEX(T_Equipos[Grupo],MATCH(BD35,T_Equipos[NombreEquipo],0)))</f>
        <v>2</v>
      </c>
      <c r="CS35" s="756" t="str">
        <f ca="1">IF(COUNTIFS($CR$6:$CR$53,CR35,$BC$6:$BC$53,INDEX(T_Equipos[Grupo],MATCH(BD35,T_Equipos[NombreEquipo],0)))=1,"-","P."&amp;CR35&amp;" ("&amp;COUNTIFS($CR$6:$CR$53,CR35,$BC$6:$BC$53,INDEX(T_Equipos[Grupo],MATCH(BD35,T_Equipos[NombreEquipo],0)))&amp;")")</f>
        <v>-</v>
      </c>
      <c r="CT35" s="757" t="str">
        <f t="shared" ca="1" si="51"/>
        <v>-</v>
      </c>
      <c r="CU35" s="757">
        <f ca="1">CR35+COUNTIFS($CS$6:$CS$53,CS35,$CT$6:CT$53,"&gt;"&amp;CT35,$BC$6:$BC$53,INDEX(T_Equipos[Grupo],MATCH(BD35,T_Equipos[NombreEquipo],0)))</f>
        <v>2</v>
      </c>
      <c r="CV35" s="756" t="str">
        <f ca="1">IF(COUNTIFS($CU$6:$CU$53,CU35,$BC$6:$BC$53,INDEX(T_Equipos[Grupo],MATCH(BD35,T_Equipos[NombreEquipo],0)))=1,"-","P."&amp;CU35&amp;" ("&amp;COUNTIFS($CU$6:$CU$53,CU35,$BC$6:$BC$53,INDEX(T_Equipos[Grupo],MATCH(BD35,T_Equipos[NombreEquipo],0)))&amp;")")</f>
        <v>-</v>
      </c>
      <c r="CW35" s="756" t="str">
        <f t="shared" ca="1" si="30"/>
        <v>-</v>
      </c>
      <c r="CX35" s="756">
        <f ca="1">CU35+COUNTIFS($CV$6:$CV$53,CV35,$CW$6:CW$53,"&gt;"&amp;CW35,$BC$6:$BC$53,INDEX(T_Equipos[Grupo],MATCH(BD35,T_Equipos[NombreEquipo],0)))</f>
        <v>2</v>
      </c>
      <c r="CY35" s="756" t="str">
        <f ca="1">IF(COUNTIFS($CX$6:$CX$53,CX35,$BC$6:$BC$53,INDEX(T_Equipos[Grupo],MATCH(BD35,T_Equipos[NombreEquipo],0)))=1,"-","P."&amp;CX35&amp;" ("&amp;COUNTIFS($CX$6:$CX$53,CX35,$BC$6:$BC$53,INDEX(T_Equipos[Grupo],MATCH(BD35,T_Equipos[NombreEquipo],0)))&amp;")")</f>
        <v>-</v>
      </c>
      <c r="CZ35" s="756" t="str">
        <f t="shared" ca="1" si="31"/>
        <v>-</v>
      </c>
      <c r="DA35" s="757">
        <f ca="1">CX35+COUNTIFS($CY$6:$CY$53,CY35,$CZ$6:CZ$53,"&gt;"&amp;CZ35,$BC$6:$BC$53,INDEX(T_Equipos[Grupo],MATCH(BD35,T_Equipos[NombreEquipo],0)))</f>
        <v>2</v>
      </c>
      <c r="DB35" s="756" t="str">
        <f ca="1">IF(COUNTIFS($DA$6:$DA$53,DA35,$BC$6:$BC$53,INDEX(T_Equipos[Grupo],MATCH(BD35,T_Equipos[NombreEquipo],0)))=1,"-","P."&amp;DA35&amp;" ("&amp;COUNTIFS($DA$6:$DA$53,DA35,$BC$6:$BC$53,INDEX(T_Equipos[Grupo],MATCH(BD35,T_Equipos[NombreEquipo],0)))&amp;")")</f>
        <v>-</v>
      </c>
      <c r="DC35" s="755" t="str">
        <f ca="1">IF(DB35="-","-",COUNTIFS(T_Equipos[Rank],"&lt;"&amp;INDEX(T_Equipos[Rank],MATCH(BD35,T_Equipos[NombreEquipo],0)),$BC$6:$BC$53,INDEX(T_Equipos[Grupo],MATCH(BD35,T_Equipos[NombreEquipo],0)))+1)</f>
        <v>-</v>
      </c>
      <c r="DD35" s="755">
        <f ca="1">DA35+COUNTIFS($DB$6:$DB$53,DB35,$DC$6:DC$53,"&lt;"&amp;DC35,$BC$6:$BC$53,INDEX(T_Equipos[Grupo],MATCH(BD35,T_Equipos[NombreEquipo],0)))</f>
        <v>2</v>
      </c>
      <c r="DE35" s="755"/>
      <c r="DF35" s="755">
        <f t="shared" ca="1" si="52"/>
        <v>2</v>
      </c>
      <c r="DG35" s="755" t="str">
        <f ca="1">IF(DB35="-","-",COUNTIFS(DF$6:DF$53,"&lt;"&amp;DF35,$BC$6:$BC$53,INDEX(T_Equipos[Grupo],MATCH(BD35,T_Equipos[NombreEquipo],0))))</f>
        <v>-</v>
      </c>
      <c r="DH35" s="755">
        <f ca="1">DA35+COUNTIFS(DB$6:DB$53,DB35,DG$6:DG$53,"&lt;"&amp;DG35,$BC$6:$BC$53,INDEX(T_Equipos[Grupo],MATCH(BD35,T_Equipos[NombreEquipo],0)))</f>
        <v>2</v>
      </c>
      <c r="DI35" s="743"/>
      <c r="DJ35" s="743">
        <f t="shared" ca="1" si="53"/>
        <v>2</v>
      </c>
      <c r="DK35" s="743">
        <f t="shared" ca="1" si="24"/>
        <v>12</v>
      </c>
      <c r="DL35" s="743">
        <f t="shared" ca="1" si="33"/>
        <v>1</v>
      </c>
      <c r="DM35" s="737" t="str">
        <f t="shared" ca="1" si="34"/>
        <v>2.1</v>
      </c>
      <c r="DN35" s="743" cm="1">
        <f t="array" aca="1" ref="DN35" ca="1">OFFSET(Horarios!$P$3,DJ35-1,0,DL35,1)</f>
        <v>2</v>
      </c>
      <c r="DO35" s="743"/>
      <c r="DP35" s="743" t="s">
        <v>671</v>
      </c>
      <c r="DQ35" s="743" t="str">
        <f t="shared" ca="1" si="35"/>
        <v>Cape Verde</v>
      </c>
      <c r="DR35" s="743"/>
      <c r="DS35" s="743"/>
      <c r="DT35" s="743" t="str">
        <f t="shared" si="15"/>
        <v>Home-Away</v>
      </c>
      <c r="DU35" s="743"/>
      <c r="DV35" s="743"/>
      <c r="DW35" s="8"/>
    </row>
    <row r="36" spans="1:127" ht="15" customHeight="1" thickBot="1">
      <c r="A36" s="740" t="s">
        <v>30</v>
      </c>
      <c r="B36" s="741" t="s">
        <v>3</v>
      </c>
      <c r="C36" s="742">
        <f>COUNTIF(Equipos!$C$2:$C$49,WORLDCUP!B36)</f>
        <v>4</v>
      </c>
      <c r="D36" s="743" t="str">
        <f t="shared" ref="D36:D41" si="115">IF(OR(AC36="",AD36=""),"Pendiente",IF(AC36&gt;AD36,"Local",IF(AC36&lt;AD36,"Visitante","Empate")))</f>
        <v>Local</v>
      </c>
      <c r="E36" s="743" t="str">
        <f t="shared" ref="E36:E41" ca="1" si="116">IF(D36="Pendiente","-",INDEX($BT$6:$BT$53,MATCH($AA36,$BD$6:$BD$53,0)))</f>
        <v>P.1 (2)</v>
      </c>
      <c r="F36" s="743" t="str">
        <f t="shared" ref="F36:F41" ca="1" si="117">IF(D36="Pendiente","-",INDEX($BT$6:$BT$53,MATCH($AF36,$BD$6:$BD$53,0)))</f>
        <v>-</v>
      </c>
      <c r="G36" s="743"/>
      <c r="H36" s="743" t="str">
        <f t="shared" ref="H36:H41" ca="1" si="118">IF(D36="Pendiente","-",INDEX($BZ$6:$BZ$53,MATCH($AA36,$BD$6:$BD$53,0)))</f>
        <v>-</v>
      </c>
      <c r="I36" s="743" t="str">
        <f t="shared" ref="I36:I41" ca="1" si="119">IF(D36="Pendiente","-",INDEX($BZ$6:$BZ$53,MATCH($AF36,$BD$6:$BD$53,0)))</f>
        <v>-</v>
      </c>
      <c r="J36" s="743"/>
      <c r="K36" s="743" t="str">
        <f t="shared" ref="K36:K41" ca="1" si="120">IF(D36="Pendiente","-",INDEX($CE$6:$CE$53,MATCH($AA36,$BD$6:$BD$53,0)))</f>
        <v>-</v>
      </c>
      <c r="L36" s="743" t="str">
        <f t="shared" ref="L36:L41" ca="1" si="121">IF(D36="Pendiente","-",INDEX($CE$6:$CE$53,MATCH($AF36,$BD$6:$BD$53,0)))</f>
        <v>-</v>
      </c>
      <c r="M36" s="743"/>
      <c r="N36" s="743" t="str">
        <f t="shared" ref="N36:N41" ca="1" si="122">IF(D36="Pendiente","-",INDEX($CH$6:$CH$53,MATCH($AA36,$BD$6:$BD$53,0)))</f>
        <v>-</v>
      </c>
      <c r="O36" s="743" t="str">
        <f t="shared" ref="O36:O41" ca="1" si="123">IF(D36="Pendiente","-",INDEX($CH$6:$CH$53,MATCH($AF36,$BD$6:$BD$53,0)))</f>
        <v>-</v>
      </c>
      <c r="P36" s="743"/>
      <c r="Q36" s="743" t="str">
        <f t="shared" ref="Q36:Q41" ca="1" si="124">IF(D36="Pendiente","-",INDEX($CN$6:$CN$53,MATCH($AA36,$BD$6:$BD$53,0)))</f>
        <v>-</v>
      </c>
      <c r="R36" s="743" t="str">
        <f t="shared" ref="R36:R41" ca="1" si="125">IF(D36="Pendiente","-",INDEX($CN$6:$CN$53,MATCH($AF36,$BD$6:$BD$53,0)))</f>
        <v>-</v>
      </c>
      <c r="S36" s="743"/>
      <c r="T36" s="743" t="str">
        <f t="shared" ref="T36:T41" ca="1" si="126">IF(D36="Pendiente","-",INDEX($CS$6:$CS$53,MATCH($AA36,$BD$6:$BD$53,0)))</f>
        <v>-</v>
      </c>
      <c r="U36" s="743" t="str">
        <f t="shared" ref="U36:U41" ca="1" si="127">IF(D36="Pendiente","-",INDEX($CS$6:$CS$53,MATCH($AF36,$BD$6:$BD$53,0)))</f>
        <v>-</v>
      </c>
      <c r="V36" s="172"/>
      <c r="W36" s="815" t="s">
        <v>3</v>
      </c>
      <c r="X36" s="189">
        <f ca="1">Horarios!C36</f>
        <v>46187.791666666664</v>
      </c>
      <c r="Y36" s="190">
        <f ca="1">Horarios!C36</f>
        <v>46187.791666666664</v>
      </c>
      <c r="Z36" s="191" t="str">
        <f>$Z$4</f>
        <v>R1</v>
      </c>
      <c r="AA36" s="192" t="str">
        <f ca="1">A37</f>
        <v>Germany</v>
      </c>
      <c r="AB36" s="478" t="e" cm="1" vm="17">
        <f t="array" aca="1" ref="AB36" ca="1">Ver_flag_local</f>
        <v>#VALUE!</v>
      </c>
      <c r="AC36" s="193">
        <v>7</v>
      </c>
      <c r="AD36" s="194">
        <v>1</v>
      </c>
      <c r="AE36" s="483" t="e" cm="1" vm="18">
        <f t="array" aca="1" ref="AE36" ca="1">Ver_flag_visit</f>
        <v>#VALUE!</v>
      </c>
      <c r="AF36" s="195" t="str">
        <f ca="1">A38</f>
        <v>Curaçao</v>
      </c>
      <c r="AG36" s="413">
        <f t="shared" ref="AG36:AG41" si="128">IF(NOT(OR(ISBLANK(AC36),ISBLANK(AD36))),1,0)</f>
        <v>1</v>
      </c>
      <c r="AH36" s="196">
        <v>10</v>
      </c>
      <c r="AI36" s="19"/>
      <c r="AJ36" s="197" t="str">
        <f>CONCATENATE(AJ3," ",B36)</f>
        <v>Group E</v>
      </c>
      <c r="AK36" s="198"/>
      <c r="AL36" s="198"/>
      <c r="AM36" s="198"/>
      <c r="AN36" s="198"/>
      <c r="AO36" s="198"/>
      <c r="AP36" s="198"/>
      <c r="AQ36" s="198"/>
      <c r="AR36" s="198"/>
      <c r="AS36" s="198"/>
      <c r="AT36" s="199"/>
      <c r="AU36" s="421"/>
      <c r="AV36" s="200" t="str">
        <f t="shared" ref="AV36" ca="1" si="129">IF(AU37&gt;0,$AV$3,"")</f>
        <v/>
      </c>
      <c r="AW36" s="208"/>
      <c r="AX36" s="255"/>
      <c r="AY36" s="242"/>
      <c r="AZ36" s="243"/>
      <c r="BA36" s="175"/>
      <c r="BB36" s="743"/>
      <c r="BC36" s="755" t="str">
        <f ca="1">+INDEX(T_Equipos[Grupo],MATCH(WORLDCUP!BD36,T_Equipos[NombreEquipo],0))</f>
        <v>H</v>
      </c>
      <c r="BD36" s="743" t="str">
        <f ca="1">+Equipos!B32</f>
        <v>Saudi Arabia</v>
      </c>
      <c r="BE36" s="747">
        <f t="shared" ca="1" si="25"/>
        <v>2</v>
      </c>
      <c r="BF36" s="747">
        <f t="shared" ca="1" si="26"/>
        <v>3</v>
      </c>
      <c r="BG36" s="747">
        <f t="shared" ca="1" si="17"/>
        <v>0</v>
      </c>
      <c r="BH36" s="747">
        <f t="shared" ca="1" si="18"/>
        <v>2</v>
      </c>
      <c r="BI36" s="747">
        <f t="shared" ca="1" si="19"/>
        <v>1</v>
      </c>
      <c r="BJ36" s="747">
        <f t="shared" ca="1" si="20"/>
        <v>1</v>
      </c>
      <c r="BK36" s="747">
        <f t="shared" ca="1" si="21"/>
        <v>5</v>
      </c>
      <c r="BL36" s="747">
        <f t="shared" ca="1" si="27"/>
        <v>-4</v>
      </c>
      <c r="BM36" s="747" t="str">
        <f t="shared" ca="1" si="22"/>
        <v>4H</v>
      </c>
      <c r="BN36" s="747" t="str">
        <f t="shared" ca="1" si="23"/>
        <v>4H</v>
      </c>
      <c r="BO36" s="757">
        <f t="shared" ca="1" si="28"/>
        <v>0</v>
      </c>
      <c r="BP36" s="756">
        <f ca="1">COUNTIFS($BO$6:$BO$53,"&gt;"&amp;BO36,$BC$6:$BC$53,INDEX(T_Equipos[Grupo],MATCH(BD36,T_Equipos[NombreEquipo],0)))+1</f>
        <v>1</v>
      </c>
      <c r="BQ36" s="756" t="str">
        <f ca="1">IF(COUNTIFS($BP$6:$BP$53,BP36,$BC$6:$BC$53,INDEX(T_Equipos[Grupo],MATCH(BD36,T_Equipos[NombreEquipo],0)))=1,"-","P."&amp;BP36&amp;" ("&amp;COUNTIFS($BP$6:$BP$53,BP36,$BC$6:$BC$53,INDEX(T_Equipos[Grupo],MATCH(BD36,T_Equipos[NombreEquipo],0)))&amp;")")</f>
        <v>P.1 (4)</v>
      </c>
      <c r="BR36" s="757">
        <f t="shared" ca="1" si="29"/>
        <v>2</v>
      </c>
      <c r="BS36" s="756">
        <f ca="1">BP36+COUNTIFS($BQ$6:$BQ$53,BQ36,$BR$6:BR$53,"&gt;"&amp;BR36,$BC$6:$BC$53,INDEX(T_Equipos[Grupo],MATCH(BD36,T_Equipos[NombreEquipo],0)))</f>
        <v>3</v>
      </c>
      <c r="BT36" s="756" t="str">
        <f ca="1">IF(COUNTIFS($BS$6:$BS$53,BS36,$BC$6:$BC$53,INDEX(T_Equipos[Grupo],MATCH(BD36,T_Equipos[NombreEquipo],0)))=1,"-","P."&amp;BS36&amp;" ("&amp;COUNTIFS($BS$6:$BS$53,BS36,$BC$6:$BC$53,INDEX(T_Equipos[Grupo],MATCH(BD36,T_Equipos[NombreEquipo],0)))&amp;")")</f>
        <v>P.3 (2)</v>
      </c>
      <c r="BU36" s="757">
        <f t="shared" ca="1" si="36"/>
        <v>0</v>
      </c>
      <c r="BV36" s="757">
        <f t="shared" ca="1" si="37"/>
        <v>1</v>
      </c>
      <c r="BW36" s="757">
        <f t="shared" ca="1" si="38"/>
        <v>0</v>
      </c>
      <c r="BX36" s="757">
        <f t="shared" ca="1" si="39"/>
        <v>1</v>
      </c>
      <c r="BY36" s="757">
        <f ca="1">BS36+COUNTIFS($BT$6:$BT$53,BT36,$BX$6:BX$53,"&gt;"&amp;BX36,$BC$6:$BC$53,INDEX(T_Equipos[Grupo],MATCH(BD36,T_Equipos[NombreEquipo],0)))</f>
        <v>3</v>
      </c>
      <c r="BZ36" s="756" t="str">
        <f ca="1">IF(COUNTIFS($BY$6:$BY$53,BY36,$BC$6:$BC$53,INDEX(T_Equipos[Grupo],MATCH(BD36,T_Equipos[NombreEquipo],0)))=1,"-","P."&amp;BY36&amp;" ("&amp;COUNTIFS($BY$6:$BY$53,BY36,$BC$6:$BC$53,INDEX(T_Equipos[Grupo],MATCH(BD36,T_Equipos[NombreEquipo],0)))&amp;")")</f>
        <v>P.3 (2)</v>
      </c>
      <c r="CA36" s="757">
        <f t="shared" ca="1" si="40"/>
        <v>1</v>
      </c>
      <c r="CB36" s="757">
        <f t="shared" ca="1" si="41"/>
        <v>1</v>
      </c>
      <c r="CC36" s="757">
        <f t="shared" ca="1" si="42"/>
        <v>0</v>
      </c>
      <c r="CD36" s="757">
        <f ca="1">BY36+COUNTIFS($BZ$6:$BZ$53,BZ36,$CC$6:CC$53,"&gt;"&amp;CC36,$BC$6:$BC$53,INDEX(T_Equipos[Grupo],MATCH(BD36,T_Equipos[NombreEquipo],0)))</f>
        <v>3</v>
      </c>
      <c r="CE36" s="756" t="str">
        <f ca="1">IF(COUNTIFS($CD$6:$CD$53,CD36,$BC$6:$BC$53,INDEX(T_Equipos[Grupo],MATCH(BD36,T_Equipos[NombreEquipo],0)))=1,"-","P."&amp;CD36&amp;" ("&amp;COUNTIFS($CD$6:$CD$53,CD36,$BC$6:$BC$53,INDEX(T_Equipos[Grupo],MATCH(BD36,T_Equipos[NombreEquipo],0)))&amp;")")</f>
        <v>P.3 (2)</v>
      </c>
      <c r="CF36" s="757">
        <f t="shared" ca="1" si="43"/>
        <v>1</v>
      </c>
      <c r="CG36" s="757">
        <f ca="1">CD36+COUNTIFS($CE$6:$CE$53,CE36,$CF$6:CF$53,"&gt;"&amp;CF36,$BC$6:$BC$53,INDEX(T_Equipos[Grupo],MATCH(BD36,T_Equipos[NombreEquipo],0)))</f>
        <v>3</v>
      </c>
      <c r="CH36" s="756" t="str">
        <f ca="1">IF(COUNTIFS($CG$6:$CG$53,CG36,$BC$6:$BC$53,INDEX(T_Equipos[Grupo],MATCH(BD36,T_Equipos[NombreEquipo],0)))=1,"-","P."&amp;CG36&amp;" ("&amp;COUNTIFS($CG$6:$CG$53,CG36,$BC$6:$BC$53,INDEX(T_Equipos[Grupo],MATCH(BD36,T_Equipos[NombreEquipo],0)))&amp;")")</f>
        <v>P.3 (2)</v>
      </c>
      <c r="CI36" s="757">
        <f t="shared" ca="1" si="44"/>
        <v>0</v>
      </c>
      <c r="CJ36" s="757">
        <f t="shared" ca="1" si="45"/>
        <v>1</v>
      </c>
      <c r="CK36" s="757">
        <f t="shared" ca="1" si="46"/>
        <v>0</v>
      </c>
      <c r="CL36" s="757">
        <f t="shared" ca="1" si="47"/>
        <v>1</v>
      </c>
      <c r="CM36" s="757">
        <f ca="1">CG36+COUNTIFS($CH$6:$CH$53,CH36,$CL$6:CL$53,"&gt;"&amp;CL36,$BC$6:$BC$53,INDEX(T_Equipos[Grupo],MATCH(BD36,T_Equipos[NombreEquipo],0)))</f>
        <v>3</v>
      </c>
      <c r="CN36" s="756" t="str">
        <f ca="1">IF(COUNTIFS($CM$6:$CM$53,CM36,$BC$6:$BC$53,INDEX(T_Equipos[Grupo],MATCH(BD36,T_Equipos[NombreEquipo],0)))=1,"-","P."&amp;CM36&amp;" ("&amp;COUNTIFS($CM$6:$CM$53,CM36,$BC$6:$BC$53,INDEX(T_Equipos[Grupo],MATCH(BD36,T_Equipos[NombreEquipo],0)))&amp;")")</f>
        <v>P.3 (2)</v>
      </c>
      <c r="CO36" s="757">
        <f t="shared" ca="1" si="48"/>
        <v>1</v>
      </c>
      <c r="CP36" s="757">
        <f t="shared" ca="1" si="49"/>
        <v>1</v>
      </c>
      <c r="CQ36" s="757">
        <f t="shared" ca="1" si="50"/>
        <v>0</v>
      </c>
      <c r="CR36" s="757">
        <f ca="1">CM36+COUNTIFS($CN$6:$CN$53,CN36,$CQ$6:CQ$53,"&gt;"&amp;CQ36,$BC$6:$BC$53,INDEX(T_Equipos[Grupo],MATCH(BD36,T_Equipos[NombreEquipo],0)))</f>
        <v>3</v>
      </c>
      <c r="CS36" s="756" t="str">
        <f ca="1">IF(COUNTIFS($CR$6:$CR$53,CR36,$BC$6:$BC$53,INDEX(T_Equipos[Grupo],MATCH(BD36,T_Equipos[NombreEquipo],0)))=1,"-","P."&amp;CR36&amp;" ("&amp;COUNTIFS($CR$6:$CR$53,CR36,$BC$6:$BC$53,INDEX(T_Equipos[Grupo],MATCH(BD36,T_Equipos[NombreEquipo],0)))&amp;")")</f>
        <v>P.3 (2)</v>
      </c>
      <c r="CT36" s="757">
        <f t="shared" ca="1" si="51"/>
        <v>1</v>
      </c>
      <c r="CU36" s="757">
        <f ca="1">CR36+COUNTIFS($CS$6:$CS$53,CS36,$CT$6:CT$53,"&gt;"&amp;CT36,$BC$6:$BC$53,INDEX(T_Equipos[Grupo],MATCH(BD36,T_Equipos[NombreEquipo],0)))</f>
        <v>3</v>
      </c>
      <c r="CV36" s="756" t="str">
        <f ca="1">IF(COUNTIFS($CU$6:$CU$53,CU36,$BC$6:$BC$53,INDEX(T_Equipos[Grupo],MATCH(BD36,T_Equipos[NombreEquipo],0)))=1,"-","P."&amp;CU36&amp;" ("&amp;COUNTIFS($CU$6:$CU$53,CU36,$BC$6:$BC$53,INDEX(T_Equipos[Grupo],MATCH(BD36,T_Equipos[NombreEquipo],0)))&amp;")")</f>
        <v>P.3 (2)</v>
      </c>
      <c r="CW36" s="756">
        <f t="shared" ca="1" si="30"/>
        <v>-4</v>
      </c>
      <c r="CX36" s="756">
        <f ca="1">CU36+COUNTIFS($CV$6:$CV$53,CV36,$CW$6:CW$53,"&gt;"&amp;CW36,$BC$6:$BC$53,INDEX(T_Equipos[Grupo],MATCH(BD36,T_Equipos[NombreEquipo],0)))</f>
        <v>4</v>
      </c>
      <c r="CY36" s="756" t="str">
        <f ca="1">IF(COUNTIFS($CX$6:$CX$53,CX36,$BC$6:$BC$53,INDEX(T_Equipos[Grupo],MATCH(BD36,T_Equipos[NombreEquipo],0)))=1,"-","P."&amp;CX36&amp;" ("&amp;COUNTIFS($CX$6:$CX$53,CX36,$BC$6:$BC$53,INDEX(T_Equipos[Grupo],MATCH(BD36,T_Equipos[NombreEquipo],0)))&amp;")")</f>
        <v>-</v>
      </c>
      <c r="CZ36" s="756" t="str">
        <f t="shared" ca="1" si="31"/>
        <v>-</v>
      </c>
      <c r="DA36" s="757">
        <f ca="1">CX36+COUNTIFS($CY$6:$CY$53,CY36,$CZ$6:CZ$53,"&gt;"&amp;CZ36,$BC$6:$BC$53,INDEX(T_Equipos[Grupo],MATCH(BD36,T_Equipos[NombreEquipo],0)))</f>
        <v>4</v>
      </c>
      <c r="DB36" s="756" t="str">
        <f ca="1">IF(COUNTIFS($DA$6:$DA$53,DA36,$BC$6:$BC$53,INDEX(T_Equipos[Grupo],MATCH(BD36,T_Equipos[NombreEquipo],0)))=1,"-","P."&amp;DA36&amp;" ("&amp;COUNTIFS($DA$6:$DA$53,DA36,$BC$6:$BC$53,INDEX(T_Equipos[Grupo],MATCH(BD36,T_Equipos[NombreEquipo],0)))&amp;")")</f>
        <v>-</v>
      </c>
      <c r="DC36" s="755" t="str">
        <f ca="1">IF(DB36="-","-",COUNTIFS(T_Equipos[Rank],"&lt;"&amp;INDEX(T_Equipos[Rank],MATCH(BD36,T_Equipos[NombreEquipo],0)),$BC$6:$BC$53,INDEX(T_Equipos[Grupo],MATCH(BD36,T_Equipos[NombreEquipo],0)))+1)</f>
        <v>-</v>
      </c>
      <c r="DD36" s="755">
        <f ca="1">DA36+COUNTIFS($DB$6:$DB$53,DB36,$DC$6:DC$53,"&lt;"&amp;DC36,$BC$6:$BC$53,INDEX(T_Equipos[Grupo],MATCH(BD36,T_Equipos[NombreEquipo],0)))</f>
        <v>4</v>
      </c>
      <c r="DE36" s="755"/>
      <c r="DF36" s="755">
        <f t="shared" ca="1" si="52"/>
        <v>4</v>
      </c>
      <c r="DG36" s="755" t="str">
        <f ca="1">IF(DB36="-","-",COUNTIFS(DF$6:DF$53,"&lt;"&amp;DF36,$BC$6:$BC$53,INDEX(T_Equipos[Grupo],MATCH(BD36,T_Equipos[NombreEquipo],0))))</f>
        <v>-</v>
      </c>
      <c r="DH36" s="755">
        <f ca="1">DA36+COUNTIFS(DB$6:DB$53,DB36,DG$6:DG$53,"&lt;"&amp;DG36,$BC$6:$BC$53,INDEX(T_Equipos[Grupo],MATCH(BD36,T_Equipos[NombreEquipo],0)))</f>
        <v>4</v>
      </c>
      <c r="DI36" s="743"/>
      <c r="DJ36" s="743">
        <f t="shared" ca="1" si="53"/>
        <v>3</v>
      </c>
      <c r="DK36" s="743">
        <f t="shared" ca="1" si="24"/>
        <v>12</v>
      </c>
      <c r="DL36" s="743">
        <f t="shared" ca="1" si="33"/>
        <v>1</v>
      </c>
      <c r="DM36" s="737" t="str">
        <f t="shared" ca="1" si="34"/>
        <v>3.1</v>
      </c>
      <c r="DN36" s="743" cm="1">
        <f t="array" aca="1" ref="DN36" ca="1">OFFSET(Horarios!$P$3,DJ36-1,0,DL36,1)</f>
        <v>3</v>
      </c>
      <c r="DO36" s="743"/>
      <c r="DP36" s="743" t="s">
        <v>436</v>
      </c>
      <c r="DQ36" s="743" t="str">
        <f t="shared" ca="1" si="35"/>
        <v>Uruguay</v>
      </c>
      <c r="DR36" s="743"/>
      <c r="DS36" s="743"/>
      <c r="DT36" s="743" t="str">
        <f t="shared" ca="1" si="15"/>
        <v>Germany-Curaçao</v>
      </c>
      <c r="DU36" s="743"/>
      <c r="DV36" s="743"/>
      <c r="DW36" s="8"/>
    </row>
    <row r="37" spans="1:127" ht="16.149999999999999" customHeight="1">
      <c r="A37" s="744" t="str">
        <f ca="1">+Equipos!B18</f>
        <v>Germany</v>
      </c>
      <c r="B37" s="741"/>
      <c r="C37" s="741"/>
      <c r="D37" s="743" t="str">
        <f t="shared" si="115"/>
        <v>Local</v>
      </c>
      <c r="E37" s="743" t="str">
        <f t="shared" ca="1" si="116"/>
        <v>P.1 (2)</v>
      </c>
      <c r="F37" s="743" t="str">
        <f t="shared" ca="1" si="117"/>
        <v>-</v>
      </c>
      <c r="G37" s="743"/>
      <c r="H37" s="743" t="str">
        <f t="shared" ca="1" si="118"/>
        <v>-</v>
      </c>
      <c r="I37" s="743" t="str">
        <f t="shared" ca="1" si="119"/>
        <v>-</v>
      </c>
      <c r="J37" s="743"/>
      <c r="K37" s="743" t="str">
        <f t="shared" ca="1" si="120"/>
        <v>-</v>
      </c>
      <c r="L37" s="743" t="str">
        <f t="shared" ca="1" si="121"/>
        <v>-</v>
      </c>
      <c r="M37" s="743"/>
      <c r="N37" s="743" t="str">
        <f t="shared" ca="1" si="122"/>
        <v>-</v>
      </c>
      <c r="O37" s="743" t="str">
        <f t="shared" ca="1" si="123"/>
        <v>-</v>
      </c>
      <c r="P37" s="743"/>
      <c r="Q37" s="743" t="str">
        <f t="shared" ca="1" si="124"/>
        <v>-</v>
      </c>
      <c r="R37" s="743" t="str">
        <f t="shared" ca="1" si="125"/>
        <v>-</v>
      </c>
      <c r="S37" s="743"/>
      <c r="T37" s="743" t="str">
        <f t="shared" ca="1" si="126"/>
        <v>-</v>
      </c>
      <c r="U37" s="743" t="str">
        <f t="shared" ca="1" si="127"/>
        <v>-</v>
      </c>
      <c r="V37" s="172"/>
      <c r="W37" s="815"/>
      <c r="X37" s="189">
        <f ca="1">Horarios!C37</f>
        <v>46188.041666666664</v>
      </c>
      <c r="Y37" s="190">
        <f ca="1">Horarios!C37</f>
        <v>46188.041666666664</v>
      </c>
      <c r="Z37" s="191" t="str">
        <f>$Z$4</f>
        <v>R1</v>
      </c>
      <c r="AA37" s="192" t="str">
        <f ca="1">A39</f>
        <v>Ivory Coast</v>
      </c>
      <c r="AB37" s="478" t="e" cm="1" vm="19">
        <f t="array" aca="1" ref="AB37" ca="1">Ver_flag_local</f>
        <v>#VALUE!</v>
      </c>
      <c r="AC37" s="193">
        <v>1</v>
      </c>
      <c r="AD37" s="194">
        <v>0</v>
      </c>
      <c r="AE37" s="483" t="e" cm="1" vm="20">
        <f t="array" aca="1" ref="AE37" ca="1">Ver_flag_visit</f>
        <v>#VALUE!</v>
      </c>
      <c r="AF37" s="195" t="str">
        <f ca="1">A40</f>
        <v>Ecuador</v>
      </c>
      <c r="AG37" s="413">
        <f t="shared" si="128"/>
        <v>1</v>
      </c>
      <c r="AH37" s="196">
        <v>9</v>
      </c>
      <c r="AI37" s="19"/>
      <c r="AJ37" s="204" t="str">
        <f>AJ5</f>
        <v>Pos</v>
      </c>
      <c r="AK37" s="205"/>
      <c r="AL37" s="206" t="str">
        <f t="shared" ref="AL37:AT37" si="130">AL5</f>
        <v>Nation</v>
      </c>
      <c r="AM37" s="205" t="str">
        <f t="shared" si="130"/>
        <v>Pts</v>
      </c>
      <c r="AN37" s="205" t="str">
        <f t="shared" si="130"/>
        <v>P</v>
      </c>
      <c r="AO37" s="205" t="str">
        <f t="shared" si="130"/>
        <v>W</v>
      </c>
      <c r="AP37" s="205" t="str">
        <f t="shared" si="130"/>
        <v>D</v>
      </c>
      <c r="AQ37" s="205" t="str">
        <f t="shared" si="130"/>
        <v>L</v>
      </c>
      <c r="AR37" s="205" t="str">
        <f t="shared" si="130"/>
        <v>F</v>
      </c>
      <c r="AS37" s="205" t="str">
        <f t="shared" si="130"/>
        <v>A</v>
      </c>
      <c r="AT37" s="207" t="str">
        <f t="shared" si="130"/>
        <v>GD</v>
      </c>
      <c r="AU37" s="421">
        <f t="shared" ref="AU37" ca="1" si="131">COUNTIF(AU38:AU41,"&gt;1")</f>
        <v>0</v>
      </c>
      <c r="AV37" s="208"/>
      <c r="AW37" s="208"/>
      <c r="AX37" s="255"/>
      <c r="AY37" s="209" t="str">
        <f>AL37</f>
        <v>Nation</v>
      </c>
      <c r="AZ37" s="210" t="str">
        <f>+Idiomas!$D$69</f>
        <v>Deducted Points</v>
      </c>
      <c r="BA37" s="175"/>
      <c r="BB37" s="743"/>
      <c r="BC37" s="755" t="str">
        <f ca="1">+INDEX(T_Equipos[Grupo],MATCH(WORLDCUP!BD37,T_Equipos[NombreEquipo],0))</f>
        <v>H</v>
      </c>
      <c r="BD37" s="743" t="str">
        <f ca="1">+Equipos!B33</f>
        <v>Uruguay</v>
      </c>
      <c r="BE37" s="747">
        <f t="shared" ca="1" si="25"/>
        <v>2</v>
      </c>
      <c r="BF37" s="747">
        <f t="shared" ca="1" si="26"/>
        <v>3</v>
      </c>
      <c r="BG37" s="747">
        <f t="shared" ca="1" si="17"/>
        <v>0</v>
      </c>
      <c r="BH37" s="747">
        <f t="shared" ca="1" si="18"/>
        <v>2</v>
      </c>
      <c r="BI37" s="747">
        <f t="shared" ca="1" si="19"/>
        <v>1</v>
      </c>
      <c r="BJ37" s="747">
        <f t="shared" ca="1" si="20"/>
        <v>3</v>
      </c>
      <c r="BK37" s="747">
        <f t="shared" ca="1" si="21"/>
        <v>4</v>
      </c>
      <c r="BL37" s="747">
        <f t="shared" ca="1" si="27"/>
        <v>-1</v>
      </c>
      <c r="BM37" s="747" t="str">
        <f t="shared" ca="1" si="22"/>
        <v>3H</v>
      </c>
      <c r="BN37" s="747" t="str">
        <f t="shared" ca="1" si="23"/>
        <v>3H</v>
      </c>
      <c r="BO37" s="757">
        <f t="shared" ca="1" si="28"/>
        <v>0</v>
      </c>
      <c r="BP37" s="756">
        <f ca="1">COUNTIFS($BO$6:$BO$53,"&gt;"&amp;BO37,$BC$6:$BC$53,INDEX(T_Equipos[Grupo],MATCH(BD37,T_Equipos[NombreEquipo],0)))+1</f>
        <v>1</v>
      </c>
      <c r="BQ37" s="756" t="str">
        <f ca="1">IF(COUNTIFS($BP$6:$BP$53,BP37,$BC$6:$BC$53,INDEX(T_Equipos[Grupo],MATCH(BD37,T_Equipos[NombreEquipo],0)))=1,"-","P."&amp;BP37&amp;" ("&amp;COUNTIFS($BP$6:$BP$53,BP37,$BC$6:$BC$53,INDEX(T_Equipos[Grupo],MATCH(BD37,T_Equipos[NombreEquipo],0)))&amp;")")</f>
        <v>P.1 (4)</v>
      </c>
      <c r="BR37" s="757">
        <f t="shared" ca="1" si="29"/>
        <v>2</v>
      </c>
      <c r="BS37" s="756">
        <f ca="1">BP37+COUNTIFS($BQ$6:$BQ$53,BQ37,$BR$6:BR$53,"&gt;"&amp;BR37,$BC$6:$BC$53,INDEX(T_Equipos[Grupo],MATCH(BD37,T_Equipos[NombreEquipo],0)))</f>
        <v>3</v>
      </c>
      <c r="BT37" s="756" t="str">
        <f ca="1">IF(COUNTIFS($BS$6:$BS$53,BS37,$BC$6:$BC$53,INDEX(T_Equipos[Grupo],MATCH(BD37,T_Equipos[NombreEquipo],0)))=1,"-","P."&amp;BS37&amp;" ("&amp;COUNTIFS($BS$6:$BS$53,BS37,$BC$6:$BC$53,INDEX(T_Equipos[Grupo],MATCH(BD37,T_Equipos[NombreEquipo],0)))&amp;")")</f>
        <v>P.3 (2)</v>
      </c>
      <c r="BU37" s="757">
        <f t="shared" ca="1" si="36"/>
        <v>0</v>
      </c>
      <c r="BV37" s="757">
        <f t="shared" ca="1" si="37"/>
        <v>1</v>
      </c>
      <c r="BW37" s="757">
        <f t="shared" ca="1" si="38"/>
        <v>0</v>
      </c>
      <c r="BX37" s="757">
        <f t="shared" ca="1" si="39"/>
        <v>1</v>
      </c>
      <c r="BY37" s="757">
        <f ca="1">BS37+COUNTIFS($BT$6:$BT$53,BT37,$BX$6:BX$53,"&gt;"&amp;BX37,$BC$6:$BC$53,INDEX(T_Equipos[Grupo],MATCH(BD37,T_Equipos[NombreEquipo],0)))</f>
        <v>3</v>
      </c>
      <c r="BZ37" s="756" t="str">
        <f ca="1">IF(COUNTIFS($BY$6:$BY$53,BY37,$BC$6:$BC$53,INDEX(T_Equipos[Grupo],MATCH(BD37,T_Equipos[NombreEquipo],0)))=1,"-","P."&amp;BY37&amp;" ("&amp;COUNTIFS($BY$6:$BY$53,BY37,$BC$6:$BC$53,INDEX(T_Equipos[Grupo],MATCH(BD37,T_Equipos[NombreEquipo],0)))&amp;")")</f>
        <v>P.3 (2)</v>
      </c>
      <c r="CA37" s="757">
        <f t="shared" ca="1" si="40"/>
        <v>1</v>
      </c>
      <c r="CB37" s="757">
        <f t="shared" ca="1" si="41"/>
        <v>1</v>
      </c>
      <c r="CC37" s="757">
        <f t="shared" ca="1" si="42"/>
        <v>0</v>
      </c>
      <c r="CD37" s="757">
        <f ca="1">BY37+COUNTIFS($BZ$6:$BZ$53,BZ37,$CC$6:CC$53,"&gt;"&amp;CC37,$BC$6:$BC$53,INDEX(T_Equipos[Grupo],MATCH(BD37,T_Equipos[NombreEquipo],0)))</f>
        <v>3</v>
      </c>
      <c r="CE37" s="756" t="str">
        <f ca="1">IF(COUNTIFS($CD$6:$CD$53,CD37,$BC$6:$BC$53,INDEX(T_Equipos[Grupo],MATCH(BD37,T_Equipos[NombreEquipo],0)))=1,"-","P."&amp;CD37&amp;" ("&amp;COUNTIFS($CD$6:$CD$53,CD37,$BC$6:$BC$53,INDEX(T_Equipos[Grupo],MATCH(BD37,T_Equipos[NombreEquipo],0)))&amp;")")</f>
        <v>P.3 (2)</v>
      </c>
      <c r="CF37" s="757">
        <f t="shared" ca="1" si="43"/>
        <v>1</v>
      </c>
      <c r="CG37" s="757">
        <f ca="1">CD37+COUNTIFS($CE$6:$CE$53,CE37,$CF$6:CF$53,"&gt;"&amp;CF37,$BC$6:$BC$53,INDEX(T_Equipos[Grupo],MATCH(BD37,T_Equipos[NombreEquipo],0)))</f>
        <v>3</v>
      </c>
      <c r="CH37" s="756" t="str">
        <f ca="1">IF(COUNTIFS($CG$6:$CG$53,CG37,$BC$6:$BC$53,INDEX(T_Equipos[Grupo],MATCH(BD37,T_Equipos[NombreEquipo],0)))=1,"-","P."&amp;CG37&amp;" ("&amp;COUNTIFS($CG$6:$CG$53,CG37,$BC$6:$BC$53,INDEX(T_Equipos[Grupo],MATCH(BD37,T_Equipos[NombreEquipo],0)))&amp;")")</f>
        <v>P.3 (2)</v>
      </c>
      <c r="CI37" s="757">
        <f t="shared" ca="1" si="44"/>
        <v>0</v>
      </c>
      <c r="CJ37" s="757">
        <f t="shared" ca="1" si="45"/>
        <v>1</v>
      </c>
      <c r="CK37" s="757">
        <f t="shared" ca="1" si="46"/>
        <v>0</v>
      </c>
      <c r="CL37" s="757">
        <f t="shared" ca="1" si="47"/>
        <v>1</v>
      </c>
      <c r="CM37" s="757">
        <f ca="1">CG37+COUNTIFS($CH$6:$CH$53,CH37,$CL$6:CL$53,"&gt;"&amp;CL37,$BC$6:$BC$53,INDEX(T_Equipos[Grupo],MATCH(BD37,T_Equipos[NombreEquipo],0)))</f>
        <v>3</v>
      </c>
      <c r="CN37" s="756" t="str">
        <f ca="1">IF(COUNTIFS($CM$6:$CM$53,CM37,$BC$6:$BC$53,INDEX(T_Equipos[Grupo],MATCH(BD37,T_Equipos[NombreEquipo],0)))=1,"-","P."&amp;CM37&amp;" ("&amp;COUNTIFS($CM$6:$CM$53,CM37,$BC$6:$BC$53,INDEX(T_Equipos[Grupo],MATCH(BD37,T_Equipos[NombreEquipo],0)))&amp;")")</f>
        <v>P.3 (2)</v>
      </c>
      <c r="CO37" s="757">
        <f t="shared" ca="1" si="48"/>
        <v>1</v>
      </c>
      <c r="CP37" s="757">
        <f t="shared" ca="1" si="49"/>
        <v>1</v>
      </c>
      <c r="CQ37" s="757">
        <f t="shared" ca="1" si="50"/>
        <v>0</v>
      </c>
      <c r="CR37" s="757">
        <f ca="1">CM37+COUNTIFS($CN$6:$CN$53,CN37,$CQ$6:CQ$53,"&gt;"&amp;CQ37,$BC$6:$BC$53,INDEX(T_Equipos[Grupo],MATCH(BD37,T_Equipos[NombreEquipo],0)))</f>
        <v>3</v>
      </c>
      <c r="CS37" s="756" t="str">
        <f ca="1">IF(COUNTIFS($CR$6:$CR$53,CR37,$BC$6:$BC$53,INDEX(T_Equipos[Grupo],MATCH(BD37,T_Equipos[NombreEquipo],0)))=1,"-","P."&amp;CR37&amp;" ("&amp;COUNTIFS($CR$6:$CR$53,CR37,$BC$6:$BC$53,INDEX(T_Equipos[Grupo],MATCH(BD37,T_Equipos[NombreEquipo],0)))&amp;")")</f>
        <v>P.3 (2)</v>
      </c>
      <c r="CT37" s="757">
        <f t="shared" ca="1" si="51"/>
        <v>1</v>
      </c>
      <c r="CU37" s="757">
        <f ca="1">CR37+COUNTIFS($CS$6:$CS$53,CS37,$CT$6:CT$53,"&gt;"&amp;CT37,$BC$6:$BC$53,INDEX(T_Equipos[Grupo],MATCH(BD37,T_Equipos[NombreEquipo],0)))</f>
        <v>3</v>
      </c>
      <c r="CV37" s="756" t="str">
        <f ca="1">IF(COUNTIFS($CU$6:$CU$53,CU37,$BC$6:$BC$53,INDEX(T_Equipos[Grupo],MATCH(BD37,T_Equipos[NombreEquipo],0)))=1,"-","P."&amp;CU37&amp;" ("&amp;COUNTIFS($CU$6:$CU$53,CU37,$BC$6:$BC$53,INDEX(T_Equipos[Grupo],MATCH(BD37,T_Equipos[NombreEquipo],0)))&amp;")")</f>
        <v>P.3 (2)</v>
      </c>
      <c r="CW37" s="756">
        <f t="shared" ca="1" si="30"/>
        <v>-1</v>
      </c>
      <c r="CX37" s="756">
        <f ca="1">CU37+COUNTIFS($CV$6:$CV$53,CV37,$CW$6:CW$53,"&gt;"&amp;CW37,$BC$6:$BC$53,INDEX(T_Equipos[Grupo],MATCH(BD37,T_Equipos[NombreEquipo],0)))</f>
        <v>3</v>
      </c>
      <c r="CY37" s="756" t="str">
        <f ca="1">IF(COUNTIFS($CX$6:$CX$53,CX37,$BC$6:$BC$53,INDEX(T_Equipos[Grupo],MATCH(BD37,T_Equipos[NombreEquipo],0)))=1,"-","P."&amp;CX37&amp;" ("&amp;COUNTIFS($CX$6:$CX$53,CX37,$BC$6:$BC$53,INDEX(T_Equipos[Grupo],MATCH(BD37,T_Equipos[NombreEquipo],0)))&amp;")")</f>
        <v>-</v>
      </c>
      <c r="CZ37" s="756" t="str">
        <f t="shared" ca="1" si="31"/>
        <v>-</v>
      </c>
      <c r="DA37" s="757">
        <f ca="1">CX37+COUNTIFS($CY$6:$CY$53,CY37,$CZ$6:CZ$53,"&gt;"&amp;CZ37,$BC$6:$BC$53,INDEX(T_Equipos[Grupo],MATCH(BD37,T_Equipos[NombreEquipo],0)))</f>
        <v>3</v>
      </c>
      <c r="DB37" s="756" t="str">
        <f ca="1">IF(COUNTIFS($DA$6:$DA$53,DA37,$BC$6:$BC$53,INDEX(T_Equipos[Grupo],MATCH(BD37,T_Equipos[NombreEquipo],0)))=1,"-","P."&amp;DA37&amp;" ("&amp;COUNTIFS($DA$6:$DA$53,DA37,$BC$6:$BC$53,INDEX(T_Equipos[Grupo],MATCH(BD37,T_Equipos[NombreEquipo],0)))&amp;")")</f>
        <v>-</v>
      </c>
      <c r="DC37" s="755" t="str">
        <f ca="1">IF(DB37="-","-",COUNTIFS(T_Equipos[Rank],"&lt;"&amp;INDEX(T_Equipos[Rank],MATCH(BD37,T_Equipos[NombreEquipo],0)),$BC$6:$BC$53,INDEX(T_Equipos[Grupo],MATCH(BD37,T_Equipos[NombreEquipo],0)))+1)</f>
        <v>-</v>
      </c>
      <c r="DD37" s="755">
        <f ca="1">DA37+COUNTIFS($DB$6:$DB$53,DB37,$DC$6:DC$53,"&lt;"&amp;DC37,$BC$6:$BC$53,INDEX(T_Equipos[Grupo],MATCH(BD37,T_Equipos[NombreEquipo],0)))</f>
        <v>3</v>
      </c>
      <c r="DE37" s="755"/>
      <c r="DF37" s="755">
        <f t="shared" ca="1" si="52"/>
        <v>3</v>
      </c>
      <c r="DG37" s="755" t="str">
        <f ca="1">IF(DB37="-","-",COUNTIFS(DF$6:DF$53,"&lt;"&amp;DF37,$BC$6:$BC$53,INDEX(T_Equipos[Grupo],MATCH(BD37,T_Equipos[NombreEquipo],0))))</f>
        <v>-</v>
      </c>
      <c r="DH37" s="755">
        <f ca="1">DA37+COUNTIFS(DB$6:DB$53,DB37,DG$6:DG$53,"&lt;"&amp;DG37,$BC$6:$BC$53,INDEX(T_Equipos[Grupo],MATCH(BD37,T_Equipos[NombreEquipo],0)))</f>
        <v>3</v>
      </c>
      <c r="DI37" s="743"/>
      <c r="DJ37" s="743">
        <f t="shared" ca="1" si="53"/>
        <v>4</v>
      </c>
      <c r="DK37" s="743">
        <f t="shared" ca="1" si="24"/>
        <v>12</v>
      </c>
      <c r="DL37" s="743">
        <f t="shared" ca="1" si="33"/>
        <v>1</v>
      </c>
      <c r="DM37" s="737" t="str">
        <f t="shared" ca="1" si="34"/>
        <v>4.1</v>
      </c>
      <c r="DN37" s="743" cm="1">
        <f t="array" aca="1" ref="DN37" ca="1">OFFSET(Horarios!$P$3,DJ37-1,0,DL37,1)</f>
        <v>4</v>
      </c>
      <c r="DO37" s="743"/>
      <c r="DP37" s="743" t="s">
        <v>672</v>
      </c>
      <c r="DQ37" s="743" t="str">
        <f t="shared" ca="1" si="35"/>
        <v>Saudi Arabia</v>
      </c>
      <c r="DR37" s="743"/>
      <c r="DS37" s="743"/>
      <c r="DT37" s="743" t="str">
        <f t="shared" ca="1" si="15"/>
        <v>Ivory Coast-Ecuador</v>
      </c>
      <c r="DU37" s="743"/>
      <c r="DV37" s="743"/>
      <c r="DW37" s="8"/>
    </row>
    <row r="38" spans="1:127" ht="16.149999999999999" customHeight="1">
      <c r="A38" s="744" t="str">
        <f ca="1">+Equipos!B19</f>
        <v>Curaçao</v>
      </c>
      <c r="B38" s="741"/>
      <c r="C38" s="745"/>
      <c r="D38" s="743" t="str">
        <f t="shared" si="115"/>
        <v>Local</v>
      </c>
      <c r="E38" s="743" t="str">
        <f t="shared" ca="1" si="116"/>
        <v>P.1 (2)</v>
      </c>
      <c r="F38" s="743" t="str">
        <f t="shared" ca="1" si="117"/>
        <v>P.1 (2)</v>
      </c>
      <c r="G38" s="743"/>
      <c r="H38" s="743" t="str">
        <f t="shared" ca="1" si="118"/>
        <v>-</v>
      </c>
      <c r="I38" s="743" t="str">
        <f t="shared" ca="1" si="119"/>
        <v>-</v>
      </c>
      <c r="J38" s="743"/>
      <c r="K38" s="743" t="str">
        <f t="shared" ca="1" si="120"/>
        <v>-</v>
      </c>
      <c r="L38" s="743" t="str">
        <f t="shared" ca="1" si="121"/>
        <v>-</v>
      </c>
      <c r="M38" s="743"/>
      <c r="N38" s="743" t="str">
        <f t="shared" ca="1" si="122"/>
        <v>-</v>
      </c>
      <c r="O38" s="743" t="str">
        <f t="shared" ca="1" si="123"/>
        <v>-</v>
      </c>
      <c r="P38" s="743"/>
      <c r="Q38" s="743" t="str">
        <f t="shared" ca="1" si="124"/>
        <v>-</v>
      </c>
      <c r="R38" s="743" t="str">
        <f t="shared" ca="1" si="125"/>
        <v>-</v>
      </c>
      <c r="S38" s="743"/>
      <c r="T38" s="743" t="str">
        <f t="shared" ca="1" si="126"/>
        <v>-</v>
      </c>
      <c r="U38" s="743" t="str">
        <f t="shared" ca="1" si="127"/>
        <v>-</v>
      </c>
      <c r="V38" s="172"/>
      <c r="W38" s="815"/>
      <c r="X38" s="189">
        <f ca="1">Horarios!C38</f>
        <v>46193.916666666664</v>
      </c>
      <c r="Y38" s="190">
        <f ca="1">Horarios!C38</f>
        <v>46193.916666666664</v>
      </c>
      <c r="Z38" s="191" t="str">
        <f>$Z$6</f>
        <v>R2</v>
      </c>
      <c r="AA38" s="192" t="str">
        <f ca="1">A37</f>
        <v>Germany</v>
      </c>
      <c r="AB38" s="478" t="e" cm="1" vm="17">
        <f t="array" aca="1" ref="AB38" ca="1">Ver_flag_local</f>
        <v>#VALUE!</v>
      </c>
      <c r="AC38" s="193">
        <v>2</v>
      </c>
      <c r="AD38" s="194">
        <v>1</v>
      </c>
      <c r="AE38" s="483" t="e" cm="1" vm="19">
        <f t="array" aca="1" ref="AE38" ca="1">Ver_flag_visit</f>
        <v>#VALUE!</v>
      </c>
      <c r="AF38" s="195" t="str">
        <f ca="1">A39</f>
        <v>Ivory Coast</v>
      </c>
      <c r="AG38" s="413">
        <f t="shared" si="128"/>
        <v>1</v>
      </c>
      <c r="AH38" s="196">
        <v>33</v>
      </c>
      <c r="AI38" s="19" t="str">
        <f>AJ38&amp;$B$36</f>
        <v>1E</v>
      </c>
      <c r="AJ38" s="211">
        <v>1</v>
      </c>
      <c r="AK38" s="488" t="e" cm="1" vm="17">
        <f t="array" aca="1" ref="AK38" ca="1">Ver_flag_visit</f>
        <v>#VALUE!</v>
      </c>
      <c r="AL38" s="212" t="str">
        <f ca="1">IFERROR(INDEX($BD$6:$BD$53,MATCH(AI38,$BN$6:$BN$53,0)),"")</f>
        <v>Germany</v>
      </c>
      <c r="AM38" s="213">
        <f t="shared" ref="AM38:AT41" ca="1" si="132">INDEX($BE$6:$BN$53,MATCH($AL38,$BD$6:$BD$53,0),MATCH(AM$5,$BE$5:$BN$5,0))</f>
        <v>6</v>
      </c>
      <c r="AN38" s="214">
        <f t="shared" ca="1" si="132"/>
        <v>3</v>
      </c>
      <c r="AO38" s="214">
        <f t="shared" ca="1" si="132"/>
        <v>2</v>
      </c>
      <c r="AP38" s="214">
        <f t="shared" ca="1" si="132"/>
        <v>0</v>
      </c>
      <c r="AQ38" s="214">
        <f t="shared" ca="1" si="132"/>
        <v>1</v>
      </c>
      <c r="AR38" s="214">
        <f t="shared" ca="1" si="132"/>
        <v>10</v>
      </c>
      <c r="AS38" s="214">
        <f t="shared" ca="1" si="132"/>
        <v>4</v>
      </c>
      <c r="AT38" s="215">
        <f t="shared" ca="1" si="132"/>
        <v>6</v>
      </c>
      <c r="AU38" s="420">
        <f ca="1">INDEX($DL$6:$DL$53,MATCH(AI38,$DP$6:$DP$53,0))</f>
        <v>1</v>
      </c>
      <c r="AV38" s="217" t="str">
        <f ca="1">INDEX($BD$6:$BD$53,MATCH(AI38,$BM$6:$BM$53,0))</f>
        <v>Germany</v>
      </c>
      <c r="AW38" s="427"/>
      <c r="AX38" s="218"/>
      <c r="AY38" s="219" t="str">
        <f ca="1">+A37</f>
        <v>Germany</v>
      </c>
      <c r="AZ38" s="220"/>
      <c r="BA38" s="175"/>
      <c r="BB38" s="743"/>
      <c r="BC38" s="755" t="str">
        <f ca="1">+INDEX(T_Equipos[Grupo],MATCH(WORLDCUP!BD38,T_Equipos[NombreEquipo],0))</f>
        <v>I</v>
      </c>
      <c r="BD38" s="743" t="str">
        <f ca="1">+Equipos!B34</f>
        <v>France</v>
      </c>
      <c r="BE38" s="747">
        <f t="shared" ca="1" si="25"/>
        <v>9</v>
      </c>
      <c r="BF38" s="747">
        <f t="shared" ca="1" si="26"/>
        <v>3</v>
      </c>
      <c r="BG38" s="747">
        <f t="shared" ca="1" si="17"/>
        <v>3</v>
      </c>
      <c r="BH38" s="747">
        <f t="shared" ca="1" si="18"/>
        <v>0</v>
      </c>
      <c r="BI38" s="747">
        <f t="shared" ca="1" si="19"/>
        <v>0</v>
      </c>
      <c r="BJ38" s="747">
        <f t="shared" ca="1" si="20"/>
        <v>10</v>
      </c>
      <c r="BK38" s="747">
        <f t="shared" ca="1" si="21"/>
        <v>2</v>
      </c>
      <c r="BL38" s="747">
        <f t="shared" ca="1" si="27"/>
        <v>8</v>
      </c>
      <c r="BM38" s="747" t="str">
        <f t="shared" ca="1" si="22"/>
        <v>1I</v>
      </c>
      <c r="BN38" s="747" t="str">
        <f t="shared" ca="1" si="23"/>
        <v>1I</v>
      </c>
      <c r="BO38" s="756">
        <f t="shared" ca="1" si="28"/>
        <v>0</v>
      </c>
      <c r="BP38" s="756">
        <f ca="1">COUNTIFS($BO$6:$BO$53,"&gt;"&amp;BO38,$BC$6:$BC$53,INDEX(T_Equipos[Grupo],MATCH(BD38,T_Equipos[NombreEquipo],0)))+1</f>
        <v>1</v>
      </c>
      <c r="BQ38" s="756" t="str">
        <f ca="1">IF(COUNTIFS($BP$6:$BP$53,BP38,$BC$6:$BC$53,INDEX(T_Equipos[Grupo],MATCH(BD38,T_Equipos[NombreEquipo],0)))=1,"-","P."&amp;BP38&amp;" ("&amp;COUNTIFS($BP$6:$BP$53,BP38,$BC$6:$BC$53,INDEX(T_Equipos[Grupo],MATCH(BD38,T_Equipos[NombreEquipo],0)))&amp;")")</f>
        <v>P.1 (4)</v>
      </c>
      <c r="BR38" s="756">
        <f t="shared" ca="1" si="29"/>
        <v>9</v>
      </c>
      <c r="BS38" s="756">
        <f ca="1">BP38+COUNTIFS($BQ$6:$BQ$53,BQ38,$BR$6:BR$53,"&gt;"&amp;BR38,$BC$6:$BC$53,INDEX(T_Equipos[Grupo],MATCH(BD38,T_Equipos[NombreEquipo],0)))</f>
        <v>1</v>
      </c>
      <c r="BT38" s="756" t="str">
        <f ca="1">IF(COUNTIFS($BS$6:$BS$53,BS38,$BC$6:$BC$53,INDEX(T_Equipos[Grupo],MATCH(BD38,T_Equipos[NombreEquipo],0)))=1,"-","P."&amp;BS38&amp;" ("&amp;COUNTIFS($BS$6:$BS$53,BS38,$BC$6:$BC$53,INDEX(T_Equipos[Grupo],MATCH(BD38,T_Equipos[NombreEquipo],0)))&amp;")")</f>
        <v>-</v>
      </c>
      <c r="BU38" s="757" t="str">
        <f t="shared" ca="1" si="36"/>
        <v>-</v>
      </c>
      <c r="BV38" s="757" t="str">
        <f t="shared" ca="1" si="37"/>
        <v>-</v>
      </c>
      <c r="BW38" s="757" t="str">
        <f t="shared" ca="1" si="38"/>
        <v>-</v>
      </c>
      <c r="BX38" s="757" t="str">
        <f t="shared" ca="1" si="39"/>
        <v>-</v>
      </c>
      <c r="BY38" s="757">
        <f ca="1">BS38+COUNTIFS($BT$6:$BT$53,BT38,$BX$6:BX$53,"&gt;"&amp;BX38,$BC$6:$BC$53,INDEX(T_Equipos[Grupo],MATCH(BD38,T_Equipos[NombreEquipo],0)))</f>
        <v>1</v>
      </c>
      <c r="BZ38" s="756" t="str">
        <f ca="1">IF(COUNTIFS($BY$6:$BY$53,BY38,$BC$6:$BC$53,INDEX(T_Equipos[Grupo],MATCH(BD38,T_Equipos[NombreEquipo],0)))=1,"-","P."&amp;BY38&amp;" ("&amp;COUNTIFS($BY$6:$BY$53,BY38,$BC$6:$BC$53,INDEX(T_Equipos[Grupo],MATCH(BD38,T_Equipos[NombreEquipo],0)))&amp;")")</f>
        <v>-</v>
      </c>
      <c r="CA38" s="757" t="str">
        <f t="shared" ca="1" si="40"/>
        <v>-</v>
      </c>
      <c r="CB38" s="757" t="str">
        <f t="shared" ca="1" si="41"/>
        <v>-</v>
      </c>
      <c r="CC38" s="757" t="str">
        <f t="shared" ca="1" si="42"/>
        <v>-</v>
      </c>
      <c r="CD38" s="757">
        <f ca="1">BY38+COUNTIFS($BZ$6:$BZ$53,BZ38,$CC$6:CC$53,"&gt;"&amp;CC38,$BC$6:$BC$53,INDEX(T_Equipos[Grupo],MATCH(BD38,T_Equipos[NombreEquipo],0)))</f>
        <v>1</v>
      </c>
      <c r="CE38" s="756" t="str">
        <f ca="1">IF(COUNTIFS($CD$6:$CD$53,CD38,$BC$6:$BC$53,INDEX(T_Equipos[Grupo],MATCH(BD38,T_Equipos[NombreEquipo],0)))=1,"-","P."&amp;CD38&amp;" ("&amp;COUNTIFS($CD$6:$CD$53,CD38,$BC$6:$BC$53,INDEX(T_Equipos[Grupo],MATCH(BD38,T_Equipos[NombreEquipo],0)))&amp;")")</f>
        <v>-</v>
      </c>
      <c r="CF38" s="757" t="str">
        <f t="shared" ca="1" si="43"/>
        <v>-</v>
      </c>
      <c r="CG38" s="757">
        <f ca="1">CD38+COUNTIFS($CE$6:$CE$53,CE38,$CF$6:CF$53,"&gt;"&amp;CF38,$BC$6:$BC$53,INDEX(T_Equipos[Grupo],MATCH(BD38,T_Equipos[NombreEquipo],0)))</f>
        <v>1</v>
      </c>
      <c r="CH38" s="756" t="str">
        <f ca="1">IF(COUNTIFS($CG$6:$CG$53,CG38,$BC$6:$BC$53,INDEX(T_Equipos[Grupo],MATCH(BD38,T_Equipos[NombreEquipo],0)))=1,"-","P."&amp;CG38&amp;" ("&amp;COUNTIFS($CG$6:$CG$53,CG38,$BC$6:$BC$53,INDEX(T_Equipos[Grupo],MATCH(BD38,T_Equipos[NombreEquipo],0)))&amp;")")</f>
        <v>-</v>
      </c>
      <c r="CI38" s="757" t="str">
        <f t="shared" ca="1" si="44"/>
        <v>-</v>
      </c>
      <c r="CJ38" s="757" t="str">
        <f t="shared" ca="1" si="45"/>
        <v>-</v>
      </c>
      <c r="CK38" s="757" t="str">
        <f t="shared" ca="1" si="46"/>
        <v>-</v>
      </c>
      <c r="CL38" s="757" t="str">
        <f t="shared" ca="1" si="47"/>
        <v>-</v>
      </c>
      <c r="CM38" s="757">
        <f ca="1">CG38+COUNTIFS($CH$6:$CH$53,CH38,$CL$6:CL$53,"&gt;"&amp;CL38,$BC$6:$BC$53,INDEX(T_Equipos[Grupo],MATCH(BD38,T_Equipos[NombreEquipo],0)))</f>
        <v>1</v>
      </c>
      <c r="CN38" s="756" t="str">
        <f ca="1">IF(COUNTIFS($CM$6:$CM$53,CM38,$BC$6:$BC$53,INDEX(T_Equipos[Grupo],MATCH(BD38,T_Equipos[NombreEquipo],0)))=1,"-","P."&amp;CM38&amp;" ("&amp;COUNTIFS($CM$6:$CM$53,CM38,$BC$6:$BC$53,INDEX(T_Equipos[Grupo],MATCH(BD38,T_Equipos[NombreEquipo],0)))&amp;")")</f>
        <v>-</v>
      </c>
      <c r="CO38" s="757" t="str">
        <f t="shared" ca="1" si="48"/>
        <v>-</v>
      </c>
      <c r="CP38" s="757" t="str">
        <f t="shared" ca="1" si="49"/>
        <v>-</v>
      </c>
      <c r="CQ38" s="757" t="str">
        <f t="shared" ca="1" si="50"/>
        <v>-</v>
      </c>
      <c r="CR38" s="757">
        <f ca="1">CM38+COUNTIFS($CN$6:$CN$53,CN38,$CQ$6:CQ$53,"&gt;"&amp;CQ38,$BC$6:$BC$53,INDEX(T_Equipos[Grupo],MATCH(BD38,T_Equipos[NombreEquipo],0)))</f>
        <v>1</v>
      </c>
      <c r="CS38" s="756" t="str">
        <f ca="1">IF(COUNTIFS($CR$6:$CR$53,CR38,$BC$6:$BC$53,INDEX(T_Equipos[Grupo],MATCH(BD38,T_Equipos[NombreEquipo],0)))=1,"-","P."&amp;CR38&amp;" ("&amp;COUNTIFS($CR$6:$CR$53,CR38,$BC$6:$BC$53,INDEX(T_Equipos[Grupo],MATCH(BD38,T_Equipos[NombreEquipo],0)))&amp;")")</f>
        <v>-</v>
      </c>
      <c r="CT38" s="757" t="str">
        <f t="shared" ca="1" si="51"/>
        <v>-</v>
      </c>
      <c r="CU38" s="757">
        <f ca="1">CR38+COUNTIFS($CS$6:$CS$53,CS38,$CT$6:CT$53,"&gt;"&amp;CT38,$BC$6:$BC$53,INDEX(T_Equipos[Grupo],MATCH(BD38,T_Equipos[NombreEquipo],0)))</f>
        <v>1</v>
      </c>
      <c r="CV38" s="756" t="str">
        <f ca="1">IF(COUNTIFS($CU$6:$CU$53,CU38,$BC$6:$BC$53,INDEX(T_Equipos[Grupo],MATCH(BD38,T_Equipos[NombreEquipo],0)))=1,"-","P."&amp;CU38&amp;" ("&amp;COUNTIFS($CU$6:$CU$53,CU38,$BC$6:$BC$53,INDEX(T_Equipos[Grupo],MATCH(BD38,T_Equipos[NombreEquipo],0)))&amp;")")</f>
        <v>-</v>
      </c>
      <c r="CW38" s="756" t="str">
        <f t="shared" ca="1" si="30"/>
        <v>-</v>
      </c>
      <c r="CX38" s="756">
        <f ca="1">CU38+COUNTIFS($CV$6:$CV$53,CV38,$CW$6:CW$53,"&gt;"&amp;CW38,$BC$6:$BC$53,INDEX(T_Equipos[Grupo],MATCH(BD38,T_Equipos[NombreEquipo],0)))</f>
        <v>1</v>
      </c>
      <c r="CY38" s="756" t="str">
        <f ca="1">IF(COUNTIFS($CX$6:$CX$53,CX38,$BC$6:$BC$53,INDEX(T_Equipos[Grupo],MATCH(BD38,T_Equipos[NombreEquipo],0)))=1,"-","P."&amp;CX38&amp;" ("&amp;COUNTIFS($CX$6:$CX$53,CX38,$BC$6:$BC$53,INDEX(T_Equipos[Grupo],MATCH(BD38,T_Equipos[NombreEquipo],0)))&amp;")")</f>
        <v>-</v>
      </c>
      <c r="CZ38" s="756" t="str">
        <f t="shared" ca="1" si="31"/>
        <v>-</v>
      </c>
      <c r="DA38" s="757">
        <f ca="1">CX38+COUNTIFS($CY$6:$CY$53,CY38,$CZ$6:CZ$53,"&gt;"&amp;CZ38,$BC$6:$BC$53,INDEX(T_Equipos[Grupo],MATCH(BD38,T_Equipos[NombreEquipo],0)))</f>
        <v>1</v>
      </c>
      <c r="DB38" s="756" t="str">
        <f ca="1">IF(COUNTIFS($DA$6:$DA$53,DA38,$BC$6:$BC$53,INDEX(T_Equipos[Grupo],MATCH(BD38,T_Equipos[NombreEquipo],0)))=1,"-","P."&amp;DA38&amp;" ("&amp;COUNTIFS($DA$6:$DA$53,DA38,$BC$6:$BC$53,INDEX(T_Equipos[Grupo],MATCH(BD38,T_Equipos[NombreEquipo],0)))&amp;")")</f>
        <v>-</v>
      </c>
      <c r="DC38" s="755" t="str">
        <f ca="1">IF(DB38="-","-",COUNTIFS(T_Equipos[Rank],"&lt;"&amp;INDEX(T_Equipos[Rank],MATCH(BD38,T_Equipos[NombreEquipo],0)),$BC$6:$BC$53,INDEX(T_Equipos[Grupo],MATCH(BD38,T_Equipos[NombreEquipo],0)))+1)</f>
        <v>-</v>
      </c>
      <c r="DD38" s="755">
        <f ca="1">DA38+COUNTIFS($DB$6:$DB$53,DB38,$DC$6:DC$53,"&lt;"&amp;DC38,$BC$6:$BC$53,INDEX(T_Equipos[Grupo],MATCH(BD38,T_Equipos[NombreEquipo],0)))</f>
        <v>1</v>
      </c>
      <c r="DE38" s="755"/>
      <c r="DF38" s="755">
        <f t="shared" ca="1" si="52"/>
        <v>1</v>
      </c>
      <c r="DG38" s="755" t="str">
        <f ca="1">IF(DB38="-","-",COUNTIFS(DF$6:DF$53,"&lt;"&amp;DF38,$BC$6:$BC$53,INDEX(T_Equipos[Grupo],MATCH(BD38,T_Equipos[NombreEquipo],0))))</f>
        <v>-</v>
      </c>
      <c r="DH38" s="755">
        <f ca="1">DA38+COUNTIFS(DB$6:DB$53,DB38,DG$6:DG$53,"&lt;"&amp;DG38,$BC$6:$BC$53,INDEX(T_Equipos[Grupo],MATCH(BD38,T_Equipos[NombreEquipo],0)))</f>
        <v>1</v>
      </c>
      <c r="DI38" s="743"/>
      <c r="DJ38" s="743">
        <f t="shared" ca="1" si="53"/>
        <v>1</v>
      </c>
      <c r="DK38" s="743">
        <f t="shared" ca="1" si="24"/>
        <v>12</v>
      </c>
      <c r="DL38" s="743">
        <f t="shared" ca="1" si="33"/>
        <v>1</v>
      </c>
      <c r="DM38" s="737" t="str">
        <f t="shared" ca="1" si="34"/>
        <v>1.1</v>
      </c>
      <c r="DN38" s="743" cm="1">
        <f t="array" aca="1" ref="DN38" ca="1">OFFSET(Horarios!$P$3,DJ38-1,0,DL38,1)</f>
        <v>1</v>
      </c>
      <c r="DO38" s="743"/>
      <c r="DP38" s="743" t="s">
        <v>673</v>
      </c>
      <c r="DQ38" s="743" t="str">
        <f t="shared" ca="1" si="35"/>
        <v>France</v>
      </c>
      <c r="DR38" s="743"/>
      <c r="DS38" s="743"/>
      <c r="DT38" s="743" t="str">
        <f t="shared" ca="1" si="15"/>
        <v>Germany-Ivory Coast</v>
      </c>
      <c r="DU38" s="743"/>
      <c r="DV38" s="743"/>
      <c r="DW38" s="8"/>
    </row>
    <row r="39" spans="1:127" ht="16.149999999999999" customHeight="1">
      <c r="A39" s="744" t="str">
        <f ca="1">+Equipos!B20</f>
        <v>Ivory Coast</v>
      </c>
      <c r="B39" s="741"/>
      <c r="C39" s="743"/>
      <c r="D39" s="743" t="str">
        <f t="shared" si="115"/>
        <v>Empate</v>
      </c>
      <c r="E39" s="743" t="str">
        <f t="shared" ca="1" si="116"/>
        <v>-</v>
      </c>
      <c r="F39" s="743" t="str">
        <f t="shared" ca="1" si="117"/>
        <v>-</v>
      </c>
      <c r="G39" s="743"/>
      <c r="H39" s="743" t="str">
        <f t="shared" ca="1" si="118"/>
        <v>-</v>
      </c>
      <c r="I39" s="743" t="str">
        <f t="shared" ca="1" si="119"/>
        <v>-</v>
      </c>
      <c r="J39" s="743"/>
      <c r="K39" s="743" t="str">
        <f t="shared" ca="1" si="120"/>
        <v>-</v>
      </c>
      <c r="L39" s="743" t="str">
        <f t="shared" ca="1" si="121"/>
        <v>-</v>
      </c>
      <c r="M39" s="743"/>
      <c r="N39" s="743" t="str">
        <f t="shared" ca="1" si="122"/>
        <v>-</v>
      </c>
      <c r="O39" s="743" t="str">
        <f t="shared" ca="1" si="123"/>
        <v>-</v>
      </c>
      <c r="P39" s="743"/>
      <c r="Q39" s="743" t="str">
        <f t="shared" ca="1" si="124"/>
        <v>-</v>
      </c>
      <c r="R39" s="743" t="str">
        <f t="shared" ca="1" si="125"/>
        <v>-</v>
      </c>
      <c r="S39" s="743"/>
      <c r="T39" s="743" t="str">
        <f t="shared" ca="1" si="126"/>
        <v>-</v>
      </c>
      <c r="U39" s="743" t="str">
        <f t="shared" ca="1" si="127"/>
        <v>-</v>
      </c>
      <c r="V39" s="172"/>
      <c r="W39" s="815"/>
      <c r="X39" s="189">
        <f ca="1">Horarios!C39</f>
        <v>46194.083333333336</v>
      </c>
      <c r="Y39" s="190">
        <f ca="1">Horarios!C39</f>
        <v>46194.083333333336</v>
      </c>
      <c r="Z39" s="191" t="str">
        <f>$Z$6</f>
        <v>R2</v>
      </c>
      <c r="AA39" s="192" t="str">
        <f ca="1">A40</f>
        <v>Ecuador</v>
      </c>
      <c r="AB39" s="478" t="e" cm="1" vm="20">
        <f t="array" aca="1" ref="AB39" ca="1">Ver_flag_local</f>
        <v>#VALUE!</v>
      </c>
      <c r="AC39" s="193">
        <v>0</v>
      </c>
      <c r="AD39" s="194">
        <v>0</v>
      </c>
      <c r="AE39" s="483" t="e" cm="1" vm="18">
        <f t="array" aca="1" ref="AE39" ca="1">Ver_flag_visit</f>
        <v>#VALUE!</v>
      </c>
      <c r="AF39" s="195" t="str">
        <f ca="1">A38</f>
        <v>Curaçao</v>
      </c>
      <c r="AG39" s="413">
        <f t="shared" si="128"/>
        <v>1</v>
      </c>
      <c r="AH39" s="196">
        <v>34</v>
      </c>
      <c r="AI39" s="19" t="str">
        <f t="shared" ref="AI39:AI41" si="133">AJ39&amp;$B$36</f>
        <v>2E</v>
      </c>
      <c r="AJ39" s="221">
        <v>2</v>
      </c>
      <c r="AK39" s="486" t="e" cm="1" vm="19">
        <f t="array" aca="1" ref="AK39" ca="1">Ver_flag_visit</f>
        <v>#VALUE!</v>
      </c>
      <c r="AL39" s="222" t="str">
        <f ca="1">IFERROR(INDEX($BD$6:$BD$53,MATCH(AI39,$BN$6:$BN$53,0)),"")</f>
        <v>Ivory Coast</v>
      </c>
      <c r="AM39" s="223">
        <f t="shared" ca="1" si="132"/>
        <v>6</v>
      </c>
      <c r="AN39" s="224">
        <f t="shared" ca="1" si="132"/>
        <v>3</v>
      </c>
      <c r="AO39" s="224">
        <f t="shared" ca="1" si="132"/>
        <v>2</v>
      </c>
      <c r="AP39" s="224">
        <f t="shared" ca="1" si="132"/>
        <v>0</v>
      </c>
      <c r="AQ39" s="224">
        <f t="shared" ca="1" si="132"/>
        <v>1</v>
      </c>
      <c r="AR39" s="224">
        <f t="shared" ca="1" si="132"/>
        <v>4</v>
      </c>
      <c r="AS39" s="224">
        <f t="shared" ca="1" si="132"/>
        <v>2</v>
      </c>
      <c r="AT39" s="225">
        <f t="shared" ca="1" si="132"/>
        <v>2</v>
      </c>
      <c r="AU39" s="420">
        <f ca="1">INDEX($DL$6:$DL$53,MATCH(AI39,$DP$6:$DP$53,0))</f>
        <v>1</v>
      </c>
      <c r="AV39" s="217" t="str">
        <f ca="1">INDEX($BD$6:$BD$53,MATCH(AI39,$BM$6:$BM$53,0))</f>
        <v>Ivory Coast</v>
      </c>
      <c r="AW39" s="427"/>
      <c r="AX39" s="218"/>
      <c r="AY39" s="226" t="str">
        <f ca="1">+A38</f>
        <v>Curaçao</v>
      </c>
      <c r="AZ39" s="227"/>
      <c r="BA39" s="175"/>
      <c r="BB39" s="743"/>
      <c r="BC39" s="755" t="str">
        <f ca="1">+INDEX(T_Equipos[Grupo],MATCH(WORLDCUP!BD39,T_Equipos[NombreEquipo],0))</f>
        <v>I</v>
      </c>
      <c r="BD39" s="743" t="str">
        <f ca="1">+Equipos!B35</f>
        <v>Senegal</v>
      </c>
      <c r="BE39" s="747">
        <f t="shared" ca="1" si="25"/>
        <v>3</v>
      </c>
      <c r="BF39" s="747">
        <f t="shared" ca="1" si="26"/>
        <v>3</v>
      </c>
      <c r="BG39" s="747">
        <f t="shared" ca="1" si="17"/>
        <v>1</v>
      </c>
      <c r="BH39" s="747">
        <f t="shared" ca="1" si="18"/>
        <v>0</v>
      </c>
      <c r="BI39" s="747">
        <f t="shared" ca="1" si="19"/>
        <v>2</v>
      </c>
      <c r="BJ39" s="747">
        <f t="shared" ca="1" si="20"/>
        <v>8</v>
      </c>
      <c r="BK39" s="747">
        <f t="shared" ca="1" si="21"/>
        <v>6</v>
      </c>
      <c r="BL39" s="747">
        <f t="shared" ca="1" si="27"/>
        <v>2</v>
      </c>
      <c r="BM39" s="747" t="str">
        <f t="shared" ca="1" si="22"/>
        <v>3I</v>
      </c>
      <c r="BN39" s="747" t="str">
        <f t="shared" ca="1" si="23"/>
        <v>3I</v>
      </c>
      <c r="BO39" s="756">
        <f t="shared" ca="1" si="28"/>
        <v>0</v>
      </c>
      <c r="BP39" s="756">
        <f ca="1">COUNTIFS($BO$6:$BO$53,"&gt;"&amp;BO39,$BC$6:$BC$53,INDEX(T_Equipos[Grupo],MATCH(BD39,T_Equipos[NombreEquipo],0)))+1</f>
        <v>1</v>
      </c>
      <c r="BQ39" s="756" t="str">
        <f ca="1">IF(COUNTIFS($BP$6:$BP$53,BP39,$BC$6:$BC$53,INDEX(T_Equipos[Grupo],MATCH(BD39,T_Equipos[NombreEquipo],0)))=1,"-","P."&amp;BP39&amp;" ("&amp;COUNTIFS($BP$6:$BP$53,BP39,$BC$6:$BC$53,INDEX(T_Equipos[Grupo],MATCH(BD39,T_Equipos[NombreEquipo],0)))&amp;")")</f>
        <v>P.1 (4)</v>
      </c>
      <c r="BR39" s="756">
        <f t="shared" ca="1" si="29"/>
        <v>3</v>
      </c>
      <c r="BS39" s="756">
        <f ca="1">BP39+COUNTIFS($BQ$6:$BQ$53,BQ39,$BR$6:BR$53,"&gt;"&amp;BR39,$BC$6:$BC$53,INDEX(T_Equipos[Grupo],MATCH(BD39,T_Equipos[NombreEquipo],0)))</f>
        <v>3</v>
      </c>
      <c r="BT39" s="756" t="str">
        <f ca="1">IF(COUNTIFS($BS$6:$BS$53,BS39,$BC$6:$BC$53,INDEX(T_Equipos[Grupo],MATCH(BD39,T_Equipos[NombreEquipo],0)))=1,"-","P."&amp;BS39&amp;" ("&amp;COUNTIFS($BS$6:$BS$53,BS39,$BC$6:$BC$53,INDEX(T_Equipos[Grupo],MATCH(BD39,T_Equipos[NombreEquipo],0)))&amp;")")</f>
        <v>-</v>
      </c>
      <c r="BU39" s="757" t="str">
        <f t="shared" ca="1" si="36"/>
        <v>-</v>
      </c>
      <c r="BV39" s="757" t="str">
        <f t="shared" ca="1" si="37"/>
        <v>-</v>
      </c>
      <c r="BW39" s="757" t="str">
        <f t="shared" ca="1" si="38"/>
        <v>-</v>
      </c>
      <c r="BX39" s="757" t="str">
        <f t="shared" ca="1" si="39"/>
        <v>-</v>
      </c>
      <c r="BY39" s="757">
        <f ca="1">BS39+COUNTIFS($BT$6:$BT$53,BT39,$BX$6:BX$53,"&gt;"&amp;BX39,$BC$6:$BC$53,INDEX(T_Equipos[Grupo],MATCH(BD39,T_Equipos[NombreEquipo],0)))</f>
        <v>3</v>
      </c>
      <c r="BZ39" s="756" t="str">
        <f ca="1">IF(COUNTIFS($BY$6:$BY$53,BY39,$BC$6:$BC$53,INDEX(T_Equipos[Grupo],MATCH(BD39,T_Equipos[NombreEquipo],0)))=1,"-","P."&amp;BY39&amp;" ("&amp;COUNTIFS($BY$6:$BY$53,BY39,$BC$6:$BC$53,INDEX(T_Equipos[Grupo],MATCH(BD39,T_Equipos[NombreEquipo],0)))&amp;")")</f>
        <v>-</v>
      </c>
      <c r="CA39" s="757" t="str">
        <f t="shared" ca="1" si="40"/>
        <v>-</v>
      </c>
      <c r="CB39" s="757" t="str">
        <f t="shared" ca="1" si="41"/>
        <v>-</v>
      </c>
      <c r="CC39" s="757" t="str">
        <f t="shared" ca="1" si="42"/>
        <v>-</v>
      </c>
      <c r="CD39" s="757">
        <f ca="1">BY39+COUNTIFS($BZ$6:$BZ$53,BZ39,$CC$6:CC$53,"&gt;"&amp;CC39,$BC$6:$BC$53,INDEX(T_Equipos[Grupo],MATCH(BD39,T_Equipos[NombreEquipo],0)))</f>
        <v>3</v>
      </c>
      <c r="CE39" s="756" t="str">
        <f ca="1">IF(COUNTIFS($CD$6:$CD$53,CD39,$BC$6:$BC$53,INDEX(T_Equipos[Grupo],MATCH(BD39,T_Equipos[NombreEquipo],0)))=1,"-","P."&amp;CD39&amp;" ("&amp;COUNTIFS($CD$6:$CD$53,CD39,$BC$6:$BC$53,INDEX(T_Equipos[Grupo],MATCH(BD39,T_Equipos[NombreEquipo],0)))&amp;")")</f>
        <v>-</v>
      </c>
      <c r="CF39" s="757" t="str">
        <f t="shared" ca="1" si="43"/>
        <v>-</v>
      </c>
      <c r="CG39" s="757">
        <f ca="1">CD39+COUNTIFS($CE$6:$CE$53,CE39,$CF$6:CF$53,"&gt;"&amp;CF39,$BC$6:$BC$53,INDEX(T_Equipos[Grupo],MATCH(BD39,T_Equipos[NombreEquipo],0)))</f>
        <v>3</v>
      </c>
      <c r="CH39" s="756" t="str">
        <f ca="1">IF(COUNTIFS($CG$6:$CG$53,CG39,$BC$6:$BC$53,INDEX(T_Equipos[Grupo],MATCH(BD39,T_Equipos[NombreEquipo],0)))=1,"-","P."&amp;CG39&amp;" ("&amp;COUNTIFS($CG$6:$CG$53,CG39,$BC$6:$BC$53,INDEX(T_Equipos[Grupo],MATCH(BD39,T_Equipos[NombreEquipo],0)))&amp;")")</f>
        <v>-</v>
      </c>
      <c r="CI39" s="757" t="str">
        <f t="shared" ca="1" si="44"/>
        <v>-</v>
      </c>
      <c r="CJ39" s="757" t="str">
        <f t="shared" ca="1" si="45"/>
        <v>-</v>
      </c>
      <c r="CK39" s="757" t="str">
        <f t="shared" ca="1" si="46"/>
        <v>-</v>
      </c>
      <c r="CL39" s="757" t="str">
        <f t="shared" ca="1" si="47"/>
        <v>-</v>
      </c>
      <c r="CM39" s="757">
        <f ca="1">CG39+COUNTIFS($CH$6:$CH$53,CH39,$CL$6:CL$53,"&gt;"&amp;CL39,$BC$6:$BC$53,INDEX(T_Equipos[Grupo],MATCH(BD39,T_Equipos[NombreEquipo],0)))</f>
        <v>3</v>
      </c>
      <c r="CN39" s="756" t="str">
        <f ca="1">IF(COUNTIFS($CM$6:$CM$53,CM39,$BC$6:$BC$53,INDEX(T_Equipos[Grupo],MATCH(BD39,T_Equipos[NombreEquipo],0)))=1,"-","P."&amp;CM39&amp;" ("&amp;COUNTIFS($CM$6:$CM$53,CM39,$BC$6:$BC$53,INDEX(T_Equipos[Grupo],MATCH(BD39,T_Equipos[NombreEquipo],0)))&amp;")")</f>
        <v>-</v>
      </c>
      <c r="CO39" s="757" t="str">
        <f t="shared" ca="1" si="48"/>
        <v>-</v>
      </c>
      <c r="CP39" s="757" t="str">
        <f t="shared" ca="1" si="49"/>
        <v>-</v>
      </c>
      <c r="CQ39" s="757" t="str">
        <f t="shared" ca="1" si="50"/>
        <v>-</v>
      </c>
      <c r="CR39" s="757">
        <f ca="1">CM39+COUNTIFS($CN$6:$CN$53,CN39,$CQ$6:CQ$53,"&gt;"&amp;CQ39,$BC$6:$BC$53,INDEX(T_Equipos[Grupo],MATCH(BD39,T_Equipos[NombreEquipo],0)))</f>
        <v>3</v>
      </c>
      <c r="CS39" s="756" t="str">
        <f ca="1">IF(COUNTIFS($CR$6:$CR$53,CR39,$BC$6:$BC$53,INDEX(T_Equipos[Grupo],MATCH(BD39,T_Equipos[NombreEquipo],0)))=1,"-","P."&amp;CR39&amp;" ("&amp;COUNTIFS($CR$6:$CR$53,CR39,$BC$6:$BC$53,INDEX(T_Equipos[Grupo],MATCH(BD39,T_Equipos[NombreEquipo],0)))&amp;")")</f>
        <v>-</v>
      </c>
      <c r="CT39" s="757" t="str">
        <f t="shared" ca="1" si="51"/>
        <v>-</v>
      </c>
      <c r="CU39" s="757">
        <f ca="1">CR39+COUNTIFS($CS$6:$CS$53,CS39,$CT$6:CT$53,"&gt;"&amp;CT39,$BC$6:$BC$53,INDEX(T_Equipos[Grupo],MATCH(BD39,T_Equipos[NombreEquipo],0)))</f>
        <v>3</v>
      </c>
      <c r="CV39" s="756" t="str">
        <f ca="1">IF(COUNTIFS($CU$6:$CU$53,CU39,$BC$6:$BC$53,INDEX(T_Equipos[Grupo],MATCH(BD39,T_Equipos[NombreEquipo],0)))=1,"-","P."&amp;CU39&amp;" ("&amp;COUNTIFS($CU$6:$CU$53,CU39,$BC$6:$BC$53,INDEX(T_Equipos[Grupo],MATCH(BD39,T_Equipos[NombreEquipo],0)))&amp;")")</f>
        <v>-</v>
      </c>
      <c r="CW39" s="756" t="str">
        <f t="shared" ca="1" si="30"/>
        <v>-</v>
      </c>
      <c r="CX39" s="756">
        <f ca="1">CU39+COUNTIFS($CV$6:$CV$53,CV39,$CW$6:CW$53,"&gt;"&amp;CW39,$BC$6:$BC$53,INDEX(T_Equipos[Grupo],MATCH(BD39,T_Equipos[NombreEquipo],0)))</f>
        <v>3</v>
      </c>
      <c r="CY39" s="756" t="str">
        <f ca="1">IF(COUNTIFS($CX$6:$CX$53,CX39,$BC$6:$BC$53,INDEX(T_Equipos[Grupo],MATCH(BD39,T_Equipos[NombreEquipo],0)))=1,"-","P."&amp;CX39&amp;" ("&amp;COUNTIFS($CX$6:$CX$53,CX39,$BC$6:$BC$53,INDEX(T_Equipos[Grupo],MATCH(BD39,T_Equipos[NombreEquipo],0)))&amp;")")</f>
        <v>-</v>
      </c>
      <c r="CZ39" s="756" t="str">
        <f t="shared" ca="1" si="31"/>
        <v>-</v>
      </c>
      <c r="DA39" s="757">
        <f ca="1">CX39+COUNTIFS($CY$6:$CY$53,CY39,$CZ$6:CZ$53,"&gt;"&amp;CZ39,$BC$6:$BC$53,INDEX(T_Equipos[Grupo],MATCH(BD39,T_Equipos[NombreEquipo],0)))</f>
        <v>3</v>
      </c>
      <c r="DB39" s="756" t="str">
        <f ca="1">IF(COUNTIFS($DA$6:$DA$53,DA39,$BC$6:$BC$53,INDEX(T_Equipos[Grupo],MATCH(BD39,T_Equipos[NombreEquipo],0)))=1,"-","P."&amp;DA39&amp;" ("&amp;COUNTIFS($DA$6:$DA$53,DA39,$BC$6:$BC$53,INDEX(T_Equipos[Grupo],MATCH(BD39,T_Equipos[NombreEquipo],0)))&amp;")")</f>
        <v>-</v>
      </c>
      <c r="DC39" s="755" t="str">
        <f ca="1">IF(DB39="-","-",COUNTIFS(T_Equipos[Rank],"&lt;"&amp;INDEX(T_Equipos[Rank],MATCH(BD39,T_Equipos[NombreEquipo],0)),$BC$6:$BC$53,INDEX(T_Equipos[Grupo],MATCH(BD39,T_Equipos[NombreEquipo],0)))+1)</f>
        <v>-</v>
      </c>
      <c r="DD39" s="755">
        <f ca="1">DA39+COUNTIFS($DB$6:$DB$53,DB39,$DC$6:DC$53,"&lt;"&amp;DC39,$BC$6:$BC$53,INDEX(T_Equipos[Grupo],MATCH(BD39,T_Equipos[NombreEquipo],0)))</f>
        <v>3</v>
      </c>
      <c r="DE39" s="755"/>
      <c r="DF39" s="755">
        <f t="shared" ca="1" si="52"/>
        <v>3</v>
      </c>
      <c r="DG39" s="755" t="str">
        <f ca="1">IF(DB39="-","-",COUNTIFS(DF$6:DF$53,"&lt;"&amp;DF39,$BC$6:$BC$53,INDEX(T_Equipos[Grupo],MATCH(BD39,T_Equipos[NombreEquipo],0))))</f>
        <v>-</v>
      </c>
      <c r="DH39" s="755">
        <f ca="1">DA39+COUNTIFS(DB$6:DB$53,DB39,DG$6:DG$53,"&lt;"&amp;DG39,$BC$6:$BC$53,INDEX(T_Equipos[Grupo],MATCH(BD39,T_Equipos[NombreEquipo],0)))</f>
        <v>3</v>
      </c>
      <c r="DI39" s="743"/>
      <c r="DJ39" s="743">
        <f t="shared" ca="1" si="53"/>
        <v>2</v>
      </c>
      <c r="DK39" s="743">
        <f t="shared" ca="1" si="24"/>
        <v>12</v>
      </c>
      <c r="DL39" s="743">
        <f t="shared" ca="1" si="33"/>
        <v>1</v>
      </c>
      <c r="DM39" s="737" t="str">
        <f t="shared" ca="1" si="34"/>
        <v>2.1</v>
      </c>
      <c r="DN39" s="743" cm="1">
        <f t="array" aca="1" ref="DN39" ca="1">OFFSET(Horarios!$P$3,DJ39-1,0,DL39,1)</f>
        <v>2</v>
      </c>
      <c r="DO39" s="743"/>
      <c r="DP39" s="743" t="s">
        <v>674</v>
      </c>
      <c r="DQ39" s="743" t="str">
        <f t="shared" ca="1" si="35"/>
        <v>Norway</v>
      </c>
      <c r="DR39" s="743"/>
      <c r="DS39" s="743"/>
      <c r="DT39" s="743" t="str">
        <f t="shared" ca="1" si="15"/>
        <v>Ecuador-Curaçao</v>
      </c>
      <c r="DU39" s="743"/>
      <c r="DV39" s="743"/>
      <c r="DW39" s="8"/>
    </row>
    <row r="40" spans="1:127" ht="16.149999999999999" customHeight="1">
      <c r="A40" s="744" t="str">
        <f ca="1">+Equipos!B21</f>
        <v>Ecuador</v>
      </c>
      <c r="B40" s="741"/>
      <c r="C40" s="743"/>
      <c r="D40" s="743" t="str">
        <f t="shared" si="115"/>
        <v>Visitante</v>
      </c>
      <c r="E40" s="743" t="str">
        <f t="shared" ca="1" si="116"/>
        <v>-</v>
      </c>
      <c r="F40" s="743" t="str">
        <f t="shared" ca="1" si="117"/>
        <v>P.1 (2)</v>
      </c>
      <c r="G40" s="743"/>
      <c r="H40" s="743" t="str">
        <f t="shared" ca="1" si="118"/>
        <v>-</v>
      </c>
      <c r="I40" s="743" t="str">
        <f t="shared" ca="1" si="119"/>
        <v>-</v>
      </c>
      <c r="J40" s="743"/>
      <c r="K40" s="743" t="str">
        <f t="shared" ca="1" si="120"/>
        <v>-</v>
      </c>
      <c r="L40" s="743" t="str">
        <f t="shared" ca="1" si="121"/>
        <v>-</v>
      </c>
      <c r="M40" s="743"/>
      <c r="N40" s="743" t="str">
        <f t="shared" ca="1" si="122"/>
        <v>-</v>
      </c>
      <c r="O40" s="743" t="str">
        <f t="shared" ca="1" si="123"/>
        <v>-</v>
      </c>
      <c r="P40" s="743"/>
      <c r="Q40" s="743" t="str">
        <f t="shared" ca="1" si="124"/>
        <v>-</v>
      </c>
      <c r="R40" s="743" t="str">
        <f t="shared" ca="1" si="125"/>
        <v>-</v>
      </c>
      <c r="S40" s="743"/>
      <c r="T40" s="743" t="str">
        <f t="shared" ca="1" si="126"/>
        <v>-</v>
      </c>
      <c r="U40" s="743" t="str">
        <f t="shared" ca="1" si="127"/>
        <v>-</v>
      </c>
      <c r="V40" s="172"/>
      <c r="W40" s="815"/>
      <c r="X40" s="189">
        <f ca="1">Horarios!C40</f>
        <v>46198.916666666664</v>
      </c>
      <c r="Y40" s="190">
        <f ca="1">Horarios!C40</f>
        <v>46198.916666666664</v>
      </c>
      <c r="Z40" s="191" t="str">
        <f>$Z$8</f>
        <v>R3</v>
      </c>
      <c r="AA40" s="192" t="str">
        <f ca="1">A38</f>
        <v>Curaçao</v>
      </c>
      <c r="AB40" s="478" t="e" cm="1" vm="18">
        <f t="array" aca="1" ref="AB40" ca="1">Ver_flag_local</f>
        <v>#VALUE!</v>
      </c>
      <c r="AC40" s="193">
        <v>0</v>
      </c>
      <c r="AD40" s="194">
        <v>2</v>
      </c>
      <c r="AE40" s="483" t="e" cm="1" vm="19">
        <f t="array" aca="1" ref="AE40" ca="1">Ver_flag_visit</f>
        <v>#VALUE!</v>
      </c>
      <c r="AF40" s="195" t="str">
        <f ca="1">A39</f>
        <v>Ivory Coast</v>
      </c>
      <c r="AG40" s="413">
        <f t="shared" si="128"/>
        <v>1</v>
      </c>
      <c r="AH40" s="196">
        <v>55</v>
      </c>
      <c r="AI40" s="19" t="str">
        <f t="shared" si="133"/>
        <v>3E</v>
      </c>
      <c r="AJ40" s="221">
        <v>3</v>
      </c>
      <c r="AK40" s="486" t="e" cm="1" vm="20">
        <f t="array" aca="1" ref="AK40" ca="1">Ver_flag_visit</f>
        <v>#VALUE!</v>
      </c>
      <c r="AL40" s="222" t="str">
        <f ca="1">IFERROR(INDEX($BD$6:$BD$53,MATCH(AI40,$BN$6:$BN$53,0)),"")</f>
        <v>Ecuador</v>
      </c>
      <c r="AM40" s="223">
        <f t="shared" ca="1" si="132"/>
        <v>4</v>
      </c>
      <c r="AN40" s="224">
        <f t="shared" ca="1" si="132"/>
        <v>3</v>
      </c>
      <c r="AO40" s="224">
        <f t="shared" ca="1" si="132"/>
        <v>1</v>
      </c>
      <c r="AP40" s="224">
        <f t="shared" ca="1" si="132"/>
        <v>1</v>
      </c>
      <c r="AQ40" s="224">
        <f t="shared" ca="1" si="132"/>
        <v>1</v>
      </c>
      <c r="AR40" s="224">
        <f t="shared" ca="1" si="132"/>
        <v>2</v>
      </c>
      <c r="AS40" s="224">
        <f t="shared" ca="1" si="132"/>
        <v>2</v>
      </c>
      <c r="AT40" s="225">
        <f t="shared" ca="1" si="132"/>
        <v>0</v>
      </c>
      <c r="AU40" s="420">
        <f ca="1">INDEX($DL$6:$DL$53,MATCH(AI40,$DP$6:$DP$53,0))</f>
        <v>1</v>
      </c>
      <c r="AV40" s="217" t="str">
        <f ca="1">INDEX($BD$6:$BD$53,MATCH(AI40,$BM$6:$BM$53,0))</f>
        <v>Ecuador</v>
      </c>
      <c r="AW40" s="427"/>
      <c r="AX40" s="218"/>
      <c r="AY40" s="219" t="str">
        <f ca="1">+A39</f>
        <v>Ivory Coast</v>
      </c>
      <c r="AZ40" s="220"/>
      <c r="BA40" s="175"/>
      <c r="BB40" s="743"/>
      <c r="BC40" s="755" t="str">
        <f ca="1">+INDEX(T_Equipos[Grupo],MATCH(WORLDCUP!BD40,T_Equipos[NombreEquipo],0))</f>
        <v>I</v>
      </c>
      <c r="BD40" s="743" t="str">
        <f ca="1">+Equipos!B36</f>
        <v>Iraq</v>
      </c>
      <c r="BE40" s="747">
        <f t="shared" ca="1" si="25"/>
        <v>0</v>
      </c>
      <c r="BF40" s="747">
        <f t="shared" ca="1" si="26"/>
        <v>3</v>
      </c>
      <c r="BG40" s="747">
        <f t="shared" ca="1" si="17"/>
        <v>0</v>
      </c>
      <c r="BH40" s="747">
        <f t="shared" ca="1" si="18"/>
        <v>0</v>
      </c>
      <c r="BI40" s="747">
        <f t="shared" ca="1" si="19"/>
        <v>3</v>
      </c>
      <c r="BJ40" s="747">
        <f t="shared" ca="1" si="20"/>
        <v>1</v>
      </c>
      <c r="BK40" s="747">
        <f t="shared" ca="1" si="21"/>
        <v>12</v>
      </c>
      <c r="BL40" s="747">
        <f t="shared" ca="1" si="27"/>
        <v>-11</v>
      </c>
      <c r="BM40" s="747" t="str">
        <f t="shared" ca="1" si="22"/>
        <v>4I</v>
      </c>
      <c r="BN40" s="747" t="str">
        <f t="shared" ca="1" si="23"/>
        <v>4I</v>
      </c>
      <c r="BO40" s="756">
        <f t="shared" ca="1" si="28"/>
        <v>0</v>
      </c>
      <c r="BP40" s="756">
        <f ca="1">COUNTIFS($BO$6:$BO$53,"&gt;"&amp;BO40,$BC$6:$BC$53,INDEX(T_Equipos[Grupo],MATCH(BD40,T_Equipos[NombreEquipo],0)))+1</f>
        <v>1</v>
      </c>
      <c r="BQ40" s="756" t="str">
        <f ca="1">IF(COUNTIFS($BP$6:$BP$53,BP40,$BC$6:$BC$53,INDEX(T_Equipos[Grupo],MATCH(BD40,T_Equipos[NombreEquipo],0)))=1,"-","P."&amp;BP40&amp;" ("&amp;COUNTIFS($BP$6:$BP$53,BP40,$BC$6:$BC$53,INDEX(T_Equipos[Grupo],MATCH(BD40,T_Equipos[NombreEquipo],0)))&amp;")")</f>
        <v>P.1 (4)</v>
      </c>
      <c r="BR40" s="756">
        <f t="shared" ca="1" si="29"/>
        <v>0</v>
      </c>
      <c r="BS40" s="756">
        <f ca="1">BP40+COUNTIFS($BQ$6:$BQ$53,BQ40,$BR$6:BR$53,"&gt;"&amp;BR40,$BC$6:$BC$53,INDEX(T_Equipos[Grupo],MATCH(BD40,T_Equipos[NombreEquipo],0)))</f>
        <v>4</v>
      </c>
      <c r="BT40" s="756" t="str">
        <f ca="1">IF(COUNTIFS($BS$6:$BS$53,BS40,$BC$6:$BC$53,INDEX(T_Equipos[Grupo],MATCH(BD40,T_Equipos[NombreEquipo],0)))=1,"-","P."&amp;BS40&amp;" ("&amp;COUNTIFS($BS$6:$BS$53,BS40,$BC$6:$BC$53,INDEX(T_Equipos[Grupo],MATCH(BD40,T_Equipos[NombreEquipo],0)))&amp;")")</f>
        <v>-</v>
      </c>
      <c r="BU40" s="757" t="str">
        <f t="shared" ca="1" si="36"/>
        <v>-</v>
      </c>
      <c r="BV40" s="757" t="str">
        <f t="shared" ca="1" si="37"/>
        <v>-</v>
      </c>
      <c r="BW40" s="757" t="str">
        <f t="shared" ca="1" si="38"/>
        <v>-</v>
      </c>
      <c r="BX40" s="757" t="str">
        <f t="shared" ca="1" si="39"/>
        <v>-</v>
      </c>
      <c r="BY40" s="757">
        <f ca="1">BS40+COUNTIFS($BT$6:$BT$53,BT40,$BX$6:BX$53,"&gt;"&amp;BX40,$BC$6:$BC$53,INDEX(T_Equipos[Grupo],MATCH(BD40,T_Equipos[NombreEquipo],0)))</f>
        <v>4</v>
      </c>
      <c r="BZ40" s="756" t="str">
        <f ca="1">IF(COUNTIFS($BY$6:$BY$53,BY40,$BC$6:$BC$53,INDEX(T_Equipos[Grupo],MATCH(BD40,T_Equipos[NombreEquipo],0)))=1,"-","P."&amp;BY40&amp;" ("&amp;COUNTIFS($BY$6:$BY$53,BY40,$BC$6:$BC$53,INDEX(T_Equipos[Grupo],MATCH(BD40,T_Equipos[NombreEquipo],0)))&amp;")")</f>
        <v>-</v>
      </c>
      <c r="CA40" s="757" t="str">
        <f t="shared" ca="1" si="40"/>
        <v>-</v>
      </c>
      <c r="CB40" s="757" t="str">
        <f t="shared" ca="1" si="41"/>
        <v>-</v>
      </c>
      <c r="CC40" s="757" t="str">
        <f t="shared" ca="1" si="42"/>
        <v>-</v>
      </c>
      <c r="CD40" s="757">
        <f ca="1">BY40+COUNTIFS($BZ$6:$BZ$53,BZ40,$CC$6:CC$53,"&gt;"&amp;CC40,$BC$6:$BC$53,INDEX(T_Equipos[Grupo],MATCH(BD40,T_Equipos[NombreEquipo],0)))</f>
        <v>4</v>
      </c>
      <c r="CE40" s="756" t="str">
        <f ca="1">IF(COUNTIFS($CD$6:$CD$53,CD40,$BC$6:$BC$53,INDEX(T_Equipos[Grupo],MATCH(BD40,T_Equipos[NombreEquipo],0)))=1,"-","P."&amp;CD40&amp;" ("&amp;COUNTIFS($CD$6:$CD$53,CD40,$BC$6:$BC$53,INDEX(T_Equipos[Grupo],MATCH(BD40,T_Equipos[NombreEquipo],0)))&amp;")")</f>
        <v>-</v>
      </c>
      <c r="CF40" s="757" t="str">
        <f t="shared" ca="1" si="43"/>
        <v>-</v>
      </c>
      <c r="CG40" s="757">
        <f ca="1">CD40+COUNTIFS($CE$6:$CE$53,CE40,$CF$6:CF$53,"&gt;"&amp;CF40,$BC$6:$BC$53,INDEX(T_Equipos[Grupo],MATCH(BD40,T_Equipos[NombreEquipo],0)))</f>
        <v>4</v>
      </c>
      <c r="CH40" s="756" t="str">
        <f ca="1">IF(COUNTIFS($CG$6:$CG$53,CG40,$BC$6:$BC$53,INDEX(T_Equipos[Grupo],MATCH(BD40,T_Equipos[NombreEquipo],0)))=1,"-","P."&amp;CG40&amp;" ("&amp;COUNTIFS($CG$6:$CG$53,CG40,$BC$6:$BC$53,INDEX(T_Equipos[Grupo],MATCH(BD40,T_Equipos[NombreEquipo],0)))&amp;")")</f>
        <v>-</v>
      </c>
      <c r="CI40" s="757" t="str">
        <f t="shared" ca="1" si="44"/>
        <v>-</v>
      </c>
      <c r="CJ40" s="757" t="str">
        <f t="shared" ca="1" si="45"/>
        <v>-</v>
      </c>
      <c r="CK40" s="757" t="str">
        <f t="shared" ca="1" si="46"/>
        <v>-</v>
      </c>
      <c r="CL40" s="757" t="str">
        <f t="shared" ca="1" si="47"/>
        <v>-</v>
      </c>
      <c r="CM40" s="757">
        <f ca="1">CG40+COUNTIFS($CH$6:$CH$53,CH40,$CL$6:CL$53,"&gt;"&amp;CL40,$BC$6:$BC$53,INDEX(T_Equipos[Grupo],MATCH(BD40,T_Equipos[NombreEquipo],0)))</f>
        <v>4</v>
      </c>
      <c r="CN40" s="756" t="str">
        <f ca="1">IF(COUNTIFS($CM$6:$CM$53,CM40,$BC$6:$BC$53,INDEX(T_Equipos[Grupo],MATCH(BD40,T_Equipos[NombreEquipo],0)))=1,"-","P."&amp;CM40&amp;" ("&amp;COUNTIFS($CM$6:$CM$53,CM40,$BC$6:$BC$53,INDEX(T_Equipos[Grupo],MATCH(BD40,T_Equipos[NombreEquipo],0)))&amp;")")</f>
        <v>-</v>
      </c>
      <c r="CO40" s="757" t="str">
        <f t="shared" ca="1" si="48"/>
        <v>-</v>
      </c>
      <c r="CP40" s="757" t="str">
        <f t="shared" ca="1" si="49"/>
        <v>-</v>
      </c>
      <c r="CQ40" s="757" t="str">
        <f t="shared" ca="1" si="50"/>
        <v>-</v>
      </c>
      <c r="CR40" s="757">
        <f ca="1">CM40+COUNTIFS($CN$6:$CN$53,CN40,$CQ$6:CQ$53,"&gt;"&amp;CQ40,$BC$6:$BC$53,INDEX(T_Equipos[Grupo],MATCH(BD40,T_Equipos[NombreEquipo],0)))</f>
        <v>4</v>
      </c>
      <c r="CS40" s="756" t="str">
        <f ca="1">IF(COUNTIFS($CR$6:$CR$53,CR40,$BC$6:$BC$53,INDEX(T_Equipos[Grupo],MATCH(BD40,T_Equipos[NombreEquipo],0)))=1,"-","P."&amp;CR40&amp;" ("&amp;COUNTIFS($CR$6:$CR$53,CR40,$BC$6:$BC$53,INDEX(T_Equipos[Grupo],MATCH(BD40,T_Equipos[NombreEquipo],0)))&amp;")")</f>
        <v>-</v>
      </c>
      <c r="CT40" s="757" t="str">
        <f t="shared" ca="1" si="51"/>
        <v>-</v>
      </c>
      <c r="CU40" s="757">
        <f ca="1">CR40+COUNTIFS($CS$6:$CS$53,CS40,$CT$6:CT$53,"&gt;"&amp;CT40,$BC$6:$BC$53,INDEX(T_Equipos[Grupo],MATCH(BD40,T_Equipos[NombreEquipo],0)))</f>
        <v>4</v>
      </c>
      <c r="CV40" s="756" t="str">
        <f ca="1">IF(COUNTIFS($CU$6:$CU$53,CU40,$BC$6:$BC$53,INDEX(T_Equipos[Grupo],MATCH(BD40,T_Equipos[NombreEquipo],0)))=1,"-","P."&amp;CU40&amp;" ("&amp;COUNTIFS($CU$6:$CU$53,CU40,$BC$6:$BC$53,INDEX(T_Equipos[Grupo],MATCH(BD40,T_Equipos[NombreEquipo],0)))&amp;")")</f>
        <v>-</v>
      </c>
      <c r="CW40" s="756" t="str">
        <f t="shared" ca="1" si="30"/>
        <v>-</v>
      </c>
      <c r="CX40" s="756">
        <f ca="1">CU40+COUNTIFS($CV$6:$CV$53,CV40,$CW$6:CW$53,"&gt;"&amp;CW40,$BC$6:$BC$53,INDEX(T_Equipos[Grupo],MATCH(BD40,T_Equipos[NombreEquipo],0)))</f>
        <v>4</v>
      </c>
      <c r="CY40" s="756" t="str">
        <f ca="1">IF(COUNTIFS($CX$6:$CX$53,CX40,$BC$6:$BC$53,INDEX(T_Equipos[Grupo],MATCH(BD40,T_Equipos[NombreEquipo],0)))=1,"-","P."&amp;CX40&amp;" ("&amp;COUNTIFS($CX$6:$CX$53,CX40,$BC$6:$BC$53,INDEX(T_Equipos[Grupo],MATCH(BD40,T_Equipos[NombreEquipo],0)))&amp;")")</f>
        <v>-</v>
      </c>
      <c r="CZ40" s="756" t="str">
        <f t="shared" ca="1" si="31"/>
        <v>-</v>
      </c>
      <c r="DA40" s="757">
        <f ca="1">CX40+COUNTIFS($CY$6:$CY$53,CY40,$CZ$6:CZ$53,"&gt;"&amp;CZ40,$BC$6:$BC$53,INDEX(T_Equipos[Grupo],MATCH(BD40,T_Equipos[NombreEquipo],0)))</f>
        <v>4</v>
      </c>
      <c r="DB40" s="756" t="str">
        <f ca="1">IF(COUNTIFS($DA$6:$DA$53,DA40,$BC$6:$BC$53,INDEX(T_Equipos[Grupo],MATCH(BD40,T_Equipos[NombreEquipo],0)))=1,"-","P."&amp;DA40&amp;" ("&amp;COUNTIFS($DA$6:$DA$53,DA40,$BC$6:$BC$53,INDEX(T_Equipos[Grupo],MATCH(BD40,T_Equipos[NombreEquipo],0)))&amp;")")</f>
        <v>-</v>
      </c>
      <c r="DC40" s="755" t="str">
        <f ca="1">IF(DB40="-","-",COUNTIFS(T_Equipos[Rank],"&lt;"&amp;INDEX(T_Equipos[Rank],MATCH(BD40,T_Equipos[NombreEquipo],0)),$BC$6:$BC$53,INDEX(T_Equipos[Grupo],MATCH(BD40,T_Equipos[NombreEquipo],0)))+1)</f>
        <v>-</v>
      </c>
      <c r="DD40" s="755">
        <f ca="1">DA40+COUNTIFS($DB$6:$DB$53,DB40,$DC$6:DC$53,"&lt;"&amp;DC40,$BC$6:$BC$53,INDEX(T_Equipos[Grupo],MATCH(BD40,T_Equipos[NombreEquipo],0)))</f>
        <v>4</v>
      </c>
      <c r="DE40" s="755"/>
      <c r="DF40" s="755">
        <f t="shared" ca="1" si="52"/>
        <v>4</v>
      </c>
      <c r="DG40" s="755" t="str">
        <f ca="1">IF(DB40="-","-",COUNTIFS(DF$6:DF$53,"&lt;"&amp;DF40,$BC$6:$BC$53,INDEX(T_Equipos[Grupo],MATCH(BD40,T_Equipos[NombreEquipo],0))))</f>
        <v>-</v>
      </c>
      <c r="DH40" s="755">
        <f ca="1">DA40+COUNTIFS(DB$6:DB$53,DB40,DG$6:DG$53,"&lt;"&amp;DG40,$BC$6:$BC$53,INDEX(T_Equipos[Grupo],MATCH(BD40,T_Equipos[NombreEquipo],0)))</f>
        <v>4</v>
      </c>
      <c r="DI40" s="743"/>
      <c r="DJ40" s="743">
        <f t="shared" ca="1" si="53"/>
        <v>3</v>
      </c>
      <c r="DK40" s="743">
        <f t="shared" ca="1" si="24"/>
        <v>12</v>
      </c>
      <c r="DL40" s="743">
        <f t="shared" ca="1" si="33"/>
        <v>1</v>
      </c>
      <c r="DM40" s="737" t="str">
        <f t="shared" ca="1" si="34"/>
        <v>3.1</v>
      </c>
      <c r="DN40" s="743" cm="1">
        <f t="array" aca="1" ref="DN40" ca="1">OFFSET(Horarios!$P$3,DJ40-1,0,DL40,1)</f>
        <v>3</v>
      </c>
      <c r="DO40" s="743"/>
      <c r="DP40" s="743" t="s">
        <v>440</v>
      </c>
      <c r="DQ40" s="743" t="str">
        <f t="shared" ca="1" si="35"/>
        <v>Senegal</v>
      </c>
      <c r="DR40" s="743"/>
      <c r="DS40" s="743"/>
      <c r="DT40" s="743" t="str">
        <f t="shared" ca="1" si="15"/>
        <v>Curaçao-Ivory Coast</v>
      </c>
      <c r="DU40" s="743"/>
      <c r="DV40" s="743"/>
      <c r="DW40" s="8"/>
    </row>
    <row r="41" spans="1:127" ht="16.899999999999999" customHeight="1" thickBot="1">
      <c r="A41" s="738"/>
      <c r="B41" s="738"/>
      <c r="C41" s="738"/>
      <c r="D41" s="743" t="str">
        <f t="shared" si="115"/>
        <v>Local</v>
      </c>
      <c r="E41" s="743" t="str">
        <f t="shared" ca="1" si="116"/>
        <v>-</v>
      </c>
      <c r="F41" s="743" t="str">
        <f t="shared" ca="1" si="117"/>
        <v>P.1 (2)</v>
      </c>
      <c r="G41" s="743"/>
      <c r="H41" s="743" t="str">
        <f t="shared" ca="1" si="118"/>
        <v>-</v>
      </c>
      <c r="I41" s="743" t="str">
        <f t="shared" ca="1" si="119"/>
        <v>-</v>
      </c>
      <c r="J41" s="743"/>
      <c r="K41" s="743" t="str">
        <f t="shared" ca="1" si="120"/>
        <v>-</v>
      </c>
      <c r="L41" s="743" t="str">
        <f t="shared" ca="1" si="121"/>
        <v>-</v>
      </c>
      <c r="M41" s="743"/>
      <c r="N41" s="743" t="str">
        <f t="shared" ca="1" si="122"/>
        <v>-</v>
      </c>
      <c r="O41" s="743" t="str">
        <f t="shared" ca="1" si="123"/>
        <v>-</v>
      </c>
      <c r="P41" s="743"/>
      <c r="Q41" s="743" t="str">
        <f t="shared" ca="1" si="124"/>
        <v>-</v>
      </c>
      <c r="R41" s="743" t="str">
        <f t="shared" ca="1" si="125"/>
        <v>-</v>
      </c>
      <c r="S41" s="743"/>
      <c r="T41" s="743" t="str">
        <f t="shared" ca="1" si="126"/>
        <v>-</v>
      </c>
      <c r="U41" s="743" t="str">
        <f t="shared" ca="1" si="127"/>
        <v>-</v>
      </c>
      <c r="V41" s="172"/>
      <c r="W41" s="816"/>
      <c r="X41" s="228">
        <f ca="1">Horarios!C41</f>
        <v>46198.916666666664</v>
      </c>
      <c r="Y41" s="229">
        <f ca="1">Horarios!C41</f>
        <v>46198.916666666664</v>
      </c>
      <c r="Z41" s="230" t="str">
        <f>$Z$8</f>
        <v>R3</v>
      </c>
      <c r="AA41" s="231" t="str">
        <f ca="1">A40</f>
        <v>Ecuador</v>
      </c>
      <c r="AB41" s="479" t="e" cm="1" vm="20">
        <f t="array" aca="1" ref="AB41" ca="1">Ver_flag_local</f>
        <v>#VALUE!</v>
      </c>
      <c r="AC41" s="232">
        <v>2</v>
      </c>
      <c r="AD41" s="233">
        <v>1</v>
      </c>
      <c r="AE41" s="484" t="e" cm="1" vm="17">
        <f t="array" aca="1" ref="AE41" ca="1">Ver_flag_visit</f>
        <v>#VALUE!</v>
      </c>
      <c r="AF41" s="234" t="str">
        <f ca="1">A37</f>
        <v>Germany</v>
      </c>
      <c r="AG41" s="413">
        <f t="shared" si="128"/>
        <v>1</v>
      </c>
      <c r="AH41" s="196">
        <v>56</v>
      </c>
      <c r="AI41" s="19" t="str">
        <f t="shared" si="133"/>
        <v>4E</v>
      </c>
      <c r="AJ41" s="235">
        <v>4</v>
      </c>
      <c r="AK41" s="487" t="e" cm="1" vm="18">
        <f t="array" aca="1" ref="AK41" ca="1">Ver_flag_visit</f>
        <v>#VALUE!</v>
      </c>
      <c r="AL41" s="236" t="str">
        <f ca="1">IFERROR(INDEX($BD$6:$BD$53,MATCH(AI41,$BN$6:$BN$53,0)),"")</f>
        <v>Curaçao</v>
      </c>
      <c r="AM41" s="237">
        <f t="shared" ca="1" si="132"/>
        <v>1</v>
      </c>
      <c r="AN41" s="238">
        <f t="shared" ca="1" si="132"/>
        <v>3</v>
      </c>
      <c r="AO41" s="238">
        <f t="shared" ca="1" si="132"/>
        <v>0</v>
      </c>
      <c r="AP41" s="238">
        <f t="shared" ca="1" si="132"/>
        <v>1</v>
      </c>
      <c r="AQ41" s="238">
        <f t="shared" ca="1" si="132"/>
        <v>2</v>
      </c>
      <c r="AR41" s="238">
        <f t="shared" ca="1" si="132"/>
        <v>1</v>
      </c>
      <c r="AS41" s="238">
        <f t="shared" ca="1" si="132"/>
        <v>9</v>
      </c>
      <c r="AT41" s="239">
        <f t="shared" ca="1" si="132"/>
        <v>-8</v>
      </c>
      <c r="AU41" s="420">
        <f ca="1">INDEX($DL$6:$DL$53,MATCH(AI41,$DP$6:$DP$53,0))</f>
        <v>1</v>
      </c>
      <c r="AV41" s="217" t="str">
        <f ca="1">INDEX($BD$6:$BD$53,MATCH(AI41,$BM$6:$BM$53,0))</f>
        <v>Curaçao</v>
      </c>
      <c r="AW41" s="427"/>
      <c r="AX41" s="218"/>
      <c r="AY41" s="240" t="str">
        <f ca="1">+A40</f>
        <v>Ecuador</v>
      </c>
      <c r="AZ41" s="241"/>
      <c r="BA41" s="175"/>
      <c r="BB41" s="743"/>
      <c r="BC41" s="755" t="str">
        <f ca="1">+INDEX(T_Equipos[Grupo],MATCH(WORLDCUP!BD41,T_Equipos[NombreEquipo],0))</f>
        <v>I</v>
      </c>
      <c r="BD41" s="743" t="str">
        <f ca="1">+Equipos!B37</f>
        <v>Norway</v>
      </c>
      <c r="BE41" s="747">
        <f t="shared" ca="1" si="25"/>
        <v>6</v>
      </c>
      <c r="BF41" s="747">
        <f t="shared" ca="1" si="26"/>
        <v>3</v>
      </c>
      <c r="BG41" s="747">
        <f t="shared" ca="1" si="17"/>
        <v>2</v>
      </c>
      <c r="BH41" s="747">
        <f t="shared" ca="1" si="18"/>
        <v>0</v>
      </c>
      <c r="BI41" s="747">
        <f t="shared" ca="1" si="19"/>
        <v>1</v>
      </c>
      <c r="BJ41" s="747">
        <f t="shared" ca="1" si="20"/>
        <v>8</v>
      </c>
      <c r="BK41" s="747">
        <f t="shared" ca="1" si="21"/>
        <v>7</v>
      </c>
      <c r="BL41" s="747">
        <f t="shared" ca="1" si="27"/>
        <v>1</v>
      </c>
      <c r="BM41" s="747" t="str">
        <f t="shared" ca="1" si="22"/>
        <v>2I</v>
      </c>
      <c r="BN41" s="747" t="str">
        <f t="shared" ca="1" si="23"/>
        <v>2I</v>
      </c>
      <c r="BO41" s="756">
        <f t="shared" ca="1" si="28"/>
        <v>0</v>
      </c>
      <c r="BP41" s="756">
        <f ca="1">COUNTIFS($BO$6:$BO$53,"&gt;"&amp;BO41,$BC$6:$BC$53,INDEX(T_Equipos[Grupo],MATCH(BD41,T_Equipos[NombreEquipo],0)))+1</f>
        <v>1</v>
      </c>
      <c r="BQ41" s="756" t="str">
        <f ca="1">IF(COUNTIFS($BP$6:$BP$53,BP41,$BC$6:$BC$53,INDEX(T_Equipos[Grupo],MATCH(BD41,T_Equipos[NombreEquipo],0)))=1,"-","P."&amp;BP41&amp;" ("&amp;COUNTIFS($BP$6:$BP$53,BP41,$BC$6:$BC$53,INDEX(T_Equipos[Grupo],MATCH(BD41,T_Equipos[NombreEquipo],0)))&amp;")")</f>
        <v>P.1 (4)</v>
      </c>
      <c r="BR41" s="756">
        <f t="shared" ca="1" si="29"/>
        <v>6</v>
      </c>
      <c r="BS41" s="756">
        <f ca="1">BP41+COUNTIFS($BQ$6:$BQ$53,BQ41,$BR$6:BR$53,"&gt;"&amp;BR41,$BC$6:$BC$53,INDEX(T_Equipos[Grupo],MATCH(BD41,T_Equipos[NombreEquipo],0)))</f>
        <v>2</v>
      </c>
      <c r="BT41" s="756" t="str">
        <f ca="1">IF(COUNTIFS($BS$6:$BS$53,BS41,$BC$6:$BC$53,INDEX(T_Equipos[Grupo],MATCH(BD41,T_Equipos[NombreEquipo],0)))=1,"-","P."&amp;BS41&amp;" ("&amp;COUNTIFS($BS$6:$BS$53,BS41,$BC$6:$BC$53,INDEX(T_Equipos[Grupo],MATCH(BD41,T_Equipos[NombreEquipo],0)))&amp;")")</f>
        <v>-</v>
      </c>
      <c r="BU41" s="757" t="str">
        <f t="shared" ca="1" si="36"/>
        <v>-</v>
      </c>
      <c r="BV41" s="757" t="str">
        <f t="shared" ca="1" si="37"/>
        <v>-</v>
      </c>
      <c r="BW41" s="757" t="str">
        <f t="shared" ca="1" si="38"/>
        <v>-</v>
      </c>
      <c r="BX41" s="757" t="str">
        <f t="shared" ca="1" si="39"/>
        <v>-</v>
      </c>
      <c r="BY41" s="757">
        <f ca="1">BS41+COUNTIFS($BT$6:$BT$53,BT41,$BX$6:BX$53,"&gt;"&amp;BX41,$BC$6:$BC$53,INDEX(T_Equipos[Grupo],MATCH(BD41,T_Equipos[NombreEquipo],0)))</f>
        <v>2</v>
      </c>
      <c r="BZ41" s="756" t="str">
        <f ca="1">IF(COUNTIFS($BY$6:$BY$53,BY41,$BC$6:$BC$53,INDEX(T_Equipos[Grupo],MATCH(BD41,T_Equipos[NombreEquipo],0)))=1,"-","P."&amp;BY41&amp;" ("&amp;COUNTIFS($BY$6:$BY$53,BY41,$BC$6:$BC$53,INDEX(T_Equipos[Grupo],MATCH(BD41,T_Equipos[NombreEquipo],0)))&amp;")")</f>
        <v>-</v>
      </c>
      <c r="CA41" s="757" t="str">
        <f t="shared" ca="1" si="40"/>
        <v>-</v>
      </c>
      <c r="CB41" s="757" t="str">
        <f t="shared" ca="1" si="41"/>
        <v>-</v>
      </c>
      <c r="CC41" s="757" t="str">
        <f t="shared" ca="1" si="42"/>
        <v>-</v>
      </c>
      <c r="CD41" s="757">
        <f ca="1">BY41+COUNTIFS($BZ$6:$BZ$53,BZ41,$CC$6:CC$53,"&gt;"&amp;CC41,$BC$6:$BC$53,INDEX(T_Equipos[Grupo],MATCH(BD41,T_Equipos[NombreEquipo],0)))</f>
        <v>2</v>
      </c>
      <c r="CE41" s="756" t="str">
        <f ca="1">IF(COUNTIFS($CD$6:$CD$53,CD41,$BC$6:$BC$53,INDEX(T_Equipos[Grupo],MATCH(BD41,T_Equipos[NombreEquipo],0)))=1,"-","P."&amp;CD41&amp;" ("&amp;COUNTIFS($CD$6:$CD$53,CD41,$BC$6:$BC$53,INDEX(T_Equipos[Grupo],MATCH(BD41,T_Equipos[NombreEquipo],0)))&amp;")")</f>
        <v>-</v>
      </c>
      <c r="CF41" s="757" t="str">
        <f t="shared" ca="1" si="43"/>
        <v>-</v>
      </c>
      <c r="CG41" s="757">
        <f ca="1">CD41+COUNTIFS($CE$6:$CE$53,CE41,$CF$6:CF$53,"&gt;"&amp;CF41,$BC$6:$BC$53,INDEX(T_Equipos[Grupo],MATCH(BD41,T_Equipos[NombreEquipo],0)))</f>
        <v>2</v>
      </c>
      <c r="CH41" s="756" t="str">
        <f ca="1">IF(COUNTIFS($CG$6:$CG$53,CG41,$BC$6:$BC$53,INDEX(T_Equipos[Grupo],MATCH(BD41,T_Equipos[NombreEquipo],0)))=1,"-","P."&amp;CG41&amp;" ("&amp;COUNTIFS($CG$6:$CG$53,CG41,$BC$6:$BC$53,INDEX(T_Equipos[Grupo],MATCH(BD41,T_Equipos[NombreEquipo],0)))&amp;")")</f>
        <v>-</v>
      </c>
      <c r="CI41" s="757" t="str">
        <f t="shared" ca="1" si="44"/>
        <v>-</v>
      </c>
      <c r="CJ41" s="757" t="str">
        <f t="shared" ca="1" si="45"/>
        <v>-</v>
      </c>
      <c r="CK41" s="757" t="str">
        <f t="shared" ca="1" si="46"/>
        <v>-</v>
      </c>
      <c r="CL41" s="757" t="str">
        <f t="shared" ca="1" si="47"/>
        <v>-</v>
      </c>
      <c r="CM41" s="757">
        <f ca="1">CG41+COUNTIFS($CH$6:$CH$53,CH41,$CL$6:CL$53,"&gt;"&amp;CL41,$BC$6:$BC$53,INDEX(T_Equipos[Grupo],MATCH(BD41,T_Equipos[NombreEquipo],0)))</f>
        <v>2</v>
      </c>
      <c r="CN41" s="756" t="str">
        <f ca="1">IF(COUNTIFS($CM$6:$CM$53,CM41,$BC$6:$BC$53,INDEX(T_Equipos[Grupo],MATCH(BD41,T_Equipos[NombreEquipo],0)))=1,"-","P."&amp;CM41&amp;" ("&amp;COUNTIFS($CM$6:$CM$53,CM41,$BC$6:$BC$53,INDEX(T_Equipos[Grupo],MATCH(BD41,T_Equipos[NombreEquipo],0)))&amp;")")</f>
        <v>-</v>
      </c>
      <c r="CO41" s="757" t="str">
        <f t="shared" ca="1" si="48"/>
        <v>-</v>
      </c>
      <c r="CP41" s="757" t="str">
        <f t="shared" ca="1" si="49"/>
        <v>-</v>
      </c>
      <c r="CQ41" s="757" t="str">
        <f t="shared" ca="1" si="50"/>
        <v>-</v>
      </c>
      <c r="CR41" s="757">
        <f ca="1">CM41+COUNTIFS($CN$6:$CN$53,CN41,$CQ$6:CQ$53,"&gt;"&amp;CQ41,$BC$6:$BC$53,INDEX(T_Equipos[Grupo],MATCH(BD41,T_Equipos[NombreEquipo],0)))</f>
        <v>2</v>
      </c>
      <c r="CS41" s="756" t="str">
        <f ca="1">IF(COUNTIFS($CR$6:$CR$53,CR41,$BC$6:$BC$53,INDEX(T_Equipos[Grupo],MATCH(BD41,T_Equipos[NombreEquipo],0)))=1,"-","P."&amp;CR41&amp;" ("&amp;COUNTIFS($CR$6:$CR$53,CR41,$BC$6:$BC$53,INDEX(T_Equipos[Grupo],MATCH(BD41,T_Equipos[NombreEquipo],0)))&amp;")")</f>
        <v>-</v>
      </c>
      <c r="CT41" s="757" t="str">
        <f t="shared" ca="1" si="51"/>
        <v>-</v>
      </c>
      <c r="CU41" s="757">
        <f ca="1">CR41+COUNTIFS($CS$6:$CS$53,CS41,$CT$6:CT$53,"&gt;"&amp;CT41,$BC$6:$BC$53,INDEX(T_Equipos[Grupo],MATCH(BD41,T_Equipos[NombreEquipo],0)))</f>
        <v>2</v>
      </c>
      <c r="CV41" s="756" t="str">
        <f ca="1">IF(COUNTIFS($CU$6:$CU$53,CU41,$BC$6:$BC$53,INDEX(T_Equipos[Grupo],MATCH(BD41,T_Equipos[NombreEquipo],0)))=1,"-","P."&amp;CU41&amp;" ("&amp;COUNTIFS($CU$6:$CU$53,CU41,$BC$6:$BC$53,INDEX(T_Equipos[Grupo],MATCH(BD41,T_Equipos[NombreEquipo],0)))&amp;")")</f>
        <v>-</v>
      </c>
      <c r="CW41" s="756" t="str">
        <f t="shared" ca="1" si="30"/>
        <v>-</v>
      </c>
      <c r="CX41" s="756">
        <f ca="1">CU41+COUNTIFS($CV$6:$CV$53,CV41,$CW$6:CW$53,"&gt;"&amp;CW41,$BC$6:$BC$53,INDEX(T_Equipos[Grupo],MATCH(BD41,T_Equipos[NombreEquipo],0)))</f>
        <v>2</v>
      </c>
      <c r="CY41" s="756" t="str">
        <f ca="1">IF(COUNTIFS($CX$6:$CX$53,CX41,$BC$6:$BC$53,INDEX(T_Equipos[Grupo],MATCH(BD41,T_Equipos[NombreEquipo],0)))=1,"-","P."&amp;CX41&amp;" ("&amp;COUNTIFS($CX$6:$CX$53,CX41,$BC$6:$BC$53,INDEX(T_Equipos[Grupo],MATCH(BD41,T_Equipos[NombreEquipo],0)))&amp;")")</f>
        <v>-</v>
      </c>
      <c r="CZ41" s="756" t="str">
        <f t="shared" ca="1" si="31"/>
        <v>-</v>
      </c>
      <c r="DA41" s="757">
        <f ca="1">CX41+COUNTIFS($CY$6:$CY$53,CY41,$CZ$6:CZ$53,"&gt;"&amp;CZ41,$BC$6:$BC$53,INDEX(T_Equipos[Grupo],MATCH(BD41,T_Equipos[NombreEquipo],0)))</f>
        <v>2</v>
      </c>
      <c r="DB41" s="756" t="str">
        <f ca="1">IF(COUNTIFS($DA$6:$DA$53,DA41,$BC$6:$BC$53,INDEX(T_Equipos[Grupo],MATCH(BD41,T_Equipos[NombreEquipo],0)))=1,"-","P."&amp;DA41&amp;" ("&amp;COUNTIFS($DA$6:$DA$53,DA41,$BC$6:$BC$53,INDEX(T_Equipos[Grupo],MATCH(BD41,T_Equipos[NombreEquipo],0)))&amp;")")</f>
        <v>-</v>
      </c>
      <c r="DC41" s="755" t="str">
        <f ca="1">IF(DB41="-","-",COUNTIFS(T_Equipos[Rank],"&lt;"&amp;INDEX(T_Equipos[Rank],MATCH(BD41,T_Equipos[NombreEquipo],0)),$BC$6:$BC$53,INDEX(T_Equipos[Grupo],MATCH(BD41,T_Equipos[NombreEquipo],0)))+1)</f>
        <v>-</v>
      </c>
      <c r="DD41" s="755">
        <f ca="1">DA41+COUNTIFS($DB$6:$DB$53,DB41,$DC$6:DC$53,"&lt;"&amp;DC41,$BC$6:$BC$53,INDEX(T_Equipos[Grupo],MATCH(BD41,T_Equipos[NombreEquipo],0)))</f>
        <v>2</v>
      </c>
      <c r="DE41" s="755"/>
      <c r="DF41" s="755">
        <f t="shared" ca="1" si="52"/>
        <v>2</v>
      </c>
      <c r="DG41" s="755" t="str">
        <f ca="1">IF(DB41="-","-",COUNTIFS(DF$6:DF$53,"&lt;"&amp;DF41,$BC$6:$BC$53,INDEX(T_Equipos[Grupo],MATCH(BD41,T_Equipos[NombreEquipo],0))))</f>
        <v>-</v>
      </c>
      <c r="DH41" s="755">
        <f ca="1">DA41+COUNTIFS(DB$6:DB$53,DB41,DG$6:DG$53,"&lt;"&amp;DG41,$BC$6:$BC$53,INDEX(T_Equipos[Grupo],MATCH(BD41,T_Equipos[NombreEquipo],0)))</f>
        <v>2</v>
      </c>
      <c r="DI41" s="743"/>
      <c r="DJ41" s="743">
        <f t="shared" ca="1" si="53"/>
        <v>4</v>
      </c>
      <c r="DK41" s="743">
        <f t="shared" ca="1" si="24"/>
        <v>12</v>
      </c>
      <c r="DL41" s="743">
        <f t="shared" ca="1" si="33"/>
        <v>1</v>
      </c>
      <c r="DM41" s="737" t="str">
        <f t="shared" ca="1" si="34"/>
        <v>4.1</v>
      </c>
      <c r="DN41" s="743" cm="1">
        <f t="array" aca="1" ref="DN41" ca="1">OFFSET(Horarios!$P$3,DJ41-1,0,DL41,1)</f>
        <v>4</v>
      </c>
      <c r="DO41" s="743"/>
      <c r="DP41" s="743" t="s">
        <v>675</v>
      </c>
      <c r="DQ41" s="743" t="str">
        <f t="shared" ca="1" si="35"/>
        <v>Iraq</v>
      </c>
      <c r="DR41" s="743"/>
      <c r="DS41" s="743"/>
      <c r="DT41" s="743" t="str">
        <f t="shared" ca="1" si="15"/>
        <v>Ecuador-Germany</v>
      </c>
      <c r="DU41" s="743"/>
      <c r="DV41" s="743"/>
      <c r="DW41" s="8"/>
    </row>
    <row r="42" spans="1:127" ht="15.75" thickBot="1">
      <c r="A42" s="738"/>
      <c r="B42" s="738"/>
      <c r="C42" s="738"/>
      <c r="D42" s="743"/>
      <c r="E42" s="743"/>
      <c r="F42" s="743"/>
      <c r="G42" s="743"/>
      <c r="H42" s="743"/>
      <c r="I42" s="743"/>
      <c r="J42" s="743"/>
      <c r="K42" s="743"/>
      <c r="L42" s="743"/>
      <c r="M42" s="743"/>
      <c r="N42" s="743"/>
      <c r="O42" s="743"/>
      <c r="P42" s="743"/>
      <c r="Q42" s="743"/>
      <c r="R42" s="743"/>
      <c r="S42" s="743"/>
      <c r="T42" s="743"/>
      <c r="U42" s="743"/>
      <c r="V42" s="172"/>
      <c r="W42" s="242"/>
      <c r="X42" s="243"/>
      <c r="Y42" s="242"/>
      <c r="Z42" s="244"/>
      <c r="AA42" s="245"/>
      <c r="AB42" s="482"/>
      <c r="AC42" s="247"/>
      <c r="AD42" s="247"/>
      <c r="AE42" s="482"/>
      <c r="AF42" s="248"/>
      <c r="AG42" s="415"/>
      <c r="AH42" s="196"/>
      <c r="AI42" s="171"/>
      <c r="AJ42" s="249"/>
      <c r="AK42" s="250"/>
      <c r="AL42" s="186"/>
      <c r="AM42" s="251"/>
      <c r="AN42" s="249"/>
      <c r="AO42" s="249"/>
      <c r="AP42" s="249"/>
      <c r="AQ42" s="249"/>
      <c r="AR42" s="249"/>
      <c r="AS42" s="249"/>
      <c r="AT42" s="249"/>
      <c r="AU42" s="420"/>
      <c r="AV42" s="216"/>
      <c r="AW42" s="428"/>
      <c r="AX42" s="218"/>
      <c r="AY42" s="242"/>
      <c r="AZ42" s="243"/>
      <c r="BA42" s="175"/>
      <c r="BB42" s="743"/>
      <c r="BC42" s="755" t="str">
        <f ca="1">+INDEX(T_Equipos[Grupo],MATCH(WORLDCUP!BD42,T_Equipos[NombreEquipo],0))</f>
        <v>J</v>
      </c>
      <c r="BD42" s="743" t="str">
        <f ca="1">+Equipos!B38</f>
        <v>Argentina</v>
      </c>
      <c r="BE42" s="747">
        <f t="shared" ca="1" si="25"/>
        <v>9</v>
      </c>
      <c r="BF42" s="747">
        <f t="shared" ca="1" si="26"/>
        <v>3</v>
      </c>
      <c r="BG42" s="747">
        <f t="shared" ca="1" si="17"/>
        <v>3</v>
      </c>
      <c r="BH42" s="747">
        <f t="shared" ca="1" si="18"/>
        <v>0</v>
      </c>
      <c r="BI42" s="747">
        <f t="shared" ca="1" si="19"/>
        <v>0</v>
      </c>
      <c r="BJ42" s="747">
        <f t="shared" ca="1" si="20"/>
        <v>8</v>
      </c>
      <c r="BK42" s="747">
        <f t="shared" ca="1" si="21"/>
        <v>1</v>
      </c>
      <c r="BL42" s="747">
        <f t="shared" ca="1" si="27"/>
        <v>7</v>
      </c>
      <c r="BM42" s="747" t="str">
        <f t="shared" ca="1" si="22"/>
        <v>1J</v>
      </c>
      <c r="BN42" s="747" t="str">
        <f t="shared" ca="1" si="23"/>
        <v>1J</v>
      </c>
      <c r="BO42" s="757">
        <f t="shared" ca="1" si="28"/>
        <v>0</v>
      </c>
      <c r="BP42" s="756">
        <f ca="1">COUNTIFS($BO$6:$BO$53,"&gt;"&amp;BO42,$BC$6:$BC$53,INDEX(T_Equipos[Grupo],MATCH(BD42,T_Equipos[NombreEquipo],0)))+1</f>
        <v>1</v>
      </c>
      <c r="BQ42" s="756" t="str">
        <f ca="1">IF(COUNTIFS($BP$6:$BP$53,BP42,$BC$6:$BC$53,INDEX(T_Equipos[Grupo],MATCH(BD42,T_Equipos[NombreEquipo],0)))=1,"-","P."&amp;BP42&amp;" ("&amp;COUNTIFS($BP$6:$BP$53,BP42,$BC$6:$BC$53,INDEX(T_Equipos[Grupo],MATCH(BD42,T_Equipos[NombreEquipo],0)))&amp;")")</f>
        <v>P.1 (4)</v>
      </c>
      <c r="BR42" s="757">
        <f t="shared" ca="1" si="29"/>
        <v>9</v>
      </c>
      <c r="BS42" s="756">
        <f ca="1">BP42+COUNTIFS($BQ$6:$BQ$53,BQ42,$BR$6:BR$53,"&gt;"&amp;BR42,$BC$6:$BC$53,INDEX(T_Equipos[Grupo],MATCH(BD42,T_Equipos[NombreEquipo],0)))</f>
        <v>1</v>
      </c>
      <c r="BT42" s="756" t="str">
        <f ca="1">IF(COUNTIFS($BS$6:$BS$53,BS42,$BC$6:$BC$53,INDEX(T_Equipos[Grupo],MATCH(BD42,T_Equipos[NombreEquipo],0)))=1,"-","P."&amp;BS42&amp;" ("&amp;COUNTIFS($BS$6:$BS$53,BS42,$BC$6:$BC$53,INDEX(T_Equipos[Grupo],MATCH(BD42,T_Equipos[NombreEquipo],0)))&amp;")")</f>
        <v>-</v>
      </c>
      <c r="BU42" s="757" t="str">
        <f t="shared" ca="1" si="36"/>
        <v>-</v>
      </c>
      <c r="BV42" s="757" t="str">
        <f t="shared" ca="1" si="37"/>
        <v>-</v>
      </c>
      <c r="BW42" s="757" t="str">
        <f t="shared" ca="1" si="38"/>
        <v>-</v>
      </c>
      <c r="BX42" s="757" t="str">
        <f t="shared" ca="1" si="39"/>
        <v>-</v>
      </c>
      <c r="BY42" s="757">
        <f ca="1">BS42+COUNTIFS($BT$6:$BT$53,BT42,$BX$6:BX$53,"&gt;"&amp;BX42,$BC$6:$BC$53,INDEX(T_Equipos[Grupo],MATCH(BD42,T_Equipos[NombreEquipo],0)))</f>
        <v>1</v>
      </c>
      <c r="BZ42" s="756" t="str">
        <f ca="1">IF(COUNTIFS($BY$6:$BY$53,BY42,$BC$6:$BC$53,INDEX(T_Equipos[Grupo],MATCH(BD42,T_Equipos[NombreEquipo],0)))=1,"-","P."&amp;BY42&amp;" ("&amp;COUNTIFS($BY$6:$BY$53,BY42,$BC$6:$BC$53,INDEX(T_Equipos[Grupo],MATCH(BD42,T_Equipos[NombreEquipo],0)))&amp;")")</f>
        <v>-</v>
      </c>
      <c r="CA42" s="757" t="str">
        <f t="shared" ca="1" si="40"/>
        <v>-</v>
      </c>
      <c r="CB42" s="757" t="str">
        <f t="shared" ca="1" si="41"/>
        <v>-</v>
      </c>
      <c r="CC42" s="757" t="str">
        <f t="shared" ca="1" si="42"/>
        <v>-</v>
      </c>
      <c r="CD42" s="757">
        <f ca="1">BY42+COUNTIFS($BZ$6:$BZ$53,BZ42,$CC$6:CC$53,"&gt;"&amp;CC42,$BC$6:$BC$53,INDEX(T_Equipos[Grupo],MATCH(BD42,T_Equipos[NombreEquipo],0)))</f>
        <v>1</v>
      </c>
      <c r="CE42" s="756" t="str">
        <f ca="1">IF(COUNTIFS($CD$6:$CD$53,CD42,$BC$6:$BC$53,INDEX(T_Equipos[Grupo],MATCH(BD42,T_Equipos[NombreEquipo],0)))=1,"-","P."&amp;CD42&amp;" ("&amp;COUNTIFS($CD$6:$CD$53,CD42,$BC$6:$BC$53,INDEX(T_Equipos[Grupo],MATCH(BD42,T_Equipos[NombreEquipo],0)))&amp;")")</f>
        <v>-</v>
      </c>
      <c r="CF42" s="757" t="str">
        <f t="shared" ca="1" si="43"/>
        <v>-</v>
      </c>
      <c r="CG42" s="757">
        <f ca="1">CD42+COUNTIFS($CE$6:$CE$53,CE42,$CF$6:CF$53,"&gt;"&amp;CF42,$BC$6:$BC$53,INDEX(T_Equipos[Grupo],MATCH(BD42,T_Equipos[NombreEquipo],0)))</f>
        <v>1</v>
      </c>
      <c r="CH42" s="756" t="str">
        <f ca="1">IF(COUNTIFS($CG$6:$CG$53,CG42,$BC$6:$BC$53,INDEX(T_Equipos[Grupo],MATCH(BD42,T_Equipos[NombreEquipo],0)))=1,"-","P."&amp;CG42&amp;" ("&amp;COUNTIFS($CG$6:$CG$53,CG42,$BC$6:$BC$53,INDEX(T_Equipos[Grupo],MATCH(BD42,T_Equipos[NombreEquipo],0)))&amp;")")</f>
        <v>-</v>
      </c>
      <c r="CI42" s="757" t="str">
        <f t="shared" ca="1" si="44"/>
        <v>-</v>
      </c>
      <c r="CJ42" s="757" t="str">
        <f t="shared" ca="1" si="45"/>
        <v>-</v>
      </c>
      <c r="CK42" s="757" t="str">
        <f t="shared" ca="1" si="46"/>
        <v>-</v>
      </c>
      <c r="CL42" s="757" t="str">
        <f t="shared" ca="1" si="47"/>
        <v>-</v>
      </c>
      <c r="CM42" s="757">
        <f ca="1">CG42+COUNTIFS($CH$6:$CH$53,CH42,$CL$6:CL$53,"&gt;"&amp;CL42,$BC$6:$BC$53,INDEX(T_Equipos[Grupo],MATCH(BD42,T_Equipos[NombreEquipo],0)))</f>
        <v>1</v>
      </c>
      <c r="CN42" s="756" t="str">
        <f ca="1">IF(COUNTIFS($CM$6:$CM$53,CM42,$BC$6:$BC$53,INDEX(T_Equipos[Grupo],MATCH(BD42,T_Equipos[NombreEquipo],0)))=1,"-","P."&amp;CM42&amp;" ("&amp;COUNTIFS($CM$6:$CM$53,CM42,$BC$6:$BC$53,INDEX(T_Equipos[Grupo],MATCH(BD42,T_Equipos[NombreEquipo],0)))&amp;")")</f>
        <v>-</v>
      </c>
      <c r="CO42" s="757" t="str">
        <f t="shared" ca="1" si="48"/>
        <v>-</v>
      </c>
      <c r="CP42" s="757" t="str">
        <f t="shared" ca="1" si="49"/>
        <v>-</v>
      </c>
      <c r="CQ42" s="757" t="str">
        <f t="shared" ca="1" si="50"/>
        <v>-</v>
      </c>
      <c r="CR42" s="757">
        <f ca="1">CM42+COUNTIFS($CN$6:$CN$53,CN42,$CQ$6:CQ$53,"&gt;"&amp;CQ42,$BC$6:$BC$53,INDEX(T_Equipos[Grupo],MATCH(BD42,T_Equipos[NombreEquipo],0)))</f>
        <v>1</v>
      </c>
      <c r="CS42" s="756" t="str">
        <f ca="1">IF(COUNTIFS($CR$6:$CR$53,CR42,$BC$6:$BC$53,INDEX(T_Equipos[Grupo],MATCH(BD42,T_Equipos[NombreEquipo],0)))=1,"-","P."&amp;CR42&amp;" ("&amp;COUNTIFS($CR$6:$CR$53,CR42,$BC$6:$BC$53,INDEX(T_Equipos[Grupo],MATCH(BD42,T_Equipos[NombreEquipo],0)))&amp;")")</f>
        <v>-</v>
      </c>
      <c r="CT42" s="757" t="str">
        <f t="shared" ca="1" si="51"/>
        <v>-</v>
      </c>
      <c r="CU42" s="757">
        <f ca="1">CR42+COUNTIFS($CS$6:$CS$53,CS42,$CT$6:CT$53,"&gt;"&amp;CT42,$BC$6:$BC$53,INDEX(T_Equipos[Grupo],MATCH(BD42,T_Equipos[NombreEquipo],0)))</f>
        <v>1</v>
      </c>
      <c r="CV42" s="756" t="str">
        <f ca="1">IF(COUNTIFS($CU$6:$CU$53,CU42,$BC$6:$BC$53,INDEX(T_Equipos[Grupo],MATCH(BD42,T_Equipos[NombreEquipo],0)))=1,"-","P."&amp;CU42&amp;" ("&amp;COUNTIFS($CU$6:$CU$53,CU42,$BC$6:$BC$53,INDEX(T_Equipos[Grupo],MATCH(BD42,T_Equipos[NombreEquipo],0)))&amp;")")</f>
        <v>-</v>
      </c>
      <c r="CW42" s="756" t="str">
        <f t="shared" ca="1" si="30"/>
        <v>-</v>
      </c>
      <c r="CX42" s="756">
        <f ca="1">CU42+COUNTIFS($CV$6:$CV$53,CV42,$CW$6:CW$53,"&gt;"&amp;CW42,$BC$6:$BC$53,INDEX(T_Equipos[Grupo],MATCH(BD42,T_Equipos[NombreEquipo],0)))</f>
        <v>1</v>
      </c>
      <c r="CY42" s="756" t="str">
        <f ca="1">IF(COUNTIFS($CX$6:$CX$53,CX42,$BC$6:$BC$53,INDEX(T_Equipos[Grupo],MATCH(BD42,T_Equipos[NombreEquipo],0)))=1,"-","P."&amp;CX42&amp;" ("&amp;COUNTIFS($CX$6:$CX$53,CX42,$BC$6:$BC$53,INDEX(T_Equipos[Grupo],MATCH(BD42,T_Equipos[NombreEquipo],0)))&amp;")")</f>
        <v>-</v>
      </c>
      <c r="CZ42" s="756" t="str">
        <f t="shared" ca="1" si="31"/>
        <v>-</v>
      </c>
      <c r="DA42" s="757">
        <f ca="1">CX42+COUNTIFS($CY$6:$CY$53,CY42,$CZ$6:CZ$53,"&gt;"&amp;CZ42,$BC$6:$BC$53,INDEX(T_Equipos[Grupo],MATCH(BD42,T_Equipos[NombreEquipo],0)))</f>
        <v>1</v>
      </c>
      <c r="DB42" s="756" t="str">
        <f ca="1">IF(COUNTIFS($DA$6:$DA$53,DA42,$BC$6:$BC$53,INDEX(T_Equipos[Grupo],MATCH(BD42,T_Equipos[NombreEquipo],0)))=1,"-","P."&amp;DA42&amp;" ("&amp;COUNTIFS($DA$6:$DA$53,DA42,$BC$6:$BC$53,INDEX(T_Equipos[Grupo],MATCH(BD42,T_Equipos[NombreEquipo],0)))&amp;")")</f>
        <v>-</v>
      </c>
      <c r="DC42" s="755" t="str">
        <f ca="1">IF(DB42="-","-",COUNTIFS(T_Equipos[Rank],"&lt;"&amp;INDEX(T_Equipos[Rank],MATCH(BD42,T_Equipos[NombreEquipo],0)),$BC$6:$BC$53,INDEX(T_Equipos[Grupo],MATCH(BD42,T_Equipos[NombreEquipo],0)))+1)</f>
        <v>-</v>
      </c>
      <c r="DD42" s="755">
        <f ca="1">DA42+COUNTIFS($DB$6:$DB$53,DB42,$DC$6:DC$53,"&lt;"&amp;DC42,$BC$6:$BC$53,INDEX(T_Equipos[Grupo],MATCH(BD42,T_Equipos[NombreEquipo],0)))</f>
        <v>1</v>
      </c>
      <c r="DE42" s="755"/>
      <c r="DF42" s="755">
        <f t="shared" ca="1" si="52"/>
        <v>1</v>
      </c>
      <c r="DG42" s="755" t="str">
        <f ca="1">IF(DB42="-","-",COUNTIFS(DF$6:DF$53,"&lt;"&amp;DF42,$BC$6:$BC$53,INDEX(T_Equipos[Grupo],MATCH(BD42,T_Equipos[NombreEquipo],0))))</f>
        <v>-</v>
      </c>
      <c r="DH42" s="755">
        <f ca="1">DA42+COUNTIFS(DB$6:DB$53,DB42,DG$6:DG$53,"&lt;"&amp;DG42,$BC$6:$BC$53,INDEX(T_Equipos[Grupo],MATCH(BD42,T_Equipos[NombreEquipo],0)))</f>
        <v>1</v>
      </c>
      <c r="DI42" s="743"/>
      <c r="DJ42" s="743">
        <f t="shared" ca="1" si="53"/>
        <v>1</v>
      </c>
      <c r="DK42" s="743">
        <f t="shared" ca="1" si="24"/>
        <v>12</v>
      </c>
      <c r="DL42" s="743">
        <f t="shared" ca="1" si="33"/>
        <v>1</v>
      </c>
      <c r="DM42" s="737" t="str">
        <f t="shared" ca="1" si="34"/>
        <v>1.1</v>
      </c>
      <c r="DN42" s="743" cm="1">
        <f t="array" aca="1" ref="DN42" ca="1">OFFSET(Horarios!$P$3,DJ42-1,0,DL42,1)</f>
        <v>1</v>
      </c>
      <c r="DO42" s="743"/>
      <c r="DP42" s="743" t="s">
        <v>676</v>
      </c>
      <c r="DQ42" s="743" t="str">
        <f t="shared" ca="1" si="35"/>
        <v>Argentina</v>
      </c>
      <c r="DR42" s="743"/>
      <c r="DS42" s="743"/>
      <c r="DT42" s="743" t="str">
        <f t="shared" si="15"/>
        <v>-</v>
      </c>
      <c r="DU42" s="743"/>
      <c r="DV42" s="743"/>
      <c r="DW42" s="8"/>
    </row>
    <row r="43" spans="1:127" ht="15.75" thickBot="1">
      <c r="A43" s="738"/>
      <c r="B43" s="741"/>
      <c r="C43" s="738"/>
      <c r="D43" s="738"/>
      <c r="E43" s="738"/>
      <c r="F43" s="738"/>
      <c r="G43" s="738"/>
      <c r="H43" s="738"/>
      <c r="I43" s="738"/>
      <c r="J43" s="738"/>
      <c r="K43" s="738"/>
      <c r="L43" s="738"/>
      <c r="M43" s="738"/>
      <c r="N43" s="743"/>
      <c r="O43" s="743"/>
      <c r="P43" s="743"/>
      <c r="Q43" s="743"/>
      <c r="R43" s="743"/>
      <c r="S43" s="743"/>
      <c r="T43" s="743"/>
      <c r="U43" s="743"/>
      <c r="V43" s="172"/>
      <c r="W43" s="179"/>
      <c r="X43" s="180" t="str">
        <f>X27</f>
        <v>Date</v>
      </c>
      <c r="Y43" s="180" t="str">
        <f>Y27</f>
        <v>Hour</v>
      </c>
      <c r="Z43" s="181" t="str">
        <f t="shared" ref="Z43:AA43" si="134">Z27</f>
        <v>R</v>
      </c>
      <c r="AA43" s="182" t="str">
        <f t="shared" si="134"/>
        <v>Home</v>
      </c>
      <c r="AB43" s="181"/>
      <c r="AC43" s="181" t="str">
        <f>AC3</f>
        <v>Goal</v>
      </c>
      <c r="AD43" s="181" t="str">
        <f>AD3</f>
        <v>Goal</v>
      </c>
      <c r="AE43" s="181"/>
      <c r="AF43" s="184" t="str">
        <f t="shared" ref="AF43" si="135">AF27</f>
        <v>Away</v>
      </c>
      <c r="AG43" s="414"/>
      <c r="AH43" s="196"/>
      <c r="AI43" s="18"/>
      <c r="AJ43" s="186"/>
      <c r="AK43" s="252"/>
      <c r="AL43" s="186"/>
      <c r="AM43" s="186"/>
      <c r="AN43" s="186"/>
      <c r="AO43" s="186"/>
      <c r="AP43" s="186"/>
      <c r="AQ43" s="186"/>
      <c r="AR43" s="186"/>
      <c r="AS43" s="186"/>
      <c r="AT43" s="186"/>
      <c r="AU43" s="421"/>
      <c r="AV43" s="22"/>
      <c r="AW43" s="429"/>
      <c r="AX43" s="253"/>
      <c r="AY43" s="242"/>
      <c r="AZ43" s="243"/>
      <c r="BA43" s="175"/>
      <c r="BB43" s="743"/>
      <c r="BC43" s="755" t="str">
        <f ca="1">+INDEX(T_Equipos[Grupo],MATCH(WORLDCUP!BD43,T_Equipos[NombreEquipo],0))</f>
        <v>J</v>
      </c>
      <c r="BD43" s="743" t="str">
        <f ca="1">+Equipos!B39</f>
        <v>Algeria</v>
      </c>
      <c r="BE43" s="747">
        <f t="shared" ca="1" si="25"/>
        <v>4</v>
      </c>
      <c r="BF43" s="747">
        <f t="shared" ca="1" si="26"/>
        <v>3</v>
      </c>
      <c r="BG43" s="747">
        <f t="shared" ca="1" si="17"/>
        <v>1</v>
      </c>
      <c r="BH43" s="747">
        <f t="shared" ca="1" si="18"/>
        <v>1</v>
      </c>
      <c r="BI43" s="747">
        <f t="shared" ca="1" si="19"/>
        <v>1</v>
      </c>
      <c r="BJ43" s="747">
        <f t="shared" ca="1" si="20"/>
        <v>5</v>
      </c>
      <c r="BK43" s="747">
        <f t="shared" ca="1" si="21"/>
        <v>7</v>
      </c>
      <c r="BL43" s="747">
        <f t="shared" ca="1" si="27"/>
        <v>-2</v>
      </c>
      <c r="BM43" s="747" t="str">
        <f t="shared" ca="1" si="22"/>
        <v>3J</v>
      </c>
      <c r="BN43" s="747" t="str">
        <f t="shared" ca="1" si="23"/>
        <v>3J</v>
      </c>
      <c r="BO43" s="757">
        <f t="shared" ca="1" si="28"/>
        <v>0</v>
      </c>
      <c r="BP43" s="756">
        <f ca="1">COUNTIFS($BO$6:$BO$53,"&gt;"&amp;BO43,$BC$6:$BC$53,INDEX(T_Equipos[Grupo],MATCH(BD43,T_Equipos[NombreEquipo],0)))+1</f>
        <v>1</v>
      </c>
      <c r="BQ43" s="756" t="str">
        <f ca="1">IF(COUNTIFS($BP$6:$BP$53,BP43,$BC$6:$BC$53,INDEX(T_Equipos[Grupo],MATCH(BD43,T_Equipos[NombreEquipo],0)))=1,"-","P."&amp;BP43&amp;" ("&amp;COUNTIFS($BP$6:$BP$53,BP43,$BC$6:$BC$53,INDEX(T_Equipos[Grupo],MATCH(BD43,T_Equipos[NombreEquipo],0)))&amp;")")</f>
        <v>P.1 (4)</v>
      </c>
      <c r="BR43" s="757">
        <f t="shared" ca="1" si="29"/>
        <v>4</v>
      </c>
      <c r="BS43" s="756">
        <f ca="1">BP43+COUNTIFS($BQ$6:$BQ$53,BQ43,$BR$6:BR$53,"&gt;"&amp;BR43,$BC$6:$BC$53,INDEX(T_Equipos[Grupo],MATCH(BD43,T_Equipos[NombreEquipo],0)))</f>
        <v>2</v>
      </c>
      <c r="BT43" s="756" t="str">
        <f ca="1">IF(COUNTIFS($BS$6:$BS$53,BS43,$BC$6:$BC$53,INDEX(T_Equipos[Grupo],MATCH(BD43,T_Equipos[NombreEquipo],0)))=1,"-","P."&amp;BS43&amp;" ("&amp;COUNTIFS($BS$6:$BS$53,BS43,$BC$6:$BC$53,INDEX(T_Equipos[Grupo],MATCH(BD43,T_Equipos[NombreEquipo],0)))&amp;")")</f>
        <v>P.2 (2)</v>
      </c>
      <c r="BU43" s="757">
        <f t="shared" ca="1" si="36"/>
        <v>0</v>
      </c>
      <c r="BV43" s="757">
        <f t="shared" ca="1" si="37"/>
        <v>1</v>
      </c>
      <c r="BW43" s="757">
        <f t="shared" ca="1" si="38"/>
        <v>0</v>
      </c>
      <c r="BX43" s="757">
        <f t="shared" ca="1" si="39"/>
        <v>1</v>
      </c>
      <c r="BY43" s="757">
        <f ca="1">BS43+COUNTIFS($BT$6:$BT$53,BT43,$BX$6:BX$53,"&gt;"&amp;BX43,$BC$6:$BC$53,INDEX(T_Equipos[Grupo],MATCH(BD43,T_Equipos[NombreEquipo],0)))</f>
        <v>2</v>
      </c>
      <c r="BZ43" s="756" t="str">
        <f ca="1">IF(COUNTIFS($BY$6:$BY$53,BY43,$BC$6:$BC$53,INDEX(T_Equipos[Grupo],MATCH(BD43,T_Equipos[NombreEquipo],0)))=1,"-","P."&amp;BY43&amp;" ("&amp;COUNTIFS($BY$6:$BY$53,BY43,$BC$6:$BC$53,INDEX(T_Equipos[Grupo],MATCH(BD43,T_Equipos[NombreEquipo],0)))&amp;")")</f>
        <v>P.2 (2)</v>
      </c>
      <c r="CA43" s="757">
        <f t="shared" ca="1" si="40"/>
        <v>3</v>
      </c>
      <c r="CB43" s="757">
        <f t="shared" ca="1" si="41"/>
        <v>3</v>
      </c>
      <c r="CC43" s="757">
        <f t="shared" ca="1" si="42"/>
        <v>0</v>
      </c>
      <c r="CD43" s="757">
        <f ca="1">BY43+COUNTIFS($BZ$6:$BZ$53,BZ43,$CC$6:CC$53,"&gt;"&amp;CC43,$BC$6:$BC$53,INDEX(T_Equipos[Grupo],MATCH(BD43,T_Equipos[NombreEquipo],0)))</f>
        <v>2</v>
      </c>
      <c r="CE43" s="756" t="str">
        <f ca="1">IF(COUNTIFS($CD$6:$CD$53,CD43,$BC$6:$BC$53,INDEX(T_Equipos[Grupo],MATCH(BD43,T_Equipos[NombreEquipo],0)))=1,"-","P."&amp;CD43&amp;" ("&amp;COUNTIFS($CD$6:$CD$53,CD43,$BC$6:$BC$53,INDEX(T_Equipos[Grupo],MATCH(BD43,T_Equipos[NombreEquipo],0)))&amp;")")</f>
        <v>P.2 (2)</v>
      </c>
      <c r="CF43" s="757">
        <f t="shared" ca="1" si="43"/>
        <v>3</v>
      </c>
      <c r="CG43" s="757">
        <f ca="1">CD43+COUNTIFS($CE$6:$CE$53,CE43,$CF$6:CF$53,"&gt;"&amp;CF43,$BC$6:$BC$53,INDEX(T_Equipos[Grupo],MATCH(BD43,T_Equipos[NombreEquipo],0)))</f>
        <v>2</v>
      </c>
      <c r="CH43" s="756" t="str">
        <f ca="1">IF(COUNTIFS($CG$6:$CG$53,CG43,$BC$6:$BC$53,INDEX(T_Equipos[Grupo],MATCH(BD43,T_Equipos[NombreEquipo],0)))=1,"-","P."&amp;CG43&amp;" ("&amp;COUNTIFS($CG$6:$CG$53,CG43,$BC$6:$BC$53,INDEX(T_Equipos[Grupo],MATCH(BD43,T_Equipos[NombreEquipo],0)))&amp;")")</f>
        <v>P.2 (2)</v>
      </c>
      <c r="CI43" s="757">
        <f t="shared" ca="1" si="44"/>
        <v>0</v>
      </c>
      <c r="CJ43" s="757">
        <f t="shared" ca="1" si="45"/>
        <v>1</v>
      </c>
      <c r="CK43" s="757">
        <f t="shared" ca="1" si="46"/>
        <v>0</v>
      </c>
      <c r="CL43" s="757">
        <f t="shared" ca="1" si="47"/>
        <v>1</v>
      </c>
      <c r="CM43" s="757">
        <f ca="1">CG43+COUNTIFS($CH$6:$CH$53,CH43,$CL$6:CL$53,"&gt;"&amp;CL43,$BC$6:$BC$53,INDEX(T_Equipos[Grupo],MATCH(BD43,T_Equipos[NombreEquipo],0)))</f>
        <v>2</v>
      </c>
      <c r="CN43" s="756" t="str">
        <f ca="1">IF(COUNTIFS($CM$6:$CM$53,CM43,$BC$6:$BC$53,INDEX(T_Equipos[Grupo],MATCH(BD43,T_Equipos[NombreEquipo],0)))=1,"-","P."&amp;CM43&amp;" ("&amp;COUNTIFS($CM$6:$CM$53,CM43,$BC$6:$BC$53,INDEX(T_Equipos[Grupo],MATCH(BD43,T_Equipos[NombreEquipo],0)))&amp;")")</f>
        <v>P.2 (2)</v>
      </c>
      <c r="CO43" s="757">
        <f t="shared" ca="1" si="48"/>
        <v>3</v>
      </c>
      <c r="CP43" s="757">
        <f t="shared" ca="1" si="49"/>
        <v>3</v>
      </c>
      <c r="CQ43" s="757">
        <f t="shared" ca="1" si="50"/>
        <v>0</v>
      </c>
      <c r="CR43" s="757">
        <f ca="1">CM43+COUNTIFS($CN$6:$CN$53,CN43,$CQ$6:CQ$53,"&gt;"&amp;CQ43,$BC$6:$BC$53,INDEX(T_Equipos[Grupo],MATCH(BD43,T_Equipos[NombreEquipo],0)))</f>
        <v>2</v>
      </c>
      <c r="CS43" s="756" t="str">
        <f ca="1">IF(COUNTIFS($CR$6:$CR$53,CR43,$BC$6:$BC$53,INDEX(T_Equipos[Grupo],MATCH(BD43,T_Equipos[NombreEquipo],0)))=1,"-","P."&amp;CR43&amp;" ("&amp;COUNTIFS($CR$6:$CR$53,CR43,$BC$6:$BC$53,INDEX(T_Equipos[Grupo],MATCH(BD43,T_Equipos[NombreEquipo],0)))&amp;")")</f>
        <v>P.2 (2)</v>
      </c>
      <c r="CT43" s="757">
        <f t="shared" ca="1" si="51"/>
        <v>3</v>
      </c>
      <c r="CU43" s="757">
        <f ca="1">CR43+COUNTIFS($CS$6:$CS$53,CS43,$CT$6:CT$53,"&gt;"&amp;CT43,$BC$6:$BC$53,INDEX(T_Equipos[Grupo],MATCH(BD43,T_Equipos[NombreEquipo],0)))</f>
        <v>2</v>
      </c>
      <c r="CV43" s="756" t="str">
        <f ca="1">IF(COUNTIFS($CU$6:$CU$53,CU43,$BC$6:$BC$53,INDEX(T_Equipos[Grupo],MATCH(BD43,T_Equipos[NombreEquipo],0)))=1,"-","P."&amp;CU43&amp;" ("&amp;COUNTIFS($CU$6:$CU$53,CU43,$BC$6:$BC$53,INDEX(T_Equipos[Grupo],MATCH(BD43,T_Equipos[NombreEquipo],0)))&amp;")")</f>
        <v>P.2 (2)</v>
      </c>
      <c r="CW43" s="756">
        <f t="shared" ca="1" si="30"/>
        <v>-2</v>
      </c>
      <c r="CX43" s="756">
        <f ca="1">CU43+COUNTIFS($CV$6:$CV$53,CV43,$CW$6:CW$53,"&gt;"&amp;CW43,$BC$6:$BC$53,INDEX(T_Equipos[Grupo],MATCH(BD43,T_Equipos[NombreEquipo],0)))</f>
        <v>3</v>
      </c>
      <c r="CY43" s="756" t="str">
        <f ca="1">IF(COUNTIFS($CX$6:$CX$53,CX43,$BC$6:$BC$53,INDEX(T_Equipos[Grupo],MATCH(BD43,T_Equipos[NombreEquipo],0)))=1,"-","P."&amp;CX43&amp;" ("&amp;COUNTIFS($CX$6:$CX$53,CX43,$BC$6:$BC$53,INDEX(T_Equipos[Grupo],MATCH(BD43,T_Equipos[NombreEquipo],0)))&amp;")")</f>
        <v>-</v>
      </c>
      <c r="CZ43" s="756" t="str">
        <f t="shared" ca="1" si="31"/>
        <v>-</v>
      </c>
      <c r="DA43" s="757">
        <f ca="1">CX43+COUNTIFS($CY$6:$CY$53,CY43,$CZ$6:CZ$53,"&gt;"&amp;CZ43,$BC$6:$BC$53,INDEX(T_Equipos[Grupo],MATCH(BD43,T_Equipos[NombreEquipo],0)))</f>
        <v>3</v>
      </c>
      <c r="DB43" s="756" t="str">
        <f ca="1">IF(COUNTIFS($DA$6:$DA$53,DA43,$BC$6:$BC$53,INDEX(T_Equipos[Grupo],MATCH(BD43,T_Equipos[NombreEquipo],0)))=1,"-","P."&amp;DA43&amp;" ("&amp;COUNTIFS($DA$6:$DA$53,DA43,$BC$6:$BC$53,INDEX(T_Equipos[Grupo],MATCH(BD43,T_Equipos[NombreEquipo],0)))&amp;")")</f>
        <v>-</v>
      </c>
      <c r="DC43" s="755" t="str">
        <f ca="1">IF(DB43="-","-",COUNTIFS(T_Equipos[Rank],"&lt;"&amp;INDEX(T_Equipos[Rank],MATCH(BD43,T_Equipos[NombreEquipo],0)),$BC$6:$BC$53,INDEX(T_Equipos[Grupo],MATCH(BD43,T_Equipos[NombreEquipo],0)))+1)</f>
        <v>-</v>
      </c>
      <c r="DD43" s="755">
        <f ca="1">DA43+COUNTIFS($DB$6:$DB$53,DB43,$DC$6:DC$53,"&lt;"&amp;DC43,$BC$6:$BC$53,INDEX(T_Equipos[Grupo],MATCH(BD43,T_Equipos[NombreEquipo],0)))</f>
        <v>3</v>
      </c>
      <c r="DE43" s="755"/>
      <c r="DF43" s="755">
        <f t="shared" ca="1" si="52"/>
        <v>3</v>
      </c>
      <c r="DG43" s="755" t="str">
        <f ca="1">IF(DB43="-","-",COUNTIFS(DF$6:DF$53,"&lt;"&amp;DF43,$BC$6:$BC$53,INDEX(T_Equipos[Grupo],MATCH(BD43,T_Equipos[NombreEquipo],0))))</f>
        <v>-</v>
      </c>
      <c r="DH43" s="755">
        <f ca="1">DA43+COUNTIFS(DB$6:DB$53,DB43,DG$6:DG$53,"&lt;"&amp;DG43,$BC$6:$BC$53,INDEX(T_Equipos[Grupo],MATCH(BD43,T_Equipos[NombreEquipo],0)))</f>
        <v>3</v>
      </c>
      <c r="DI43" s="743"/>
      <c r="DJ43" s="743">
        <f t="shared" ca="1" si="53"/>
        <v>2</v>
      </c>
      <c r="DK43" s="743">
        <f t="shared" ca="1" si="24"/>
        <v>12</v>
      </c>
      <c r="DL43" s="743">
        <f t="shared" ca="1" si="33"/>
        <v>1</v>
      </c>
      <c r="DM43" s="737" t="str">
        <f t="shared" ca="1" si="34"/>
        <v>2.1</v>
      </c>
      <c r="DN43" s="743" cm="1">
        <f t="array" aca="1" ref="DN43" ca="1">OFFSET(Horarios!$P$3,DJ43-1,0,DL43,1)</f>
        <v>2</v>
      </c>
      <c r="DO43" s="743"/>
      <c r="DP43" s="743" t="s">
        <v>677</v>
      </c>
      <c r="DQ43" s="743" t="str">
        <f t="shared" ca="1" si="35"/>
        <v>Austria</v>
      </c>
      <c r="DR43" s="743"/>
      <c r="DS43" s="743"/>
      <c r="DT43" s="743" t="str">
        <f t="shared" si="15"/>
        <v>Home-Away</v>
      </c>
      <c r="DU43" s="743"/>
      <c r="DV43" s="743"/>
      <c r="DW43" s="8"/>
    </row>
    <row r="44" spans="1:127" ht="16.149999999999999" customHeight="1" thickBot="1">
      <c r="A44" s="740" t="s">
        <v>30</v>
      </c>
      <c r="B44" s="741" t="s">
        <v>4</v>
      </c>
      <c r="C44" s="742">
        <f>COUNTIF(Equipos!$C$2:$C$49,WORLDCUP!B44)</f>
        <v>4</v>
      </c>
      <c r="D44" s="743" t="str">
        <f t="shared" ref="D44:D50" si="136">IF(OR(AC44="",AD44=""),"Pendiente",IF(AC44&gt;AD44,"Local",IF(AC44&lt;AD44,"Visitante","Empate")))</f>
        <v>Empate</v>
      </c>
      <c r="E44" s="743" t="str">
        <f t="shared" ref="E44:E49" ca="1" si="137">IF(D44="Pendiente","-",INDEX($BT$6:$BT$53,MATCH($AA44,$BD$6:$BD$53,0)))</f>
        <v>-</v>
      </c>
      <c r="F44" s="743" t="str">
        <f t="shared" ref="F44:F49" ca="1" si="138">IF(D44="Pendiente","-",INDEX($BT$6:$BT$53,MATCH($AF44,$BD$6:$BD$53,0)))</f>
        <v>-</v>
      </c>
      <c r="G44" s="743"/>
      <c r="H44" s="743" t="str">
        <f t="shared" ref="H44:H49" ca="1" si="139">IF(D44="Pendiente","-",INDEX($BZ$6:$BZ$53,MATCH($AA44,$BD$6:$BD$53,0)))</f>
        <v>-</v>
      </c>
      <c r="I44" s="743" t="str">
        <f t="shared" ref="I44:I49" ca="1" si="140">IF(D44="Pendiente","-",INDEX($BZ$6:$BZ$53,MATCH($AF44,$BD$6:$BD$53,0)))</f>
        <v>-</v>
      </c>
      <c r="J44" s="743"/>
      <c r="K44" s="743" t="str">
        <f t="shared" ref="K44:K49" ca="1" si="141">IF(D44="Pendiente","-",INDEX($CE$6:$CE$53,MATCH($AA44,$BD$6:$BD$53,0)))</f>
        <v>-</v>
      </c>
      <c r="L44" s="743" t="str">
        <f t="shared" ref="L44:L49" ca="1" si="142">IF(D44="Pendiente","-",INDEX($CE$6:$CE$53,MATCH($AF44,$BD$6:$BD$53,0)))</f>
        <v>-</v>
      </c>
      <c r="M44" s="743"/>
      <c r="N44" s="743" t="str">
        <f t="shared" ref="N44:N49" ca="1" si="143">IF(D44="Pendiente","-",INDEX($CH$6:$CH$53,MATCH($AA44,$BD$6:$BD$53,0)))</f>
        <v>-</v>
      </c>
      <c r="O44" s="743" t="str">
        <f t="shared" ref="O44:O49" ca="1" si="144">IF(D44="Pendiente","-",INDEX($CH$6:$CH$53,MATCH($AF44,$BD$6:$BD$53,0)))</f>
        <v>-</v>
      </c>
      <c r="P44" s="743"/>
      <c r="Q44" s="743" t="str">
        <f t="shared" ref="Q44:Q49" ca="1" si="145">IF(D44="Pendiente","-",INDEX($CN$6:$CN$53,MATCH($AA44,$BD$6:$BD$53,0)))</f>
        <v>-</v>
      </c>
      <c r="R44" s="743" t="str">
        <f t="shared" ref="R44:R49" ca="1" si="146">IF(D44="Pendiente","-",INDEX($CN$6:$CN$53,MATCH($AF44,$BD$6:$BD$53,0)))</f>
        <v>-</v>
      </c>
      <c r="S44" s="743"/>
      <c r="T44" s="743" t="str">
        <f t="shared" ref="T44:T49" ca="1" si="147">IF(D44="Pendiente","-",INDEX($CS$6:$CS$53,MATCH($AA44,$BD$6:$BD$53,0)))</f>
        <v>-</v>
      </c>
      <c r="U44" s="743" t="str">
        <f t="shared" ref="U44:U49" ca="1" si="148">IF(D44="Pendiente","-",INDEX($CS$6:$CS$53,MATCH($AF44,$BD$6:$BD$53,0)))</f>
        <v>-</v>
      </c>
      <c r="V44" s="172"/>
      <c r="W44" s="823" t="s">
        <v>4</v>
      </c>
      <c r="X44" s="189">
        <f ca="1">Horarios!C44</f>
        <v>46187.916666666664</v>
      </c>
      <c r="Y44" s="190">
        <f ca="1">Horarios!C44</f>
        <v>46187.916666666664</v>
      </c>
      <c r="Z44" s="191" t="str">
        <f>$Z$4</f>
        <v>R1</v>
      </c>
      <c r="AA44" s="192" t="str">
        <f ca="1">A45</f>
        <v>Netherlands</v>
      </c>
      <c r="AB44" s="478" t="e" cm="1" vm="21">
        <f t="array" aca="1" ref="AB44" ca="1">Ver_flag_local</f>
        <v>#VALUE!</v>
      </c>
      <c r="AC44" s="193">
        <v>2</v>
      </c>
      <c r="AD44" s="194">
        <v>2</v>
      </c>
      <c r="AE44" s="483" t="e" cm="1" vm="22">
        <f t="array" aca="1" ref="AE44" ca="1">Ver_flag_visit</f>
        <v>#VALUE!</v>
      </c>
      <c r="AF44" s="195" t="str">
        <f ca="1">A46</f>
        <v>Japan</v>
      </c>
      <c r="AG44" s="413">
        <f t="shared" ref="AG44:AG49" si="149">IF(NOT(OR(ISBLANK(AC44),ISBLANK(AD44))),1,0)</f>
        <v>1</v>
      </c>
      <c r="AH44" s="196">
        <v>11</v>
      </c>
      <c r="AI44" s="19"/>
      <c r="AJ44" s="197" t="str">
        <f>CONCATENATE(AJ3," ",B44)</f>
        <v>Group F</v>
      </c>
      <c r="AK44" s="198"/>
      <c r="AL44" s="198"/>
      <c r="AM44" s="198"/>
      <c r="AN44" s="198"/>
      <c r="AO44" s="198"/>
      <c r="AP44" s="198"/>
      <c r="AQ44" s="198"/>
      <c r="AR44" s="198"/>
      <c r="AS44" s="198"/>
      <c r="AT44" s="199"/>
      <c r="AU44" s="421"/>
      <c r="AV44" s="200" t="str">
        <f t="shared" ref="AV44" ca="1" si="150">IF(AU45&gt;0,$AV$3,"")</f>
        <v/>
      </c>
      <c r="AW44" s="208"/>
      <c r="AX44" s="255"/>
      <c r="AY44" s="242"/>
      <c r="AZ44" s="243"/>
      <c r="BA44" s="175"/>
      <c r="BB44" s="743"/>
      <c r="BC44" s="755" t="str">
        <f ca="1">+INDEX(T_Equipos[Grupo],MATCH(WORLDCUP!BD44,T_Equipos[NombreEquipo],0))</f>
        <v>J</v>
      </c>
      <c r="BD44" s="743" t="str">
        <f ca="1">+Equipos!B40</f>
        <v>Austria</v>
      </c>
      <c r="BE44" s="747">
        <f t="shared" ca="1" si="25"/>
        <v>4</v>
      </c>
      <c r="BF44" s="747">
        <f t="shared" ca="1" si="26"/>
        <v>3</v>
      </c>
      <c r="BG44" s="747">
        <f t="shared" ca="1" si="17"/>
        <v>1</v>
      </c>
      <c r="BH44" s="747">
        <f t="shared" ca="1" si="18"/>
        <v>1</v>
      </c>
      <c r="BI44" s="747">
        <f t="shared" ca="1" si="19"/>
        <v>1</v>
      </c>
      <c r="BJ44" s="747">
        <f t="shared" ca="1" si="20"/>
        <v>6</v>
      </c>
      <c r="BK44" s="747">
        <f t="shared" ca="1" si="21"/>
        <v>6</v>
      </c>
      <c r="BL44" s="747">
        <f t="shared" ca="1" si="27"/>
        <v>0</v>
      </c>
      <c r="BM44" s="747" t="str">
        <f t="shared" ca="1" si="22"/>
        <v>2J</v>
      </c>
      <c r="BN44" s="747" t="str">
        <f t="shared" ca="1" si="23"/>
        <v>2J</v>
      </c>
      <c r="BO44" s="757">
        <f t="shared" ca="1" si="28"/>
        <v>0</v>
      </c>
      <c r="BP44" s="756">
        <f ca="1">COUNTIFS($BO$6:$BO$53,"&gt;"&amp;BO44,$BC$6:$BC$53,INDEX(T_Equipos[Grupo],MATCH(BD44,T_Equipos[NombreEquipo],0)))+1</f>
        <v>1</v>
      </c>
      <c r="BQ44" s="756" t="str">
        <f ca="1">IF(COUNTIFS($BP$6:$BP$53,BP44,$BC$6:$BC$53,INDEX(T_Equipos[Grupo],MATCH(BD44,T_Equipos[NombreEquipo],0)))=1,"-","P."&amp;BP44&amp;" ("&amp;COUNTIFS($BP$6:$BP$53,BP44,$BC$6:$BC$53,INDEX(T_Equipos[Grupo],MATCH(BD44,T_Equipos[NombreEquipo],0)))&amp;")")</f>
        <v>P.1 (4)</v>
      </c>
      <c r="BR44" s="757">
        <f t="shared" ca="1" si="29"/>
        <v>4</v>
      </c>
      <c r="BS44" s="756">
        <f ca="1">BP44+COUNTIFS($BQ$6:$BQ$53,BQ44,$BR$6:BR$53,"&gt;"&amp;BR44,$BC$6:$BC$53,INDEX(T_Equipos[Grupo],MATCH(BD44,T_Equipos[NombreEquipo],0)))</f>
        <v>2</v>
      </c>
      <c r="BT44" s="756" t="str">
        <f ca="1">IF(COUNTIFS($BS$6:$BS$53,BS44,$BC$6:$BC$53,INDEX(T_Equipos[Grupo],MATCH(BD44,T_Equipos[NombreEquipo],0)))=1,"-","P."&amp;BS44&amp;" ("&amp;COUNTIFS($BS$6:$BS$53,BS44,$BC$6:$BC$53,INDEX(T_Equipos[Grupo],MATCH(BD44,T_Equipos[NombreEquipo],0)))&amp;")")</f>
        <v>P.2 (2)</v>
      </c>
      <c r="BU44" s="757">
        <f t="shared" ca="1" si="36"/>
        <v>0</v>
      </c>
      <c r="BV44" s="757">
        <f t="shared" ca="1" si="37"/>
        <v>1</v>
      </c>
      <c r="BW44" s="757">
        <f t="shared" ca="1" si="38"/>
        <v>0</v>
      </c>
      <c r="BX44" s="757">
        <f t="shared" ca="1" si="39"/>
        <v>1</v>
      </c>
      <c r="BY44" s="757">
        <f ca="1">BS44+COUNTIFS($BT$6:$BT$53,BT44,$BX$6:BX$53,"&gt;"&amp;BX44,$BC$6:$BC$53,INDEX(T_Equipos[Grupo],MATCH(BD44,T_Equipos[NombreEquipo],0)))</f>
        <v>2</v>
      </c>
      <c r="BZ44" s="756" t="str">
        <f ca="1">IF(COUNTIFS($BY$6:$BY$53,BY44,$BC$6:$BC$53,INDEX(T_Equipos[Grupo],MATCH(BD44,T_Equipos[NombreEquipo],0)))=1,"-","P."&amp;BY44&amp;" ("&amp;COUNTIFS($BY$6:$BY$53,BY44,$BC$6:$BC$53,INDEX(T_Equipos[Grupo],MATCH(BD44,T_Equipos[NombreEquipo],0)))&amp;")")</f>
        <v>P.2 (2)</v>
      </c>
      <c r="CA44" s="757">
        <f t="shared" ca="1" si="40"/>
        <v>3</v>
      </c>
      <c r="CB44" s="757">
        <f t="shared" ca="1" si="41"/>
        <v>3</v>
      </c>
      <c r="CC44" s="757">
        <f t="shared" ca="1" si="42"/>
        <v>0</v>
      </c>
      <c r="CD44" s="757">
        <f ca="1">BY44+COUNTIFS($BZ$6:$BZ$53,BZ44,$CC$6:CC$53,"&gt;"&amp;CC44,$BC$6:$BC$53,INDEX(T_Equipos[Grupo],MATCH(BD44,T_Equipos[NombreEquipo],0)))</f>
        <v>2</v>
      </c>
      <c r="CE44" s="756" t="str">
        <f ca="1">IF(COUNTIFS($CD$6:$CD$53,CD44,$BC$6:$BC$53,INDEX(T_Equipos[Grupo],MATCH(BD44,T_Equipos[NombreEquipo],0)))=1,"-","P."&amp;CD44&amp;" ("&amp;COUNTIFS($CD$6:$CD$53,CD44,$BC$6:$BC$53,INDEX(T_Equipos[Grupo],MATCH(BD44,T_Equipos[NombreEquipo],0)))&amp;")")</f>
        <v>P.2 (2)</v>
      </c>
      <c r="CF44" s="757">
        <f t="shared" ca="1" si="43"/>
        <v>3</v>
      </c>
      <c r="CG44" s="757">
        <f ca="1">CD44+COUNTIFS($CE$6:$CE$53,CE44,$CF$6:CF$53,"&gt;"&amp;CF44,$BC$6:$BC$53,INDEX(T_Equipos[Grupo],MATCH(BD44,T_Equipos[NombreEquipo],0)))</f>
        <v>2</v>
      </c>
      <c r="CH44" s="756" t="str">
        <f ca="1">IF(COUNTIFS($CG$6:$CG$53,CG44,$BC$6:$BC$53,INDEX(T_Equipos[Grupo],MATCH(BD44,T_Equipos[NombreEquipo],0)))=1,"-","P."&amp;CG44&amp;" ("&amp;COUNTIFS($CG$6:$CG$53,CG44,$BC$6:$BC$53,INDEX(T_Equipos[Grupo],MATCH(BD44,T_Equipos[NombreEquipo],0)))&amp;")")</f>
        <v>P.2 (2)</v>
      </c>
      <c r="CI44" s="757">
        <f t="shared" ca="1" si="44"/>
        <v>0</v>
      </c>
      <c r="CJ44" s="757">
        <f t="shared" ca="1" si="45"/>
        <v>1</v>
      </c>
      <c r="CK44" s="757">
        <f t="shared" ca="1" si="46"/>
        <v>0</v>
      </c>
      <c r="CL44" s="757">
        <f t="shared" ca="1" si="47"/>
        <v>1</v>
      </c>
      <c r="CM44" s="757">
        <f ca="1">CG44+COUNTIFS($CH$6:$CH$53,CH44,$CL$6:CL$53,"&gt;"&amp;CL44,$BC$6:$BC$53,INDEX(T_Equipos[Grupo],MATCH(BD44,T_Equipos[NombreEquipo],0)))</f>
        <v>2</v>
      </c>
      <c r="CN44" s="756" t="str">
        <f ca="1">IF(COUNTIFS($CM$6:$CM$53,CM44,$BC$6:$BC$53,INDEX(T_Equipos[Grupo],MATCH(BD44,T_Equipos[NombreEquipo],0)))=1,"-","P."&amp;CM44&amp;" ("&amp;COUNTIFS($CM$6:$CM$53,CM44,$BC$6:$BC$53,INDEX(T_Equipos[Grupo],MATCH(BD44,T_Equipos[NombreEquipo],0)))&amp;")")</f>
        <v>P.2 (2)</v>
      </c>
      <c r="CO44" s="757">
        <f t="shared" ca="1" si="48"/>
        <v>3</v>
      </c>
      <c r="CP44" s="757">
        <f t="shared" ca="1" si="49"/>
        <v>3</v>
      </c>
      <c r="CQ44" s="757">
        <f t="shared" ca="1" si="50"/>
        <v>0</v>
      </c>
      <c r="CR44" s="757">
        <f ca="1">CM44+COUNTIFS($CN$6:$CN$53,CN44,$CQ$6:CQ$53,"&gt;"&amp;CQ44,$BC$6:$BC$53,INDEX(T_Equipos[Grupo],MATCH(BD44,T_Equipos[NombreEquipo],0)))</f>
        <v>2</v>
      </c>
      <c r="CS44" s="756" t="str">
        <f ca="1">IF(COUNTIFS($CR$6:$CR$53,CR44,$BC$6:$BC$53,INDEX(T_Equipos[Grupo],MATCH(BD44,T_Equipos[NombreEquipo],0)))=1,"-","P."&amp;CR44&amp;" ("&amp;COUNTIFS($CR$6:$CR$53,CR44,$BC$6:$BC$53,INDEX(T_Equipos[Grupo],MATCH(BD44,T_Equipos[NombreEquipo],0)))&amp;")")</f>
        <v>P.2 (2)</v>
      </c>
      <c r="CT44" s="757">
        <f t="shared" ca="1" si="51"/>
        <v>3</v>
      </c>
      <c r="CU44" s="757">
        <f ca="1">CR44+COUNTIFS($CS$6:$CS$53,CS44,$CT$6:CT$53,"&gt;"&amp;CT44,$BC$6:$BC$53,INDEX(T_Equipos[Grupo],MATCH(BD44,T_Equipos[NombreEquipo],0)))</f>
        <v>2</v>
      </c>
      <c r="CV44" s="756" t="str">
        <f ca="1">IF(COUNTIFS($CU$6:$CU$53,CU44,$BC$6:$BC$53,INDEX(T_Equipos[Grupo],MATCH(BD44,T_Equipos[NombreEquipo],0)))=1,"-","P."&amp;CU44&amp;" ("&amp;COUNTIFS($CU$6:$CU$53,CU44,$BC$6:$BC$53,INDEX(T_Equipos[Grupo],MATCH(BD44,T_Equipos[NombreEquipo],0)))&amp;")")</f>
        <v>P.2 (2)</v>
      </c>
      <c r="CW44" s="756">
        <f t="shared" ca="1" si="30"/>
        <v>0</v>
      </c>
      <c r="CX44" s="756">
        <f ca="1">CU44+COUNTIFS($CV$6:$CV$53,CV44,$CW$6:CW$53,"&gt;"&amp;CW44,$BC$6:$BC$53,INDEX(T_Equipos[Grupo],MATCH(BD44,T_Equipos[NombreEquipo],0)))</f>
        <v>2</v>
      </c>
      <c r="CY44" s="756" t="str">
        <f ca="1">IF(COUNTIFS($CX$6:$CX$53,CX44,$BC$6:$BC$53,INDEX(T_Equipos[Grupo],MATCH(BD44,T_Equipos[NombreEquipo],0)))=1,"-","P."&amp;CX44&amp;" ("&amp;COUNTIFS($CX$6:$CX$53,CX44,$BC$6:$BC$53,INDEX(T_Equipos[Grupo],MATCH(BD44,T_Equipos[NombreEquipo],0)))&amp;")")</f>
        <v>-</v>
      </c>
      <c r="CZ44" s="756" t="str">
        <f t="shared" ca="1" si="31"/>
        <v>-</v>
      </c>
      <c r="DA44" s="757">
        <f ca="1">CX44+COUNTIFS($CY$6:$CY$53,CY44,$CZ$6:CZ$53,"&gt;"&amp;CZ44,$BC$6:$BC$53,INDEX(T_Equipos[Grupo],MATCH(BD44,T_Equipos[NombreEquipo],0)))</f>
        <v>2</v>
      </c>
      <c r="DB44" s="756" t="str">
        <f ca="1">IF(COUNTIFS($DA$6:$DA$53,DA44,$BC$6:$BC$53,INDEX(T_Equipos[Grupo],MATCH(BD44,T_Equipos[NombreEquipo],0)))=1,"-","P."&amp;DA44&amp;" ("&amp;COUNTIFS($DA$6:$DA$53,DA44,$BC$6:$BC$53,INDEX(T_Equipos[Grupo],MATCH(BD44,T_Equipos[NombreEquipo],0)))&amp;")")</f>
        <v>-</v>
      </c>
      <c r="DC44" s="755" t="str">
        <f ca="1">IF(DB44="-","-",COUNTIFS(T_Equipos[Rank],"&lt;"&amp;INDEX(T_Equipos[Rank],MATCH(BD44,T_Equipos[NombreEquipo],0)),$BC$6:$BC$53,INDEX(T_Equipos[Grupo],MATCH(BD44,T_Equipos[NombreEquipo],0)))+1)</f>
        <v>-</v>
      </c>
      <c r="DD44" s="755">
        <f ca="1">DA44+COUNTIFS($DB$6:$DB$53,DB44,$DC$6:DC$53,"&lt;"&amp;DC44,$BC$6:$BC$53,INDEX(T_Equipos[Grupo],MATCH(BD44,T_Equipos[NombreEquipo],0)))</f>
        <v>2</v>
      </c>
      <c r="DE44" s="755"/>
      <c r="DF44" s="755">
        <f t="shared" ca="1" si="52"/>
        <v>2</v>
      </c>
      <c r="DG44" s="755" t="str">
        <f ca="1">IF(DB44="-","-",COUNTIFS(DF$6:DF$53,"&lt;"&amp;DF44,$BC$6:$BC$53,INDEX(T_Equipos[Grupo],MATCH(BD44,T_Equipos[NombreEquipo],0))))</f>
        <v>-</v>
      </c>
      <c r="DH44" s="755">
        <f ca="1">DA44+COUNTIFS(DB$6:DB$53,DB44,DG$6:DG$53,"&lt;"&amp;DG44,$BC$6:$BC$53,INDEX(T_Equipos[Grupo],MATCH(BD44,T_Equipos[NombreEquipo],0)))</f>
        <v>2</v>
      </c>
      <c r="DI44" s="743"/>
      <c r="DJ44" s="743">
        <f t="shared" ca="1" si="53"/>
        <v>3</v>
      </c>
      <c r="DK44" s="743">
        <f t="shared" ca="1" si="24"/>
        <v>12</v>
      </c>
      <c r="DL44" s="743">
        <f t="shared" ca="1" si="33"/>
        <v>1</v>
      </c>
      <c r="DM44" s="737" t="str">
        <f t="shared" ca="1" si="34"/>
        <v>3.1</v>
      </c>
      <c r="DN44" s="743" cm="1">
        <f t="array" aca="1" ref="DN44" ca="1">OFFSET(Horarios!$P$3,DJ44-1,0,DL44,1)</f>
        <v>3</v>
      </c>
      <c r="DO44" s="743"/>
      <c r="DP44" s="743" t="s">
        <v>441</v>
      </c>
      <c r="DQ44" s="743" t="str">
        <f t="shared" ca="1" si="35"/>
        <v>Algeria</v>
      </c>
      <c r="DR44" s="743"/>
      <c r="DS44" s="743"/>
      <c r="DT44" s="743" t="str">
        <f t="shared" ca="1" si="15"/>
        <v>Netherlands-Japan</v>
      </c>
      <c r="DU44" s="743"/>
      <c r="DV44" s="743"/>
      <c r="DW44" s="8"/>
    </row>
    <row r="45" spans="1:127" ht="16.149999999999999" customHeight="1">
      <c r="A45" s="744" t="str">
        <f ca="1">+Equipos!B22</f>
        <v>Netherlands</v>
      </c>
      <c r="B45" s="741"/>
      <c r="C45" s="741"/>
      <c r="D45" s="743" t="str">
        <f t="shared" si="136"/>
        <v>Local</v>
      </c>
      <c r="E45" s="743" t="str">
        <f t="shared" ca="1" si="137"/>
        <v>-</v>
      </c>
      <c r="F45" s="743" t="str">
        <f t="shared" ca="1" si="138"/>
        <v>-</v>
      </c>
      <c r="G45" s="743"/>
      <c r="H45" s="743" t="str">
        <f t="shared" ca="1" si="139"/>
        <v>-</v>
      </c>
      <c r="I45" s="743" t="str">
        <f t="shared" ca="1" si="140"/>
        <v>-</v>
      </c>
      <c r="J45" s="743"/>
      <c r="K45" s="743" t="str">
        <f t="shared" ca="1" si="141"/>
        <v>-</v>
      </c>
      <c r="L45" s="743" t="str">
        <f t="shared" ca="1" si="142"/>
        <v>-</v>
      </c>
      <c r="M45" s="743"/>
      <c r="N45" s="743" t="str">
        <f t="shared" ca="1" si="143"/>
        <v>-</v>
      </c>
      <c r="O45" s="743" t="str">
        <f t="shared" ca="1" si="144"/>
        <v>-</v>
      </c>
      <c r="P45" s="743"/>
      <c r="Q45" s="743" t="str">
        <f t="shared" ca="1" si="145"/>
        <v>-</v>
      </c>
      <c r="R45" s="743" t="str">
        <f t="shared" ca="1" si="146"/>
        <v>-</v>
      </c>
      <c r="S45" s="743"/>
      <c r="T45" s="743" t="str">
        <f t="shared" ca="1" si="147"/>
        <v>-</v>
      </c>
      <c r="U45" s="743" t="str">
        <f t="shared" ca="1" si="148"/>
        <v>-</v>
      </c>
      <c r="V45" s="172"/>
      <c r="W45" s="823"/>
      <c r="X45" s="189">
        <f ca="1">Horarios!C45</f>
        <v>46188.166666666664</v>
      </c>
      <c r="Y45" s="190">
        <f ca="1">Horarios!C45</f>
        <v>46188.166666666664</v>
      </c>
      <c r="Z45" s="191" t="str">
        <f>$Z$4</f>
        <v>R1</v>
      </c>
      <c r="AA45" s="192" t="str">
        <f ca="1">A47</f>
        <v>Sweden</v>
      </c>
      <c r="AB45" s="478" t="e" cm="1" vm="23">
        <f t="array" aca="1" ref="AB45" ca="1">Ver_flag_local</f>
        <v>#VALUE!</v>
      </c>
      <c r="AC45" s="193">
        <v>5</v>
      </c>
      <c r="AD45" s="194">
        <v>1</v>
      </c>
      <c r="AE45" s="483" t="e" cm="1" vm="24">
        <f t="array" aca="1" ref="AE45" ca="1">Ver_flag_visit</f>
        <v>#VALUE!</v>
      </c>
      <c r="AF45" s="195" t="str">
        <f ca="1">A48</f>
        <v>Tunisia</v>
      </c>
      <c r="AG45" s="413">
        <f t="shared" si="149"/>
        <v>1</v>
      </c>
      <c r="AH45" s="196">
        <v>12</v>
      </c>
      <c r="AI45" s="19"/>
      <c r="AJ45" s="204" t="str">
        <f>AJ5</f>
        <v>Pos</v>
      </c>
      <c r="AK45" s="205"/>
      <c r="AL45" s="206" t="str">
        <f t="shared" ref="AL45:AT45" si="151">AL5</f>
        <v>Nation</v>
      </c>
      <c r="AM45" s="205" t="str">
        <f t="shared" si="151"/>
        <v>Pts</v>
      </c>
      <c r="AN45" s="205" t="str">
        <f t="shared" si="151"/>
        <v>P</v>
      </c>
      <c r="AO45" s="205" t="str">
        <f t="shared" si="151"/>
        <v>W</v>
      </c>
      <c r="AP45" s="205" t="str">
        <f t="shared" si="151"/>
        <v>D</v>
      </c>
      <c r="AQ45" s="205" t="str">
        <f t="shared" si="151"/>
        <v>L</v>
      </c>
      <c r="AR45" s="205" t="str">
        <f t="shared" si="151"/>
        <v>F</v>
      </c>
      <c r="AS45" s="205" t="str">
        <f t="shared" si="151"/>
        <v>A</v>
      </c>
      <c r="AT45" s="207" t="str">
        <f t="shared" si="151"/>
        <v>GD</v>
      </c>
      <c r="AU45" s="421">
        <f t="shared" ref="AU45" ca="1" si="152">COUNTIF(AU46:AU49,"&gt;1")</f>
        <v>0</v>
      </c>
      <c r="AV45" s="208"/>
      <c r="AW45" s="208"/>
      <c r="AX45" s="255"/>
      <c r="AY45" s="209" t="str">
        <f>AL45</f>
        <v>Nation</v>
      </c>
      <c r="AZ45" s="210" t="str">
        <f>+Idiomas!$D$69</f>
        <v>Deducted Points</v>
      </c>
      <c r="BA45" s="175"/>
      <c r="BB45" s="743"/>
      <c r="BC45" s="755" t="str">
        <f ca="1">+INDEX(T_Equipos[Grupo],MATCH(WORLDCUP!BD45,T_Equipos[NombreEquipo],0))</f>
        <v>J</v>
      </c>
      <c r="BD45" s="743" t="str">
        <f ca="1">+Equipos!B41</f>
        <v>Jordan</v>
      </c>
      <c r="BE45" s="747">
        <f t="shared" ca="1" si="25"/>
        <v>0</v>
      </c>
      <c r="BF45" s="747">
        <f t="shared" ca="1" si="26"/>
        <v>3</v>
      </c>
      <c r="BG45" s="747">
        <f t="shared" ca="1" si="17"/>
        <v>0</v>
      </c>
      <c r="BH45" s="747">
        <f t="shared" ca="1" si="18"/>
        <v>0</v>
      </c>
      <c r="BI45" s="747">
        <f t="shared" ca="1" si="19"/>
        <v>3</v>
      </c>
      <c r="BJ45" s="747">
        <f t="shared" ca="1" si="20"/>
        <v>3</v>
      </c>
      <c r="BK45" s="747">
        <f t="shared" ca="1" si="21"/>
        <v>8</v>
      </c>
      <c r="BL45" s="747">
        <f t="shared" ca="1" si="27"/>
        <v>-5</v>
      </c>
      <c r="BM45" s="747" t="str">
        <f t="shared" ca="1" si="22"/>
        <v>4J</v>
      </c>
      <c r="BN45" s="747" t="str">
        <f t="shared" ca="1" si="23"/>
        <v>4J</v>
      </c>
      <c r="BO45" s="757">
        <f t="shared" ca="1" si="28"/>
        <v>0</v>
      </c>
      <c r="BP45" s="756">
        <f ca="1">COUNTIFS($BO$6:$BO$53,"&gt;"&amp;BO45,$BC$6:$BC$53,INDEX(T_Equipos[Grupo],MATCH(BD45,T_Equipos[NombreEquipo],0)))+1</f>
        <v>1</v>
      </c>
      <c r="BQ45" s="756" t="str">
        <f ca="1">IF(COUNTIFS($BP$6:$BP$53,BP45,$BC$6:$BC$53,INDEX(T_Equipos[Grupo],MATCH(BD45,T_Equipos[NombreEquipo],0)))=1,"-","P."&amp;BP45&amp;" ("&amp;COUNTIFS($BP$6:$BP$53,BP45,$BC$6:$BC$53,INDEX(T_Equipos[Grupo],MATCH(BD45,T_Equipos[NombreEquipo],0)))&amp;")")</f>
        <v>P.1 (4)</v>
      </c>
      <c r="BR45" s="757">
        <f t="shared" ca="1" si="29"/>
        <v>0</v>
      </c>
      <c r="BS45" s="756">
        <f ca="1">BP45+COUNTIFS($BQ$6:$BQ$53,BQ45,$BR$6:BR$53,"&gt;"&amp;BR45,$BC$6:$BC$53,INDEX(T_Equipos[Grupo],MATCH(BD45,T_Equipos[NombreEquipo],0)))</f>
        <v>4</v>
      </c>
      <c r="BT45" s="756" t="str">
        <f ca="1">IF(COUNTIFS($BS$6:$BS$53,BS45,$BC$6:$BC$53,INDEX(T_Equipos[Grupo],MATCH(BD45,T_Equipos[NombreEquipo],0)))=1,"-","P."&amp;BS45&amp;" ("&amp;COUNTIFS($BS$6:$BS$53,BS45,$BC$6:$BC$53,INDEX(T_Equipos[Grupo],MATCH(BD45,T_Equipos[NombreEquipo],0)))&amp;")")</f>
        <v>-</v>
      </c>
      <c r="BU45" s="757" t="str">
        <f t="shared" ca="1" si="36"/>
        <v>-</v>
      </c>
      <c r="BV45" s="757" t="str">
        <f t="shared" ca="1" si="37"/>
        <v>-</v>
      </c>
      <c r="BW45" s="757" t="str">
        <f t="shared" ca="1" si="38"/>
        <v>-</v>
      </c>
      <c r="BX45" s="757" t="str">
        <f t="shared" ca="1" si="39"/>
        <v>-</v>
      </c>
      <c r="BY45" s="757">
        <f ca="1">BS45+COUNTIFS($BT$6:$BT$53,BT45,$BX$6:BX$53,"&gt;"&amp;BX45,$BC$6:$BC$53,INDEX(T_Equipos[Grupo],MATCH(BD45,T_Equipos[NombreEquipo],0)))</f>
        <v>4</v>
      </c>
      <c r="BZ45" s="756" t="str">
        <f ca="1">IF(COUNTIFS($BY$6:$BY$53,BY45,$BC$6:$BC$53,INDEX(T_Equipos[Grupo],MATCH(BD45,T_Equipos[NombreEquipo],0)))=1,"-","P."&amp;BY45&amp;" ("&amp;COUNTIFS($BY$6:$BY$53,BY45,$BC$6:$BC$53,INDEX(T_Equipos[Grupo],MATCH(BD45,T_Equipos[NombreEquipo],0)))&amp;")")</f>
        <v>-</v>
      </c>
      <c r="CA45" s="757" t="str">
        <f t="shared" ca="1" si="40"/>
        <v>-</v>
      </c>
      <c r="CB45" s="757" t="str">
        <f t="shared" ca="1" si="41"/>
        <v>-</v>
      </c>
      <c r="CC45" s="757" t="str">
        <f t="shared" ca="1" si="42"/>
        <v>-</v>
      </c>
      <c r="CD45" s="757">
        <f ca="1">BY45+COUNTIFS($BZ$6:$BZ$53,BZ45,$CC$6:CC$53,"&gt;"&amp;CC45,$BC$6:$BC$53,INDEX(T_Equipos[Grupo],MATCH(BD45,T_Equipos[NombreEquipo],0)))</f>
        <v>4</v>
      </c>
      <c r="CE45" s="756" t="str">
        <f ca="1">IF(COUNTIFS($CD$6:$CD$53,CD45,$BC$6:$BC$53,INDEX(T_Equipos[Grupo],MATCH(BD45,T_Equipos[NombreEquipo],0)))=1,"-","P."&amp;CD45&amp;" ("&amp;COUNTIFS($CD$6:$CD$53,CD45,$BC$6:$BC$53,INDEX(T_Equipos[Grupo],MATCH(BD45,T_Equipos[NombreEquipo],0)))&amp;")")</f>
        <v>-</v>
      </c>
      <c r="CF45" s="757" t="str">
        <f t="shared" ca="1" si="43"/>
        <v>-</v>
      </c>
      <c r="CG45" s="757">
        <f ca="1">CD45+COUNTIFS($CE$6:$CE$53,CE45,$CF$6:CF$53,"&gt;"&amp;CF45,$BC$6:$BC$53,INDEX(T_Equipos[Grupo],MATCH(BD45,T_Equipos[NombreEquipo],0)))</f>
        <v>4</v>
      </c>
      <c r="CH45" s="756" t="str">
        <f ca="1">IF(COUNTIFS($CG$6:$CG$53,CG45,$BC$6:$BC$53,INDEX(T_Equipos[Grupo],MATCH(BD45,T_Equipos[NombreEquipo],0)))=1,"-","P."&amp;CG45&amp;" ("&amp;COUNTIFS($CG$6:$CG$53,CG45,$BC$6:$BC$53,INDEX(T_Equipos[Grupo],MATCH(BD45,T_Equipos[NombreEquipo],0)))&amp;")")</f>
        <v>-</v>
      </c>
      <c r="CI45" s="757" t="str">
        <f t="shared" ca="1" si="44"/>
        <v>-</v>
      </c>
      <c r="CJ45" s="757" t="str">
        <f t="shared" ca="1" si="45"/>
        <v>-</v>
      </c>
      <c r="CK45" s="757" t="str">
        <f t="shared" ca="1" si="46"/>
        <v>-</v>
      </c>
      <c r="CL45" s="757" t="str">
        <f t="shared" ca="1" si="47"/>
        <v>-</v>
      </c>
      <c r="CM45" s="757">
        <f ca="1">CG45+COUNTIFS($CH$6:$CH$53,CH45,$CL$6:CL$53,"&gt;"&amp;CL45,$BC$6:$BC$53,INDEX(T_Equipos[Grupo],MATCH(BD45,T_Equipos[NombreEquipo],0)))</f>
        <v>4</v>
      </c>
      <c r="CN45" s="756" t="str">
        <f ca="1">IF(COUNTIFS($CM$6:$CM$53,CM45,$BC$6:$BC$53,INDEX(T_Equipos[Grupo],MATCH(BD45,T_Equipos[NombreEquipo],0)))=1,"-","P."&amp;CM45&amp;" ("&amp;COUNTIFS($CM$6:$CM$53,CM45,$BC$6:$BC$53,INDEX(T_Equipos[Grupo],MATCH(BD45,T_Equipos[NombreEquipo],0)))&amp;")")</f>
        <v>-</v>
      </c>
      <c r="CO45" s="757" t="str">
        <f t="shared" ca="1" si="48"/>
        <v>-</v>
      </c>
      <c r="CP45" s="757" t="str">
        <f t="shared" ca="1" si="49"/>
        <v>-</v>
      </c>
      <c r="CQ45" s="757" t="str">
        <f t="shared" ca="1" si="50"/>
        <v>-</v>
      </c>
      <c r="CR45" s="757">
        <f ca="1">CM45+COUNTIFS($CN$6:$CN$53,CN45,$CQ$6:CQ$53,"&gt;"&amp;CQ45,$BC$6:$BC$53,INDEX(T_Equipos[Grupo],MATCH(BD45,T_Equipos[NombreEquipo],0)))</f>
        <v>4</v>
      </c>
      <c r="CS45" s="756" t="str">
        <f ca="1">IF(COUNTIFS($CR$6:$CR$53,CR45,$BC$6:$BC$53,INDEX(T_Equipos[Grupo],MATCH(BD45,T_Equipos[NombreEquipo],0)))=1,"-","P."&amp;CR45&amp;" ("&amp;COUNTIFS($CR$6:$CR$53,CR45,$BC$6:$BC$53,INDEX(T_Equipos[Grupo],MATCH(BD45,T_Equipos[NombreEquipo],0)))&amp;")")</f>
        <v>-</v>
      </c>
      <c r="CT45" s="757" t="str">
        <f t="shared" ca="1" si="51"/>
        <v>-</v>
      </c>
      <c r="CU45" s="757">
        <f ca="1">CR45+COUNTIFS($CS$6:$CS$53,CS45,$CT$6:CT$53,"&gt;"&amp;CT45,$BC$6:$BC$53,INDEX(T_Equipos[Grupo],MATCH(BD45,T_Equipos[NombreEquipo],0)))</f>
        <v>4</v>
      </c>
      <c r="CV45" s="756" t="str">
        <f ca="1">IF(COUNTIFS($CU$6:$CU$53,CU45,$BC$6:$BC$53,INDEX(T_Equipos[Grupo],MATCH(BD45,T_Equipos[NombreEquipo],0)))=1,"-","P."&amp;CU45&amp;" ("&amp;COUNTIFS($CU$6:$CU$53,CU45,$BC$6:$BC$53,INDEX(T_Equipos[Grupo],MATCH(BD45,T_Equipos[NombreEquipo],0)))&amp;")")</f>
        <v>-</v>
      </c>
      <c r="CW45" s="756" t="str">
        <f t="shared" ca="1" si="30"/>
        <v>-</v>
      </c>
      <c r="CX45" s="756">
        <f ca="1">CU45+COUNTIFS($CV$6:$CV$53,CV45,$CW$6:CW$53,"&gt;"&amp;CW45,$BC$6:$BC$53,INDEX(T_Equipos[Grupo],MATCH(BD45,T_Equipos[NombreEquipo],0)))</f>
        <v>4</v>
      </c>
      <c r="CY45" s="756" t="str">
        <f ca="1">IF(COUNTIFS($CX$6:$CX$53,CX45,$BC$6:$BC$53,INDEX(T_Equipos[Grupo],MATCH(BD45,T_Equipos[NombreEquipo],0)))=1,"-","P."&amp;CX45&amp;" ("&amp;COUNTIFS($CX$6:$CX$53,CX45,$BC$6:$BC$53,INDEX(T_Equipos[Grupo],MATCH(BD45,T_Equipos[NombreEquipo],0)))&amp;")")</f>
        <v>-</v>
      </c>
      <c r="CZ45" s="756" t="str">
        <f t="shared" ca="1" si="31"/>
        <v>-</v>
      </c>
      <c r="DA45" s="757">
        <f ca="1">CX45+COUNTIFS($CY$6:$CY$53,CY45,$CZ$6:CZ$53,"&gt;"&amp;CZ45,$BC$6:$BC$53,INDEX(T_Equipos[Grupo],MATCH(BD45,T_Equipos[NombreEquipo],0)))</f>
        <v>4</v>
      </c>
      <c r="DB45" s="756" t="str">
        <f ca="1">IF(COUNTIFS($DA$6:$DA$53,DA45,$BC$6:$BC$53,INDEX(T_Equipos[Grupo],MATCH(BD45,T_Equipos[NombreEquipo],0)))=1,"-","P."&amp;DA45&amp;" ("&amp;COUNTIFS($DA$6:$DA$53,DA45,$BC$6:$BC$53,INDEX(T_Equipos[Grupo],MATCH(BD45,T_Equipos[NombreEquipo],0)))&amp;")")</f>
        <v>-</v>
      </c>
      <c r="DC45" s="755" t="str">
        <f ca="1">IF(DB45="-","-",COUNTIFS(T_Equipos[Rank],"&lt;"&amp;INDEX(T_Equipos[Rank],MATCH(BD45,T_Equipos[NombreEquipo],0)),$BC$6:$BC$53,INDEX(T_Equipos[Grupo],MATCH(BD45,T_Equipos[NombreEquipo],0)))+1)</f>
        <v>-</v>
      </c>
      <c r="DD45" s="755">
        <f ca="1">DA45+COUNTIFS($DB$6:$DB$53,DB45,$DC$6:DC$53,"&lt;"&amp;DC45,$BC$6:$BC$53,INDEX(T_Equipos[Grupo],MATCH(BD45,T_Equipos[NombreEquipo],0)))</f>
        <v>4</v>
      </c>
      <c r="DE45" s="755"/>
      <c r="DF45" s="755">
        <f t="shared" ca="1" si="52"/>
        <v>4</v>
      </c>
      <c r="DG45" s="755" t="str">
        <f ca="1">IF(DB45="-","-",COUNTIFS(DF$6:DF$53,"&lt;"&amp;DF45,$BC$6:$BC$53,INDEX(T_Equipos[Grupo],MATCH(BD45,T_Equipos[NombreEquipo],0))))</f>
        <v>-</v>
      </c>
      <c r="DH45" s="755">
        <f ca="1">DA45+COUNTIFS(DB$6:DB$53,DB45,DG$6:DG$53,"&lt;"&amp;DG45,$BC$6:$BC$53,INDEX(T_Equipos[Grupo],MATCH(BD45,T_Equipos[NombreEquipo],0)))</f>
        <v>4</v>
      </c>
      <c r="DI45" s="743"/>
      <c r="DJ45" s="743">
        <f t="shared" ca="1" si="53"/>
        <v>4</v>
      </c>
      <c r="DK45" s="743">
        <f t="shared" ca="1" si="24"/>
        <v>12</v>
      </c>
      <c r="DL45" s="743">
        <f t="shared" ca="1" si="33"/>
        <v>1</v>
      </c>
      <c r="DM45" s="737" t="str">
        <f t="shared" ca="1" si="34"/>
        <v>4.1</v>
      </c>
      <c r="DN45" s="743" cm="1">
        <f t="array" aca="1" ref="DN45" ca="1">OFFSET(Horarios!$P$3,DJ45-1,0,DL45,1)</f>
        <v>4</v>
      </c>
      <c r="DO45" s="743"/>
      <c r="DP45" s="743" t="s">
        <v>678</v>
      </c>
      <c r="DQ45" s="743" t="str">
        <f t="shared" ca="1" si="35"/>
        <v>Jordan</v>
      </c>
      <c r="DR45" s="743"/>
      <c r="DS45" s="743"/>
      <c r="DT45" s="743" t="str">
        <f t="shared" ca="1" si="15"/>
        <v>Sweden-Tunisia</v>
      </c>
      <c r="DU45" s="743"/>
      <c r="DV45" s="743"/>
      <c r="DW45" s="8"/>
    </row>
    <row r="46" spans="1:127" ht="16.149999999999999" customHeight="1">
      <c r="A46" s="744" t="str">
        <f ca="1">+Equipos!B23</f>
        <v>Japan</v>
      </c>
      <c r="B46" s="741"/>
      <c r="C46" s="745"/>
      <c r="D46" s="743" t="str">
        <f t="shared" si="136"/>
        <v>Local</v>
      </c>
      <c r="E46" s="743" t="str">
        <f t="shared" ca="1" si="137"/>
        <v>-</v>
      </c>
      <c r="F46" s="743" t="str">
        <f t="shared" ca="1" si="138"/>
        <v>-</v>
      </c>
      <c r="G46" s="743"/>
      <c r="H46" s="743" t="str">
        <f t="shared" ca="1" si="139"/>
        <v>-</v>
      </c>
      <c r="I46" s="743" t="str">
        <f t="shared" ca="1" si="140"/>
        <v>-</v>
      </c>
      <c r="J46" s="743"/>
      <c r="K46" s="743" t="str">
        <f t="shared" ca="1" si="141"/>
        <v>-</v>
      </c>
      <c r="L46" s="743" t="str">
        <f t="shared" ca="1" si="142"/>
        <v>-</v>
      </c>
      <c r="M46" s="743"/>
      <c r="N46" s="743" t="str">
        <f t="shared" ca="1" si="143"/>
        <v>-</v>
      </c>
      <c r="O46" s="743" t="str">
        <f t="shared" ca="1" si="144"/>
        <v>-</v>
      </c>
      <c r="P46" s="743"/>
      <c r="Q46" s="743" t="str">
        <f t="shared" ca="1" si="145"/>
        <v>-</v>
      </c>
      <c r="R46" s="743" t="str">
        <f t="shared" ca="1" si="146"/>
        <v>-</v>
      </c>
      <c r="S46" s="743"/>
      <c r="T46" s="743" t="str">
        <f t="shared" ca="1" si="147"/>
        <v>-</v>
      </c>
      <c r="U46" s="743" t="str">
        <f t="shared" ca="1" si="148"/>
        <v>-</v>
      </c>
      <c r="V46" s="172"/>
      <c r="W46" s="823"/>
      <c r="X46" s="189">
        <f ca="1">Horarios!C46</f>
        <v>46193.791666666664</v>
      </c>
      <c r="Y46" s="190">
        <f ca="1">Horarios!C46</f>
        <v>46193.791666666664</v>
      </c>
      <c r="Z46" s="191" t="str">
        <f>$Z$6</f>
        <v>R2</v>
      </c>
      <c r="AA46" s="192" t="str">
        <f ca="1">A45</f>
        <v>Netherlands</v>
      </c>
      <c r="AB46" s="478" t="e" cm="1" vm="21">
        <f t="array" aca="1" ref="AB46" ca="1">Ver_flag_local</f>
        <v>#VALUE!</v>
      </c>
      <c r="AC46" s="193">
        <v>5</v>
      </c>
      <c r="AD46" s="194">
        <v>1</v>
      </c>
      <c r="AE46" s="483" t="e" cm="1" vm="23">
        <f t="array" aca="1" ref="AE46" ca="1">Ver_flag_visit</f>
        <v>#VALUE!</v>
      </c>
      <c r="AF46" s="195" t="str">
        <f ca="1">A47</f>
        <v>Sweden</v>
      </c>
      <c r="AG46" s="413">
        <f t="shared" si="149"/>
        <v>1</v>
      </c>
      <c r="AH46" s="196">
        <v>35</v>
      </c>
      <c r="AI46" s="19" t="str">
        <f>AJ46&amp;$B$44</f>
        <v>1F</v>
      </c>
      <c r="AJ46" s="211">
        <v>1</v>
      </c>
      <c r="AK46" s="488" t="e" cm="1" vm="21">
        <f t="array" aca="1" ref="AK46" ca="1">Ver_flag_visit</f>
        <v>#VALUE!</v>
      </c>
      <c r="AL46" s="212" t="str">
        <f ca="1">IFERROR(INDEX($BD$6:$BD$53,MATCH(AI46,$BN$6:$BN$53,0)),"")</f>
        <v>Netherlands</v>
      </c>
      <c r="AM46" s="213">
        <f t="shared" ref="AM46:AT49" ca="1" si="153">INDEX($BE$6:$BN$53,MATCH($AL46,$BD$6:$BD$53,0),MATCH(AM$5,$BE$5:$BN$5,0))</f>
        <v>7</v>
      </c>
      <c r="AN46" s="214">
        <f t="shared" ca="1" si="153"/>
        <v>3</v>
      </c>
      <c r="AO46" s="214">
        <f t="shared" ca="1" si="153"/>
        <v>2</v>
      </c>
      <c r="AP46" s="214">
        <f t="shared" ca="1" si="153"/>
        <v>1</v>
      </c>
      <c r="AQ46" s="214">
        <f t="shared" ca="1" si="153"/>
        <v>0</v>
      </c>
      <c r="AR46" s="214">
        <f t="shared" ca="1" si="153"/>
        <v>10</v>
      </c>
      <c r="AS46" s="214">
        <f t="shared" ca="1" si="153"/>
        <v>4</v>
      </c>
      <c r="AT46" s="215">
        <f t="shared" ca="1" si="153"/>
        <v>6</v>
      </c>
      <c r="AU46" s="420">
        <f ca="1">INDEX($DL$6:$DL$53,MATCH(AI46,$DP$6:$DP$53,0))</f>
        <v>1</v>
      </c>
      <c r="AV46" s="217" t="str">
        <f ca="1">INDEX($BD$6:$BD$53,MATCH(AI46,$BM$6:$BM$53,0))</f>
        <v>Netherlands</v>
      </c>
      <c r="AW46" s="427"/>
      <c r="AX46" s="218"/>
      <c r="AY46" s="219" t="str">
        <f ca="1">+A45</f>
        <v>Netherlands</v>
      </c>
      <c r="AZ46" s="220"/>
      <c r="BA46" s="175"/>
      <c r="BB46" s="743"/>
      <c r="BC46" s="755" t="str">
        <f ca="1">+INDEX(T_Equipos[Grupo],MATCH(WORLDCUP!BD46,T_Equipos[NombreEquipo],0))</f>
        <v>K</v>
      </c>
      <c r="BD46" s="743" t="str">
        <f ca="1">+Equipos!B42</f>
        <v>Portugal</v>
      </c>
      <c r="BE46" s="747">
        <f t="shared" ca="1" si="25"/>
        <v>5</v>
      </c>
      <c r="BF46" s="747">
        <f t="shared" ca="1" si="26"/>
        <v>3</v>
      </c>
      <c r="BG46" s="747">
        <f t="shared" ca="1" si="17"/>
        <v>1</v>
      </c>
      <c r="BH46" s="747">
        <f t="shared" ca="1" si="18"/>
        <v>2</v>
      </c>
      <c r="BI46" s="747">
        <f t="shared" ca="1" si="19"/>
        <v>0</v>
      </c>
      <c r="BJ46" s="747">
        <f t="shared" ca="1" si="20"/>
        <v>6</v>
      </c>
      <c r="BK46" s="747">
        <f t="shared" ca="1" si="21"/>
        <v>1</v>
      </c>
      <c r="BL46" s="747">
        <f t="shared" ca="1" si="27"/>
        <v>5</v>
      </c>
      <c r="BM46" s="747" t="str">
        <f t="shared" ca="1" si="22"/>
        <v>2K</v>
      </c>
      <c r="BN46" s="747" t="str">
        <f t="shared" ca="1" si="23"/>
        <v>2K</v>
      </c>
      <c r="BO46" s="756">
        <f t="shared" ca="1" si="28"/>
        <v>0</v>
      </c>
      <c r="BP46" s="756">
        <f ca="1">COUNTIFS($BO$6:$BO$53,"&gt;"&amp;BO46,$BC$6:$BC$53,INDEX(T_Equipos[Grupo],MATCH(BD46,T_Equipos[NombreEquipo],0)))+1</f>
        <v>1</v>
      </c>
      <c r="BQ46" s="756" t="str">
        <f ca="1">IF(COUNTIFS($BP$6:$BP$53,BP46,$BC$6:$BC$53,INDEX(T_Equipos[Grupo],MATCH(BD46,T_Equipos[NombreEquipo],0)))=1,"-","P."&amp;BP46&amp;" ("&amp;COUNTIFS($BP$6:$BP$53,BP46,$BC$6:$BC$53,INDEX(T_Equipos[Grupo],MATCH(BD46,T_Equipos[NombreEquipo],0)))&amp;")")</f>
        <v>P.1 (4)</v>
      </c>
      <c r="BR46" s="756">
        <f t="shared" ca="1" si="29"/>
        <v>5</v>
      </c>
      <c r="BS46" s="756">
        <f ca="1">BP46+COUNTIFS($BQ$6:$BQ$53,BQ46,$BR$6:BR$53,"&gt;"&amp;BR46,$BC$6:$BC$53,INDEX(T_Equipos[Grupo],MATCH(BD46,T_Equipos[NombreEquipo],0)))</f>
        <v>2</v>
      </c>
      <c r="BT46" s="756" t="str">
        <f ca="1">IF(COUNTIFS($BS$6:$BS$53,BS46,$BC$6:$BC$53,INDEX(T_Equipos[Grupo],MATCH(BD46,T_Equipos[NombreEquipo],0)))=1,"-","P."&amp;BS46&amp;" ("&amp;COUNTIFS($BS$6:$BS$53,BS46,$BC$6:$BC$53,INDEX(T_Equipos[Grupo],MATCH(BD46,T_Equipos[NombreEquipo],0)))&amp;")")</f>
        <v>-</v>
      </c>
      <c r="BU46" s="757" t="str">
        <f t="shared" ca="1" si="36"/>
        <v>-</v>
      </c>
      <c r="BV46" s="757" t="str">
        <f t="shared" ca="1" si="37"/>
        <v>-</v>
      </c>
      <c r="BW46" s="757" t="str">
        <f t="shared" ca="1" si="38"/>
        <v>-</v>
      </c>
      <c r="BX46" s="757" t="str">
        <f t="shared" ca="1" si="39"/>
        <v>-</v>
      </c>
      <c r="BY46" s="757">
        <f ca="1">BS46+COUNTIFS($BT$6:$BT$53,BT46,$BX$6:BX$53,"&gt;"&amp;BX46,$BC$6:$BC$53,INDEX(T_Equipos[Grupo],MATCH(BD46,T_Equipos[NombreEquipo],0)))</f>
        <v>2</v>
      </c>
      <c r="BZ46" s="756" t="str">
        <f ca="1">IF(COUNTIFS($BY$6:$BY$53,BY46,$BC$6:$BC$53,INDEX(T_Equipos[Grupo],MATCH(BD46,T_Equipos[NombreEquipo],0)))=1,"-","P."&amp;BY46&amp;" ("&amp;COUNTIFS($BY$6:$BY$53,BY46,$BC$6:$BC$53,INDEX(T_Equipos[Grupo],MATCH(BD46,T_Equipos[NombreEquipo],0)))&amp;")")</f>
        <v>-</v>
      </c>
      <c r="CA46" s="757" t="str">
        <f t="shared" ca="1" si="40"/>
        <v>-</v>
      </c>
      <c r="CB46" s="757" t="str">
        <f t="shared" ca="1" si="41"/>
        <v>-</v>
      </c>
      <c r="CC46" s="757" t="str">
        <f t="shared" ca="1" si="42"/>
        <v>-</v>
      </c>
      <c r="CD46" s="757">
        <f ca="1">BY46+COUNTIFS($BZ$6:$BZ$53,BZ46,$CC$6:CC$53,"&gt;"&amp;CC46,$BC$6:$BC$53,INDEX(T_Equipos[Grupo],MATCH(BD46,T_Equipos[NombreEquipo],0)))</f>
        <v>2</v>
      </c>
      <c r="CE46" s="756" t="str">
        <f ca="1">IF(COUNTIFS($CD$6:$CD$53,CD46,$BC$6:$BC$53,INDEX(T_Equipos[Grupo],MATCH(BD46,T_Equipos[NombreEquipo],0)))=1,"-","P."&amp;CD46&amp;" ("&amp;COUNTIFS($CD$6:$CD$53,CD46,$BC$6:$BC$53,INDEX(T_Equipos[Grupo],MATCH(BD46,T_Equipos[NombreEquipo],0)))&amp;")")</f>
        <v>-</v>
      </c>
      <c r="CF46" s="757" t="str">
        <f t="shared" ca="1" si="43"/>
        <v>-</v>
      </c>
      <c r="CG46" s="757">
        <f ca="1">CD46+COUNTIFS($CE$6:$CE$53,CE46,$CF$6:CF$53,"&gt;"&amp;CF46,$BC$6:$BC$53,INDEX(T_Equipos[Grupo],MATCH(BD46,T_Equipos[NombreEquipo],0)))</f>
        <v>2</v>
      </c>
      <c r="CH46" s="756" t="str">
        <f ca="1">IF(COUNTIFS($CG$6:$CG$53,CG46,$BC$6:$BC$53,INDEX(T_Equipos[Grupo],MATCH(BD46,T_Equipos[NombreEquipo],0)))=1,"-","P."&amp;CG46&amp;" ("&amp;COUNTIFS($CG$6:$CG$53,CG46,$BC$6:$BC$53,INDEX(T_Equipos[Grupo],MATCH(BD46,T_Equipos[NombreEquipo],0)))&amp;")")</f>
        <v>-</v>
      </c>
      <c r="CI46" s="757" t="str">
        <f t="shared" ca="1" si="44"/>
        <v>-</v>
      </c>
      <c r="CJ46" s="757" t="str">
        <f t="shared" ca="1" si="45"/>
        <v>-</v>
      </c>
      <c r="CK46" s="757" t="str">
        <f t="shared" ca="1" si="46"/>
        <v>-</v>
      </c>
      <c r="CL46" s="757" t="str">
        <f t="shared" ca="1" si="47"/>
        <v>-</v>
      </c>
      <c r="CM46" s="757">
        <f ca="1">CG46+COUNTIFS($CH$6:$CH$53,CH46,$CL$6:CL$53,"&gt;"&amp;CL46,$BC$6:$BC$53,INDEX(T_Equipos[Grupo],MATCH(BD46,T_Equipos[NombreEquipo],0)))</f>
        <v>2</v>
      </c>
      <c r="CN46" s="756" t="str">
        <f ca="1">IF(COUNTIFS($CM$6:$CM$53,CM46,$BC$6:$BC$53,INDEX(T_Equipos[Grupo],MATCH(BD46,T_Equipos[NombreEquipo],0)))=1,"-","P."&amp;CM46&amp;" ("&amp;COUNTIFS($CM$6:$CM$53,CM46,$BC$6:$BC$53,INDEX(T_Equipos[Grupo],MATCH(BD46,T_Equipos[NombreEquipo],0)))&amp;")")</f>
        <v>-</v>
      </c>
      <c r="CO46" s="757" t="str">
        <f t="shared" ca="1" si="48"/>
        <v>-</v>
      </c>
      <c r="CP46" s="757" t="str">
        <f t="shared" ca="1" si="49"/>
        <v>-</v>
      </c>
      <c r="CQ46" s="757" t="str">
        <f t="shared" ca="1" si="50"/>
        <v>-</v>
      </c>
      <c r="CR46" s="757">
        <f ca="1">CM46+COUNTIFS($CN$6:$CN$53,CN46,$CQ$6:CQ$53,"&gt;"&amp;CQ46,$BC$6:$BC$53,INDEX(T_Equipos[Grupo],MATCH(BD46,T_Equipos[NombreEquipo],0)))</f>
        <v>2</v>
      </c>
      <c r="CS46" s="756" t="str">
        <f ca="1">IF(COUNTIFS($CR$6:$CR$53,CR46,$BC$6:$BC$53,INDEX(T_Equipos[Grupo],MATCH(BD46,T_Equipos[NombreEquipo],0)))=1,"-","P."&amp;CR46&amp;" ("&amp;COUNTIFS($CR$6:$CR$53,CR46,$BC$6:$BC$53,INDEX(T_Equipos[Grupo],MATCH(BD46,T_Equipos[NombreEquipo],0)))&amp;")")</f>
        <v>-</v>
      </c>
      <c r="CT46" s="757" t="str">
        <f t="shared" ca="1" si="51"/>
        <v>-</v>
      </c>
      <c r="CU46" s="757">
        <f ca="1">CR46+COUNTIFS($CS$6:$CS$53,CS46,$CT$6:CT$53,"&gt;"&amp;CT46,$BC$6:$BC$53,INDEX(T_Equipos[Grupo],MATCH(BD46,T_Equipos[NombreEquipo],0)))</f>
        <v>2</v>
      </c>
      <c r="CV46" s="756" t="str">
        <f ca="1">IF(COUNTIFS($CU$6:$CU$53,CU46,$BC$6:$BC$53,INDEX(T_Equipos[Grupo],MATCH(BD46,T_Equipos[NombreEquipo],0)))=1,"-","P."&amp;CU46&amp;" ("&amp;COUNTIFS($CU$6:$CU$53,CU46,$BC$6:$BC$53,INDEX(T_Equipos[Grupo],MATCH(BD46,T_Equipos[NombreEquipo],0)))&amp;")")</f>
        <v>-</v>
      </c>
      <c r="CW46" s="756" t="str">
        <f t="shared" ca="1" si="30"/>
        <v>-</v>
      </c>
      <c r="CX46" s="756">
        <f ca="1">CU46+COUNTIFS($CV$6:$CV$53,CV46,$CW$6:CW$53,"&gt;"&amp;CW46,$BC$6:$BC$53,INDEX(T_Equipos[Grupo],MATCH(BD46,T_Equipos[NombreEquipo],0)))</f>
        <v>2</v>
      </c>
      <c r="CY46" s="756" t="str">
        <f ca="1">IF(COUNTIFS($CX$6:$CX$53,CX46,$BC$6:$BC$53,INDEX(T_Equipos[Grupo],MATCH(BD46,T_Equipos[NombreEquipo],0)))=1,"-","P."&amp;CX46&amp;" ("&amp;COUNTIFS($CX$6:$CX$53,CX46,$BC$6:$BC$53,INDEX(T_Equipos[Grupo],MATCH(BD46,T_Equipos[NombreEquipo],0)))&amp;")")</f>
        <v>-</v>
      </c>
      <c r="CZ46" s="756" t="str">
        <f t="shared" ca="1" si="31"/>
        <v>-</v>
      </c>
      <c r="DA46" s="757">
        <f ca="1">CX46+COUNTIFS($CY$6:$CY$53,CY46,$CZ$6:CZ$53,"&gt;"&amp;CZ46,$BC$6:$BC$53,INDEX(T_Equipos[Grupo],MATCH(BD46,T_Equipos[NombreEquipo],0)))</f>
        <v>2</v>
      </c>
      <c r="DB46" s="756" t="str">
        <f ca="1">IF(COUNTIFS($DA$6:$DA$53,DA46,$BC$6:$BC$53,INDEX(T_Equipos[Grupo],MATCH(BD46,T_Equipos[NombreEquipo],0)))=1,"-","P."&amp;DA46&amp;" ("&amp;COUNTIFS($DA$6:$DA$53,DA46,$BC$6:$BC$53,INDEX(T_Equipos[Grupo],MATCH(BD46,T_Equipos[NombreEquipo],0)))&amp;")")</f>
        <v>-</v>
      </c>
      <c r="DC46" s="755" t="str">
        <f ca="1">IF(DB46="-","-",COUNTIFS(T_Equipos[Rank],"&lt;"&amp;INDEX(T_Equipos[Rank],MATCH(BD46,T_Equipos[NombreEquipo],0)),$BC$6:$BC$53,INDEX(T_Equipos[Grupo],MATCH(BD46,T_Equipos[NombreEquipo],0)))+1)</f>
        <v>-</v>
      </c>
      <c r="DD46" s="755">
        <f ca="1">DA46+COUNTIFS($DB$6:$DB$53,DB46,$DC$6:DC$53,"&lt;"&amp;DC46,$BC$6:$BC$53,INDEX(T_Equipos[Grupo],MATCH(BD46,T_Equipos[NombreEquipo],0)))</f>
        <v>2</v>
      </c>
      <c r="DE46" s="755"/>
      <c r="DF46" s="755">
        <f t="shared" ca="1" si="52"/>
        <v>2</v>
      </c>
      <c r="DG46" s="755" t="str">
        <f ca="1">IF(DB46="-","-",COUNTIFS(DF$6:DF$53,"&lt;"&amp;DF46,$BC$6:$BC$53,INDEX(T_Equipos[Grupo],MATCH(BD46,T_Equipos[NombreEquipo],0))))</f>
        <v>-</v>
      </c>
      <c r="DH46" s="755">
        <f ca="1">DA46+COUNTIFS(DB$6:DB$53,DB46,DG$6:DG$53,"&lt;"&amp;DG46,$BC$6:$BC$53,INDEX(T_Equipos[Grupo],MATCH(BD46,T_Equipos[NombreEquipo],0)))</f>
        <v>2</v>
      </c>
      <c r="DI46" s="743"/>
      <c r="DJ46" s="743">
        <f t="shared" ca="1" si="53"/>
        <v>1</v>
      </c>
      <c r="DK46" s="743">
        <f t="shared" ca="1" si="24"/>
        <v>12</v>
      </c>
      <c r="DL46" s="743">
        <f t="shared" ca="1" si="33"/>
        <v>1</v>
      </c>
      <c r="DM46" s="737" t="str">
        <f t="shared" ca="1" si="34"/>
        <v>1.1</v>
      </c>
      <c r="DN46" s="743" cm="1">
        <f t="array" aca="1" ref="DN46" ca="1">OFFSET(Horarios!$P$3,DJ46-1,0,DL46,1)</f>
        <v>1</v>
      </c>
      <c r="DO46" s="743"/>
      <c r="DP46" s="743" t="s">
        <v>679</v>
      </c>
      <c r="DQ46" s="743" t="str">
        <f t="shared" ca="1" si="35"/>
        <v>Colombia</v>
      </c>
      <c r="DR46" s="743"/>
      <c r="DS46" s="743"/>
      <c r="DT46" s="743" t="str">
        <f t="shared" ca="1" si="15"/>
        <v>Netherlands-Sweden</v>
      </c>
      <c r="DU46" s="743"/>
      <c r="DV46" s="743"/>
      <c r="DW46" s="8"/>
    </row>
    <row r="47" spans="1:127" ht="16.149999999999999" customHeight="1">
      <c r="A47" s="744" t="str">
        <f ca="1">+Equipos!B24</f>
        <v>Sweden</v>
      </c>
      <c r="B47" s="741"/>
      <c r="C47" s="743"/>
      <c r="D47" s="743" t="str">
        <f t="shared" si="136"/>
        <v>Visitante</v>
      </c>
      <c r="E47" s="743" t="str">
        <f t="shared" ca="1" si="137"/>
        <v>-</v>
      </c>
      <c r="F47" s="743" t="str">
        <f t="shared" ca="1" si="138"/>
        <v>-</v>
      </c>
      <c r="G47" s="743"/>
      <c r="H47" s="743" t="str">
        <f t="shared" ca="1" si="139"/>
        <v>-</v>
      </c>
      <c r="I47" s="743" t="str">
        <f t="shared" ca="1" si="140"/>
        <v>-</v>
      </c>
      <c r="J47" s="743"/>
      <c r="K47" s="743" t="str">
        <f t="shared" ca="1" si="141"/>
        <v>-</v>
      </c>
      <c r="L47" s="743" t="str">
        <f t="shared" ca="1" si="142"/>
        <v>-</v>
      </c>
      <c r="M47" s="743"/>
      <c r="N47" s="743" t="str">
        <f t="shared" ca="1" si="143"/>
        <v>-</v>
      </c>
      <c r="O47" s="743" t="str">
        <f t="shared" ca="1" si="144"/>
        <v>-</v>
      </c>
      <c r="P47" s="743"/>
      <c r="Q47" s="743" t="str">
        <f t="shared" ca="1" si="145"/>
        <v>-</v>
      </c>
      <c r="R47" s="743" t="str">
        <f t="shared" ca="1" si="146"/>
        <v>-</v>
      </c>
      <c r="S47" s="743"/>
      <c r="T47" s="743" t="str">
        <f t="shared" ca="1" si="147"/>
        <v>-</v>
      </c>
      <c r="U47" s="743" t="str">
        <f t="shared" ca="1" si="148"/>
        <v>-</v>
      </c>
      <c r="V47" s="172"/>
      <c r="W47" s="823"/>
      <c r="X47" s="189">
        <f ca="1">Horarios!C47</f>
        <v>46194.25</v>
      </c>
      <c r="Y47" s="190">
        <f ca="1">Horarios!C47</f>
        <v>46194.25</v>
      </c>
      <c r="Z47" s="191" t="str">
        <f>$Z$6</f>
        <v>R2</v>
      </c>
      <c r="AA47" s="192" t="str">
        <f ca="1">A48</f>
        <v>Tunisia</v>
      </c>
      <c r="AB47" s="478" t="e" cm="1" vm="24">
        <f t="array" aca="1" ref="AB47" ca="1">Ver_flag_local</f>
        <v>#VALUE!</v>
      </c>
      <c r="AC47" s="193">
        <v>0</v>
      </c>
      <c r="AD47" s="194">
        <v>4</v>
      </c>
      <c r="AE47" s="483" t="e" cm="1" vm="22">
        <f t="array" aca="1" ref="AE47" ca="1">Ver_flag_visit</f>
        <v>#VALUE!</v>
      </c>
      <c r="AF47" s="195" t="str">
        <f ca="1">A46</f>
        <v>Japan</v>
      </c>
      <c r="AG47" s="413">
        <f t="shared" si="149"/>
        <v>1</v>
      </c>
      <c r="AH47" s="196">
        <v>36</v>
      </c>
      <c r="AI47" s="19" t="str">
        <f t="shared" ref="AI47:AI49" si="154">AJ47&amp;$B$44</f>
        <v>2F</v>
      </c>
      <c r="AJ47" s="221">
        <v>2</v>
      </c>
      <c r="AK47" s="486" t="e" cm="1" vm="22">
        <f t="array" aca="1" ref="AK47" ca="1">Ver_flag_visit</f>
        <v>#VALUE!</v>
      </c>
      <c r="AL47" s="222" t="str">
        <f ca="1">IFERROR(INDEX($BD$6:$BD$53,MATCH(AI47,$BN$6:$BN$53,0)),"")</f>
        <v>Japan</v>
      </c>
      <c r="AM47" s="223">
        <f t="shared" ca="1" si="153"/>
        <v>5</v>
      </c>
      <c r="AN47" s="224">
        <f t="shared" ca="1" si="153"/>
        <v>3</v>
      </c>
      <c r="AO47" s="224">
        <f t="shared" ca="1" si="153"/>
        <v>1</v>
      </c>
      <c r="AP47" s="224">
        <f t="shared" ca="1" si="153"/>
        <v>2</v>
      </c>
      <c r="AQ47" s="224">
        <f t="shared" ca="1" si="153"/>
        <v>0</v>
      </c>
      <c r="AR47" s="224">
        <f t="shared" ca="1" si="153"/>
        <v>7</v>
      </c>
      <c r="AS47" s="224">
        <f t="shared" ca="1" si="153"/>
        <v>3</v>
      </c>
      <c r="AT47" s="225">
        <f t="shared" ca="1" si="153"/>
        <v>4</v>
      </c>
      <c r="AU47" s="420">
        <f ca="1">INDEX($DL$6:$DL$53,MATCH(AI47,$DP$6:$DP$53,0))</f>
        <v>1</v>
      </c>
      <c r="AV47" s="217" t="str">
        <f ca="1">INDEX($BD$6:$BD$53,MATCH(AI47,$BM$6:$BM$53,0))</f>
        <v>Japan</v>
      </c>
      <c r="AW47" s="427"/>
      <c r="AX47" s="218"/>
      <c r="AY47" s="226" t="str">
        <f ca="1">+A46</f>
        <v>Japan</v>
      </c>
      <c r="AZ47" s="227"/>
      <c r="BA47" s="175"/>
      <c r="BB47" s="743"/>
      <c r="BC47" s="755" t="str">
        <f ca="1">+INDEX(T_Equipos[Grupo],MATCH(WORLDCUP!BD47,T_Equipos[NombreEquipo],0))</f>
        <v>K</v>
      </c>
      <c r="BD47" s="743" t="str">
        <f ca="1">+Equipos!B43</f>
        <v>DR Congo</v>
      </c>
      <c r="BE47" s="747">
        <f t="shared" ca="1" si="25"/>
        <v>4</v>
      </c>
      <c r="BF47" s="747">
        <f t="shared" ca="1" si="26"/>
        <v>3</v>
      </c>
      <c r="BG47" s="747">
        <f t="shared" ca="1" si="17"/>
        <v>1</v>
      </c>
      <c r="BH47" s="747">
        <f t="shared" ca="1" si="18"/>
        <v>1</v>
      </c>
      <c r="BI47" s="747">
        <f t="shared" ca="1" si="19"/>
        <v>1</v>
      </c>
      <c r="BJ47" s="747">
        <f t="shared" ca="1" si="20"/>
        <v>4</v>
      </c>
      <c r="BK47" s="747">
        <f t="shared" ca="1" si="21"/>
        <v>3</v>
      </c>
      <c r="BL47" s="747">
        <f t="shared" ca="1" si="27"/>
        <v>1</v>
      </c>
      <c r="BM47" s="747" t="str">
        <f t="shared" ca="1" si="22"/>
        <v>3K</v>
      </c>
      <c r="BN47" s="747" t="str">
        <f t="shared" ca="1" si="23"/>
        <v>3K</v>
      </c>
      <c r="BO47" s="756">
        <f t="shared" ca="1" si="28"/>
        <v>0</v>
      </c>
      <c r="BP47" s="756">
        <f ca="1">COUNTIFS($BO$6:$BO$53,"&gt;"&amp;BO47,$BC$6:$BC$53,INDEX(T_Equipos[Grupo],MATCH(BD47,T_Equipos[NombreEquipo],0)))+1</f>
        <v>1</v>
      </c>
      <c r="BQ47" s="756" t="str">
        <f ca="1">IF(COUNTIFS($BP$6:$BP$53,BP47,$BC$6:$BC$53,INDEX(T_Equipos[Grupo],MATCH(BD47,T_Equipos[NombreEquipo],0)))=1,"-","P."&amp;BP47&amp;" ("&amp;COUNTIFS($BP$6:$BP$53,BP47,$BC$6:$BC$53,INDEX(T_Equipos[Grupo],MATCH(BD47,T_Equipos[NombreEquipo],0)))&amp;")")</f>
        <v>P.1 (4)</v>
      </c>
      <c r="BR47" s="756">
        <f t="shared" ca="1" si="29"/>
        <v>4</v>
      </c>
      <c r="BS47" s="756">
        <f ca="1">BP47+COUNTIFS($BQ$6:$BQ$53,BQ47,$BR$6:BR$53,"&gt;"&amp;BR47,$BC$6:$BC$53,INDEX(T_Equipos[Grupo],MATCH(BD47,T_Equipos[NombreEquipo],0)))</f>
        <v>3</v>
      </c>
      <c r="BT47" s="756" t="str">
        <f ca="1">IF(COUNTIFS($BS$6:$BS$53,BS47,$BC$6:$BC$53,INDEX(T_Equipos[Grupo],MATCH(BD47,T_Equipos[NombreEquipo],0)))=1,"-","P."&amp;BS47&amp;" ("&amp;COUNTIFS($BS$6:$BS$53,BS47,$BC$6:$BC$53,INDEX(T_Equipos[Grupo],MATCH(BD47,T_Equipos[NombreEquipo],0)))&amp;")")</f>
        <v>-</v>
      </c>
      <c r="BU47" s="757" t="str">
        <f t="shared" ca="1" si="36"/>
        <v>-</v>
      </c>
      <c r="BV47" s="757" t="str">
        <f t="shared" ca="1" si="37"/>
        <v>-</v>
      </c>
      <c r="BW47" s="757" t="str">
        <f t="shared" ca="1" si="38"/>
        <v>-</v>
      </c>
      <c r="BX47" s="757" t="str">
        <f t="shared" ca="1" si="39"/>
        <v>-</v>
      </c>
      <c r="BY47" s="757">
        <f ca="1">BS47+COUNTIFS($BT$6:$BT$53,BT47,$BX$6:BX$53,"&gt;"&amp;BX47,$BC$6:$BC$53,INDEX(T_Equipos[Grupo],MATCH(BD47,T_Equipos[NombreEquipo],0)))</f>
        <v>3</v>
      </c>
      <c r="BZ47" s="756" t="str">
        <f ca="1">IF(COUNTIFS($BY$6:$BY$53,BY47,$BC$6:$BC$53,INDEX(T_Equipos[Grupo],MATCH(BD47,T_Equipos[NombreEquipo],0)))=1,"-","P."&amp;BY47&amp;" ("&amp;COUNTIFS($BY$6:$BY$53,BY47,$BC$6:$BC$53,INDEX(T_Equipos[Grupo],MATCH(BD47,T_Equipos[NombreEquipo],0)))&amp;")")</f>
        <v>-</v>
      </c>
      <c r="CA47" s="757" t="str">
        <f t="shared" ca="1" si="40"/>
        <v>-</v>
      </c>
      <c r="CB47" s="757" t="str">
        <f t="shared" ca="1" si="41"/>
        <v>-</v>
      </c>
      <c r="CC47" s="757" t="str">
        <f t="shared" ca="1" si="42"/>
        <v>-</v>
      </c>
      <c r="CD47" s="757">
        <f ca="1">BY47+COUNTIFS($BZ$6:$BZ$53,BZ47,$CC$6:CC$53,"&gt;"&amp;CC47,$BC$6:$BC$53,INDEX(T_Equipos[Grupo],MATCH(BD47,T_Equipos[NombreEquipo],0)))</f>
        <v>3</v>
      </c>
      <c r="CE47" s="756" t="str">
        <f ca="1">IF(COUNTIFS($CD$6:$CD$53,CD47,$BC$6:$BC$53,INDEX(T_Equipos[Grupo],MATCH(BD47,T_Equipos[NombreEquipo],0)))=1,"-","P."&amp;CD47&amp;" ("&amp;COUNTIFS($CD$6:$CD$53,CD47,$BC$6:$BC$53,INDEX(T_Equipos[Grupo],MATCH(BD47,T_Equipos[NombreEquipo],0)))&amp;")")</f>
        <v>-</v>
      </c>
      <c r="CF47" s="757" t="str">
        <f t="shared" ca="1" si="43"/>
        <v>-</v>
      </c>
      <c r="CG47" s="757">
        <f ca="1">CD47+COUNTIFS($CE$6:$CE$53,CE47,$CF$6:CF$53,"&gt;"&amp;CF47,$BC$6:$BC$53,INDEX(T_Equipos[Grupo],MATCH(BD47,T_Equipos[NombreEquipo],0)))</f>
        <v>3</v>
      </c>
      <c r="CH47" s="756" t="str">
        <f ca="1">IF(COUNTIFS($CG$6:$CG$53,CG47,$BC$6:$BC$53,INDEX(T_Equipos[Grupo],MATCH(BD47,T_Equipos[NombreEquipo],0)))=1,"-","P."&amp;CG47&amp;" ("&amp;COUNTIFS($CG$6:$CG$53,CG47,$BC$6:$BC$53,INDEX(T_Equipos[Grupo],MATCH(BD47,T_Equipos[NombreEquipo],0)))&amp;")")</f>
        <v>-</v>
      </c>
      <c r="CI47" s="757" t="str">
        <f t="shared" ca="1" si="44"/>
        <v>-</v>
      </c>
      <c r="CJ47" s="757" t="str">
        <f t="shared" ca="1" si="45"/>
        <v>-</v>
      </c>
      <c r="CK47" s="757" t="str">
        <f t="shared" ca="1" si="46"/>
        <v>-</v>
      </c>
      <c r="CL47" s="757" t="str">
        <f t="shared" ca="1" si="47"/>
        <v>-</v>
      </c>
      <c r="CM47" s="757">
        <f ca="1">CG47+COUNTIFS($CH$6:$CH$53,CH47,$CL$6:CL$53,"&gt;"&amp;CL47,$BC$6:$BC$53,INDEX(T_Equipos[Grupo],MATCH(BD47,T_Equipos[NombreEquipo],0)))</f>
        <v>3</v>
      </c>
      <c r="CN47" s="756" t="str">
        <f ca="1">IF(COUNTIFS($CM$6:$CM$53,CM47,$BC$6:$BC$53,INDEX(T_Equipos[Grupo],MATCH(BD47,T_Equipos[NombreEquipo],0)))=1,"-","P."&amp;CM47&amp;" ("&amp;COUNTIFS($CM$6:$CM$53,CM47,$BC$6:$BC$53,INDEX(T_Equipos[Grupo],MATCH(BD47,T_Equipos[NombreEquipo],0)))&amp;")")</f>
        <v>-</v>
      </c>
      <c r="CO47" s="757" t="str">
        <f t="shared" ca="1" si="48"/>
        <v>-</v>
      </c>
      <c r="CP47" s="757" t="str">
        <f t="shared" ca="1" si="49"/>
        <v>-</v>
      </c>
      <c r="CQ47" s="757" t="str">
        <f t="shared" ca="1" si="50"/>
        <v>-</v>
      </c>
      <c r="CR47" s="757">
        <f ca="1">CM47+COUNTIFS($CN$6:$CN$53,CN47,$CQ$6:CQ$53,"&gt;"&amp;CQ47,$BC$6:$BC$53,INDEX(T_Equipos[Grupo],MATCH(BD47,T_Equipos[NombreEquipo],0)))</f>
        <v>3</v>
      </c>
      <c r="CS47" s="756" t="str">
        <f ca="1">IF(COUNTIFS($CR$6:$CR$53,CR47,$BC$6:$BC$53,INDEX(T_Equipos[Grupo],MATCH(BD47,T_Equipos[NombreEquipo],0)))=1,"-","P."&amp;CR47&amp;" ("&amp;COUNTIFS($CR$6:$CR$53,CR47,$BC$6:$BC$53,INDEX(T_Equipos[Grupo],MATCH(BD47,T_Equipos[NombreEquipo],0)))&amp;")")</f>
        <v>-</v>
      </c>
      <c r="CT47" s="757" t="str">
        <f t="shared" ca="1" si="51"/>
        <v>-</v>
      </c>
      <c r="CU47" s="757">
        <f ca="1">CR47+COUNTIFS($CS$6:$CS$53,CS47,$CT$6:CT$53,"&gt;"&amp;CT47,$BC$6:$BC$53,INDEX(T_Equipos[Grupo],MATCH(BD47,T_Equipos[NombreEquipo],0)))</f>
        <v>3</v>
      </c>
      <c r="CV47" s="756" t="str">
        <f ca="1">IF(COUNTIFS($CU$6:$CU$53,CU47,$BC$6:$BC$53,INDEX(T_Equipos[Grupo],MATCH(BD47,T_Equipos[NombreEquipo],0)))=1,"-","P."&amp;CU47&amp;" ("&amp;COUNTIFS($CU$6:$CU$53,CU47,$BC$6:$BC$53,INDEX(T_Equipos[Grupo],MATCH(BD47,T_Equipos[NombreEquipo],0)))&amp;")")</f>
        <v>-</v>
      </c>
      <c r="CW47" s="756" t="str">
        <f t="shared" ca="1" si="30"/>
        <v>-</v>
      </c>
      <c r="CX47" s="756">
        <f ca="1">CU47+COUNTIFS($CV$6:$CV$53,CV47,$CW$6:CW$53,"&gt;"&amp;CW47,$BC$6:$BC$53,INDEX(T_Equipos[Grupo],MATCH(BD47,T_Equipos[NombreEquipo],0)))</f>
        <v>3</v>
      </c>
      <c r="CY47" s="756" t="str">
        <f ca="1">IF(COUNTIFS($CX$6:$CX$53,CX47,$BC$6:$BC$53,INDEX(T_Equipos[Grupo],MATCH(BD47,T_Equipos[NombreEquipo],0)))=1,"-","P."&amp;CX47&amp;" ("&amp;COUNTIFS($CX$6:$CX$53,CX47,$BC$6:$BC$53,INDEX(T_Equipos[Grupo],MATCH(BD47,T_Equipos[NombreEquipo],0)))&amp;")")</f>
        <v>-</v>
      </c>
      <c r="CZ47" s="756" t="str">
        <f t="shared" ca="1" si="31"/>
        <v>-</v>
      </c>
      <c r="DA47" s="757">
        <f ca="1">CX47+COUNTIFS($CY$6:$CY$53,CY47,$CZ$6:CZ$53,"&gt;"&amp;CZ47,$BC$6:$BC$53,INDEX(T_Equipos[Grupo],MATCH(BD47,T_Equipos[NombreEquipo],0)))</f>
        <v>3</v>
      </c>
      <c r="DB47" s="756" t="str">
        <f ca="1">IF(COUNTIFS($DA$6:$DA$53,DA47,$BC$6:$BC$53,INDEX(T_Equipos[Grupo],MATCH(BD47,T_Equipos[NombreEquipo],0)))=1,"-","P."&amp;DA47&amp;" ("&amp;COUNTIFS($DA$6:$DA$53,DA47,$BC$6:$BC$53,INDEX(T_Equipos[Grupo],MATCH(BD47,T_Equipos[NombreEquipo],0)))&amp;")")</f>
        <v>-</v>
      </c>
      <c r="DC47" s="755" t="str">
        <f ca="1">IF(DB47="-","-",COUNTIFS(T_Equipos[Rank],"&lt;"&amp;INDEX(T_Equipos[Rank],MATCH(BD47,T_Equipos[NombreEquipo],0)),$BC$6:$BC$53,INDEX(T_Equipos[Grupo],MATCH(BD47,T_Equipos[NombreEquipo],0)))+1)</f>
        <v>-</v>
      </c>
      <c r="DD47" s="755">
        <f ca="1">DA47+COUNTIFS($DB$6:$DB$53,DB47,$DC$6:DC$53,"&lt;"&amp;DC47,$BC$6:$BC$53,INDEX(T_Equipos[Grupo],MATCH(BD47,T_Equipos[NombreEquipo],0)))</f>
        <v>3</v>
      </c>
      <c r="DE47" s="755"/>
      <c r="DF47" s="755">
        <f t="shared" ca="1" si="52"/>
        <v>3</v>
      </c>
      <c r="DG47" s="755" t="str">
        <f ca="1">IF(DB47="-","-",COUNTIFS(DF$6:DF$53,"&lt;"&amp;DF47,$BC$6:$BC$53,INDEX(T_Equipos[Grupo],MATCH(BD47,T_Equipos[NombreEquipo],0))))</f>
        <v>-</v>
      </c>
      <c r="DH47" s="755">
        <f ca="1">DA47+COUNTIFS(DB$6:DB$53,DB47,DG$6:DG$53,"&lt;"&amp;DG47,$BC$6:$BC$53,INDEX(T_Equipos[Grupo],MATCH(BD47,T_Equipos[NombreEquipo],0)))</f>
        <v>3</v>
      </c>
      <c r="DI47" s="743"/>
      <c r="DJ47" s="743">
        <f t="shared" ca="1" si="53"/>
        <v>2</v>
      </c>
      <c r="DK47" s="743">
        <f t="shared" ca="1" si="24"/>
        <v>12</v>
      </c>
      <c r="DL47" s="743">
        <f t="shared" ca="1" si="33"/>
        <v>1</v>
      </c>
      <c r="DM47" s="737" t="str">
        <f t="shared" ca="1" si="34"/>
        <v>2.1</v>
      </c>
      <c r="DN47" s="743" cm="1">
        <f t="array" aca="1" ref="DN47" ca="1">OFFSET(Horarios!$P$3,DJ47-1,0,DL47,1)</f>
        <v>2</v>
      </c>
      <c r="DO47" s="743"/>
      <c r="DP47" s="743" t="s">
        <v>680</v>
      </c>
      <c r="DQ47" s="743" t="str">
        <f t="shared" ca="1" si="35"/>
        <v>Portugal</v>
      </c>
      <c r="DR47" s="743"/>
      <c r="DS47" s="743"/>
      <c r="DT47" s="743" t="str">
        <f t="shared" ca="1" si="15"/>
        <v>Tunisia-Japan</v>
      </c>
      <c r="DU47" s="743"/>
      <c r="DV47" s="743"/>
      <c r="DW47" s="8"/>
    </row>
    <row r="48" spans="1:127" ht="16.149999999999999" customHeight="1">
      <c r="A48" s="744" t="str">
        <f ca="1">+Equipos!B25</f>
        <v>Tunisia</v>
      </c>
      <c r="B48" s="741"/>
      <c r="C48" s="743"/>
      <c r="D48" s="743" t="str">
        <f t="shared" si="136"/>
        <v>Empate</v>
      </c>
      <c r="E48" s="743" t="str">
        <f t="shared" ca="1" si="137"/>
        <v>-</v>
      </c>
      <c r="F48" s="743" t="str">
        <f t="shared" ca="1" si="138"/>
        <v>-</v>
      </c>
      <c r="G48" s="743"/>
      <c r="H48" s="743" t="str">
        <f t="shared" ca="1" si="139"/>
        <v>-</v>
      </c>
      <c r="I48" s="743" t="str">
        <f t="shared" ca="1" si="140"/>
        <v>-</v>
      </c>
      <c r="J48" s="743"/>
      <c r="K48" s="743" t="str">
        <f t="shared" ca="1" si="141"/>
        <v>-</v>
      </c>
      <c r="L48" s="743" t="str">
        <f t="shared" ca="1" si="142"/>
        <v>-</v>
      </c>
      <c r="M48" s="743"/>
      <c r="N48" s="743" t="str">
        <f t="shared" ca="1" si="143"/>
        <v>-</v>
      </c>
      <c r="O48" s="743" t="str">
        <f t="shared" ca="1" si="144"/>
        <v>-</v>
      </c>
      <c r="P48" s="743"/>
      <c r="Q48" s="743" t="str">
        <f t="shared" ca="1" si="145"/>
        <v>-</v>
      </c>
      <c r="R48" s="743" t="str">
        <f t="shared" ca="1" si="146"/>
        <v>-</v>
      </c>
      <c r="S48" s="743"/>
      <c r="T48" s="743" t="str">
        <f t="shared" ca="1" si="147"/>
        <v>-</v>
      </c>
      <c r="U48" s="743" t="str">
        <f t="shared" ca="1" si="148"/>
        <v>-</v>
      </c>
      <c r="V48" s="172"/>
      <c r="W48" s="823"/>
      <c r="X48" s="189">
        <f ca="1">Horarios!C48</f>
        <v>46199.041666666664</v>
      </c>
      <c r="Y48" s="190">
        <f ca="1">Horarios!C48</f>
        <v>46199.041666666664</v>
      </c>
      <c r="Z48" s="191" t="str">
        <f>$Z$8</f>
        <v>R3</v>
      </c>
      <c r="AA48" s="192" t="str">
        <f ca="1">A46</f>
        <v>Japan</v>
      </c>
      <c r="AB48" s="478" t="e" cm="1" vm="22">
        <f t="array" aca="1" ref="AB48" ca="1">Ver_flag_local</f>
        <v>#VALUE!</v>
      </c>
      <c r="AC48" s="193">
        <v>1</v>
      </c>
      <c r="AD48" s="194">
        <v>1</v>
      </c>
      <c r="AE48" s="483" t="e" cm="1" vm="23">
        <f t="array" aca="1" ref="AE48" ca="1">Ver_flag_visit</f>
        <v>#VALUE!</v>
      </c>
      <c r="AF48" s="195" t="str">
        <f ca="1">A47</f>
        <v>Sweden</v>
      </c>
      <c r="AG48" s="413">
        <f t="shared" si="149"/>
        <v>1</v>
      </c>
      <c r="AH48" s="196">
        <v>57</v>
      </c>
      <c r="AI48" s="19" t="str">
        <f t="shared" si="154"/>
        <v>3F</v>
      </c>
      <c r="AJ48" s="221">
        <v>3</v>
      </c>
      <c r="AK48" s="486" t="e" cm="1" vm="23">
        <f t="array" aca="1" ref="AK48" ca="1">Ver_flag_visit</f>
        <v>#VALUE!</v>
      </c>
      <c r="AL48" s="222" t="str">
        <f ca="1">IFERROR(INDEX($BD$6:$BD$53,MATCH(AI48,$BN$6:$BN$53,0)),"")</f>
        <v>Sweden</v>
      </c>
      <c r="AM48" s="223">
        <f t="shared" ca="1" si="153"/>
        <v>4</v>
      </c>
      <c r="AN48" s="224">
        <f t="shared" ca="1" si="153"/>
        <v>3</v>
      </c>
      <c r="AO48" s="224">
        <f t="shared" ca="1" si="153"/>
        <v>1</v>
      </c>
      <c r="AP48" s="224">
        <f t="shared" ca="1" si="153"/>
        <v>1</v>
      </c>
      <c r="AQ48" s="224">
        <f t="shared" ca="1" si="153"/>
        <v>1</v>
      </c>
      <c r="AR48" s="224">
        <f t="shared" ca="1" si="153"/>
        <v>7</v>
      </c>
      <c r="AS48" s="224">
        <f t="shared" ca="1" si="153"/>
        <v>7</v>
      </c>
      <c r="AT48" s="225">
        <f t="shared" ca="1" si="153"/>
        <v>0</v>
      </c>
      <c r="AU48" s="420">
        <f ca="1">INDEX($DL$6:$DL$53,MATCH(AI48,$DP$6:$DP$53,0))</f>
        <v>1</v>
      </c>
      <c r="AV48" s="217" t="str">
        <f ca="1">INDEX($BD$6:$BD$53,MATCH(AI48,$BM$6:$BM$53,0))</f>
        <v>Sweden</v>
      </c>
      <c r="AW48" s="427"/>
      <c r="AX48" s="218"/>
      <c r="AY48" s="219" t="str">
        <f ca="1">+A47</f>
        <v>Sweden</v>
      </c>
      <c r="AZ48" s="220"/>
      <c r="BA48" s="175"/>
      <c r="BB48" s="743"/>
      <c r="BC48" s="755" t="str">
        <f ca="1">+INDEX(T_Equipos[Grupo],MATCH(WORLDCUP!BD48,T_Equipos[NombreEquipo],0))</f>
        <v>K</v>
      </c>
      <c r="BD48" s="743" t="str">
        <f ca="1">+Equipos!B44</f>
        <v>Uzbekistan</v>
      </c>
      <c r="BE48" s="747">
        <f t="shared" ca="1" si="25"/>
        <v>0</v>
      </c>
      <c r="BF48" s="747">
        <f t="shared" ca="1" si="26"/>
        <v>3</v>
      </c>
      <c r="BG48" s="747">
        <f t="shared" ca="1" si="17"/>
        <v>0</v>
      </c>
      <c r="BH48" s="747">
        <f t="shared" ca="1" si="18"/>
        <v>0</v>
      </c>
      <c r="BI48" s="747">
        <f t="shared" ca="1" si="19"/>
        <v>3</v>
      </c>
      <c r="BJ48" s="747">
        <f t="shared" ca="1" si="20"/>
        <v>2</v>
      </c>
      <c r="BK48" s="747">
        <f t="shared" ca="1" si="21"/>
        <v>11</v>
      </c>
      <c r="BL48" s="747">
        <f t="shared" ca="1" si="27"/>
        <v>-9</v>
      </c>
      <c r="BM48" s="747" t="str">
        <f t="shared" ca="1" si="22"/>
        <v>4K</v>
      </c>
      <c r="BN48" s="747" t="str">
        <f t="shared" ca="1" si="23"/>
        <v>4K</v>
      </c>
      <c r="BO48" s="756">
        <f t="shared" ca="1" si="28"/>
        <v>0</v>
      </c>
      <c r="BP48" s="756">
        <f ca="1">COUNTIFS($BO$6:$BO$53,"&gt;"&amp;BO48,$BC$6:$BC$53,INDEX(T_Equipos[Grupo],MATCH(BD48,T_Equipos[NombreEquipo],0)))+1</f>
        <v>1</v>
      </c>
      <c r="BQ48" s="756" t="str">
        <f ca="1">IF(COUNTIFS($BP$6:$BP$53,BP48,$BC$6:$BC$53,INDEX(T_Equipos[Grupo],MATCH(BD48,T_Equipos[NombreEquipo],0)))=1,"-","P."&amp;BP48&amp;" ("&amp;COUNTIFS($BP$6:$BP$53,BP48,$BC$6:$BC$53,INDEX(T_Equipos[Grupo],MATCH(BD48,T_Equipos[NombreEquipo],0)))&amp;")")</f>
        <v>P.1 (4)</v>
      </c>
      <c r="BR48" s="756">
        <f t="shared" ca="1" si="29"/>
        <v>0</v>
      </c>
      <c r="BS48" s="756">
        <f ca="1">BP48+COUNTIFS($BQ$6:$BQ$53,BQ48,$BR$6:BR$53,"&gt;"&amp;BR48,$BC$6:$BC$53,INDEX(T_Equipos[Grupo],MATCH(BD48,T_Equipos[NombreEquipo],0)))</f>
        <v>4</v>
      </c>
      <c r="BT48" s="756" t="str">
        <f ca="1">IF(COUNTIFS($BS$6:$BS$53,BS48,$BC$6:$BC$53,INDEX(T_Equipos[Grupo],MATCH(BD48,T_Equipos[NombreEquipo],0)))=1,"-","P."&amp;BS48&amp;" ("&amp;COUNTIFS($BS$6:$BS$53,BS48,$BC$6:$BC$53,INDEX(T_Equipos[Grupo],MATCH(BD48,T_Equipos[NombreEquipo],0)))&amp;")")</f>
        <v>-</v>
      </c>
      <c r="BU48" s="757" t="str">
        <f t="shared" ca="1" si="36"/>
        <v>-</v>
      </c>
      <c r="BV48" s="757" t="str">
        <f t="shared" ca="1" si="37"/>
        <v>-</v>
      </c>
      <c r="BW48" s="757" t="str">
        <f t="shared" ca="1" si="38"/>
        <v>-</v>
      </c>
      <c r="BX48" s="757" t="str">
        <f t="shared" ca="1" si="39"/>
        <v>-</v>
      </c>
      <c r="BY48" s="757">
        <f ca="1">BS48+COUNTIFS($BT$6:$BT$53,BT48,$BX$6:BX$53,"&gt;"&amp;BX48,$BC$6:$BC$53,INDEX(T_Equipos[Grupo],MATCH(BD48,T_Equipos[NombreEquipo],0)))</f>
        <v>4</v>
      </c>
      <c r="BZ48" s="756" t="str">
        <f ca="1">IF(COUNTIFS($BY$6:$BY$53,BY48,$BC$6:$BC$53,INDEX(T_Equipos[Grupo],MATCH(BD48,T_Equipos[NombreEquipo],0)))=1,"-","P."&amp;BY48&amp;" ("&amp;COUNTIFS($BY$6:$BY$53,BY48,$BC$6:$BC$53,INDEX(T_Equipos[Grupo],MATCH(BD48,T_Equipos[NombreEquipo],0)))&amp;")")</f>
        <v>-</v>
      </c>
      <c r="CA48" s="757" t="str">
        <f t="shared" ca="1" si="40"/>
        <v>-</v>
      </c>
      <c r="CB48" s="757" t="str">
        <f t="shared" ca="1" si="41"/>
        <v>-</v>
      </c>
      <c r="CC48" s="757" t="str">
        <f t="shared" ca="1" si="42"/>
        <v>-</v>
      </c>
      <c r="CD48" s="757">
        <f ca="1">BY48+COUNTIFS($BZ$6:$BZ$53,BZ48,$CC$6:CC$53,"&gt;"&amp;CC48,$BC$6:$BC$53,INDEX(T_Equipos[Grupo],MATCH(BD48,T_Equipos[NombreEquipo],0)))</f>
        <v>4</v>
      </c>
      <c r="CE48" s="756" t="str">
        <f ca="1">IF(COUNTIFS($CD$6:$CD$53,CD48,$BC$6:$BC$53,INDEX(T_Equipos[Grupo],MATCH(BD48,T_Equipos[NombreEquipo],0)))=1,"-","P."&amp;CD48&amp;" ("&amp;COUNTIFS($CD$6:$CD$53,CD48,$BC$6:$BC$53,INDEX(T_Equipos[Grupo],MATCH(BD48,T_Equipos[NombreEquipo],0)))&amp;")")</f>
        <v>-</v>
      </c>
      <c r="CF48" s="757" t="str">
        <f t="shared" ca="1" si="43"/>
        <v>-</v>
      </c>
      <c r="CG48" s="757">
        <f ca="1">CD48+COUNTIFS($CE$6:$CE$53,CE48,$CF$6:CF$53,"&gt;"&amp;CF48,$BC$6:$BC$53,INDEX(T_Equipos[Grupo],MATCH(BD48,T_Equipos[NombreEquipo],0)))</f>
        <v>4</v>
      </c>
      <c r="CH48" s="756" t="str">
        <f ca="1">IF(COUNTIFS($CG$6:$CG$53,CG48,$BC$6:$BC$53,INDEX(T_Equipos[Grupo],MATCH(BD48,T_Equipos[NombreEquipo],0)))=1,"-","P."&amp;CG48&amp;" ("&amp;COUNTIFS($CG$6:$CG$53,CG48,$BC$6:$BC$53,INDEX(T_Equipos[Grupo],MATCH(BD48,T_Equipos[NombreEquipo],0)))&amp;")")</f>
        <v>-</v>
      </c>
      <c r="CI48" s="757" t="str">
        <f t="shared" ca="1" si="44"/>
        <v>-</v>
      </c>
      <c r="CJ48" s="757" t="str">
        <f t="shared" ca="1" si="45"/>
        <v>-</v>
      </c>
      <c r="CK48" s="757" t="str">
        <f t="shared" ca="1" si="46"/>
        <v>-</v>
      </c>
      <c r="CL48" s="757" t="str">
        <f t="shared" ca="1" si="47"/>
        <v>-</v>
      </c>
      <c r="CM48" s="757">
        <f ca="1">CG48+COUNTIFS($CH$6:$CH$53,CH48,$CL$6:CL$53,"&gt;"&amp;CL48,$BC$6:$BC$53,INDEX(T_Equipos[Grupo],MATCH(BD48,T_Equipos[NombreEquipo],0)))</f>
        <v>4</v>
      </c>
      <c r="CN48" s="756" t="str">
        <f ca="1">IF(COUNTIFS($CM$6:$CM$53,CM48,$BC$6:$BC$53,INDEX(T_Equipos[Grupo],MATCH(BD48,T_Equipos[NombreEquipo],0)))=1,"-","P."&amp;CM48&amp;" ("&amp;COUNTIFS($CM$6:$CM$53,CM48,$BC$6:$BC$53,INDEX(T_Equipos[Grupo],MATCH(BD48,T_Equipos[NombreEquipo],0)))&amp;")")</f>
        <v>-</v>
      </c>
      <c r="CO48" s="757" t="str">
        <f t="shared" ca="1" si="48"/>
        <v>-</v>
      </c>
      <c r="CP48" s="757" t="str">
        <f t="shared" ca="1" si="49"/>
        <v>-</v>
      </c>
      <c r="CQ48" s="757" t="str">
        <f t="shared" ca="1" si="50"/>
        <v>-</v>
      </c>
      <c r="CR48" s="757">
        <f ca="1">CM48+COUNTIFS($CN$6:$CN$53,CN48,$CQ$6:CQ$53,"&gt;"&amp;CQ48,$BC$6:$BC$53,INDEX(T_Equipos[Grupo],MATCH(BD48,T_Equipos[NombreEquipo],0)))</f>
        <v>4</v>
      </c>
      <c r="CS48" s="756" t="str">
        <f ca="1">IF(COUNTIFS($CR$6:$CR$53,CR48,$BC$6:$BC$53,INDEX(T_Equipos[Grupo],MATCH(BD48,T_Equipos[NombreEquipo],0)))=1,"-","P."&amp;CR48&amp;" ("&amp;COUNTIFS($CR$6:$CR$53,CR48,$BC$6:$BC$53,INDEX(T_Equipos[Grupo],MATCH(BD48,T_Equipos[NombreEquipo],0)))&amp;")")</f>
        <v>-</v>
      </c>
      <c r="CT48" s="757" t="str">
        <f t="shared" ca="1" si="51"/>
        <v>-</v>
      </c>
      <c r="CU48" s="757">
        <f ca="1">CR48+COUNTIFS($CS$6:$CS$53,CS48,$CT$6:CT$53,"&gt;"&amp;CT48,$BC$6:$BC$53,INDEX(T_Equipos[Grupo],MATCH(BD48,T_Equipos[NombreEquipo],0)))</f>
        <v>4</v>
      </c>
      <c r="CV48" s="756" t="str">
        <f ca="1">IF(COUNTIFS($CU$6:$CU$53,CU48,$BC$6:$BC$53,INDEX(T_Equipos[Grupo],MATCH(BD48,T_Equipos[NombreEquipo],0)))=1,"-","P."&amp;CU48&amp;" ("&amp;COUNTIFS($CU$6:$CU$53,CU48,$BC$6:$BC$53,INDEX(T_Equipos[Grupo],MATCH(BD48,T_Equipos[NombreEquipo],0)))&amp;")")</f>
        <v>-</v>
      </c>
      <c r="CW48" s="756" t="str">
        <f t="shared" ca="1" si="30"/>
        <v>-</v>
      </c>
      <c r="CX48" s="756">
        <f ca="1">CU48+COUNTIFS($CV$6:$CV$53,CV48,$CW$6:CW$53,"&gt;"&amp;CW48,$BC$6:$BC$53,INDEX(T_Equipos[Grupo],MATCH(BD48,T_Equipos[NombreEquipo],0)))</f>
        <v>4</v>
      </c>
      <c r="CY48" s="756" t="str">
        <f ca="1">IF(COUNTIFS($CX$6:$CX$53,CX48,$BC$6:$BC$53,INDEX(T_Equipos[Grupo],MATCH(BD48,T_Equipos[NombreEquipo],0)))=1,"-","P."&amp;CX48&amp;" ("&amp;COUNTIFS($CX$6:$CX$53,CX48,$BC$6:$BC$53,INDEX(T_Equipos[Grupo],MATCH(BD48,T_Equipos[NombreEquipo],0)))&amp;")")</f>
        <v>-</v>
      </c>
      <c r="CZ48" s="756" t="str">
        <f t="shared" ca="1" si="31"/>
        <v>-</v>
      </c>
      <c r="DA48" s="757">
        <f ca="1">CX48+COUNTIFS($CY$6:$CY$53,CY48,$CZ$6:CZ$53,"&gt;"&amp;CZ48,$BC$6:$BC$53,INDEX(T_Equipos[Grupo],MATCH(BD48,T_Equipos[NombreEquipo],0)))</f>
        <v>4</v>
      </c>
      <c r="DB48" s="756" t="str">
        <f ca="1">IF(COUNTIFS($DA$6:$DA$53,DA48,$BC$6:$BC$53,INDEX(T_Equipos[Grupo],MATCH(BD48,T_Equipos[NombreEquipo],0)))=1,"-","P."&amp;DA48&amp;" ("&amp;COUNTIFS($DA$6:$DA$53,DA48,$BC$6:$BC$53,INDEX(T_Equipos[Grupo],MATCH(BD48,T_Equipos[NombreEquipo],0)))&amp;")")</f>
        <v>-</v>
      </c>
      <c r="DC48" s="755" t="str">
        <f ca="1">IF(DB48="-","-",COUNTIFS(T_Equipos[Rank],"&lt;"&amp;INDEX(T_Equipos[Rank],MATCH(BD48,T_Equipos[NombreEquipo],0)),$BC$6:$BC$53,INDEX(T_Equipos[Grupo],MATCH(BD48,T_Equipos[NombreEquipo],0)))+1)</f>
        <v>-</v>
      </c>
      <c r="DD48" s="755">
        <f ca="1">DA48+COUNTIFS($DB$6:$DB$53,DB48,$DC$6:DC$53,"&lt;"&amp;DC48,$BC$6:$BC$53,INDEX(T_Equipos[Grupo],MATCH(BD48,T_Equipos[NombreEquipo],0)))</f>
        <v>4</v>
      </c>
      <c r="DE48" s="755"/>
      <c r="DF48" s="755">
        <f t="shared" ca="1" si="52"/>
        <v>4</v>
      </c>
      <c r="DG48" s="755" t="str">
        <f ca="1">IF(DB48="-","-",COUNTIFS(DF$6:DF$53,"&lt;"&amp;DF48,$BC$6:$BC$53,INDEX(T_Equipos[Grupo],MATCH(BD48,T_Equipos[NombreEquipo],0))))</f>
        <v>-</v>
      </c>
      <c r="DH48" s="755">
        <f ca="1">DA48+COUNTIFS(DB$6:DB$53,DB48,DG$6:DG$53,"&lt;"&amp;DG48,$BC$6:$BC$53,INDEX(T_Equipos[Grupo],MATCH(BD48,T_Equipos[NombreEquipo],0)))</f>
        <v>4</v>
      </c>
      <c r="DI48" s="743"/>
      <c r="DJ48" s="743">
        <f t="shared" ca="1" si="53"/>
        <v>3</v>
      </c>
      <c r="DK48" s="743">
        <f t="shared" ca="1" si="24"/>
        <v>12</v>
      </c>
      <c r="DL48" s="743">
        <f t="shared" ca="1" si="33"/>
        <v>1</v>
      </c>
      <c r="DM48" s="737" t="str">
        <f t="shared" ca="1" si="34"/>
        <v>3.1</v>
      </c>
      <c r="DN48" s="743" cm="1">
        <f t="array" aca="1" ref="DN48" ca="1">OFFSET(Horarios!$P$3,DJ48-1,0,DL48,1)</f>
        <v>3</v>
      </c>
      <c r="DO48" s="743"/>
      <c r="DP48" s="743" t="s">
        <v>442</v>
      </c>
      <c r="DQ48" s="743" t="str">
        <f t="shared" ca="1" si="35"/>
        <v>DR Congo</v>
      </c>
      <c r="DR48" s="743"/>
      <c r="DS48" s="743"/>
      <c r="DT48" s="743" t="str">
        <f t="shared" ca="1" si="15"/>
        <v>Japan-Sweden</v>
      </c>
      <c r="DU48" s="743"/>
      <c r="DV48" s="743"/>
      <c r="DW48" s="8"/>
    </row>
    <row r="49" spans="1:127" ht="16.899999999999999" customHeight="1" thickBot="1">
      <c r="A49" s="738"/>
      <c r="B49" s="738"/>
      <c r="C49" s="738"/>
      <c r="D49" s="743" t="str">
        <f t="shared" si="136"/>
        <v>Visitante</v>
      </c>
      <c r="E49" s="743" t="str">
        <f t="shared" ca="1" si="137"/>
        <v>-</v>
      </c>
      <c r="F49" s="743" t="str">
        <f t="shared" ca="1" si="138"/>
        <v>-</v>
      </c>
      <c r="G49" s="743"/>
      <c r="H49" s="743" t="str">
        <f t="shared" ca="1" si="139"/>
        <v>-</v>
      </c>
      <c r="I49" s="743" t="str">
        <f t="shared" ca="1" si="140"/>
        <v>-</v>
      </c>
      <c r="J49" s="743"/>
      <c r="K49" s="743" t="str">
        <f t="shared" ca="1" si="141"/>
        <v>-</v>
      </c>
      <c r="L49" s="743" t="str">
        <f t="shared" ca="1" si="142"/>
        <v>-</v>
      </c>
      <c r="M49" s="743"/>
      <c r="N49" s="743" t="str">
        <f t="shared" ca="1" si="143"/>
        <v>-</v>
      </c>
      <c r="O49" s="743" t="str">
        <f t="shared" ca="1" si="144"/>
        <v>-</v>
      </c>
      <c r="P49" s="743"/>
      <c r="Q49" s="743" t="str">
        <f t="shared" ca="1" si="145"/>
        <v>-</v>
      </c>
      <c r="R49" s="743" t="str">
        <f t="shared" ca="1" si="146"/>
        <v>-</v>
      </c>
      <c r="S49" s="743"/>
      <c r="T49" s="743" t="str">
        <f t="shared" ca="1" si="147"/>
        <v>-</v>
      </c>
      <c r="U49" s="743" t="str">
        <f t="shared" ca="1" si="148"/>
        <v>-</v>
      </c>
      <c r="V49" s="172"/>
      <c r="W49" s="824"/>
      <c r="X49" s="228">
        <f ca="1">Horarios!C49</f>
        <v>46199.041666666664</v>
      </c>
      <c r="Y49" s="229">
        <f ca="1">Horarios!C49</f>
        <v>46199.041666666664</v>
      </c>
      <c r="Z49" s="230" t="str">
        <f>$Z$8</f>
        <v>R3</v>
      </c>
      <c r="AA49" s="231" t="str">
        <f ca="1">A48</f>
        <v>Tunisia</v>
      </c>
      <c r="AB49" s="479" t="e" cm="1" vm="24">
        <f t="array" aca="1" ref="AB49" ca="1">Ver_flag_local</f>
        <v>#VALUE!</v>
      </c>
      <c r="AC49" s="232">
        <v>1</v>
      </c>
      <c r="AD49" s="233">
        <v>3</v>
      </c>
      <c r="AE49" s="484" t="e" cm="1" vm="21">
        <f t="array" aca="1" ref="AE49" ca="1">Ver_flag_visit</f>
        <v>#VALUE!</v>
      </c>
      <c r="AF49" s="234" t="str">
        <f ca="1">A45</f>
        <v>Netherlands</v>
      </c>
      <c r="AG49" s="413">
        <f t="shared" si="149"/>
        <v>1</v>
      </c>
      <c r="AH49" s="196">
        <v>58</v>
      </c>
      <c r="AI49" s="19" t="str">
        <f t="shared" si="154"/>
        <v>4F</v>
      </c>
      <c r="AJ49" s="235">
        <v>4</v>
      </c>
      <c r="AK49" s="487" t="e" cm="1" vm="24">
        <f t="array" aca="1" ref="AK49" ca="1">Ver_flag_visit</f>
        <v>#VALUE!</v>
      </c>
      <c r="AL49" s="236" t="str">
        <f ca="1">IFERROR(INDEX($BD$6:$BD$53,MATCH(AI49,$BN$6:$BN$53,0)),"")</f>
        <v>Tunisia</v>
      </c>
      <c r="AM49" s="237">
        <f t="shared" ca="1" si="153"/>
        <v>0</v>
      </c>
      <c r="AN49" s="238">
        <f t="shared" ca="1" si="153"/>
        <v>3</v>
      </c>
      <c r="AO49" s="238">
        <f t="shared" ca="1" si="153"/>
        <v>0</v>
      </c>
      <c r="AP49" s="238">
        <f t="shared" ca="1" si="153"/>
        <v>0</v>
      </c>
      <c r="AQ49" s="238">
        <f t="shared" ca="1" si="153"/>
        <v>3</v>
      </c>
      <c r="AR49" s="238">
        <f t="shared" ca="1" si="153"/>
        <v>2</v>
      </c>
      <c r="AS49" s="238">
        <f t="shared" ca="1" si="153"/>
        <v>12</v>
      </c>
      <c r="AT49" s="239">
        <f t="shared" ca="1" si="153"/>
        <v>-10</v>
      </c>
      <c r="AU49" s="420">
        <f ca="1">INDEX($DL$6:$DL$53,MATCH(AI49,$DP$6:$DP$53,0))</f>
        <v>1</v>
      </c>
      <c r="AV49" s="217" t="str">
        <f ca="1">INDEX($BD$6:$BD$53,MATCH(AI49,$BM$6:$BM$53,0))</f>
        <v>Tunisia</v>
      </c>
      <c r="AW49" s="427"/>
      <c r="AX49" s="218"/>
      <c r="AY49" s="240" t="str">
        <f ca="1">+A48</f>
        <v>Tunisia</v>
      </c>
      <c r="AZ49" s="241"/>
      <c r="BA49" s="175"/>
      <c r="BB49" s="743"/>
      <c r="BC49" s="755" t="str">
        <f ca="1">+INDEX(T_Equipos[Grupo],MATCH(WORLDCUP!BD49,T_Equipos[NombreEquipo],0))</f>
        <v>K</v>
      </c>
      <c r="BD49" s="743" t="str">
        <f ca="1">+Equipos!B45</f>
        <v>Colombia</v>
      </c>
      <c r="BE49" s="747">
        <f t="shared" ca="1" si="25"/>
        <v>7</v>
      </c>
      <c r="BF49" s="747">
        <f t="shared" ca="1" si="26"/>
        <v>3</v>
      </c>
      <c r="BG49" s="747">
        <f t="shared" ca="1" si="17"/>
        <v>2</v>
      </c>
      <c r="BH49" s="747">
        <f t="shared" ca="1" si="18"/>
        <v>1</v>
      </c>
      <c r="BI49" s="747">
        <f t="shared" ca="1" si="19"/>
        <v>0</v>
      </c>
      <c r="BJ49" s="747">
        <f t="shared" ca="1" si="20"/>
        <v>4</v>
      </c>
      <c r="BK49" s="747">
        <f t="shared" ca="1" si="21"/>
        <v>1</v>
      </c>
      <c r="BL49" s="747">
        <f t="shared" ca="1" si="27"/>
        <v>3</v>
      </c>
      <c r="BM49" s="747" t="str">
        <f t="shared" ca="1" si="22"/>
        <v>1K</v>
      </c>
      <c r="BN49" s="747" t="str">
        <f t="shared" ca="1" si="23"/>
        <v>1K</v>
      </c>
      <c r="BO49" s="756">
        <f t="shared" ca="1" si="28"/>
        <v>0</v>
      </c>
      <c r="BP49" s="756">
        <f ca="1">COUNTIFS($BO$6:$BO$53,"&gt;"&amp;BO49,$BC$6:$BC$53,INDEX(T_Equipos[Grupo],MATCH(BD49,T_Equipos[NombreEquipo],0)))+1</f>
        <v>1</v>
      </c>
      <c r="BQ49" s="756" t="str">
        <f ca="1">IF(COUNTIFS($BP$6:$BP$53,BP49,$BC$6:$BC$53,INDEX(T_Equipos[Grupo],MATCH(BD49,T_Equipos[NombreEquipo],0)))=1,"-","P."&amp;BP49&amp;" ("&amp;COUNTIFS($BP$6:$BP$53,BP49,$BC$6:$BC$53,INDEX(T_Equipos[Grupo],MATCH(BD49,T_Equipos[NombreEquipo],0)))&amp;")")</f>
        <v>P.1 (4)</v>
      </c>
      <c r="BR49" s="756">
        <f t="shared" ca="1" si="29"/>
        <v>7</v>
      </c>
      <c r="BS49" s="756">
        <f ca="1">BP49+COUNTIFS($BQ$6:$BQ$53,BQ49,$BR$6:BR$53,"&gt;"&amp;BR49,$BC$6:$BC$53,INDEX(T_Equipos[Grupo],MATCH(BD49,T_Equipos[NombreEquipo],0)))</f>
        <v>1</v>
      </c>
      <c r="BT49" s="756" t="str">
        <f ca="1">IF(COUNTIFS($BS$6:$BS$53,BS49,$BC$6:$BC$53,INDEX(T_Equipos[Grupo],MATCH(BD49,T_Equipos[NombreEquipo],0)))=1,"-","P."&amp;BS49&amp;" ("&amp;COUNTIFS($BS$6:$BS$53,BS49,$BC$6:$BC$53,INDEX(T_Equipos[Grupo],MATCH(BD49,T_Equipos[NombreEquipo],0)))&amp;")")</f>
        <v>-</v>
      </c>
      <c r="BU49" s="757" t="str">
        <f t="shared" ca="1" si="36"/>
        <v>-</v>
      </c>
      <c r="BV49" s="757" t="str">
        <f t="shared" ca="1" si="37"/>
        <v>-</v>
      </c>
      <c r="BW49" s="757" t="str">
        <f t="shared" ca="1" si="38"/>
        <v>-</v>
      </c>
      <c r="BX49" s="757" t="str">
        <f t="shared" ca="1" si="39"/>
        <v>-</v>
      </c>
      <c r="BY49" s="757">
        <f ca="1">BS49+COUNTIFS($BT$6:$BT$53,BT49,$BX$6:BX$53,"&gt;"&amp;BX49,$BC$6:$BC$53,INDEX(T_Equipos[Grupo],MATCH(BD49,T_Equipos[NombreEquipo],0)))</f>
        <v>1</v>
      </c>
      <c r="BZ49" s="756" t="str">
        <f ca="1">IF(COUNTIFS($BY$6:$BY$53,BY49,$BC$6:$BC$53,INDEX(T_Equipos[Grupo],MATCH(BD49,T_Equipos[NombreEquipo],0)))=1,"-","P."&amp;BY49&amp;" ("&amp;COUNTIFS($BY$6:$BY$53,BY49,$BC$6:$BC$53,INDEX(T_Equipos[Grupo],MATCH(BD49,T_Equipos[NombreEquipo],0)))&amp;")")</f>
        <v>-</v>
      </c>
      <c r="CA49" s="757" t="str">
        <f t="shared" ca="1" si="40"/>
        <v>-</v>
      </c>
      <c r="CB49" s="757" t="str">
        <f t="shared" ca="1" si="41"/>
        <v>-</v>
      </c>
      <c r="CC49" s="757" t="str">
        <f t="shared" ca="1" si="42"/>
        <v>-</v>
      </c>
      <c r="CD49" s="757">
        <f ca="1">BY49+COUNTIFS($BZ$6:$BZ$53,BZ49,$CC$6:CC$53,"&gt;"&amp;CC49,$BC$6:$BC$53,INDEX(T_Equipos[Grupo],MATCH(BD49,T_Equipos[NombreEquipo],0)))</f>
        <v>1</v>
      </c>
      <c r="CE49" s="756" t="str">
        <f ca="1">IF(COUNTIFS($CD$6:$CD$53,CD49,$BC$6:$BC$53,INDEX(T_Equipos[Grupo],MATCH(BD49,T_Equipos[NombreEquipo],0)))=1,"-","P."&amp;CD49&amp;" ("&amp;COUNTIFS($CD$6:$CD$53,CD49,$BC$6:$BC$53,INDEX(T_Equipos[Grupo],MATCH(BD49,T_Equipos[NombreEquipo],0)))&amp;")")</f>
        <v>-</v>
      </c>
      <c r="CF49" s="757" t="str">
        <f t="shared" ca="1" si="43"/>
        <v>-</v>
      </c>
      <c r="CG49" s="757">
        <f ca="1">CD49+COUNTIFS($CE$6:$CE$53,CE49,$CF$6:CF$53,"&gt;"&amp;CF49,$BC$6:$BC$53,INDEX(T_Equipos[Grupo],MATCH(BD49,T_Equipos[NombreEquipo],0)))</f>
        <v>1</v>
      </c>
      <c r="CH49" s="756" t="str">
        <f ca="1">IF(COUNTIFS($CG$6:$CG$53,CG49,$BC$6:$BC$53,INDEX(T_Equipos[Grupo],MATCH(BD49,T_Equipos[NombreEquipo],0)))=1,"-","P."&amp;CG49&amp;" ("&amp;COUNTIFS($CG$6:$CG$53,CG49,$BC$6:$BC$53,INDEX(T_Equipos[Grupo],MATCH(BD49,T_Equipos[NombreEquipo],0)))&amp;")")</f>
        <v>-</v>
      </c>
      <c r="CI49" s="757" t="str">
        <f t="shared" ca="1" si="44"/>
        <v>-</v>
      </c>
      <c r="CJ49" s="757" t="str">
        <f t="shared" ca="1" si="45"/>
        <v>-</v>
      </c>
      <c r="CK49" s="757" t="str">
        <f t="shared" ca="1" si="46"/>
        <v>-</v>
      </c>
      <c r="CL49" s="757" t="str">
        <f t="shared" ca="1" si="47"/>
        <v>-</v>
      </c>
      <c r="CM49" s="757">
        <f ca="1">CG49+COUNTIFS($CH$6:$CH$53,CH49,$CL$6:CL$53,"&gt;"&amp;CL49,$BC$6:$BC$53,INDEX(T_Equipos[Grupo],MATCH(BD49,T_Equipos[NombreEquipo],0)))</f>
        <v>1</v>
      </c>
      <c r="CN49" s="756" t="str">
        <f ca="1">IF(COUNTIFS($CM$6:$CM$53,CM49,$BC$6:$BC$53,INDEX(T_Equipos[Grupo],MATCH(BD49,T_Equipos[NombreEquipo],0)))=1,"-","P."&amp;CM49&amp;" ("&amp;COUNTIFS($CM$6:$CM$53,CM49,$BC$6:$BC$53,INDEX(T_Equipos[Grupo],MATCH(BD49,T_Equipos[NombreEquipo],0)))&amp;")")</f>
        <v>-</v>
      </c>
      <c r="CO49" s="757" t="str">
        <f t="shared" ca="1" si="48"/>
        <v>-</v>
      </c>
      <c r="CP49" s="757" t="str">
        <f t="shared" ca="1" si="49"/>
        <v>-</v>
      </c>
      <c r="CQ49" s="757" t="str">
        <f t="shared" ca="1" si="50"/>
        <v>-</v>
      </c>
      <c r="CR49" s="757">
        <f ca="1">CM49+COUNTIFS($CN$6:$CN$53,CN49,$CQ$6:CQ$53,"&gt;"&amp;CQ49,$BC$6:$BC$53,INDEX(T_Equipos[Grupo],MATCH(BD49,T_Equipos[NombreEquipo],0)))</f>
        <v>1</v>
      </c>
      <c r="CS49" s="756" t="str">
        <f ca="1">IF(COUNTIFS($CR$6:$CR$53,CR49,$BC$6:$BC$53,INDEX(T_Equipos[Grupo],MATCH(BD49,T_Equipos[NombreEquipo],0)))=1,"-","P."&amp;CR49&amp;" ("&amp;COUNTIFS($CR$6:$CR$53,CR49,$BC$6:$BC$53,INDEX(T_Equipos[Grupo],MATCH(BD49,T_Equipos[NombreEquipo],0)))&amp;")")</f>
        <v>-</v>
      </c>
      <c r="CT49" s="757" t="str">
        <f t="shared" ca="1" si="51"/>
        <v>-</v>
      </c>
      <c r="CU49" s="757">
        <f ca="1">CR49+COUNTIFS($CS$6:$CS$53,CS49,$CT$6:CT$53,"&gt;"&amp;CT49,$BC$6:$BC$53,INDEX(T_Equipos[Grupo],MATCH(BD49,T_Equipos[NombreEquipo],0)))</f>
        <v>1</v>
      </c>
      <c r="CV49" s="756" t="str">
        <f ca="1">IF(COUNTIFS($CU$6:$CU$53,CU49,$BC$6:$BC$53,INDEX(T_Equipos[Grupo],MATCH(BD49,T_Equipos[NombreEquipo],0)))=1,"-","P."&amp;CU49&amp;" ("&amp;COUNTIFS($CU$6:$CU$53,CU49,$BC$6:$BC$53,INDEX(T_Equipos[Grupo],MATCH(BD49,T_Equipos[NombreEquipo],0)))&amp;")")</f>
        <v>-</v>
      </c>
      <c r="CW49" s="756" t="str">
        <f t="shared" ca="1" si="30"/>
        <v>-</v>
      </c>
      <c r="CX49" s="756">
        <f ca="1">CU49+COUNTIFS($CV$6:$CV$53,CV49,$CW$6:CW$53,"&gt;"&amp;CW49,$BC$6:$BC$53,INDEX(T_Equipos[Grupo],MATCH(BD49,T_Equipos[NombreEquipo],0)))</f>
        <v>1</v>
      </c>
      <c r="CY49" s="756" t="str">
        <f ca="1">IF(COUNTIFS($CX$6:$CX$53,CX49,$BC$6:$BC$53,INDEX(T_Equipos[Grupo],MATCH(BD49,T_Equipos[NombreEquipo],0)))=1,"-","P."&amp;CX49&amp;" ("&amp;COUNTIFS($CX$6:$CX$53,CX49,$BC$6:$BC$53,INDEX(T_Equipos[Grupo],MATCH(BD49,T_Equipos[NombreEquipo],0)))&amp;")")</f>
        <v>-</v>
      </c>
      <c r="CZ49" s="756" t="str">
        <f t="shared" ca="1" si="31"/>
        <v>-</v>
      </c>
      <c r="DA49" s="757">
        <f ca="1">CX49+COUNTIFS($CY$6:$CY$53,CY49,$CZ$6:CZ$53,"&gt;"&amp;CZ49,$BC$6:$BC$53,INDEX(T_Equipos[Grupo],MATCH(BD49,T_Equipos[NombreEquipo],0)))</f>
        <v>1</v>
      </c>
      <c r="DB49" s="756" t="str">
        <f ca="1">IF(COUNTIFS($DA$6:$DA$53,DA49,$BC$6:$BC$53,INDEX(T_Equipos[Grupo],MATCH(BD49,T_Equipos[NombreEquipo],0)))=1,"-","P."&amp;DA49&amp;" ("&amp;COUNTIFS($DA$6:$DA$53,DA49,$BC$6:$BC$53,INDEX(T_Equipos[Grupo],MATCH(BD49,T_Equipos[NombreEquipo],0)))&amp;")")</f>
        <v>-</v>
      </c>
      <c r="DC49" s="755" t="str">
        <f ca="1">IF(DB49="-","-",COUNTIFS(T_Equipos[Rank],"&lt;"&amp;INDEX(T_Equipos[Rank],MATCH(BD49,T_Equipos[NombreEquipo],0)),$BC$6:$BC$53,INDEX(T_Equipos[Grupo],MATCH(BD49,T_Equipos[NombreEquipo],0)))+1)</f>
        <v>-</v>
      </c>
      <c r="DD49" s="755">
        <f ca="1">DA49+COUNTIFS($DB$6:$DB$53,DB49,$DC$6:DC$53,"&lt;"&amp;DC49,$BC$6:$BC$53,INDEX(T_Equipos[Grupo],MATCH(BD49,T_Equipos[NombreEquipo],0)))</f>
        <v>1</v>
      </c>
      <c r="DE49" s="755"/>
      <c r="DF49" s="755">
        <f t="shared" ca="1" si="52"/>
        <v>1</v>
      </c>
      <c r="DG49" s="755" t="str">
        <f ca="1">IF(DB49="-","-",COUNTIFS(DF$6:DF$53,"&lt;"&amp;DF49,$BC$6:$BC$53,INDEX(T_Equipos[Grupo],MATCH(BD49,T_Equipos[NombreEquipo],0))))</f>
        <v>-</v>
      </c>
      <c r="DH49" s="755">
        <f ca="1">DA49+COUNTIFS(DB$6:DB$53,DB49,DG$6:DG$53,"&lt;"&amp;DG49,$BC$6:$BC$53,INDEX(T_Equipos[Grupo],MATCH(BD49,T_Equipos[NombreEquipo],0)))</f>
        <v>1</v>
      </c>
      <c r="DI49" s="743"/>
      <c r="DJ49" s="743">
        <f t="shared" ca="1" si="53"/>
        <v>4</v>
      </c>
      <c r="DK49" s="743">
        <f t="shared" ca="1" si="24"/>
        <v>12</v>
      </c>
      <c r="DL49" s="743">
        <f t="shared" ca="1" si="33"/>
        <v>1</v>
      </c>
      <c r="DM49" s="737" t="str">
        <f t="shared" ca="1" si="34"/>
        <v>4.1</v>
      </c>
      <c r="DN49" s="743" cm="1">
        <f t="array" aca="1" ref="DN49" ca="1">OFFSET(Horarios!$P$3,DJ49-1,0,DL49,1)</f>
        <v>4</v>
      </c>
      <c r="DO49" s="743"/>
      <c r="DP49" s="743" t="s">
        <v>681</v>
      </c>
      <c r="DQ49" s="743" t="str">
        <f t="shared" ca="1" si="35"/>
        <v>Uzbekistan</v>
      </c>
      <c r="DR49" s="743"/>
      <c r="DS49" s="743"/>
      <c r="DT49" s="743" t="str">
        <f t="shared" ca="1" si="15"/>
        <v>Tunisia-Netherlands</v>
      </c>
      <c r="DU49" s="743"/>
      <c r="DV49" s="743"/>
      <c r="DW49" s="8"/>
    </row>
    <row r="50" spans="1:127" ht="15.75" thickBot="1">
      <c r="A50" s="738"/>
      <c r="B50" s="738"/>
      <c r="C50" s="738"/>
      <c r="D50" s="743" t="str">
        <f t="shared" si="136"/>
        <v>Pendiente</v>
      </c>
      <c r="E50" s="743"/>
      <c r="F50" s="743"/>
      <c r="G50" s="743"/>
      <c r="H50" s="743"/>
      <c r="I50" s="743"/>
      <c r="J50" s="743"/>
      <c r="K50" s="743"/>
      <c r="L50" s="743"/>
      <c r="M50" s="743"/>
      <c r="N50" s="743"/>
      <c r="O50" s="743"/>
      <c r="P50" s="743"/>
      <c r="Q50" s="743"/>
      <c r="R50" s="743"/>
      <c r="S50" s="743"/>
      <c r="T50" s="743"/>
      <c r="U50" s="743"/>
      <c r="V50" s="172"/>
      <c r="W50" s="242"/>
      <c r="X50" s="243"/>
      <c r="Y50" s="242"/>
      <c r="Z50" s="244"/>
      <c r="AA50" s="245"/>
      <c r="AB50" s="482"/>
      <c r="AC50" s="247"/>
      <c r="AD50" s="247"/>
      <c r="AE50" s="482"/>
      <c r="AF50" s="248"/>
      <c r="AG50" s="415"/>
      <c r="AH50" s="196"/>
      <c r="AI50" s="171"/>
      <c r="AJ50" s="249"/>
      <c r="AK50" s="250"/>
      <c r="AL50" s="186"/>
      <c r="AM50" s="251"/>
      <c r="AN50" s="249"/>
      <c r="AO50" s="249"/>
      <c r="AP50" s="249"/>
      <c r="AQ50" s="249"/>
      <c r="AR50" s="249"/>
      <c r="AS50" s="249"/>
      <c r="AT50" s="249"/>
      <c r="AU50" s="420"/>
      <c r="AV50" s="216"/>
      <c r="AW50" s="428"/>
      <c r="AX50" s="218"/>
      <c r="AY50" s="242"/>
      <c r="AZ50" s="243"/>
      <c r="BA50" s="175"/>
      <c r="BB50" s="743"/>
      <c r="BC50" s="755" t="str">
        <f ca="1">+INDEX(T_Equipos[Grupo],MATCH(WORLDCUP!BD50,T_Equipos[NombreEquipo],0))</f>
        <v>L</v>
      </c>
      <c r="BD50" s="743" t="str">
        <f ca="1">+Equipos!B46</f>
        <v>England</v>
      </c>
      <c r="BE50" s="747">
        <f t="shared" ca="1" si="25"/>
        <v>7</v>
      </c>
      <c r="BF50" s="747">
        <f t="shared" ca="1" si="26"/>
        <v>3</v>
      </c>
      <c r="BG50" s="747">
        <f t="shared" ca="1" si="17"/>
        <v>2</v>
      </c>
      <c r="BH50" s="747">
        <f t="shared" ca="1" si="18"/>
        <v>1</v>
      </c>
      <c r="BI50" s="747">
        <f t="shared" ca="1" si="19"/>
        <v>0</v>
      </c>
      <c r="BJ50" s="747">
        <f t="shared" ca="1" si="20"/>
        <v>6</v>
      </c>
      <c r="BK50" s="747">
        <f t="shared" ca="1" si="21"/>
        <v>2</v>
      </c>
      <c r="BL50" s="747">
        <f t="shared" ca="1" si="27"/>
        <v>4</v>
      </c>
      <c r="BM50" s="747" t="str">
        <f t="shared" ca="1" si="22"/>
        <v>1L</v>
      </c>
      <c r="BN50" s="747" t="str">
        <f t="shared" ca="1" si="23"/>
        <v>1L</v>
      </c>
      <c r="BO50" s="757">
        <f t="shared" ca="1" si="28"/>
        <v>0</v>
      </c>
      <c r="BP50" s="756">
        <f ca="1">COUNTIFS($BO$6:$BO$53,"&gt;"&amp;BO50,$BC$6:$BC$53,INDEX(T_Equipos[Grupo],MATCH(BD50,T_Equipos[NombreEquipo],0)))+1</f>
        <v>1</v>
      </c>
      <c r="BQ50" s="756" t="str">
        <f ca="1">IF(COUNTIFS($BP$6:$BP$53,BP50,$BC$6:$BC$53,INDEX(T_Equipos[Grupo],MATCH(BD50,T_Equipos[NombreEquipo],0)))=1,"-","P."&amp;BP50&amp;" ("&amp;COUNTIFS($BP$6:$BP$53,BP50,$BC$6:$BC$53,INDEX(T_Equipos[Grupo],MATCH(BD50,T_Equipos[NombreEquipo],0)))&amp;")")</f>
        <v>P.1 (4)</v>
      </c>
      <c r="BR50" s="757">
        <f t="shared" ca="1" si="29"/>
        <v>7</v>
      </c>
      <c r="BS50" s="756">
        <f ca="1">BP50+COUNTIFS($BQ$6:$BQ$53,BQ50,$BR$6:BR$53,"&gt;"&amp;BR50,$BC$6:$BC$53,INDEX(T_Equipos[Grupo],MATCH(BD50,T_Equipos[NombreEquipo],0)))</f>
        <v>1</v>
      </c>
      <c r="BT50" s="756" t="str">
        <f ca="1">IF(COUNTIFS($BS$6:$BS$53,BS50,$BC$6:$BC$53,INDEX(T_Equipos[Grupo],MATCH(BD50,T_Equipos[NombreEquipo],0)))=1,"-","P."&amp;BS50&amp;" ("&amp;COUNTIFS($BS$6:$BS$53,BS50,$BC$6:$BC$53,INDEX(T_Equipos[Grupo],MATCH(BD50,T_Equipos[NombreEquipo],0)))&amp;")")</f>
        <v>-</v>
      </c>
      <c r="BU50" s="757" t="str">
        <f t="shared" ca="1" si="36"/>
        <v>-</v>
      </c>
      <c r="BV50" s="757" t="str">
        <f t="shared" ca="1" si="37"/>
        <v>-</v>
      </c>
      <c r="BW50" s="757" t="str">
        <f t="shared" ca="1" si="38"/>
        <v>-</v>
      </c>
      <c r="BX50" s="757" t="str">
        <f t="shared" ca="1" si="39"/>
        <v>-</v>
      </c>
      <c r="BY50" s="757">
        <f ca="1">BS50+COUNTIFS($BT$6:$BT$53,BT50,$BX$6:BX$53,"&gt;"&amp;BX50,$BC$6:$BC$53,INDEX(T_Equipos[Grupo],MATCH(BD50,T_Equipos[NombreEquipo],0)))</f>
        <v>1</v>
      </c>
      <c r="BZ50" s="756" t="str">
        <f ca="1">IF(COUNTIFS($BY$6:$BY$53,BY50,$BC$6:$BC$53,INDEX(T_Equipos[Grupo],MATCH(BD50,T_Equipos[NombreEquipo],0)))=1,"-","P."&amp;BY50&amp;" ("&amp;COUNTIFS($BY$6:$BY$53,BY50,$BC$6:$BC$53,INDEX(T_Equipos[Grupo],MATCH(BD50,T_Equipos[NombreEquipo],0)))&amp;")")</f>
        <v>-</v>
      </c>
      <c r="CA50" s="757" t="str">
        <f t="shared" ca="1" si="40"/>
        <v>-</v>
      </c>
      <c r="CB50" s="757" t="str">
        <f t="shared" ca="1" si="41"/>
        <v>-</v>
      </c>
      <c r="CC50" s="757" t="str">
        <f t="shared" ca="1" si="42"/>
        <v>-</v>
      </c>
      <c r="CD50" s="757">
        <f ca="1">BY50+COUNTIFS($BZ$6:$BZ$53,BZ50,$CC$6:CC$53,"&gt;"&amp;CC50,$BC$6:$BC$53,INDEX(T_Equipos[Grupo],MATCH(BD50,T_Equipos[NombreEquipo],0)))</f>
        <v>1</v>
      </c>
      <c r="CE50" s="756" t="str">
        <f ca="1">IF(COUNTIFS($CD$6:$CD$53,CD50,$BC$6:$BC$53,INDEX(T_Equipos[Grupo],MATCH(BD50,T_Equipos[NombreEquipo],0)))=1,"-","P."&amp;CD50&amp;" ("&amp;COUNTIFS($CD$6:$CD$53,CD50,$BC$6:$BC$53,INDEX(T_Equipos[Grupo],MATCH(BD50,T_Equipos[NombreEquipo],0)))&amp;")")</f>
        <v>-</v>
      </c>
      <c r="CF50" s="757" t="str">
        <f t="shared" ca="1" si="43"/>
        <v>-</v>
      </c>
      <c r="CG50" s="757">
        <f ca="1">CD50+COUNTIFS($CE$6:$CE$53,CE50,$CF$6:CF$53,"&gt;"&amp;CF50,$BC$6:$BC$53,INDEX(T_Equipos[Grupo],MATCH(BD50,T_Equipos[NombreEquipo],0)))</f>
        <v>1</v>
      </c>
      <c r="CH50" s="756" t="str">
        <f ca="1">IF(COUNTIFS($CG$6:$CG$53,CG50,$BC$6:$BC$53,INDEX(T_Equipos[Grupo],MATCH(BD50,T_Equipos[NombreEquipo],0)))=1,"-","P."&amp;CG50&amp;" ("&amp;COUNTIFS($CG$6:$CG$53,CG50,$BC$6:$BC$53,INDEX(T_Equipos[Grupo],MATCH(BD50,T_Equipos[NombreEquipo],0)))&amp;")")</f>
        <v>-</v>
      </c>
      <c r="CI50" s="757" t="str">
        <f t="shared" ca="1" si="44"/>
        <v>-</v>
      </c>
      <c r="CJ50" s="757" t="str">
        <f t="shared" ca="1" si="45"/>
        <v>-</v>
      </c>
      <c r="CK50" s="757" t="str">
        <f t="shared" ca="1" si="46"/>
        <v>-</v>
      </c>
      <c r="CL50" s="757" t="str">
        <f t="shared" ca="1" si="47"/>
        <v>-</v>
      </c>
      <c r="CM50" s="757">
        <f ca="1">CG50+COUNTIFS($CH$6:$CH$53,CH50,$CL$6:CL$53,"&gt;"&amp;CL50,$BC$6:$BC$53,INDEX(T_Equipos[Grupo],MATCH(BD50,T_Equipos[NombreEquipo],0)))</f>
        <v>1</v>
      </c>
      <c r="CN50" s="756" t="str">
        <f ca="1">IF(COUNTIFS($CM$6:$CM$53,CM50,$BC$6:$BC$53,INDEX(T_Equipos[Grupo],MATCH(BD50,T_Equipos[NombreEquipo],0)))=1,"-","P."&amp;CM50&amp;" ("&amp;COUNTIFS($CM$6:$CM$53,CM50,$BC$6:$BC$53,INDEX(T_Equipos[Grupo],MATCH(BD50,T_Equipos[NombreEquipo],0)))&amp;")")</f>
        <v>-</v>
      </c>
      <c r="CO50" s="757" t="str">
        <f t="shared" ca="1" si="48"/>
        <v>-</v>
      </c>
      <c r="CP50" s="757" t="str">
        <f t="shared" ca="1" si="49"/>
        <v>-</v>
      </c>
      <c r="CQ50" s="757" t="str">
        <f t="shared" ca="1" si="50"/>
        <v>-</v>
      </c>
      <c r="CR50" s="757">
        <f ca="1">CM50+COUNTIFS($CN$6:$CN$53,CN50,$CQ$6:CQ$53,"&gt;"&amp;CQ50,$BC$6:$BC$53,INDEX(T_Equipos[Grupo],MATCH(BD50,T_Equipos[NombreEquipo],0)))</f>
        <v>1</v>
      </c>
      <c r="CS50" s="756" t="str">
        <f ca="1">IF(COUNTIFS($CR$6:$CR$53,CR50,$BC$6:$BC$53,INDEX(T_Equipos[Grupo],MATCH(BD50,T_Equipos[NombreEquipo],0)))=1,"-","P."&amp;CR50&amp;" ("&amp;COUNTIFS($CR$6:$CR$53,CR50,$BC$6:$BC$53,INDEX(T_Equipos[Grupo],MATCH(BD50,T_Equipos[NombreEquipo],0)))&amp;")")</f>
        <v>-</v>
      </c>
      <c r="CT50" s="757" t="str">
        <f t="shared" ca="1" si="51"/>
        <v>-</v>
      </c>
      <c r="CU50" s="757">
        <f ca="1">CR50+COUNTIFS($CS$6:$CS$53,CS50,$CT$6:CT$53,"&gt;"&amp;CT50,$BC$6:$BC$53,INDEX(T_Equipos[Grupo],MATCH(BD50,T_Equipos[NombreEquipo],0)))</f>
        <v>1</v>
      </c>
      <c r="CV50" s="756" t="str">
        <f ca="1">IF(COUNTIFS($CU$6:$CU$53,CU50,$BC$6:$BC$53,INDEX(T_Equipos[Grupo],MATCH(BD50,T_Equipos[NombreEquipo],0)))=1,"-","P."&amp;CU50&amp;" ("&amp;COUNTIFS($CU$6:$CU$53,CU50,$BC$6:$BC$53,INDEX(T_Equipos[Grupo],MATCH(BD50,T_Equipos[NombreEquipo],0)))&amp;")")</f>
        <v>-</v>
      </c>
      <c r="CW50" s="756" t="str">
        <f t="shared" ca="1" si="30"/>
        <v>-</v>
      </c>
      <c r="CX50" s="756">
        <f ca="1">CU50+COUNTIFS($CV$6:$CV$53,CV50,$CW$6:CW$53,"&gt;"&amp;CW50,$BC$6:$BC$53,INDEX(T_Equipos[Grupo],MATCH(BD50,T_Equipos[NombreEquipo],0)))</f>
        <v>1</v>
      </c>
      <c r="CY50" s="756" t="str">
        <f ca="1">IF(COUNTIFS($CX$6:$CX$53,CX50,$BC$6:$BC$53,INDEX(T_Equipos[Grupo],MATCH(BD50,T_Equipos[NombreEquipo],0)))=1,"-","P."&amp;CX50&amp;" ("&amp;COUNTIFS($CX$6:$CX$53,CX50,$BC$6:$BC$53,INDEX(T_Equipos[Grupo],MATCH(BD50,T_Equipos[NombreEquipo],0)))&amp;")")</f>
        <v>-</v>
      </c>
      <c r="CZ50" s="756" t="str">
        <f t="shared" ca="1" si="31"/>
        <v>-</v>
      </c>
      <c r="DA50" s="757">
        <f ca="1">CX50+COUNTIFS($CY$6:$CY$53,CY50,$CZ$6:CZ$53,"&gt;"&amp;CZ50,$BC$6:$BC$53,INDEX(T_Equipos[Grupo],MATCH(BD50,T_Equipos[NombreEquipo],0)))</f>
        <v>1</v>
      </c>
      <c r="DB50" s="756" t="str">
        <f ca="1">IF(COUNTIFS($DA$6:$DA$53,DA50,$BC$6:$BC$53,INDEX(T_Equipos[Grupo],MATCH(BD50,T_Equipos[NombreEquipo],0)))=1,"-","P."&amp;DA50&amp;" ("&amp;COUNTIFS($DA$6:$DA$53,DA50,$BC$6:$BC$53,INDEX(T_Equipos[Grupo],MATCH(BD50,T_Equipos[NombreEquipo],0)))&amp;")")</f>
        <v>-</v>
      </c>
      <c r="DC50" s="755" t="str">
        <f ca="1">IF(DB50="-","-",COUNTIFS(T_Equipos[Rank],"&lt;"&amp;INDEX(T_Equipos[Rank],MATCH(BD50,T_Equipos[NombreEquipo],0)),$BC$6:$BC$53,INDEX(T_Equipos[Grupo],MATCH(BD50,T_Equipos[NombreEquipo],0)))+1)</f>
        <v>-</v>
      </c>
      <c r="DD50" s="755">
        <f ca="1">DA50+COUNTIFS($DB$6:$DB$53,DB50,$DC$6:DC$53,"&lt;"&amp;DC50,$BC$6:$BC$53,INDEX(T_Equipos[Grupo],MATCH(BD50,T_Equipos[NombreEquipo],0)))</f>
        <v>1</v>
      </c>
      <c r="DE50" s="755"/>
      <c r="DF50" s="755">
        <f t="shared" ca="1" si="52"/>
        <v>1</v>
      </c>
      <c r="DG50" s="755" t="str">
        <f ca="1">IF(DB50="-","-",COUNTIFS(DF$6:DF$53,"&lt;"&amp;DF50,$BC$6:$BC$53,INDEX(T_Equipos[Grupo],MATCH(BD50,T_Equipos[NombreEquipo],0))))</f>
        <v>-</v>
      </c>
      <c r="DH50" s="755">
        <f ca="1">DA50+COUNTIFS(DB$6:DB$53,DB50,DG$6:DG$53,"&lt;"&amp;DG50,$BC$6:$BC$53,INDEX(T_Equipos[Grupo],MATCH(BD50,T_Equipos[NombreEquipo],0)))</f>
        <v>1</v>
      </c>
      <c r="DI50" s="743"/>
      <c r="DJ50" s="743">
        <f t="shared" ca="1" si="53"/>
        <v>1</v>
      </c>
      <c r="DK50" s="743">
        <f t="shared" ca="1" si="24"/>
        <v>12</v>
      </c>
      <c r="DL50" s="743">
        <f t="shared" ca="1" si="33"/>
        <v>1</v>
      </c>
      <c r="DM50" s="737" t="str">
        <f t="shared" ca="1" si="34"/>
        <v>1.1</v>
      </c>
      <c r="DN50" s="743" cm="1">
        <f t="array" aca="1" ref="DN50" ca="1">OFFSET(Horarios!$P$3,DJ50-1,0,DL50,1)</f>
        <v>1</v>
      </c>
      <c r="DO50" s="743"/>
      <c r="DP50" s="743" t="s">
        <v>682</v>
      </c>
      <c r="DQ50" s="743" t="str">
        <f t="shared" ca="1" si="35"/>
        <v>England</v>
      </c>
      <c r="DR50" s="743"/>
      <c r="DS50" s="743"/>
      <c r="DT50" s="743" t="str">
        <f t="shared" si="15"/>
        <v>-</v>
      </c>
      <c r="DU50" s="743"/>
      <c r="DV50" s="743"/>
      <c r="DW50" s="8"/>
    </row>
    <row r="51" spans="1:127" ht="15.75" thickBot="1">
      <c r="A51" s="738"/>
      <c r="B51" s="738"/>
      <c r="C51" s="738"/>
      <c r="D51" s="738"/>
      <c r="E51" s="738"/>
      <c r="F51" s="738"/>
      <c r="G51" s="738"/>
      <c r="H51" s="738"/>
      <c r="I51" s="738"/>
      <c r="J51" s="738"/>
      <c r="K51" s="738"/>
      <c r="L51" s="738"/>
      <c r="M51" s="738"/>
      <c r="N51" s="743"/>
      <c r="O51" s="743"/>
      <c r="P51" s="743"/>
      <c r="Q51" s="743"/>
      <c r="R51" s="743"/>
      <c r="S51" s="743"/>
      <c r="T51" s="743"/>
      <c r="U51" s="743"/>
      <c r="V51" s="172"/>
      <c r="W51" s="179"/>
      <c r="X51" s="180" t="str">
        <f>X3</f>
        <v>Date</v>
      </c>
      <c r="Y51" s="180" t="str">
        <f>Y3</f>
        <v>Hour</v>
      </c>
      <c r="Z51" s="181" t="str">
        <f>Z3</f>
        <v>R</v>
      </c>
      <c r="AA51" s="182" t="str">
        <f>AA3</f>
        <v>Home</v>
      </c>
      <c r="AB51" s="181"/>
      <c r="AC51" s="181" t="str">
        <f>AC3</f>
        <v>Goal</v>
      </c>
      <c r="AD51" s="181" t="str">
        <f>AD3</f>
        <v>Goal</v>
      </c>
      <c r="AE51" s="181"/>
      <c r="AF51" s="184" t="str">
        <f>AF3</f>
        <v>Away</v>
      </c>
      <c r="AG51" s="414"/>
      <c r="AH51" s="196"/>
      <c r="AI51" s="18"/>
      <c r="AJ51" s="186"/>
      <c r="AK51" s="252"/>
      <c r="AL51" s="186"/>
      <c r="AM51" s="186"/>
      <c r="AN51" s="186"/>
      <c r="AO51" s="186"/>
      <c r="AP51" s="186"/>
      <c r="AQ51" s="186"/>
      <c r="AR51" s="186"/>
      <c r="AS51" s="186"/>
      <c r="AT51" s="186"/>
      <c r="AU51" s="421"/>
      <c r="AV51" s="22"/>
      <c r="AW51" s="429"/>
      <c r="AX51" s="253"/>
      <c r="AY51" s="242"/>
      <c r="AZ51" s="243"/>
      <c r="BA51" s="175"/>
      <c r="BB51" s="743"/>
      <c r="BC51" s="755" t="str">
        <f ca="1">+INDEX(T_Equipos[Grupo],MATCH(WORLDCUP!BD51,T_Equipos[NombreEquipo],0))</f>
        <v>L</v>
      </c>
      <c r="BD51" s="743" t="str">
        <f ca="1">+Equipos!B47</f>
        <v>Croatia</v>
      </c>
      <c r="BE51" s="747">
        <f t="shared" ca="1" si="25"/>
        <v>6</v>
      </c>
      <c r="BF51" s="747">
        <f t="shared" ca="1" si="26"/>
        <v>3</v>
      </c>
      <c r="BG51" s="747">
        <f t="shared" ca="1" si="17"/>
        <v>2</v>
      </c>
      <c r="BH51" s="747">
        <f t="shared" ca="1" si="18"/>
        <v>0</v>
      </c>
      <c r="BI51" s="747">
        <f t="shared" ca="1" si="19"/>
        <v>1</v>
      </c>
      <c r="BJ51" s="747">
        <f t="shared" ca="1" si="20"/>
        <v>5</v>
      </c>
      <c r="BK51" s="747">
        <f t="shared" ca="1" si="21"/>
        <v>5</v>
      </c>
      <c r="BL51" s="747">
        <f t="shared" ca="1" si="27"/>
        <v>0</v>
      </c>
      <c r="BM51" s="747" t="str">
        <f t="shared" ca="1" si="22"/>
        <v>2L</v>
      </c>
      <c r="BN51" s="747" t="str">
        <f t="shared" ca="1" si="23"/>
        <v>2L</v>
      </c>
      <c r="BO51" s="757">
        <f t="shared" ca="1" si="28"/>
        <v>0</v>
      </c>
      <c r="BP51" s="756">
        <f ca="1">COUNTIFS($BO$6:$BO$53,"&gt;"&amp;BO51,$BC$6:$BC$53,INDEX(T_Equipos[Grupo],MATCH(BD51,T_Equipos[NombreEquipo],0)))+1</f>
        <v>1</v>
      </c>
      <c r="BQ51" s="756" t="str">
        <f ca="1">IF(COUNTIFS($BP$6:$BP$53,BP51,$BC$6:$BC$53,INDEX(T_Equipos[Grupo],MATCH(BD51,T_Equipos[NombreEquipo],0)))=1,"-","P."&amp;BP51&amp;" ("&amp;COUNTIFS($BP$6:$BP$53,BP51,$BC$6:$BC$53,INDEX(T_Equipos[Grupo],MATCH(BD51,T_Equipos[NombreEquipo],0)))&amp;")")</f>
        <v>P.1 (4)</v>
      </c>
      <c r="BR51" s="757">
        <f t="shared" ca="1" si="29"/>
        <v>6</v>
      </c>
      <c r="BS51" s="756">
        <f ca="1">BP51+COUNTIFS($BQ$6:$BQ$53,BQ51,$BR$6:BR$53,"&gt;"&amp;BR51,$BC$6:$BC$53,INDEX(T_Equipos[Grupo],MATCH(BD51,T_Equipos[NombreEquipo],0)))</f>
        <v>2</v>
      </c>
      <c r="BT51" s="756" t="str">
        <f ca="1">IF(COUNTIFS($BS$6:$BS$53,BS51,$BC$6:$BC$53,INDEX(T_Equipos[Grupo],MATCH(BD51,T_Equipos[NombreEquipo],0)))=1,"-","P."&amp;BS51&amp;" ("&amp;COUNTIFS($BS$6:$BS$53,BS51,$BC$6:$BC$53,INDEX(T_Equipos[Grupo],MATCH(BD51,T_Equipos[NombreEquipo],0)))&amp;")")</f>
        <v>-</v>
      </c>
      <c r="BU51" s="757" t="str">
        <f t="shared" ca="1" si="36"/>
        <v>-</v>
      </c>
      <c r="BV51" s="757" t="str">
        <f t="shared" ca="1" si="37"/>
        <v>-</v>
      </c>
      <c r="BW51" s="757" t="str">
        <f t="shared" ca="1" si="38"/>
        <v>-</v>
      </c>
      <c r="BX51" s="757" t="str">
        <f t="shared" ca="1" si="39"/>
        <v>-</v>
      </c>
      <c r="BY51" s="757">
        <f ca="1">BS51+COUNTIFS($BT$6:$BT$53,BT51,$BX$6:BX$53,"&gt;"&amp;BX51,$BC$6:$BC$53,INDEX(T_Equipos[Grupo],MATCH(BD51,T_Equipos[NombreEquipo],0)))</f>
        <v>2</v>
      </c>
      <c r="BZ51" s="756" t="str">
        <f ca="1">IF(COUNTIFS($BY$6:$BY$53,BY51,$BC$6:$BC$53,INDEX(T_Equipos[Grupo],MATCH(BD51,T_Equipos[NombreEquipo],0)))=1,"-","P."&amp;BY51&amp;" ("&amp;COUNTIFS($BY$6:$BY$53,BY51,$BC$6:$BC$53,INDEX(T_Equipos[Grupo],MATCH(BD51,T_Equipos[NombreEquipo],0)))&amp;")")</f>
        <v>-</v>
      </c>
      <c r="CA51" s="757" t="str">
        <f t="shared" ca="1" si="40"/>
        <v>-</v>
      </c>
      <c r="CB51" s="757" t="str">
        <f t="shared" ca="1" si="41"/>
        <v>-</v>
      </c>
      <c r="CC51" s="757" t="str">
        <f t="shared" ca="1" si="42"/>
        <v>-</v>
      </c>
      <c r="CD51" s="757">
        <f ca="1">BY51+COUNTIFS($BZ$6:$BZ$53,BZ51,$CC$6:CC$53,"&gt;"&amp;CC51,$BC$6:$BC$53,INDEX(T_Equipos[Grupo],MATCH(BD51,T_Equipos[NombreEquipo],0)))</f>
        <v>2</v>
      </c>
      <c r="CE51" s="756" t="str">
        <f ca="1">IF(COUNTIFS($CD$6:$CD$53,CD51,$BC$6:$BC$53,INDEX(T_Equipos[Grupo],MATCH(BD51,T_Equipos[NombreEquipo],0)))=1,"-","P."&amp;CD51&amp;" ("&amp;COUNTIFS($CD$6:$CD$53,CD51,$BC$6:$BC$53,INDEX(T_Equipos[Grupo],MATCH(BD51,T_Equipos[NombreEquipo],0)))&amp;")")</f>
        <v>-</v>
      </c>
      <c r="CF51" s="757" t="str">
        <f t="shared" ca="1" si="43"/>
        <v>-</v>
      </c>
      <c r="CG51" s="757">
        <f ca="1">CD51+COUNTIFS($CE$6:$CE$53,CE51,$CF$6:CF$53,"&gt;"&amp;CF51,$BC$6:$BC$53,INDEX(T_Equipos[Grupo],MATCH(BD51,T_Equipos[NombreEquipo],0)))</f>
        <v>2</v>
      </c>
      <c r="CH51" s="756" t="str">
        <f ca="1">IF(COUNTIFS($CG$6:$CG$53,CG51,$BC$6:$BC$53,INDEX(T_Equipos[Grupo],MATCH(BD51,T_Equipos[NombreEquipo],0)))=1,"-","P."&amp;CG51&amp;" ("&amp;COUNTIFS($CG$6:$CG$53,CG51,$BC$6:$BC$53,INDEX(T_Equipos[Grupo],MATCH(BD51,T_Equipos[NombreEquipo],0)))&amp;")")</f>
        <v>-</v>
      </c>
      <c r="CI51" s="757" t="str">
        <f t="shared" ca="1" si="44"/>
        <v>-</v>
      </c>
      <c r="CJ51" s="757" t="str">
        <f t="shared" ca="1" si="45"/>
        <v>-</v>
      </c>
      <c r="CK51" s="757" t="str">
        <f t="shared" ca="1" si="46"/>
        <v>-</v>
      </c>
      <c r="CL51" s="757" t="str">
        <f t="shared" ca="1" si="47"/>
        <v>-</v>
      </c>
      <c r="CM51" s="757">
        <f ca="1">CG51+COUNTIFS($CH$6:$CH$53,CH51,$CL$6:CL$53,"&gt;"&amp;CL51,$BC$6:$BC$53,INDEX(T_Equipos[Grupo],MATCH(BD51,T_Equipos[NombreEquipo],0)))</f>
        <v>2</v>
      </c>
      <c r="CN51" s="756" t="str">
        <f ca="1">IF(COUNTIFS($CM$6:$CM$53,CM51,$BC$6:$BC$53,INDEX(T_Equipos[Grupo],MATCH(BD51,T_Equipos[NombreEquipo],0)))=1,"-","P."&amp;CM51&amp;" ("&amp;COUNTIFS($CM$6:$CM$53,CM51,$BC$6:$BC$53,INDEX(T_Equipos[Grupo],MATCH(BD51,T_Equipos[NombreEquipo],0)))&amp;")")</f>
        <v>-</v>
      </c>
      <c r="CO51" s="757" t="str">
        <f t="shared" ca="1" si="48"/>
        <v>-</v>
      </c>
      <c r="CP51" s="757" t="str">
        <f t="shared" ca="1" si="49"/>
        <v>-</v>
      </c>
      <c r="CQ51" s="757" t="str">
        <f t="shared" ca="1" si="50"/>
        <v>-</v>
      </c>
      <c r="CR51" s="757">
        <f ca="1">CM51+COUNTIFS($CN$6:$CN$53,CN51,$CQ$6:CQ$53,"&gt;"&amp;CQ51,$BC$6:$BC$53,INDEX(T_Equipos[Grupo],MATCH(BD51,T_Equipos[NombreEquipo],0)))</f>
        <v>2</v>
      </c>
      <c r="CS51" s="756" t="str">
        <f ca="1">IF(COUNTIFS($CR$6:$CR$53,CR51,$BC$6:$BC$53,INDEX(T_Equipos[Grupo],MATCH(BD51,T_Equipos[NombreEquipo],0)))=1,"-","P."&amp;CR51&amp;" ("&amp;COUNTIFS($CR$6:$CR$53,CR51,$BC$6:$BC$53,INDEX(T_Equipos[Grupo],MATCH(BD51,T_Equipos[NombreEquipo],0)))&amp;")")</f>
        <v>-</v>
      </c>
      <c r="CT51" s="757" t="str">
        <f t="shared" ca="1" si="51"/>
        <v>-</v>
      </c>
      <c r="CU51" s="757">
        <f ca="1">CR51+COUNTIFS($CS$6:$CS$53,CS51,$CT$6:CT$53,"&gt;"&amp;CT51,$BC$6:$BC$53,INDEX(T_Equipos[Grupo],MATCH(BD51,T_Equipos[NombreEquipo],0)))</f>
        <v>2</v>
      </c>
      <c r="CV51" s="756" t="str">
        <f ca="1">IF(COUNTIFS($CU$6:$CU$53,CU51,$BC$6:$BC$53,INDEX(T_Equipos[Grupo],MATCH(BD51,T_Equipos[NombreEquipo],0)))=1,"-","P."&amp;CU51&amp;" ("&amp;COUNTIFS($CU$6:$CU$53,CU51,$BC$6:$BC$53,INDEX(T_Equipos[Grupo],MATCH(BD51,T_Equipos[NombreEquipo],0)))&amp;")")</f>
        <v>-</v>
      </c>
      <c r="CW51" s="756" t="str">
        <f t="shared" ca="1" si="30"/>
        <v>-</v>
      </c>
      <c r="CX51" s="756">
        <f ca="1">CU51+COUNTIFS($CV$6:$CV$53,CV51,$CW$6:CW$53,"&gt;"&amp;CW51,$BC$6:$BC$53,INDEX(T_Equipos[Grupo],MATCH(BD51,T_Equipos[NombreEquipo],0)))</f>
        <v>2</v>
      </c>
      <c r="CY51" s="756" t="str">
        <f ca="1">IF(COUNTIFS($CX$6:$CX$53,CX51,$BC$6:$BC$53,INDEX(T_Equipos[Grupo],MATCH(BD51,T_Equipos[NombreEquipo],0)))=1,"-","P."&amp;CX51&amp;" ("&amp;COUNTIFS($CX$6:$CX$53,CX51,$BC$6:$BC$53,INDEX(T_Equipos[Grupo],MATCH(BD51,T_Equipos[NombreEquipo],0)))&amp;")")</f>
        <v>-</v>
      </c>
      <c r="CZ51" s="756" t="str">
        <f t="shared" ca="1" si="31"/>
        <v>-</v>
      </c>
      <c r="DA51" s="757">
        <f ca="1">CX51+COUNTIFS($CY$6:$CY$53,CY51,$CZ$6:CZ$53,"&gt;"&amp;CZ51,$BC$6:$BC$53,INDEX(T_Equipos[Grupo],MATCH(BD51,T_Equipos[NombreEquipo],0)))</f>
        <v>2</v>
      </c>
      <c r="DB51" s="756" t="str">
        <f ca="1">IF(COUNTIFS($DA$6:$DA$53,DA51,$BC$6:$BC$53,INDEX(T_Equipos[Grupo],MATCH(BD51,T_Equipos[NombreEquipo],0)))=1,"-","P."&amp;DA51&amp;" ("&amp;COUNTIFS($DA$6:$DA$53,DA51,$BC$6:$BC$53,INDEX(T_Equipos[Grupo],MATCH(BD51,T_Equipos[NombreEquipo],0)))&amp;")")</f>
        <v>-</v>
      </c>
      <c r="DC51" s="755" t="str">
        <f ca="1">IF(DB51="-","-",COUNTIFS(T_Equipos[Rank],"&lt;"&amp;INDEX(T_Equipos[Rank],MATCH(BD51,T_Equipos[NombreEquipo],0)),$BC$6:$BC$53,INDEX(T_Equipos[Grupo],MATCH(BD51,T_Equipos[NombreEquipo],0)))+1)</f>
        <v>-</v>
      </c>
      <c r="DD51" s="755">
        <f ca="1">DA51+COUNTIFS($DB$6:$DB$53,DB51,$DC$6:DC$53,"&lt;"&amp;DC51,$BC$6:$BC$53,INDEX(T_Equipos[Grupo],MATCH(BD51,T_Equipos[NombreEquipo],0)))</f>
        <v>2</v>
      </c>
      <c r="DE51" s="755"/>
      <c r="DF51" s="755">
        <f t="shared" ca="1" si="52"/>
        <v>2</v>
      </c>
      <c r="DG51" s="755" t="str">
        <f ca="1">IF(DB51="-","-",COUNTIFS(DF$6:DF$53,"&lt;"&amp;DF51,$BC$6:$BC$53,INDEX(T_Equipos[Grupo],MATCH(BD51,T_Equipos[NombreEquipo],0))))</f>
        <v>-</v>
      </c>
      <c r="DH51" s="755">
        <f ca="1">DA51+COUNTIFS(DB$6:DB$53,DB51,DG$6:DG$53,"&lt;"&amp;DG51,$BC$6:$BC$53,INDEX(T_Equipos[Grupo],MATCH(BD51,T_Equipos[NombreEquipo],0)))</f>
        <v>2</v>
      </c>
      <c r="DI51" s="743"/>
      <c r="DJ51" s="743">
        <f t="shared" ca="1" si="53"/>
        <v>2</v>
      </c>
      <c r="DK51" s="743">
        <f t="shared" ca="1" si="24"/>
        <v>12</v>
      </c>
      <c r="DL51" s="743">
        <f t="shared" ca="1" si="33"/>
        <v>1</v>
      </c>
      <c r="DM51" s="737" t="str">
        <f t="shared" ca="1" si="34"/>
        <v>2.1</v>
      </c>
      <c r="DN51" s="743" cm="1">
        <f t="array" aca="1" ref="DN51" ca="1">OFFSET(Horarios!$P$3,DJ51-1,0,DL51,1)</f>
        <v>2</v>
      </c>
      <c r="DO51" s="743"/>
      <c r="DP51" s="743" t="s">
        <v>683</v>
      </c>
      <c r="DQ51" s="743" t="str">
        <f t="shared" ca="1" si="35"/>
        <v>Croatia</v>
      </c>
      <c r="DR51" s="743"/>
      <c r="DS51" s="743"/>
      <c r="DT51" s="743" t="str">
        <f t="shared" si="15"/>
        <v>Home-Away</v>
      </c>
      <c r="DU51" s="743"/>
      <c r="DV51" s="743"/>
      <c r="DW51" s="8"/>
    </row>
    <row r="52" spans="1:127" ht="15" customHeight="1" thickBot="1">
      <c r="A52" s="740" t="s">
        <v>30</v>
      </c>
      <c r="B52" s="741" t="s">
        <v>6</v>
      </c>
      <c r="C52" s="742">
        <f>COUNTIF(Equipos!$C$2:$C$49,WORLDCUP!B52)</f>
        <v>4</v>
      </c>
      <c r="D52" s="743" t="str">
        <f t="shared" ref="D52:D57" si="155">IF(OR(AC52="",AD52=""),"Pendiente",IF(AC52&gt;AD52,"Local",IF(AC52&lt;AD52,"Visitante","Empate")))</f>
        <v>Empate</v>
      </c>
      <c r="E52" s="743" t="str">
        <f t="shared" ref="E52:E57" ca="1" si="156">IF(D52="Pendiente","-",INDEX($BT$6:$BT$53,MATCH($AA52,$BD$6:$BD$53,0)))</f>
        <v>P.1 (2)</v>
      </c>
      <c r="F52" s="743" t="str">
        <f t="shared" ref="F52:F57" ca="1" si="157">IF(D52="Pendiente","-",INDEX($BT$6:$BT$53,MATCH($AF52,$BD$6:$BD$53,0)))</f>
        <v>P.1 (2)</v>
      </c>
      <c r="G52" s="743"/>
      <c r="H52" s="743" t="str">
        <f t="shared" ref="H52:H57" ca="1" si="158">IF(D52="Pendiente","-",INDEX($BZ$6:$BZ$53,MATCH($AA52,$BD$6:$BD$53,0)))</f>
        <v>P.1 (2)</v>
      </c>
      <c r="I52" s="743" t="str">
        <f t="shared" ref="I52:I57" ca="1" si="159">IF(D52="Pendiente","-",INDEX($BZ$6:$BZ$53,MATCH($AF52,$BD$6:$BD$53,0)))</f>
        <v>P.1 (2)</v>
      </c>
      <c r="J52" s="743"/>
      <c r="K52" s="743" t="str">
        <f t="shared" ref="K52:K57" ca="1" si="160">IF(D52="Pendiente","-",INDEX($CE$6:$CE$53,MATCH($AA52,$BD$6:$BD$53,0)))</f>
        <v>P.1 (2)</v>
      </c>
      <c r="L52" s="743" t="str">
        <f t="shared" ref="L52:L57" ca="1" si="161">IF(D52="Pendiente","-",INDEX($CE$6:$CE$53,MATCH($AF52,$BD$6:$BD$53,0)))</f>
        <v>P.1 (2)</v>
      </c>
      <c r="M52" s="743"/>
      <c r="N52" s="743" t="str">
        <f t="shared" ref="N52:N57" ca="1" si="162">IF(D52="Pendiente","-",INDEX($CH$6:$CH$53,MATCH($AA52,$BD$6:$BD$53,0)))</f>
        <v>P.1 (2)</v>
      </c>
      <c r="O52" s="743" t="str">
        <f t="shared" ref="O52:O57" ca="1" si="163">IF(D52="Pendiente","-",INDEX($CH$6:$CH$53,MATCH($AF52,$BD$6:$BD$53,0)))</f>
        <v>P.1 (2)</v>
      </c>
      <c r="P52" s="743"/>
      <c r="Q52" s="743" t="str">
        <f t="shared" ref="Q52:Q57" ca="1" si="164">IF(D52="Pendiente","-",INDEX($CN$6:$CN$53,MATCH($AA52,$BD$6:$BD$53,0)))</f>
        <v>P.1 (2)</v>
      </c>
      <c r="R52" s="743" t="str">
        <f t="shared" ref="R52:R57" ca="1" si="165">IF(D52="Pendiente","-",INDEX($CN$6:$CN$53,MATCH($AF52,$BD$6:$BD$53,0)))</f>
        <v>P.1 (2)</v>
      </c>
      <c r="S52" s="743"/>
      <c r="T52" s="743" t="str">
        <f t="shared" ref="T52:T57" ca="1" si="166">IF(D52="Pendiente","-",INDEX($CS$6:$CS$53,MATCH($AA52,$BD$6:$BD$53,0)))</f>
        <v>P.1 (2)</v>
      </c>
      <c r="U52" s="743" t="str">
        <f t="shared" ref="U52:U57" ca="1" si="167">IF(D52="Pendiente","-",INDEX($CS$6:$CS$53,MATCH($AF52,$BD$6:$BD$53,0)))</f>
        <v>P.1 (2)</v>
      </c>
      <c r="V52" s="172"/>
      <c r="W52" s="843" t="s">
        <v>6</v>
      </c>
      <c r="X52" s="189">
        <f ca="1">Horarios!C52</f>
        <v>46188.875</v>
      </c>
      <c r="Y52" s="190">
        <f ca="1">Horarios!C52</f>
        <v>46188.875</v>
      </c>
      <c r="Z52" s="191" t="str">
        <f>$Z$4</f>
        <v>R1</v>
      </c>
      <c r="AA52" s="192" t="str">
        <f ca="1">A53</f>
        <v>Belgium</v>
      </c>
      <c r="AB52" s="478" t="e" cm="1" vm="25">
        <f t="array" aca="1" ref="AB52" ca="1">Ver_flag_local</f>
        <v>#VALUE!</v>
      </c>
      <c r="AC52" s="193">
        <v>1</v>
      </c>
      <c r="AD52" s="194">
        <v>1</v>
      </c>
      <c r="AE52" s="483" t="e" cm="1" vm="26">
        <f t="array" aca="1" ref="AE52" ca="1">Ver_flag_visit</f>
        <v>#VALUE!</v>
      </c>
      <c r="AF52" s="195" t="str">
        <f ca="1">A54</f>
        <v>Egypt</v>
      </c>
      <c r="AG52" s="413">
        <f t="shared" ref="AG52:AG57" si="168">IF(NOT(OR(ISBLANK(AC52),ISBLANK(AD52))),1,0)</f>
        <v>1</v>
      </c>
      <c r="AH52" s="196">
        <v>16</v>
      </c>
      <c r="AI52" s="19"/>
      <c r="AJ52" s="197" t="str">
        <f>CONCATENATE($AJ$3," ",B52)</f>
        <v>Group G</v>
      </c>
      <c r="AK52" s="198"/>
      <c r="AL52" s="198"/>
      <c r="AM52" s="198"/>
      <c r="AN52" s="198"/>
      <c r="AO52" s="198"/>
      <c r="AP52" s="198"/>
      <c r="AQ52" s="198"/>
      <c r="AR52" s="198"/>
      <c r="AS52" s="198"/>
      <c r="AT52" s="199"/>
      <c r="AU52" s="421"/>
      <c r="AV52" s="200" t="str">
        <f t="shared" ref="AV52" ca="1" si="169">IF(AU53&gt;0,$AV$3,"")</f>
        <v/>
      </c>
      <c r="AW52" s="208"/>
      <c r="AX52" s="255"/>
      <c r="AY52" s="242"/>
      <c r="AZ52" s="243"/>
      <c r="BA52" s="175"/>
      <c r="BB52" s="743"/>
      <c r="BC52" s="755" t="str">
        <f ca="1">+INDEX(T_Equipos[Grupo],MATCH(WORLDCUP!BD52,T_Equipos[NombreEquipo],0))</f>
        <v>L</v>
      </c>
      <c r="BD52" s="743" t="str">
        <f ca="1">+Equipos!B48</f>
        <v>Ghana</v>
      </c>
      <c r="BE52" s="747">
        <f t="shared" ca="1" si="25"/>
        <v>4</v>
      </c>
      <c r="BF52" s="747">
        <f t="shared" ca="1" si="26"/>
        <v>3</v>
      </c>
      <c r="BG52" s="747">
        <f t="shared" ca="1" si="17"/>
        <v>1</v>
      </c>
      <c r="BH52" s="747">
        <f t="shared" ca="1" si="18"/>
        <v>1</v>
      </c>
      <c r="BI52" s="747">
        <f t="shared" ca="1" si="19"/>
        <v>1</v>
      </c>
      <c r="BJ52" s="747">
        <f t="shared" ca="1" si="20"/>
        <v>2</v>
      </c>
      <c r="BK52" s="747">
        <f t="shared" ca="1" si="21"/>
        <v>2</v>
      </c>
      <c r="BL52" s="747">
        <f t="shared" ca="1" si="27"/>
        <v>0</v>
      </c>
      <c r="BM52" s="747" t="str">
        <f t="shared" ca="1" si="22"/>
        <v>3L</v>
      </c>
      <c r="BN52" s="747" t="str">
        <f t="shared" ca="1" si="23"/>
        <v>3L</v>
      </c>
      <c r="BO52" s="757">
        <f t="shared" ca="1" si="28"/>
        <v>0</v>
      </c>
      <c r="BP52" s="756">
        <f ca="1">COUNTIFS($BO$6:$BO$53,"&gt;"&amp;BO52,$BC$6:$BC$53,INDEX(T_Equipos[Grupo],MATCH(BD52,T_Equipos[NombreEquipo],0)))+1</f>
        <v>1</v>
      </c>
      <c r="BQ52" s="756" t="str">
        <f ca="1">IF(COUNTIFS($BP$6:$BP$53,BP52,$BC$6:$BC$53,INDEX(T_Equipos[Grupo],MATCH(BD52,T_Equipos[NombreEquipo],0)))=1,"-","P."&amp;BP52&amp;" ("&amp;COUNTIFS($BP$6:$BP$53,BP52,$BC$6:$BC$53,INDEX(T_Equipos[Grupo],MATCH(BD52,T_Equipos[NombreEquipo],0)))&amp;")")</f>
        <v>P.1 (4)</v>
      </c>
      <c r="BR52" s="757">
        <f t="shared" ca="1" si="29"/>
        <v>4</v>
      </c>
      <c r="BS52" s="756">
        <f ca="1">BP52+COUNTIFS($BQ$6:$BQ$53,BQ52,$BR$6:BR$53,"&gt;"&amp;BR52,$BC$6:$BC$53,INDEX(T_Equipos[Grupo],MATCH(BD52,T_Equipos[NombreEquipo],0)))</f>
        <v>3</v>
      </c>
      <c r="BT52" s="756" t="str">
        <f ca="1">IF(COUNTIFS($BS$6:$BS$53,BS52,$BC$6:$BC$53,INDEX(T_Equipos[Grupo],MATCH(BD52,T_Equipos[NombreEquipo],0)))=1,"-","P."&amp;BS52&amp;" ("&amp;COUNTIFS($BS$6:$BS$53,BS52,$BC$6:$BC$53,INDEX(T_Equipos[Grupo],MATCH(BD52,T_Equipos[NombreEquipo],0)))&amp;")")</f>
        <v>-</v>
      </c>
      <c r="BU52" s="757" t="str">
        <f t="shared" ca="1" si="36"/>
        <v>-</v>
      </c>
      <c r="BV52" s="757" t="str">
        <f t="shared" ca="1" si="37"/>
        <v>-</v>
      </c>
      <c r="BW52" s="757" t="str">
        <f t="shared" ca="1" si="38"/>
        <v>-</v>
      </c>
      <c r="BX52" s="757" t="str">
        <f t="shared" ca="1" si="39"/>
        <v>-</v>
      </c>
      <c r="BY52" s="757">
        <f ca="1">BS52+COUNTIFS($BT$6:$BT$53,BT52,$BX$6:BX$53,"&gt;"&amp;BX52,$BC$6:$BC$53,INDEX(T_Equipos[Grupo],MATCH(BD52,T_Equipos[NombreEquipo],0)))</f>
        <v>3</v>
      </c>
      <c r="BZ52" s="756" t="str">
        <f ca="1">IF(COUNTIFS($BY$6:$BY$53,BY52,$BC$6:$BC$53,INDEX(T_Equipos[Grupo],MATCH(BD52,T_Equipos[NombreEquipo],0)))=1,"-","P."&amp;BY52&amp;" ("&amp;COUNTIFS($BY$6:$BY$53,BY52,$BC$6:$BC$53,INDEX(T_Equipos[Grupo],MATCH(BD52,T_Equipos[NombreEquipo],0)))&amp;")")</f>
        <v>-</v>
      </c>
      <c r="CA52" s="757" t="str">
        <f t="shared" ca="1" si="40"/>
        <v>-</v>
      </c>
      <c r="CB52" s="757" t="str">
        <f t="shared" ca="1" si="41"/>
        <v>-</v>
      </c>
      <c r="CC52" s="757" t="str">
        <f t="shared" ca="1" si="42"/>
        <v>-</v>
      </c>
      <c r="CD52" s="757">
        <f ca="1">BY52+COUNTIFS($BZ$6:$BZ$53,BZ52,$CC$6:CC$53,"&gt;"&amp;CC52,$BC$6:$BC$53,INDEX(T_Equipos[Grupo],MATCH(BD52,T_Equipos[NombreEquipo],0)))</f>
        <v>3</v>
      </c>
      <c r="CE52" s="756" t="str">
        <f ca="1">IF(COUNTIFS($CD$6:$CD$53,CD52,$BC$6:$BC$53,INDEX(T_Equipos[Grupo],MATCH(BD52,T_Equipos[NombreEquipo],0)))=1,"-","P."&amp;CD52&amp;" ("&amp;COUNTIFS($CD$6:$CD$53,CD52,$BC$6:$BC$53,INDEX(T_Equipos[Grupo],MATCH(BD52,T_Equipos[NombreEquipo],0)))&amp;")")</f>
        <v>-</v>
      </c>
      <c r="CF52" s="757" t="str">
        <f t="shared" ca="1" si="43"/>
        <v>-</v>
      </c>
      <c r="CG52" s="757">
        <f ca="1">CD52+COUNTIFS($CE$6:$CE$53,CE52,$CF$6:CF$53,"&gt;"&amp;CF52,$BC$6:$BC$53,INDEX(T_Equipos[Grupo],MATCH(BD52,T_Equipos[NombreEquipo],0)))</f>
        <v>3</v>
      </c>
      <c r="CH52" s="756" t="str">
        <f ca="1">IF(COUNTIFS($CG$6:$CG$53,CG52,$BC$6:$BC$53,INDEX(T_Equipos[Grupo],MATCH(BD52,T_Equipos[NombreEquipo],0)))=1,"-","P."&amp;CG52&amp;" ("&amp;COUNTIFS($CG$6:$CG$53,CG52,$BC$6:$BC$53,INDEX(T_Equipos[Grupo],MATCH(BD52,T_Equipos[NombreEquipo],0)))&amp;")")</f>
        <v>-</v>
      </c>
      <c r="CI52" s="757" t="str">
        <f t="shared" ca="1" si="44"/>
        <v>-</v>
      </c>
      <c r="CJ52" s="757" t="str">
        <f t="shared" ca="1" si="45"/>
        <v>-</v>
      </c>
      <c r="CK52" s="757" t="str">
        <f t="shared" ca="1" si="46"/>
        <v>-</v>
      </c>
      <c r="CL52" s="757" t="str">
        <f t="shared" ca="1" si="47"/>
        <v>-</v>
      </c>
      <c r="CM52" s="757">
        <f ca="1">CG52+COUNTIFS($CH$6:$CH$53,CH52,$CL$6:CL$53,"&gt;"&amp;CL52,$BC$6:$BC$53,INDEX(T_Equipos[Grupo],MATCH(BD52,T_Equipos[NombreEquipo],0)))</f>
        <v>3</v>
      </c>
      <c r="CN52" s="756" t="str">
        <f ca="1">IF(COUNTIFS($CM$6:$CM$53,CM52,$BC$6:$BC$53,INDEX(T_Equipos[Grupo],MATCH(BD52,T_Equipos[NombreEquipo],0)))=1,"-","P."&amp;CM52&amp;" ("&amp;COUNTIFS($CM$6:$CM$53,CM52,$BC$6:$BC$53,INDEX(T_Equipos[Grupo],MATCH(BD52,T_Equipos[NombreEquipo],0)))&amp;")")</f>
        <v>-</v>
      </c>
      <c r="CO52" s="757" t="str">
        <f t="shared" ca="1" si="48"/>
        <v>-</v>
      </c>
      <c r="CP52" s="757" t="str">
        <f t="shared" ca="1" si="49"/>
        <v>-</v>
      </c>
      <c r="CQ52" s="757" t="str">
        <f t="shared" ca="1" si="50"/>
        <v>-</v>
      </c>
      <c r="CR52" s="757">
        <f ca="1">CM52+COUNTIFS($CN$6:$CN$53,CN52,$CQ$6:CQ$53,"&gt;"&amp;CQ52,$BC$6:$BC$53,INDEX(T_Equipos[Grupo],MATCH(BD52,T_Equipos[NombreEquipo],0)))</f>
        <v>3</v>
      </c>
      <c r="CS52" s="756" t="str">
        <f ca="1">IF(COUNTIFS($CR$6:$CR$53,CR52,$BC$6:$BC$53,INDEX(T_Equipos[Grupo],MATCH(BD52,T_Equipos[NombreEquipo],0)))=1,"-","P."&amp;CR52&amp;" ("&amp;COUNTIFS($CR$6:$CR$53,CR52,$BC$6:$BC$53,INDEX(T_Equipos[Grupo],MATCH(BD52,T_Equipos[NombreEquipo],0)))&amp;")")</f>
        <v>-</v>
      </c>
      <c r="CT52" s="757" t="str">
        <f t="shared" ca="1" si="51"/>
        <v>-</v>
      </c>
      <c r="CU52" s="757">
        <f ca="1">CR52+COUNTIFS($CS$6:$CS$53,CS52,$CT$6:CT$53,"&gt;"&amp;CT52,$BC$6:$BC$53,INDEX(T_Equipos[Grupo],MATCH(BD52,T_Equipos[NombreEquipo],0)))</f>
        <v>3</v>
      </c>
      <c r="CV52" s="756" t="str">
        <f ca="1">IF(COUNTIFS($CU$6:$CU$53,CU52,$BC$6:$BC$53,INDEX(T_Equipos[Grupo],MATCH(BD52,T_Equipos[NombreEquipo],0)))=1,"-","P."&amp;CU52&amp;" ("&amp;COUNTIFS($CU$6:$CU$53,CU52,$BC$6:$BC$53,INDEX(T_Equipos[Grupo],MATCH(BD52,T_Equipos[NombreEquipo],0)))&amp;")")</f>
        <v>-</v>
      </c>
      <c r="CW52" s="756" t="str">
        <f t="shared" ca="1" si="30"/>
        <v>-</v>
      </c>
      <c r="CX52" s="756">
        <f ca="1">CU52+COUNTIFS($CV$6:$CV$53,CV52,$CW$6:CW$53,"&gt;"&amp;CW52,$BC$6:$BC$53,INDEX(T_Equipos[Grupo],MATCH(BD52,T_Equipos[NombreEquipo],0)))</f>
        <v>3</v>
      </c>
      <c r="CY52" s="756" t="str">
        <f ca="1">IF(COUNTIFS($CX$6:$CX$53,CX52,$BC$6:$BC$53,INDEX(T_Equipos[Grupo],MATCH(BD52,T_Equipos[NombreEquipo],0)))=1,"-","P."&amp;CX52&amp;" ("&amp;COUNTIFS($CX$6:$CX$53,CX52,$BC$6:$BC$53,INDEX(T_Equipos[Grupo],MATCH(BD52,T_Equipos[NombreEquipo],0)))&amp;")")</f>
        <v>-</v>
      </c>
      <c r="CZ52" s="756" t="str">
        <f t="shared" ca="1" si="31"/>
        <v>-</v>
      </c>
      <c r="DA52" s="757">
        <f ca="1">CX52+COUNTIFS($CY$6:$CY$53,CY52,$CZ$6:CZ$53,"&gt;"&amp;CZ52,$BC$6:$BC$53,INDEX(T_Equipos[Grupo],MATCH(BD52,T_Equipos[NombreEquipo],0)))</f>
        <v>3</v>
      </c>
      <c r="DB52" s="756" t="str">
        <f ca="1">IF(COUNTIFS($DA$6:$DA$53,DA52,$BC$6:$BC$53,INDEX(T_Equipos[Grupo],MATCH(BD52,T_Equipos[NombreEquipo],0)))=1,"-","P."&amp;DA52&amp;" ("&amp;COUNTIFS($DA$6:$DA$53,DA52,$BC$6:$BC$53,INDEX(T_Equipos[Grupo],MATCH(BD52,T_Equipos[NombreEquipo],0)))&amp;")")</f>
        <v>-</v>
      </c>
      <c r="DC52" s="755" t="str">
        <f ca="1">IF(DB52="-","-",COUNTIFS(T_Equipos[Rank],"&lt;"&amp;INDEX(T_Equipos[Rank],MATCH(BD52,T_Equipos[NombreEquipo],0)),$BC$6:$BC$53,INDEX(T_Equipos[Grupo],MATCH(BD52,T_Equipos[NombreEquipo],0)))+1)</f>
        <v>-</v>
      </c>
      <c r="DD52" s="755">
        <f ca="1">DA52+COUNTIFS($DB$6:$DB$53,DB52,$DC$6:DC$53,"&lt;"&amp;DC52,$BC$6:$BC$53,INDEX(T_Equipos[Grupo],MATCH(BD52,T_Equipos[NombreEquipo],0)))</f>
        <v>3</v>
      </c>
      <c r="DE52" s="755"/>
      <c r="DF52" s="755">
        <f t="shared" ca="1" si="52"/>
        <v>3</v>
      </c>
      <c r="DG52" s="755" t="str">
        <f ca="1">IF(DB52="-","-",COUNTIFS(DF$6:DF$53,"&lt;"&amp;DF52,$BC$6:$BC$53,INDEX(T_Equipos[Grupo],MATCH(BD52,T_Equipos[NombreEquipo],0))))</f>
        <v>-</v>
      </c>
      <c r="DH52" s="755">
        <f ca="1">DA52+COUNTIFS(DB$6:DB$53,DB52,DG$6:DG$53,"&lt;"&amp;DG52,$BC$6:$BC$53,INDEX(T_Equipos[Grupo],MATCH(BD52,T_Equipos[NombreEquipo],0)))</f>
        <v>3</v>
      </c>
      <c r="DI52" s="743"/>
      <c r="DJ52" s="743">
        <f t="shared" ca="1" si="53"/>
        <v>3</v>
      </c>
      <c r="DK52" s="743">
        <f t="shared" ca="1" si="24"/>
        <v>12</v>
      </c>
      <c r="DL52" s="743">
        <f t="shared" ca="1" si="33"/>
        <v>1</v>
      </c>
      <c r="DM52" s="737" t="str">
        <f t="shared" ca="1" si="34"/>
        <v>3.1</v>
      </c>
      <c r="DN52" s="743" cm="1">
        <f t="array" aca="1" ref="DN52" ca="1">OFFSET(Horarios!$P$3,DJ52-1,0,DL52,1)</f>
        <v>3</v>
      </c>
      <c r="DO52" s="743"/>
      <c r="DP52" s="743" t="s">
        <v>443</v>
      </c>
      <c r="DQ52" s="743" t="str">
        <f t="shared" ca="1" si="35"/>
        <v>Ghana</v>
      </c>
      <c r="DR52" s="743"/>
      <c r="DS52" s="743"/>
      <c r="DT52" s="743" t="str">
        <f t="shared" ca="1" si="15"/>
        <v>Belgium-Egypt</v>
      </c>
      <c r="DU52" s="743"/>
      <c r="DV52" s="743"/>
      <c r="DW52" s="8"/>
    </row>
    <row r="53" spans="1:127">
      <c r="A53" s="744" t="str">
        <f ca="1">+Equipos!B26</f>
        <v>Belgium</v>
      </c>
      <c r="B53" s="741"/>
      <c r="C53" s="741"/>
      <c r="D53" s="743" t="str">
        <f t="shared" si="155"/>
        <v>Empate</v>
      </c>
      <c r="E53" s="743" t="str">
        <f t="shared" ca="1" si="156"/>
        <v>-</v>
      </c>
      <c r="F53" s="743" t="str">
        <f t="shared" ca="1" si="157"/>
        <v>-</v>
      </c>
      <c r="G53" s="743"/>
      <c r="H53" s="743" t="str">
        <f t="shared" ca="1" si="158"/>
        <v>-</v>
      </c>
      <c r="I53" s="743" t="str">
        <f t="shared" ca="1" si="159"/>
        <v>-</v>
      </c>
      <c r="J53" s="743"/>
      <c r="K53" s="743" t="str">
        <f t="shared" ca="1" si="160"/>
        <v>-</v>
      </c>
      <c r="L53" s="743" t="str">
        <f t="shared" ca="1" si="161"/>
        <v>-</v>
      </c>
      <c r="M53" s="743"/>
      <c r="N53" s="743" t="str">
        <f t="shared" ca="1" si="162"/>
        <v>-</v>
      </c>
      <c r="O53" s="743" t="str">
        <f t="shared" ca="1" si="163"/>
        <v>-</v>
      </c>
      <c r="P53" s="743"/>
      <c r="Q53" s="743" t="str">
        <f t="shared" ca="1" si="164"/>
        <v>-</v>
      </c>
      <c r="R53" s="743" t="str">
        <f t="shared" ca="1" si="165"/>
        <v>-</v>
      </c>
      <c r="S53" s="743"/>
      <c r="T53" s="743" t="str">
        <f t="shared" ca="1" si="166"/>
        <v>-</v>
      </c>
      <c r="U53" s="743" t="str">
        <f t="shared" ca="1" si="167"/>
        <v>-</v>
      </c>
      <c r="V53" s="172"/>
      <c r="W53" s="843"/>
      <c r="X53" s="189">
        <f ca="1">Horarios!C53</f>
        <v>46189.125</v>
      </c>
      <c r="Y53" s="190">
        <f ca="1">Horarios!C53</f>
        <v>46189.125</v>
      </c>
      <c r="Z53" s="191" t="str">
        <f>$Z$4</f>
        <v>R1</v>
      </c>
      <c r="AA53" s="192" t="str">
        <f ca="1">A55</f>
        <v>Iran</v>
      </c>
      <c r="AB53" s="478" t="e" cm="1" vm="27">
        <f t="array" aca="1" ref="AB53" ca="1">Ver_flag_local</f>
        <v>#VALUE!</v>
      </c>
      <c r="AC53" s="193">
        <v>2</v>
      </c>
      <c r="AD53" s="194">
        <v>2</v>
      </c>
      <c r="AE53" s="483" t="e" cm="1" vm="28">
        <f t="array" aca="1" ref="AE53" ca="1">Ver_flag_visit</f>
        <v>#VALUE!</v>
      </c>
      <c r="AF53" s="195" t="str">
        <f ca="1">A56</f>
        <v>New Zealand</v>
      </c>
      <c r="AG53" s="413">
        <f t="shared" si="168"/>
        <v>1</v>
      </c>
      <c r="AH53" s="196">
        <v>15</v>
      </c>
      <c r="AI53" s="19"/>
      <c r="AJ53" s="204" t="str">
        <f>AJ5</f>
        <v>Pos</v>
      </c>
      <c r="AK53" s="205"/>
      <c r="AL53" s="206" t="str">
        <f t="shared" ref="AL53:AT53" si="170">AL5</f>
        <v>Nation</v>
      </c>
      <c r="AM53" s="205" t="str">
        <f t="shared" si="170"/>
        <v>Pts</v>
      </c>
      <c r="AN53" s="205" t="str">
        <f t="shared" si="170"/>
        <v>P</v>
      </c>
      <c r="AO53" s="205" t="str">
        <f t="shared" si="170"/>
        <v>W</v>
      </c>
      <c r="AP53" s="205" t="str">
        <f t="shared" si="170"/>
        <v>D</v>
      </c>
      <c r="AQ53" s="205" t="str">
        <f t="shared" si="170"/>
        <v>L</v>
      </c>
      <c r="AR53" s="205" t="str">
        <f t="shared" si="170"/>
        <v>F</v>
      </c>
      <c r="AS53" s="205" t="str">
        <f t="shared" si="170"/>
        <v>A</v>
      </c>
      <c r="AT53" s="207" t="str">
        <f t="shared" si="170"/>
        <v>GD</v>
      </c>
      <c r="AU53" s="421">
        <f t="shared" ref="AU53" ca="1" si="171">COUNTIF(AU54:AU57,"&gt;1")</f>
        <v>0</v>
      </c>
      <c r="AV53" s="208"/>
      <c r="AW53" s="208"/>
      <c r="AX53" s="255"/>
      <c r="AY53" s="209" t="str">
        <f>AL53</f>
        <v>Nation</v>
      </c>
      <c r="AZ53" s="210" t="str">
        <f>+Idiomas!$D$69</f>
        <v>Deducted Points</v>
      </c>
      <c r="BA53" s="175"/>
      <c r="BB53" s="743"/>
      <c r="BC53" s="755" t="str">
        <f ca="1">+INDEX(T_Equipos[Grupo],MATCH(WORLDCUP!BD53,T_Equipos[NombreEquipo],0))</f>
        <v>L</v>
      </c>
      <c r="BD53" s="743" t="str">
        <f ca="1">+Equipos!B49</f>
        <v>Panama</v>
      </c>
      <c r="BE53" s="747">
        <f t="shared" ca="1" si="25"/>
        <v>0</v>
      </c>
      <c r="BF53" s="747">
        <f t="shared" ca="1" si="26"/>
        <v>3</v>
      </c>
      <c r="BG53" s="747">
        <f t="shared" ca="1" si="17"/>
        <v>0</v>
      </c>
      <c r="BH53" s="747">
        <f t="shared" ca="1" si="18"/>
        <v>0</v>
      </c>
      <c r="BI53" s="747">
        <f t="shared" ca="1" si="19"/>
        <v>3</v>
      </c>
      <c r="BJ53" s="747">
        <f t="shared" ca="1" si="20"/>
        <v>0</v>
      </c>
      <c r="BK53" s="747">
        <f t="shared" ca="1" si="21"/>
        <v>4</v>
      </c>
      <c r="BL53" s="747">
        <f t="shared" ca="1" si="27"/>
        <v>-4</v>
      </c>
      <c r="BM53" s="747" t="str">
        <f t="shared" ca="1" si="22"/>
        <v>4L</v>
      </c>
      <c r="BN53" s="747" t="str">
        <f t="shared" ca="1" si="23"/>
        <v>4L</v>
      </c>
      <c r="BO53" s="757">
        <f t="shared" ca="1" si="28"/>
        <v>0</v>
      </c>
      <c r="BP53" s="756">
        <f ca="1">COUNTIFS($BO$6:$BO$53,"&gt;"&amp;BO53,$BC$6:$BC$53,INDEX(T_Equipos[Grupo],MATCH(BD53,T_Equipos[NombreEquipo],0)))+1</f>
        <v>1</v>
      </c>
      <c r="BQ53" s="756" t="str">
        <f ca="1">IF(COUNTIFS($BP$6:$BP$53,BP53,$BC$6:$BC$53,INDEX(T_Equipos[Grupo],MATCH(BD53,T_Equipos[NombreEquipo],0)))=1,"-","P."&amp;BP53&amp;" ("&amp;COUNTIFS($BP$6:$BP$53,BP53,$BC$6:$BC$53,INDEX(T_Equipos[Grupo],MATCH(BD53,T_Equipos[NombreEquipo],0)))&amp;")")</f>
        <v>P.1 (4)</v>
      </c>
      <c r="BR53" s="757">
        <f t="shared" ca="1" si="29"/>
        <v>0</v>
      </c>
      <c r="BS53" s="756">
        <f ca="1">BP53+COUNTIFS($BQ$6:$BQ$53,BQ53,$BR$6:BR$53,"&gt;"&amp;BR53,$BC$6:$BC$53,INDEX(T_Equipos[Grupo],MATCH(BD53,T_Equipos[NombreEquipo],0)))</f>
        <v>4</v>
      </c>
      <c r="BT53" s="756" t="str">
        <f ca="1">IF(COUNTIFS($BS$6:$BS$53,BS53,$BC$6:$BC$53,INDEX(T_Equipos[Grupo],MATCH(BD53,T_Equipos[NombreEquipo],0)))=1,"-","P."&amp;BS53&amp;" ("&amp;COUNTIFS($BS$6:$BS$53,BS53,$BC$6:$BC$53,INDEX(T_Equipos[Grupo],MATCH(BD53,T_Equipos[NombreEquipo],0)))&amp;")")</f>
        <v>-</v>
      </c>
      <c r="BU53" s="757" t="str">
        <f t="shared" ca="1" si="36"/>
        <v>-</v>
      </c>
      <c r="BV53" s="757" t="str">
        <f t="shared" ca="1" si="37"/>
        <v>-</v>
      </c>
      <c r="BW53" s="757" t="str">
        <f t="shared" ca="1" si="38"/>
        <v>-</v>
      </c>
      <c r="BX53" s="757" t="str">
        <f t="shared" ca="1" si="39"/>
        <v>-</v>
      </c>
      <c r="BY53" s="757">
        <f ca="1">BS53+COUNTIFS($BT$6:$BT$53,BT53,$BX$6:BX$53,"&gt;"&amp;BX53,$BC$6:$BC$53,INDEX(T_Equipos[Grupo],MATCH(BD53,T_Equipos[NombreEquipo],0)))</f>
        <v>4</v>
      </c>
      <c r="BZ53" s="756" t="str">
        <f ca="1">IF(COUNTIFS($BY$6:$BY$53,BY53,$BC$6:$BC$53,INDEX(T_Equipos[Grupo],MATCH(BD53,T_Equipos[NombreEquipo],0)))=1,"-","P."&amp;BY53&amp;" ("&amp;COUNTIFS($BY$6:$BY$53,BY53,$BC$6:$BC$53,INDEX(T_Equipos[Grupo],MATCH(BD53,T_Equipos[NombreEquipo],0)))&amp;")")</f>
        <v>-</v>
      </c>
      <c r="CA53" s="757" t="str">
        <f t="shared" ca="1" si="40"/>
        <v>-</v>
      </c>
      <c r="CB53" s="757" t="str">
        <f t="shared" ca="1" si="41"/>
        <v>-</v>
      </c>
      <c r="CC53" s="757" t="str">
        <f t="shared" ca="1" si="42"/>
        <v>-</v>
      </c>
      <c r="CD53" s="757">
        <f ca="1">BY53+COUNTIFS($BZ$6:$BZ$53,BZ53,$CC$6:CC$53,"&gt;"&amp;CC53,$BC$6:$BC$53,INDEX(T_Equipos[Grupo],MATCH(BD53,T_Equipos[NombreEquipo],0)))</f>
        <v>4</v>
      </c>
      <c r="CE53" s="756" t="str">
        <f ca="1">IF(COUNTIFS($CD$6:$CD$53,CD53,$BC$6:$BC$53,INDEX(T_Equipos[Grupo],MATCH(BD53,T_Equipos[NombreEquipo],0)))=1,"-","P."&amp;CD53&amp;" ("&amp;COUNTIFS($CD$6:$CD$53,CD53,$BC$6:$BC$53,INDEX(T_Equipos[Grupo],MATCH(BD53,T_Equipos[NombreEquipo],0)))&amp;")")</f>
        <v>-</v>
      </c>
      <c r="CF53" s="757" t="str">
        <f t="shared" ca="1" si="43"/>
        <v>-</v>
      </c>
      <c r="CG53" s="757">
        <f ca="1">CD53+COUNTIFS($CE$6:$CE$53,CE53,$CF$6:CF$53,"&gt;"&amp;CF53,$BC$6:$BC$53,INDEX(T_Equipos[Grupo],MATCH(BD53,T_Equipos[NombreEquipo],0)))</f>
        <v>4</v>
      </c>
      <c r="CH53" s="756" t="str">
        <f ca="1">IF(COUNTIFS($CG$6:$CG$53,CG53,$BC$6:$BC$53,INDEX(T_Equipos[Grupo],MATCH(BD53,T_Equipos[NombreEquipo],0)))=1,"-","P."&amp;CG53&amp;" ("&amp;COUNTIFS($CG$6:$CG$53,CG53,$BC$6:$BC$53,INDEX(T_Equipos[Grupo],MATCH(BD53,T_Equipos[NombreEquipo],0)))&amp;")")</f>
        <v>-</v>
      </c>
      <c r="CI53" s="757" t="str">
        <f t="shared" ca="1" si="44"/>
        <v>-</v>
      </c>
      <c r="CJ53" s="757" t="str">
        <f t="shared" ca="1" si="45"/>
        <v>-</v>
      </c>
      <c r="CK53" s="757" t="str">
        <f t="shared" ca="1" si="46"/>
        <v>-</v>
      </c>
      <c r="CL53" s="757" t="str">
        <f t="shared" ca="1" si="47"/>
        <v>-</v>
      </c>
      <c r="CM53" s="757">
        <f ca="1">CG53+COUNTIFS($CH$6:$CH$53,CH53,$CL$6:CL$53,"&gt;"&amp;CL53,$BC$6:$BC$53,INDEX(T_Equipos[Grupo],MATCH(BD53,T_Equipos[NombreEquipo],0)))</f>
        <v>4</v>
      </c>
      <c r="CN53" s="756" t="str">
        <f ca="1">IF(COUNTIFS($CM$6:$CM$53,CM53,$BC$6:$BC$53,INDEX(T_Equipos[Grupo],MATCH(BD53,T_Equipos[NombreEquipo],0)))=1,"-","P."&amp;CM53&amp;" ("&amp;COUNTIFS($CM$6:$CM$53,CM53,$BC$6:$BC$53,INDEX(T_Equipos[Grupo],MATCH(BD53,T_Equipos[NombreEquipo],0)))&amp;")")</f>
        <v>-</v>
      </c>
      <c r="CO53" s="757" t="str">
        <f t="shared" ca="1" si="48"/>
        <v>-</v>
      </c>
      <c r="CP53" s="757" t="str">
        <f t="shared" ca="1" si="49"/>
        <v>-</v>
      </c>
      <c r="CQ53" s="757" t="str">
        <f t="shared" ca="1" si="50"/>
        <v>-</v>
      </c>
      <c r="CR53" s="757">
        <f ca="1">CM53+COUNTIFS($CN$6:$CN$53,CN53,$CQ$6:CQ$53,"&gt;"&amp;CQ53,$BC$6:$BC$53,INDEX(T_Equipos[Grupo],MATCH(BD53,T_Equipos[NombreEquipo],0)))</f>
        <v>4</v>
      </c>
      <c r="CS53" s="756" t="str">
        <f ca="1">IF(COUNTIFS($CR$6:$CR$53,CR53,$BC$6:$BC$53,INDEX(T_Equipos[Grupo],MATCH(BD53,T_Equipos[NombreEquipo],0)))=1,"-","P."&amp;CR53&amp;" ("&amp;COUNTIFS($CR$6:$CR$53,CR53,$BC$6:$BC$53,INDEX(T_Equipos[Grupo],MATCH(BD53,T_Equipos[NombreEquipo],0)))&amp;")")</f>
        <v>-</v>
      </c>
      <c r="CT53" s="757" t="str">
        <f t="shared" ca="1" si="51"/>
        <v>-</v>
      </c>
      <c r="CU53" s="757">
        <f ca="1">CR53+COUNTIFS($CS$6:$CS$53,CS53,$CT$6:CT$53,"&gt;"&amp;CT53,$BC$6:$BC$53,INDEX(T_Equipos[Grupo],MATCH(BD53,T_Equipos[NombreEquipo],0)))</f>
        <v>4</v>
      </c>
      <c r="CV53" s="756" t="str">
        <f ca="1">IF(COUNTIFS($CU$6:$CU$53,CU53,$BC$6:$BC$53,INDEX(T_Equipos[Grupo],MATCH(BD53,T_Equipos[NombreEquipo],0)))=1,"-","P."&amp;CU53&amp;" ("&amp;COUNTIFS($CU$6:$CU$53,CU53,$BC$6:$BC$53,INDEX(T_Equipos[Grupo],MATCH(BD53,T_Equipos[NombreEquipo],0)))&amp;")")</f>
        <v>-</v>
      </c>
      <c r="CW53" s="756" t="str">
        <f t="shared" ca="1" si="30"/>
        <v>-</v>
      </c>
      <c r="CX53" s="756">
        <f ca="1">CU53+COUNTIFS($CV$6:$CV$53,CV53,$CW$6:CW$53,"&gt;"&amp;CW53,$BC$6:$BC$53,INDEX(T_Equipos[Grupo],MATCH(BD53,T_Equipos[NombreEquipo],0)))</f>
        <v>4</v>
      </c>
      <c r="CY53" s="756" t="str">
        <f ca="1">IF(COUNTIFS($CX$6:$CX$53,CX53,$BC$6:$BC$53,INDEX(T_Equipos[Grupo],MATCH(BD53,T_Equipos[NombreEquipo],0)))=1,"-","P."&amp;CX53&amp;" ("&amp;COUNTIFS($CX$6:$CX$53,CX53,$BC$6:$BC$53,INDEX(T_Equipos[Grupo],MATCH(BD53,T_Equipos[NombreEquipo],0)))&amp;")")</f>
        <v>-</v>
      </c>
      <c r="CZ53" s="756" t="str">
        <f t="shared" ca="1" si="31"/>
        <v>-</v>
      </c>
      <c r="DA53" s="757">
        <f ca="1">CX53+COUNTIFS($CY$6:$CY$53,CY53,$CZ$6:CZ$53,"&gt;"&amp;CZ53,$BC$6:$BC$53,INDEX(T_Equipos[Grupo],MATCH(BD53,T_Equipos[NombreEquipo],0)))</f>
        <v>4</v>
      </c>
      <c r="DB53" s="756" t="str">
        <f ca="1">IF(COUNTIFS($DA$6:$DA$53,DA53,$BC$6:$BC$53,INDEX(T_Equipos[Grupo],MATCH(BD53,T_Equipos[NombreEquipo],0)))=1,"-","P."&amp;DA53&amp;" ("&amp;COUNTIFS($DA$6:$DA$53,DA53,$BC$6:$BC$53,INDEX(T_Equipos[Grupo],MATCH(BD53,T_Equipos[NombreEquipo],0)))&amp;")")</f>
        <v>-</v>
      </c>
      <c r="DC53" s="755" t="str">
        <f ca="1">IF(DB53="-","-",COUNTIFS(T_Equipos[Rank],"&lt;"&amp;INDEX(T_Equipos[Rank],MATCH(BD53,T_Equipos[NombreEquipo],0)),$BC$6:$BC$53,INDEX(T_Equipos[Grupo],MATCH(BD53,T_Equipos[NombreEquipo],0)))+1)</f>
        <v>-</v>
      </c>
      <c r="DD53" s="755">
        <f ca="1">DA53+COUNTIFS($DB$6:$DB$53,DB53,$DC$6:DC$53,"&lt;"&amp;DC53,$BC$6:$BC$53,INDEX(T_Equipos[Grupo],MATCH(BD53,T_Equipos[NombreEquipo],0)))</f>
        <v>4</v>
      </c>
      <c r="DE53" s="755"/>
      <c r="DF53" s="755">
        <f t="shared" ca="1" si="52"/>
        <v>4</v>
      </c>
      <c r="DG53" s="755" t="str">
        <f ca="1">IF(DB53="-","-",COUNTIFS(DF$6:DF$53,"&lt;"&amp;DF53,$BC$6:$BC$53,INDEX(T_Equipos[Grupo],MATCH(BD53,T_Equipos[NombreEquipo],0))))</f>
        <v>-</v>
      </c>
      <c r="DH53" s="755">
        <f ca="1">DA53+COUNTIFS(DB$6:DB$53,DB53,DG$6:DG$53,"&lt;"&amp;DG53,$BC$6:$BC$53,INDEX(T_Equipos[Grupo],MATCH(BD53,T_Equipos[NombreEquipo],0)))</f>
        <v>4</v>
      </c>
      <c r="DI53" s="743"/>
      <c r="DJ53" s="743">
        <f t="shared" ca="1" si="53"/>
        <v>4</v>
      </c>
      <c r="DK53" s="743">
        <f t="shared" ca="1" si="24"/>
        <v>12</v>
      </c>
      <c r="DL53" s="743">
        <f t="shared" ca="1" si="33"/>
        <v>1</v>
      </c>
      <c r="DM53" s="737" t="str">
        <f t="shared" ca="1" si="34"/>
        <v>4.1</v>
      </c>
      <c r="DN53" s="743" cm="1">
        <f t="array" aca="1" ref="DN53" ca="1">OFFSET(Horarios!$P$3,DJ53-1,0,DL53,1)</f>
        <v>4</v>
      </c>
      <c r="DO53" s="743"/>
      <c r="DP53" s="743" t="s">
        <v>684</v>
      </c>
      <c r="DQ53" s="743" t="str">
        <f t="shared" ca="1" si="35"/>
        <v>Panama</v>
      </c>
      <c r="DR53" s="743"/>
      <c r="DS53" s="743"/>
      <c r="DT53" s="743" t="str">
        <f t="shared" ca="1" si="15"/>
        <v>Iran-New Zealand</v>
      </c>
      <c r="DU53" s="743"/>
      <c r="DV53" s="743"/>
      <c r="DW53" s="8"/>
    </row>
    <row r="54" spans="1:127">
      <c r="A54" s="744" t="str">
        <f ca="1">+Equipos!B27</f>
        <v>Egypt</v>
      </c>
      <c r="B54" s="741"/>
      <c r="C54" s="745"/>
      <c r="D54" s="743" t="str">
        <f t="shared" si="155"/>
        <v>Empate</v>
      </c>
      <c r="E54" s="743" t="str">
        <f t="shared" ca="1" si="156"/>
        <v>P.1 (2)</v>
      </c>
      <c r="F54" s="743" t="str">
        <f t="shared" ca="1" si="157"/>
        <v>-</v>
      </c>
      <c r="G54" s="743"/>
      <c r="H54" s="743" t="str">
        <f t="shared" ca="1" si="158"/>
        <v>P.1 (2)</v>
      </c>
      <c r="I54" s="743" t="str">
        <f t="shared" ca="1" si="159"/>
        <v>-</v>
      </c>
      <c r="J54" s="743"/>
      <c r="K54" s="743" t="str">
        <f t="shared" ca="1" si="160"/>
        <v>P.1 (2)</v>
      </c>
      <c r="L54" s="743" t="str">
        <f t="shared" ca="1" si="161"/>
        <v>-</v>
      </c>
      <c r="M54" s="743"/>
      <c r="N54" s="743" t="str">
        <f t="shared" ca="1" si="162"/>
        <v>P.1 (2)</v>
      </c>
      <c r="O54" s="743" t="str">
        <f t="shared" ca="1" si="163"/>
        <v>-</v>
      </c>
      <c r="P54" s="743"/>
      <c r="Q54" s="743" t="str">
        <f t="shared" ca="1" si="164"/>
        <v>P.1 (2)</v>
      </c>
      <c r="R54" s="743" t="str">
        <f t="shared" ca="1" si="165"/>
        <v>-</v>
      </c>
      <c r="S54" s="743"/>
      <c r="T54" s="743" t="str">
        <f t="shared" ca="1" si="166"/>
        <v>P.1 (2)</v>
      </c>
      <c r="U54" s="743" t="str">
        <f t="shared" ca="1" si="167"/>
        <v>-</v>
      </c>
      <c r="V54" s="172"/>
      <c r="W54" s="843"/>
      <c r="X54" s="189">
        <f ca="1">Horarios!C54</f>
        <v>46194.875</v>
      </c>
      <c r="Y54" s="190">
        <f ca="1">Horarios!C54</f>
        <v>46194.875</v>
      </c>
      <c r="Z54" s="191" t="str">
        <f>$Z$6</f>
        <v>R2</v>
      </c>
      <c r="AA54" s="192" t="str">
        <f ca="1">A53</f>
        <v>Belgium</v>
      </c>
      <c r="AB54" s="478" t="e" cm="1" vm="25">
        <f t="array" aca="1" ref="AB54" ca="1">Ver_flag_local</f>
        <v>#VALUE!</v>
      </c>
      <c r="AC54" s="193">
        <v>0</v>
      </c>
      <c r="AD54" s="194">
        <v>0</v>
      </c>
      <c r="AE54" s="483" t="e" cm="1" vm="27">
        <f t="array" aca="1" ref="AE54" ca="1">Ver_flag_visit</f>
        <v>#VALUE!</v>
      </c>
      <c r="AF54" s="195" t="str">
        <f ca="1">A55</f>
        <v>Iran</v>
      </c>
      <c r="AG54" s="413">
        <f t="shared" si="168"/>
        <v>1</v>
      </c>
      <c r="AH54" s="196">
        <v>39</v>
      </c>
      <c r="AI54" s="19" t="str">
        <f>AJ54&amp;$B$52</f>
        <v>1G</v>
      </c>
      <c r="AJ54" s="211">
        <v>1</v>
      </c>
      <c r="AK54" s="488" t="e" cm="1" vm="25">
        <f t="array" aca="1" ref="AK54" ca="1">Ver_flag_visit</f>
        <v>#VALUE!</v>
      </c>
      <c r="AL54" s="212" t="str">
        <f ca="1">IFERROR(INDEX($BD$6:$BD$53,MATCH(AI54,$BN$6:$BN$53,0)),"")</f>
        <v>Belgium</v>
      </c>
      <c r="AM54" s="213">
        <f t="shared" ref="AM54:AT57" ca="1" si="172">INDEX($BE$6:$BN$53,MATCH($AL54,$BD$6:$BD$53,0),MATCH(AM$5,$BE$5:$BN$5,0))</f>
        <v>5</v>
      </c>
      <c r="AN54" s="214">
        <f t="shared" ca="1" si="172"/>
        <v>3</v>
      </c>
      <c r="AO54" s="214">
        <f t="shared" ca="1" si="172"/>
        <v>1</v>
      </c>
      <c r="AP54" s="214">
        <f t="shared" ca="1" si="172"/>
        <v>2</v>
      </c>
      <c r="AQ54" s="214">
        <f t="shared" ca="1" si="172"/>
        <v>0</v>
      </c>
      <c r="AR54" s="214">
        <f t="shared" ca="1" si="172"/>
        <v>6</v>
      </c>
      <c r="AS54" s="214">
        <f t="shared" ca="1" si="172"/>
        <v>2</v>
      </c>
      <c r="AT54" s="215">
        <f t="shared" ca="1" si="172"/>
        <v>4</v>
      </c>
      <c r="AU54" s="420">
        <f ca="1">INDEX($DL$6:$DL$53,MATCH(AI54,$DP$6:$DP$53,0))</f>
        <v>1</v>
      </c>
      <c r="AV54" s="217" t="str">
        <f ca="1">INDEX($BD$6:$BD$53,MATCH(AI54,$BM$6:$BM$53,0))</f>
        <v>Belgium</v>
      </c>
      <c r="AW54" s="427"/>
      <c r="AX54" s="218"/>
      <c r="AY54" s="219" t="str">
        <f ca="1">+A53</f>
        <v>Belgium</v>
      </c>
      <c r="AZ54" s="220"/>
      <c r="BA54" s="175"/>
      <c r="BB54" s="743"/>
      <c r="BC54" s="743"/>
      <c r="BD54" s="743"/>
      <c r="BE54" s="743"/>
      <c r="BF54" s="743"/>
      <c r="BG54" s="743"/>
      <c r="BH54" s="743"/>
      <c r="BI54" s="743"/>
      <c r="BJ54" s="743"/>
      <c r="BK54" s="743"/>
      <c r="BL54" s="743"/>
      <c r="BM54" s="743"/>
      <c r="BN54" s="748"/>
      <c r="BO54" s="748"/>
      <c r="BP54" s="748"/>
      <c r="BQ54" s="748"/>
      <c r="BR54" s="743"/>
      <c r="BS54" s="743"/>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3"/>
      <c r="CX54" s="748"/>
      <c r="CY54" s="743"/>
      <c r="CZ54" s="743"/>
      <c r="DA54" s="743"/>
      <c r="DB54" s="743"/>
      <c r="DC54" s="743"/>
      <c r="DD54" s="743"/>
      <c r="DE54" s="743"/>
      <c r="DF54" s="743"/>
      <c r="DG54" s="743"/>
      <c r="DH54" s="743"/>
      <c r="DI54" s="743"/>
      <c r="DJ54" s="743"/>
      <c r="DK54" s="743"/>
      <c r="DL54" s="743"/>
      <c r="DM54" s="743"/>
      <c r="DN54" s="743"/>
      <c r="DO54" s="743"/>
      <c r="DP54" s="743"/>
      <c r="DQ54" s="743"/>
      <c r="DR54" s="743"/>
      <c r="DS54" s="743"/>
      <c r="DT54" s="743" t="str">
        <f t="shared" ca="1" si="15"/>
        <v>Belgium-Iran</v>
      </c>
      <c r="DU54" s="743"/>
      <c r="DV54" s="743"/>
      <c r="DW54" s="8"/>
    </row>
    <row r="55" spans="1:127">
      <c r="A55" s="744" t="str">
        <f ca="1">+Equipos!B28</f>
        <v>Iran</v>
      </c>
      <c r="B55" s="741"/>
      <c r="C55" s="743"/>
      <c r="D55" s="743" t="str">
        <f t="shared" si="155"/>
        <v>Visitante</v>
      </c>
      <c r="E55" s="743" t="str">
        <f t="shared" ca="1" si="156"/>
        <v>-</v>
      </c>
      <c r="F55" s="743" t="str">
        <f t="shared" ca="1" si="157"/>
        <v>P.1 (2)</v>
      </c>
      <c r="G55" s="743"/>
      <c r="H55" s="743" t="str">
        <f t="shared" ca="1" si="158"/>
        <v>-</v>
      </c>
      <c r="I55" s="743" t="str">
        <f t="shared" ca="1" si="159"/>
        <v>P.1 (2)</v>
      </c>
      <c r="J55" s="743"/>
      <c r="K55" s="743" t="str">
        <f t="shared" ca="1" si="160"/>
        <v>-</v>
      </c>
      <c r="L55" s="743" t="str">
        <f t="shared" ca="1" si="161"/>
        <v>P.1 (2)</v>
      </c>
      <c r="M55" s="743"/>
      <c r="N55" s="743" t="str">
        <f t="shared" ca="1" si="162"/>
        <v>-</v>
      </c>
      <c r="O55" s="743" t="str">
        <f t="shared" ca="1" si="163"/>
        <v>P.1 (2)</v>
      </c>
      <c r="P55" s="743"/>
      <c r="Q55" s="743" t="str">
        <f t="shared" ca="1" si="164"/>
        <v>-</v>
      </c>
      <c r="R55" s="743" t="str">
        <f t="shared" ca="1" si="165"/>
        <v>P.1 (2)</v>
      </c>
      <c r="S55" s="743"/>
      <c r="T55" s="743" t="str">
        <f t="shared" ca="1" si="166"/>
        <v>-</v>
      </c>
      <c r="U55" s="743" t="str">
        <f t="shared" ca="1" si="167"/>
        <v>P.1 (2)</v>
      </c>
      <c r="V55" s="172"/>
      <c r="W55" s="843"/>
      <c r="X55" s="189">
        <f ca="1">Horarios!C55</f>
        <v>46195.125</v>
      </c>
      <c r="Y55" s="190">
        <f ca="1">Horarios!C55</f>
        <v>46195.125</v>
      </c>
      <c r="Z55" s="191" t="str">
        <f>$Z$6</f>
        <v>R2</v>
      </c>
      <c r="AA55" s="192" t="str">
        <f ca="1">A56</f>
        <v>New Zealand</v>
      </c>
      <c r="AB55" s="478" t="e" cm="1" vm="28">
        <f t="array" aca="1" ref="AB55" ca="1">Ver_flag_local</f>
        <v>#VALUE!</v>
      </c>
      <c r="AC55" s="193">
        <v>1</v>
      </c>
      <c r="AD55" s="194">
        <v>3</v>
      </c>
      <c r="AE55" s="483" t="e" cm="1" vm="26">
        <f t="array" aca="1" ref="AE55" ca="1">Ver_flag_visit</f>
        <v>#VALUE!</v>
      </c>
      <c r="AF55" s="195" t="str">
        <f ca="1">A54</f>
        <v>Egypt</v>
      </c>
      <c r="AG55" s="413">
        <f t="shared" si="168"/>
        <v>1</v>
      </c>
      <c r="AH55" s="196">
        <v>40</v>
      </c>
      <c r="AI55" s="19" t="str">
        <f t="shared" ref="AI55:AI57" si="173">AJ55&amp;$B$52</f>
        <v>2G</v>
      </c>
      <c r="AJ55" s="221">
        <v>2</v>
      </c>
      <c r="AK55" s="486" t="e" cm="1" vm="26">
        <f t="array" aca="1" ref="AK55" ca="1">Ver_flag_visit</f>
        <v>#VALUE!</v>
      </c>
      <c r="AL55" s="222" t="str">
        <f ca="1">IFERROR(INDEX($BD$6:$BD$53,MATCH(AI55,$BN$6:$BN$53,0)),"")</f>
        <v>Egypt</v>
      </c>
      <c r="AM55" s="223">
        <f t="shared" ca="1" si="172"/>
        <v>5</v>
      </c>
      <c r="AN55" s="224">
        <f t="shared" ca="1" si="172"/>
        <v>3</v>
      </c>
      <c r="AO55" s="224">
        <f t="shared" ca="1" si="172"/>
        <v>1</v>
      </c>
      <c r="AP55" s="224">
        <f t="shared" ca="1" si="172"/>
        <v>2</v>
      </c>
      <c r="AQ55" s="224">
        <f t="shared" ca="1" si="172"/>
        <v>0</v>
      </c>
      <c r="AR55" s="224">
        <f t="shared" ca="1" si="172"/>
        <v>5</v>
      </c>
      <c r="AS55" s="224">
        <f t="shared" ca="1" si="172"/>
        <v>3</v>
      </c>
      <c r="AT55" s="225">
        <f t="shared" ca="1" si="172"/>
        <v>2</v>
      </c>
      <c r="AU55" s="420">
        <f ca="1">INDEX($DL$6:$DL$53,MATCH(AI55,$DP$6:$DP$53,0))</f>
        <v>1</v>
      </c>
      <c r="AV55" s="217" t="str">
        <f ca="1">INDEX($BD$6:$BD$53,MATCH(AI55,$BM$6:$BM$53,0))</f>
        <v>Egypt</v>
      </c>
      <c r="AW55" s="427"/>
      <c r="AX55" s="218"/>
      <c r="AY55" s="226" t="str">
        <f ca="1">+A54</f>
        <v>Egypt</v>
      </c>
      <c r="AZ55" s="227"/>
      <c r="BA55" s="175"/>
      <c r="BB55" s="743"/>
      <c r="BC55" s="743"/>
      <c r="BD55" s="743"/>
      <c r="BE55" s="743"/>
      <c r="BF55" s="743"/>
      <c r="BG55" s="743"/>
      <c r="BH55" s="743"/>
      <c r="BI55" s="743"/>
      <c r="BJ55" s="743"/>
      <c r="BK55" s="743"/>
      <c r="BL55" s="743"/>
      <c r="BM55" s="743"/>
      <c r="BN55" s="748"/>
      <c r="BO55" s="748"/>
      <c r="BP55" s="748"/>
      <c r="BQ55" s="748"/>
      <c r="BR55" s="743"/>
      <c r="BS55" s="743"/>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3"/>
      <c r="CX55" s="748"/>
      <c r="CY55" s="743"/>
      <c r="CZ55" s="743"/>
      <c r="DA55" s="743"/>
      <c r="DB55" s="743"/>
      <c r="DC55" s="743"/>
      <c r="DD55" s="743"/>
      <c r="DE55" s="743"/>
      <c r="DF55" s="743"/>
      <c r="DG55" s="743"/>
      <c r="DH55" s="743"/>
      <c r="DI55" s="743"/>
      <c r="DJ55" s="743"/>
      <c r="DK55" s="743"/>
      <c r="DL55" s="743"/>
      <c r="DM55" s="743"/>
      <c r="DN55" s="743"/>
      <c r="DO55" s="743"/>
      <c r="DP55" s="743"/>
      <c r="DQ55" s="743"/>
      <c r="DR55" s="743"/>
      <c r="DS55" s="743"/>
      <c r="DT55" s="743" t="str">
        <f t="shared" ca="1" si="15"/>
        <v>New Zealand-Egypt</v>
      </c>
      <c r="DU55" s="743"/>
      <c r="DV55" s="743"/>
      <c r="DW55" s="8"/>
    </row>
    <row r="56" spans="1:127">
      <c r="A56" s="744" t="str">
        <f ca="1">+Equipos!B29</f>
        <v>New Zealand</v>
      </c>
      <c r="B56" s="741"/>
      <c r="C56" s="743"/>
      <c r="D56" s="743" t="str">
        <f t="shared" si="155"/>
        <v>Empate</v>
      </c>
      <c r="E56" s="743" t="str">
        <f t="shared" ca="1" si="156"/>
        <v>P.1 (2)</v>
      </c>
      <c r="F56" s="743" t="str">
        <f t="shared" ca="1" si="157"/>
        <v>-</v>
      </c>
      <c r="G56" s="743"/>
      <c r="H56" s="743" t="str">
        <f t="shared" ca="1" si="158"/>
        <v>P.1 (2)</v>
      </c>
      <c r="I56" s="743" t="str">
        <f t="shared" ca="1" si="159"/>
        <v>-</v>
      </c>
      <c r="J56" s="743"/>
      <c r="K56" s="743" t="str">
        <f t="shared" ca="1" si="160"/>
        <v>P.1 (2)</v>
      </c>
      <c r="L56" s="743" t="str">
        <f t="shared" ca="1" si="161"/>
        <v>-</v>
      </c>
      <c r="M56" s="743"/>
      <c r="N56" s="743" t="str">
        <f t="shared" ca="1" si="162"/>
        <v>P.1 (2)</v>
      </c>
      <c r="O56" s="743" t="str">
        <f t="shared" ca="1" si="163"/>
        <v>-</v>
      </c>
      <c r="P56" s="743"/>
      <c r="Q56" s="743" t="str">
        <f t="shared" ca="1" si="164"/>
        <v>P.1 (2)</v>
      </c>
      <c r="R56" s="743" t="str">
        <f t="shared" ca="1" si="165"/>
        <v>-</v>
      </c>
      <c r="S56" s="743"/>
      <c r="T56" s="743" t="str">
        <f t="shared" ca="1" si="166"/>
        <v>P.1 (2)</v>
      </c>
      <c r="U56" s="743" t="str">
        <f t="shared" ca="1" si="167"/>
        <v>-</v>
      </c>
      <c r="V56" s="172"/>
      <c r="W56" s="843"/>
      <c r="X56" s="189">
        <f ca="1">Horarios!C56</f>
        <v>46200.208333333336</v>
      </c>
      <c r="Y56" s="190">
        <f ca="1">Horarios!C56</f>
        <v>46200.208333333336</v>
      </c>
      <c r="Z56" s="191" t="str">
        <f>$Z$8</f>
        <v>R3</v>
      </c>
      <c r="AA56" s="192" t="str">
        <f ca="1">A54</f>
        <v>Egypt</v>
      </c>
      <c r="AB56" s="478" t="e" cm="1" vm="26">
        <f t="array" aca="1" ref="AB56" ca="1">Ver_flag_local</f>
        <v>#VALUE!</v>
      </c>
      <c r="AC56" s="193">
        <v>1</v>
      </c>
      <c r="AD56" s="194">
        <v>1</v>
      </c>
      <c r="AE56" s="483" t="e" cm="1" vm="27">
        <f t="array" aca="1" ref="AE56" ca="1">Ver_flag_visit</f>
        <v>#VALUE!</v>
      </c>
      <c r="AF56" s="195" t="str">
        <f ca="1">A55</f>
        <v>Iran</v>
      </c>
      <c r="AG56" s="413">
        <f t="shared" si="168"/>
        <v>1</v>
      </c>
      <c r="AH56" s="196">
        <v>63</v>
      </c>
      <c r="AI56" s="19" t="str">
        <f t="shared" si="173"/>
        <v>3G</v>
      </c>
      <c r="AJ56" s="221">
        <v>3</v>
      </c>
      <c r="AK56" s="486" t="e" cm="1" vm="27">
        <f t="array" aca="1" ref="AK56" ca="1">Ver_flag_visit</f>
        <v>#VALUE!</v>
      </c>
      <c r="AL56" s="222" t="str">
        <f ca="1">IFERROR(INDEX($BD$6:$BD$53,MATCH(AI56,$BN$6:$BN$53,0)),"")</f>
        <v>Iran</v>
      </c>
      <c r="AM56" s="223">
        <f t="shared" ca="1" si="172"/>
        <v>3</v>
      </c>
      <c r="AN56" s="224">
        <f t="shared" ca="1" si="172"/>
        <v>3</v>
      </c>
      <c r="AO56" s="224">
        <f t="shared" ca="1" si="172"/>
        <v>0</v>
      </c>
      <c r="AP56" s="224">
        <f t="shared" ca="1" si="172"/>
        <v>3</v>
      </c>
      <c r="AQ56" s="224">
        <f t="shared" ca="1" si="172"/>
        <v>0</v>
      </c>
      <c r="AR56" s="224">
        <f t="shared" ca="1" si="172"/>
        <v>3</v>
      </c>
      <c r="AS56" s="224">
        <f t="shared" ca="1" si="172"/>
        <v>3</v>
      </c>
      <c r="AT56" s="225">
        <f t="shared" ca="1" si="172"/>
        <v>0</v>
      </c>
      <c r="AU56" s="420">
        <f ca="1">INDEX($DL$6:$DL$53,MATCH(AI56,$DP$6:$DP$53,0))</f>
        <v>1</v>
      </c>
      <c r="AV56" s="217" t="str">
        <f ca="1">INDEX($BD$6:$BD$53,MATCH(AI56,$BM$6:$BM$53,0))</f>
        <v>Iran</v>
      </c>
      <c r="AW56" s="427"/>
      <c r="AX56" s="218"/>
      <c r="AY56" s="219" t="str">
        <f ca="1">+A55</f>
        <v>Iran</v>
      </c>
      <c r="AZ56" s="220"/>
      <c r="BA56" s="175"/>
      <c r="BB56" s="743"/>
      <c r="BC56" s="743"/>
      <c r="BD56" s="743"/>
      <c r="BE56" s="743"/>
      <c r="BF56" s="743"/>
      <c r="BG56" s="743"/>
      <c r="BH56" s="743"/>
      <c r="BI56" s="743"/>
      <c r="BJ56" s="743"/>
      <c r="BK56" s="743"/>
      <c r="BL56" s="743"/>
      <c r="BM56" s="743"/>
      <c r="BN56" s="748"/>
      <c r="BO56" s="748"/>
      <c r="BP56" s="748"/>
      <c r="BQ56" s="748"/>
      <c r="BR56" s="743"/>
      <c r="BS56" s="743"/>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3"/>
      <c r="CX56" s="748"/>
      <c r="CY56" s="743"/>
      <c r="CZ56" s="743"/>
      <c r="DA56" s="743"/>
      <c r="DB56" s="743"/>
      <c r="DC56" s="743"/>
      <c r="DD56" s="743"/>
      <c r="DE56" s="743"/>
      <c r="DF56" s="743"/>
      <c r="DG56" s="743"/>
      <c r="DH56" s="743"/>
      <c r="DI56" s="743"/>
      <c r="DJ56" s="743"/>
      <c r="DK56" s="743"/>
      <c r="DL56" s="743"/>
      <c r="DM56" s="743"/>
      <c r="DN56" s="743"/>
      <c r="DO56" s="743"/>
      <c r="DP56" s="743"/>
      <c r="DQ56" s="743"/>
      <c r="DR56" s="743"/>
      <c r="DS56" s="743"/>
      <c r="DT56" s="743" t="str">
        <f t="shared" ca="1" si="15"/>
        <v>Egypt-Iran</v>
      </c>
      <c r="DU56" s="743"/>
      <c r="DV56" s="743"/>
      <c r="DW56" s="8"/>
    </row>
    <row r="57" spans="1:127" ht="15.75" thickBot="1">
      <c r="A57" s="738"/>
      <c r="B57" s="741"/>
      <c r="C57" s="738"/>
      <c r="D57" s="743" t="str">
        <f t="shared" si="155"/>
        <v>Visitante</v>
      </c>
      <c r="E57" s="743" t="str">
        <f t="shared" ca="1" si="156"/>
        <v>-</v>
      </c>
      <c r="F57" s="743" t="str">
        <f t="shared" ca="1" si="157"/>
        <v>P.1 (2)</v>
      </c>
      <c r="G57" s="743"/>
      <c r="H57" s="743" t="str">
        <f t="shared" ca="1" si="158"/>
        <v>-</v>
      </c>
      <c r="I57" s="743" t="str">
        <f t="shared" ca="1" si="159"/>
        <v>P.1 (2)</v>
      </c>
      <c r="J57" s="743"/>
      <c r="K57" s="743" t="str">
        <f t="shared" ca="1" si="160"/>
        <v>-</v>
      </c>
      <c r="L57" s="743" t="str">
        <f t="shared" ca="1" si="161"/>
        <v>P.1 (2)</v>
      </c>
      <c r="M57" s="743"/>
      <c r="N57" s="743" t="str">
        <f t="shared" ca="1" si="162"/>
        <v>-</v>
      </c>
      <c r="O57" s="743" t="str">
        <f t="shared" ca="1" si="163"/>
        <v>P.1 (2)</v>
      </c>
      <c r="P57" s="743"/>
      <c r="Q57" s="743" t="str">
        <f t="shared" ca="1" si="164"/>
        <v>-</v>
      </c>
      <c r="R57" s="743" t="str">
        <f t="shared" ca="1" si="165"/>
        <v>P.1 (2)</v>
      </c>
      <c r="S57" s="743"/>
      <c r="T57" s="743" t="str">
        <f t="shared" ca="1" si="166"/>
        <v>-</v>
      </c>
      <c r="U57" s="743" t="str">
        <f t="shared" ca="1" si="167"/>
        <v>P.1 (2)</v>
      </c>
      <c r="V57" s="172"/>
      <c r="W57" s="844"/>
      <c r="X57" s="228">
        <f ca="1">Horarios!C57</f>
        <v>46200.208333333336</v>
      </c>
      <c r="Y57" s="229">
        <f ca="1">Horarios!C57</f>
        <v>46200.208333333336</v>
      </c>
      <c r="Z57" s="230" t="str">
        <f>$Z$8</f>
        <v>R3</v>
      </c>
      <c r="AA57" s="231" t="str">
        <f ca="1">A56</f>
        <v>New Zealand</v>
      </c>
      <c r="AB57" s="479" t="e" cm="1" vm="28">
        <f t="array" aca="1" ref="AB57" ca="1">Ver_flag_local</f>
        <v>#VALUE!</v>
      </c>
      <c r="AC57" s="232">
        <v>1</v>
      </c>
      <c r="AD57" s="233">
        <v>5</v>
      </c>
      <c r="AE57" s="484" t="e" cm="1" vm="25">
        <f t="array" aca="1" ref="AE57" ca="1">Ver_flag_visit</f>
        <v>#VALUE!</v>
      </c>
      <c r="AF57" s="234" t="str">
        <f ca="1">A53</f>
        <v>Belgium</v>
      </c>
      <c r="AG57" s="413">
        <f t="shared" si="168"/>
        <v>1</v>
      </c>
      <c r="AH57" s="196">
        <v>64</v>
      </c>
      <c r="AI57" s="19" t="str">
        <f t="shared" si="173"/>
        <v>4G</v>
      </c>
      <c r="AJ57" s="235">
        <v>4</v>
      </c>
      <c r="AK57" s="487" t="e" cm="1" vm="28">
        <f t="array" aca="1" ref="AK57" ca="1">Ver_flag_visit</f>
        <v>#VALUE!</v>
      </c>
      <c r="AL57" s="236" t="str">
        <f ca="1">IFERROR(INDEX($BD$6:$BD$53,MATCH(AI57,$BN$6:$BN$53,0)),"")</f>
        <v>New Zealand</v>
      </c>
      <c r="AM57" s="237">
        <f t="shared" ca="1" si="172"/>
        <v>1</v>
      </c>
      <c r="AN57" s="238">
        <f t="shared" ca="1" si="172"/>
        <v>3</v>
      </c>
      <c r="AO57" s="238">
        <f t="shared" ca="1" si="172"/>
        <v>0</v>
      </c>
      <c r="AP57" s="238">
        <f t="shared" ca="1" si="172"/>
        <v>1</v>
      </c>
      <c r="AQ57" s="238">
        <f t="shared" ca="1" si="172"/>
        <v>2</v>
      </c>
      <c r="AR57" s="238">
        <f t="shared" ca="1" si="172"/>
        <v>4</v>
      </c>
      <c r="AS57" s="238">
        <f t="shared" ca="1" si="172"/>
        <v>10</v>
      </c>
      <c r="AT57" s="239">
        <f t="shared" ca="1" si="172"/>
        <v>-6</v>
      </c>
      <c r="AU57" s="420">
        <f ca="1">INDEX($DL$6:$DL$53,MATCH(AI57,$DP$6:$DP$53,0))</f>
        <v>1</v>
      </c>
      <c r="AV57" s="217" t="str">
        <f ca="1">INDEX($BD$6:$BD$53,MATCH(AI57,$BM$6:$BM$53,0))</f>
        <v>New Zealand</v>
      </c>
      <c r="AW57" s="427"/>
      <c r="AX57" s="218"/>
      <c r="AY57" s="240" t="str">
        <f ca="1">+A56</f>
        <v>New Zealand</v>
      </c>
      <c r="AZ57" s="241"/>
      <c r="BA57" s="175"/>
      <c r="BB57" s="743">
        <f>IFERROR(IF($AJ$99=144,INDEX(Idiomas!$C$75:$C$77,MATCH(WORLDCUP!$AL$116,Idiomas!$D$75:$D$77,0)),1),1)</f>
        <v>1</v>
      </c>
      <c r="BC57" s="751" t="str">
        <f t="shared" ref="BC57:BN57" si="174">+BC5</f>
        <v>Group</v>
      </c>
      <c r="BD57" s="751" t="str">
        <f t="shared" si="174"/>
        <v>Nation</v>
      </c>
      <c r="BE57" s="751" t="str">
        <f t="shared" si="174"/>
        <v>Pts</v>
      </c>
      <c r="BF57" s="751" t="str">
        <f t="shared" si="174"/>
        <v>P</v>
      </c>
      <c r="BG57" s="751" t="str">
        <f t="shared" si="174"/>
        <v>W</v>
      </c>
      <c r="BH57" s="751" t="str">
        <f t="shared" si="174"/>
        <v>D</v>
      </c>
      <c r="BI57" s="751" t="str">
        <f t="shared" si="174"/>
        <v>L</v>
      </c>
      <c r="BJ57" s="751" t="str">
        <f t="shared" si="174"/>
        <v>F</v>
      </c>
      <c r="BK57" s="751" t="str">
        <f t="shared" si="174"/>
        <v>A</v>
      </c>
      <c r="BL57" s="751" t="str">
        <f t="shared" si="174"/>
        <v>GD</v>
      </c>
      <c r="BM57" s="751" t="str">
        <f t="shared" si="174"/>
        <v>PosF1</v>
      </c>
      <c r="BN57" s="751" t="str">
        <f t="shared" si="174"/>
        <v>PosF3</v>
      </c>
      <c r="BO57" s="748"/>
      <c r="BP57" s="748"/>
      <c r="BQ57" s="748"/>
      <c r="BR57" s="752" t="s">
        <v>614</v>
      </c>
      <c r="BS57" s="752" t="s">
        <v>617</v>
      </c>
      <c r="BT57" s="752" t="s">
        <v>615</v>
      </c>
      <c r="BU57" s="752" t="s">
        <v>66</v>
      </c>
      <c r="BV57" s="752" t="s">
        <v>618</v>
      </c>
      <c r="BW57" s="752" t="s">
        <v>616</v>
      </c>
      <c r="BX57" s="752" t="s">
        <v>8</v>
      </c>
      <c r="BY57" s="752" t="s">
        <v>619</v>
      </c>
      <c r="BZ57" s="752" t="s">
        <v>620</v>
      </c>
      <c r="CA57" s="753" t="s">
        <v>627</v>
      </c>
      <c r="CB57" s="753" t="s">
        <v>628</v>
      </c>
      <c r="CC57" s="754"/>
      <c r="CD57" s="753" t="s">
        <v>629</v>
      </c>
      <c r="CE57" s="753" t="s">
        <v>630</v>
      </c>
      <c r="CF57" s="753" t="s">
        <v>631</v>
      </c>
      <c r="CG57" s="743"/>
      <c r="CH57" s="743"/>
      <c r="CI57" s="743"/>
      <c r="CJ57" s="743"/>
      <c r="CK57" s="743"/>
      <c r="CL57" s="743"/>
      <c r="CM57" s="743"/>
      <c r="CN57" s="743"/>
      <c r="CO57" s="743"/>
      <c r="CP57" s="743"/>
      <c r="CQ57" s="743"/>
      <c r="CR57" s="743"/>
      <c r="CS57" s="743"/>
      <c r="CT57" s="743"/>
      <c r="CU57" s="743"/>
      <c r="CV57" s="743"/>
      <c r="CW57" s="743"/>
      <c r="CX57" s="743"/>
      <c r="CY57" s="743"/>
      <c r="CZ57" s="743"/>
      <c r="DA57" s="743"/>
      <c r="DB57" s="743"/>
      <c r="DC57" s="743"/>
      <c r="DD57" s="743"/>
      <c r="DE57" s="743"/>
      <c r="DF57" s="743"/>
      <c r="DG57" s="743"/>
      <c r="DH57" s="743"/>
      <c r="DI57" s="743"/>
      <c r="DJ57" s="745" t="s">
        <v>652</v>
      </c>
      <c r="DK57" s="745"/>
      <c r="DL57" s="745" t="s">
        <v>653</v>
      </c>
      <c r="DM57" s="745" t="s">
        <v>654</v>
      </c>
      <c r="DN57" s="745" t="s">
        <v>655</v>
      </c>
      <c r="DO57" s="745"/>
      <c r="DP57" s="745" t="s">
        <v>762</v>
      </c>
      <c r="DQ57" s="745" t="s">
        <v>763</v>
      </c>
      <c r="DR57" s="743"/>
      <c r="DS57" s="743"/>
      <c r="DT57" s="743" t="str">
        <f t="shared" ca="1" si="15"/>
        <v>New Zealand-Belgium</v>
      </c>
      <c r="DU57" s="743"/>
      <c r="DV57" s="743"/>
      <c r="DW57" s="8"/>
    </row>
    <row r="58" spans="1:127" ht="15.75" customHeight="1" thickBot="1">
      <c r="A58" s="738"/>
      <c r="B58" s="741"/>
      <c r="C58" s="738"/>
      <c r="D58" s="743"/>
      <c r="E58" s="743"/>
      <c r="F58" s="743"/>
      <c r="G58" s="743"/>
      <c r="H58" s="743"/>
      <c r="I58" s="743"/>
      <c r="J58" s="743"/>
      <c r="K58" s="743"/>
      <c r="L58" s="743"/>
      <c r="M58" s="743"/>
      <c r="N58" s="743"/>
      <c r="O58" s="743"/>
      <c r="P58" s="743"/>
      <c r="Q58" s="743"/>
      <c r="R58" s="743"/>
      <c r="S58" s="743"/>
      <c r="T58" s="743"/>
      <c r="U58" s="743"/>
      <c r="V58" s="172"/>
      <c r="W58" s="242"/>
      <c r="X58" s="243"/>
      <c r="Y58" s="242"/>
      <c r="Z58" s="244"/>
      <c r="AA58" s="245"/>
      <c r="AB58" s="482"/>
      <c r="AC58" s="247"/>
      <c r="AD58" s="247"/>
      <c r="AE58" s="482"/>
      <c r="AF58" s="248"/>
      <c r="AG58" s="415"/>
      <c r="AH58" s="196"/>
      <c r="AI58" s="19"/>
      <c r="AJ58" s="249"/>
      <c r="AK58" s="250"/>
      <c r="AL58" s="186"/>
      <c r="AM58" s="251"/>
      <c r="AN58" s="249"/>
      <c r="AO58" s="249"/>
      <c r="AP58" s="249"/>
      <c r="AQ58" s="249"/>
      <c r="AR58" s="249"/>
      <c r="AS58" s="249"/>
      <c r="AT58" s="249"/>
      <c r="AU58" s="420"/>
      <c r="AV58" s="216"/>
      <c r="AW58" s="428"/>
      <c r="AX58" s="218"/>
      <c r="AY58" s="242"/>
      <c r="AZ58" s="243"/>
      <c r="BA58" s="175"/>
      <c r="BB58" s="758" t="str">
        <f>3&amp;BC58</f>
        <v>3A</v>
      </c>
      <c r="BC58" s="755" t="s">
        <v>0</v>
      </c>
      <c r="BD58" s="743" t="str">
        <f t="shared" ref="BD58:BD69" ca="1" si="175">+INDEX($BD$6:$BN$53,MATCH($BB58,$BN$6:$BN$53,0),MATCH(BD$57,$BD$5:$BN$5,0))</f>
        <v>South Korea</v>
      </c>
      <c r="BE58" s="747">
        <f ca="1">CHOOSE($BB$57,
  (BG58*3 + BH58)+IF($AZ$3="No",0,INDEX($AZ$6:$AZ$97,MATCH(BD58,$AY$6:$AY$97,0))),
  (BG58*3 + BH58)+IF($AZ$3="No",0,INDEX($AZ$6:$AZ$97,MATCH(BD58,$AY$6:$AY$97,0))),
  IFERROR((BG58*3 + BH58+IF($AZ$3="No",0,INDEX($AZ$6:$AZ$97,MATCH(BD58,$AY$6:$AY$97,0)))) / BF58, 0)
)</f>
        <v>3</v>
      </c>
      <c r="BF58" s="747">
        <f ca="1">+BG58+BH58+BI58</f>
        <v>3</v>
      </c>
      <c r="BG58" s="747">
        <f ca="1">CHOOSE(IF($BB$57=2, 2, 1),INDEX($BG$6:$BG$53,MATCH($BB58,$BN$6:$BN$53,0)),
  INDEX($BG$6:$BG$53,MATCH($BB58,$BN$6:$BN$53,0))-(COUNTIFS(FGLocal,$BD58,FGVisitante,INDEX($BD$6:$BD$53,MATCH(BO58,$BN$6:$BN$53,0)),Ganador,"Local")+COUNTIFS(FGVisitante,$BD58,FGLocal,INDEX($BD$6:$BD$53,MATCH(BO58,$BN$6:$BN$53,0)),Ganador,"Visitante"))
)</f>
        <v>1</v>
      </c>
      <c r="BH58" s="747">
        <f ca="1">CHOOSE(IF($BB$57=2, 2, 1),  INDEX($BH$6:$BH$53,MATCH($BB58,$BN$6:$BN$53,0)),
  INDEX($BH$6:$BH$53,MATCH($BB58,$BN$6:$BN$53,0))-(COUNTIFS(FGLocal,$BD58,FGVisitante,INDEX($BD$6:$BD$53,MATCH(BO58,$BN$6:$BN$53,0)),Ganador,"Empate")+COUNTIFS(FGVisitante,$BD58,FGLocal,INDEX($BD$6:$BD$53,MATCH(BO58,$BN$6:$BN$53,0)),Ganador,"Empate"))
)</f>
        <v>0</v>
      </c>
      <c r="BI58" s="747">
        <f t="shared" ref="BI58:BI69" ca="1" si="176">CHOOSE(IF($BB$57=2, 2, 1),
  INDEX($BI$6:$BI$53,MATCH($BB58,$BN$6:$BN$53,0)),
  INDEX($BI$6:$BI$53,MATCH($BB58,$BN$6:$BN$53,0))-(COUNTIFS(FGLocal,$BD58,FGVisitante,INDEX($BD$6:$BD$53,MATCH(BO58,$BN$6:$BN$53,0)),Ganador,"Visitante")+COUNTIFS(FGVisitante,$BD58,FGLocal,INDEX($BD$6:$BD$53,MATCH(BO58,$BN$6:$BN$53,0)),Ganador,"Local"))
)</f>
        <v>2</v>
      </c>
      <c r="BJ58" s="747">
        <f t="shared" ref="BJ58:BJ69" ca="1" si="177">CHOOSE($BB$57,
  INDEX($BJ$6:$BJ$53,MATCH($BB58,$BN$6:$BN$53,0)),
  INDEX($BJ$6:$BJ$53,MATCH($BB58,$BN$6:$BN$53,0))-(SUMIFS(FG_GolesLocal,FGLocal,$BD58,FGVisitante,INDEX($BD$6:$BD$53,MATCH(BO58,$BN$6:$BN$53,0)))+SUMIFS(FG_GolesVisitante,FGVisitante,$BD58,FGLocal,INDEX($BD$6:$BD$53,MATCH(BO58,$BN$6:$BN$53,0)))),
  IFERROR(INDEX($BJ$6:$BJ$53,MATCH($BB58,$BN$6:$BN$53,0)) / BF58, 0)
)</f>
        <v>2</v>
      </c>
      <c r="BK58" s="747">
        <f t="shared" ref="BK58:BK69" ca="1" si="178">CHOOSE($BB$57,
  INDEX($BK$6:$BK$53,MATCH($BB58,$BN$6:$BN$53,0)),
  INDEX($BK$6:$BK$53,MATCH($BB58,$BN$6:$BN$53,0))-(SUMIFS(FG_GolesVisitante,FGLocal,$BD58,FGVisitante,INDEX($BD$6:$BD$53,MATCH(BO58,$BN$6:$BN$53,0)))+SUMIFS(FG_GolesLocal,FGVisitante,$BD58,FGLocal,INDEX($BD$6:$BD$53,MATCH(BO58,$BN$6:$BN$53,0)))),
  IFERROR(INDEX($BK$6:$BK$53,MATCH($BB58,$BN$6:$BN$53,0)) / BF58, 0)
)</f>
        <v>3</v>
      </c>
      <c r="BL58" s="747">
        <f ca="1">BJ58-BK58</f>
        <v>-1</v>
      </c>
      <c r="BM58" s="747">
        <f ca="1">CB58</f>
        <v>10</v>
      </c>
      <c r="BN58" s="747">
        <f ca="1">CF58</f>
        <v>10</v>
      </c>
      <c r="BO58" s="737" t="str">
        <f>"4"&amp;BC58</f>
        <v>4A</v>
      </c>
      <c r="BP58" s="737"/>
      <c r="BQ58" s="737"/>
      <c r="BR58" s="747">
        <f t="shared" ref="BR58:BR69" ca="1" si="179">+BE58</f>
        <v>3</v>
      </c>
      <c r="BS58" s="747">
        <f ca="1">COUNTIFS(BR$58:BR$69,"&gt;"&amp;BR58)+1</f>
        <v>8</v>
      </c>
      <c r="BT58" s="747" t="str">
        <f ca="1">IF(COUNTIF(BS$58:BS$69,BS58)=1,"-","Pos. "&amp;BS58&amp;" ("&amp;COUNTIF(BS$58:BS$69,BS58)&amp;")")</f>
        <v>Pos. 8 (4)</v>
      </c>
      <c r="BU58" s="747">
        <f t="shared" ref="BU58:BU69" ca="1" si="180">IF(BT58="-","-",BL58)</f>
        <v>-1</v>
      </c>
      <c r="BV58" s="747">
        <f t="shared" ref="BV58:BV69" ca="1" si="181">BS58+COUNTIFS(BT$58:BT$69,BT58,BU$58:BU$69,"&gt;"&amp;BU58)</f>
        <v>10</v>
      </c>
      <c r="BW58" s="747" t="str">
        <f t="shared" ref="BW58:BW69" ca="1" si="182">IF(COUNTIF(BV$58:BV$69,BV58)=1,"-","Pos. "&amp;BV58&amp;" ("&amp;COUNTIF(BV$58:BV$69,BV58)&amp;")")</f>
        <v>-</v>
      </c>
      <c r="BX58" s="747" t="str">
        <f t="shared" ref="BX58:BX69" ca="1" si="183">IF(BW58="-","-",BJ58)</f>
        <v>-</v>
      </c>
      <c r="BY58" s="747">
        <f t="shared" ref="BY58:BY69" ca="1" si="184">BV58+COUNTIFS(BW$58:BW$69,BW58,BX$58:BX$69,"&gt;"&amp;BX58)</f>
        <v>10</v>
      </c>
      <c r="BZ58" s="747" t="str">
        <f t="shared" ref="BZ58:BZ69" ca="1" si="185">IF(COUNTIF(BY$58:BY$69,BY58)=1,"-","Pos. "&amp;BY58&amp;" ("&amp;COUNTIF(BY$58:BY$69,BY58)&amp;")")</f>
        <v>-</v>
      </c>
      <c r="CA58" s="747" t="str">
        <f ca="1">IF(BZ58="-","-",COUNTIF($BD$58:$BD$69,"&gt;"&amp;BD58))</f>
        <v>-</v>
      </c>
      <c r="CB58" s="747">
        <f ca="1">BY58+COUNTIFS(BZ$58:BZ$69,BZ58,CA$58:CA$69,"&gt;"&amp;CA58)</f>
        <v>10</v>
      </c>
      <c r="CC58" s="747"/>
      <c r="CD58" s="747">
        <f ca="1">IF(OR(INDEX($AW$102:$AW$113,MATCH($BD58,$AV$102:$AV$113,0))="",BZ58="-"),CB58,INDEX($AW$102:$AW$113,MATCH($BD58,$AV$102:$AV$113,0))+CB58/1000)</f>
        <v>10</v>
      </c>
      <c r="CE58" s="747" t="str">
        <f ca="1">IF(BZ58="-","-",COUNTIF(CD$58:CD$69,"&lt;"&amp;CD58))</f>
        <v>-</v>
      </c>
      <c r="CF58" s="747">
        <f ca="1">BY58+COUNTIFS(BZ$58:BZ$69,BZ58,CE$58:CE$69,"&lt;"&amp;CE58)</f>
        <v>10</v>
      </c>
      <c r="CG58" s="747"/>
      <c r="CH58" s="747"/>
      <c r="CI58" s="747"/>
      <c r="CJ58" s="747"/>
      <c r="CK58" s="747"/>
      <c r="CL58" s="747"/>
      <c r="CM58" s="747"/>
      <c r="CN58" s="747"/>
      <c r="CO58" s="747"/>
      <c r="CP58" s="747"/>
      <c r="CQ58" s="747"/>
      <c r="CR58" s="747"/>
      <c r="CS58" s="747"/>
      <c r="CT58" s="747"/>
      <c r="CU58" s="747"/>
      <c r="CV58" s="747"/>
      <c r="CW58" s="743"/>
      <c r="CX58" s="743"/>
      <c r="CY58" s="743"/>
      <c r="CZ58" s="743"/>
      <c r="DA58" s="743"/>
      <c r="DB58" s="743"/>
      <c r="DC58" s="743"/>
      <c r="DD58" s="743"/>
      <c r="DE58" s="743"/>
      <c r="DF58" s="743"/>
      <c r="DG58" s="743"/>
      <c r="DH58" s="743"/>
      <c r="DI58" s="743"/>
      <c r="DJ58" s="743">
        <f t="shared" ref="DJ58:DJ69" ca="1" si="186">INDEX($BY$58:$BY$69,MATCH($DQ58,$BD$58:$BD$69,0))</f>
        <v>1</v>
      </c>
      <c r="DK58" s="743"/>
      <c r="DL58" s="743">
        <f ca="1">IF(OR($H$113=144,$AJ$99=144),COUNTIF($DJ$58:$DJ$69,DJ58),1)</f>
        <v>1</v>
      </c>
      <c r="DM58" s="737" t="str">
        <f t="shared" ref="DM58:DM69" ca="1" si="187">DJ58&amp;"."&amp;DL58</f>
        <v>1.1</v>
      </c>
      <c r="DN58" s="743" cm="1">
        <f t="array" aca="1" ref="DN58" ca="1">OFFSET(Horarios!$P$3,DJ58-1,0,DL58,1)</f>
        <v>1</v>
      </c>
      <c r="DO58" s="743"/>
      <c r="DP58" s="743">
        <v>1</v>
      </c>
      <c r="DQ58" s="743" t="str">
        <f ca="1">INDEX($BD$58:$BD$69,MATCH(DP58,$BM$58:$BM$69,0))</f>
        <v>DR Congo</v>
      </c>
      <c r="DR58" s="743"/>
      <c r="DS58" s="743"/>
      <c r="DT58" s="743" t="str">
        <f t="shared" si="15"/>
        <v>-</v>
      </c>
      <c r="DU58" s="743"/>
      <c r="DV58" s="743"/>
      <c r="DW58" s="8"/>
    </row>
    <row r="59" spans="1:127" ht="15.75" thickBot="1">
      <c r="A59" s="738"/>
      <c r="B59" s="741"/>
      <c r="C59" s="738"/>
      <c r="D59" s="738"/>
      <c r="E59" s="738"/>
      <c r="F59" s="738"/>
      <c r="G59" s="738"/>
      <c r="H59" s="738"/>
      <c r="I59" s="738"/>
      <c r="J59" s="738"/>
      <c r="K59" s="738"/>
      <c r="L59" s="738"/>
      <c r="M59" s="738"/>
      <c r="N59" s="743"/>
      <c r="O59" s="743"/>
      <c r="P59" s="743"/>
      <c r="Q59" s="743"/>
      <c r="R59" s="743"/>
      <c r="S59" s="743"/>
      <c r="T59" s="743"/>
      <c r="U59" s="743"/>
      <c r="V59" s="172"/>
      <c r="W59" s="179"/>
      <c r="X59" s="180" t="str">
        <f>X3</f>
        <v>Date</v>
      </c>
      <c r="Y59" s="180" t="str">
        <f>Y3</f>
        <v>Hour</v>
      </c>
      <c r="Z59" s="181" t="str">
        <f>Z3</f>
        <v>R</v>
      </c>
      <c r="AA59" s="182" t="str">
        <f>AA3</f>
        <v>Home</v>
      </c>
      <c r="AB59" s="181"/>
      <c r="AC59" s="181" t="str">
        <f>AC3</f>
        <v>Goal</v>
      </c>
      <c r="AD59" s="181" t="str">
        <f>AD3</f>
        <v>Goal</v>
      </c>
      <c r="AE59" s="181"/>
      <c r="AF59" s="184" t="str">
        <f>AF3</f>
        <v>Away</v>
      </c>
      <c r="AG59" s="414"/>
      <c r="AH59" s="196"/>
      <c r="AI59" s="18"/>
      <c r="AJ59" s="186"/>
      <c r="AK59" s="252"/>
      <c r="AL59" s="186"/>
      <c r="AM59" s="186"/>
      <c r="AN59" s="186"/>
      <c r="AO59" s="186"/>
      <c r="AP59" s="186"/>
      <c r="AQ59" s="186"/>
      <c r="AR59" s="186"/>
      <c r="AS59" s="186"/>
      <c r="AT59" s="186"/>
      <c r="AU59" s="421"/>
      <c r="AV59" s="22"/>
      <c r="AW59" s="429"/>
      <c r="AX59" s="253"/>
      <c r="AY59" s="242"/>
      <c r="AZ59" s="243"/>
      <c r="BA59" s="175"/>
      <c r="BB59" s="758" t="str">
        <f t="shared" ref="BB59:BB69" si="188">"3"&amp;BC59</f>
        <v>3B</v>
      </c>
      <c r="BC59" s="755" t="s">
        <v>1</v>
      </c>
      <c r="BD59" s="743" t="str">
        <f t="shared" ca="1" si="175"/>
        <v>Bosnia and Herzegovina</v>
      </c>
      <c r="BE59" s="747">
        <f t="shared" ref="BE59:BE69" ca="1" si="189">CHOOSE($BB$57,
  (BG59*3 + BH59)+IF($AZ$3="No",0,INDEX($AZ$6:$AZ$97,MATCH(BD59,$AY$6:$AY$97,0))),
  (BG59*3 + BH59)+IF($AZ$3="No",0,INDEX($AZ$6:$AZ$97,MATCH(BD59,$AY$6:$AY$97,0))),
  IFERROR((BG59*3 + BH59+IF($AZ$3="No",0,INDEX($AZ$6:$AZ$97,MATCH(BD59,$AY$6:$AY$97,0)))) / BF59, 0)
)</f>
        <v>4</v>
      </c>
      <c r="BF59" s="747">
        <f t="shared" ref="BF59:BF69" ca="1" si="190">+BG59+BH59+BI59</f>
        <v>3</v>
      </c>
      <c r="BG59" s="747">
        <f t="shared" ref="BG59:BG69" ca="1" si="191">CHOOSE(IF($BB$57=2, 2, 1),
  INDEX($BG$6:$BG$53,MATCH($BB59,$BN$6:$BN$53,0)),
  INDEX($BG$6:$BG$53,MATCH($BB59,$BN$6:$BN$53,0))-(COUNTIFS(FGLocal,$BD59,FGVisitante,INDEX($BD$6:$BD$53,MATCH(BO59,$BN$6:$BN$53,0)),Ganador,"Local")+COUNTIFS(FGVisitante,$BD59,FGLocal,INDEX($BD$6:$BD$53,MATCH(BO59,$BN$6:$BN$53,0)),Ganador,"Visitante"))
)</f>
        <v>1</v>
      </c>
      <c r="BH59" s="747">
        <f t="shared" ref="BH59:BH69" ca="1" si="192">CHOOSE(IF($BB$57=2, 2, 1),
  INDEX($BH$6:$BH$53,MATCH($BB59,$BN$6:$BN$53,0)),
  INDEX($BH$6:$BH$53,MATCH($BB59,$BN$6:$BN$53,0))-(COUNTIFS(FGLocal,$BD59,FGVisitante,INDEX($BD$6:$BD$53,MATCH(BO59,$BN$6:$BN$53,0)),Ganador,"Empate")+COUNTIFS(FGVisitante,$BD59,FGLocal,INDEX($BD$6:$BD$53,MATCH(BO59,$BN$6:$BN$53,0)),Ganador,"Empate"))
)</f>
        <v>1</v>
      </c>
      <c r="BI59" s="747">
        <f t="shared" ca="1" si="176"/>
        <v>1</v>
      </c>
      <c r="BJ59" s="747">
        <f t="shared" ca="1" si="177"/>
        <v>5</v>
      </c>
      <c r="BK59" s="747">
        <f t="shared" ca="1" si="178"/>
        <v>6</v>
      </c>
      <c r="BL59" s="747">
        <f t="shared" ref="BL59:BL69" ca="1" si="193">BJ59-BK59</f>
        <v>-1</v>
      </c>
      <c r="BM59" s="747">
        <f t="shared" ref="BM59:BM69" ca="1" si="194">CB59</f>
        <v>5</v>
      </c>
      <c r="BN59" s="747">
        <f t="shared" ref="BN59:BN69" ca="1" si="195">CF59</f>
        <v>5</v>
      </c>
      <c r="BO59" s="737" t="str">
        <f t="shared" ref="BO59:BO69" si="196">"4"&amp;BC59</f>
        <v>4B</v>
      </c>
      <c r="BP59" s="737"/>
      <c r="BQ59" s="737"/>
      <c r="BR59" s="747">
        <f t="shared" ca="1" si="179"/>
        <v>4</v>
      </c>
      <c r="BS59" s="747">
        <f t="shared" ref="BS59:BS69" ca="1" si="197">COUNTIFS(BR$58:BR$69,"&gt;"&amp;BR59)+1</f>
        <v>1</v>
      </c>
      <c r="BT59" s="747" t="str">
        <f t="shared" ref="BT59:BT69" ca="1" si="198">IF(COUNTIF(BS$58:BS$69,BS59)=1,"-","Pos. "&amp;BS59&amp;" ("&amp;COUNTIF(BS$58:BS$69,BS59)&amp;")")</f>
        <v>Pos. 1 (7)</v>
      </c>
      <c r="BU59" s="747">
        <f t="shared" ca="1" si="180"/>
        <v>-1</v>
      </c>
      <c r="BV59" s="747">
        <f t="shared" ca="1" si="181"/>
        <v>5</v>
      </c>
      <c r="BW59" s="747" t="str">
        <f t="shared" ca="1" si="182"/>
        <v>-</v>
      </c>
      <c r="BX59" s="747" t="str">
        <f t="shared" ca="1" si="183"/>
        <v>-</v>
      </c>
      <c r="BY59" s="747">
        <f t="shared" ca="1" si="184"/>
        <v>5</v>
      </c>
      <c r="BZ59" s="747" t="str">
        <f t="shared" ca="1" si="185"/>
        <v>-</v>
      </c>
      <c r="CA59" s="747" t="str">
        <f t="shared" ref="CA59:CA69" ca="1" si="199">IF(BZ59="-","-",COUNTIF($BD$58:$BD$69,"&gt;"&amp;BD59))</f>
        <v>-</v>
      </c>
      <c r="CB59" s="747">
        <f t="shared" ref="CB59:CB68" ca="1" si="200">BY59+COUNTIFS(BZ$58:BZ$69,BZ59,CA$58:CA$69,"&gt;"&amp;CA59)</f>
        <v>5</v>
      </c>
      <c r="CC59" s="747"/>
      <c r="CD59" s="747">
        <f t="shared" ref="CD59:CD69" ca="1" si="201">IF(OR(INDEX($AW$102:$AW$113,MATCH($BD59,$AV$102:$AV$113,0))="",BZ59="-"),CB59,INDEX($AW$102:$AW$113,MATCH($BD59,$AV$102:$AV$113,0))+CB59/1000)</f>
        <v>5</v>
      </c>
      <c r="CE59" s="747" t="str">
        <f t="shared" ref="CE59:CE69" ca="1" si="202">IF(BZ59="-","-",COUNTIF(CD$58:CD$69,"&lt;"&amp;CD59))</f>
        <v>-</v>
      </c>
      <c r="CF59" s="747">
        <f t="shared" ref="CF59:CF69" ca="1" si="203">BY59+COUNTIFS(BZ$58:BZ$69,BZ59,CE$58:CE$69,"&lt;"&amp;CE59)</f>
        <v>5</v>
      </c>
      <c r="CG59" s="747"/>
      <c r="CH59" s="747"/>
      <c r="CI59" s="747"/>
      <c r="CJ59" s="747"/>
      <c r="CK59" s="747"/>
      <c r="CL59" s="747"/>
      <c r="CM59" s="747"/>
      <c r="CN59" s="747"/>
      <c r="CO59" s="747"/>
      <c r="CP59" s="747"/>
      <c r="CQ59" s="747"/>
      <c r="CR59" s="747"/>
      <c r="CS59" s="747"/>
      <c r="CT59" s="747"/>
      <c r="CU59" s="747"/>
      <c r="CV59" s="747"/>
      <c r="CW59" s="743"/>
      <c r="CX59" s="743"/>
      <c r="CY59" s="743"/>
      <c r="CZ59" s="743"/>
      <c r="DA59" s="743"/>
      <c r="DB59" s="743"/>
      <c r="DC59" s="743"/>
      <c r="DD59" s="743"/>
      <c r="DE59" s="743"/>
      <c r="DF59" s="743"/>
      <c r="DG59" s="743"/>
      <c r="DH59" s="743"/>
      <c r="DI59" s="743"/>
      <c r="DJ59" s="743">
        <f t="shared" ca="1" si="186"/>
        <v>2</v>
      </c>
      <c r="DK59" s="743"/>
      <c r="DL59" s="743">
        <f t="shared" ref="DL59:DL69" ca="1" si="204">IF(OR($H$113=144,$AJ$99=144),COUNTIF($DJ$58:$DJ$69,DJ59),1)</f>
        <v>1</v>
      </c>
      <c r="DM59" s="737" t="str">
        <f t="shared" ca="1" si="187"/>
        <v>2.1</v>
      </c>
      <c r="DN59" s="743" cm="1">
        <f t="array" aca="1" ref="DN59" ca="1">OFFSET(Horarios!$P$3,DJ59-1,0,DL59,1)</f>
        <v>2</v>
      </c>
      <c r="DO59" s="743"/>
      <c r="DP59" s="743">
        <v>2</v>
      </c>
      <c r="DQ59" s="743" t="str">
        <f t="shared" ref="DQ59:DQ69" ca="1" si="205">INDEX($BD$58:$BD$69,MATCH(DP59,$BM$58:$BM$69,0))</f>
        <v>Sweden</v>
      </c>
      <c r="DR59" s="743"/>
      <c r="DS59" s="743"/>
      <c r="DT59" s="743" t="str">
        <f t="shared" si="15"/>
        <v>Home-Away</v>
      </c>
      <c r="DU59" s="743"/>
      <c r="DV59" s="743"/>
      <c r="DW59" s="8"/>
    </row>
    <row r="60" spans="1:127" ht="15" customHeight="1" thickBot="1">
      <c r="A60" s="740" t="s">
        <v>30</v>
      </c>
      <c r="B60" s="741" t="s">
        <v>437</v>
      </c>
      <c r="C60" s="742">
        <f>COUNTIF(Equipos!$C$2:$C$49,WORLDCUP!B60)</f>
        <v>4</v>
      </c>
      <c r="D60" s="743" t="str">
        <f t="shared" ref="D60:D65" si="206">IF(OR(AC60="",AD60=""),"Pendiente",IF(AC60&gt;AD60,"Local",IF(AC60&lt;AD60,"Visitante","Empate")))</f>
        <v>Empate</v>
      </c>
      <c r="E60" s="743" t="str">
        <f t="shared" ref="E60:E65" ca="1" si="207">IF(D60="Pendiente","-",INDEX($BT$6:$BT$53,MATCH($AA60,$BD$6:$BD$53,0)))</f>
        <v>-</v>
      </c>
      <c r="F60" s="743" t="str">
        <f t="shared" ref="F60:F65" ca="1" si="208">IF(D60="Pendiente","-",INDEX($BT$6:$BT$53,MATCH($AF60,$BD$6:$BD$53,0)))</f>
        <v>-</v>
      </c>
      <c r="G60" s="743"/>
      <c r="H60" s="743" t="str">
        <f t="shared" ref="H60:H65" ca="1" si="209">IF(D60="Pendiente","-",INDEX($BZ$6:$BZ$53,MATCH($AA60,$BD$6:$BD$53,0)))</f>
        <v>-</v>
      </c>
      <c r="I60" s="743" t="str">
        <f t="shared" ref="I60:I65" ca="1" si="210">IF(D60="Pendiente","-",INDEX($BZ$6:$BZ$53,MATCH($AF60,$BD$6:$BD$53,0)))</f>
        <v>-</v>
      </c>
      <c r="J60" s="743"/>
      <c r="K60" s="743" t="str">
        <f t="shared" ref="K60:K65" ca="1" si="211">IF(D60="Pendiente","-",INDEX($CE$6:$CE$53,MATCH($AA60,$BD$6:$BD$53,0)))</f>
        <v>-</v>
      </c>
      <c r="L60" s="743" t="str">
        <f t="shared" ref="L60:L65" ca="1" si="212">IF(D60="Pendiente","-",INDEX($CE$6:$CE$53,MATCH($AF60,$BD$6:$BD$53,0)))</f>
        <v>-</v>
      </c>
      <c r="M60" s="743"/>
      <c r="N60" s="743" t="str">
        <f t="shared" ref="N60:N65" ca="1" si="213">IF(D60="Pendiente","-",INDEX($CH$6:$CH$53,MATCH($AA60,$BD$6:$BD$53,0)))</f>
        <v>-</v>
      </c>
      <c r="O60" s="743" t="str">
        <f t="shared" ref="O60:O65" ca="1" si="214">IF(D60="Pendiente","-",INDEX($CH$6:$CH$53,MATCH($AF60,$BD$6:$BD$53,0)))</f>
        <v>-</v>
      </c>
      <c r="P60" s="743"/>
      <c r="Q60" s="743" t="str">
        <f t="shared" ref="Q60:Q65" ca="1" si="215">IF(D60="Pendiente","-",INDEX($CN$6:$CN$53,MATCH($AA60,$BD$6:$BD$53,0)))</f>
        <v>-</v>
      </c>
      <c r="R60" s="743" t="str">
        <f t="shared" ref="R60:R65" ca="1" si="216">IF(D60="Pendiente","-",INDEX($CN$6:$CN$53,MATCH($AF60,$BD$6:$BD$53,0)))</f>
        <v>-</v>
      </c>
      <c r="S60" s="743"/>
      <c r="T60" s="743" t="str">
        <f t="shared" ref="T60:T65" ca="1" si="217">IF(D60="Pendiente","-",INDEX($CS$6:$CS$53,MATCH($AA60,$BD$6:$BD$53,0)))</f>
        <v>-</v>
      </c>
      <c r="U60" s="743" t="str">
        <f t="shared" ref="U60:U65" ca="1" si="218">IF(D60="Pendiente","-",INDEX($CS$6:$CS$53,MATCH($AF60,$BD$6:$BD$53,0)))</f>
        <v>-</v>
      </c>
      <c r="V60" s="172"/>
      <c r="W60" s="825" t="s">
        <v>437</v>
      </c>
      <c r="X60" s="189">
        <f ca="1">Horarios!C60</f>
        <v>46188.75</v>
      </c>
      <c r="Y60" s="190">
        <f ca="1">Horarios!C60</f>
        <v>46188.75</v>
      </c>
      <c r="Z60" s="191" t="str">
        <f>$Z$4</f>
        <v>R1</v>
      </c>
      <c r="AA60" s="192" t="str">
        <f ca="1">A61</f>
        <v>Spain</v>
      </c>
      <c r="AB60" s="478" t="e" cm="1" vm="29">
        <f t="array" aca="1" ref="AB60" ca="1">Ver_flag_local</f>
        <v>#VALUE!</v>
      </c>
      <c r="AC60" s="193">
        <v>0</v>
      </c>
      <c r="AD60" s="194">
        <v>0</v>
      </c>
      <c r="AE60" s="483" t="e" cm="1" vm="30">
        <f t="array" aca="1" ref="AE60" ca="1">Ver_flag_visit</f>
        <v>#VALUE!</v>
      </c>
      <c r="AF60" s="195" t="str">
        <f ca="1">A62</f>
        <v>Cape Verde</v>
      </c>
      <c r="AG60" s="413">
        <f t="shared" ref="AG60:AG65" si="219">IF(NOT(OR(ISBLANK(AC60),ISBLANK(AD60))),1,0)</f>
        <v>1</v>
      </c>
      <c r="AH60" s="196">
        <v>14</v>
      </c>
      <c r="AI60" s="19"/>
      <c r="AJ60" s="197" t="str">
        <f>CONCATENATE(AJ3," ",B60)</f>
        <v>Group H</v>
      </c>
      <c r="AK60" s="198"/>
      <c r="AL60" s="198"/>
      <c r="AM60" s="198"/>
      <c r="AN60" s="198"/>
      <c r="AO60" s="198"/>
      <c r="AP60" s="198"/>
      <c r="AQ60" s="198"/>
      <c r="AR60" s="198"/>
      <c r="AS60" s="198"/>
      <c r="AT60" s="199"/>
      <c r="AU60" s="421"/>
      <c r="AV60" s="200" t="str">
        <f t="shared" ref="AV60" ca="1" si="220">IF(AU61&gt;0,$AV$3,"")</f>
        <v/>
      </c>
      <c r="AW60" s="208"/>
      <c r="AX60" s="255"/>
      <c r="AY60" s="242"/>
      <c r="AZ60" s="243"/>
      <c r="BA60" s="175"/>
      <c r="BB60" s="758" t="str">
        <f t="shared" si="188"/>
        <v>3C</v>
      </c>
      <c r="BC60" s="755" t="s">
        <v>2</v>
      </c>
      <c r="BD60" s="743" t="str">
        <f t="shared" ca="1" si="175"/>
        <v>Scotland</v>
      </c>
      <c r="BE60" s="747">
        <f t="shared" ca="1" si="189"/>
        <v>3</v>
      </c>
      <c r="BF60" s="747">
        <f t="shared" ca="1" si="190"/>
        <v>3</v>
      </c>
      <c r="BG60" s="747">
        <f t="shared" ca="1" si="191"/>
        <v>1</v>
      </c>
      <c r="BH60" s="747">
        <f t="shared" ca="1" si="192"/>
        <v>0</v>
      </c>
      <c r="BI60" s="747">
        <f t="shared" ca="1" si="176"/>
        <v>2</v>
      </c>
      <c r="BJ60" s="747">
        <f t="shared" ca="1" si="177"/>
        <v>1</v>
      </c>
      <c r="BK60" s="747">
        <f t="shared" ca="1" si="178"/>
        <v>4</v>
      </c>
      <c r="BL60" s="747">
        <f t="shared" ca="1" si="193"/>
        <v>-3</v>
      </c>
      <c r="BM60" s="747">
        <f t="shared" ca="1" si="194"/>
        <v>11</v>
      </c>
      <c r="BN60" s="747">
        <f t="shared" ca="1" si="195"/>
        <v>11</v>
      </c>
      <c r="BO60" s="737" t="str">
        <f t="shared" si="196"/>
        <v>4C</v>
      </c>
      <c r="BP60" s="737"/>
      <c r="BQ60" s="737"/>
      <c r="BR60" s="747">
        <f t="shared" ca="1" si="179"/>
        <v>3</v>
      </c>
      <c r="BS60" s="747">
        <f t="shared" ca="1" si="197"/>
        <v>8</v>
      </c>
      <c r="BT60" s="747" t="str">
        <f t="shared" ca="1" si="198"/>
        <v>Pos. 8 (4)</v>
      </c>
      <c r="BU60" s="747">
        <f t="shared" ca="1" si="180"/>
        <v>-3</v>
      </c>
      <c r="BV60" s="747">
        <f t="shared" ca="1" si="181"/>
        <v>11</v>
      </c>
      <c r="BW60" s="747" t="str">
        <f t="shared" ca="1" si="182"/>
        <v>-</v>
      </c>
      <c r="BX60" s="747" t="str">
        <f t="shared" ca="1" si="183"/>
        <v>-</v>
      </c>
      <c r="BY60" s="747">
        <f t="shared" ca="1" si="184"/>
        <v>11</v>
      </c>
      <c r="BZ60" s="747" t="str">
        <f t="shared" ca="1" si="185"/>
        <v>-</v>
      </c>
      <c r="CA60" s="747" t="str">
        <f t="shared" ca="1" si="199"/>
        <v>-</v>
      </c>
      <c r="CB60" s="747">
        <f t="shared" ca="1" si="200"/>
        <v>11</v>
      </c>
      <c r="CC60" s="747"/>
      <c r="CD60" s="747">
        <f t="shared" ca="1" si="201"/>
        <v>11</v>
      </c>
      <c r="CE60" s="747" t="str">
        <f t="shared" ca="1" si="202"/>
        <v>-</v>
      </c>
      <c r="CF60" s="747">
        <f t="shared" ca="1" si="203"/>
        <v>11</v>
      </c>
      <c r="CG60" s="747"/>
      <c r="CH60" s="747"/>
      <c r="CI60" s="747"/>
      <c r="CJ60" s="747"/>
      <c r="CK60" s="747"/>
      <c r="CL60" s="747"/>
      <c r="CM60" s="747"/>
      <c r="CN60" s="747"/>
      <c r="CO60" s="747"/>
      <c r="CP60" s="747"/>
      <c r="CQ60" s="747"/>
      <c r="CR60" s="747"/>
      <c r="CS60" s="747"/>
      <c r="CT60" s="747"/>
      <c r="CU60" s="747"/>
      <c r="CV60" s="747"/>
      <c r="CW60" s="743"/>
      <c r="CX60" s="743"/>
      <c r="CY60" s="743"/>
      <c r="CZ60" s="743"/>
      <c r="DA60" s="743"/>
      <c r="DB60" s="743"/>
      <c r="DC60" s="743"/>
      <c r="DD60" s="743"/>
      <c r="DE60" s="743"/>
      <c r="DF60" s="743"/>
      <c r="DG60" s="743"/>
      <c r="DH60" s="743"/>
      <c r="DI60" s="743"/>
      <c r="DJ60" s="743">
        <f t="shared" ca="1" si="186"/>
        <v>3</v>
      </c>
      <c r="DK60" s="743"/>
      <c r="DL60" s="743">
        <f t="shared" ca="1" si="204"/>
        <v>2</v>
      </c>
      <c r="DM60" s="737" t="str">
        <f t="shared" ca="1" si="187"/>
        <v>3.2</v>
      </c>
      <c r="DN60" s="743" t="e" cm="1" vm="31">
        <f t="array" aca="1" ref="DN60" ca="1">OFFSET(Horarios!$P$3,DJ60-1,0,DL60,1)</f>
        <v>#VALUE!</v>
      </c>
      <c r="DO60" s="743"/>
      <c r="DP60" s="743">
        <v>3</v>
      </c>
      <c r="DQ60" s="743" t="str">
        <f t="shared" ca="1" si="205"/>
        <v>Ecuador</v>
      </c>
      <c r="DR60" s="743"/>
      <c r="DS60" s="743"/>
      <c r="DT60" s="743" t="str">
        <f t="shared" ca="1" si="15"/>
        <v>Spain-Cape Verde</v>
      </c>
      <c r="DU60" s="743"/>
      <c r="DV60" s="743"/>
      <c r="DW60" s="8"/>
    </row>
    <row r="61" spans="1:127">
      <c r="A61" s="744" t="str">
        <f ca="1">+Equipos!B30</f>
        <v>Spain</v>
      </c>
      <c r="B61" s="741"/>
      <c r="C61" s="741"/>
      <c r="D61" s="743" t="str">
        <f t="shared" si="206"/>
        <v>Empate</v>
      </c>
      <c r="E61" s="743" t="str">
        <f t="shared" ca="1" si="207"/>
        <v>P.3 (2)</v>
      </c>
      <c r="F61" s="743" t="str">
        <f t="shared" ca="1" si="208"/>
        <v>P.3 (2)</v>
      </c>
      <c r="G61" s="743"/>
      <c r="H61" s="743" t="str">
        <f t="shared" ca="1" si="209"/>
        <v>P.3 (2)</v>
      </c>
      <c r="I61" s="743" t="str">
        <f t="shared" ca="1" si="210"/>
        <v>P.3 (2)</v>
      </c>
      <c r="J61" s="743"/>
      <c r="K61" s="743" t="str">
        <f t="shared" ca="1" si="211"/>
        <v>P.3 (2)</v>
      </c>
      <c r="L61" s="743" t="str">
        <f t="shared" ca="1" si="212"/>
        <v>P.3 (2)</v>
      </c>
      <c r="M61" s="743"/>
      <c r="N61" s="743" t="str">
        <f t="shared" ca="1" si="213"/>
        <v>P.3 (2)</v>
      </c>
      <c r="O61" s="743" t="str">
        <f t="shared" ca="1" si="214"/>
        <v>P.3 (2)</v>
      </c>
      <c r="P61" s="743"/>
      <c r="Q61" s="743" t="str">
        <f t="shared" ca="1" si="215"/>
        <v>P.3 (2)</v>
      </c>
      <c r="R61" s="743" t="str">
        <f t="shared" ca="1" si="216"/>
        <v>P.3 (2)</v>
      </c>
      <c r="S61" s="743"/>
      <c r="T61" s="743" t="str">
        <f t="shared" ca="1" si="217"/>
        <v>P.3 (2)</v>
      </c>
      <c r="U61" s="743" t="str">
        <f t="shared" ca="1" si="218"/>
        <v>P.3 (2)</v>
      </c>
      <c r="V61" s="172"/>
      <c r="W61" s="825"/>
      <c r="X61" s="189">
        <f ca="1">Horarios!C61</f>
        <v>46189</v>
      </c>
      <c r="Y61" s="190">
        <f ca="1">Horarios!C61</f>
        <v>46189</v>
      </c>
      <c r="Z61" s="191" t="str">
        <f>$Z$4</f>
        <v>R1</v>
      </c>
      <c r="AA61" s="192" t="str">
        <f ca="1">A63</f>
        <v>Saudi Arabia</v>
      </c>
      <c r="AB61" s="478" t="e" cm="1" vm="32">
        <f t="array" aca="1" ref="AB61" ca="1">Ver_flag_local</f>
        <v>#VALUE!</v>
      </c>
      <c r="AC61" s="193">
        <v>1</v>
      </c>
      <c r="AD61" s="194">
        <v>1</v>
      </c>
      <c r="AE61" s="483" t="e" cm="1" vm="33">
        <f t="array" aca="1" ref="AE61" ca="1">Ver_flag_visit</f>
        <v>#VALUE!</v>
      </c>
      <c r="AF61" s="195" t="str">
        <f ca="1">A64</f>
        <v>Uruguay</v>
      </c>
      <c r="AG61" s="413">
        <f t="shared" si="219"/>
        <v>1</v>
      </c>
      <c r="AH61" s="196">
        <v>13</v>
      </c>
      <c r="AI61" s="19"/>
      <c r="AJ61" s="204" t="str">
        <f>AJ5</f>
        <v>Pos</v>
      </c>
      <c r="AK61" s="205"/>
      <c r="AL61" s="206" t="str">
        <f t="shared" ref="AL61:AT61" si="221">AL5</f>
        <v>Nation</v>
      </c>
      <c r="AM61" s="205" t="str">
        <f t="shared" si="221"/>
        <v>Pts</v>
      </c>
      <c r="AN61" s="205" t="str">
        <f t="shared" si="221"/>
        <v>P</v>
      </c>
      <c r="AO61" s="205" t="str">
        <f t="shared" si="221"/>
        <v>W</v>
      </c>
      <c r="AP61" s="205" t="str">
        <f t="shared" si="221"/>
        <v>D</v>
      </c>
      <c r="AQ61" s="205" t="str">
        <f t="shared" si="221"/>
        <v>L</v>
      </c>
      <c r="AR61" s="205" t="str">
        <f t="shared" si="221"/>
        <v>F</v>
      </c>
      <c r="AS61" s="205" t="str">
        <f t="shared" si="221"/>
        <v>A</v>
      </c>
      <c r="AT61" s="207" t="str">
        <f t="shared" si="221"/>
        <v>GD</v>
      </c>
      <c r="AU61" s="421">
        <f t="shared" ref="AU61" ca="1" si="222">COUNTIF(AU62:AU65,"&gt;1")</f>
        <v>0</v>
      </c>
      <c r="AV61" s="208"/>
      <c r="AW61" s="208"/>
      <c r="AX61" s="255"/>
      <c r="AY61" s="209" t="str">
        <f>AL61</f>
        <v>Nation</v>
      </c>
      <c r="AZ61" s="210" t="str">
        <f>+Idiomas!$D$69</f>
        <v>Deducted Points</v>
      </c>
      <c r="BA61" s="175"/>
      <c r="BB61" s="758" t="str">
        <f t="shared" si="188"/>
        <v>3D</v>
      </c>
      <c r="BC61" s="755" t="s">
        <v>73</v>
      </c>
      <c r="BD61" s="743" t="str">
        <f t="shared" ca="1" si="175"/>
        <v>Paraguay</v>
      </c>
      <c r="BE61" s="747">
        <f t="shared" ca="1" si="189"/>
        <v>4</v>
      </c>
      <c r="BF61" s="747">
        <f t="shared" ca="1" si="190"/>
        <v>3</v>
      </c>
      <c r="BG61" s="747">
        <f t="shared" ca="1" si="191"/>
        <v>1</v>
      </c>
      <c r="BH61" s="747">
        <f t="shared" ca="1" si="192"/>
        <v>1</v>
      </c>
      <c r="BI61" s="747">
        <f t="shared" ca="1" si="176"/>
        <v>1</v>
      </c>
      <c r="BJ61" s="747">
        <f t="shared" ca="1" si="177"/>
        <v>2</v>
      </c>
      <c r="BK61" s="747">
        <f t="shared" ca="1" si="178"/>
        <v>4</v>
      </c>
      <c r="BL61" s="747">
        <f t="shared" ca="1" si="193"/>
        <v>-2</v>
      </c>
      <c r="BM61" s="747">
        <f t="shared" ca="1" si="194"/>
        <v>7</v>
      </c>
      <c r="BN61" s="747">
        <f t="shared" ca="1" si="195"/>
        <v>7</v>
      </c>
      <c r="BO61" s="737" t="str">
        <f t="shared" si="196"/>
        <v>4D</v>
      </c>
      <c r="BP61" s="737"/>
      <c r="BQ61" s="737"/>
      <c r="BR61" s="747">
        <f t="shared" ca="1" si="179"/>
        <v>4</v>
      </c>
      <c r="BS61" s="747">
        <f t="shared" ca="1" si="197"/>
        <v>1</v>
      </c>
      <c r="BT61" s="747" t="str">
        <f t="shared" ca="1" si="198"/>
        <v>Pos. 1 (7)</v>
      </c>
      <c r="BU61" s="747">
        <f t="shared" ca="1" si="180"/>
        <v>-2</v>
      </c>
      <c r="BV61" s="747">
        <f t="shared" ca="1" si="181"/>
        <v>6</v>
      </c>
      <c r="BW61" s="747" t="str">
        <f t="shared" ca="1" si="182"/>
        <v>Pos. 6 (2)</v>
      </c>
      <c r="BX61" s="747">
        <f t="shared" ca="1" si="183"/>
        <v>2</v>
      </c>
      <c r="BY61" s="747">
        <f t="shared" ca="1" si="184"/>
        <v>7</v>
      </c>
      <c r="BZ61" s="747" t="str">
        <f t="shared" ca="1" si="185"/>
        <v>-</v>
      </c>
      <c r="CA61" s="747" t="str">
        <f t="shared" ca="1" si="199"/>
        <v>-</v>
      </c>
      <c r="CB61" s="747">
        <f t="shared" ca="1" si="200"/>
        <v>7</v>
      </c>
      <c r="CC61" s="747"/>
      <c r="CD61" s="747">
        <f t="shared" ca="1" si="201"/>
        <v>7</v>
      </c>
      <c r="CE61" s="747" t="str">
        <f t="shared" ca="1" si="202"/>
        <v>-</v>
      </c>
      <c r="CF61" s="747">
        <f t="shared" ca="1" si="203"/>
        <v>7</v>
      </c>
      <c r="CG61" s="747"/>
      <c r="CH61" s="747"/>
      <c r="CI61" s="747"/>
      <c r="CJ61" s="747"/>
      <c r="CK61" s="747"/>
      <c r="CL61" s="747"/>
      <c r="CM61" s="747"/>
      <c r="CN61" s="747"/>
      <c r="CO61" s="747"/>
      <c r="CP61" s="747"/>
      <c r="CQ61" s="747"/>
      <c r="CR61" s="747"/>
      <c r="CS61" s="747"/>
      <c r="CT61" s="747"/>
      <c r="CU61" s="747"/>
      <c r="CV61" s="747"/>
      <c r="CW61" s="743"/>
      <c r="CX61" s="743"/>
      <c r="CY61" s="743"/>
      <c r="CZ61" s="743"/>
      <c r="DA61" s="743"/>
      <c r="DB61" s="743"/>
      <c r="DC61" s="743"/>
      <c r="DD61" s="743"/>
      <c r="DE61" s="743"/>
      <c r="DF61" s="743"/>
      <c r="DG61" s="743"/>
      <c r="DH61" s="743"/>
      <c r="DI61" s="743"/>
      <c r="DJ61" s="743">
        <f t="shared" ca="1" si="186"/>
        <v>3</v>
      </c>
      <c r="DK61" s="743"/>
      <c r="DL61" s="743">
        <f t="shared" ca="1" si="204"/>
        <v>2</v>
      </c>
      <c r="DM61" s="737" t="str">
        <f t="shared" ca="1" si="187"/>
        <v>3.2</v>
      </c>
      <c r="DN61" s="743" t="e" cm="1" vm="31">
        <f t="array" aca="1" ref="DN61" ca="1">OFFSET(Horarios!$P$3,DJ61-1,0,DL61,1)</f>
        <v>#VALUE!</v>
      </c>
      <c r="DO61" s="743"/>
      <c r="DP61" s="743">
        <v>4</v>
      </c>
      <c r="DQ61" s="743" t="str">
        <f t="shared" ca="1" si="205"/>
        <v>Ghana</v>
      </c>
      <c r="DR61" s="743"/>
      <c r="DS61" s="743"/>
      <c r="DT61" s="743" t="str">
        <f t="shared" ca="1" si="15"/>
        <v>Saudi Arabia-Uruguay</v>
      </c>
      <c r="DU61" s="743"/>
      <c r="DV61" s="743"/>
      <c r="DW61" s="8"/>
    </row>
    <row r="62" spans="1:127">
      <c r="A62" s="744" t="str">
        <f ca="1">+Equipos!B31</f>
        <v>Cape Verde</v>
      </c>
      <c r="B62" s="741"/>
      <c r="C62" s="745"/>
      <c r="D62" s="743" t="str">
        <f t="shared" si="206"/>
        <v>Local</v>
      </c>
      <c r="E62" s="743" t="str">
        <f t="shared" ca="1" si="207"/>
        <v>-</v>
      </c>
      <c r="F62" s="743" t="str">
        <f t="shared" ca="1" si="208"/>
        <v>P.3 (2)</v>
      </c>
      <c r="G62" s="743"/>
      <c r="H62" s="743" t="str">
        <f t="shared" ca="1" si="209"/>
        <v>-</v>
      </c>
      <c r="I62" s="743" t="str">
        <f t="shared" ca="1" si="210"/>
        <v>P.3 (2)</v>
      </c>
      <c r="J62" s="743"/>
      <c r="K62" s="743" t="str">
        <f t="shared" ca="1" si="211"/>
        <v>-</v>
      </c>
      <c r="L62" s="743" t="str">
        <f t="shared" ca="1" si="212"/>
        <v>P.3 (2)</v>
      </c>
      <c r="M62" s="743"/>
      <c r="N62" s="743" t="str">
        <f t="shared" ca="1" si="213"/>
        <v>-</v>
      </c>
      <c r="O62" s="743" t="str">
        <f t="shared" ca="1" si="214"/>
        <v>P.3 (2)</v>
      </c>
      <c r="P62" s="743"/>
      <c r="Q62" s="743" t="str">
        <f t="shared" ca="1" si="215"/>
        <v>-</v>
      </c>
      <c r="R62" s="743" t="str">
        <f t="shared" ca="1" si="216"/>
        <v>P.3 (2)</v>
      </c>
      <c r="S62" s="743"/>
      <c r="T62" s="743" t="str">
        <f t="shared" ca="1" si="217"/>
        <v>-</v>
      </c>
      <c r="U62" s="743" t="str">
        <f t="shared" ca="1" si="218"/>
        <v>P.3 (2)</v>
      </c>
      <c r="V62" s="172"/>
      <c r="W62" s="825"/>
      <c r="X62" s="189">
        <f ca="1">Horarios!C62</f>
        <v>46194.75</v>
      </c>
      <c r="Y62" s="190">
        <f ca="1">Horarios!C62</f>
        <v>46194.75</v>
      </c>
      <c r="Z62" s="191" t="str">
        <f>$Z$6</f>
        <v>R2</v>
      </c>
      <c r="AA62" s="192" t="str">
        <f ca="1">A61</f>
        <v>Spain</v>
      </c>
      <c r="AB62" s="478" t="e" cm="1" vm="29">
        <f t="array" aca="1" ref="AB62" ca="1">Ver_flag_local</f>
        <v>#VALUE!</v>
      </c>
      <c r="AC62" s="193">
        <v>4</v>
      </c>
      <c r="AD62" s="194">
        <v>0</v>
      </c>
      <c r="AE62" s="483" t="e" cm="1" vm="32">
        <f t="array" aca="1" ref="AE62" ca="1">Ver_flag_visit</f>
        <v>#VALUE!</v>
      </c>
      <c r="AF62" s="195" t="str">
        <f ca="1">A63</f>
        <v>Saudi Arabia</v>
      </c>
      <c r="AG62" s="413">
        <f t="shared" si="219"/>
        <v>1</v>
      </c>
      <c r="AH62" s="196">
        <v>38</v>
      </c>
      <c r="AI62" s="19" t="str">
        <f>AJ62&amp;$B$60</f>
        <v>1H</v>
      </c>
      <c r="AJ62" s="211">
        <v>1</v>
      </c>
      <c r="AK62" s="488" t="e" cm="1" vm="29">
        <f t="array" aca="1" ref="AK62" ca="1">Ver_flag_visit</f>
        <v>#VALUE!</v>
      </c>
      <c r="AL62" s="212" t="str">
        <f ca="1">IFERROR(INDEX($BD$6:$BD$53,MATCH(AI62,$BN$6:$BN$53,0)),"")</f>
        <v>Spain</v>
      </c>
      <c r="AM62" s="213">
        <f t="shared" ref="AM62:AT65" ca="1" si="223">INDEX($BE$6:$BN$53,MATCH($AL62,$BD$6:$BD$53,0),MATCH(AM$5,$BE$5:$BN$5,0))</f>
        <v>7</v>
      </c>
      <c r="AN62" s="214">
        <f t="shared" ca="1" si="223"/>
        <v>3</v>
      </c>
      <c r="AO62" s="214">
        <f t="shared" ca="1" si="223"/>
        <v>2</v>
      </c>
      <c r="AP62" s="214">
        <f t="shared" ca="1" si="223"/>
        <v>1</v>
      </c>
      <c r="AQ62" s="214">
        <f t="shared" ca="1" si="223"/>
        <v>0</v>
      </c>
      <c r="AR62" s="214">
        <f t="shared" ca="1" si="223"/>
        <v>5</v>
      </c>
      <c r="AS62" s="214">
        <f t="shared" ca="1" si="223"/>
        <v>0</v>
      </c>
      <c r="AT62" s="215">
        <f t="shared" ca="1" si="223"/>
        <v>5</v>
      </c>
      <c r="AU62" s="420">
        <f ca="1">INDEX($DL$6:$DL$53,MATCH(AI62,$DP$6:$DP$53,0))</f>
        <v>1</v>
      </c>
      <c r="AV62" s="217" t="str">
        <f ca="1">INDEX($BD$6:$BD$53,MATCH(AI62,$BM$6:$BM$53,0))</f>
        <v>Spain</v>
      </c>
      <c r="AW62" s="427"/>
      <c r="AX62" s="218"/>
      <c r="AY62" s="219" t="str">
        <f ca="1">+A61</f>
        <v>Spain</v>
      </c>
      <c r="AZ62" s="220"/>
      <c r="BA62" s="175"/>
      <c r="BB62" s="758" t="str">
        <f t="shared" si="188"/>
        <v>3E</v>
      </c>
      <c r="BC62" s="755" t="s">
        <v>3</v>
      </c>
      <c r="BD62" s="743" t="str">
        <f t="shared" ca="1" si="175"/>
        <v>Ecuador</v>
      </c>
      <c r="BE62" s="747">
        <f t="shared" ca="1" si="189"/>
        <v>4</v>
      </c>
      <c r="BF62" s="747">
        <f t="shared" ca="1" si="190"/>
        <v>3</v>
      </c>
      <c r="BG62" s="747">
        <f t="shared" ca="1" si="191"/>
        <v>1</v>
      </c>
      <c r="BH62" s="747">
        <f t="shared" ca="1" si="192"/>
        <v>1</v>
      </c>
      <c r="BI62" s="747">
        <f t="shared" ca="1" si="176"/>
        <v>1</v>
      </c>
      <c r="BJ62" s="747">
        <f t="shared" ca="1" si="177"/>
        <v>2</v>
      </c>
      <c r="BK62" s="747">
        <f t="shared" ca="1" si="178"/>
        <v>2</v>
      </c>
      <c r="BL62" s="747">
        <f t="shared" ca="1" si="193"/>
        <v>0</v>
      </c>
      <c r="BM62" s="747">
        <f t="shared" ca="1" si="194"/>
        <v>3</v>
      </c>
      <c r="BN62" s="747">
        <f t="shared" ca="1" si="195"/>
        <v>4</v>
      </c>
      <c r="BO62" s="737" t="str">
        <f t="shared" si="196"/>
        <v>4E</v>
      </c>
      <c r="BP62" s="737"/>
      <c r="BQ62" s="737"/>
      <c r="BR62" s="747">
        <f t="shared" ca="1" si="179"/>
        <v>4</v>
      </c>
      <c r="BS62" s="747">
        <f t="shared" ca="1" si="197"/>
        <v>1</v>
      </c>
      <c r="BT62" s="747" t="str">
        <f t="shared" ca="1" si="198"/>
        <v>Pos. 1 (7)</v>
      </c>
      <c r="BU62" s="747">
        <f t="shared" ca="1" si="180"/>
        <v>0</v>
      </c>
      <c r="BV62" s="747">
        <f t="shared" ca="1" si="181"/>
        <v>2</v>
      </c>
      <c r="BW62" s="747" t="str">
        <f t="shared" ca="1" si="182"/>
        <v>Pos. 2 (3)</v>
      </c>
      <c r="BX62" s="747">
        <f t="shared" ca="1" si="183"/>
        <v>2</v>
      </c>
      <c r="BY62" s="747">
        <f t="shared" ca="1" si="184"/>
        <v>3</v>
      </c>
      <c r="BZ62" s="747" t="str">
        <f t="shared" ca="1" si="185"/>
        <v>Pos. 3 (2)</v>
      </c>
      <c r="CA62" s="747">
        <f t="shared" ca="1" si="199"/>
        <v>8</v>
      </c>
      <c r="CB62" s="747">
        <f t="shared" ca="1" si="200"/>
        <v>3</v>
      </c>
      <c r="CC62" s="747"/>
      <c r="CD62" s="747">
        <f t="shared" ca="1" si="201"/>
        <v>4.0030000000000001</v>
      </c>
      <c r="CE62" s="747">
        <f t="shared" ca="1" si="202"/>
        <v>3</v>
      </c>
      <c r="CF62" s="747">
        <f t="shared" ca="1" si="203"/>
        <v>4</v>
      </c>
      <c r="CG62" s="747"/>
      <c r="CH62" s="747"/>
      <c r="CI62" s="747"/>
      <c r="CJ62" s="747"/>
      <c r="CK62" s="747"/>
      <c r="CL62" s="747"/>
      <c r="CM62" s="747"/>
      <c r="CN62" s="747"/>
      <c r="CO62" s="747"/>
      <c r="CP62" s="747"/>
      <c r="CQ62" s="747"/>
      <c r="CR62" s="747"/>
      <c r="CS62" s="747"/>
      <c r="CT62" s="747"/>
      <c r="CU62" s="747"/>
      <c r="CV62" s="747"/>
      <c r="CW62" s="743"/>
      <c r="CX62" s="743"/>
      <c r="CY62" s="743"/>
      <c r="CZ62" s="743"/>
      <c r="DA62" s="743"/>
      <c r="DB62" s="743"/>
      <c r="DC62" s="743"/>
      <c r="DD62" s="743"/>
      <c r="DE62" s="743"/>
      <c r="DF62" s="743"/>
      <c r="DG62" s="743"/>
      <c r="DH62" s="743"/>
      <c r="DI62" s="743"/>
      <c r="DJ62" s="743">
        <f t="shared" ca="1" si="186"/>
        <v>5</v>
      </c>
      <c r="DK62" s="743"/>
      <c r="DL62" s="743">
        <f t="shared" ca="1" si="204"/>
        <v>1</v>
      </c>
      <c r="DM62" s="737" t="str">
        <f t="shared" ca="1" si="187"/>
        <v>5.1</v>
      </c>
      <c r="DN62" s="743" cm="1">
        <f t="array" aca="1" ref="DN62" ca="1">OFFSET(Horarios!$P$3,DJ62-1,0,DL62,1)</f>
        <v>5</v>
      </c>
      <c r="DO62" s="743"/>
      <c r="DP62" s="743">
        <v>5</v>
      </c>
      <c r="DQ62" s="743" t="str">
        <f t="shared" ca="1" si="205"/>
        <v>Bosnia and Herzegovina</v>
      </c>
      <c r="DR62" s="743"/>
      <c r="DS62" s="743"/>
      <c r="DT62" s="743" t="str">
        <f t="shared" ca="1" si="15"/>
        <v>Spain-Saudi Arabia</v>
      </c>
      <c r="DU62" s="743"/>
      <c r="DV62" s="743"/>
      <c r="DW62" s="8"/>
    </row>
    <row r="63" spans="1:127">
      <c r="A63" s="744" t="str">
        <f ca="1">+Equipos!B32</f>
        <v>Saudi Arabia</v>
      </c>
      <c r="B63" s="741"/>
      <c r="C63" s="743"/>
      <c r="D63" s="743" t="str">
        <f t="shared" si="206"/>
        <v>Empate</v>
      </c>
      <c r="E63" s="743" t="str">
        <f t="shared" ca="1" si="207"/>
        <v>P.3 (2)</v>
      </c>
      <c r="F63" s="743" t="str">
        <f t="shared" ca="1" si="208"/>
        <v>-</v>
      </c>
      <c r="G63" s="743"/>
      <c r="H63" s="743" t="str">
        <f t="shared" ca="1" si="209"/>
        <v>P.3 (2)</v>
      </c>
      <c r="I63" s="743" t="str">
        <f t="shared" ca="1" si="210"/>
        <v>-</v>
      </c>
      <c r="J63" s="743"/>
      <c r="K63" s="743" t="str">
        <f t="shared" ca="1" si="211"/>
        <v>P.3 (2)</v>
      </c>
      <c r="L63" s="743" t="str">
        <f t="shared" ca="1" si="212"/>
        <v>-</v>
      </c>
      <c r="M63" s="743"/>
      <c r="N63" s="743" t="str">
        <f t="shared" ca="1" si="213"/>
        <v>P.3 (2)</v>
      </c>
      <c r="O63" s="743" t="str">
        <f t="shared" ca="1" si="214"/>
        <v>-</v>
      </c>
      <c r="P63" s="743"/>
      <c r="Q63" s="743" t="str">
        <f t="shared" ca="1" si="215"/>
        <v>P.3 (2)</v>
      </c>
      <c r="R63" s="743" t="str">
        <f t="shared" ca="1" si="216"/>
        <v>-</v>
      </c>
      <c r="S63" s="743"/>
      <c r="T63" s="743" t="str">
        <f t="shared" ca="1" si="217"/>
        <v>P.3 (2)</v>
      </c>
      <c r="U63" s="743" t="str">
        <f t="shared" ca="1" si="218"/>
        <v>-</v>
      </c>
      <c r="V63" s="172"/>
      <c r="W63" s="825"/>
      <c r="X63" s="189">
        <f ca="1">Horarios!C63</f>
        <v>46195</v>
      </c>
      <c r="Y63" s="190">
        <f ca="1">Horarios!C63</f>
        <v>46195</v>
      </c>
      <c r="Z63" s="191" t="str">
        <f>$Z$6</f>
        <v>R2</v>
      </c>
      <c r="AA63" s="192" t="str">
        <f ca="1">A64</f>
        <v>Uruguay</v>
      </c>
      <c r="AB63" s="478" t="e" cm="1" vm="33">
        <f t="array" aca="1" ref="AB63" ca="1">Ver_flag_local</f>
        <v>#VALUE!</v>
      </c>
      <c r="AC63" s="193">
        <v>2</v>
      </c>
      <c r="AD63" s="194">
        <v>2</v>
      </c>
      <c r="AE63" s="483" t="e" cm="1" vm="30">
        <f t="array" aca="1" ref="AE63" ca="1">Ver_flag_visit</f>
        <v>#VALUE!</v>
      </c>
      <c r="AF63" s="195" t="str">
        <f ca="1">A62</f>
        <v>Cape Verde</v>
      </c>
      <c r="AG63" s="413">
        <f t="shared" si="219"/>
        <v>1</v>
      </c>
      <c r="AH63" s="196">
        <v>37</v>
      </c>
      <c r="AI63" s="19" t="str">
        <f t="shared" ref="AI63:AI65" si="224">AJ63&amp;$B$60</f>
        <v>2H</v>
      </c>
      <c r="AJ63" s="221">
        <v>2</v>
      </c>
      <c r="AK63" s="486" t="e" cm="1" vm="30">
        <f t="array" aca="1" ref="AK63" ca="1">Ver_flag_visit</f>
        <v>#VALUE!</v>
      </c>
      <c r="AL63" s="222" t="str">
        <f ca="1">IFERROR(INDEX($BD$6:$BD$53,MATCH(AI63,$BN$6:$BN$53,0)),"")</f>
        <v>Cape Verde</v>
      </c>
      <c r="AM63" s="223">
        <f t="shared" ca="1" si="223"/>
        <v>3</v>
      </c>
      <c r="AN63" s="224">
        <f t="shared" ca="1" si="223"/>
        <v>3</v>
      </c>
      <c r="AO63" s="224">
        <f t="shared" ca="1" si="223"/>
        <v>0</v>
      </c>
      <c r="AP63" s="224">
        <f t="shared" ca="1" si="223"/>
        <v>3</v>
      </c>
      <c r="AQ63" s="224">
        <f t="shared" ca="1" si="223"/>
        <v>0</v>
      </c>
      <c r="AR63" s="224">
        <f t="shared" ca="1" si="223"/>
        <v>2</v>
      </c>
      <c r="AS63" s="224">
        <f t="shared" ca="1" si="223"/>
        <v>2</v>
      </c>
      <c r="AT63" s="225">
        <f t="shared" ca="1" si="223"/>
        <v>0</v>
      </c>
      <c r="AU63" s="420">
        <f ca="1">INDEX($DL$6:$DL$53,MATCH(AI63,$DP$6:$DP$53,0))</f>
        <v>1</v>
      </c>
      <c r="AV63" s="217" t="str">
        <f ca="1">INDEX($BD$6:$BD$53,MATCH(AI63,$BM$6:$BM$53,0))</f>
        <v>Cape Verde</v>
      </c>
      <c r="AW63" s="427"/>
      <c r="AX63" s="218"/>
      <c r="AY63" s="226" t="str">
        <f ca="1">+A62</f>
        <v>Cape Verde</v>
      </c>
      <c r="AZ63" s="227"/>
      <c r="BA63" s="175"/>
      <c r="BB63" s="758" t="str">
        <f t="shared" si="188"/>
        <v>3F</v>
      </c>
      <c r="BC63" s="755" t="s">
        <v>4</v>
      </c>
      <c r="BD63" s="743" t="str">
        <f t="shared" ca="1" si="175"/>
        <v>Sweden</v>
      </c>
      <c r="BE63" s="747">
        <f t="shared" ca="1" si="189"/>
        <v>4</v>
      </c>
      <c r="BF63" s="747">
        <f t="shared" ca="1" si="190"/>
        <v>3</v>
      </c>
      <c r="BG63" s="747">
        <f t="shared" ca="1" si="191"/>
        <v>1</v>
      </c>
      <c r="BH63" s="747">
        <f t="shared" ca="1" si="192"/>
        <v>1</v>
      </c>
      <c r="BI63" s="747">
        <f t="shared" ca="1" si="176"/>
        <v>1</v>
      </c>
      <c r="BJ63" s="747">
        <f t="shared" ca="1" si="177"/>
        <v>7</v>
      </c>
      <c r="BK63" s="747">
        <f t="shared" ca="1" si="178"/>
        <v>7</v>
      </c>
      <c r="BL63" s="747">
        <f t="shared" ca="1" si="193"/>
        <v>0</v>
      </c>
      <c r="BM63" s="747">
        <f t="shared" ca="1" si="194"/>
        <v>2</v>
      </c>
      <c r="BN63" s="747">
        <f t="shared" ca="1" si="195"/>
        <v>2</v>
      </c>
      <c r="BO63" s="737" t="str">
        <f t="shared" si="196"/>
        <v>4F</v>
      </c>
      <c r="BP63" s="737"/>
      <c r="BQ63" s="737"/>
      <c r="BR63" s="747">
        <f t="shared" ca="1" si="179"/>
        <v>4</v>
      </c>
      <c r="BS63" s="747">
        <f t="shared" ca="1" si="197"/>
        <v>1</v>
      </c>
      <c r="BT63" s="747" t="str">
        <f t="shared" ca="1" si="198"/>
        <v>Pos. 1 (7)</v>
      </c>
      <c r="BU63" s="747">
        <f t="shared" ca="1" si="180"/>
        <v>0</v>
      </c>
      <c r="BV63" s="747">
        <f t="shared" ca="1" si="181"/>
        <v>2</v>
      </c>
      <c r="BW63" s="747" t="str">
        <f t="shared" ca="1" si="182"/>
        <v>Pos. 2 (3)</v>
      </c>
      <c r="BX63" s="747">
        <f t="shared" ca="1" si="183"/>
        <v>7</v>
      </c>
      <c r="BY63" s="747">
        <f t="shared" ca="1" si="184"/>
        <v>2</v>
      </c>
      <c r="BZ63" s="747" t="str">
        <f t="shared" ca="1" si="185"/>
        <v>-</v>
      </c>
      <c r="CA63" s="747" t="str">
        <f t="shared" ca="1" si="199"/>
        <v>-</v>
      </c>
      <c r="CB63" s="747">
        <f t="shared" ca="1" si="200"/>
        <v>2</v>
      </c>
      <c r="CC63" s="747"/>
      <c r="CD63" s="747">
        <f t="shared" ca="1" si="201"/>
        <v>2</v>
      </c>
      <c r="CE63" s="747" t="str">
        <f t="shared" ca="1" si="202"/>
        <v>-</v>
      </c>
      <c r="CF63" s="747">
        <f t="shared" ca="1" si="203"/>
        <v>2</v>
      </c>
      <c r="CG63" s="747"/>
      <c r="CH63" s="747"/>
      <c r="CI63" s="747"/>
      <c r="CJ63" s="747"/>
      <c r="CK63" s="747"/>
      <c r="CL63" s="747"/>
      <c r="CM63" s="747"/>
      <c r="CN63" s="747"/>
      <c r="CO63" s="747"/>
      <c r="CP63" s="747"/>
      <c r="CQ63" s="747"/>
      <c r="CR63" s="747"/>
      <c r="CS63" s="747"/>
      <c r="CT63" s="747"/>
      <c r="CU63" s="747"/>
      <c r="CV63" s="747"/>
      <c r="CW63" s="743"/>
      <c r="CX63" s="743"/>
      <c r="CY63" s="743"/>
      <c r="CZ63" s="743"/>
      <c r="DA63" s="743"/>
      <c r="DB63" s="743"/>
      <c r="DC63" s="743"/>
      <c r="DD63" s="743"/>
      <c r="DE63" s="743"/>
      <c r="DF63" s="743"/>
      <c r="DG63" s="743"/>
      <c r="DH63" s="743"/>
      <c r="DI63" s="743"/>
      <c r="DJ63" s="743">
        <f t="shared" ca="1" si="186"/>
        <v>6</v>
      </c>
      <c r="DK63" s="743"/>
      <c r="DL63" s="743">
        <f t="shared" ca="1" si="204"/>
        <v>1</v>
      </c>
      <c r="DM63" s="737" t="str">
        <f t="shared" ca="1" si="187"/>
        <v>6.1</v>
      </c>
      <c r="DN63" s="743" cm="1">
        <f t="array" aca="1" ref="DN63" ca="1">OFFSET(Horarios!$P$3,DJ63-1,0,DL63,1)</f>
        <v>6</v>
      </c>
      <c r="DO63" s="743"/>
      <c r="DP63" s="743">
        <v>6</v>
      </c>
      <c r="DQ63" s="743" t="str">
        <f t="shared" ca="1" si="205"/>
        <v>Algeria</v>
      </c>
      <c r="DR63" s="743"/>
      <c r="DS63" s="743"/>
      <c r="DT63" s="743" t="str">
        <f t="shared" ca="1" si="15"/>
        <v>Uruguay-Cape Verde</v>
      </c>
      <c r="DU63" s="743"/>
      <c r="DV63" s="743"/>
      <c r="DW63" s="8"/>
    </row>
    <row r="64" spans="1:127">
      <c r="A64" s="744" t="str">
        <f ca="1">+Equipos!B33</f>
        <v>Uruguay</v>
      </c>
      <c r="B64" s="741"/>
      <c r="C64" s="743"/>
      <c r="D64" s="743" t="str">
        <f t="shared" si="206"/>
        <v>Empate</v>
      </c>
      <c r="E64" s="743" t="str">
        <f t="shared" ca="1" si="207"/>
        <v>-</v>
      </c>
      <c r="F64" s="743" t="str">
        <f t="shared" ca="1" si="208"/>
        <v>P.3 (2)</v>
      </c>
      <c r="G64" s="743"/>
      <c r="H64" s="743" t="str">
        <f t="shared" ca="1" si="209"/>
        <v>-</v>
      </c>
      <c r="I64" s="743" t="str">
        <f t="shared" ca="1" si="210"/>
        <v>P.3 (2)</v>
      </c>
      <c r="J64" s="743"/>
      <c r="K64" s="743" t="str">
        <f t="shared" ca="1" si="211"/>
        <v>-</v>
      </c>
      <c r="L64" s="743" t="str">
        <f t="shared" ca="1" si="212"/>
        <v>P.3 (2)</v>
      </c>
      <c r="M64" s="743"/>
      <c r="N64" s="743" t="str">
        <f t="shared" ca="1" si="213"/>
        <v>-</v>
      </c>
      <c r="O64" s="743" t="str">
        <f t="shared" ca="1" si="214"/>
        <v>P.3 (2)</v>
      </c>
      <c r="P64" s="743"/>
      <c r="Q64" s="743" t="str">
        <f t="shared" ca="1" si="215"/>
        <v>-</v>
      </c>
      <c r="R64" s="743" t="str">
        <f t="shared" ca="1" si="216"/>
        <v>P.3 (2)</v>
      </c>
      <c r="S64" s="743"/>
      <c r="T64" s="743" t="str">
        <f t="shared" ca="1" si="217"/>
        <v>-</v>
      </c>
      <c r="U64" s="743" t="str">
        <f t="shared" ca="1" si="218"/>
        <v>P.3 (2)</v>
      </c>
      <c r="V64" s="172"/>
      <c r="W64" s="825"/>
      <c r="X64" s="189">
        <f ca="1">Horarios!C64</f>
        <v>46200.083333333336</v>
      </c>
      <c r="Y64" s="190">
        <f ca="1">Horarios!C64</f>
        <v>46200.083333333336</v>
      </c>
      <c r="Z64" s="191" t="str">
        <f>$Z$8</f>
        <v>R3</v>
      </c>
      <c r="AA64" s="192" t="str">
        <f ca="1">A62</f>
        <v>Cape Verde</v>
      </c>
      <c r="AB64" s="478" t="e" cm="1" vm="30">
        <f t="array" aca="1" ref="AB64" ca="1">Ver_flag_local</f>
        <v>#VALUE!</v>
      </c>
      <c r="AC64" s="193">
        <v>0</v>
      </c>
      <c r="AD64" s="194">
        <v>0</v>
      </c>
      <c r="AE64" s="483" t="e" cm="1" vm="32">
        <f t="array" aca="1" ref="AE64" ca="1">Ver_flag_visit</f>
        <v>#VALUE!</v>
      </c>
      <c r="AF64" s="195" t="str">
        <f ca="1">A63</f>
        <v>Saudi Arabia</v>
      </c>
      <c r="AG64" s="413">
        <f t="shared" si="219"/>
        <v>1</v>
      </c>
      <c r="AH64" s="196">
        <v>65</v>
      </c>
      <c r="AI64" s="19" t="str">
        <f t="shared" si="224"/>
        <v>3H</v>
      </c>
      <c r="AJ64" s="221">
        <v>3</v>
      </c>
      <c r="AK64" s="486" t="e" cm="1" vm="33">
        <f t="array" aca="1" ref="AK64" ca="1">Ver_flag_visit</f>
        <v>#VALUE!</v>
      </c>
      <c r="AL64" s="222" t="str">
        <f ca="1">IFERROR(INDEX($BD$6:$BD$53,MATCH(AI64,$BN$6:$BN$53,0)),"")</f>
        <v>Uruguay</v>
      </c>
      <c r="AM64" s="223">
        <f t="shared" ca="1" si="223"/>
        <v>2</v>
      </c>
      <c r="AN64" s="224">
        <f t="shared" ca="1" si="223"/>
        <v>3</v>
      </c>
      <c r="AO64" s="224">
        <f t="shared" ca="1" si="223"/>
        <v>0</v>
      </c>
      <c r="AP64" s="224">
        <f t="shared" ca="1" si="223"/>
        <v>2</v>
      </c>
      <c r="AQ64" s="224">
        <f t="shared" ca="1" si="223"/>
        <v>1</v>
      </c>
      <c r="AR64" s="224">
        <f t="shared" ca="1" si="223"/>
        <v>3</v>
      </c>
      <c r="AS64" s="224">
        <f t="shared" ca="1" si="223"/>
        <v>4</v>
      </c>
      <c r="AT64" s="225">
        <f t="shared" ca="1" si="223"/>
        <v>-1</v>
      </c>
      <c r="AU64" s="420">
        <f ca="1">INDEX($DL$6:$DL$53,MATCH(AI64,$DP$6:$DP$53,0))</f>
        <v>1</v>
      </c>
      <c r="AV64" s="217" t="str">
        <f ca="1">INDEX($BD$6:$BD$53,MATCH(AI64,$BM$6:$BM$53,0))</f>
        <v>Uruguay</v>
      </c>
      <c r="AW64" s="427"/>
      <c r="AX64" s="218"/>
      <c r="AY64" s="219" t="str">
        <f ca="1">+A63</f>
        <v>Saudi Arabia</v>
      </c>
      <c r="AZ64" s="220"/>
      <c r="BA64" s="175"/>
      <c r="BB64" s="758" t="str">
        <f t="shared" si="188"/>
        <v>3G</v>
      </c>
      <c r="BC64" s="755" t="s">
        <v>6</v>
      </c>
      <c r="BD64" s="743" t="str">
        <f t="shared" ca="1" si="175"/>
        <v>Iran</v>
      </c>
      <c r="BE64" s="747">
        <f t="shared" ca="1" si="189"/>
        <v>3</v>
      </c>
      <c r="BF64" s="747">
        <f t="shared" ca="1" si="190"/>
        <v>3</v>
      </c>
      <c r="BG64" s="747">
        <f t="shared" ca="1" si="191"/>
        <v>0</v>
      </c>
      <c r="BH64" s="747">
        <f t="shared" ca="1" si="192"/>
        <v>3</v>
      </c>
      <c r="BI64" s="747">
        <f t="shared" ca="1" si="176"/>
        <v>0</v>
      </c>
      <c r="BJ64" s="747">
        <f t="shared" ca="1" si="177"/>
        <v>3</v>
      </c>
      <c r="BK64" s="747">
        <f t="shared" ca="1" si="178"/>
        <v>3</v>
      </c>
      <c r="BL64" s="747">
        <f t="shared" ca="1" si="193"/>
        <v>0</v>
      </c>
      <c r="BM64" s="747">
        <f t="shared" ca="1" si="194"/>
        <v>9</v>
      </c>
      <c r="BN64" s="747">
        <f t="shared" ca="1" si="195"/>
        <v>9</v>
      </c>
      <c r="BO64" s="737" t="str">
        <f t="shared" si="196"/>
        <v>4G</v>
      </c>
      <c r="BP64" s="737"/>
      <c r="BQ64" s="737"/>
      <c r="BR64" s="747">
        <f t="shared" ca="1" si="179"/>
        <v>3</v>
      </c>
      <c r="BS64" s="747">
        <f t="shared" ca="1" si="197"/>
        <v>8</v>
      </c>
      <c r="BT64" s="747" t="str">
        <f t="shared" ca="1" si="198"/>
        <v>Pos. 8 (4)</v>
      </c>
      <c r="BU64" s="747">
        <f t="shared" ca="1" si="180"/>
        <v>0</v>
      </c>
      <c r="BV64" s="747">
        <f t="shared" ca="1" si="181"/>
        <v>9</v>
      </c>
      <c r="BW64" s="747" t="str">
        <f t="shared" ca="1" si="182"/>
        <v>-</v>
      </c>
      <c r="BX64" s="747" t="str">
        <f t="shared" ca="1" si="183"/>
        <v>-</v>
      </c>
      <c r="BY64" s="747">
        <f t="shared" ca="1" si="184"/>
        <v>9</v>
      </c>
      <c r="BZ64" s="747" t="str">
        <f t="shared" ca="1" si="185"/>
        <v>-</v>
      </c>
      <c r="CA64" s="747" t="str">
        <f t="shared" ca="1" si="199"/>
        <v>-</v>
      </c>
      <c r="CB64" s="747">
        <f t="shared" ca="1" si="200"/>
        <v>9</v>
      </c>
      <c r="CC64" s="747"/>
      <c r="CD64" s="747">
        <f t="shared" ca="1" si="201"/>
        <v>9</v>
      </c>
      <c r="CE64" s="747" t="str">
        <f t="shared" ca="1" si="202"/>
        <v>-</v>
      </c>
      <c r="CF64" s="747">
        <f t="shared" ca="1" si="203"/>
        <v>9</v>
      </c>
      <c r="CG64" s="747"/>
      <c r="CH64" s="747"/>
      <c r="CI64" s="747"/>
      <c r="CJ64" s="747"/>
      <c r="CK64" s="747"/>
      <c r="CL64" s="747"/>
      <c r="CM64" s="747"/>
      <c r="CN64" s="747"/>
      <c r="CO64" s="747"/>
      <c r="CP64" s="747"/>
      <c r="CQ64" s="747"/>
      <c r="CR64" s="747"/>
      <c r="CS64" s="747"/>
      <c r="CT64" s="747"/>
      <c r="CU64" s="747"/>
      <c r="CV64" s="747"/>
      <c r="CW64" s="743"/>
      <c r="CX64" s="743"/>
      <c r="CY64" s="743"/>
      <c r="CZ64" s="743"/>
      <c r="DA64" s="743"/>
      <c r="DB64" s="743"/>
      <c r="DC64" s="743"/>
      <c r="DD64" s="743"/>
      <c r="DE64" s="743"/>
      <c r="DF64" s="743"/>
      <c r="DG64" s="743"/>
      <c r="DH64" s="743"/>
      <c r="DI64" s="743"/>
      <c r="DJ64" s="743">
        <f t="shared" ca="1" si="186"/>
        <v>7</v>
      </c>
      <c r="DK64" s="743"/>
      <c r="DL64" s="743">
        <f t="shared" ca="1" si="204"/>
        <v>1</v>
      </c>
      <c r="DM64" s="737" t="str">
        <f t="shared" ca="1" si="187"/>
        <v>7.1</v>
      </c>
      <c r="DN64" s="743" cm="1">
        <f t="array" aca="1" ref="DN64" ca="1">OFFSET(Horarios!$P$3,DJ64-1,0,DL64,1)</f>
        <v>7</v>
      </c>
      <c r="DO64" s="743"/>
      <c r="DP64" s="743">
        <v>7</v>
      </c>
      <c r="DQ64" s="743" t="str">
        <f t="shared" ca="1" si="205"/>
        <v>Paraguay</v>
      </c>
      <c r="DR64" s="743"/>
      <c r="DS64" s="743"/>
      <c r="DT64" s="743" t="str">
        <f t="shared" ca="1" si="15"/>
        <v>Cape Verde-Saudi Arabia</v>
      </c>
      <c r="DU64" s="743"/>
      <c r="DV64" s="743"/>
      <c r="DW64" s="8"/>
    </row>
    <row r="65" spans="1:127" ht="15.75" thickBot="1">
      <c r="A65" s="738"/>
      <c r="B65" s="741"/>
      <c r="C65" s="738"/>
      <c r="D65" s="743" t="str">
        <f t="shared" si="206"/>
        <v>Visitante</v>
      </c>
      <c r="E65" s="743" t="str">
        <f t="shared" ca="1" si="207"/>
        <v>P.3 (2)</v>
      </c>
      <c r="F65" s="743" t="str">
        <f t="shared" ca="1" si="208"/>
        <v>-</v>
      </c>
      <c r="G65" s="743"/>
      <c r="H65" s="743" t="str">
        <f t="shared" ca="1" si="209"/>
        <v>P.3 (2)</v>
      </c>
      <c r="I65" s="743" t="str">
        <f t="shared" ca="1" si="210"/>
        <v>-</v>
      </c>
      <c r="J65" s="743"/>
      <c r="K65" s="743" t="str">
        <f t="shared" ca="1" si="211"/>
        <v>P.3 (2)</v>
      </c>
      <c r="L65" s="743" t="str">
        <f t="shared" ca="1" si="212"/>
        <v>-</v>
      </c>
      <c r="M65" s="743"/>
      <c r="N65" s="743" t="str">
        <f t="shared" ca="1" si="213"/>
        <v>P.3 (2)</v>
      </c>
      <c r="O65" s="743" t="str">
        <f t="shared" ca="1" si="214"/>
        <v>-</v>
      </c>
      <c r="P65" s="743"/>
      <c r="Q65" s="743" t="str">
        <f t="shared" ca="1" si="215"/>
        <v>P.3 (2)</v>
      </c>
      <c r="R65" s="743" t="str">
        <f t="shared" ca="1" si="216"/>
        <v>-</v>
      </c>
      <c r="S65" s="743"/>
      <c r="T65" s="743" t="str">
        <f t="shared" ca="1" si="217"/>
        <v>P.3 (2)</v>
      </c>
      <c r="U65" s="743" t="str">
        <f t="shared" ca="1" si="218"/>
        <v>-</v>
      </c>
      <c r="V65" s="172"/>
      <c r="W65" s="826"/>
      <c r="X65" s="228">
        <f ca="1">Horarios!C65</f>
        <v>46200.083333333336</v>
      </c>
      <c r="Y65" s="229">
        <f ca="1">Horarios!C65</f>
        <v>46200.083333333336</v>
      </c>
      <c r="Z65" s="230" t="str">
        <f>$Z$8</f>
        <v>R3</v>
      </c>
      <c r="AA65" s="231" t="str">
        <f ca="1">A64</f>
        <v>Uruguay</v>
      </c>
      <c r="AB65" s="479" t="e" cm="1" vm="33">
        <f t="array" aca="1" ref="AB65" ca="1">Ver_flag_local</f>
        <v>#VALUE!</v>
      </c>
      <c r="AC65" s="232">
        <v>0</v>
      </c>
      <c r="AD65" s="233">
        <v>1</v>
      </c>
      <c r="AE65" s="484" t="e" cm="1" vm="29">
        <f t="array" aca="1" ref="AE65" ca="1">Ver_flag_visit</f>
        <v>#VALUE!</v>
      </c>
      <c r="AF65" s="234" t="str">
        <f ca="1">A61</f>
        <v>Spain</v>
      </c>
      <c r="AG65" s="413">
        <f t="shared" si="219"/>
        <v>1</v>
      </c>
      <c r="AH65" s="196">
        <v>66</v>
      </c>
      <c r="AI65" s="19" t="str">
        <f t="shared" si="224"/>
        <v>4H</v>
      </c>
      <c r="AJ65" s="235">
        <v>4</v>
      </c>
      <c r="AK65" s="487" t="e" cm="1" vm="32">
        <f t="array" aca="1" ref="AK65" ca="1">Ver_flag_visit</f>
        <v>#VALUE!</v>
      </c>
      <c r="AL65" s="236" t="str">
        <f ca="1">IFERROR(INDEX($BD$6:$BD$53,MATCH(AI65,$BN$6:$BN$53,0)),"")</f>
        <v>Saudi Arabia</v>
      </c>
      <c r="AM65" s="237">
        <f t="shared" ca="1" si="223"/>
        <v>2</v>
      </c>
      <c r="AN65" s="238">
        <f t="shared" ca="1" si="223"/>
        <v>3</v>
      </c>
      <c r="AO65" s="238">
        <f t="shared" ca="1" si="223"/>
        <v>0</v>
      </c>
      <c r="AP65" s="238">
        <f t="shared" ca="1" si="223"/>
        <v>2</v>
      </c>
      <c r="AQ65" s="238">
        <f t="shared" ca="1" si="223"/>
        <v>1</v>
      </c>
      <c r="AR65" s="238">
        <f t="shared" ca="1" si="223"/>
        <v>1</v>
      </c>
      <c r="AS65" s="238">
        <f t="shared" ca="1" si="223"/>
        <v>5</v>
      </c>
      <c r="AT65" s="239">
        <f t="shared" ca="1" si="223"/>
        <v>-4</v>
      </c>
      <c r="AU65" s="420">
        <f ca="1">INDEX($DL$6:$DL$53,MATCH(AI65,$DP$6:$DP$53,0))</f>
        <v>1</v>
      </c>
      <c r="AV65" s="217" t="str">
        <f ca="1">INDEX($BD$6:$BD$53,MATCH(AI65,$BM$6:$BM$53,0))</f>
        <v>Saudi Arabia</v>
      </c>
      <c r="AW65" s="427"/>
      <c r="AX65" s="218"/>
      <c r="AY65" s="240" t="str">
        <f ca="1">+A64</f>
        <v>Uruguay</v>
      </c>
      <c r="AZ65" s="241"/>
      <c r="BA65" s="175"/>
      <c r="BB65" s="758" t="str">
        <f t="shared" si="188"/>
        <v>3H</v>
      </c>
      <c r="BC65" s="755" t="s">
        <v>437</v>
      </c>
      <c r="BD65" s="743" t="str">
        <f t="shared" ca="1" si="175"/>
        <v>Uruguay</v>
      </c>
      <c r="BE65" s="747">
        <f t="shared" ca="1" si="189"/>
        <v>2</v>
      </c>
      <c r="BF65" s="747">
        <f t="shared" ca="1" si="190"/>
        <v>3</v>
      </c>
      <c r="BG65" s="747">
        <f t="shared" ca="1" si="191"/>
        <v>0</v>
      </c>
      <c r="BH65" s="747">
        <f t="shared" ca="1" si="192"/>
        <v>2</v>
      </c>
      <c r="BI65" s="747">
        <f t="shared" ca="1" si="176"/>
        <v>1</v>
      </c>
      <c r="BJ65" s="747">
        <f t="shared" ca="1" si="177"/>
        <v>3</v>
      </c>
      <c r="BK65" s="747">
        <f t="shared" ca="1" si="178"/>
        <v>4</v>
      </c>
      <c r="BL65" s="747">
        <f t="shared" ca="1" si="193"/>
        <v>-1</v>
      </c>
      <c r="BM65" s="747">
        <f t="shared" ca="1" si="194"/>
        <v>12</v>
      </c>
      <c r="BN65" s="747">
        <f t="shared" ca="1" si="195"/>
        <v>12</v>
      </c>
      <c r="BO65" s="737" t="str">
        <f t="shared" si="196"/>
        <v>4H</v>
      </c>
      <c r="BP65" s="737"/>
      <c r="BQ65" s="737"/>
      <c r="BR65" s="747">
        <f t="shared" ca="1" si="179"/>
        <v>2</v>
      </c>
      <c r="BS65" s="747">
        <f t="shared" ca="1" si="197"/>
        <v>12</v>
      </c>
      <c r="BT65" s="747" t="str">
        <f t="shared" ca="1" si="198"/>
        <v>-</v>
      </c>
      <c r="BU65" s="747" t="str">
        <f t="shared" ca="1" si="180"/>
        <v>-</v>
      </c>
      <c r="BV65" s="747">
        <f t="shared" ca="1" si="181"/>
        <v>12</v>
      </c>
      <c r="BW65" s="747" t="str">
        <f t="shared" ca="1" si="182"/>
        <v>-</v>
      </c>
      <c r="BX65" s="747" t="str">
        <f t="shared" ca="1" si="183"/>
        <v>-</v>
      </c>
      <c r="BY65" s="747">
        <f t="shared" ca="1" si="184"/>
        <v>12</v>
      </c>
      <c r="BZ65" s="747" t="str">
        <f t="shared" ca="1" si="185"/>
        <v>-</v>
      </c>
      <c r="CA65" s="747" t="str">
        <f t="shared" ca="1" si="199"/>
        <v>-</v>
      </c>
      <c r="CB65" s="747">
        <f t="shared" ca="1" si="200"/>
        <v>12</v>
      </c>
      <c r="CC65" s="747"/>
      <c r="CD65" s="747">
        <f t="shared" ca="1" si="201"/>
        <v>12</v>
      </c>
      <c r="CE65" s="747" t="str">
        <f t="shared" ca="1" si="202"/>
        <v>-</v>
      </c>
      <c r="CF65" s="747">
        <f t="shared" ca="1" si="203"/>
        <v>12</v>
      </c>
      <c r="CG65" s="747"/>
      <c r="CH65" s="747"/>
      <c r="CI65" s="747"/>
      <c r="CJ65" s="747"/>
      <c r="CK65" s="747"/>
      <c r="CL65" s="747"/>
      <c r="CM65" s="747"/>
      <c r="CN65" s="747"/>
      <c r="CO65" s="747"/>
      <c r="CP65" s="747"/>
      <c r="CQ65" s="747"/>
      <c r="CR65" s="747"/>
      <c r="CS65" s="747"/>
      <c r="CT65" s="747"/>
      <c r="CU65" s="747"/>
      <c r="CV65" s="747"/>
      <c r="CW65" s="743"/>
      <c r="CX65" s="743"/>
      <c r="CY65" s="743"/>
      <c r="CZ65" s="743"/>
      <c r="DA65" s="743"/>
      <c r="DB65" s="743"/>
      <c r="DC65" s="743"/>
      <c r="DD65" s="743"/>
      <c r="DE65" s="743"/>
      <c r="DF65" s="743"/>
      <c r="DG65" s="743"/>
      <c r="DH65" s="743"/>
      <c r="DI65" s="743"/>
      <c r="DJ65" s="743">
        <f t="shared" ca="1" si="186"/>
        <v>8</v>
      </c>
      <c r="DK65" s="743"/>
      <c r="DL65" s="743">
        <f t="shared" ca="1" si="204"/>
        <v>1</v>
      </c>
      <c r="DM65" s="737" t="str">
        <f t="shared" ca="1" si="187"/>
        <v>8.1</v>
      </c>
      <c r="DN65" s="743" cm="1">
        <f t="array" aca="1" ref="DN65" ca="1">OFFSET(Horarios!$P$3,DJ65-1,0,DL65,1)</f>
        <v>8</v>
      </c>
      <c r="DO65" s="743"/>
      <c r="DP65" s="743">
        <v>8</v>
      </c>
      <c r="DQ65" s="743" t="str">
        <f t="shared" ca="1" si="205"/>
        <v>Senegal</v>
      </c>
      <c r="DR65" s="743"/>
      <c r="DS65" s="743"/>
      <c r="DT65" s="743" t="str">
        <f t="shared" ca="1" si="15"/>
        <v>Uruguay-Spain</v>
      </c>
      <c r="DU65" s="743"/>
      <c r="DV65" s="743"/>
      <c r="DW65" s="8"/>
    </row>
    <row r="66" spans="1:127" ht="15.75" thickBot="1">
      <c r="A66" s="738"/>
      <c r="B66" s="741"/>
      <c r="C66" s="738"/>
      <c r="D66" s="743"/>
      <c r="E66" s="743"/>
      <c r="F66" s="743"/>
      <c r="G66" s="743"/>
      <c r="H66" s="743"/>
      <c r="I66" s="743"/>
      <c r="J66" s="743"/>
      <c r="K66" s="743"/>
      <c r="L66" s="743"/>
      <c r="M66" s="743"/>
      <c r="N66" s="743"/>
      <c r="O66" s="743"/>
      <c r="P66" s="743"/>
      <c r="Q66" s="743"/>
      <c r="R66" s="743"/>
      <c r="S66" s="743"/>
      <c r="T66" s="743"/>
      <c r="U66" s="743"/>
      <c r="V66" s="172"/>
      <c r="W66" s="242"/>
      <c r="X66" s="243"/>
      <c r="Y66" s="242"/>
      <c r="Z66" s="244"/>
      <c r="AA66" s="245"/>
      <c r="AB66" s="482"/>
      <c r="AC66" s="247"/>
      <c r="AD66" s="247"/>
      <c r="AE66" s="482"/>
      <c r="AF66" s="248"/>
      <c r="AG66" s="415"/>
      <c r="AH66" s="196"/>
      <c r="AI66" s="171"/>
      <c r="AJ66" s="249"/>
      <c r="AK66" s="250"/>
      <c r="AL66" s="186"/>
      <c r="AM66" s="251"/>
      <c r="AN66" s="249"/>
      <c r="AO66" s="249"/>
      <c r="AP66" s="249"/>
      <c r="AQ66" s="249"/>
      <c r="AR66" s="249"/>
      <c r="AS66" s="249"/>
      <c r="AT66" s="249"/>
      <c r="AU66" s="420"/>
      <c r="AV66" s="216"/>
      <c r="AW66" s="428"/>
      <c r="AX66" s="218"/>
      <c r="AY66" s="242"/>
      <c r="AZ66" s="243"/>
      <c r="BA66" s="175"/>
      <c r="BB66" s="758" t="str">
        <f t="shared" si="188"/>
        <v>3I</v>
      </c>
      <c r="BC66" s="755" t="s">
        <v>438</v>
      </c>
      <c r="BD66" s="743" t="str">
        <f t="shared" ca="1" si="175"/>
        <v>Senegal</v>
      </c>
      <c r="BE66" s="747">
        <f t="shared" ca="1" si="189"/>
        <v>3</v>
      </c>
      <c r="BF66" s="747">
        <f t="shared" ca="1" si="190"/>
        <v>3</v>
      </c>
      <c r="BG66" s="747">
        <f t="shared" ca="1" si="191"/>
        <v>1</v>
      </c>
      <c r="BH66" s="747">
        <f t="shared" ca="1" si="192"/>
        <v>0</v>
      </c>
      <c r="BI66" s="747">
        <f t="shared" ca="1" si="176"/>
        <v>2</v>
      </c>
      <c r="BJ66" s="747">
        <f t="shared" ca="1" si="177"/>
        <v>8</v>
      </c>
      <c r="BK66" s="747">
        <f t="shared" ca="1" si="178"/>
        <v>6</v>
      </c>
      <c r="BL66" s="747">
        <f t="shared" ca="1" si="193"/>
        <v>2</v>
      </c>
      <c r="BM66" s="747">
        <f t="shared" ca="1" si="194"/>
        <v>8</v>
      </c>
      <c r="BN66" s="747">
        <f t="shared" ca="1" si="195"/>
        <v>8</v>
      </c>
      <c r="BO66" s="737" t="str">
        <f t="shared" si="196"/>
        <v>4I</v>
      </c>
      <c r="BP66" s="737"/>
      <c r="BQ66" s="737"/>
      <c r="BR66" s="747">
        <f t="shared" ca="1" si="179"/>
        <v>3</v>
      </c>
      <c r="BS66" s="747">
        <f t="shared" ca="1" si="197"/>
        <v>8</v>
      </c>
      <c r="BT66" s="747" t="str">
        <f t="shared" ca="1" si="198"/>
        <v>Pos. 8 (4)</v>
      </c>
      <c r="BU66" s="747">
        <f t="shared" ca="1" si="180"/>
        <v>2</v>
      </c>
      <c r="BV66" s="747">
        <f t="shared" ca="1" si="181"/>
        <v>8</v>
      </c>
      <c r="BW66" s="747" t="str">
        <f t="shared" ca="1" si="182"/>
        <v>-</v>
      </c>
      <c r="BX66" s="747" t="str">
        <f t="shared" ca="1" si="183"/>
        <v>-</v>
      </c>
      <c r="BY66" s="747">
        <f t="shared" ca="1" si="184"/>
        <v>8</v>
      </c>
      <c r="BZ66" s="747" t="str">
        <f t="shared" ca="1" si="185"/>
        <v>-</v>
      </c>
      <c r="CA66" s="747" t="str">
        <f t="shared" ca="1" si="199"/>
        <v>-</v>
      </c>
      <c r="CB66" s="747">
        <f t="shared" ca="1" si="200"/>
        <v>8</v>
      </c>
      <c r="CC66" s="747"/>
      <c r="CD66" s="747">
        <f t="shared" ca="1" si="201"/>
        <v>8</v>
      </c>
      <c r="CE66" s="747" t="str">
        <f t="shared" ca="1" si="202"/>
        <v>-</v>
      </c>
      <c r="CF66" s="747">
        <f t="shared" ca="1" si="203"/>
        <v>8</v>
      </c>
      <c r="CG66" s="747"/>
      <c r="CH66" s="747"/>
      <c r="CI66" s="747"/>
      <c r="CJ66" s="747"/>
      <c r="CK66" s="747"/>
      <c r="CL66" s="747"/>
      <c r="CM66" s="747"/>
      <c r="CN66" s="747"/>
      <c r="CO66" s="747"/>
      <c r="CP66" s="747"/>
      <c r="CQ66" s="747"/>
      <c r="CR66" s="747"/>
      <c r="CS66" s="747"/>
      <c r="CT66" s="747"/>
      <c r="CU66" s="747"/>
      <c r="CV66" s="747"/>
      <c r="CW66" s="743"/>
      <c r="CX66" s="743"/>
      <c r="CY66" s="743"/>
      <c r="CZ66" s="743"/>
      <c r="DA66" s="743"/>
      <c r="DB66" s="743"/>
      <c r="DC66" s="743"/>
      <c r="DD66" s="743"/>
      <c r="DE66" s="743"/>
      <c r="DF66" s="743"/>
      <c r="DG66" s="743"/>
      <c r="DH66" s="743"/>
      <c r="DI66" s="743"/>
      <c r="DJ66" s="743">
        <f t="shared" ca="1" si="186"/>
        <v>9</v>
      </c>
      <c r="DK66" s="743"/>
      <c r="DL66" s="743">
        <f t="shared" ca="1" si="204"/>
        <v>1</v>
      </c>
      <c r="DM66" s="737" t="str">
        <f t="shared" ca="1" si="187"/>
        <v>9.1</v>
      </c>
      <c r="DN66" s="743" cm="1">
        <f t="array" aca="1" ref="DN66" ca="1">OFFSET(Horarios!$P$3,DJ66-1,0,DL66,1)</f>
        <v>9</v>
      </c>
      <c r="DO66" s="743"/>
      <c r="DP66" s="743">
        <v>9</v>
      </c>
      <c r="DQ66" s="743" t="str">
        <f t="shared" ca="1" si="205"/>
        <v>Iran</v>
      </c>
      <c r="DR66" s="743"/>
      <c r="DS66" s="743"/>
      <c r="DT66" s="743" t="str">
        <f t="shared" si="15"/>
        <v>-</v>
      </c>
      <c r="DU66" s="743"/>
      <c r="DV66" s="743"/>
      <c r="DW66" s="8"/>
    </row>
    <row r="67" spans="1:127" ht="15.75" thickBot="1">
      <c r="A67" s="738"/>
      <c r="B67" s="741"/>
      <c r="C67" s="738"/>
      <c r="D67" s="738"/>
      <c r="E67" s="738"/>
      <c r="F67" s="738"/>
      <c r="G67" s="738"/>
      <c r="H67" s="738"/>
      <c r="I67" s="738"/>
      <c r="J67" s="738"/>
      <c r="K67" s="738"/>
      <c r="L67" s="738"/>
      <c r="M67" s="738"/>
      <c r="N67" s="743"/>
      <c r="O67" s="743"/>
      <c r="P67" s="743"/>
      <c r="Q67" s="743"/>
      <c r="R67" s="743"/>
      <c r="S67" s="743"/>
      <c r="T67" s="743"/>
      <c r="U67" s="743"/>
      <c r="V67" s="172"/>
      <c r="W67" s="179"/>
      <c r="X67" s="180" t="str">
        <f>X3</f>
        <v>Date</v>
      </c>
      <c r="Y67" s="180" t="str">
        <f>Y3</f>
        <v>Hour</v>
      </c>
      <c r="Z67" s="181" t="str">
        <f>Z3</f>
        <v>R</v>
      </c>
      <c r="AA67" s="182" t="str">
        <f>AA3</f>
        <v>Home</v>
      </c>
      <c r="AB67" s="181"/>
      <c r="AC67" s="181" t="str">
        <f>AC3</f>
        <v>Goal</v>
      </c>
      <c r="AD67" s="181" t="str">
        <f>AD3</f>
        <v>Goal</v>
      </c>
      <c r="AE67" s="181"/>
      <c r="AF67" s="184" t="str">
        <f>AF3</f>
        <v>Away</v>
      </c>
      <c r="AG67" s="414"/>
      <c r="AH67" s="196"/>
      <c r="AI67" s="18"/>
      <c r="AJ67" s="186"/>
      <c r="AK67" s="252"/>
      <c r="AL67" s="186"/>
      <c r="AM67" s="186"/>
      <c r="AN67" s="186"/>
      <c r="AO67" s="186"/>
      <c r="AP67" s="186"/>
      <c r="AQ67" s="186"/>
      <c r="AR67" s="186"/>
      <c r="AS67" s="186"/>
      <c r="AT67" s="186"/>
      <c r="AU67" s="421"/>
      <c r="AV67" s="22"/>
      <c r="AW67" s="429"/>
      <c r="AX67" s="253"/>
      <c r="AY67" s="242"/>
      <c r="AZ67" s="243"/>
      <c r="BA67" s="175"/>
      <c r="BB67" s="758" t="str">
        <f t="shared" si="188"/>
        <v>3J</v>
      </c>
      <c r="BC67" s="755" t="s">
        <v>5</v>
      </c>
      <c r="BD67" s="743" t="str">
        <f t="shared" ca="1" si="175"/>
        <v>Algeria</v>
      </c>
      <c r="BE67" s="747">
        <f t="shared" ca="1" si="189"/>
        <v>4</v>
      </c>
      <c r="BF67" s="747">
        <f t="shared" ca="1" si="190"/>
        <v>3</v>
      </c>
      <c r="BG67" s="747">
        <f t="shared" ca="1" si="191"/>
        <v>1</v>
      </c>
      <c r="BH67" s="747">
        <f t="shared" ca="1" si="192"/>
        <v>1</v>
      </c>
      <c r="BI67" s="747">
        <f t="shared" ca="1" si="176"/>
        <v>1</v>
      </c>
      <c r="BJ67" s="747">
        <f t="shared" ca="1" si="177"/>
        <v>5</v>
      </c>
      <c r="BK67" s="747">
        <f t="shared" ca="1" si="178"/>
        <v>7</v>
      </c>
      <c r="BL67" s="747">
        <f t="shared" ca="1" si="193"/>
        <v>-2</v>
      </c>
      <c r="BM67" s="747">
        <f t="shared" ca="1" si="194"/>
        <v>6</v>
      </c>
      <c r="BN67" s="747">
        <f t="shared" ca="1" si="195"/>
        <v>6</v>
      </c>
      <c r="BO67" s="737" t="str">
        <f t="shared" si="196"/>
        <v>4J</v>
      </c>
      <c r="BP67" s="737"/>
      <c r="BQ67" s="737"/>
      <c r="BR67" s="747">
        <f t="shared" ca="1" si="179"/>
        <v>4</v>
      </c>
      <c r="BS67" s="747">
        <f t="shared" ca="1" si="197"/>
        <v>1</v>
      </c>
      <c r="BT67" s="747" t="str">
        <f t="shared" ca="1" si="198"/>
        <v>Pos. 1 (7)</v>
      </c>
      <c r="BU67" s="747">
        <f t="shared" ca="1" si="180"/>
        <v>-2</v>
      </c>
      <c r="BV67" s="747">
        <f t="shared" ca="1" si="181"/>
        <v>6</v>
      </c>
      <c r="BW67" s="747" t="str">
        <f t="shared" ca="1" si="182"/>
        <v>Pos. 6 (2)</v>
      </c>
      <c r="BX67" s="747">
        <f t="shared" ca="1" si="183"/>
        <v>5</v>
      </c>
      <c r="BY67" s="747">
        <f t="shared" ca="1" si="184"/>
        <v>6</v>
      </c>
      <c r="BZ67" s="747" t="str">
        <f t="shared" ca="1" si="185"/>
        <v>-</v>
      </c>
      <c r="CA67" s="747" t="str">
        <f t="shared" ca="1" si="199"/>
        <v>-</v>
      </c>
      <c r="CB67" s="747">
        <f t="shared" ca="1" si="200"/>
        <v>6</v>
      </c>
      <c r="CC67" s="747"/>
      <c r="CD67" s="747">
        <f t="shared" ca="1" si="201"/>
        <v>6</v>
      </c>
      <c r="CE67" s="747" t="str">
        <f t="shared" ca="1" si="202"/>
        <v>-</v>
      </c>
      <c r="CF67" s="747">
        <f t="shared" ca="1" si="203"/>
        <v>6</v>
      </c>
      <c r="CG67" s="747"/>
      <c r="CH67" s="747"/>
      <c r="CI67" s="747"/>
      <c r="CJ67" s="747"/>
      <c r="CK67" s="747"/>
      <c r="CL67" s="747"/>
      <c r="CM67" s="747"/>
      <c r="CN67" s="747"/>
      <c r="CO67" s="747"/>
      <c r="CP67" s="747"/>
      <c r="CQ67" s="747"/>
      <c r="CR67" s="747"/>
      <c r="CS67" s="747"/>
      <c r="CT67" s="747"/>
      <c r="CU67" s="747"/>
      <c r="CV67" s="747"/>
      <c r="CW67" s="743"/>
      <c r="CX67" s="743"/>
      <c r="CY67" s="743"/>
      <c r="CZ67" s="743"/>
      <c r="DA67" s="743"/>
      <c r="DB67" s="743"/>
      <c r="DC67" s="743"/>
      <c r="DD67" s="743"/>
      <c r="DE67" s="743"/>
      <c r="DF67" s="743"/>
      <c r="DG67" s="743"/>
      <c r="DH67" s="743"/>
      <c r="DI67" s="743"/>
      <c r="DJ67" s="743">
        <f t="shared" ca="1" si="186"/>
        <v>10</v>
      </c>
      <c r="DK67" s="743"/>
      <c r="DL67" s="743">
        <f t="shared" ca="1" si="204"/>
        <v>1</v>
      </c>
      <c r="DM67" s="737" t="str">
        <f t="shared" ca="1" si="187"/>
        <v>10.1</v>
      </c>
      <c r="DN67" s="743" cm="1">
        <f t="array" aca="1" ref="DN67" ca="1">OFFSET(Horarios!$P$3,DJ67-1,0,DL67,1)</f>
        <v>10</v>
      </c>
      <c r="DO67" s="743"/>
      <c r="DP67" s="743">
        <v>10</v>
      </c>
      <c r="DQ67" s="743" t="str">
        <f t="shared" ca="1" si="205"/>
        <v>South Korea</v>
      </c>
      <c r="DR67" s="743"/>
      <c r="DS67" s="743"/>
      <c r="DT67" s="743" t="str">
        <f t="shared" si="15"/>
        <v>Home-Away</v>
      </c>
      <c r="DU67" s="743"/>
      <c r="DV67" s="743"/>
      <c r="DW67" s="8"/>
    </row>
    <row r="68" spans="1:127" ht="15" customHeight="1" thickBot="1">
      <c r="A68" s="740" t="s">
        <v>30</v>
      </c>
      <c r="B68" s="741" t="s">
        <v>438</v>
      </c>
      <c r="C68" s="742">
        <f>COUNTIF(Equipos!$C$2:$C$49,WORLDCUP!B68)</f>
        <v>4</v>
      </c>
      <c r="D68" s="743" t="str">
        <f t="shared" ref="D68:D73" si="225">IF(OR(AC68="",AD68=""),"Pendiente",IF(AC68&gt;AD68,"Local",IF(AC68&lt;AD68,"Visitante","Empate")))</f>
        <v>Local</v>
      </c>
      <c r="E68" s="743" t="str">
        <f t="shared" ref="E68:E73" ca="1" si="226">IF(D68="Pendiente","-",INDEX($BT$6:$BT$53,MATCH($AA68,$BD$6:$BD$53,0)))</f>
        <v>-</v>
      </c>
      <c r="F68" s="743" t="str">
        <f t="shared" ref="F68:F73" ca="1" si="227">IF(D68="Pendiente","-",INDEX($BT$6:$BT$53,MATCH($AF68,$BD$6:$BD$53,0)))</f>
        <v>-</v>
      </c>
      <c r="G68" s="743"/>
      <c r="H68" s="743" t="str">
        <f t="shared" ref="H68:H73" ca="1" si="228">IF(D68="Pendiente","-",INDEX($BZ$6:$BZ$53,MATCH($AA68,$BD$6:$BD$53,0)))</f>
        <v>-</v>
      </c>
      <c r="I68" s="743" t="str">
        <f t="shared" ref="I68:I73" ca="1" si="229">IF(D68="Pendiente","-",INDEX($BZ$6:$BZ$53,MATCH($AF68,$BD$6:$BD$53,0)))</f>
        <v>-</v>
      </c>
      <c r="J68" s="743"/>
      <c r="K68" s="743" t="str">
        <f t="shared" ref="K68:K73" ca="1" si="230">IF(D68="Pendiente","-",INDEX($CE$6:$CE$53,MATCH($AA68,$BD$6:$BD$53,0)))</f>
        <v>-</v>
      </c>
      <c r="L68" s="743" t="str">
        <f t="shared" ref="L68:L73" ca="1" si="231">IF(D68="Pendiente","-",INDEX($CE$6:$CE$53,MATCH($AF68,$BD$6:$BD$53,0)))</f>
        <v>-</v>
      </c>
      <c r="M68" s="743"/>
      <c r="N68" s="743" t="str">
        <f t="shared" ref="N68:N73" ca="1" si="232">IF(D68="Pendiente","-",INDEX($CH$6:$CH$53,MATCH($AA68,$BD$6:$BD$53,0)))</f>
        <v>-</v>
      </c>
      <c r="O68" s="743" t="str">
        <f t="shared" ref="O68:O73" ca="1" si="233">IF(D68="Pendiente","-",INDEX($CH$6:$CH$53,MATCH($AF68,$BD$6:$BD$53,0)))</f>
        <v>-</v>
      </c>
      <c r="P68" s="743"/>
      <c r="Q68" s="743" t="str">
        <f t="shared" ref="Q68:Q73" ca="1" si="234">IF(D68="Pendiente","-",INDEX($CN$6:$CN$53,MATCH($AA68,$BD$6:$BD$53,0)))</f>
        <v>-</v>
      </c>
      <c r="R68" s="743" t="str">
        <f t="shared" ref="R68:R73" ca="1" si="235">IF(D68="Pendiente","-",INDEX($CN$6:$CN$53,MATCH($AF68,$BD$6:$BD$53,0)))</f>
        <v>-</v>
      </c>
      <c r="S68" s="743"/>
      <c r="T68" s="743" t="str">
        <f t="shared" ref="T68:T73" ca="1" si="236">IF(D68="Pendiente","-",INDEX($CS$6:$CS$53,MATCH($AA68,$BD$6:$BD$53,0)))</f>
        <v>-</v>
      </c>
      <c r="U68" s="743" t="str">
        <f t="shared" ref="U68:U73" ca="1" si="237">IF(D68="Pendiente","-",INDEX($CS$6:$CS$53,MATCH($AF68,$BD$6:$BD$53,0)))</f>
        <v>-</v>
      </c>
      <c r="V68" s="172"/>
      <c r="W68" s="831" t="s">
        <v>438</v>
      </c>
      <c r="X68" s="189">
        <f ca="1">Horarios!C68</f>
        <v>46189.875</v>
      </c>
      <c r="Y68" s="190">
        <f ca="1">Horarios!C68</f>
        <v>46189.875</v>
      </c>
      <c r="Z68" s="191" t="str">
        <f>$Z$4</f>
        <v>R1</v>
      </c>
      <c r="AA68" s="192" t="str">
        <f ca="1">A69</f>
        <v>France</v>
      </c>
      <c r="AB68" s="478" t="e" cm="1" vm="34">
        <f t="array" aca="1" ref="AB68" ca="1">Ver_flag_local</f>
        <v>#VALUE!</v>
      </c>
      <c r="AC68" s="193">
        <v>3</v>
      </c>
      <c r="AD68" s="194">
        <v>1</v>
      </c>
      <c r="AE68" s="483" t="e" cm="1" vm="35">
        <f t="array" aca="1" ref="AE68" ca="1">Ver_flag_visit</f>
        <v>#VALUE!</v>
      </c>
      <c r="AF68" s="195" t="str">
        <f ca="1">A70</f>
        <v>Senegal</v>
      </c>
      <c r="AG68" s="413">
        <f t="shared" ref="AG68:AG73" si="238">IF(NOT(OR(ISBLANK(AC68),ISBLANK(AD68))),1,0)</f>
        <v>1</v>
      </c>
      <c r="AH68" s="196">
        <v>17</v>
      </c>
      <c r="AI68" s="19"/>
      <c r="AJ68" s="197" t="str">
        <f>CONCATENATE(AJ3," ",B68)</f>
        <v>Group I</v>
      </c>
      <c r="AK68" s="198"/>
      <c r="AL68" s="198"/>
      <c r="AM68" s="198"/>
      <c r="AN68" s="198"/>
      <c r="AO68" s="198"/>
      <c r="AP68" s="198"/>
      <c r="AQ68" s="198"/>
      <c r="AR68" s="198"/>
      <c r="AS68" s="198"/>
      <c r="AT68" s="199"/>
      <c r="AU68" s="421"/>
      <c r="AV68" s="200" t="str">
        <f t="shared" ref="AV68" ca="1" si="239">IF(AU69&gt;0,$AV$3,"")</f>
        <v/>
      </c>
      <c r="AW68" s="208"/>
      <c r="AX68" s="255"/>
      <c r="AY68" s="242"/>
      <c r="AZ68" s="243"/>
      <c r="BA68" s="175"/>
      <c r="BB68" s="758" t="str">
        <f t="shared" si="188"/>
        <v>3K</v>
      </c>
      <c r="BC68" s="755" t="s">
        <v>439</v>
      </c>
      <c r="BD68" s="743" t="str">
        <f t="shared" ca="1" si="175"/>
        <v>DR Congo</v>
      </c>
      <c r="BE68" s="747">
        <f t="shared" ca="1" si="189"/>
        <v>4</v>
      </c>
      <c r="BF68" s="747">
        <f t="shared" ca="1" si="190"/>
        <v>3</v>
      </c>
      <c r="BG68" s="747">
        <f t="shared" ca="1" si="191"/>
        <v>1</v>
      </c>
      <c r="BH68" s="747">
        <f t="shared" ca="1" si="192"/>
        <v>1</v>
      </c>
      <c r="BI68" s="747">
        <f t="shared" ca="1" si="176"/>
        <v>1</v>
      </c>
      <c r="BJ68" s="747">
        <f t="shared" ca="1" si="177"/>
        <v>4</v>
      </c>
      <c r="BK68" s="747">
        <f t="shared" ca="1" si="178"/>
        <v>3</v>
      </c>
      <c r="BL68" s="747">
        <f t="shared" ca="1" si="193"/>
        <v>1</v>
      </c>
      <c r="BM68" s="747">
        <f t="shared" ca="1" si="194"/>
        <v>1</v>
      </c>
      <c r="BN68" s="747">
        <f t="shared" ca="1" si="195"/>
        <v>1</v>
      </c>
      <c r="BO68" s="737" t="str">
        <f t="shared" si="196"/>
        <v>4K</v>
      </c>
      <c r="BP68" s="737"/>
      <c r="BQ68" s="737"/>
      <c r="BR68" s="747">
        <f t="shared" ca="1" si="179"/>
        <v>4</v>
      </c>
      <c r="BS68" s="747">
        <f t="shared" ca="1" si="197"/>
        <v>1</v>
      </c>
      <c r="BT68" s="747" t="str">
        <f t="shared" ca="1" si="198"/>
        <v>Pos. 1 (7)</v>
      </c>
      <c r="BU68" s="747">
        <f t="shared" ca="1" si="180"/>
        <v>1</v>
      </c>
      <c r="BV68" s="747">
        <f t="shared" ca="1" si="181"/>
        <v>1</v>
      </c>
      <c r="BW68" s="747" t="str">
        <f t="shared" ca="1" si="182"/>
        <v>-</v>
      </c>
      <c r="BX68" s="747" t="str">
        <f t="shared" ca="1" si="183"/>
        <v>-</v>
      </c>
      <c r="BY68" s="747">
        <f t="shared" ca="1" si="184"/>
        <v>1</v>
      </c>
      <c r="BZ68" s="747" t="str">
        <f t="shared" ca="1" si="185"/>
        <v>-</v>
      </c>
      <c r="CA68" s="747" t="str">
        <f t="shared" ca="1" si="199"/>
        <v>-</v>
      </c>
      <c r="CB68" s="747">
        <f t="shared" ca="1" si="200"/>
        <v>1</v>
      </c>
      <c r="CC68" s="747"/>
      <c r="CD68" s="747">
        <f t="shared" ca="1" si="201"/>
        <v>1</v>
      </c>
      <c r="CE68" s="747" t="str">
        <f t="shared" ca="1" si="202"/>
        <v>-</v>
      </c>
      <c r="CF68" s="747">
        <f t="shared" ca="1" si="203"/>
        <v>1</v>
      </c>
      <c r="CG68" s="747"/>
      <c r="CH68" s="747"/>
      <c r="CI68" s="747"/>
      <c r="CJ68" s="747"/>
      <c r="CK68" s="747"/>
      <c r="CL68" s="747"/>
      <c r="CM68" s="747"/>
      <c r="CN68" s="747"/>
      <c r="CO68" s="747"/>
      <c r="CP68" s="747"/>
      <c r="CQ68" s="747"/>
      <c r="CR68" s="747"/>
      <c r="CS68" s="747"/>
      <c r="CT68" s="747"/>
      <c r="CU68" s="747"/>
      <c r="CV68" s="747"/>
      <c r="CW68" s="743"/>
      <c r="CX68" s="743"/>
      <c r="CY68" s="743"/>
      <c r="CZ68" s="743"/>
      <c r="DA68" s="743"/>
      <c r="DB68" s="743"/>
      <c r="DC68" s="743"/>
      <c r="DD68" s="743"/>
      <c r="DE68" s="743"/>
      <c r="DF68" s="743"/>
      <c r="DG68" s="743"/>
      <c r="DH68" s="743"/>
      <c r="DI68" s="743"/>
      <c r="DJ68" s="743">
        <f t="shared" ca="1" si="186"/>
        <v>11</v>
      </c>
      <c r="DK68" s="743"/>
      <c r="DL68" s="743">
        <f t="shared" ca="1" si="204"/>
        <v>1</v>
      </c>
      <c r="DM68" s="737" t="str">
        <f t="shared" ca="1" si="187"/>
        <v>11.1</v>
      </c>
      <c r="DN68" s="743" cm="1">
        <f t="array" aca="1" ref="DN68" ca="1">OFFSET(Horarios!$P$3,DJ68-1,0,DL68,1)</f>
        <v>11</v>
      </c>
      <c r="DO68" s="743"/>
      <c r="DP68" s="743">
        <v>11</v>
      </c>
      <c r="DQ68" s="743" t="str">
        <f t="shared" ca="1" si="205"/>
        <v>Scotland</v>
      </c>
      <c r="DR68" s="743"/>
      <c r="DS68" s="743"/>
      <c r="DT68" s="743" t="str">
        <f t="shared" ca="1" si="15"/>
        <v>France-Senegal</v>
      </c>
      <c r="DU68" s="743"/>
      <c r="DV68" s="743"/>
      <c r="DW68" s="8"/>
    </row>
    <row r="69" spans="1:127" ht="16.149999999999999" customHeight="1">
      <c r="A69" s="744" t="str">
        <f ca="1">+Equipos!B34</f>
        <v>France</v>
      </c>
      <c r="B69" s="741"/>
      <c r="C69" s="741"/>
      <c r="D69" s="743" t="str">
        <f t="shared" si="225"/>
        <v>Visitante</v>
      </c>
      <c r="E69" s="743" t="str">
        <f t="shared" ca="1" si="226"/>
        <v>-</v>
      </c>
      <c r="F69" s="743" t="str">
        <f t="shared" ca="1" si="227"/>
        <v>-</v>
      </c>
      <c r="G69" s="743"/>
      <c r="H69" s="743" t="str">
        <f t="shared" ca="1" si="228"/>
        <v>-</v>
      </c>
      <c r="I69" s="743" t="str">
        <f t="shared" ca="1" si="229"/>
        <v>-</v>
      </c>
      <c r="J69" s="743"/>
      <c r="K69" s="743" t="str">
        <f t="shared" ca="1" si="230"/>
        <v>-</v>
      </c>
      <c r="L69" s="743" t="str">
        <f t="shared" ca="1" si="231"/>
        <v>-</v>
      </c>
      <c r="M69" s="743"/>
      <c r="N69" s="743" t="str">
        <f t="shared" ca="1" si="232"/>
        <v>-</v>
      </c>
      <c r="O69" s="743" t="str">
        <f t="shared" ca="1" si="233"/>
        <v>-</v>
      </c>
      <c r="P69" s="743"/>
      <c r="Q69" s="743" t="str">
        <f t="shared" ca="1" si="234"/>
        <v>-</v>
      </c>
      <c r="R69" s="743" t="str">
        <f t="shared" ca="1" si="235"/>
        <v>-</v>
      </c>
      <c r="S69" s="743"/>
      <c r="T69" s="743" t="str">
        <f t="shared" ca="1" si="236"/>
        <v>-</v>
      </c>
      <c r="U69" s="743" t="str">
        <f t="shared" ca="1" si="237"/>
        <v>-</v>
      </c>
      <c r="V69" s="172"/>
      <c r="W69" s="831"/>
      <c r="X69" s="189">
        <f ca="1">Horarios!C69</f>
        <v>46190</v>
      </c>
      <c r="Y69" s="190">
        <f ca="1">Horarios!C69</f>
        <v>46190</v>
      </c>
      <c r="Z69" s="191" t="str">
        <f>$Z$4</f>
        <v>R1</v>
      </c>
      <c r="AA69" s="192" t="str">
        <f ca="1">A71</f>
        <v>Iraq</v>
      </c>
      <c r="AB69" s="478" t="e" cm="1" vm="36">
        <f t="array" aca="1" ref="AB69" ca="1">Ver_flag_local</f>
        <v>#VALUE!</v>
      </c>
      <c r="AC69" s="193">
        <v>1</v>
      </c>
      <c r="AD69" s="194">
        <v>4</v>
      </c>
      <c r="AE69" s="483" t="e" cm="1" vm="37">
        <f t="array" aca="1" ref="AE69" ca="1">Ver_flag_visit</f>
        <v>#VALUE!</v>
      </c>
      <c r="AF69" s="195" t="str">
        <f ca="1">A72</f>
        <v>Norway</v>
      </c>
      <c r="AG69" s="413">
        <f t="shared" si="238"/>
        <v>1</v>
      </c>
      <c r="AH69" s="196">
        <v>18</v>
      </c>
      <c r="AI69" s="19"/>
      <c r="AJ69" s="204" t="str">
        <f>AJ5</f>
        <v>Pos</v>
      </c>
      <c r="AK69" s="205"/>
      <c r="AL69" s="206" t="str">
        <f t="shared" ref="AL69:AT69" si="240">AL5</f>
        <v>Nation</v>
      </c>
      <c r="AM69" s="205" t="str">
        <f t="shared" si="240"/>
        <v>Pts</v>
      </c>
      <c r="AN69" s="205" t="str">
        <f t="shared" si="240"/>
        <v>P</v>
      </c>
      <c r="AO69" s="205" t="str">
        <f t="shared" si="240"/>
        <v>W</v>
      </c>
      <c r="AP69" s="205" t="str">
        <f t="shared" si="240"/>
        <v>D</v>
      </c>
      <c r="AQ69" s="205" t="str">
        <f t="shared" si="240"/>
        <v>L</v>
      </c>
      <c r="AR69" s="205" t="str">
        <f t="shared" si="240"/>
        <v>F</v>
      </c>
      <c r="AS69" s="205" t="str">
        <f t="shared" si="240"/>
        <v>A</v>
      </c>
      <c r="AT69" s="207" t="str">
        <f t="shared" si="240"/>
        <v>GD</v>
      </c>
      <c r="AU69" s="421">
        <f t="shared" ref="AU69" ca="1" si="241">COUNTIF(AU70:AU73,"&gt;1")</f>
        <v>0</v>
      </c>
      <c r="AV69" s="208"/>
      <c r="AW69" s="208"/>
      <c r="AX69" s="255"/>
      <c r="AY69" s="209" t="str">
        <f>AL69</f>
        <v>Nation</v>
      </c>
      <c r="AZ69" s="210" t="str">
        <f>+Idiomas!$D$69</f>
        <v>Deducted Points</v>
      </c>
      <c r="BA69" s="175"/>
      <c r="BB69" s="758" t="str">
        <f t="shared" si="188"/>
        <v>3L</v>
      </c>
      <c r="BC69" s="755" t="s">
        <v>238</v>
      </c>
      <c r="BD69" s="743" t="str">
        <f t="shared" ca="1" si="175"/>
        <v>Ghana</v>
      </c>
      <c r="BE69" s="747">
        <f t="shared" ca="1" si="189"/>
        <v>4</v>
      </c>
      <c r="BF69" s="747">
        <f t="shared" ca="1" si="190"/>
        <v>3</v>
      </c>
      <c r="BG69" s="747">
        <f t="shared" ca="1" si="191"/>
        <v>1</v>
      </c>
      <c r="BH69" s="747">
        <f t="shared" ca="1" si="192"/>
        <v>1</v>
      </c>
      <c r="BI69" s="747">
        <f t="shared" ca="1" si="176"/>
        <v>1</v>
      </c>
      <c r="BJ69" s="747">
        <f t="shared" ca="1" si="177"/>
        <v>2</v>
      </c>
      <c r="BK69" s="747">
        <f t="shared" ca="1" si="178"/>
        <v>2</v>
      </c>
      <c r="BL69" s="747">
        <f t="shared" ca="1" si="193"/>
        <v>0</v>
      </c>
      <c r="BM69" s="747">
        <f t="shared" ca="1" si="194"/>
        <v>4</v>
      </c>
      <c r="BN69" s="747">
        <f t="shared" ca="1" si="195"/>
        <v>3</v>
      </c>
      <c r="BO69" s="737" t="str">
        <f t="shared" si="196"/>
        <v>4L</v>
      </c>
      <c r="BP69" s="737"/>
      <c r="BQ69" s="737"/>
      <c r="BR69" s="747">
        <f t="shared" ca="1" si="179"/>
        <v>4</v>
      </c>
      <c r="BS69" s="747">
        <f t="shared" ca="1" si="197"/>
        <v>1</v>
      </c>
      <c r="BT69" s="747" t="str">
        <f t="shared" ca="1" si="198"/>
        <v>Pos. 1 (7)</v>
      </c>
      <c r="BU69" s="747">
        <f t="shared" ca="1" si="180"/>
        <v>0</v>
      </c>
      <c r="BV69" s="747">
        <f t="shared" ca="1" si="181"/>
        <v>2</v>
      </c>
      <c r="BW69" s="747" t="str">
        <f t="shared" ca="1" si="182"/>
        <v>Pos. 2 (3)</v>
      </c>
      <c r="BX69" s="747">
        <f t="shared" ca="1" si="183"/>
        <v>2</v>
      </c>
      <c r="BY69" s="747">
        <f t="shared" ca="1" si="184"/>
        <v>3</v>
      </c>
      <c r="BZ69" s="747" t="str">
        <f t="shared" ca="1" si="185"/>
        <v>Pos. 3 (2)</v>
      </c>
      <c r="CA69" s="747">
        <f t="shared" ca="1" si="199"/>
        <v>7</v>
      </c>
      <c r="CB69" s="747">
        <f ca="1">BY69+COUNTIFS(BZ$58:BZ$69,BZ69,CA$58:CA$69,"&gt;"&amp;CA69)</f>
        <v>4</v>
      </c>
      <c r="CC69" s="747"/>
      <c r="CD69" s="747">
        <f t="shared" ca="1" si="201"/>
        <v>3.004</v>
      </c>
      <c r="CE69" s="747">
        <f t="shared" ca="1" si="202"/>
        <v>2</v>
      </c>
      <c r="CF69" s="747">
        <f t="shared" ca="1" si="203"/>
        <v>3</v>
      </c>
      <c r="CG69" s="747"/>
      <c r="CH69" s="747"/>
      <c r="CI69" s="747"/>
      <c r="CJ69" s="747"/>
      <c r="CK69" s="747"/>
      <c r="CL69" s="747"/>
      <c r="CM69" s="747"/>
      <c r="CN69" s="747"/>
      <c r="CO69" s="747"/>
      <c r="CP69" s="747"/>
      <c r="CQ69" s="747"/>
      <c r="CR69" s="747"/>
      <c r="CS69" s="747"/>
      <c r="CT69" s="747"/>
      <c r="CU69" s="747"/>
      <c r="CV69" s="747"/>
      <c r="CW69" s="743"/>
      <c r="CX69" s="743"/>
      <c r="CY69" s="743"/>
      <c r="CZ69" s="743"/>
      <c r="DA69" s="743"/>
      <c r="DB69" s="743"/>
      <c r="DC69" s="743"/>
      <c r="DD69" s="743"/>
      <c r="DE69" s="743"/>
      <c r="DF69" s="743"/>
      <c r="DG69" s="743"/>
      <c r="DH69" s="743"/>
      <c r="DI69" s="743"/>
      <c r="DJ69" s="743">
        <f t="shared" ca="1" si="186"/>
        <v>12</v>
      </c>
      <c r="DK69" s="743"/>
      <c r="DL69" s="743">
        <f t="shared" ca="1" si="204"/>
        <v>1</v>
      </c>
      <c r="DM69" s="737" t="str">
        <f t="shared" ca="1" si="187"/>
        <v>12.1</v>
      </c>
      <c r="DN69" s="743" cm="1">
        <f t="array" aca="1" ref="DN69" ca="1">OFFSET(Horarios!$P$3,DJ69-1,0,DL69,1)</f>
        <v>12</v>
      </c>
      <c r="DO69" s="743"/>
      <c r="DP69" s="743">
        <v>12</v>
      </c>
      <c r="DQ69" s="743" t="str">
        <f t="shared" ca="1" si="205"/>
        <v>Uruguay</v>
      </c>
      <c r="DR69" s="743"/>
      <c r="DS69" s="743"/>
      <c r="DT69" s="743" t="str">
        <f t="shared" ref="DT69:DT132" ca="1" si="242">AA69&amp;"-"&amp;AF69</f>
        <v>Iraq-Norway</v>
      </c>
      <c r="DU69" s="743"/>
      <c r="DV69" s="743"/>
      <c r="DW69" s="8"/>
    </row>
    <row r="70" spans="1:127" ht="16.149999999999999" customHeight="1">
      <c r="A70" s="744" t="str">
        <f ca="1">+Equipos!B35</f>
        <v>Senegal</v>
      </c>
      <c r="B70" s="741"/>
      <c r="C70" s="745"/>
      <c r="D70" s="743" t="str">
        <f t="shared" si="225"/>
        <v>Local</v>
      </c>
      <c r="E70" s="743" t="str">
        <f t="shared" ca="1" si="226"/>
        <v>-</v>
      </c>
      <c r="F70" s="743" t="str">
        <f t="shared" ca="1" si="227"/>
        <v>-</v>
      </c>
      <c r="G70" s="743"/>
      <c r="H70" s="743" t="str">
        <f t="shared" ca="1" si="228"/>
        <v>-</v>
      </c>
      <c r="I70" s="743" t="str">
        <f t="shared" ca="1" si="229"/>
        <v>-</v>
      </c>
      <c r="J70" s="743"/>
      <c r="K70" s="743" t="str">
        <f t="shared" ca="1" si="230"/>
        <v>-</v>
      </c>
      <c r="L70" s="743" t="str">
        <f t="shared" ca="1" si="231"/>
        <v>-</v>
      </c>
      <c r="M70" s="743"/>
      <c r="N70" s="743" t="str">
        <f t="shared" ca="1" si="232"/>
        <v>-</v>
      </c>
      <c r="O70" s="743" t="str">
        <f t="shared" ca="1" si="233"/>
        <v>-</v>
      </c>
      <c r="P70" s="743"/>
      <c r="Q70" s="743" t="str">
        <f t="shared" ca="1" si="234"/>
        <v>-</v>
      </c>
      <c r="R70" s="743" t="str">
        <f t="shared" ca="1" si="235"/>
        <v>-</v>
      </c>
      <c r="S70" s="743"/>
      <c r="T70" s="743" t="str">
        <f t="shared" ca="1" si="236"/>
        <v>-</v>
      </c>
      <c r="U70" s="743" t="str">
        <f t="shared" ca="1" si="237"/>
        <v>-</v>
      </c>
      <c r="V70" s="172"/>
      <c r="W70" s="831"/>
      <c r="X70" s="189">
        <f ca="1">Horarios!C70</f>
        <v>46195.958333333336</v>
      </c>
      <c r="Y70" s="190">
        <f ca="1">Horarios!C70</f>
        <v>46195.958333333336</v>
      </c>
      <c r="Z70" s="191" t="str">
        <f>$Z$6</f>
        <v>R2</v>
      </c>
      <c r="AA70" s="192" t="str">
        <f ca="1">A69</f>
        <v>France</v>
      </c>
      <c r="AB70" s="478" t="e" cm="1" vm="34">
        <f t="array" aca="1" ref="AB70" ca="1">Ver_flag_local</f>
        <v>#VALUE!</v>
      </c>
      <c r="AC70" s="193">
        <v>3</v>
      </c>
      <c r="AD70" s="194">
        <v>0</v>
      </c>
      <c r="AE70" s="483" t="e" cm="1" vm="36">
        <f t="array" aca="1" ref="AE70" ca="1">Ver_flag_visit</f>
        <v>#VALUE!</v>
      </c>
      <c r="AF70" s="195" t="str">
        <f ca="1">A71</f>
        <v>Iraq</v>
      </c>
      <c r="AG70" s="413">
        <f t="shared" si="238"/>
        <v>1</v>
      </c>
      <c r="AH70" s="196">
        <v>42</v>
      </c>
      <c r="AI70" s="19" t="str">
        <f>AJ70&amp;$B$68</f>
        <v>1I</v>
      </c>
      <c r="AJ70" s="211">
        <v>1</v>
      </c>
      <c r="AK70" s="488" t="e" cm="1" vm="34">
        <f t="array" aca="1" ref="AK70" ca="1">Ver_flag_visit</f>
        <v>#VALUE!</v>
      </c>
      <c r="AL70" s="212" t="str">
        <f ca="1">IFERROR(INDEX($BD$6:$BD$53,MATCH(AI70,$BN$6:$BN$53,0)),"")</f>
        <v>France</v>
      </c>
      <c r="AM70" s="213">
        <f t="shared" ref="AM70:AT73" ca="1" si="243">INDEX($BE$6:$BN$53,MATCH($AL70,$BD$6:$BD$53,0),MATCH(AM$5,$BE$5:$BN$5,0))</f>
        <v>9</v>
      </c>
      <c r="AN70" s="214">
        <f t="shared" ca="1" si="243"/>
        <v>3</v>
      </c>
      <c r="AO70" s="214">
        <f t="shared" ca="1" si="243"/>
        <v>3</v>
      </c>
      <c r="AP70" s="214">
        <f t="shared" ca="1" si="243"/>
        <v>0</v>
      </c>
      <c r="AQ70" s="214">
        <f t="shared" ca="1" si="243"/>
        <v>0</v>
      </c>
      <c r="AR70" s="214">
        <f t="shared" ca="1" si="243"/>
        <v>10</v>
      </c>
      <c r="AS70" s="214">
        <f t="shared" ca="1" si="243"/>
        <v>2</v>
      </c>
      <c r="AT70" s="215">
        <f t="shared" ca="1" si="243"/>
        <v>8</v>
      </c>
      <c r="AU70" s="420">
        <f ca="1">INDEX($DL$6:$DL$53,MATCH(AI70,$DP$6:$DP$53,0))</f>
        <v>1</v>
      </c>
      <c r="AV70" s="217" t="str">
        <f ca="1">INDEX($BD$6:$BD$53,MATCH(AI70,$BM$6:$BM$53,0))</f>
        <v>France</v>
      </c>
      <c r="AW70" s="427"/>
      <c r="AX70" s="218"/>
      <c r="AY70" s="219" t="str">
        <f ca="1">+A69</f>
        <v>France</v>
      </c>
      <c r="AZ70" s="220"/>
      <c r="BA70" s="175"/>
      <c r="BB70" s="743"/>
      <c r="BC70" s="743"/>
      <c r="BD70" s="743"/>
      <c r="BE70" s="743"/>
      <c r="BF70" s="743"/>
      <c r="BG70" s="743"/>
      <c r="BH70" s="743"/>
      <c r="BI70" s="743"/>
      <c r="BJ70" s="743"/>
      <c r="BK70" s="743"/>
      <c r="BL70" s="743"/>
      <c r="BM70" s="743"/>
      <c r="BN70" s="748"/>
      <c r="BO70" s="748"/>
      <c r="BP70" s="748"/>
      <c r="BQ70" s="748"/>
      <c r="BR70" s="743"/>
      <c r="BS70" s="743"/>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3"/>
      <c r="CX70" s="748"/>
      <c r="CY70" s="743"/>
      <c r="CZ70" s="743"/>
      <c r="DA70" s="743"/>
      <c r="DB70" s="743"/>
      <c r="DC70" s="743"/>
      <c r="DD70" s="743"/>
      <c r="DE70" s="743"/>
      <c r="DF70" s="743"/>
      <c r="DG70" s="743"/>
      <c r="DH70" s="743"/>
      <c r="DI70" s="743"/>
      <c r="DJ70" s="743"/>
      <c r="DK70" s="743"/>
      <c r="DL70" s="743"/>
      <c r="DM70" s="743"/>
      <c r="DN70" s="743"/>
      <c r="DO70" s="743"/>
      <c r="DP70" s="743"/>
      <c r="DQ70" s="743"/>
      <c r="DR70" s="743"/>
      <c r="DS70" s="743"/>
      <c r="DT70" s="743" t="str">
        <f t="shared" ca="1" si="242"/>
        <v>France-Iraq</v>
      </c>
      <c r="DU70" s="743"/>
      <c r="DV70" s="743"/>
      <c r="DW70" s="8"/>
    </row>
    <row r="71" spans="1:127" ht="16.149999999999999" customHeight="1">
      <c r="A71" s="744" t="str">
        <f ca="1">+Equipos!B36</f>
        <v>Iraq</v>
      </c>
      <c r="B71" s="741"/>
      <c r="C71" s="743"/>
      <c r="D71" s="743" t="str">
        <f t="shared" si="225"/>
        <v>Local</v>
      </c>
      <c r="E71" s="743" t="str">
        <f t="shared" ca="1" si="226"/>
        <v>-</v>
      </c>
      <c r="F71" s="743" t="str">
        <f t="shared" ca="1" si="227"/>
        <v>-</v>
      </c>
      <c r="G71" s="743"/>
      <c r="H71" s="743" t="str">
        <f t="shared" ca="1" si="228"/>
        <v>-</v>
      </c>
      <c r="I71" s="743" t="str">
        <f t="shared" ca="1" si="229"/>
        <v>-</v>
      </c>
      <c r="J71" s="743"/>
      <c r="K71" s="743" t="str">
        <f t="shared" ca="1" si="230"/>
        <v>-</v>
      </c>
      <c r="L71" s="743" t="str">
        <f t="shared" ca="1" si="231"/>
        <v>-</v>
      </c>
      <c r="M71" s="743"/>
      <c r="N71" s="743" t="str">
        <f t="shared" ca="1" si="232"/>
        <v>-</v>
      </c>
      <c r="O71" s="743" t="str">
        <f t="shared" ca="1" si="233"/>
        <v>-</v>
      </c>
      <c r="P71" s="743"/>
      <c r="Q71" s="743" t="str">
        <f t="shared" ca="1" si="234"/>
        <v>-</v>
      </c>
      <c r="R71" s="743" t="str">
        <f t="shared" ca="1" si="235"/>
        <v>-</v>
      </c>
      <c r="S71" s="743"/>
      <c r="T71" s="743" t="str">
        <f t="shared" ca="1" si="236"/>
        <v>-</v>
      </c>
      <c r="U71" s="743" t="str">
        <f t="shared" ca="1" si="237"/>
        <v>-</v>
      </c>
      <c r="V71" s="172"/>
      <c r="W71" s="831"/>
      <c r="X71" s="189">
        <f ca="1">Horarios!C71</f>
        <v>46196.083333333336</v>
      </c>
      <c r="Y71" s="190">
        <f ca="1">Horarios!C71</f>
        <v>46196.083333333336</v>
      </c>
      <c r="Z71" s="191" t="str">
        <f>$Z$6</f>
        <v>R2</v>
      </c>
      <c r="AA71" s="192" t="str">
        <f ca="1">A72</f>
        <v>Norway</v>
      </c>
      <c r="AB71" s="478" t="e" cm="1" vm="37">
        <f t="array" aca="1" ref="AB71" ca="1">Ver_flag_local</f>
        <v>#VALUE!</v>
      </c>
      <c r="AC71" s="193">
        <v>3</v>
      </c>
      <c r="AD71" s="194">
        <v>2</v>
      </c>
      <c r="AE71" s="483" t="e" cm="1" vm="35">
        <f t="array" aca="1" ref="AE71" ca="1">Ver_flag_visit</f>
        <v>#VALUE!</v>
      </c>
      <c r="AF71" s="195" t="str">
        <f ca="1">A70</f>
        <v>Senegal</v>
      </c>
      <c r="AG71" s="413">
        <f t="shared" si="238"/>
        <v>1</v>
      </c>
      <c r="AH71" s="196">
        <v>41</v>
      </c>
      <c r="AI71" s="19" t="str">
        <f t="shared" ref="AI71:AI73" si="244">AJ71&amp;$B$68</f>
        <v>2I</v>
      </c>
      <c r="AJ71" s="221">
        <v>2</v>
      </c>
      <c r="AK71" s="486" t="e" cm="1" vm="37">
        <f t="array" aca="1" ref="AK71" ca="1">Ver_flag_visit</f>
        <v>#VALUE!</v>
      </c>
      <c r="AL71" s="222" t="str">
        <f ca="1">IFERROR(INDEX($BD$6:$BD$53,MATCH(AI71,$BN$6:$BN$53,0)),"")</f>
        <v>Norway</v>
      </c>
      <c r="AM71" s="223">
        <f t="shared" ca="1" si="243"/>
        <v>6</v>
      </c>
      <c r="AN71" s="224">
        <f t="shared" ca="1" si="243"/>
        <v>3</v>
      </c>
      <c r="AO71" s="224">
        <f t="shared" ca="1" si="243"/>
        <v>2</v>
      </c>
      <c r="AP71" s="224">
        <f t="shared" ca="1" si="243"/>
        <v>0</v>
      </c>
      <c r="AQ71" s="224">
        <f t="shared" ca="1" si="243"/>
        <v>1</v>
      </c>
      <c r="AR71" s="224">
        <f t="shared" ca="1" si="243"/>
        <v>8</v>
      </c>
      <c r="AS71" s="224">
        <f t="shared" ca="1" si="243"/>
        <v>7</v>
      </c>
      <c r="AT71" s="225">
        <f t="shared" ca="1" si="243"/>
        <v>1</v>
      </c>
      <c r="AU71" s="420">
        <f ca="1">INDEX($DL$6:$DL$53,MATCH(AI71,$DP$6:$DP$53,0))</f>
        <v>1</v>
      </c>
      <c r="AV71" s="217" t="str">
        <f ca="1">INDEX($BD$6:$BD$53,MATCH(AI71,$BM$6:$BM$53,0))</f>
        <v>Norway</v>
      </c>
      <c r="AW71" s="427"/>
      <c r="AX71" s="218"/>
      <c r="AY71" s="226" t="str">
        <f ca="1">+A70</f>
        <v>Senegal</v>
      </c>
      <c r="AZ71" s="227"/>
      <c r="BA71" s="175"/>
      <c r="BB71" s="743"/>
      <c r="BC71" s="743"/>
      <c r="BD71" s="743"/>
      <c r="BE71" s="743"/>
      <c r="BF71" s="743"/>
      <c r="BG71" s="743"/>
      <c r="BH71" s="743"/>
      <c r="BI71" s="743"/>
      <c r="BJ71" s="743"/>
      <c r="BK71" s="743"/>
      <c r="BL71" s="743"/>
      <c r="BM71" s="743"/>
      <c r="BN71" s="748"/>
      <c r="BO71" s="748"/>
      <c r="BP71" s="748"/>
      <c r="BQ71" s="748"/>
      <c r="BR71" s="743"/>
      <c r="BS71" s="743"/>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3"/>
      <c r="CX71" s="748"/>
      <c r="CY71" s="743"/>
      <c r="CZ71" s="743"/>
      <c r="DA71" s="743"/>
      <c r="DB71" s="743"/>
      <c r="DC71" s="743"/>
      <c r="DD71" s="743"/>
      <c r="DE71" s="743"/>
      <c r="DF71" s="743"/>
      <c r="DG71" s="743"/>
      <c r="DH71" s="743"/>
      <c r="DI71" s="743"/>
      <c r="DJ71" s="743"/>
      <c r="DK71" s="743"/>
      <c r="DL71" s="743"/>
      <c r="DM71" s="743"/>
      <c r="DN71" s="743"/>
      <c r="DO71" s="743"/>
      <c r="DP71" s="743"/>
      <c r="DQ71" s="743"/>
      <c r="DR71" s="743"/>
      <c r="DS71" s="743"/>
      <c r="DT71" s="743" t="str">
        <f t="shared" ca="1" si="242"/>
        <v>Norway-Senegal</v>
      </c>
      <c r="DU71" s="743"/>
      <c r="DV71" s="743"/>
      <c r="DW71" s="8"/>
    </row>
    <row r="72" spans="1:127" ht="16.149999999999999" customHeight="1">
      <c r="A72" s="744" t="str">
        <f ca="1">+Equipos!B37</f>
        <v>Norway</v>
      </c>
      <c r="B72" s="741"/>
      <c r="C72" s="743"/>
      <c r="D72" s="743" t="str">
        <f t="shared" si="225"/>
        <v>Visitante</v>
      </c>
      <c r="E72" s="743" t="str">
        <f t="shared" ca="1" si="226"/>
        <v>-</v>
      </c>
      <c r="F72" s="743" t="str">
        <f t="shared" ca="1" si="227"/>
        <v>-</v>
      </c>
      <c r="G72" s="743"/>
      <c r="H72" s="743" t="str">
        <f t="shared" ca="1" si="228"/>
        <v>-</v>
      </c>
      <c r="I72" s="743" t="str">
        <f t="shared" ca="1" si="229"/>
        <v>-</v>
      </c>
      <c r="J72" s="743"/>
      <c r="K72" s="743" t="str">
        <f t="shared" ca="1" si="230"/>
        <v>-</v>
      </c>
      <c r="L72" s="743" t="str">
        <f t="shared" ca="1" si="231"/>
        <v>-</v>
      </c>
      <c r="M72" s="743"/>
      <c r="N72" s="743" t="str">
        <f t="shared" ca="1" si="232"/>
        <v>-</v>
      </c>
      <c r="O72" s="743" t="str">
        <f t="shared" ca="1" si="233"/>
        <v>-</v>
      </c>
      <c r="P72" s="743"/>
      <c r="Q72" s="743" t="str">
        <f t="shared" ca="1" si="234"/>
        <v>-</v>
      </c>
      <c r="R72" s="743" t="str">
        <f t="shared" ca="1" si="235"/>
        <v>-</v>
      </c>
      <c r="S72" s="743"/>
      <c r="T72" s="743" t="str">
        <f t="shared" ca="1" si="236"/>
        <v>-</v>
      </c>
      <c r="U72" s="743" t="str">
        <f t="shared" ca="1" si="237"/>
        <v>-</v>
      </c>
      <c r="V72" s="172"/>
      <c r="W72" s="831"/>
      <c r="X72" s="189">
        <f ca="1">Horarios!C72</f>
        <v>46199.875</v>
      </c>
      <c r="Y72" s="190">
        <f ca="1">Horarios!C72</f>
        <v>46199.875</v>
      </c>
      <c r="Z72" s="191" t="str">
        <f>$Z$8</f>
        <v>R3</v>
      </c>
      <c r="AA72" s="192" t="str">
        <f ca="1">A72</f>
        <v>Norway</v>
      </c>
      <c r="AB72" s="478" t="e" cm="1" vm="37">
        <f t="array" aca="1" ref="AB72" ca="1">Ver_flag_local</f>
        <v>#VALUE!</v>
      </c>
      <c r="AC72" s="193">
        <v>1</v>
      </c>
      <c r="AD72" s="194">
        <v>4</v>
      </c>
      <c r="AE72" s="483" t="e" cm="1" vm="34">
        <f t="array" aca="1" ref="AE72" ca="1">Ver_flag_visit</f>
        <v>#VALUE!</v>
      </c>
      <c r="AF72" s="195" t="str">
        <f ca="1">A69</f>
        <v>France</v>
      </c>
      <c r="AG72" s="413">
        <f t="shared" si="238"/>
        <v>1</v>
      </c>
      <c r="AH72" s="196">
        <v>61</v>
      </c>
      <c r="AI72" s="19" t="str">
        <f t="shared" si="244"/>
        <v>3I</v>
      </c>
      <c r="AJ72" s="221">
        <v>3</v>
      </c>
      <c r="AK72" s="486" t="e" cm="1" vm="35">
        <f t="array" aca="1" ref="AK72" ca="1">Ver_flag_visit</f>
        <v>#VALUE!</v>
      </c>
      <c r="AL72" s="222" t="str">
        <f ca="1">IFERROR(INDEX($BD$6:$BD$53,MATCH(AI72,$BN$6:$BN$53,0)),"")</f>
        <v>Senegal</v>
      </c>
      <c r="AM72" s="223">
        <f t="shared" ca="1" si="243"/>
        <v>3</v>
      </c>
      <c r="AN72" s="224">
        <f t="shared" ca="1" si="243"/>
        <v>3</v>
      </c>
      <c r="AO72" s="224">
        <f t="shared" ca="1" si="243"/>
        <v>1</v>
      </c>
      <c r="AP72" s="224">
        <f t="shared" ca="1" si="243"/>
        <v>0</v>
      </c>
      <c r="AQ72" s="224">
        <f t="shared" ca="1" si="243"/>
        <v>2</v>
      </c>
      <c r="AR72" s="224">
        <f t="shared" ca="1" si="243"/>
        <v>8</v>
      </c>
      <c r="AS72" s="224">
        <f t="shared" ca="1" si="243"/>
        <v>6</v>
      </c>
      <c r="AT72" s="225">
        <f t="shared" ca="1" si="243"/>
        <v>2</v>
      </c>
      <c r="AU72" s="420">
        <f ca="1">INDEX($DL$6:$DL$53,MATCH(AI72,$DP$6:$DP$53,0))</f>
        <v>1</v>
      </c>
      <c r="AV72" s="217" t="str">
        <f ca="1">INDEX($BD$6:$BD$53,MATCH(AI72,$BM$6:$BM$53,0))</f>
        <v>Senegal</v>
      </c>
      <c r="AW72" s="427"/>
      <c r="AX72" s="218"/>
      <c r="AY72" s="219" t="str">
        <f ca="1">+A71</f>
        <v>Iraq</v>
      </c>
      <c r="AZ72" s="220"/>
      <c r="BA72" s="175"/>
      <c r="BB72" s="743"/>
      <c r="BC72" s="743"/>
      <c r="BD72" s="743"/>
      <c r="BE72" s="743"/>
      <c r="BF72" s="743"/>
      <c r="BG72" s="743"/>
      <c r="BH72" s="743"/>
      <c r="BI72" s="743"/>
      <c r="BJ72" s="743"/>
      <c r="BK72" s="743"/>
      <c r="BL72" s="743"/>
      <c r="BM72" s="743"/>
      <c r="BN72" s="748"/>
      <c r="BO72" s="748"/>
      <c r="BP72" s="748"/>
      <c r="BQ72" s="748"/>
      <c r="BR72" s="743"/>
      <c r="BS72" s="743"/>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3"/>
      <c r="CX72" s="748"/>
      <c r="CY72" s="743"/>
      <c r="CZ72" s="743"/>
      <c r="DA72" s="743"/>
      <c r="DB72" s="743"/>
      <c r="DC72" s="743"/>
      <c r="DD72" s="743"/>
      <c r="DE72" s="743"/>
      <c r="DF72" s="743"/>
      <c r="DG72" s="743"/>
      <c r="DH72" s="743"/>
      <c r="DI72" s="743"/>
      <c r="DJ72" s="743"/>
      <c r="DK72" s="743"/>
      <c r="DL72" s="743"/>
      <c r="DM72" s="743"/>
      <c r="DN72" s="743"/>
      <c r="DO72" s="743"/>
      <c r="DP72" s="743"/>
      <c r="DQ72" s="743"/>
      <c r="DR72" s="743"/>
      <c r="DS72" s="743"/>
      <c r="DT72" s="743" t="str">
        <f t="shared" ca="1" si="242"/>
        <v>Norway-France</v>
      </c>
      <c r="DU72" s="743"/>
      <c r="DV72" s="743"/>
      <c r="DW72" s="8"/>
    </row>
    <row r="73" spans="1:127" ht="16.899999999999999" customHeight="1" thickBot="1">
      <c r="A73" s="738"/>
      <c r="B73" s="738"/>
      <c r="C73" s="738"/>
      <c r="D73" s="743" t="str">
        <f t="shared" si="225"/>
        <v>Local</v>
      </c>
      <c r="E73" s="743" t="str">
        <f t="shared" ca="1" si="226"/>
        <v>-</v>
      </c>
      <c r="F73" s="743" t="str">
        <f t="shared" ca="1" si="227"/>
        <v>-</v>
      </c>
      <c r="G73" s="743"/>
      <c r="H73" s="743" t="str">
        <f t="shared" ca="1" si="228"/>
        <v>-</v>
      </c>
      <c r="I73" s="743" t="str">
        <f t="shared" ca="1" si="229"/>
        <v>-</v>
      </c>
      <c r="J73" s="743"/>
      <c r="K73" s="743" t="str">
        <f t="shared" ca="1" si="230"/>
        <v>-</v>
      </c>
      <c r="L73" s="743" t="str">
        <f t="shared" ca="1" si="231"/>
        <v>-</v>
      </c>
      <c r="M73" s="743"/>
      <c r="N73" s="743" t="str">
        <f t="shared" ca="1" si="232"/>
        <v>-</v>
      </c>
      <c r="O73" s="743" t="str">
        <f t="shared" ca="1" si="233"/>
        <v>-</v>
      </c>
      <c r="P73" s="743"/>
      <c r="Q73" s="743" t="str">
        <f t="shared" ca="1" si="234"/>
        <v>-</v>
      </c>
      <c r="R73" s="743" t="str">
        <f t="shared" ca="1" si="235"/>
        <v>-</v>
      </c>
      <c r="S73" s="743"/>
      <c r="T73" s="743" t="str">
        <f t="shared" ca="1" si="236"/>
        <v>-</v>
      </c>
      <c r="U73" s="743" t="str">
        <f t="shared" ca="1" si="237"/>
        <v>-</v>
      </c>
      <c r="V73" s="172"/>
      <c r="W73" s="832"/>
      <c r="X73" s="228">
        <f ca="1">Horarios!C73</f>
        <v>46199.875</v>
      </c>
      <c r="Y73" s="229">
        <f ca="1">Horarios!C73</f>
        <v>46199.875</v>
      </c>
      <c r="Z73" s="230" t="str">
        <f>$Z$8</f>
        <v>R3</v>
      </c>
      <c r="AA73" s="231" t="str">
        <f ca="1">A70</f>
        <v>Senegal</v>
      </c>
      <c r="AB73" s="479" t="e" cm="1" vm="35">
        <f t="array" aca="1" ref="AB73" ca="1">Ver_flag_local</f>
        <v>#VALUE!</v>
      </c>
      <c r="AC73" s="232">
        <v>5</v>
      </c>
      <c r="AD73" s="233">
        <v>0</v>
      </c>
      <c r="AE73" s="484" t="e" cm="1" vm="36">
        <f t="array" aca="1" ref="AE73" ca="1">Ver_flag_visit</f>
        <v>#VALUE!</v>
      </c>
      <c r="AF73" s="234" t="str">
        <f ca="1">A71</f>
        <v>Iraq</v>
      </c>
      <c r="AG73" s="413">
        <f t="shared" si="238"/>
        <v>1</v>
      </c>
      <c r="AH73" s="196">
        <v>62</v>
      </c>
      <c r="AI73" s="19" t="str">
        <f t="shared" si="244"/>
        <v>4I</v>
      </c>
      <c r="AJ73" s="235">
        <v>4</v>
      </c>
      <c r="AK73" s="487" t="e" cm="1" vm="36">
        <f t="array" aca="1" ref="AK73" ca="1">Ver_flag_visit</f>
        <v>#VALUE!</v>
      </c>
      <c r="AL73" s="236" t="str">
        <f ca="1">IFERROR(INDEX($BD$6:$BD$53,MATCH(AI73,$BN$6:$BN$53,0)),"")</f>
        <v>Iraq</v>
      </c>
      <c r="AM73" s="237">
        <f t="shared" ca="1" si="243"/>
        <v>0</v>
      </c>
      <c r="AN73" s="238">
        <f t="shared" ca="1" si="243"/>
        <v>3</v>
      </c>
      <c r="AO73" s="238">
        <f t="shared" ca="1" si="243"/>
        <v>0</v>
      </c>
      <c r="AP73" s="238">
        <f t="shared" ca="1" si="243"/>
        <v>0</v>
      </c>
      <c r="AQ73" s="238">
        <f t="shared" ca="1" si="243"/>
        <v>3</v>
      </c>
      <c r="AR73" s="238">
        <f t="shared" ca="1" si="243"/>
        <v>1</v>
      </c>
      <c r="AS73" s="238">
        <f t="shared" ca="1" si="243"/>
        <v>12</v>
      </c>
      <c r="AT73" s="239">
        <f t="shared" ca="1" si="243"/>
        <v>-11</v>
      </c>
      <c r="AU73" s="420">
        <f ca="1">INDEX($DL$6:$DL$53,MATCH(AI73,$DP$6:$DP$53,0))</f>
        <v>1</v>
      </c>
      <c r="AV73" s="217" t="str">
        <f ca="1">INDEX($BD$6:$BD$53,MATCH(AI73,$BM$6:$BM$53,0))</f>
        <v>Iraq</v>
      </c>
      <c r="AW73" s="427"/>
      <c r="AX73" s="218"/>
      <c r="AY73" s="240" t="str">
        <f ca="1">+A72</f>
        <v>Norway</v>
      </c>
      <c r="AZ73" s="241"/>
      <c r="BA73" s="175"/>
      <c r="BB73" s="743"/>
      <c r="BC73" s="743"/>
      <c r="BD73" s="743"/>
      <c r="BE73" s="743"/>
      <c r="BF73" s="743"/>
      <c r="BG73" s="743"/>
      <c r="BH73" s="743"/>
      <c r="BI73" s="743"/>
      <c r="BJ73" s="743"/>
      <c r="BK73" s="743"/>
      <c r="BL73" s="743"/>
      <c r="BM73" s="743"/>
      <c r="BN73" s="748"/>
      <c r="BO73" s="748"/>
      <c r="BP73" s="748"/>
      <c r="BQ73" s="748"/>
      <c r="BR73" s="743"/>
      <c r="BS73" s="743"/>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3"/>
      <c r="CX73" s="748"/>
      <c r="CY73" s="743"/>
      <c r="CZ73" s="743"/>
      <c r="DA73" s="743"/>
      <c r="DB73" s="743"/>
      <c r="DC73" s="743"/>
      <c r="DD73" s="743"/>
      <c r="DE73" s="743"/>
      <c r="DF73" s="743"/>
      <c r="DG73" s="743"/>
      <c r="DH73" s="743"/>
      <c r="DI73" s="743"/>
      <c r="DJ73" s="743"/>
      <c r="DK73" s="743"/>
      <c r="DL73" s="743"/>
      <c r="DM73" s="743"/>
      <c r="DN73" s="743"/>
      <c r="DO73" s="743"/>
      <c r="DP73" s="743"/>
      <c r="DQ73" s="743"/>
      <c r="DR73" s="743"/>
      <c r="DS73" s="743"/>
      <c r="DT73" s="743" t="str">
        <f t="shared" ca="1" si="242"/>
        <v>Senegal-Iraq</v>
      </c>
      <c r="DU73" s="743"/>
      <c r="DV73" s="743"/>
      <c r="DW73" s="8"/>
    </row>
    <row r="74" spans="1:127" ht="15.75" thickBot="1">
      <c r="A74" s="738"/>
      <c r="B74" s="738"/>
      <c r="C74" s="738"/>
      <c r="D74" s="743"/>
      <c r="E74" s="743"/>
      <c r="F74" s="743"/>
      <c r="G74" s="743"/>
      <c r="H74" s="743"/>
      <c r="I74" s="743"/>
      <c r="J74" s="743"/>
      <c r="K74" s="743"/>
      <c r="L74" s="743"/>
      <c r="M74" s="743"/>
      <c r="N74" s="743"/>
      <c r="O74" s="743"/>
      <c r="P74" s="743"/>
      <c r="Q74" s="743"/>
      <c r="R74" s="743"/>
      <c r="S74" s="743"/>
      <c r="T74" s="743"/>
      <c r="U74" s="743"/>
      <c r="V74" s="172"/>
      <c r="W74" s="242"/>
      <c r="X74" s="243"/>
      <c r="Y74" s="242"/>
      <c r="Z74" s="244"/>
      <c r="AA74" s="245"/>
      <c r="AB74" s="482"/>
      <c r="AC74" s="247"/>
      <c r="AD74" s="247"/>
      <c r="AE74" s="482"/>
      <c r="AF74" s="248"/>
      <c r="AG74" s="415"/>
      <c r="AH74" s="196"/>
      <c r="AI74" s="171"/>
      <c r="AJ74" s="249"/>
      <c r="AK74" s="250"/>
      <c r="AL74" s="186"/>
      <c r="AM74" s="251"/>
      <c r="AN74" s="249"/>
      <c r="AO74" s="249"/>
      <c r="AP74" s="249"/>
      <c r="AQ74" s="249"/>
      <c r="AR74" s="249"/>
      <c r="AS74" s="249"/>
      <c r="AT74" s="249"/>
      <c r="AU74" s="420"/>
      <c r="AV74" s="216"/>
      <c r="AW74" s="428"/>
      <c r="AX74" s="218"/>
      <c r="AY74" s="242"/>
      <c r="AZ74" s="243"/>
      <c r="BA74" s="175"/>
      <c r="BB74" s="743"/>
      <c r="BC74" s="743"/>
      <c r="BD74" s="743"/>
      <c r="BE74" s="743"/>
      <c r="BF74" s="743"/>
      <c r="BG74" s="743"/>
      <c r="BH74" s="743"/>
      <c r="BI74" s="743"/>
      <c r="BJ74" s="743"/>
      <c r="BK74" s="743"/>
      <c r="BL74" s="743"/>
      <c r="BM74" s="743"/>
      <c r="BN74" s="748"/>
      <c r="BO74" s="748"/>
      <c r="BP74" s="748"/>
      <c r="BQ74" s="748"/>
      <c r="BR74" s="743"/>
      <c r="BS74" s="743"/>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3"/>
      <c r="CX74" s="748"/>
      <c r="CY74" s="743"/>
      <c r="CZ74" s="743"/>
      <c r="DA74" s="743"/>
      <c r="DB74" s="743"/>
      <c r="DC74" s="743"/>
      <c r="DD74" s="743"/>
      <c r="DE74" s="743"/>
      <c r="DF74" s="743"/>
      <c r="DG74" s="743"/>
      <c r="DH74" s="743"/>
      <c r="DI74" s="743"/>
      <c r="DJ74" s="743"/>
      <c r="DK74" s="743"/>
      <c r="DL74" s="743"/>
      <c r="DM74" s="743"/>
      <c r="DN74" s="743"/>
      <c r="DO74" s="743"/>
      <c r="DP74" s="743"/>
      <c r="DQ74" s="743"/>
      <c r="DR74" s="743"/>
      <c r="DS74" s="743"/>
      <c r="DT74" s="743" t="str">
        <f t="shared" si="242"/>
        <v>-</v>
      </c>
      <c r="DU74" s="743"/>
      <c r="DV74" s="743"/>
      <c r="DW74" s="8"/>
    </row>
    <row r="75" spans="1:127" ht="15.75" thickBot="1">
      <c r="A75" s="738"/>
      <c r="B75" s="741"/>
      <c r="C75" s="738"/>
      <c r="D75" s="738"/>
      <c r="E75" s="738"/>
      <c r="F75" s="738"/>
      <c r="G75" s="738"/>
      <c r="H75" s="738"/>
      <c r="I75" s="738"/>
      <c r="J75" s="738"/>
      <c r="K75" s="738"/>
      <c r="L75" s="738"/>
      <c r="M75" s="738"/>
      <c r="N75" s="743"/>
      <c r="O75" s="743"/>
      <c r="P75" s="743"/>
      <c r="Q75" s="743"/>
      <c r="R75" s="743"/>
      <c r="S75" s="743"/>
      <c r="T75" s="743"/>
      <c r="U75" s="743"/>
      <c r="V75" s="172"/>
      <c r="W75" s="179"/>
      <c r="X75" s="180" t="str">
        <f>X3</f>
        <v>Date</v>
      </c>
      <c r="Y75" s="180" t="str">
        <f>Y3</f>
        <v>Hour</v>
      </c>
      <c r="Z75" s="181" t="str">
        <f>Z3</f>
        <v>R</v>
      </c>
      <c r="AA75" s="182" t="str">
        <f>AA3</f>
        <v>Home</v>
      </c>
      <c r="AB75" s="181"/>
      <c r="AC75" s="181" t="str">
        <f>AC3</f>
        <v>Goal</v>
      </c>
      <c r="AD75" s="181" t="str">
        <f>AD3</f>
        <v>Goal</v>
      </c>
      <c r="AE75" s="181"/>
      <c r="AF75" s="184" t="str">
        <f>AF3</f>
        <v>Away</v>
      </c>
      <c r="AG75" s="414"/>
      <c r="AH75" s="196"/>
      <c r="AI75" s="18"/>
      <c r="AJ75" s="186"/>
      <c r="AK75" s="252"/>
      <c r="AL75" s="186"/>
      <c r="AM75" s="186"/>
      <c r="AN75" s="186"/>
      <c r="AO75" s="186"/>
      <c r="AP75" s="186"/>
      <c r="AQ75" s="186"/>
      <c r="AR75" s="186"/>
      <c r="AS75" s="186"/>
      <c r="AT75" s="186"/>
      <c r="AU75" s="421"/>
      <c r="AV75" s="22"/>
      <c r="AW75" s="429"/>
      <c r="AX75" s="253"/>
      <c r="AY75" s="242"/>
      <c r="AZ75" s="243"/>
      <c r="BA75" s="175"/>
      <c r="BB75" s="743"/>
      <c r="BC75" s="743"/>
      <c r="BD75" s="743"/>
      <c r="BE75" s="743"/>
      <c r="BF75" s="743"/>
      <c r="BG75" s="743"/>
      <c r="BH75" s="743"/>
      <c r="BI75" s="743"/>
      <c r="BJ75" s="743"/>
      <c r="BK75" s="743"/>
      <c r="BL75" s="743"/>
      <c r="BM75" s="743"/>
      <c r="BN75" s="743"/>
      <c r="BO75" s="743"/>
      <c r="BP75" s="743"/>
      <c r="BQ75" s="743"/>
      <c r="BR75" s="743"/>
      <c r="BS75" s="743"/>
      <c r="BT75" s="743"/>
      <c r="BU75" s="743"/>
      <c r="BV75" s="743"/>
      <c r="BW75" s="743"/>
      <c r="BX75" s="743"/>
      <c r="BY75" s="743"/>
      <c r="BZ75" s="743"/>
      <c r="CA75" s="743"/>
      <c r="CB75" s="743"/>
      <c r="CC75" s="743"/>
      <c r="CD75" s="743"/>
      <c r="CE75" s="743"/>
      <c r="CF75" s="743"/>
      <c r="CG75" s="743"/>
      <c r="CH75" s="743"/>
      <c r="CI75" s="743"/>
      <c r="CJ75" s="743"/>
      <c r="CK75" s="743"/>
      <c r="CL75" s="743"/>
      <c r="CM75" s="743"/>
      <c r="CN75" s="743"/>
      <c r="CO75" s="743"/>
      <c r="CP75" s="743"/>
      <c r="CQ75" s="743"/>
      <c r="CR75" s="743"/>
      <c r="CS75" s="743"/>
      <c r="CT75" s="743"/>
      <c r="CU75" s="743"/>
      <c r="CV75" s="743"/>
      <c r="CW75" s="743"/>
      <c r="CX75" s="743"/>
      <c r="CY75" s="743"/>
      <c r="CZ75" s="743"/>
      <c r="DA75" s="743"/>
      <c r="DB75" s="743"/>
      <c r="DC75" s="743"/>
      <c r="DD75" s="743"/>
      <c r="DE75" s="743"/>
      <c r="DF75" s="743"/>
      <c r="DG75" s="743"/>
      <c r="DH75" s="743"/>
      <c r="DI75" s="743"/>
      <c r="DJ75" s="743"/>
      <c r="DK75" s="743"/>
      <c r="DL75" s="743"/>
      <c r="DM75" s="743"/>
      <c r="DN75" s="743"/>
      <c r="DO75" s="743"/>
      <c r="DP75" s="743"/>
      <c r="DQ75" s="743"/>
      <c r="DR75" s="743"/>
      <c r="DS75" s="743"/>
      <c r="DT75" s="743" t="str">
        <f t="shared" si="242"/>
        <v>Home-Away</v>
      </c>
      <c r="DU75" s="743"/>
      <c r="DV75" s="743"/>
      <c r="DW75" s="8"/>
    </row>
    <row r="76" spans="1:127" ht="16.149999999999999" customHeight="1" thickBot="1">
      <c r="A76" s="740" t="s">
        <v>30</v>
      </c>
      <c r="B76" s="741" t="s">
        <v>5</v>
      </c>
      <c r="C76" s="742">
        <f>COUNTIF(Equipos!$C$2:$C$49,WORLDCUP!B76)</f>
        <v>4</v>
      </c>
      <c r="D76" s="743" t="str">
        <f t="shared" ref="D76:D81" si="245">IF(OR(AC76="",AD76=""),"Pendiente",IF(AC76&gt;AD76,"Local",IF(AC76&lt;AD76,"Visitante","Empate")))</f>
        <v>Local</v>
      </c>
      <c r="E76" s="743" t="str">
        <f t="shared" ref="E76:E81" ca="1" si="246">IF(D76="Pendiente","-",INDEX($BT$6:$BT$53,MATCH($AA76,$BD$6:$BD$53,0)))</f>
        <v>-</v>
      </c>
      <c r="F76" s="743" t="str">
        <f t="shared" ref="F76:F81" ca="1" si="247">IF(D76="Pendiente","-",INDEX($BT$6:$BT$53,MATCH($AF76,$BD$6:$BD$53,0)))</f>
        <v>P.2 (2)</v>
      </c>
      <c r="G76" s="743"/>
      <c r="H76" s="743" t="str">
        <f t="shared" ref="H76:H81" ca="1" si="248">IF(D76="Pendiente","-",INDEX($BZ$6:$BZ$53,MATCH($AA76,$BD$6:$BD$53,0)))</f>
        <v>-</v>
      </c>
      <c r="I76" s="743" t="str">
        <f t="shared" ref="I76:I81" ca="1" si="249">IF(D76="Pendiente","-",INDEX($BZ$6:$BZ$53,MATCH($AF76,$BD$6:$BD$53,0)))</f>
        <v>P.2 (2)</v>
      </c>
      <c r="J76" s="743"/>
      <c r="K76" s="743" t="str">
        <f t="shared" ref="K76:K81" ca="1" si="250">IF(D76="Pendiente","-",INDEX($CE$6:$CE$53,MATCH($AA76,$BD$6:$BD$53,0)))</f>
        <v>-</v>
      </c>
      <c r="L76" s="743" t="str">
        <f t="shared" ref="L76:L81" ca="1" si="251">IF(D76="Pendiente","-",INDEX($CE$6:$CE$53,MATCH($AF76,$BD$6:$BD$53,0)))</f>
        <v>P.2 (2)</v>
      </c>
      <c r="M76" s="743"/>
      <c r="N76" s="743" t="str">
        <f t="shared" ref="N76:N81" ca="1" si="252">IF(D76="Pendiente","-",INDEX($CH$6:$CH$53,MATCH($AA76,$BD$6:$BD$53,0)))</f>
        <v>-</v>
      </c>
      <c r="O76" s="743" t="str">
        <f t="shared" ref="O76:O81" ca="1" si="253">IF(D76="Pendiente","-",INDEX($CH$6:$CH$53,MATCH($AF76,$BD$6:$BD$53,0)))</f>
        <v>P.2 (2)</v>
      </c>
      <c r="P76" s="743"/>
      <c r="Q76" s="743" t="str">
        <f t="shared" ref="Q76:Q81" ca="1" si="254">IF(D76="Pendiente","-",INDEX($CN$6:$CN$53,MATCH($AA76,$BD$6:$BD$53,0)))</f>
        <v>-</v>
      </c>
      <c r="R76" s="743" t="str">
        <f t="shared" ref="R76:R81" ca="1" si="255">IF(D76="Pendiente","-",INDEX($CN$6:$CN$53,MATCH($AF76,$BD$6:$BD$53,0)))</f>
        <v>P.2 (2)</v>
      </c>
      <c r="S76" s="743"/>
      <c r="T76" s="743" t="str">
        <f t="shared" ref="T76:T81" ca="1" si="256">IF(D76="Pendiente","-",INDEX($CS$6:$CS$53,MATCH($AA76,$BD$6:$BD$53,0)))</f>
        <v>-</v>
      </c>
      <c r="U76" s="743" t="str">
        <f t="shared" ref="U76:U81" ca="1" si="257">IF(D76="Pendiente","-",INDEX($CS$6:$CS$53,MATCH($AF76,$BD$6:$BD$53,0)))</f>
        <v>P.2 (2)</v>
      </c>
      <c r="V76" s="172"/>
      <c r="W76" s="827" t="s">
        <v>5</v>
      </c>
      <c r="X76" s="189">
        <f ca="1">Horarios!C76</f>
        <v>46190.125</v>
      </c>
      <c r="Y76" s="190">
        <f ca="1">Horarios!C76</f>
        <v>46190.125</v>
      </c>
      <c r="Z76" s="191" t="str">
        <f>$Z$4</f>
        <v>R1</v>
      </c>
      <c r="AA76" s="192" t="str">
        <f ca="1">A77</f>
        <v>Argentina</v>
      </c>
      <c r="AB76" s="478" t="e" cm="1" vm="38">
        <f t="array" aca="1" ref="AB76" ca="1">Ver_flag_local</f>
        <v>#VALUE!</v>
      </c>
      <c r="AC76" s="193">
        <v>3</v>
      </c>
      <c r="AD76" s="194">
        <v>0</v>
      </c>
      <c r="AE76" s="483" t="e" cm="1" vm="39">
        <f t="array" aca="1" ref="AE76" ca="1">Ver_flag_visit</f>
        <v>#VALUE!</v>
      </c>
      <c r="AF76" s="195" t="str">
        <f ca="1">A78</f>
        <v>Algeria</v>
      </c>
      <c r="AG76" s="413">
        <f t="shared" ref="AG76:AG81" si="258">IF(NOT(OR(ISBLANK(AC76),ISBLANK(AD76))),1,0)</f>
        <v>1</v>
      </c>
      <c r="AH76" s="196">
        <v>19</v>
      </c>
      <c r="AI76" s="19"/>
      <c r="AJ76" s="197" t="str">
        <f>CONCATENATE(AJ3," ",B76)</f>
        <v>Group J</v>
      </c>
      <c r="AK76" s="198"/>
      <c r="AL76" s="198"/>
      <c r="AM76" s="198"/>
      <c r="AN76" s="198"/>
      <c r="AO76" s="198"/>
      <c r="AP76" s="198"/>
      <c r="AQ76" s="198"/>
      <c r="AR76" s="198"/>
      <c r="AS76" s="198"/>
      <c r="AT76" s="199"/>
      <c r="AU76" s="421"/>
      <c r="AV76" s="200" t="str">
        <f t="shared" ref="AV76" ca="1" si="259">IF(AU77&gt;0,$AV$3,"")</f>
        <v/>
      </c>
      <c r="AW76" s="208"/>
      <c r="AX76" s="255"/>
      <c r="AY76" s="242"/>
      <c r="AZ76" s="243"/>
      <c r="BA76" s="175"/>
      <c r="BB76" s="743"/>
      <c r="BC76" s="743"/>
      <c r="BD76" s="743"/>
      <c r="BE76" s="743"/>
      <c r="BF76" s="743"/>
      <c r="BG76" s="743"/>
      <c r="BH76" s="743"/>
      <c r="BI76" s="743"/>
      <c r="BJ76" s="743"/>
      <c r="BK76" s="743"/>
      <c r="BL76" s="743"/>
      <c r="BM76" s="743"/>
      <c r="BN76" s="743"/>
      <c r="BO76" s="743"/>
      <c r="BP76" s="743"/>
      <c r="BQ76" s="743"/>
      <c r="BR76" s="743"/>
      <c r="BS76" s="743"/>
      <c r="BT76" s="743"/>
      <c r="BU76" s="743"/>
      <c r="BV76" s="743"/>
      <c r="BW76" s="743"/>
      <c r="BX76" s="743"/>
      <c r="BY76" s="743"/>
      <c r="BZ76" s="743"/>
      <c r="CA76" s="743"/>
      <c r="CB76" s="743"/>
      <c r="CC76" s="743"/>
      <c r="CD76" s="743"/>
      <c r="CE76" s="743"/>
      <c r="CF76" s="743"/>
      <c r="CG76" s="743"/>
      <c r="CH76" s="743"/>
      <c r="CI76" s="743"/>
      <c r="CJ76" s="743"/>
      <c r="CK76" s="743"/>
      <c r="CL76" s="743"/>
      <c r="CM76" s="743"/>
      <c r="CN76" s="743"/>
      <c r="CO76" s="743"/>
      <c r="CP76" s="743"/>
      <c r="CQ76" s="743"/>
      <c r="CR76" s="743"/>
      <c r="CS76" s="743"/>
      <c r="CT76" s="743"/>
      <c r="CU76" s="743"/>
      <c r="CV76" s="743"/>
      <c r="CW76" s="743"/>
      <c r="CX76" s="748"/>
      <c r="CY76" s="743"/>
      <c r="CZ76" s="743"/>
      <c r="DA76" s="743"/>
      <c r="DB76" s="743"/>
      <c r="DC76" s="743"/>
      <c r="DD76" s="743"/>
      <c r="DE76" s="743"/>
      <c r="DF76" s="743"/>
      <c r="DG76" s="743"/>
      <c r="DH76" s="743"/>
      <c r="DI76" s="743"/>
      <c r="DJ76" s="743"/>
      <c r="DK76" s="743"/>
      <c r="DL76" s="743"/>
      <c r="DM76" s="743"/>
      <c r="DN76" s="743"/>
      <c r="DO76" s="743"/>
      <c r="DP76" s="743"/>
      <c r="DQ76" s="743"/>
      <c r="DR76" s="743"/>
      <c r="DS76" s="743"/>
      <c r="DT76" s="743" t="str">
        <f t="shared" ca="1" si="242"/>
        <v>Argentina-Algeria</v>
      </c>
      <c r="DU76" s="743"/>
      <c r="DV76" s="743"/>
      <c r="DW76" s="8"/>
    </row>
    <row r="77" spans="1:127" ht="16.149999999999999" customHeight="1">
      <c r="A77" s="744" t="str">
        <f ca="1">+Equipos!B38</f>
        <v>Argentina</v>
      </c>
      <c r="B77" s="741"/>
      <c r="C77" s="741"/>
      <c r="D77" s="743" t="str">
        <f t="shared" si="245"/>
        <v>Local</v>
      </c>
      <c r="E77" s="743" t="str">
        <f t="shared" ca="1" si="246"/>
        <v>P.2 (2)</v>
      </c>
      <c r="F77" s="743" t="str">
        <f t="shared" ca="1" si="247"/>
        <v>-</v>
      </c>
      <c r="G77" s="743"/>
      <c r="H77" s="743" t="str">
        <f t="shared" ca="1" si="248"/>
        <v>P.2 (2)</v>
      </c>
      <c r="I77" s="743" t="str">
        <f t="shared" ca="1" si="249"/>
        <v>-</v>
      </c>
      <c r="J77" s="743"/>
      <c r="K77" s="743" t="str">
        <f t="shared" ca="1" si="250"/>
        <v>P.2 (2)</v>
      </c>
      <c r="L77" s="743" t="str">
        <f t="shared" ca="1" si="251"/>
        <v>-</v>
      </c>
      <c r="M77" s="743"/>
      <c r="N77" s="743" t="str">
        <f t="shared" ca="1" si="252"/>
        <v>P.2 (2)</v>
      </c>
      <c r="O77" s="743" t="str">
        <f t="shared" ca="1" si="253"/>
        <v>-</v>
      </c>
      <c r="P77" s="743"/>
      <c r="Q77" s="743" t="str">
        <f t="shared" ca="1" si="254"/>
        <v>P.2 (2)</v>
      </c>
      <c r="R77" s="743" t="str">
        <f t="shared" ca="1" si="255"/>
        <v>-</v>
      </c>
      <c r="S77" s="743"/>
      <c r="T77" s="743" t="str">
        <f t="shared" ca="1" si="256"/>
        <v>P.2 (2)</v>
      </c>
      <c r="U77" s="743" t="str">
        <f t="shared" ca="1" si="257"/>
        <v>-</v>
      </c>
      <c r="V77" s="172"/>
      <c r="W77" s="827"/>
      <c r="X77" s="189">
        <f ca="1">Horarios!C77</f>
        <v>46190.25</v>
      </c>
      <c r="Y77" s="190">
        <f ca="1">Horarios!C77</f>
        <v>46190.25</v>
      </c>
      <c r="Z77" s="191" t="str">
        <f>$Z$4</f>
        <v>R1</v>
      </c>
      <c r="AA77" s="192" t="str">
        <f ca="1">A79</f>
        <v>Austria</v>
      </c>
      <c r="AB77" s="478" t="e" cm="1" vm="40">
        <f t="array" aca="1" ref="AB77" ca="1">Ver_flag_local</f>
        <v>#VALUE!</v>
      </c>
      <c r="AC77" s="193">
        <v>3</v>
      </c>
      <c r="AD77" s="194">
        <v>1</v>
      </c>
      <c r="AE77" s="483" t="e" cm="1" vm="41">
        <f t="array" aca="1" ref="AE77" ca="1">Ver_flag_visit</f>
        <v>#VALUE!</v>
      </c>
      <c r="AF77" s="195" t="str">
        <f ca="1">A80</f>
        <v>Jordan</v>
      </c>
      <c r="AG77" s="413">
        <f t="shared" si="258"/>
        <v>1</v>
      </c>
      <c r="AH77" s="196">
        <v>20</v>
      </c>
      <c r="AI77" s="19"/>
      <c r="AJ77" s="204" t="str">
        <f>AJ5</f>
        <v>Pos</v>
      </c>
      <c r="AK77" s="205"/>
      <c r="AL77" s="206" t="str">
        <f t="shared" ref="AL77:AT77" si="260">AL5</f>
        <v>Nation</v>
      </c>
      <c r="AM77" s="205" t="str">
        <f t="shared" si="260"/>
        <v>Pts</v>
      </c>
      <c r="AN77" s="205" t="str">
        <f t="shared" si="260"/>
        <v>P</v>
      </c>
      <c r="AO77" s="205" t="str">
        <f t="shared" si="260"/>
        <v>W</v>
      </c>
      <c r="AP77" s="205" t="str">
        <f t="shared" si="260"/>
        <v>D</v>
      </c>
      <c r="AQ77" s="205" t="str">
        <f t="shared" si="260"/>
        <v>L</v>
      </c>
      <c r="AR77" s="205" t="str">
        <f t="shared" si="260"/>
        <v>F</v>
      </c>
      <c r="AS77" s="205" t="str">
        <f t="shared" si="260"/>
        <v>A</v>
      </c>
      <c r="AT77" s="207" t="str">
        <f t="shared" si="260"/>
        <v>GD</v>
      </c>
      <c r="AU77" s="421">
        <f t="shared" ref="AU77" ca="1" si="261">COUNTIF(AU78:AU81,"&gt;1")</f>
        <v>0</v>
      </c>
      <c r="AV77" s="208"/>
      <c r="AW77" s="208"/>
      <c r="AX77" s="255"/>
      <c r="AY77" s="209" t="str">
        <f>AL77</f>
        <v>Nation</v>
      </c>
      <c r="AZ77" s="210" t="str">
        <f>+Idiomas!$D$69</f>
        <v>Deducted Points</v>
      </c>
      <c r="BA77" s="175"/>
      <c r="BB77" s="743"/>
      <c r="BC77" s="743"/>
      <c r="BD77" s="743"/>
      <c r="BE77" s="743"/>
      <c r="BF77" s="743"/>
      <c r="BG77" s="743"/>
      <c r="BH77" s="743"/>
      <c r="BI77" s="743"/>
      <c r="BJ77" s="743"/>
      <c r="BK77" s="743"/>
      <c r="BL77" s="743"/>
      <c r="BM77" s="743"/>
      <c r="BN77" s="746"/>
      <c r="BO77" s="746"/>
      <c r="BP77" s="746"/>
      <c r="BQ77" s="746"/>
      <c r="BR77" s="743"/>
      <c r="BS77" s="743"/>
      <c r="BT77" s="746"/>
      <c r="BU77" s="746"/>
      <c r="BV77" s="746"/>
      <c r="BW77" s="746"/>
      <c r="BX77" s="746"/>
      <c r="BY77" s="746"/>
      <c r="BZ77" s="746"/>
      <c r="CA77" s="746"/>
      <c r="CB77" s="746"/>
      <c r="CC77" s="746"/>
      <c r="CD77" s="746"/>
      <c r="CE77" s="746"/>
      <c r="CF77" s="746"/>
      <c r="CG77" s="746"/>
      <c r="CH77" s="746"/>
      <c r="CI77" s="746"/>
      <c r="CJ77" s="746"/>
      <c r="CK77" s="746"/>
      <c r="CL77" s="746"/>
      <c r="CM77" s="746"/>
      <c r="CN77" s="746"/>
      <c r="CO77" s="746"/>
      <c r="CP77" s="746"/>
      <c r="CQ77" s="746"/>
      <c r="CR77" s="746"/>
      <c r="CS77" s="746"/>
      <c r="CT77" s="746"/>
      <c r="CU77" s="746"/>
      <c r="CV77" s="746"/>
      <c r="CW77" s="743"/>
      <c r="CX77" s="746"/>
      <c r="CY77" s="743"/>
      <c r="CZ77" s="743"/>
      <c r="DA77" s="743"/>
      <c r="DB77" s="743"/>
      <c r="DC77" s="743"/>
      <c r="DD77" s="743"/>
      <c r="DE77" s="743"/>
      <c r="DF77" s="743"/>
      <c r="DG77" s="743"/>
      <c r="DH77" s="743"/>
      <c r="DI77" s="743"/>
      <c r="DJ77" s="743"/>
      <c r="DK77" s="743"/>
      <c r="DL77" s="743"/>
      <c r="DM77" s="743"/>
      <c r="DN77" s="743"/>
      <c r="DO77" s="743"/>
      <c r="DP77" s="743"/>
      <c r="DQ77" s="743"/>
      <c r="DR77" s="743"/>
      <c r="DS77" s="743"/>
      <c r="DT77" s="743" t="str">
        <f t="shared" ca="1" si="242"/>
        <v>Austria-Jordan</v>
      </c>
      <c r="DU77" s="743"/>
      <c r="DV77" s="743"/>
      <c r="DW77" s="8"/>
    </row>
    <row r="78" spans="1:127" ht="16.149999999999999" customHeight="1">
      <c r="A78" s="744" t="str">
        <f ca="1">+Equipos!B39</f>
        <v>Algeria</v>
      </c>
      <c r="B78" s="741"/>
      <c r="C78" s="745"/>
      <c r="D78" s="743" t="str">
        <f t="shared" si="245"/>
        <v>Local</v>
      </c>
      <c r="E78" s="743" t="str">
        <f t="shared" ca="1" si="246"/>
        <v>-</v>
      </c>
      <c r="F78" s="743" t="str">
        <f t="shared" ca="1" si="247"/>
        <v>P.2 (2)</v>
      </c>
      <c r="G78" s="743"/>
      <c r="H78" s="743" t="str">
        <f t="shared" ca="1" si="248"/>
        <v>-</v>
      </c>
      <c r="I78" s="743" t="str">
        <f t="shared" ca="1" si="249"/>
        <v>P.2 (2)</v>
      </c>
      <c r="J78" s="743"/>
      <c r="K78" s="743" t="str">
        <f t="shared" ca="1" si="250"/>
        <v>-</v>
      </c>
      <c r="L78" s="743" t="str">
        <f t="shared" ca="1" si="251"/>
        <v>P.2 (2)</v>
      </c>
      <c r="M78" s="743"/>
      <c r="N78" s="743" t="str">
        <f t="shared" ca="1" si="252"/>
        <v>-</v>
      </c>
      <c r="O78" s="743" t="str">
        <f t="shared" ca="1" si="253"/>
        <v>P.2 (2)</v>
      </c>
      <c r="P78" s="743"/>
      <c r="Q78" s="743" t="str">
        <f t="shared" ca="1" si="254"/>
        <v>-</v>
      </c>
      <c r="R78" s="743" t="str">
        <f t="shared" ca="1" si="255"/>
        <v>P.2 (2)</v>
      </c>
      <c r="S78" s="743"/>
      <c r="T78" s="743" t="str">
        <f t="shared" ca="1" si="256"/>
        <v>-</v>
      </c>
      <c r="U78" s="743" t="str">
        <f t="shared" ca="1" si="257"/>
        <v>P.2 (2)</v>
      </c>
      <c r="V78" s="172"/>
      <c r="W78" s="827"/>
      <c r="X78" s="189">
        <f ca="1">Horarios!C78</f>
        <v>46195.791666666664</v>
      </c>
      <c r="Y78" s="190">
        <f ca="1">Horarios!C78</f>
        <v>46195.791666666664</v>
      </c>
      <c r="Z78" s="191" t="str">
        <f>$Z$6</f>
        <v>R2</v>
      </c>
      <c r="AA78" s="192" t="str">
        <f ca="1">A77</f>
        <v>Argentina</v>
      </c>
      <c r="AB78" s="478" t="e" cm="1" vm="38">
        <f t="array" aca="1" ref="AB78" ca="1">Ver_flag_local</f>
        <v>#VALUE!</v>
      </c>
      <c r="AC78" s="193">
        <v>2</v>
      </c>
      <c r="AD78" s="194">
        <v>0</v>
      </c>
      <c r="AE78" s="483" t="e" cm="1" vm="40">
        <f t="array" aca="1" ref="AE78" ca="1">Ver_flag_visit</f>
        <v>#VALUE!</v>
      </c>
      <c r="AF78" s="195" t="str">
        <f ca="1">A79</f>
        <v>Austria</v>
      </c>
      <c r="AG78" s="413">
        <f t="shared" si="258"/>
        <v>1</v>
      </c>
      <c r="AH78" s="196">
        <v>43</v>
      </c>
      <c r="AI78" s="19" t="str">
        <f>AJ78&amp;$B$76</f>
        <v>1J</v>
      </c>
      <c r="AJ78" s="211">
        <v>1</v>
      </c>
      <c r="AK78" s="488" t="e" cm="1" vm="38">
        <f t="array" aca="1" ref="AK78" ca="1">Ver_flag_visit</f>
        <v>#VALUE!</v>
      </c>
      <c r="AL78" s="212" t="str">
        <f ca="1">IFERROR(INDEX($BD$6:$BD$53,MATCH(AI78,$BN$6:$BN$53,0)),"")</f>
        <v>Argentina</v>
      </c>
      <c r="AM78" s="213">
        <f t="shared" ref="AM78:AT81" ca="1" si="262">INDEX($BE$6:$BN$53,MATCH($AL78,$BD$6:$BD$53,0),MATCH(AM$5,$BE$5:$BN$5,0))</f>
        <v>9</v>
      </c>
      <c r="AN78" s="214">
        <f t="shared" ca="1" si="262"/>
        <v>3</v>
      </c>
      <c r="AO78" s="214">
        <f t="shared" ca="1" si="262"/>
        <v>3</v>
      </c>
      <c r="AP78" s="214">
        <f t="shared" ca="1" si="262"/>
        <v>0</v>
      </c>
      <c r="AQ78" s="214">
        <f t="shared" ca="1" si="262"/>
        <v>0</v>
      </c>
      <c r="AR78" s="214">
        <f t="shared" ca="1" si="262"/>
        <v>8</v>
      </c>
      <c r="AS78" s="214">
        <f t="shared" ca="1" si="262"/>
        <v>1</v>
      </c>
      <c r="AT78" s="215">
        <f t="shared" ca="1" si="262"/>
        <v>7</v>
      </c>
      <c r="AU78" s="420">
        <f ca="1">INDEX($DL$6:$DL$53,MATCH(AI78,$DP$6:$DP$53,0))</f>
        <v>1</v>
      </c>
      <c r="AV78" s="217" t="str">
        <f ca="1">INDEX($BD$6:$BD$53,MATCH(AI78,$BM$6:$BM$53,0))</f>
        <v>Argentina</v>
      </c>
      <c r="AW78" s="427"/>
      <c r="AX78" s="218"/>
      <c r="AY78" s="219" t="str">
        <f ca="1">+A77</f>
        <v>Argentina</v>
      </c>
      <c r="AZ78" s="220"/>
      <c r="BA78" s="175"/>
      <c r="BB78" s="743"/>
      <c r="BC78" s="743"/>
      <c r="BD78" s="743"/>
      <c r="BE78" s="743"/>
      <c r="BF78" s="743"/>
      <c r="BG78" s="743"/>
      <c r="BH78" s="743"/>
      <c r="BI78" s="743"/>
      <c r="BJ78" s="743"/>
      <c r="BK78" s="743"/>
      <c r="BL78" s="743"/>
      <c r="BM78" s="743"/>
      <c r="BN78" s="748"/>
      <c r="BO78" s="748"/>
      <c r="BP78" s="748"/>
      <c r="BQ78" s="748"/>
      <c r="BR78" s="743"/>
      <c r="BS78" s="743"/>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3"/>
      <c r="CX78" s="748"/>
      <c r="CY78" s="743"/>
      <c r="CZ78" s="743"/>
      <c r="DA78" s="743"/>
      <c r="DB78" s="743"/>
      <c r="DC78" s="743"/>
      <c r="DD78" s="743"/>
      <c r="DE78" s="743"/>
      <c r="DF78" s="743"/>
      <c r="DG78" s="743"/>
      <c r="DH78" s="743"/>
      <c r="DI78" s="743"/>
      <c r="DJ78" s="743"/>
      <c r="DK78" s="743"/>
      <c r="DL78" s="743"/>
      <c r="DM78" s="743"/>
      <c r="DN78" s="743"/>
      <c r="DO78" s="743"/>
      <c r="DP78" s="743"/>
      <c r="DQ78" s="743"/>
      <c r="DR78" s="743"/>
      <c r="DS78" s="743"/>
      <c r="DT78" s="743" t="str">
        <f t="shared" ca="1" si="242"/>
        <v>Argentina-Austria</v>
      </c>
      <c r="DU78" s="743"/>
      <c r="DV78" s="743"/>
      <c r="DW78" s="8"/>
    </row>
    <row r="79" spans="1:127" ht="16.149999999999999" customHeight="1">
      <c r="A79" s="744" t="str">
        <f ca="1">+Equipos!B40</f>
        <v>Austria</v>
      </c>
      <c r="B79" s="741"/>
      <c r="C79" s="743"/>
      <c r="D79" s="743" t="str">
        <f t="shared" si="245"/>
        <v>Visitante</v>
      </c>
      <c r="E79" s="743" t="str">
        <f t="shared" ca="1" si="246"/>
        <v>-</v>
      </c>
      <c r="F79" s="743" t="str">
        <f t="shared" ca="1" si="247"/>
        <v>P.2 (2)</v>
      </c>
      <c r="G79" s="743"/>
      <c r="H79" s="743" t="str">
        <f t="shared" ca="1" si="248"/>
        <v>-</v>
      </c>
      <c r="I79" s="743" t="str">
        <f t="shared" ca="1" si="249"/>
        <v>P.2 (2)</v>
      </c>
      <c r="J79" s="743"/>
      <c r="K79" s="743" t="str">
        <f t="shared" ca="1" si="250"/>
        <v>-</v>
      </c>
      <c r="L79" s="743" t="str">
        <f t="shared" ca="1" si="251"/>
        <v>P.2 (2)</v>
      </c>
      <c r="M79" s="743"/>
      <c r="N79" s="743" t="str">
        <f t="shared" ca="1" si="252"/>
        <v>-</v>
      </c>
      <c r="O79" s="743" t="str">
        <f t="shared" ca="1" si="253"/>
        <v>P.2 (2)</v>
      </c>
      <c r="P79" s="743"/>
      <c r="Q79" s="743" t="str">
        <f t="shared" ca="1" si="254"/>
        <v>-</v>
      </c>
      <c r="R79" s="743" t="str">
        <f t="shared" ca="1" si="255"/>
        <v>P.2 (2)</v>
      </c>
      <c r="S79" s="743"/>
      <c r="T79" s="743" t="str">
        <f t="shared" ca="1" si="256"/>
        <v>-</v>
      </c>
      <c r="U79" s="743" t="str">
        <f t="shared" ca="1" si="257"/>
        <v>P.2 (2)</v>
      </c>
      <c r="V79" s="172"/>
      <c r="W79" s="827"/>
      <c r="X79" s="189">
        <f ca="1">Horarios!C79</f>
        <v>46196.208333333336</v>
      </c>
      <c r="Y79" s="190">
        <f ca="1">Horarios!C79</f>
        <v>46196.208333333336</v>
      </c>
      <c r="Z79" s="191" t="str">
        <f>$Z$6</f>
        <v>R2</v>
      </c>
      <c r="AA79" s="192" t="str">
        <f ca="1">A80</f>
        <v>Jordan</v>
      </c>
      <c r="AB79" s="478" t="e" cm="1" vm="41">
        <f t="array" aca="1" ref="AB79" ca="1">Ver_flag_local</f>
        <v>#VALUE!</v>
      </c>
      <c r="AC79" s="193">
        <v>1</v>
      </c>
      <c r="AD79" s="194">
        <v>2</v>
      </c>
      <c r="AE79" s="483" t="e" cm="1" vm="39">
        <f t="array" aca="1" ref="AE79" ca="1">Ver_flag_visit</f>
        <v>#VALUE!</v>
      </c>
      <c r="AF79" s="195" t="str">
        <f ca="1">A78</f>
        <v>Algeria</v>
      </c>
      <c r="AG79" s="413">
        <f t="shared" si="258"/>
        <v>1</v>
      </c>
      <c r="AH79" s="196">
        <v>44</v>
      </c>
      <c r="AI79" s="19" t="str">
        <f t="shared" ref="AI79:AI81" si="263">AJ79&amp;$B$76</f>
        <v>2J</v>
      </c>
      <c r="AJ79" s="221">
        <v>2</v>
      </c>
      <c r="AK79" s="486" t="e" cm="1" vm="40">
        <f t="array" aca="1" ref="AK79" ca="1">Ver_flag_visit</f>
        <v>#VALUE!</v>
      </c>
      <c r="AL79" s="222" t="str">
        <f ca="1">IFERROR(INDEX($BD$6:$BD$53,MATCH(AI79,$BN$6:$BN$53,0)),"")</f>
        <v>Austria</v>
      </c>
      <c r="AM79" s="223">
        <f t="shared" ca="1" si="262"/>
        <v>4</v>
      </c>
      <c r="AN79" s="224">
        <f t="shared" ca="1" si="262"/>
        <v>3</v>
      </c>
      <c r="AO79" s="224">
        <f t="shared" ca="1" si="262"/>
        <v>1</v>
      </c>
      <c r="AP79" s="224">
        <f t="shared" ca="1" si="262"/>
        <v>1</v>
      </c>
      <c r="AQ79" s="224">
        <f t="shared" ca="1" si="262"/>
        <v>1</v>
      </c>
      <c r="AR79" s="224">
        <f t="shared" ca="1" si="262"/>
        <v>6</v>
      </c>
      <c r="AS79" s="224">
        <f t="shared" ca="1" si="262"/>
        <v>6</v>
      </c>
      <c r="AT79" s="225">
        <f t="shared" ca="1" si="262"/>
        <v>0</v>
      </c>
      <c r="AU79" s="420">
        <f ca="1">INDEX($DL$6:$DL$53,MATCH(AI79,$DP$6:$DP$53,0))</f>
        <v>1</v>
      </c>
      <c r="AV79" s="217" t="str">
        <f ca="1">INDEX($BD$6:$BD$53,MATCH(AI79,$BM$6:$BM$53,0))</f>
        <v>Austria</v>
      </c>
      <c r="AW79" s="427"/>
      <c r="AX79" s="218"/>
      <c r="AY79" s="226" t="str">
        <f ca="1">+A78</f>
        <v>Algeria</v>
      </c>
      <c r="AZ79" s="227"/>
      <c r="BA79" s="175"/>
      <c r="BB79" s="743"/>
      <c r="BC79" s="743"/>
      <c r="BD79" s="743"/>
      <c r="BE79" s="743"/>
      <c r="BF79" s="743"/>
      <c r="BG79" s="743"/>
      <c r="BH79" s="743"/>
      <c r="BI79" s="743"/>
      <c r="BJ79" s="743"/>
      <c r="BK79" s="743"/>
      <c r="BL79" s="743"/>
      <c r="BM79" s="743"/>
      <c r="BN79" s="748"/>
      <c r="BO79" s="748"/>
      <c r="BP79" s="748"/>
      <c r="BQ79" s="748"/>
      <c r="BR79" s="743"/>
      <c r="BS79" s="743"/>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3"/>
      <c r="CX79" s="748"/>
      <c r="CY79" s="743"/>
      <c r="CZ79" s="743"/>
      <c r="DA79" s="743"/>
      <c r="DB79" s="743"/>
      <c r="DC79" s="743"/>
      <c r="DD79" s="743"/>
      <c r="DE79" s="743"/>
      <c r="DF79" s="743"/>
      <c r="DG79" s="743"/>
      <c r="DH79" s="743"/>
      <c r="DI79" s="743"/>
      <c r="DJ79" s="743"/>
      <c r="DK79" s="743"/>
      <c r="DL79" s="743"/>
      <c r="DM79" s="743"/>
      <c r="DN79" s="743"/>
      <c r="DO79" s="743"/>
      <c r="DP79" s="743"/>
      <c r="DQ79" s="743"/>
      <c r="DR79" s="743"/>
      <c r="DS79" s="743"/>
      <c r="DT79" s="743" t="str">
        <f t="shared" ca="1" si="242"/>
        <v>Jordan-Algeria</v>
      </c>
      <c r="DU79" s="743"/>
      <c r="DV79" s="743"/>
      <c r="DW79" s="8"/>
    </row>
    <row r="80" spans="1:127" ht="16.149999999999999" customHeight="1">
      <c r="A80" s="744" t="str">
        <f ca="1">+Equipos!B41</f>
        <v>Jordan</v>
      </c>
      <c r="B80" s="741"/>
      <c r="C80" s="743"/>
      <c r="D80" s="743" t="str">
        <f t="shared" si="245"/>
        <v>Empate</v>
      </c>
      <c r="E80" s="743" t="str">
        <f t="shared" ca="1" si="246"/>
        <v>P.2 (2)</v>
      </c>
      <c r="F80" s="743" t="str">
        <f t="shared" ca="1" si="247"/>
        <v>P.2 (2)</v>
      </c>
      <c r="G80" s="743"/>
      <c r="H80" s="743" t="str">
        <f t="shared" ca="1" si="248"/>
        <v>P.2 (2)</v>
      </c>
      <c r="I80" s="743" t="str">
        <f t="shared" ca="1" si="249"/>
        <v>P.2 (2)</v>
      </c>
      <c r="J80" s="743"/>
      <c r="K80" s="743" t="str">
        <f t="shared" ca="1" si="250"/>
        <v>P.2 (2)</v>
      </c>
      <c r="L80" s="743" t="str">
        <f t="shared" ca="1" si="251"/>
        <v>P.2 (2)</v>
      </c>
      <c r="M80" s="743"/>
      <c r="N80" s="743" t="str">
        <f t="shared" ca="1" si="252"/>
        <v>P.2 (2)</v>
      </c>
      <c r="O80" s="743" t="str">
        <f t="shared" ca="1" si="253"/>
        <v>P.2 (2)</v>
      </c>
      <c r="P80" s="743"/>
      <c r="Q80" s="743" t="str">
        <f t="shared" ca="1" si="254"/>
        <v>P.2 (2)</v>
      </c>
      <c r="R80" s="743" t="str">
        <f t="shared" ca="1" si="255"/>
        <v>P.2 (2)</v>
      </c>
      <c r="S80" s="743"/>
      <c r="T80" s="743" t="str">
        <f t="shared" ca="1" si="256"/>
        <v>P.2 (2)</v>
      </c>
      <c r="U80" s="743" t="str">
        <f t="shared" ca="1" si="257"/>
        <v>P.2 (2)</v>
      </c>
      <c r="V80" s="172"/>
      <c r="W80" s="827"/>
      <c r="X80" s="189">
        <f ca="1">Horarios!C80</f>
        <v>46201.166666666664</v>
      </c>
      <c r="Y80" s="190">
        <f ca="1">Horarios!C80</f>
        <v>46201.166666666664</v>
      </c>
      <c r="Z80" s="191" t="str">
        <f>$Z$8</f>
        <v>R3</v>
      </c>
      <c r="AA80" s="192" t="str">
        <f ca="1">A78</f>
        <v>Algeria</v>
      </c>
      <c r="AB80" s="478" t="e" cm="1" vm="39">
        <f t="array" aca="1" ref="AB80" ca="1">Ver_flag_local</f>
        <v>#VALUE!</v>
      </c>
      <c r="AC80" s="193">
        <v>3</v>
      </c>
      <c r="AD80" s="194">
        <v>3</v>
      </c>
      <c r="AE80" s="483" t="e" cm="1" vm="40">
        <f t="array" aca="1" ref="AE80" ca="1">Ver_flag_visit</f>
        <v>#VALUE!</v>
      </c>
      <c r="AF80" s="195" t="str">
        <f ca="1">A79</f>
        <v>Austria</v>
      </c>
      <c r="AG80" s="413">
        <f t="shared" si="258"/>
        <v>1</v>
      </c>
      <c r="AH80" s="196">
        <v>69</v>
      </c>
      <c r="AI80" s="19" t="str">
        <f t="shared" si="263"/>
        <v>3J</v>
      </c>
      <c r="AJ80" s="221">
        <v>3</v>
      </c>
      <c r="AK80" s="486" t="e" cm="1" vm="39">
        <f t="array" aca="1" ref="AK80" ca="1">Ver_flag_visit</f>
        <v>#VALUE!</v>
      </c>
      <c r="AL80" s="222" t="str">
        <f ca="1">IFERROR(INDEX($BD$6:$BD$53,MATCH(AI80,$BN$6:$BN$53,0)),"")</f>
        <v>Algeria</v>
      </c>
      <c r="AM80" s="223">
        <f t="shared" ca="1" si="262"/>
        <v>4</v>
      </c>
      <c r="AN80" s="224">
        <f t="shared" ca="1" si="262"/>
        <v>3</v>
      </c>
      <c r="AO80" s="224">
        <f t="shared" ca="1" si="262"/>
        <v>1</v>
      </c>
      <c r="AP80" s="224">
        <f t="shared" ca="1" si="262"/>
        <v>1</v>
      </c>
      <c r="AQ80" s="224">
        <f t="shared" ca="1" si="262"/>
        <v>1</v>
      </c>
      <c r="AR80" s="224">
        <f t="shared" ca="1" si="262"/>
        <v>5</v>
      </c>
      <c r="AS80" s="224">
        <f t="shared" ca="1" si="262"/>
        <v>7</v>
      </c>
      <c r="AT80" s="225">
        <f t="shared" ca="1" si="262"/>
        <v>-2</v>
      </c>
      <c r="AU80" s="420">
        <f ca="1">INDEX($DL$6:$DL$53,MATCH(AI80,$DP$6:$DP$53,0))</f>
        <v>1</v>
      </c>
      <c r="AV80" s="217" t="str">
        <f ca="1">INDEX($BD$6:$BD$53,MATCH(AI80,$BM$6:$BM$53,0))</f>
        <v>Algeria</v>
      </c>
      <c r="AW80" s="427"/>
      <c r="AX80" s="218"/>
      <c r="AY80" s="219" t="str">
        <f ca="1">+A79</f>
        <v>Austria</v>
      </c>
      <c r="AZ80" s="220"/>
      <c r="BA80" s="175"/>
      <c r="BB80" s="743"/>
      <c r="BC80" s="743"/>
      <c r="BD80" s="743"/>
      <c r="BE80" s="743"/>
      <c r="BF80" s="743"/>
      <c r="BG80" s="743"/>
      <c r="BH80" s="743"/>
      <c r="BI80" s="743"/>
      <c r="BJ80" s="743"/>
      <c r="BK80" s="743"/>
      <c r="BL80" s="743"/>
      <c r="BM80" s="743"/>
      <c r="BN80" s="748"/>
      <c r="BO80" s="748"/>
      <c r="BP80" s="748"/>
      <c r="BQ80" s="748"/>
      <c r="BR80" s="743"/>
      <c r="BS80" s="743"/>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3"/>
      <c r="CX80" s="748"/>
      <c r="CY80" s="743"/>
      <c r="CZ80" s="743"/>
      <c r="DA80" s="743"/>
      <c r="DB80" s="743"/>
      <c r="DC80" s="743"/>
      <c r="DD80" s="743"/>
      <c r="DE80" s="743"/>
      <c r="DF80" s="743"/>
      <c r="DG80" s="743"/>
      <c r="DH80" s="743"/>
      <c r="DI80" s="743"/>
      <c r="DJ80" s="743"/>
      <c r="DK80" s="743"/>
      <c r="DL80" s="743"/>
      <c r="DM80" s="743"/>
      <c r="DN80" s="743"/>
      <c r="DO80" s="743"/>
      <c r="DP80" s="743"/>
      <c r="DQ80" s="743"/>
      <c r="DR80" s="743"/>
      <c r="DS80" s="743"/>
      <c r="DT80" s="743" t="str">
        <f t="shared" ca="1" si="242"/>
        <v>Algeria-Austria</v>
      </c>
      <c r="DU80" s="743"/>
      <c r="DV80" s="743"/>
      <c r="DW80" s="8"/>
    </row>
    <row r="81" spans="1:127" ht="16.899999999999999" customHeight="1" thickBot="1">
      <c r="A81" s="738"/>
      <c r="B81" s="738"/>
      <c r="C81" s="738"/>
      <c r="D81" s="743" t="str">
        <f t="shared" si="245"/>
        <v>Visitante</v>
      </c>
      <c r="E81" s="743" t="str">
        <f t="shared" ca="1" si="246"/>
        <v>-</v>
      </c>
      <c r="F81" s="743" t="str">
        <f t="shared" ca="1" si="247"/>
        <v>-</v>
      </c>
      <c r="G81" s="743"/>
      <c r="H81" s="743" t="str">
        <f t="shared" ca="1" si="248"/>
        <v>-</v>
      </c>
      <c r="I81" s="743" t="str">
        <f t="shared" ca="1" si="249"/>
        <v>-</v>
      </c>
      <c r="J81" s="743"/>
      <c r="K81" s="743" t="str">
        <f t="shared" ca="1" si="250"/>
        <v>-</v>
      </c>
      <c r="L81" s="743" t="str">
        <f t="shared" ca="1" si="251"/>
        <v>-</v>
      </c>
      <c r="M81" s="743"/>
      <c r="N81" s="743" t="str">
        <f t="shared" ca="1" si="252"/>
        <v>-</v>
      </c>
      <c r="O81" s="743" t="str">
        <f t="shared" ca="1" si="253"/>
        <v>-</v>
      </c>
      <c r="P81" s="743"/>
      <c r="Q81" s="743" t="str">
        <f t="shared" ca="1" si="254"/>
        <v>-</v>
      </c>
      <c r="R81" s="743" t="str">
        <f t="shared" ca="1" si="255"/>
        <v>-</v>
      </c>
      <c r="S81" s="743"/>
      <c r="T81" s="743" t="str">
        <f t="shared" ca="1" si="256"/>
        <v>-</v>
      </c>
      <c r="U81" s="743" t="str">
        <f t="shared" ca="1" si="257"/>
        <v>-</v>
      </c>
      <c r="V81" s="172"/>
      <c r="W81" s="828"/>
      <c r="X81" s="228">
        <f ca="1">Horarios!C81</f>
        <v>46201.166666666664</v>
      </c>
      <c r="Y81" s="229">
        <f ca="1">Horarios!C81</f>
        <v>46201.166666666664</v>
      </c>
      <c r="Z81" s="230" t="str">
        <f>$Z$8</f>
        <v>R3</v>
      </c>
      <c r="AA81" s="231" t="str">
        <f ca="1">A80</f>
        <v>Jordan</v>
      </c>
      <c r="AB81" s="479" t="e" cm="1" vm="41">
        <f t="array" aca="1" ref="AB81" ca="1">Ver_flag_local</f>
        <v>#VALUE!</v>
      </c>
      <c r="AC81" s="232">
        <v>1</v>
      </c>
      <c r="AD81" s="233">
        <v>3</v>
      </c>
      <c r="AE81" s="484" t="e" cm="1" vm="38">
        <f t="array" aca="1" ref="AE81" ca="1">Ver_flag_visit</f>
        <v>#VALUE!</v>
      </c>
      <c r="AF81" s="234" t="str">
        <f ca="1">A77</f>
        <v>Argentina</v>
      </c>
      <c r="AG81" s="413">
        <f t="shared" si="258"/>
        <v>1</v>
      </c>
      <c r="AH81" s="196">
        <v>70</v>
      </c>
      <c r="AI81" s="19" t="str">
        <f t="shared" si="263"/>
        <v>4J</v>
      </c>
      <c r="AJ81" s="235">
        <v>4</v>
      </c>
      <c r="AK81" s="487" t="e" cm="1" vm="41">
        <f t="array" aca="1" ref="AK81" ca="1">Ver_flag_visit</f>
        <v>#VALUE!</v>
      </c>
      <c r="AL81" s="236" t="str">
        <f ca="1">IFERROR(INDEX($BD$6:$BD$53,MATCH(AI81,$BN$6:$BN$53,0)),"")</f>
        <v>Jordan</v>
      </c>
      <c r="AM81" s="237">
        <f t="shared" ca="1" si="262"/>
        <v>0</v>
      </c>
      <c r="AN81" s="238">
        <f t="shared" ca="1" si="262"/>
        <v>3</v>
      </c>
      <c r="AO81" s="238">
        <f t="shared" ca="1" si="262"/>
        <v>0</v>
      </c>
      <c r="AP81" s="238">
        <f t="shared" ca="1" si="262"/>
        <v>0</v>
      </c>
      <c r="AQ81" s="238">
        <f t="shared" ca="1" si="262"/>
        <v>3</v>
      </c>
      <c r="AR81" s="238">
        <f t="shared" ca="1" si="262"/>
        <v>3</v>
      </c>
      <c r="AS81" s="238">
        <f t="shared" ca="1" si="262"/>
        <v>8</v>
      </c>
      <c r="AT81" s="239">
        <f t="shared" ca="1" si="262"/>
        <v>-5</v>
      </c>
      <c r="AU81" s="420">
        <f ca="1">INDEX($DL$6:$DL$53,MATCH(AI81,$DP$6:$DP$53,0))</f>
        <v>1</v>
      </c>
      <c r="AV81" s="217" t="str">
        <f ca="1">INDEX($BD$6:$BD$53,MATCH(AI81,$BM$6:$BM$53,0))</f>
        <v>Jordan</v>
      </c>
      <c r="AW81" s="427"/>
      <c r="AX81" s="218"/>
      <c r="AY81" s="240" t="str">
        <f ca="1">+A80</f>
        <v>Jordan</v>
      </c>
      <c r="AZ81" s="241"/>
      <c r="BA81" s="175"/>
      <c r="BB81" s="743"/>
      <c r="BC81" s="743"/>
      <c r="BD81" s="743"/>
      <c r="BE81" s="743"/>
      <c r="BF81" s="743"/>
      <c r="BG81" s="743"/>
      <c r="BH81" s="743"/>
      <c r="BI81" s="743"/>
      <c r="BJ81" s="743"/>
      <c r="BK81" s="743"/>
      <c r="BL81" s="743"/>
      <c r="BM81" s="743"/>
      <c r="BN81" s="748"/>
      <c r="BO81" s="748"/>
      <c r="BP81" s="748"/>
      <c r="BQ81" s="748"/>
      <c r="BR81" s="743"/>
      <c r="BS81" s="743"/>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3"/>
      <c r="CX81" s="748"/>
      <c r="CY81" s="743"/>
      <c r="CZ81" s="743"/>
      <c r="DA81" s="743"/>
      <c r="DB81" s="743"/>
      <c r="DC81" s="743"/>
      <c r="DD81" s="743"/>
      <c r="DE81" s="743"/>
      <c r="DF81" s="743"/>
      <c r="DG81" s="743"/>
      <c r="DH81" s="743"/>
      <c r="DI81" s="743"/>
      <c r="DJ81" s="743"/>
      <c r="DK81" s="743"/>
      <c r="DL81" s="743"/>
      <c r="DM81" s="743"/>
      <c r="DN81" s="743"/>
      <c r="DO81" s="743"/>
      <c r="DP81" s="743"/>
      <c r="DQ81" s="743"/>
      <c r="DR81" s="743"/>
      <c r="DS81" s="743"/>
      <c r="DT81" s="743" t="str">
        <f t="shared" ca="1" si="242"/>
        <v>Jordan-Argentina</v>
      </c>
      <c r="DU81" s="743"/>
      <c r="DV81" s="743"/>
      <c r="DW81" s="8"/>
    </row>
    <row r="82" spans="1:127" ht="15.75" thickBot="1">
      <c r="A82" s="738"/>
      <c r="B82" s="738"/>
      <c r="C82" s="738"/>
      <c r="D82" s="743"/>
      <c r="E82" s="743"/>
      <c r="F82" s="743"/>
      <c r="G82" s="743"/>
      <c r="H82" s="743"/>
      <c r="I82" s="743"/>
      <c r="J82" s="743"/>
      <c r="K82" s="743"/>
      <c r="L82" s="743"/>
      <c r="M82" s="743"/>
      <c r="N82" s="743"/>
      <c r="O82" s="743"/>
      <c r="P82" s="743"/>
      <c r="Q82" s="743"/>
      <c r="R82" s="743"/>
      <c r="S82" s="743"/>
      <c r="T82" s="743"/>
      <c r="U82" s="743"/>
      <c r="V82" s="172"/>
      <c r="W82" s="242"/>
      <c r="X82" s="243"/>
      <c r="Y82" s="242"/>
      <c r="Z82" s="244"/>
      <c r="AA82" s="245"/>
      <c r="AB82" s="482"/>
      <c r="AC82" s="247"/>
      <c r="AD82" s="247"/>
      <c r="AE82" s="482"/>
      <c r="AF82" s="248"/>
      <c r="AG82" s="415"/>
      <c r="AH82" s="196"/>
      <c r="AI82" s="171"/>
      <c r="AJ82" s="249"/>
      <c r="AK82" s="250"/>
      <c r="AL82" s="186"/>
      <c r="AM82" s="251"/>
      <c r="AN82" s="249"/>
      <c r="AO82" s="249"/>
      <c r="AP82" s="249"/>
      <c r="AQ82" s="249"/>
      <c r="AR82" s="249"/>
      <c r="AS82" s="249"/>
      <c r="AT82" s="249"/>
      <c r="AU82" s="420"/>
      <c r="AV82" s="216"/>
      <c r="AW82" s="428"/>
      <c r="AX82" s="218"/>
      <c r="AY82" s="242"/>
      <c r="AZ82" s="243"/>
      <c r="BA82" s="175"/>
      <c r="BB82" s="743"/>
      <c r="BC82" s="743"/>
      <c r="BD82" s="743"/>
      <c r="BE82" s="743"/>
      <c r="BF82" s="743"/>
      <c r="BG82" s="743"/>
      <c r="BH82" s="743"/>
      <c r="BI82" s="743"/>
      <c r="BJ82" s="743"/>
      <c r="BK82" s="743"/>
      <c r="BL82" s="743"/>
      <c r="BM82" s="743"/>
      <c r="BN82" s="748"/>
      <c r="BO82" s="748"/>
      <c r="BP82" s="748"/>
      <c r="BQ82" s="748"/>
      <c r="BR82" s="743"/>
      <c r="BS82" s="743"/>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3"/>
      <c r="CX82" s="748"/>
      <c r="CY82" s="743"/>
      <c r="CZ82" s="743"/>
      <c r="DA82" s="743"/>
      <c r="DB82" s="743"/>
      <c r="DC82" s="743"/>
      <c r="DD82" s="743"/>
      <c r="DE82" s="743"/>
      <c r="DF82" s="743"/>
      <c r="DG82" s="743"/>
      <c r="DH82" s="743"/>
      <c r="DI82" s="743"/>
      <c r="DJ82" s="743"/>
      <c r="DK82" s="743"/>
      <c r="DL82" s="743"/>
      <c r="DM82" s="743"/>
      <c r="DN82" s="743"/>
      <c r="DO82" s="743"/>
      <c r="DP82" s="743"/>
      <c r="DQ82" s="743"/>
      <c r="DR82" s="743"/>
      <c r="DS82" s="743"/>
      <c r="DT82" s="743" t="str">
        <f t="shared" si="242"/>
        <v>-</v>
      </c>
      <c r="DU82" s="743"/>
      <c r="DV82" s="743"/>
      <c r="DW82" s="8"/>
    </row>
    <row r="83" spans="1:127" ht="15.75" thickBot="1">
      <c r="A83" s="738"/>
      <c r="B83" s="741"/>
      <c r="C83" s="738"/>
      <c r="D83" s="738"/>
      <c r="E83" s="738"/>
      <c r="F83" s="738"/>
      <c r="G83" s="738"/>
      <c r="H83" s="738"/>
      <c r="I83" s="738"/>
      <c r="J83" s="738"/>
      <c r="K83" s="738"/>
      <c r="L83" s="738"/>
      <c r="M83" s="738"/>
      <c r="N83" s="743"/>
      <c r="O83" s="743"/>
      <c r="P83" s="743"/>
      <c r="Q83" s="743"/>
      <c r="R83" s="743"/>
      <c r="S83" s="743"/>
      <c r="T83" s="743"/>
      <c r="U83" s="743"/>
      <c r="V83" s="172"/>
      <c r="W83" s="179"/>
      <c r="X83" s="180" t="str">
        <f>X3</f>
        <v>Date</v>
      </c>
      <c r="Y83" s="180" t="str">
        <f>Y3</f>
        <v>Hour</v>
      </c>
      <c r="Z83" s="181" t="str">
        <f>Z3</f>
        <v>R</v>
      </c>
      <c r="AA83" s="182" t="str">
        <f>AA3</f>
        <v>Home</v>
      </c>
      <c r="AB83" s="181"/>
      <c r="AC83" s="181" t="str">
        <f>AC3</f>
        <v>Goal</v>
      </c>
      <c r="AD83" s="181" t="str">
        <f>AD3</f>
        <v>Goal</v>
      </c>
      <c r="AE83" s="181"/>
      <c r="AF83" s="184" t="str">
        <f>AF3</f>
        <v>Away</v>
      </c>
      <c r="AG83" s="414"/>
      <c r="AH83" s="196"/>
      <c r="AI83" s="18"/>
      <c r="AJ83" s="186"/>
      <c r="AK83" s="252"/>
      <c r="AL83" s="186"/>
      <c r="AM83" s="186"/>
      <c r="AN83" s="186"/>
      <c r="AO83" s="186"/>
      <c r="AP83" s="186"/>
      <c r="AQ83" s="186"/>
      <c r="AR83" s="186"/>
      <c r="AS83" s="186"/>
      <c r="AT83" s="186"/>
      <c r="AU83" s="421"/>
      <c r="AV83" s="22"/>
      <c r="AW83" s="429"/>
      <c r="AX83" s="253"/>
      <c r="AY83" s="242"/>
      <c r="AZ83" s="243"/>
      <c r="BA83" s="175"/>
      <c r="BB83" s="743"/>
      <c r="BC83" s="743"/>
      <c r="BD83" s="743"/>
      <c r="BE83" s="743"/>
      <c r="BF83" s="743"/>
      <c r="BG83" s="743"/>
      <c r="BH83" s="743"/>
      <c r="BI83" s="743"/>
      <c r="BJ83" s="743"/>
      <c r="BK83" s="743"/>
      <c r="BL83" s="743"/>
      <c r="BM83" s="743"/>
      <c r="BN83" s="743"/>
      <c r="BO83" s="743"/>
      <c r="BP83" s="743"/>
      <c r="BQ83" s="743"/>
      <c r="BR83" s="743"/>
      <c r="BS83" s="743"/>
      <c r="BT83" s="743"/>
      <c r="BU83" s="743"/>
      <c r="BV83" s="743"/>
      <c r="BW83" s="743"/>
      <c r="BX83" s="743"/>
      <c r="BY83" s="743"/>
      <c r="BZ83" s="743"/>
      <c r="CA83" s="743"/>
      <c r="CB83" s="743"/>
      <c r="CC83" s="743"/>
      <c r="CD83" s="743"/>
      <c r="CE83" s="743"/>
      <c r="CF83" s="743"/>
      <c r="CG83" s="743"/>
      <c r="CH83" s="743"/>
      <c r="CI83" s="743"/>
      <c r="CJ83" s="743"/>
      <c r="CK83" s="743"/>
      <c r="CL83" s="743"/>
      <c r="CM83" s="743"/>
      <c r="CN83" s="743"/>
      <c r="CO83" s="743"/>
      <c r="CP83" s="743"/>
      <c r="CQ83" s="743"/>
      <c r="CR83" s="743"/>
      <c r="CS83" s="743"/>
      <c r="CT83" s="743"/>
      <c r="CU83" s="743"/>
      <c r="CV83" s="743"/>
      <c r="CW83" s="743"/>
      <c r="CX83" s="743"/>
      <c r="CY83" s="743"/>
      <c r="CZ83" s="743"/>
      <c r="DA83" s="743"/>
      <c r="DB83" s="743"/>
      <c r="DC83" s="743"/>
      <c r="DD83" s="743"/>
      <c r="DE83" s="743"/>
      <c r="DF83" s="743"/>
      <c r="DG83" s="743"/>
      <c r="DH83" s="743"/>
      <c r="DI83" s="743"/>
      <c r="DJ83" s="743"/>
      <c r="DK83" s="743"/>
      <c r="DL83" s="743"/>
      <c r="DM83" s="743"/>
      <c r="DN83" s="743"/>
      <c r="DO83" s="743"/>
      <c r="DP83" s="743"/>
      <c r="DQ83" s="743"/>
      <c r="DR83" s="743"/>
      <c r="DS83" s="743"/>
      <c r="DT83" s="743" t="str">
        <f t="shared" si="242"/>
        <v>Home-Away</v>
      </c>
      <c r="DU83" s="743"/>
      <c r="DV83" s="743"/>
      <c r="DW83" s="8"/>
    </row>
    <row r="84" spans="1:127" ht="15" customHeight="1" thickBot="1">
      <c r="A84" s="740" t="s">
        <v>30</v>
      </c>
      <c r="B84" s="741" t="s">
        <v>439</v>
      </c>
      <c r="C84" s="742">
        <f>COUNTIF(Equipos!$C$2:$C$49,WORLDCUP!B84)</f>
        <v>4</v>
      </c>
      <c r="D84" s="743" t="str">
        <f t="shared" ref="D84:D89" si="264">IF(OR(AC84="",AD84=""),"Pendiente",IF(AC84&gt;AD84,"Local",IF(AC84&lt;AD84,"Visitante","Empate")))</f>
        <v>Empate</v>
      </c>
      <c r="E84" s="743" t="str">
        <f t="shared" ref="E84:E89" ca="1" si="265">IF(D84="Pendiente","-",INDEX($BT$6:$BT$53,MATCH($AA84,$BD$6:$BD$53,0)))</f>
        <v>-</v>
      </c>
      <c r="F84" s="743" t="str">
        <f t="shared" ref="F84:F89" ca="1" si="266">IF(D84="Pendiente","-",INDEX($BT$6:$BT$53,MATCH($AF84,$BD$6:$BD$53,0)))</f>
        <v>-</v>
      </c>
      <c r="G84" s="743"/>
      <c r="H84" s="743" t="str">
        <f t="shared" ref="H84:H89" ca="1" si="267">IF(D84="Pendiente","-",INDEX($BZ$6:$BZ$53,MATCH($AA84,$BD$6:$BD$53,0)))</f>
        <v>-</v>
      </c>
      <c r="I84" s="743" t="str">
        <f t="shared" ref="I84:I89" ca="1" si="268">IF(D84="Pendiente","-",INDEX($BZ$6:$BZ$53,MATCH($AF84,$BD$6:$BD$53,0)))</f>
        <v>-</v>
      </c>
      <c r="J84" s="743"/>
      <c r="K84" s="743" t="str">
        <f t="shared" ref="K84:K89" ca="1" si="269">IF(D84="Pendiente","-",INDEX($CE$6:$CE$53,MATCH($AA84,$BD$6:$BD$53,0)))</f>
        <v>-</v>
      </c>
      <c r="L84" s="743" t="str">
        <f t="shared" ref="L84:L89" ca="1" si="270">IF(D84="Pendiente","-",INDEX($CE$6:$CE$53,MATCH($AF84,$BD$6:$BD$53,0)))</f>
        <v>-</v>
      </c>
      <c r="M84" s="743"/>
      <c r="N84" s="743" t="str">
        <f t="shared" ref="N84:N89" ca="1" si="271">IF(D84="Pendiente","-",INDEX($CH$6:$CH$53,MATCH($AA84,$BD$6:$BD$53,0)))</f>
        <v>-</v>
      </c>
      <c r="O84" s="743" t="str">
        <f t="shared" ref="O84:O89" ca="1" si="272">IF(D84="Pendiente","-",INDEX($CH$6:$CH$53,MATCH($AF84,$BD$6:$BD$53,0)))</f>
        <v>-</v>
      </c>
      <c r="P84" s="743"/>
      <c r="Q84" s="743" t="str">
        <f t="shared" ref="Q84:Q89" ca="1" si="273">IF(D84="Pendiente","-",INDEX($CN$6:$CN$53,MATCH($AA84,$BD$6:$BD$53,0)))</f>
        <v>-</v>
      </c>
      <c r="R84" s="743" t="str">
        <f t="shared" ref="R84:R89" ca="1" si="274">IF(D84="Pendiente","-",INDEX($CN$6:$CN$53,MATCH($AF84,$BD$6:$BD$53,0)))</f>
        <v>-</v>
      </c>
      <c r="S84" s="743"/>
      <c r="T84" s="743" t="str">
        <f t="shared" ref="T84:T89" ca="1" si="275">IF(D84="Pendiente","-",INDEX($CS$6:$CS$53,MATCH($AA84,$BD$6:$BD$53,0)))</f>
        <v>-</v>
      </c>
      <c r="U84" s="743" t="str">
        <f t="shared" ref="U84:U89" ca="1" si="276">IF(D84="Pendiente","-",INDEX($CS$6:$CS$53,MATCH($AF84,$BD$6:$BD$53,0)))</f>
        <v>-</v>
      </c>
      <c r="V84" s="172"/>
      <c r="W84" s="833" t="s">
        <v>439</v>
      </c>
      <c r="X84" s="189">
        <f ca="1">Horarios!C84</f>
        <v>46190.791666666664</v>
      </c>
      <c r="Y84" s="190">
        <f ca="1">Horarios!C84</f>
        <v>46190.791666666664</v>
      </c>
      <c r="Z84" s="191" t="str">
        <f>$Z$4</f>
        <v>R1</v>
      </c>
      <c r="AA84" s="192" t="str">
        <f ca="1">A85</f>
        <v>Portugal</v>
      </c>
      <c r="AB84" s="478" t="e" cm="1" vm="42">
        <f t="array" aca="1" ref="AB84" ca="1">Ver_flag_local</f>
        <v>#VALUE!</v>
      </c>
      <c r="AC84" s="193">
        <v>1</v>
      </c>
      <c r="AD84" s="194">
        <v>1</v>
      </c>
      <c r="AE84" s="483" t="e" cm="1" vm="43">
        <f t="array" aca="1" ref="AE84" ca="1">Ver_flag_visit</f>
        <v>#VALUE!</v>
      </c>
      <c r="AF84" s="195" t="str">
        <f ca="1">A86</f>
        <v>DR Congo</v>
      </c>
      <c r="AG84" s="413">
        <f t="shared" ref="AG84:AG89" si="277">IF(NOT(OR(ISBLANK(AC84),ISBLANK(AD84))),1,0)</f>
        <v>1</v>
      </c>
      <c r="AH84" s="196">
        <v>23</v>
      </c>
      <c r="AI84" s="19"/>
      <c r="AJ84" s="197" t="str">
        <f>CONCATENATE(AJ3," ",B84)</f>
        <v>Group K</v>
      </c>
      <c r="AK84" s="198"/>
      <c r="AL84" s="198"/>
      <c r="AM84" s="198"/>
      <c r="AN84" s="198"/>
      <c r="AO84" s="198"/>
      <c r="AP84" s="198"/>
      <c r="AQ84" s="198"/>
      <c r="AR84" s="198"/>
      <c r="AS84" s="198"/>
      <c r="AT84" s="199"/>
      <c r="AU84" s="421"/>
      <c r="AV84" s="200" t="str">
        <f t="shared" ref="AV84" ca="1" si="278">IF(AU85&gt;0,$AV$3,"")</f>
        <v/>
      </c>
      <c r="AW84" s="208"/>
      <c r="AX84" s="255"/>
      <c r="AY84" s="242"/>
      <c r="AZ84" s="243"/>
      <c r="BA84" s="175"/>
      <c r="BB84" s="743"/>
      <c r="BC84" s="743"/>
      <c r="BD84" s="743"/>
      <c r="BE84" s="743"/>
      <c r="BF84" s="743"/>
      <c r="BG84" s="743"/>
      <c r="BH84" s="743"/>
      <c r="BI84" s="743"/>
      <c r="BJ84" s="743"/>
      <c r="BK84" s="743"/>
      <c r="BL84" s="743"/>
      <c r="BM84" s="743"/>
      <c r="BN84" s="743"/>
      <c r="BO84" s="743"/>
      <c r="BP84" s="743"/>
      <c r="BQ84" s="743"/>
      <c r="BR84" s="743"/>
      <c r="BS84" s="743"/>
      <c r="BT84" s="743"/>
      <c r="BU84" s="743"/>
      <c r="BV84" s="743"/>
      <c r="BW84" s="743"/>
      <c r="BX84" s="743"/>
      <c r="BY84" s="743"/>
      <c r="BZ84" s="743"/>
      <c r="CA84" s="743"/>
      <c r="CB84" s="743"/>
      <c r="CC84" s="743"/>
      <c r="CD84" s="743"/>
      <c r="CE84" s="743"/>
      <c r="CF84" s="743"/>
      <c r="CG84" s="743"/>
      <c r="CH84" s="743"/>
      <c r="CI84" s="743"/>
      <c r="CJ84" s="743"/>
      <c r="CK84" s="743"/>
      <c r="CL84" s="743"/>
      <c r="CM84" s="743"/>
      <c r="CN84" s="743"/>
      <c r="CO84" s="743"/>
      <c r="CP84" s="743"/>
      <c r="CQ84" s="743"/>
      <c r="CR84" s="743"/>
      <c r="CS84" s="743"/>
      <c r="CT84" s="743"/>
      <c r="CU84" s="743"/>
      <c r="CV84" s="743"/>
      <c r="CW84" s="743"/>
      <c r="CX84" s="748"/>
      <c r="CY84" s="743"/>
      <c r="CZ84" s="743"/>
      <c r="DA84" s="743"/>
      <c r="DB84" s="743"/>
      <c r="DC84" s="743"/>
      <c r="DD84" s="743"/>
      <c r="DE84" s="743"/>
      <c r="DF84" s="743"/>
      <c r="DG84" s="743"/>
      <c r="DH84" s="743"/>
      <c r="DI84" s="743"/>
      <c r="DJ84" s="743"/>
      <c r="DK84" s="743"/>
      <c r="DL84" s="743"/>
      <c r="DM84" s="743"/>
      <c r="DN84" s="743"/>
      <c r="DO84" s="743"/>
      <c r="DP84" s="743"/>
      <c r="DQ84" s="743"/>
      <c r="DR84" s="743"/>
      <c r="DS84" s="743"/>
      <c r="DT84" s="743" t="str">
        <f t="shared" ca="1" si="242"/>
        <v>Portugal-DR Congo</v>
      </c>
      <c r="DU84" s="743"/>
      <c r="DV84" s="743"/>
      <c r="DW84" s="8"/>
    </row>
    <row r="85" spans="1:127" ht="16.149999999999999" customHeight="1">
      <c r="A85" s="744" t="str">
        <f ca="1">+Equipos!B42</f>
        <v>Portugal</v>
      </c>
      <c r="B85" s="741"/>
      <c r="C85" s="741"/>
      <c r="D85" s="743" t="str">
        <f t="shared" si="264"/>
        <v>Visitante</v>
      </c>
      <c r="E85" s="743" t="str">
        <f t="shared" ca="1" si="265"/>
        <v>-</v>
      </c>
      <c r="F85" s="743" t="str">
        <f t="shared" ca="1" si="266"/>
        <v>-</v>
      </c>
      <c r="G85" s="743"/>
      <c r="H85" s="743" t="str">
        <f t="shared" ca="1" si="267"/>
        <v>-</v>
      </c>
      <c r="I85" s="743" t="str">
        <f t="shared" ca="1" si="268"/>
        <v>-</v>
      </c>
      <c r="J85" s="743"/>
      <c r="K85" s="743" t="str">
        <f t="shared" ca="1" si="269"/>
        <v>-</v>
      </c>
      <c r="L85" s="743" t="str">
        <f t="shared" ca="1" si="270"/>
        <v>-</v>
      </c>
      <c r="M85" s="743"/>
      <c r="N85" s="743" t="str">
        <f t="shared" ca="1" si="271"/>
        <v>-</v>
      </c>
      <c r="O85" s="743" t="str">
        <f t="shared" ca="1" si="272"/>
        <v>-</v>
      </c>
      <c r="P85" s="743"/>
      <c r="Q85" s="743" t="str">
        <f t="shared" ca="1" si="273"/>
        <v>-</v>
      </c>
      <c r="R85" s="743" t="str">
        <f t="shared" ca="1" si="274"/>
        <v>-</v>
      </c>
      <c r="S85" s="743"/>
      <c r="T85" s="743" t="str">
        <f t="shared" ca="1" si="275"/>
        <v>-</v>
      </c>
      <c r="U85" s="743" t="str">
        <f t="shared" ca="1" si="276"/>
        <v>-</v>
      </c>
      <c r="V85" s="172"/>
      <c r="W85" s="833"/>
      <c r="X85" s="189">
        <f ca="1">Horarios!C85</f>
        <v>46191.166666666664</v>
      </c>
      <c r="Y85" s="190">
        <f ca="1">Horarios!C85</f>
        <v>46191.166666666664</v>
      </c>
      <c r="Z85" s="191" t="str">
        <f>$Z$4</f>
        <v>R1</v>
      </c>
      <c r="AA85" s="192" t="str">
        <f ca="1">A87</f>
        <v>Uzbekistan</v>
      </c>
      <c r="AB85" s="478" t="e" cm="1" vm="44">
        <f t="array" aca="1" ref="AB85" ca="1">Ver_flag_local</f>
        <v>#VALUE!</v>
      </c>
      <c r="AC85" s="193">
        <v>1</v>
      </c>
      <c r="AD85" s="194">
        <v>3</v>
      </c>
      <c r="AE85" s="483" t="e" cm="1" vm="45">
        <f t="array" aca="1" ref="AE85" ca="1">Ver_flag_visit</f>
        <v>#VALUE!</v>
      </c>
      <c r="AF85" s="195" t="str">
        <f ca="1">A88</f>
        <v>Colombia</v>
      </c>
      <c r="AG85" s="413">
        <f t="shared" si="277"/>
        <v>1</v>
      </c>
      <c r="AH85" s="196">
        <v>24</v>
      </c>
      <c r="AI85" s="19"/>
      <c r="AJ85" s="204" t="str">
        <f>AJ5</f>
        <v>Pos</v>
      </c>
      <c r="AK85" s="205"/>
      <c r="AL85" s="206" t="str">
        <f t="shared" ref="AL85:AT85" si="279">AL5</f>
        <v>Nation</v>
      </c>
      <c r="AM85" s="205" t="str">
        <f t="shared" si="279"/>
        <v>Pts</v>
      </c>
      <c r="AN85" s="205" t="str">
        <f t="shared" si="279"/>
        <v>P</v>
      </c>
      <c r="AO85" s="205" t="str">
        <f t="shared" si="279"/>
        <v>W</v>
      </c>
      <c r="AP85" s="205" t="str">
        <f t="shared" si="279"/>
        <v>D</v>
      </c>
      <c r="AQ85" s="205" t="str">
        <f t="shared" si="279"/>
        <v>L</v>
      </c>
      <c r="AR85" s="205" t="str">
        <f t="shared" si="279"/>
        <v>F</v>
      </c>
      <c r="AS85" s="205" t="str">
        <f t="shared" si="279"/>
        <v>A</v>
      </c>
      <c r="AT85" s="207" t="str">
        <f t="shared" si="279"/>
        <v>GD</v>
      </c>
      <c r="AU85" s="421">
        <f t="shared" ref="AU85" ca="1" si="280">COUNTIF(AU86:AU89,"&gt;1")</f>
        <v>0</v>
      </c>
      <c r="AV85" s="208"/>
      <c r="AW85" s="208"/>
      <c r="AX85" s="255"/>
      <c r="AY85" s="209" t="str">
        <f>AL85</f>
        <v>Nation</v>
      </c>
      <c r="AZ85" s="210" t="str">
        <f>+Idiomas!$D$69</f>
        <v>Deducted Points</v>
      </c>
      <c r="BA85" s="175"/>
      <c r="BB85" s="743"/>
      <c r="BC85" s="743"/>
      <c r="BD85" s="743"/>
      <c r="BE85" s="743"/>
      <c r="BF85" s="743"/>
      <c r="BG85" s="743"/>
      <c r="BH85" s="743"/>
      <c r="BI85" s="743"/>
      <c r="BJ85" s="743"/>
      <c r="BK85" s="743"/>
      <c r="BL85" s="743"/>
      <c r="BM85" s="743"/>
      <c r="BN85" s="746"/>
      <c r="BO85" s="746"/>
      <c r="BP85" s="746"/>
      <c r="BQ85" s="746"/>
      <c r="BR85" s="743"/>
      <c r="BS85" s="743"/>
      <c r="BT85" s="746"/>
      <c r="BU85" s="746"/>
      <c r="BV85" s="746"/>
      <c r="BW85" s="746"/>
      <c r="BX85" s="746"/>
      <c r="BY85" s="746"/>
      <c r="BZ85" s="746"/>
      <c r="CA85" s="746"/>
      <c r="CB85" s="746"/>
      <c r="CC85" s="746"/>
      <c r="CD85" s="746"/>
      <c r="CE85" s="746"/>
      <c r="CF85" s="746"/>
      <c r="CG85" s="746"/>
      <c r="CH85" s="746"/>
      <c r="CI85" s="746"/>
      <c r="CJ85" s="746"/>
      <c r="CK85" s="746"/>
      <c r="CL85" s="746"/>
      <c r="CM85" s="746"/>
      <c r="CN85" s="746"/>
      <c r="CO85" s="746"/>
      <c r="CP85" s="746"/>
      <c r="CQ85" s="746"/>
      <c r="CR85" s="746"/>
      <c r="CS85" s="746"/>
      <c r="CT85" s="746"/>
      <c r="CU85" s="746"/>
      <c r="CV85" s="746"/>
      <c r="CW85" s="743"/>
      <c r="CX85" s="746"/>
      <c r="CY85" s="743"/>
      <c r="CZ85" s="743"/>
      <c r="DA85" s="743"/>
      <c r="DB85" s="743"/>
      <c r="DC85" s="743"/>
      <c r="DD85" s="743"/>
      <c r="DE85" s="743"/>
      <c r="DF85" s="743"/>
      <c r="DG85" s="743"/>
      <c r="DH85" s="743"/>
      <c r="DI85" s="743"/>
      <c r="DJ85" s="743"/>
      <c r="DK85" s="743"/>
      <c r="DL85" s="743"/>
      <c r="DM85" s="743"/>
      <c r="DN85" s="743"/>
      <c r="DO85" s="743"/>
      <c r="DP85" s="743"/>
      <c r="DQ85" s="743"/>
      <c r="DR85" s="743"/>
      <c r="DS85" s="743"/>
      <c r="DT85" s="743" t="str">
        <f t="shared" ca="1" si="242"/>
        <v>Uzbekistan-Colombia</v>
      </c>
      <c r="DU85" s="743"/>
      <c r="DV85" s="743"/>
      <c r="DW85" s="8"/>
    </row>
    <row r="86" spans="1:127" ht="16.149999999999999" customHeight="1">
      <c r="A86" s="744" t="str">
        <f ca="1">+Equipos!B43</f>
        <v>DR Congo</v>
      </c>
      <c r="B86" s="741"/>
      <c r="C86" s="745"/>
      <c r="D86" s="743" t="str">
        <f t="shared" si="264"/>
        <v>Local</v>
      </c>
      <c r="E86" s="743" t="str">
        <f t="shared" ca="1" si="265"/>
        <v>-</v>
      </c>
      <c r="F86" s="743" t="str">
        <f t="shared" ca="1" si="266"/>
        <v>-</v>
      </c>
      <c r="G86" s="743"/>
      <c r="H86" s="743" t="str">
        <f t="shared" ca="1" si="267"/>
        <v>-</v>
      </c>
      <c r="I86" s="743" t="str">
        <f t="shared" ca="1" si="268"/>
        <v>-</v>
      </c>
      <c r="J86" s="743"/>
      <c r="K86" s="743" t="str">
        <f t="shared" ca="1" si="269"/>
        <v>-</v>
      </c>
      <c r="L86" s="743" t="str">
        <f t="shared" ca="1" si="270"/>
        <v>-</v>
      </c>
      <c r="M86" s="743"/>
      <c r="N86" s="743" t="str">
        <f t="shared" ca="1" si="271"/>
        <v>-</v>
      </c>
      <c r="O86" s="743" t="str">
        <f t="shared" ca="1" si="272"/>
        <v>-</v>
      </c>
      <c r="P86" s="743"/>
      <c r="Q86" s="743" t="str">
        <f t="shared" ca="1" si="273"/>
        <v>-</v>
      </c>
      <c r="R86" s="743" t="str">
        <f t="shared" ca="1" si="274"/>
        <v>-</v>
      </c>
      <c r="S86" s="743"/>
      <c r="T86" s="743" t="str">
        <f t="shared" ca="1" si="275"/>
        <v>-</v>
      </c>
      <c r="U86" s="743" t="str">
        <f t="shared" ca="1" si="276"/>
        <v>-</v>
      </c>
      <c r="V86" s="172"/>
      <c r="W86" s="833"/>
      <c r="X86" s="189">
        <f ca="1">Horarios!C86</f>
        <v>46196.791666666664</v>
      </c>
      <c r="Y86" s="190">
        <f ca="1">Horarios!C86</f>
        <v>46196.791666666664</v>
      </c>
      <c r="Z86" s="191" t="str">
        <f>$Z$6</f>
        <v>R2</v>
      </c>
      <c r="AA86" s="192" t="str">
        <f ca="1">A85</f>
        <v>Portugal</v>
      </c>
      <c r="AB86" s="478" t="e" cm="1" vm="42">
        <f t="array" aca="1" ref="AB86" ca="1">Ver_flag_local</f>
        <v>#VALUE!</v>
      </c>
      <c r="AC86" s="193">
        <v>5</v>
      </c>
      <c r="AD86" s="194">
        <v>0</v>
      </c>
      <c r="AE86" s="483" t="e" cm="1" vm="44">
        <f t="array" aca="1" ref="AE86" ca="1">Ver_flag_visit</f>
        <v>#VALUE!</v>
      </c>
      <c r="AF86" s="195" t="str">
        <f ca="1">A87</f>
        <v>Uzbekistan</v>
      </c>
      <c r="AG86" s="413">
        <f t="shared" si="277"/>
        <v>1</v>
      </c>
      <c r="AH86" s="196">
        <v>47</v>
      </c>
      <c r="AI86" s="19" t="str">
        <f>AJ86&amp;$B$84</f>
        <v>1K</v>
      </c>
      <c r="AJ86" s="211">
        <v>1</v>
      </c>
      <c r="AK86" s="488" t="e" cm="1" vm="45">
        <f t="array" aca="1" ref="AK86" ca="1">Ver_flag_visit</f>
        <v>#VALUE!</v>
      </c>
      <c r="AL86" s="212" t="str">
        <f ca="1">IFERROR(INDEX($BD$6:$BD$53,MATCH(AI86,$BN$6:$BN$53,0)),"")</f>
        <v>Colombia</v>
      </c>
      <c r="AM86" s="213">
        <f t="shared" ref="AM86:AT89" ca="1" si="281">INDEX($BE$6:$BN$53,MATCH($AL86,$BD$6:$BD$53,0),MATCH(AM$5,$BE$5:$BN$5,0))</f>
        <v>7</v>
      </c>
      <c r="AN86" s="214">
        <f t="shared" ca="1" si="281"/>
        <v>3</v>
      </c>
      <c r="AO86" s="214">
        <f t="shared" ca="1" si="281"/>
        <v>2</v>
      </c>
      <c r="AP86" s="214">
        <f t="shared" ca="1" si="281"/>
        <v>1</v>
      </c>
      <c r="AQ86" s="214">
        <f t="shared" ca="1" si="281"/>
        <v>0</v>
      </c>
      <c r="AR86" s="214">
        <f t="shared" ca="1" si="281"/>
        <v>4</v>
      </c>
      <c r="AS86" s="214">
        <f t="shared" ca="1" si="281"/>
        <v>1</v>
      </c>
      <c r="AT86" s="215">
        <f t="shared" ca="1" si="281"/>
        <v>3</v>
      </c>
      <c r="AU86" s="420">
        <f ca="1">INDEX($DL$6:$DL$53,MATCH(AI86,$DP$6:$DP$53,0))</f>
        <v>1</v>
      </c>
      <c r="AV86" s="217" t="str">
        <f ca="1">INDEX($BD$6:$BD$53,MATCH(AI86,$BM$6:$BM$53,0))</f>
        <v>Colombia</v>
      </c>
      <c r="AW86" s="427"/>
      <c r="AX86" s="218"/>
      <c r="AY86" s="219" t="str">
        <f ca="1">+A85</f>
        <v>Portugal</v>
      </c>
      <c r="AZ86" s="220"/>
      <c r="BA86" s="175"/>
      <c r="BB86" s="743"/>
      <c r="BC86" s="743"/>
      <c r="BD86" s="743"/>
      <c r="BE86" s="743"/>
      <c r="BF86" s="743"/>
      <c r="BG86" s="743"/>
      <c r="BH86" s="743"/>
      <c r="BI86" s="743"/>
      <c r="BJ86" s="743"/>
      <c r="BK86" s="743"/>
      <c r="BL86" s="743"/>
      <c r="BM86" s="743"/>
      <c r="BN86" s="748"/>
      <c r="BO86" s="748"/>
      <c r="BP86" s="748"/>
      <c r="BQ86" s="748"/>
      <c r="BR86" s="743"/>
      <c r="BS86" s="743"/>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3"/>
      <c r="CX86" s="748"/>
      <c r="CY86" s="743"/>
      <c r="CZ86" s="743"/>
      <c r="DA86" s="743"/>
      <c r="DB86" s="743"/>
      <c r="DC86" s="743"/>
      <c r="DD86" s="743"/>
      <c r="DE86" s="743"/>
      <c r="DF86" s="743"/>
      <c r="DG86" s="743"/>
      <c r="DH86" s="743"/>
      <c r="DI86" s="743"/>
      <c r="DJ86" s="743"/>
      <c r="DK86" s="743"/>
      <c r="DL86" s="743"/>
      <c r="DM86" s="743"/>
      <c r="DN86" s="743"/>
      <c r="DO86" s="743"/>
      <c r="DP86" s="743"/>
      <c r="DQ86" s="743"/>
      <c r="DR86" s="743"/>
      <c r="DS86" s="743"/>
      <c r="DT86" s="743" t="str">
        <f t="shared" ca="1" si="242"/>
        <v>Portugal-Uzbekistan</v>
      </c>
      <c r="DU86" s="743"/>
      <c r="DV86" s="743"/>
      <c r="DW86" s="8"/>
    </row>
    <row r="87" spans="1:127" ht="16.149999999999999" customHeight="1">
      <c r="A87" s="744" t="str">
        <f ca="1">+Equipos!B44</f>
        <v>Uzbekistan</v>
      </c>
      <c r="B87" s="741"/>
      <c r="C87" s="743"/>
      <c r="D87" s="743" t="str">
        <f t="shared" si="264"/>
        <v>Local</v>
      </c>
      <c r="E87" s="743" t="str">
        <f t="shared" ca="1" si="265"/>
        <v>-</v>
      </c>
      <c r="F87" s="743" t="str">
        <f t="shared" ca="1" si="266"/>
        <v>-</v>
      </c>
      <c r="G87" s="743"/>
      <c r="H87" s="743" t="str">
        <f t="shared" ca="1" si="267"/>
        <v>-</v>
      </c>
      <c r="I87" s="743" t="str">
        <f t="shared" ca="1" si="268"/>
        <v>-</v>
      </c>
      <c r="J87" s="743"/>
      <c r="K87" s="743" t="str">
        <f t="shared" ca="1" si="269"/>
        <v>-</v>
      </c>
      <c r="L87" s="743" t="str">
        <f t="shared" ca="1" si="270"/>
        <v>-</v>
      </c>
      <c r="M87" s="743"/>
      <c r="N87" s="743" t="str">
        <f t="shared" ca="1" si="271"/>
        <v>-</v>
      </c>
      <c r="O87" s="743" t="str">
        <f t="shared" ca="1" si="272"/>
        <v>-</v>
      </c>
      <c r="P87" s="743"/>
      <c r="Q87" s="743" t="str">
        <f t="shared" ca="1" si="273"/>
        <v>-</v>
      </c>
      <c r="R87" s="743" t="str">
        <f t="shared" ca="1" si="274"/>
        <v>-</v>
      </c>
      <c r="S87" s="743"/>
      <c r="T87" s="743" t="str">
        <f t="shared" ca="1" si="275"/>
        <v>-</v>
      </c>
      <c r="U87" s="743" t="str">
        <f t="shared" ca="1" si="276"/>
        <v>-</v>
      </c>
      <c r="V87" s="172"/>
      <c r="W87" s="833"/>
      <c r="X87" s="189">
        <f ca="1">Horarios!C87</f>
        <v>46197.166666666664</v>
      </c>
      <c r="Y87" s="190">
        <f ca="1">Horarios!C87</f>
        <v>46197.166666666664</v>
      </c>
      <c r="Z87" s="191" t="str">
        <f>$Z$6</f>
        <v>R2</v>
      </c>
      <c r="AA87" s="192" t="str">
        <f ca="1">A88</f>
        <v>Colombia</v>
      </c>
      <c r="AB87" s="478" t="e" cm="1" vm="45">
        <f t="array" aca="1" ref="AB87" ca="1">Ver_flag_local</f>
        <v>#VALUE!</v>
      </c>
      <c r="AC87" s="193">
        <v>1</v>
      </c>
      <c r="AD87" s="194">
        <v>0</v>
      </c>
      <c r="AE87" s="483" t="e" cm="1" vm="43">
        <f t="array" aca="1" ref="AE87" ca="1">Ver_flag_visit</f>
        <v>#VALUE!</v>
      </c>
      <c r="AF87" s="195" t="str">
        <f ca="1">A86</f>
        <v>DR Congo</v>
      </c>
      <c r="AG87" s="413">
        <f t="shared" si="277"/>
        <v>1</v>
      </c>
      <c r="AH87" s="196">
        <v>48</v>
      </c>
      <c r="AI87" s="19" t="str">
        <f t="shared" ref="AI87:AI89" si="282">AJ87&amp;$B$84</f>
        <v>2K</v>
      </c>
      <c r="AJ87" s="221">
        <v>2</v>
      </c>
      <c r="AK87" s="486" t="e" cm="1" vm="42">
        <f t="array" aca="1" ref="AK87" ca="1">Ver_flag_visit</f>
        <v>#VALUE!</v>
      </c>
      <c r="AL87" s="222" t="str">
        <f ca="1">IFERROR(INDEX($BD$6:$BD$53,MATCH(AI87,$BN$6:$BN$53,0)),"")</f>
        <v>Portugal</v>
      </c>
      <c r="AM87" s="223">
        <f t="shared" ca="1" si="281"/>
        <v>5</v>
      </c>
      <c r="AN87" s="224">
        <f t="shared" ca="1" si="281"/>
        <v>3</v>
      </c>
      <c r="AO87" s="224">
        <f t="shared" ca="1" si="281"/>
        <v>1</v>
      </c>
      <c r="AP87" s="224">
        <f t="shared" ca="1" si="281"/>
        <v>2</v>
      </c>
      <c r="AQ87" s="224">
        <f t="shared" ca="1" si="281"/>
        <v>0</v>
      </c>
      <c r="AR87" s="224">
        <f t="shared" ca="1" si="281"/>
        <v>6</v>
      </c>
      <c r="AS87" s="224">
        <f t="shared" ca="1" si="281"/>
        <v>1</v>
      </c>
      <c r="AT87" s="225">
        <f t="shared" ca="1" si="281"/>
        <v>5</v>
      </c>
      <c r="AU87" s="420">
        <f ca="1">INDEX($DL$6:$DL$53,MATCH(AI87,$DP$6:$DP$53,0))</f>
        <v>1</v>
      </c>
      <c r="AV87" s="217" t="str">
        <f ca="1">INDEX($BD$6:$BD$53,MATCH(AI87,$BM$6:$BM$53,0))</f>
        <v>Portugal</v>
      </c>
      <c r="AW87" s="427"/>
      <c r="AX87" s="218"/>
      <c r="AY87" s="226" t="str">
        <f ca="1">+A86</f>
        <v>DR Congo</v>
      </c>
      <c r="AZ87" s="227"/>
      <c r="BA87" s="175"/>
      <c r="BB87" s="743"/>
      <c r="BC87" s="743"/>
      <c r="BD87" s="743"/>
      <c r="BE87" s="743"/>
      <c r="BF87" s="743"/>
      <c r="BG87" s="743"/>
      <c r="BH87" s="743"/>
      <c r="BI87" s="743"/>
      <c r="BJ87" s="743"/>
      <c r="BK87" s="743"/>
      <c r="BL87" s="743"/>
      <c r="BM87" s="743"/>
      <c r="BN87" s="748"/>
      <c r="BO87" s="748"/>
      <c r="BP87" s="748"/>
      <c r="BQ87" s="748"/>
      <c r="BR87" s="743"/>
      <c r="BS87" s="743"/>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3"/>
      <c r="CX87" s="748"/>
      <c r="CY87" s="743"/>
      <c r="CZ87" s="743"/>
      <c r="DA87" s="743"/>
      <c r="DB87" s="743"/>
      <c r="DC87" s="743"/>
      <c r="DD87" s="743"/>
      <c r="DE87" s="743"/>
      <c r="DF87" s="743"/>
      <c r="DG87" s="743"/>
      <c r="DH87" s="743"/>
      <c r="DI87" s="743"/>
      <c r="DJ87" s="743"/>
      <c r="DK87" s="743"/>
      <c r="DL87" s="743"/>
      <c r="DM87" s="743"/>
      <c r="DN87" s="743"/>
      <c r="DO87" s="743"/>
      <c r="DP87" s="743"/>
      <c r="DQ87" s="743"/>
      <c r="DR87" s="743"/>
      <c r="DS87" s="743"/>
      <c r="DT87" s="743" t="str">
        <f t="shared" ca="1" si="242"/>
        <v>Colombia-DR Congo</v>
      </c>
      <c r="DU87" s="743"/>
      <c r="DV87" s="743"/>
      <c r="DW87" s="8"/>
    </row>
    <row r="88" spans="1:127" ht="16.149999999999999" customHeight="1">
      <c r="A88" s="744" t="str">
        <f ca="1">+Equipos!B45</f>
        <v>Colombia</v>
      </c>
      <c r="B88" s="741"/>
      <c r="C88" s="743"/>
      <c r="D88" s="743" t="str">
        <f t="shared" si="264"/>
        <v>Empate</v>
      </c>
      <c r="E88" s="743" t="str">
        <f t="shared" ca="1" si="265"/>
        <v>-</v>
      </c>
      <c r="F88" s="743" t="str">
        <f t="shared" ca="1" si="266"/>
        <v>-</v>
      </c>
      <c r="G88" s="743"/>
      <c r="H88" s="743" t="str">
        <f t="shared" ca="1" si="267"/>
        <v>-</v>
      </c>
      <c r="I88" s="743" t="str">
        <f t="shared" ca="1" si="268"/>
        <v>-</v>
      </c>
      <c r="J88" s="743"/>
      <c r="K88" s="743" t="str">
        <f t="shared" ca="1" si="269"/>
        <v>-</v>
      </c>
      <c r="L88" s="743" t="str">
        <f t="shared" ca="1" si="270"/>
        <v>-</v>
      </c>
      <c r="M88" s="743"/>
      <c r="N88" s="743" t="str">
        <f t="shared" ca="1" si="271"/>
        <v>-</v>
      </c>
      <c r="O88" s="743" t="str">
        <f t="shared" ca="1" si="272"/>
        <v>-</v>
      </c>
      <c r="P88" s="743"/>
      <c r="Q88" s="743" t="str">
        <f t="shared" ca="1" si="273"/>
        <v>-</v>
      </c>
      <c r="R88" s="743" t="str">
        <f t="shared" ca="1" si="274"/>
        <v>-</v>
      </c>
      <c r="S88" s="743"/>
      <c r="T88" s="743" t="str">
        <f t="shared" ca="1" si="275"/>
        <v>-</v>
      </c>
      <c r="U88" s="743" t="str">
        <f t="shared" ca="1" si="276"/>
        <v>-</v>
      </c>
      <c r="V88" s="172"/>
      <c r="W88" s="833"/>
      <c r="X88" s="189">
        <f ca="1">Horarios!C88</f>
        <v>46201.0625</v>
      </c>
      <c r="Y88" s="190">
        <f ca="1">Horarios!C88</f>
        <v>46201.0625</v>
      </c>
      <c r="Z88" s="191" t="str">
        <f>$Z$8</f>
        <v>R3</v>
      </c>
      <c r="AA88" s="192" t="str">
        <f ca="1">A88</f>
        <v>Colombia</v>
      </c>
      <c r="AB88" s="478" t="e" cm="1" vm="45">
        <f t="array" aca="1" ref="AB88" ca="1">Ver_flag_local</f>
        <v>#VALUE!</v>
      </c>
      <c r="AC88" s="193">
        <v>0</v>
      </c>
      <c r="AD88" s="194">
        <v>0</v>
      </c>
      <c r="AE88" s="483" t="e" cm="1" vm="42">
        <f t="array" aca="1" ref="AE88" ca="1">Ver_flag_visit</f>
        <v>#VALUE!</v>
      </c>
      <c r="AF88" s="195" t="str">
        <f ca="1">A85</f>
        <v>Portugal</v>
      </c>
      <c r="AG88" s="413">
        <f t="shared" si="277"/>
        <v>1</v>
      </c>
      <c r="AH88" s="196">
        <v>71</v>
      </c>
      <c r="AI88" s="19" t="str">
        <f t="shared" si="282"/>
        <v>3K</v>
      </c>
      <c r="AJ88" s="221">
        <v>3</v>
      </c>
      <c r="AK88" s="486" t="e" cm="1" vm="43">
        <f t="array" aca="1" ref="AK88" ca="1">Ver_flag_visit</f>
        <v>#VALUE!</v>
      </c>
      <c r="AL88" s="222" t="str">
        <f ca="1">IFERROR(INDEX($BD$6:$BD$53,MATCH(AI88,$BN$6:$BN$53,0)),"")</f>
        <v>DR Congo</v>
      </c>
      <c r="AM88" s="223">
        <f t="shared" ca="1" si="281"/>
        <v>4</v>
      </c>
      <c r="AN88" s="224">
        <f t="shared" ca="1" si="281"/>
        <v>3</v>
      </c>
      <c r="AO88" s="224">
        <f t="shared" ca="1" si="281"/>
        <v>1</v>
      </c>
      <c r="AP88" s="224">
        <f t="shared" ca="1" si="281"/>
        <v>1</v>
      </c>
      <c r="AQ88" s="224">
        <f t="shared" ca="1" si="281"/>
        <v>1</v>
      </c>
      <c r="AR88" s="224">
        <f t="shared" ca="1" si="281"/>
        <v>4</v>
      </c>
      <c r="AS88" s="224">
        <f t="shared" ca="1" si="281"/>
        <v>3</v>
      </c>
      <c r="AT88" s="225">
        <f t="shared" ca="1" si="281"/>
        <v>1</v>
      </c>
      <c r="AU88" s="420">
        <f ca="1">INDEX($DL$6:$DL$53,MATCH(AI88,$DP$6:$DP$53,0))</f>
        <v>1</v>
      </c>
      <c r="AV88" s="217" t="str">
        <f ca="1">INDEX($BD$6:$BD$53,MATCH(AI88,$BM$6:$BM$53,0))</f>
        <v>DR Congo</v>
      </c>
      <c r="AW88" s="427"/>
      <c r="AX88" s="218"/>
      <c r="AY88" s="219" t="str">
        <f ca="1">+A87</f>
        <v>Uzbekistan</v>
      </c>
      <c r="AZ88" s="220"/>
      <c r="BA88" s="175"/>
      <c r="BB88" s="743"/>
      <c r="BC88" s="743"/>
      <c r="BD88" s="743"/>
      <c r="BE88" s="743"/>
      <c r="BF88" s="743"/>
      <c r="BG88" s="743"/>
      <c r="BH88" s="743"/>
      <c r="BI88" s="743"/>
      <c r="BJ88" s="743"/>
      <c r="BK88" s="743"/>
      <c r="BL88" s="743"/>
      <c r="BM88" s="743"/>
      <c r="BN88" s="748"/>
      <c r="BO88" s="748"/>
      <c r="BP88" s="748"/>
      <c r="BQ88" s="748"/>
      <c r="BR88" s="743"/>
      <c r="BS88" s="743"/>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3"/>
      <c r="CX88" s="748"/>
      <c r="CY88" s="743"/>
      <c r="CZ88" s="743"/>
      <c r="DA88" s="743"/>
      <c r="DB88" s="743"/>
      <c r="DC88" s="743"/>
      <c r="DD88" s="743"/>
      <c r="DE88" s="743"/>
      <c r="DF88" s="743"/>
      <c r="DG88" s="743"/>
      <c r="DH88" s="743"/>
      <c r="DI88" s="743"/>
      <c r="DJ88" s="743"/>
      <c r="DK88" s="743"/>
      <c r="DL88" s="743"/>
      <c r="DM88" s="743"/>
      <c r="DN88" s="743"/>
      <c r="DO88" s="743"/>
      <c r="DP88" s="743"/>
      <c r="DQ88" s="743"/>
      <c r="DR88" s="743"/>
      <c r="DS88" s="743"/>
      <c r="DT88" s="743" t="str">
        <f t="shared" ca="1" si="242"/>
        <v>Colombia-Portugal</v>
      </c>
      <c r="DU88" s="743"/>
      <c r="DV88" s="743"/>
      <c r="DW88" s="8"/>
    </row>
    <row r="89" spans="1:127" ht="16.899999999999999" customHeight="1" thickBot="1">
      <c r="A89" s="738"/>
      <c r="B89" s="738"/>
      <c r="C89" s="738"/>
      <c r="D89" s="743" t="str">
        <f t="shared" si="264"/>
        <v>Local</v>
      </c>
      <c r="E89" s="743" t="str">
        <f t="shared" ca="1" si="265"/>
        <v>-</v>
      </c>
      <c r="F89" s="743" t="str">
        <f t="shared" ca="1" si="266"/>
        <v>-</v>
      </c>
      <c r="G89" s="743"/>
      <c r="H89" s="743" t="str">
        <f t="shared" ca="1" si="267"/>
        <v>-</v>
      </c>
      <c r="I89" s="743" t="str">
        <f t="shared" ca="1" si="268"/>
        <v>-</v>
      </c>
      <c r="J89" s="743"/>
      <c r="K89" s="743" t="str">
        <f t="shared" ca="1" si="269"/>
        <v>-</v>
      </c>
      <c r="L89" s="743" t="str">
        <f t="shared" ca="1" si="270"/>
        <v>-</v>
      </c>
      <c r="M89" s="743"/>
      <c r="N89" s="743" t="str">
        <f t="shared" ca="1" si="271"/>
        <v>-</v>
      </c>
      <c r="O89" s="743" t="str">
        <f t="shared" ca="1" si="272"/>
        <v>-</v>
      </c>
      <c r="P89" s="743"/>
      <c r="Q89" s="743" t="str">
        <f t="shared" ca="1" si="273"/>
        <v>-</v>
      </c>
      <c r="R89" s="743" t="str">
        <f t="shared" ca="1" si="274"/>
        <v>-</v>
      </c>
      <c r="S89" s="743"/>
      <c r="T89" s="743" t="str">
        <f t="shared" ca="1" si="275"/>
        <v>-</v>
      </c>
      <c r="U89" s="743" t="str">
        <f t="shared" ca="1" si="276"/>
        <v>-</v>
      </c>
      <c r="V89" s="172"/>
      <c r="W89" s="834"/>
      <c r="X89" s="228">
        <f ca="1">Horarios!C89</f>
        <v>46201.0625</v>
      </c>
      <c r="Y89" s="229">
        <f ca="1">Horarios!C89</f>
        <v>46201.0625</v>
      </c>
      <c r="Z89" s="230" t="str">
        <f>$Z$8</f>
        <v>R3</v>
      </c>
      <c r="AA89" s="231" t="str">
        <f ca="1">A86</f>
        <v>DR Congo</v>
      </c>
      <c r="AB89" s="479" t="e" cm="1" vm="43">
        <f t="array" aca="1" ref="AB89" ca="1">Ver_flag_local</f>
        <v>#VALUE!</v>
      </c>
      <c r="AC89" s="232">
        <v>3</v>
      </c>
      <c r="AD89" s="233">
        <v>1</v>
      </c>
      <c r="AE89" s="484" t="e" cm="1" vm="44">
        <f t="array" aca="1" ref="AE89" ca="1">Ver_flag_visit</f>
        <v>#VALUE!</v>
      </c>
      <c r="AF89" s="234" t="str">
        <f ca="1">A87</f>
        <v>Uzbekistan</v>
      </c>
      <c r="AG89" s="413">
        <f t="shared" si="277"/>
        <v>1</v>
      </c>
      <c r="AH89" s="196">
        <v>72</v>
      </c>
      <c r="AI89" s="19" t="str">
        <f t="shared" si="282"/>
        <v>4K</v>
      </c>
      <c r="AJ89" s="235">
        <v>4</v>
      </c>
      <c r="AK89" s="487" t="e" cm="1" vm="44">
        <f t="array" aca="1" ref="AK89" ca="1">Ver_flag_visit</f>
        <v>#VALUE!</v>
      </c>
      <c r="AL89" s="236" t="str">
        <f ca="1">IFERROR(INDEX($BD$6:$BD$53,MATCH(AI89,$BN$6:$BN$53,0)),"")</f>
        <v>Uzbekistan</v>
      </c>
      <c r="AM89" s="237">
        <f t="shared" ca="1" si="281"/>
        <v>0</v>
      </c>
      <c r="AN89" s="238">
        <f t="shared" ca="1" si="281"/>
        <v>3</v>
      </c>
      <c r="AO89" s="238">
        <f t="shared" ca="1" si="281"/>
        <v>0</v>
      </c>
      <c r="AP89" s="238">
        <f t="shared" ca="1" si="281"/>
        <v>0</v>
      </c>
      <c r="AQ89" s="238">
        <f t="shared" ca="1" si="281"/>
        <v>3</v>
      </c>
      <c r="AR89" s="238">
        <f t="shared" ca="1" si="281"/>
        <v>2</v>
      </c>
      <c r="AS89" s="238">
        <f t="shared" ca="1" si="281"/>
        <v>11</v>
      </c>
      <c r="AT89" s="239">
        <f t="shared" ca="1" si="281"/>
        <v>-9</v>
      </c>
      <c r="AU89" s="420">
        <f ca="1">INDEX($DL$6:$DL$53,MATCH(AI89,$DP$6:$DP$53,0))</f>
        <v>1</v>
      </c>
      <c r="AV89" s="217" t="str">
        <f ca="1">INDEX($BD$6:$BD$53,MATCH(AI89,$BM$6:$BM$53,0))</f>
        <v>Uzbekistan</v>
      </c>
      <c r="AW89" s="427"/>
      <c r="AX89" s="218"/>
      <c r="AY89" s="240" t="str">
        <f ca="1">+A88</f>
        <v>Colombia</v>
      </c>
      <c r="AZ89" s="241"/>
      <c r="BA89" s="175"/>
      <c r="BB89" s="743"/>
      <c r="BC89" s="743"/>
      <c r="BD89" s="743"/>
      <c r="BE89" s="743"/>
      <c r="BF89" s="743"/>
      <c r="BG89" s="743"/>
      <c r="BH89" s="743"/>
      <c r="BI89" s="743"/>
      <c r="BJ89" s="743"/>
      <c r="BK89" s="743"/>
      <c r="BL89" s="743"/>
      <c r="BM89" s="743"/>
      <c r="BN89" s="748"/>
      <c r="BO89" s="748"/>
      <c r="BP89" s="748"/>
      <c r="BQ89" s="748"/>
      <c r="BR89" s="743"/>
      <c r="BS89" s="743"/>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3"/>
      <c r="CX89" s="748"/>
      <c r="CY89" s="743"/>
      <c r="CZ89" s="743"/>
      <c r="DA89" s="743"/>
      <c r="DB89" s="743"/>
      <c r="DC89" s="743"/>
      <c r="DD89" s="743"/>
      <c r="DE89" s="743"/>
      <c r="DF89" s="743"/>
      <c r="DG89" s="743"/>
      <c r="DH89" s="743"/>
      <c r="DI89" s="743"/>
      <c r="DJ89" s="743"/>
      <c r="DK89" s="743"/>
      <c r="DL89" s="743"/>
      <c r="DM89" s="743"/>
      <c r="DN89" s="743"/>
      <c r="DO89" s="743"/>
      <c r="DP89" s="743"/>
      <c r="DQ89" s="743"/>
      <c r="DR89" s="743"/>
      <c r="DS89" s="743"/>
      <c r="DT89" s="743" t="str">
        <f t="shared" ca="1" si="242"/>
        <v>DR Congo-Uzbekistan</v>
      </c>
      <c r="DU89" s="743"/>
      <c r="DV89" s="743"/>
      <c r="DW89" s="8"/>
    </row>
    <row r="90" spans="1:127" ht="15.75" thickBot="1">
      <c r="A90" s="738"/>
      <c r="B90" s="738"/>
      <c r="C90" s="738"/>
      <c r="D90" s="743"/>
      <c r="E90" s="743"/>
      <c r="F90" s="743"/>
      <c r="G90" s="743"/>
      <c r="H90" s="743"/>
      <c r="I90" s="743"/>
      <c r="J90" s="743"/>
      <c r="K90" s="743"/>
      <c r="L90" s="743"/>
      <c r="M90" s="743"/>
      <c r="N90" s="743"/>
      <c r="O90" s="743"/>
      <c r="P90" s="743"/>
      <c r="Q90" s="743"/>
      <c r="R90" s="743"/>
      <c r="S90" s="743"/>
      <c r="T90" s="743"/>
      <c r="U90" s="743"/>
      <c r="V90" s="172"/>
      <c r="W90" s="242"/>
      <c r="X90" s="243"/>
      <c r="Y90" s="242"/>
      <c r="Z90" s="244"/>
      <c r="AA90" s="245"/>
      <c r="AB90" s="482"/>
      <c r="AC90" s="247"/>
      <c r="AD90" s="247"/>
      <c r="AE90" s="482"/>
      <c r="AF90" s="248"/>
      <c r="AG90" s="415"/>
      <c r="AH90" s="196"/>
      <c r="AI90" s="171"/>
      <c r="AJ90" s="249"/>
      <c r="AK90" s="250"/>
      <c r="AL90" s="186"/>
      <c r="AM90" s="251"/>
      <c r="AN90" s="249"/>
      <c r="AO90" s="249"/>
      <c r="AP90" s="249"/>
      <c r="AQ90" s="249"/>
      <c r="AR90" s="249"/>
      <c r="AS90" s="249"/>
      <c r="AT90" s="249"/>
      <c r="AU90" s="420"/>
      <c r="AV90" s="216"/>
      <c r="AW90" s="428"/>
      <c r="AX90" s="218"/>
      <c r="AY90" s="242"/>
      <c r="AZ90" s="243"/>
      <c r="BA90" s="175"/>
      <c r="BB90" s="743"/>
      <c r="BC90" s="743"/>
      <c r="BD90" s="743"/>
      <c r="BE90" s="743"/>
      <c r="BF90" s="743"/>
      <c r="BG90" s="743"/>
      <c r="BH90" s="743"/>
      <c r="BI90" s="743"/>
      <c r="BJ90" s="743"/>
      <c r="BK90" s="743"/>
      <c r="BL90" s="743"/>
      <c r="BM90" s="743"/>
      <c r="BN90" s="748"/>
      <c r="BO90" s="748"/>
      <c r="BP90" s="748"/>
      <c r="BQ90" s="748"/>
      <c r="BR90" s="743"/>
      <c r="BS90" s="743"/>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3"/>
      <c r="CX90" s="748"/>
      <c r="CY90" s="743"/>
      <c r="CZ90" s="743"/>
      <c r="DA90" s="743"/>
      <c r="DB90" s="743"/>
      <c r="DC90" s="743"/>
      <c r="DD90" s="743"/>
      <c r="DE90" s="743"/>
      <c r="DF90" s="743"/>
      <c r="DG90" s="743"/>
      <c r="DH90" s="743"/>
      <c r="DI90" s="743"/>
      <c r="DJ90" s="743"/>
      <c r="DK90" s="743"/>
      <c r="DL90" s="743"/>
      <c r="DM90" s="743"/>
      <c r="DN90" s="743"/>
      <c r="DO90" s="743"/>
      <c r="DP90" s="743"/>
      <c r="DQ90" s="743"/>
      <c r="DR90" s="743"/>
      <c r="DS90" s="743"/>
      <c r="DT90" s="743" t="str">
        <f t="shared" si="242"/>
        <v>-</v>
      </c>
      <c r="DU90" s="743"/>
      <c r="DV90" s="743"/>
      <c r="DW90" s="8"/>
    </row>
    <row r="91" spans="1:127" ht="15.75" thickBot="1">
      <c r="A91" s="738"/>
      <c r="B91" s="741"/>
      <c r="C91" s="738"/>
      <c r="D91" s="738"/>
      <c r="E91" s="738"/>
      <c r="F91" s="738"/>
      <c r="G91" s="738"/>
      <c r="H91" s="738"/>
      <c r="I91" s="738"/>
      <c r="J91" s="738"/>
      <c r="K91" s="738"/>
      <c r="L91" s="738"/>
      <c r="M91" s="738"/>
      <c r="N91" s="743"/>
      <c r="O91" s="743"/>
      <c r="P91" s="743"/>
      <c r="Q91" s="743"/>
      <c r="R91" s="743"/>
      <c r="S91" s="743"/>
      <c r="T91" s="743"/>
      <c r="U91" s="743"/>
      <c r="V91" s="172"/>
      <c r="W91" s="179"/>
      <c r="X91" s="180" t="str">
        <f>X3</f>
        <v>Date</v>
      </c>
      <c r="Y91" s="180" t="str">
        <f>Y3</f>
        <v>Hour</v>
      </c>
      <c r="Z91" s="265" t="str">
        <f>Z3</f>
        <v>R</v>
      </c>
      <c r="AA91" s="266" t="str">
        <f>AA3</f>
        <v>Home</v>
      </c>
      <c r="AB91" s="180"/>
      <c r="AC91" s="180" t="str">
        <f>AC3</f>
        <v>Goal</v>
      </c>
      <c r="AD91" s="180" t="str">
        <f>AD3</f>
        <v>Goal</v>
      </c>
      <c r="AE91" s="180"/>
      <c r="AF91" s="267" t="str">
        <f>AF3</f>
        <v>Away</v>
      </c>
      <c r="AG91" s="414"/>
      <c r="AH91" s="196"/>
      <c r="AI91" s="18"/>
      <c r="AJ91" s="186"/>
      <c r="AK91" s="252"/>
      <c r="AL91" s="186"/>
      <c r="AM91" s="186"/>
      <c r="AN91" s="186"/>
      <c r="AO91" s="186"/>
      <c r="AP91" s="186"/>
      <c r="AQ91" s="186"/>
      <c r="AR91" s="186"/>
      <c r="AS91" s="186"/>
      <c r="AT91" s="186"/>
      <c r="AU91" s="421"/>
      <c r="AV91" s="22"/>
      <c r="AW91" s="429"/>
      <c r="AX91" s="253"/>
      <c r="AY91" s="242"/>
      <c r="AZ91" s="243"/>
      <c r="BA91" s="175"/>
      <c r="BB91" s="743"/>
      <c r="BC91" s="743"/>
      <c r="BD91" s="743"/>
      <c r="BE91" s="743"/>
      <c r="BF91" s="743"/>
      <c r="BG91" s="743"/>
      <c r="BH91" s="743"/>
      <c r="BI91" s="743"/>
      <c r="BJ91" s="743"/>
      <c r="BK91" s="743"/>
      <c r="BL91" s="743"/>
      <c r="BM91" s="743"/>
      <c r="BN91" s="743"/>
      <c r="BO91" s="743"/>
      <c r="BP91" s="743"/>
      <c r="BQ91" s="743"/>
      <c r="BR91" s="743"/>
      <c r="BS91" s="743"/>
      <c r="BT91" s="743"/>
      <c r="BU91" s="743"/>
      <c r="BV91" s="743"/>
      <c r="BW91" s="743"/>
      <c r="BX91" s="743"/>
      <c r="BY91" s="743"/>
      <c r="BZ91" s="743"/>
      <c r="CA91" s="743"/>
      <c r="CB91" s="743"/>
      <c r="CC91" s="743"/>
      <c r="CD91" s="743"/>
      <c r="CE91" s="743"/>
      <c r="CF91" s="743"/>
      <c r="CG91" s="743"/>
      <c r="CH91" s="743"/>
      <c r="CI91" s="743"/>
      <c r="CJ91" s="743"/>
      <c r="CK91" s="743"/>
      <c r="CL91" s="743"/>
      <c r="CM91" s="743"/>
      <c r="CN91" s="743"/>
      <c r="CO91" s="743"/>
      <c r="CP91" s="743"/>
      <c r="CQ91" s="743"/>
      <c r="CR91" s="743"/>
      <c r="CS91" s="743"/>
      <c r="CT91" s="743"/>
      <c r="CU91" s="743"/>
      <c r="CV91" s="743"/>
      <c r="CW91" s="743"/>
      <c r="CX91" s="743"/>
      <c r="CY91" s="743"/>
      <c r="CZ91" s="743"/>
      <c r="DA91" s="743"/>
      <c r="DB91" s="743"/>
      <c r="DC91" s="743"/>
      <c r="DD91" s="743"/>
      <c r="DE91" s="743"/>
      <c r="DF91" s="743"/>
      <c r="DG91" s="743"/>
      <c r="DH91" s="743"/>
      <c r="DI91" s="743"/>
      <c r="DJ91" s="743"/>
      <c r="DK91" s="743"/>
      <c r="DL91" s="743"/>
      <c r="DM91" s="743"/>
      <c r="DN91" s="743"/>
      <c r="DO91" s="743"/>
      <c r="DP91" s="743"/>
      <c r="DQ91" s="743"/>
      <c r="DR91" s="743"/>
      <c r="DS91" s="743"/>
      <c r="DT91" s="743" t="str">
        <f t="shared" si="242"/>
        <v>Home-Away</v>
      </c>
      <c r="DU91" s="743"/>
      <c r="DV91" s="743"/>
      <c r="DW91" s="8"/>
    </row>
    <row r="92" spans="1:127" ht="15" customHeight="1" thickBot="1">
      <c r="A92" s="740" t="s">
        <v>30</v>
      </c>
      <c r="B92" s="741" t="s">
        <v>238</v>
      </c>
      <c r="C92" s="742">
        <f>COUNTIF(Equipos!$C$2:$C$49,WORLDCUP!B92)</f>
        <v>4</v>
      </c>
      <c r="D92" s="743" t="str">
        <f t="shared" ref="D92:D97" si="283">IF(OR(AC92="",AD92=""),"Pendiente",IF(AC92&gt;AD92,"Local",IF(AC92&lt;AD92,"Visitante","Empate")))</f>
        <v>Local</v>
      </c>
      <c r="E92" s="743" t="str">
        <f t="shared" ref="E92:E97" ca="1" si="284">IF(D92="Pendiente","-",INDEX($BT$6:$BT$53,MATCH($AA92,$BD$6:$BD$53,0)))</f>
        <v>-</v>
      </c>
      <c r="F92" s="743" t="str">
        <f t="shared" ref="F92:F97" ca="1" si="285">IF(D92="Pendiente","-",INDEX($BT$6:$BT$53,MATCH($AF92,$BD$6:$BD$53,0)))</f>
        <v>-</v>
      </c>
      <c r="G92" s="743"/>
      <c r="H92" s="743" t="str">
        <f t="shared" ref="H92:H97" ca="1" si="286">IF(D92="Pendiente","-",INDEX($BZ$6:$BZ$53,MATCH($AA92,$BD$6:$BD$53,0)))</f>
        <v>-</v>
      </c>
      <c r="I92" s="743" t="str">
        <f t="shared" ref="I92:I97" ca="1" si="287">IF(D92="Pendiente","-",INDEX($BZ$6:$BZ$53,MATCH($AF92,$BD$6:$BD$53,0)))</f>
        <v>-</v>
      </c>
      <c r="J92" s="743"/>
      <c r="K92" s="743" t="str">
        <f t="shared" ref="K92:K97" ca="1" si="288">IF(D92="Pendiente","-",INDEX($CE$6:$CE$53,MATCH($AA92,$BD$6:$BD$53,0)))</f>
        <v>-</v>
      </c>
      <c r="L92" s="743" t="str">
        <f t="shared" ref="L92:L97" ca="1" si="289">IF(D92="Pendiente","-",INDEX($CE$6:$CE$53,MATCH($AF92,$BD$6:$BD$53,0)))</f>
        <v>-</v>
      </c>
      <c r="M92" s="743"/>
      <c r="N92" s="743" t="str">
        <f t="shared" ref="N92:N97" ca="1" si="290">IF(D92="Pendiente","-",INDEX($CH$6:$CH$53,MATCH($AA92,$BD$6:$BD$53,0)))</f>
        <v>-</v>
      </c>
      <c r="O92" s="743" t="str">
        <f t="shared" ref="O92:O97" ca="1" si="291">IF(D92="Pendiente","-",INDEX($CH$6:$CH$53,MATCH($AF92,$BD$6:$BD$53,0)))</f>
        <v>-</v>
      </c>
      <c r="P92" s="743"/>
      <c r="Q92" s="743" t="str">
        <f t="shared" ref="Q92:Q97" ca="1" si="292">IF(D92="Pendiente","-",INDEX($CN$6:$CN$53,MATCH($AA92,$BD$6:$BD$53,0)))</f>
        <v>-</v>
      </c>
      <c r="R92" s="743" t="str">
        <f t="shared" ref="R92:R97" ca="1" si="293">IF(D92="Pendiente","-",INDEX($CN$6:$CN$53,MATCH($AF92,$BD$6:$BD$53,0)))</f>
        <v>-</v>
      </c>
      <c r="S92" s="743"/>
      <c r="T92" s="743" t="str">
        <f t="shared" ref="T92:T97" ca="1" si="294">IF(D92="Pendiente","-",INDEX($CS$6:$CS$53,MATCH($AA92,$BD$6:$BD$53,0)))</f>
        <v>-</v>
      </c>
      <c r="U92" s="743" t="str">
        <f t="shared" ref="U92:U97" ca="1" si="295">IF(D92="Pendiente","-",INDEX($CS$6:$CS$53,MATCH($AF92,$BD$6:$BD$53,0)))</f>
        <v>-</v>
      </c>
      <c r="V92" s="172"/>
      <c r="W92" s="829" t="s">
        <v>238</v>
      </c>
      <c r="X92" s="189">
        <f ca="1">Horarios!C92</f>
        <v>46190.916666666664</v>
      </c>
      <c r="Y92" s="190">
        <f ca="1">Horarios!C92</f>
        <v>46190.916666666664</v>
      </c>
      <c r="Z92" s="191" t="str">
        <f>$Z$4</f>
        <v>R1</v>
      </c>
      <c r="AA92" s="192" t="str">
        <f ca="1">A93</f>
        <v>England</v>
      </c>
      <c r="AB92" s="478" t="e" cm="1" vm="46">
        <f t="array" aca="1" ref="AB92" ca="1">Ver_flag_local</f>
        <v>#VALUE!</v>
      </c>
      <c r="AC92" s="193">
        <v>4</v>
      </c>
      <c r="AD92" s="194">
        <v>2</v>
      </c>
      <c r="AE92" s="483" t="e" cm="1" vm="47">
        <f t="array" aca="1" ref="AE92" ca="1">Ver_flag_visit</f>
        <v>#VALUE!</v>
      </c>
      <c r="AF92" s="195" t="str">
        <f ca="1">A94</f>
        <v>Croatia</v>
      </c>
      <c r="AG92" s="413">
        <f t="shared" ref="AG92:AG97" si="296">IF(NOT(OR(ISBLANK(AC92),ISBLANK(AD92))),1,0)</f>
        <v>1</v>
      </c>
      <c r="AH92" s="196">
        <v>22</v>
      </c>
      <c r="AI92" s="19"/>
      <c r="AJ92" s="197" t="str">
        <f>CONCATENATE(AJ3," ",B92)</f>
        <v>Group L</v>
      </c>
      <c r="AK92" s="198"/>
      <c r="AL92" s="198"/>
      <c r="AM92" s="198"/>
      <c r="AN92" s="198"/>
      <c r="AO92" s="198"/>
      <c r="AP92" s="198"/>
      <c r="AQ92" s="198"/>
      <c r="AR92" s="198"/>
      <c r="AS92" s="198"/>
      <c r="AT92" s="199"/>
      <c r="AU92" s="421"/>
      <c r="AV92" s="200" t="str">
        <f t="shared" ref="AV92" ca="1" si="297">IF(AU93&gt;0,$AV$3,"")</f>
        <v/>
      </c>
      <c r="AW92" s="208"/>
      <c r="AX92" s="255"/>
      <c r="AY92" s="242"/>
      <c r="AZ92" s="243"/>
      <c r="BA92" s="175"/>
      <c r="BB92" s="743"/>
      <c r="BC92" s="743"/>
      <c r="BD92" s="743"/>
      <c r="BE92" s="743"/>
      <c r="BF92" s="743"/>
      <c r="BG92" s="743"/>
      <c r="BH92" s="743"/>
      <c r="BI92" s="743"/>
      <c r="BJ92" s="743"/>
      <c r="BK92" s="743"/>
      <c r="BL92" s="743"/>
      <c r="BM92" s="743"/>
      <c r="BN92" s="743"/>
      <c r="BO92" s="743"/>
      <c r="BP92" s="743"/>
      <c r="BQ92" s="743"/>
      <c r="BR92" s="743"/>
      <c r="BS92" s="743"/>
      <c r="BT92" s="743"/>
      <c r="BU92" s="743"/>
      <c r="BV92" s="743"/>
      <c r="BW92" s="743"/>
      <c r="BX92" s="743"/>
      <c r="BY92" s="743"/>
      <c r="BZ92" s="743"/>
      <c r="CA92" s="743"/>
      <c r="CB92" s="743"/>
      <c r="CC92" s="743"/>
      <c r="CD92" s="743"/>
      <c r="CE92" s="743"/>
      <c r="CF92" s="743"/>
      <c r="CG92" s="743"/>
      <c r="CH92" s="743"/>
      <c r="CI92" s="743"/>
      <c r="CJ92" s="743"/>
      <c r="CK92" s="743"/>
      <c r="CL92" s="743"/>
      <c r="CM92" s="743"/>
      <c r="CN92" s="743"/>
      <c r="CO92" s="743"/>
      <c r="CP92" s="743"/>
      <c r="CQ92" s="743"/>
      <c r="CR92" s="743"/>
      <c r="CS92" s="743"/>
      <c r="CT92" s="743"/>
      <c r="CU92" s="743"/>
      <c r="CV92" s="743"/>
      <c r="CW92" s="743"/>
      <c r="CX92" s="748"/>
      <c r="CY92" s="743"/>
      <c r="CZ92" s="743"/>
      <c r="DA92" s="743"/>
      <c r="DB92" s="743"/>
      <c r="DC92" s="743"/>
      <c r="DD92" s="743"/>
      <c r="DE92" s="743"/>
      <c r="DF92" s="743"/>
      <c r="DG92" s="743"/>
      <c r="DH92" s="743"/>
      <c r="DI92" s="743"/>
      <c r="DJ92" s="743"/>
      <c r="DK92" s="743"/>
      <c r="DL92" s="743"/>
      <c r="DM92" s="743"/>
      <c r="DN92" s="743"/>
      <c r="DO92" s="743"/>
      <c r="DP92" s="743"/>
      <c r="DQ92" s="743"/>
      <c r="DR92" s="743"/>
      <c r="DS92" s="743"/>
      <c r="DT92" s="743" t="str">
        <f t="shared" ca="1" si="242"/>
        <v>England-Croatia</v>
      </c>
      <c r="DU92" s="743"/>
      <c r="DV92" s="743"/>
      <c r="DW92" s="8"/>
    </row>
    <row r="93" spans="1:127" ht="16.149999999999999" customHeight="1">
      <c r="A93" s="744" t="str">
        <f ca="1">+Equipos!B46</f>
        <v>England</v>
      </c>
      <c r="B93" s="741"/>
      <c r="C93" s="741"/>
      <c r="D93" s="743" t="str">
        <f t="shared" si="283"/>
        <v>Local</v>
      </c>
      <c r="E93" s="743" t="str">
        <f t="shared" ca="1" si="284"/>
        <v>-</v>
      </c>
      <c r="F93" s="743" t="str">
        <f t="shared" ca="1" si="285"/>
        <v>-</v>
      </c>
      <c r="G93" s="743"/>
      <c r="H93" s="743" t="str">
        <f t="shared" ca="1" si="286"/>
        <v>-</v>
      </c>
      <c r="I93" s="743" t="str">
        <f t="shared" ca="1" si="287"/>
        <v>-</v>
      </c>
      <c r="J93" s="743"/>
      <c r="K93" s="743" t="str">
        <f t="shared" ca="1" si="288"/>
        <v>-</v>
      </c>
      <c r="L93" s="743" t="str">
        <f t="shared" ca="1" si="289"/>
        <v>-</v>
      </c>
      <c r="M93" s="743"/>
      <c r="N93" s="743" t="str">
        <f t="shared" ca="1" si="290"/>
        <v>-</v>
      </c>
      <c r="O93" s="743" t="str">
        <f t="shared" ca="1" si="291"/>
        <v>-</v>
      </c>
      <c r="P93" s="743"/>
      <c r="Q93" s="743" t="str">
        <f t="shared" ca="1" si="292"/>
        <v>-</v>
      </c>
      <c r="R93" s="743" t="str">
        <f t="shared" ca="1" si="293"/>
        <v>-</v>
      </c>
      <c r="S93" s="743"/>
      <c r="T93" s="743" t="str">
        <f t="shared" ca="1" si="294"/>
        <v>-</v>
      </c>
      <c r="U93" s="743" t="str">
        <f t="shared" ca="1" si="295"/>
        <v>-</v>
      </c>
      <c r="V93" s="172"/>
      <c r="W93" s="829"/>
      <c r="X93" s="189">
        <f ca="1">Horarios!C93</f>
        <v>46191.041666666664</v>
      </c>
      <c r="Y93" s="190">
        <f ca="1">Horarios!C93</f>
        <v>46191.041666666664</v>
      </c>
      <c r="Z93" s="191" t="str">
        <f>$Z$4</f>
        <v>R1</v>
      </c>
      <c r="AA93" s="192" t="str">
        <f ca="1">A95</f>
        <v>Ghana</v>
      </c>
      <c r="AB93" s="478" t="e" cm="1" vm="48">
        <f t="array" aca="1" ref="AB93" ca="1">Ver_flag_local</f>
        <v>#VALUE!</v>
      </c>
      <c r="AC93" s="193">
        <v>1</v>
      </c>
      <c r="AD93" s="194">
        <v>0</v>
      </c>
      <c r="AE93" s="483" t="e" cm="1" vm="49">
        <f t="array" aca="1" ref="AE93" ca="1">Ver_flag_visit</f>
        <v>#VALUE!</v>
      </c>
      <c r="AF93" s="195" t="str">
        <f ca="1">A96</f>
        <v>Panama</v>
      </c>
      <c r="AG93" s="413">
        <f t="shared" si="296"/>
        <v>1</v>
      </c>
      <c r="AH93" s="196">
        <v>21</v>
      </c>
      <c r="AI93" s="19"/>
      <c r="AJ93" s="204" t="str">
        <f>AJ5</f>
        <v>Pos</v>
      </c>
      <c r="AK93" s="205"/>
      <c r="AL93" s="206" t="str">
        <f t="shared" ref="AL93:AT93" si="298">AL5</f>
        <v>Nation</v>
      </c>
      <c r="AM93" s="205" t="str">
        <f t="shared" si="298"/>
        <v>Pts</v>
      </c>
      <c r="AN93" s="205" t="str">
        <f t="shared" si="298"/>
        <v>P</v>
      </c>
      <c r="AO93" s="205" t="str">
        <f t="shared" si="298"/>
        <v>W</v>
      </c>
      <c r="AP93" s="205" t="str">
        <f t="shared" si="298"/>
        <v>D</v>
      </c>
      <c r="AQ93" s="205" t="str">
        <f t="shared" si="298"/>
        <v>L</v>
      </c>
      <c r="AR93" s="205" t="str">
        <f t="shared" si="298"/>
        <v>F</v>
      </c>
      <c r="AS93" s="205" t="str">
        <f t="shared" si="298"/>
        <v>A</v>
      </c>
      <c r="AT93" s="207" t="str">
        <f t="shared" si="298"/>
        <v>GD</v>
      </c>
      <c r="AU93" s="421">
        <f t="shared" ref="AU93" ca="1" si="299">COUNTIF(AU94:AU97,"&gt;1")</f>
        <v>0</v>
      </c>
      <c r="AV93" s="208"/>
      <c r="AW93" s="208"/>
      <c r="AX93" s="255"/>
      <c r="AY93" s="209" t="str">
        <f>AL93</f>
        <v>Nation</v>
      </c>
      <c r="AZ93" s="210" t="str">
        <f>+Idiomas!$D$69</f>
        <v>Deducted Points</v>
      </c>
      <c r="BA93" s="175"/>
      <c r="BB93" s="743"/>
      <c r="BC93" s="743"/>
      <c r="BD93" s="743"/>
      <c r="BE93" s="743"/>
      <c r="BF93" s="743"/>
      <c r="BG93" s="743"/>
      <c r="BH93" s="743"/>
      <c r="BI93" s="743"/>
      <c r="BJ93" s="743"/>
      <c r="BK93" s="743"/>
      <c r="BL93" s="743"/>
      <c r="BM93" s="743"/>
      <c r="BN93" s="746"/>
      <c r="BO93" s="746"/>
      <c r="BP93" s="746"/>
      <c r="BQ93" s="746"/>
      <c r="BR93" s="743"/>
      <c r="BS93" s="743"/>
      <c r="BT93" s="746"/>
      <c r="BU93" s="746"/>
      <c r="BV93" s="746"/>
      <c r="BW93" s="746"/>
      <c r="BX93" s="746"/>
      <c r="BY93" s="746"/>
      <c r="BZ93" s="746"/>
      <c r="CA93" s="746"/>
      <c r="CB93" s="746"/>
      <c r="CC93" s="746"/>
      <c r="CD93" s="746"/>
      <c r="CE93" s="746"/>
      <c r="CF93" s="746"/>
      <c r="CG93" s="746"/>
      <c r="CH93" s="746"/>
      <c r="CI93" s="746"/>
      <c r="CJ93" s="746"/>
      <c r="CK93" s="746"/>
      <c r="CL93" s="746"/>
      <c r="CM93" s="746"/>
      <c r="CN93" s="746"/>
      <c r="CO93" s="746"/>
      <c r="CP93" s="746"/>
      <c r="CQ93" s="746"/>
      <c r="CR93" s="746"/>
      <c r="CS93" s="746"/>
      <c r="CT93" s="746"/>
      <c r="CU93" s="746"/>
      <c r="CV93" s="746"/>
      <c r="CW93" s="743"/>
      <c r="CX93" s="746"/>
      <c r="CY93" s="743"/>
      <c r="CZ93" s="743"/>
      <c r="DA93" s="743"/>
      <c r="DB93" s="743"/>
      <c r="DC93" s="743"/>
      <c r="DD93" s="743"/>
      <c r="DE93" s="743"/>
      <c r="DF93" s="743"/>
      <c r="DG93" s="743"/>
      <c r="DH93" s="743"/>
      <c r="DI93" s="743"/>
      <c r="DJ93" s="743"/>
      <c r="DK93" s="743"/>
      <c r="DL93" s="743"/>
      <c r="DM93" s="743"/>
      <c r="DN93" s="743"/>
      <c r="DO93" s="743"/>
      <c r="DP93" s="743"/>
      <c r="DQ93" s="743"/>
      <c r="DR93" s="743"/>
      <c r="DS93" s="743"/>
      <c r="DT93" s="743" t="str">
        <f t="shared" ca="1" si="242"/>
        <v>Ghana-Panama</v>
      </c>
      <c r="DU93" s="743"/>
      <c r="DV93" s="743"/>
      <c r="DW93" s="8"/>
    </row>
    <row r="94" spans="1:127" ht="16.149999999999999" customHeight="1">
      <c r="A94" s="744" t="str">
        <f ca="1">+Equipos!B47</f>
        <v>Croatia</v>
      </c>
      <c r="B94" s="741"/>
      <c r="C94" s="745"/>
      <c r="D94" s="743" t="str">
        <f t="shared" si="283"/>
        <v>Empate</v>
      </c>
      <c r="E94" s="743" t="str">
        <f t="shared" ca="1" si="284"/>
        <v>-</v>
      </c>
      <c r="F94" s="743" t="str">
        <f t="shared" ca="1" si="285"/>
        <v>-</v>
      </c>
      <c r="G94" s="743"/>
      <c r="H94" s="743" t="str">
        <f t="shared" ca="1" si="286"/>
        <v>-</v>
      </c>
      <c r="I94" s="743" t="str">
        <f t="shared" ca="1" si="287"/>
        <v>-</v>
      </c>
      <c r="J94" s="743"/>
      <c r="K94" s="743" t="str">
        <f t="shared" ca="1" si="288"/>
        <v>-</v>
      </c>
      <c r="L94" s="743" t="str">
        <f t="shared" ca="1" si="289"/>
        <v>-</v>
      </c>
      <c r="M94" s="743"/>
      <c r="N94" s="743" t="str">
        <f t="shared" ca="1" si="290"/>
        <v>-</v>
      </c>
      <c r="O94" s="743" t="str">
        <f t="shared" ca="1" si="291"/>
        <v>-</v>
      </c>
      <c r="P94" s="743"/>
      <c r="Q94" s="743" t="str">
        <f t="shared" ca="1" si="292"/>
        <v>-</v>
      </c>
      <c r="R94" s="743" t="str">
        <f t="shared" ca="1" si="293"/>
        <v>-</v>
      </c>
      <c r="S94" s="743"/>
      <c r="T94" s="743" t="str">
        <f t="shared" ca="1" si="294"/>
        <v>-</v>
      </c>
      <c r="U94" s="743" t="str">
        <f t="shared" ca="1" si="295"/>
        <v>-</v>
      </c>
      <c r="V94" s="172"/>
      <c r="W94" s="829"/>
      <c r="X94" s="189">
        <f ca="1">Horarios!C94</f>
        <v>46196.916666666664</v>
      </c>
      <c r="Y94" s="190">
        <f ca="1">Horarios!C94</f>
        <v>46196.916666666664</v>
      </c>
      <c r="Z94" s="191" t="str">
        <f>$Z$6</f>
        <v>R2</v>
      </c>
      <c r="AA94" s="192" t="str">
        <f ca="1">A93</f>
        <v>England</v>
      </c>
      <c r="AB94" s="478" t="e" cm="1" vm="46">
        <f t="array" aca="1" ref="AB94" ca="1">Ver_flag_local</f>
        <v>#VALUE!</v>
      </c>
      <c r="AC94" s="193">
        <v>0</v>
      </c>
      <c r="AD94" s="194">
        <v>0</v>
      </c>
      <c r="AE94" s="483" t="e" cm="1" vm="48">
        <f t="array" aca="1" ref="AE94" ca="1">Ver_flag_visit</f>
        <v>#VALUE!</v>
      </c>
      <c r="AF94" s="195" t="str">
        <f ca="1">A95</f>
        <v>Ghana</v>
      </c>
      <c r="AG94" s="413">
        <f t="shared" si="296"/>
        <v>1</v>
      </c>
      <c r="AH94" s="196">
        <v>45</v>
      </c>
      <c r="AI94" s="19" t="str">
        <f>AJ94&amp;$B$92</f>
        <v>1L</v>
      </c>
      <c r="AJ94" s="211">
        <v>1</v>
      </c>
      <c r="AK94" s="488" t="e" cm="1" vm="46">
        <f t="array" aca="1" ref="AK94" ca="1">Ver_flag_visit</f>
        <v>#VALUE!</v>
      </c>
      <c r="AL94" s="212" t="str">
        <f ca="1">IFERROR(INDEX($BD$6:$BD$53,MATCH(AI94,$BN$6:$BN$53,0)),"")</f>
        <v>England</v>
      </c>
      <c r="AM94" s="213">
        <f t="shared" ref="AM94:AT97" ca="1" si="300">INDEX($BE$6:$BN$53,MATCH($AL94,$BD$6:$BD$53,0),MATCH(AM$5,$BE$5:$BN$5,0))</f>
        <v>7</v>
      </c>
      <c r="AN94" s="214">
        <f t="shared" ca="1" si="300"/>
        <v>3</v>
      </c>
      <c r="AO94" s="214">
        <f t="shared" ca="1" si="300"/>
        <v>2</v>
      </c>
      <c r="AP94" s="214">
        <f t="shared" ca="1" si="300"/>
        <v>1</v>
      </c>
      <c r="AQ94" s="214">
        <f t="shared" ca="1" si="300"/>
        <v>0</v>
      </c>
      <c r="AR94" s="214">
        <f t="shared" ca="1" si="300"/>
        <v>6</v>
      </c>
      <c r="AS94" s="214">
        <f t="shared" ca="1" si="300"/>
        <v>2</v>
      </c>
      <c r="AT94" s="215">
        <f t="shared" ca="1" si="300"/>
        <v>4</v>
      </c>
      <c r="AU94" s="420">
        <f ca="1">INDEX($DL$6:$DL$53,MATCH(AI94,$DP$6:$DP$53,0))</f>
        <v>1</v>
      </c>
      <c r="AV94" s="217" t="str">
        <f ca="1">INDEX($BD$6:$BD$53,MATCH(AI94,$BM$6:$BM$53,0))</f>
        <v>England</v>
      </c>
      <c r="AW94" s="427"/>
      <c r="AX94" s="218"/>
      <c r="AY94" s="219" t="str">
        <f ca="1">+A93</f>
        <v>England</v>
      </c>
      <c r="AZ94" s="220"/>
      <c r="BA94" s="175"/>
      <c r="BB94" s="743"/>
      <c r="BC94" s="743"/>
      <c r="BD94" s="743"/>
      <c r="BE94" s="743"/>
      <c r="BF94" s="743"/>
      <c r="BG94" s="743"/>
      <c r="BH94" s="743"/>
      <c r="BI94" s="743"/>
      <c r="BJ94" s="743"/>
      <c r="BK94" s="743"/>
      <c r="BL94" s="743"/>
      <c r="BM94" s="743"/>
      <c r="BN94" s="748"/>
      <c r="BO94" s="748"/>
      <c r="BP94" s="748"/>
      <c r="BQ94" s="748"/>
      <c r="BR94" s="743"/>
      <c r="BS94" s="743"/>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3"/>
      <c r="CX94" s="748"/>
      <c r="CY94" s="743"/>
      <c r="CZ94" s="743"/>
      <c r="DA94" s="743"/>
      <c r="DB94" s="743"/>
      <c r="DC94" s="743"/>
      <c r="DD94" s="743"/>
      <c r="DE94" s="743"/>
      <c r="DF94" s="743"/>
      <c r="DG94" s="743"/>
      <c r="DH94" s="743"/>
      <c r="DI94" s="743"/>
      <c r="DJ94" s="743"/>
      <c r="DK94" s="743"/>
      <c r="DL94" s="743"/>
      <c r="DM94" s="743"/>
      <c r="DN94" s="743"/>
      <c r="DO94" s="743"/>
      <c r="DP94" s="743"/>
      <c r="DQ94" s="743"/>
      <c r="DR94" s="743"/>
      <c r="DS94" s="743"/>
      <c r="DT94" s="743" t="str">
        <f t="shared" ca="1" si="242"/>
        <v>England-Ghana</v>
      </c>
      <c r="DU94" s="743"/>
      <c r="DV94" s="743"/>
      <c r="DW94" s="8"/>
    </row>
    <row r="95" spans="1:127" ht="16.149999999999999" customHeight="1">
      <c r="A95" s="744" t="str">
        <f ca="1">+Equipos!B48</f>
        <v>Ghana</v>
      </c>
      <c r="B95" s="741"/>
      <c r="C95" s="743"/>
      <c r="D95" s="743" t="str">
        <f t="shared" si="283"/>
        <v>Visitante</v>
      </c>
      <c r="E95" s="743" t="str">
        <f t="shared" ca="1" si="284"/>
        <v>-</v>
      </c>
      <c r="F95" s="743" t="str">
        <f t="shared" ca="1" si="285"/>
        <v>-</v>
      </c>
      <c r="G95" s="743"/>
      <c r="H95" s="743" t="str">
        <f t="shared" ca="1" si="286"/>
        <v>-</v>
      </c>
      <c r="I95" s="743" t="str">
        <f t="shared" ca="1" si="287"/>
        <v>-</v>
      </c>
      <c r="J95" s="743"/>
      <c r="K95" s="743" t="str">
        <f t="shared" ca="1" si="288"/>
        <v>-</v>
      </c>
      <c r="L95" s="743" t="str">
        <f t="shared" ca="1" si="289"/>
        <v>-</v>
      </c>
      <c r="M95" s="743"/>
      <c r="N95" s="743" t="str">
        <f t="shared" ca="1" si="290"/>
        <v>-</v>
      </c>
      <c r="O95" s="743" t="str">
        <f t="shared" ca="1" si="291"/>
        <v>-</v>
      </c>
      <c r="P95" s="743"/>
      <c r="Q95" s="743" t="str">
        <f t="shared" ca="1" si="292"/>
        <v>-</v>
      </c>
      <c r="R95" s="743" t="str">
        <f t="shared" ca="1" si="293"/>
        <v>-</v>
      </c>
      <c r="S95" s="743"/>
      <c r="T95" s="743" t="str">
        <f t="shared" ca="1" si="294"/>
        <v>-</v>
      </c>
      <c r="U95" s="743" t="str">
        <f t="shared" ca="1" si="295"/>
        <v>-</v>
      </c>
      <c r="V95" s="172"/>
      <c r="W95" s="829"/>
      <c r="X95" s="189">
        <f ca="1">Horarios!C95</f>
        <v>46197.041666666664</v>
      </c>
      <c r="Y95" s="190">
        <f ca="1">Horarios!C95</f>
        <v>46197.041666666664</v>
      </c>
      <c r="Z95" s="191" t="str">
        <f>$Z$6</f>
        <v>R2</v>
      </c>
      <c r="AA95" s="192" t="str">
        <f ca="1">A96</f>
        <v>Panama</v>
      </c>
      <c r="AB95" s="478" t="e" cm="1" vm="49">
        <f t="array" aca="1" ref="AB95" ca="1">Ver_flag_local</f>
        <v>#VALUE!</v>
      </c>
      <c r="AC95" s="193">
        <v>0</v>
      </c>
      <c r="AD95" s="194">
        <v>1</v>
      </c>
      <c r="AE95" s="483" t="e" cm="1" vm="47">
        <f t="array" aca="1" ref="AE95" ca="1">Ver_flag_visit</f>
        <v>#VALUE!</v>
      </c>
      <c r="AF95" s="195" t="str">
        <f ca="1">A94</f>
        <v>Croatia</v>
      </c>
      <c r="AG95" s="413">
        <f t="shared" si="296"/>
        <v>1</v>
      </c>
      <c r="AH95" s="196">
        <v>46</v>
      </c>
      <c r="AI95" s="19" t="str">
        <f t="shared" ref="AI95:AI97" si="301">AJ95&amp;$B$92</f>
        <v>2L</v>
      </c>
      <c r="AJ95" s="221">
        <v>2</v>
      </c>
      <c r="AK95" s="486" t="e" cm="1" vm="47">
        <f t="array" aca="1" ref="AK95" ca="1">Ver_flag_visit</f>
        <v>#VALUE!</v>
      </c>
      <c r="AL95" s="222" t="str">
        <f ca="1">IFERROR(INDEX($BD$6:$BD$53,MATCH(AI95,$BN$6:$BN$53,0)),"")</f>
        <v>Croatia</v>
      </c>
      <c r="AM95" s="223">
        <f t="shared" ca="1" si="300"/>
        <v>6</v>
      </c>
      <c r="AN95" s="224">
        <f t="shared" ca="1" si="300"/>
        <v>3</v>
      </c>
      <c r="AO95" s="224">
        <f t="shared" ca="1" si="300"/>
        <v>2</v>
      </c>
      <c r="AP95" s="224">
        <f t="shared" ca="1" si="300"/>
        <v>0</v>
      </c>
      <c r="AQ95" s="224">
        <f t="shared" ca="1" si="300"/>
        <v>1</v>
      </c>
      <c r="AR95" s="224">
        <f t="shared" ca="1" si="300"/>
        <v>5</v>
      </c>
      <c r="AS95" s="224">
        <f t="shared" ca="1" si="300"/>
        <v>5</v>
      </c>
      <c r="AT95" s="225">
        <f t="shared" ca="1" si="300"/>
        <v>0</v>
      </c>
      <c r="AU95" s="420">
        <f ca="1">INDEX($DL$6:$DL$53,MATCH(AI95,$DP$6:$DP$53,0))</f>
        <v>1</v>
      </c>
      <c r="AV95" s="217" t="str">
        <f ca="1">INDEX($BD$6:$BD$53,MATCH(AI95,$BM$6:$BM$53,0))</f>
        <v>Croatia</v>
      </c>
      <c r="AW95" s="427"/>
      <c r="AX95" s="218"/>
      <c r="AY95" s="226" t="str">
        <f ca="1">+A94</f>
        <v>Croatia</v>
      </c>
      <c r="AZ95" s="227"/>
      <c r="BA95" s="175"/>
      <c r="BB95" s="743"/>
      <c r="BC95" s="743"/>
      <c r="BD95" s="743"/>
      <c r="BE95" s="743"/>
      <c r="BF95" s="743"/>
      <c r="BG95" s="743"/>
      <c r="BH95" s="743"/>
      <c r="BI95" s="743"/>
      <c r="BJ95" s="743"/>
      <c r="BK95" s="743"/>
      <c r="BL95" s="743"/>
      <c r="BM95" s="743"/>
      <c r="BN95" s="748"/>
      <c r="BO95" s="748"/>
      <c r="BP95" s="748"/>
      <c r="BQ95" s="748"/>
      <c r="BR95" s="743"/>
      <c r="BS95" s="743"/>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3"/>
      <c r="CX95" s="748"/>
      <c r="CY95" s="743"/>
      <c r="CZ95" s="743"/>
      <c r="DA95" s="743"/>
      <c r="DB95" s="743"/>
      <c r="DC95" s="743"/>
      <c r="DD95" s="743"/>
      <c r="DE95" s="743"/>
      <c r="DF95" s="743"/>
      <c r="DG95" s="743"/>
      <c r="DH95" s="743"/>
      <c r="DI95" s="743"/>
      <c r="DJ95" s="743"/>
      <c r="DK95" s="743"/>
      <c r="DL95" s="743"/>
      <c r="DM95" s="743"/>
      <c r="DN95" s="743"/>
      <c r="DO95" s="743"/>
      <c r="DP95" s="743"/>
      <c r="DQ95" s="743"/>
      <c r="DR95" s="743"/>
      <c r="DS95" s="743"/>
      <c r="DT95" s="743" t="str">
        <f t="shared" ca="1" si="242"/>
        <v>Panama-Croatia</v>
      </c>
      <c r="DU95" s="743"/>
      <c r="DV95" s="743"/>
      <c r="DW95" s="8"/>
    </row>
    <row r="96" spans="1:127" ht="16.149999999999999" customHeight="1">
      <c r="A96" s="744" t="str">
        <f ca="1">+Equipos!B49</f>
        <v>Panama</v>
      </c>
      <c r="B96" s="741"/>
      <c r="C96" s="743"/>
      <c r="D96" s="743" t="str">
        <f t="shared" si="283"/>
        <v>Visitante</v>
      </c>
      <c r="E96" s="743" t="str">
        <f t="shared" ca="1" si="284"/>
        <v>-</v>
      </c>
      <c r="F96" s="743" t="str">
        <f t="shared" ca="1" si="285"/>
        <v>-</v>
      </c>
      <c r="G96" s="743"/>
      <c r="H96" s="743" t="str">
        <f t="shared" ca="1" si="286"/>
        <v>-</v>
      </c>
      <c r="I96" s="743" t="str">
        <f t="shared" ca="1" si="287"/>
        <v>-</v>
      </c>
      <c r="J96" s="743"/>
      <c r="K96" s="743" t="str">
        <f t="shared" ca="1" si="288"/>
        <v>-</v>
      </c>
      <c r="L96" s="743" t="str">
        <f t="shared" ca="1" si="289"/>
        <v>-</v>
      </c>
      <c r="M96" s="743"/>
      <c r="N96" s="743" t="str">
        <f t="shared" ca="1" si="290"/>
        <v>-</v>
      </c>
      <c r="O96" s="743" t="str">
        <f t="shared" ca="1" si="291"/>
        <v>-</v>
      </c>
      <c r="P96" s="743"/>
      <c r="Q96" s="743" t="str">
        <f t="shared" ca="1" si="292"/>
        <v>-</v>
      </c>
      <c r="R96" s="743" t="str">
        <f t="shared" ca="1" si="293"/>
        <v>-</v>
      </c>
      <c r="S96" s="743"/>
      <c r="T96" s="743" t="str">
        <f t="shared" ca="1" si="294"/>
        <v>-</v>
      </c>
      <c r="U96" s="743" t="str">
        <f t="shared" ca="1" si="295"/>
        <v>-</v>
      </c>
      <c r="V96" s="172"/>
      <c r="W96" s="829"/>
      <c r="X96" s="189">
        <f ca="1">Horarios!C96</f>
        <v>46200.958333333336</v>
      </c>
      <c r="Y96" s="190">
        <f ca="1">Horarios!C96</f>
        <v>46200.958333333336</v>
      </c>
      <c r="Z96" s="191" t="str">
        <f>$Z$8</f>
        <v>R3</v>
      </c>
      <c r="AA96" s="192" t="str">
        <f ca="1">A96</f>
        <v>Panama</v>
      </c>
      <c r="AB96" s="478" t="e" cm="1" vm="49">
        <f t="array" aca="1" ref="AB96" ca="1">Ver_flag_local</f>
        <v>#VALUE!</v>
      </c>
      <c r="AC96" s="193">
        <v>0</v>
      </c>
      <c r="AD96" s="194">
        <v>2</v>
      </c>
      <c r="AE96" s="483" t="e" cm="1" vm="46">
        <f t="array" aca="1" ref="AE96" ca="1">Ver_flag_visit</f>
        <v>#VALUE!</v>
      </c>
      <c r="AF96" s="195" t="str">
        <f ca="1">A93</f>
        <v>England</v>
      </c>
      <c r="AG96" s="413">
        <f t="shared" si="296"/>
        <v>1</v>
      </c>
      <c r="AH96" s="196">
        <v>67</v>
      </c>
      <c r="AI96" s="19" t="str">
        <f t="shared" si="301"/>
        <v>3L</v>
      </c>
      <c r="AJ96" s="221">
        <v>3</v>
      </c>
      <c r="AK96" s="486" t="e" cm="1" vm="48">
        <f t="array" aca="1" ref="AK96" ca="1">Ver_flag_visit</f>
        <v>#VALUE!</v>
      </c>
      <c r="AL96" s="222" t="str">
        <f ca="1">IFERROR(INDEX($BD$6:$BD$53,MATCH(AI96,$BN$6:$BN$53,0)),"")</f>
        <v>Ghana</v>
      </c>
      <c r="AM96" s="223">
        <f t="shared" ca="1" si="300"/>
        <v>4</v>
      </c>
      <c r="AN96" s="224">
        <f t="shared" ca="1" si="300"/>
        <v>3</v>
      </c>
      <c r="AO96" s="224">
        <f t="shared" ca="1" si="300"/>
        <v>1</v>
      </c>
      <c r="AP96" s="224">
        <f t="shared" ca="1" si="300"/>
        <v>1</v>
      </c>
      <c r="AQ96" s="224">
        <f t="shared" ca="1" si="300"/>
        <v>1</v>
      </c>
      <c r="AR96" s="224">
        <f t="shared" ca="1" si="300"/>
        <v>2</v>
      </c>
      <c r="AS96" s="224">
        <f t="shared" ca="1" si="300"/>
        <v>2</v>
      </c>
      <c r="AT96" s="225">
        <f t="shared" ca="1" si="300"/>
        <v>0</v>
      </c>
      <c r="AU96" s="420">
        <f ca="1">INDEX($DL$6:$DL$53,MATCH(AI96,$DP$6:$DP$53,0))</f>
        <v>1</v>
      </c>
      <c r="AV96" s="217" t="str">
        <f ca="1">INDEX($BD$6:$BD$53,MATCH(AI96,$BM$6:$BM$53,0))</f>
        <v>Ghana</v>
      </c>
      <c r="AW96" s="427"/>
      <c r="AX96" s="218"/>
      <c r="AY96" s="219" t="str">
        <f ca="1">+A95</f>
        <v>Ghana</v>
      </c>
      <c r="AZ96" s="220"/>
      <c r="BA96" s="175"/>
      <c r="BB96" s="743"/>
      <c r="BC96" s="743"/>
      <c r="BD96" s="743"/>
      <c r="BE96" s="743"/>
      <c r="BF96" s="743"/>
      <c r="BG96" s="743"/>
      <c r="BH96" s="743"/>
      <c r="BI96" s="743"/>
      <c r="BJ96" s="743"/>
      <c r="BK96" s="743"/>
      <c r="BL96" s="743"/>
      <c r="BM96" s="743"/>
      <c r="BN96" s="748"/>
      <c r="BO96" s="748"/>
      <c r="BP96" s="748"/>
      <c r="BQ96" s="748"/>
      <c r="BR96" s="743"/>
      <c r="BS96" s="743"/>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3"/>
      <c r="CX96" s="748"/>
      <c r="CY96" s="743"/>
      <c r="CZ96" s="743"/>
      <c r="DA96" s="743"/>
      <c r="DB96" s="743"/>
      <c r="DC96" s="743"/>
      <c r="DD96" s="743"/>
      <c r="DE96" s="743"/>
      <c r="DF96" s="743"/>
      <c r="DG96" s="743"/>
      <c r="DH96" s="743"/>
      <c r="DI96" s="743"/>
      <c r="DJ96" s="743"/>
      <c r="DK96" s="743"/>
      <c r="DL96" s="743"/>
      <c r="DM96" s="743"/>
      <c r="DN96" s="743"/>
      <c r="DO96" s="743"/>
      <c r="DP96" s="743"/>
      <c r="DQ96" s="743"/>
      <c r="DR96" s="743"/>
      <c r="DS96" s="743"/>
      <c r="DT96" s="743" t="str">
        <f t="shared" ca="1" si="242"/>
        <v>Panama-England</v>
      </c>
      <c r="DU96" s="743"/>
      <c r="DV96" s="743"/>
      <c r="DW96" s="8"/>
    </row>
    <row r="97" spans="1:127" ht="16.899999999999999" customHeight="1" thickBot="1">
      <c r="A97" s="738"/>
      <c r="B97" s="738"/>
      <c r="C97" s="738"/>
      <c r="D97" s="743" t="str">
        <f t="shared" si="283"/>
        <v>Local</v>
      </c>
      <c r="E97" s="743" t="str">
        <f t="shared" ca="1" si="284"/>
        <v>-</v>
      </c>
      <c r="F97" s="743" t="str">
        <f t="shared" ca="1" si="285"/>
        <v>-</v>
      </c>
      <c r="G97" s="743"/>
      <c r="H97" s="743" t="str">
        <f t="shared" ca="1" si="286"/>
        <v>-</v>
      </c>
      <c r="I97" s="743" t="str">
        <f t="shared" ca="1" si="287"/>
        <v>-</v>
      </c>
      <c r="J97" s="743"/>
      <c r="K97" s="743" t="str">
        <f t="shared" ca="1" si="288"/>
        <v>-</v>
      </c>
      <c r="L97" s="743" t="str">
        <f t="shared" ca="1" si="289"/>
        <v>-</v>
      </c>
      <c r="M97" s="743"/>
      <c r="N97" s="743" t="str">
        <f t="shared" ca="1" si="290"/>
        <v>-</v>
      </c>
      <c r="O97" s="743" t="str">
        <f t="shared" ca="1" si="291"/>
        <v>-</v>
      </c>
      <c r="P97" s="743"/>
      <c r="Q97" s="743" t="str">
        <f t="shared" ca="1" si="292"/>
        <v>-</v>
      </c>
      <c r="R97" s="743" t="str">
        <f t="shared" ca="1" si="293"/>
        <v>-</v>
      </c>
      <c r="S97" s="743"/>
      <c r="T97" s="743" t="str">
        <f t="shared" ca="1" si="294"/>
        <v>-</v>
      </c>
      <c r="U97" s="743" t="str">
        <f t="shared" ca="1" si="295"/>
        <v>-</v>
      </c>
      <c r="V97" s="172"/>
      <c r="W97" s="830"/>
      <c r="X97" s="228">
        <f ca="1">Horarios!C97</f>
        <v>46200.958333333336</v>
      </c>
      <c r="Y97" s="229">
        <f ca="1">Horarios!C97</f>
        <v>46200.958333333336</v>
      </c>
      <c r="Z97" s="230" t="str">
        <f>$Z$8</f>
        <v>R3</v>
      </c>
      <c r="AA97" s="231" t="str">
        <f ca="1">A94</f>
        <v>Croatia</v>
      </c>
      <c r="AB97" s="479" t="e" cm="1" vm="47">
        <f t="array" aca="1" ref="AB97" ca="1">Ver_flag_local</f>
        <v>#VALUE!</v>
      </c>
      <c r="AC97" s="232">
        <v>2</v>
      </c>
      <c r="AD97" s="233">
        <v>1</v>
      </c>
      <c r="AE97" s="484" t="e" cm="1" vm="48">
        <f t="array" aca="1" ref="AE97" ca="1">Ver_flag_visit</f>
        <v>#VALUE!</v>
      </c>
      <c r="AF97" s="234" t="str">
        <f ca="1">A95</f>
        <v>Ghana</v>
      </c>
      <c r="AG97" s="413">
        <f t="shared" si="296"/>
        <v>1</v>
      </c>
      <c r="AH97" s="196">
        <v>68</v>
      </c>
      <c r="AI97" s="19" t="str">
        <f t="shared" si="301"/>
        <v>4L</v>
      </c>
      <c r="AJ97" s="235">
        <v>4</v>
      </c>
      <c r="AK97" s="487" t="e" cm="1" vm="49">
        <f t="array" aca="1" ref="AK97" ca="1">Ver_flag_visit</f>
        <v>#VALUE!</v>
      </c>
      <c r="AL97" s="236" t="str">
        <f ca="1">IFERROR(INDEX($BD$6:$BD$53,MATCH(AI97,$BN$6:$BN$53,0)),"")</f>
        <v>Panama</v>
      </c>
      <c r="AM97" s="237">
        <f t="shared" ca="1" si="300"/>
        <v>0</v>
      </c>
      <c r="AN97" s="238">
        <f t="shared" ca="1" si="300"/>
        <v>3</v>
      </c>
      <c r="AO97" s="238">
        <f t="shared" ca="1" si="300"/>
        <v>0</v>
      </c>
      <c r="AP97" s="238">
        <f t="shared" ca="1" si="300"/>
        <v>0</v>
      </c>
      <c r="AQ97" s="238">
        <f t="shared" ca="1" si="300"/>
        <v>3</v>
      </c>
      <c r="AR97" s="238">
        <f t="shared" ca="1" si="300"/>
        <v>0</v>
      </c>
      <c r="AS97" s="238">
        <f t="shared" ca="1" si="300"/>
        <v>4</v>
      </c>
      <c r="AT97" s="239">
        <f t="shared" ca="1" si="300"/>
        <v>-4</v>
      </c>
      <c r="AU97" s="420">
        <f ca="1">INDEX($DL$6:$DL$53,MATCH(AI97,$DP$6:$DP$53,0))</f>
        <v>1</v>
      </c>
      <c r="AV97" s="217" t="str">
        <f ca="1">INDEX($BD$6:$BD$53,MATCH(AI97,$BM$6:$BM$53,0))</f>
        <v>Panama</v>
      </c>
      <c r="AW97" s="427"/>
      <c r="AX97" s="218"/>
      <c r="AY97" s="240" t="str">
        <f ca="1">+A96</f>
        <v>Panama</v>
      </c>
      <c r="AZ97" s="241"/>
      <c r="BA97" s="175"/>
      <c r="BB97" s="743"/>
      <c r="BC97" s="743"/>
      <c r="BD97" s="743"/>
      <c r="BE97" s="743"/>
      <c r="BF97" s="743"/>
      <c r="BG97" s="743"/>
      <c r="BH97" s="743"/>
      <c r="BI97" s="743"/>
      <c r="BJ97" s="743"/>
      <c r="BK97" s="743"/>
      <c r="BL97" s="743"/>
      <c r="BM97" s="743"/>
      <c r="BN97" s="748"/>
      <c r="BO97" s="748"/>
      <c r="BP97" s="748"/>
      <c r="BQ97" s="748"/>
      <c r="BR97" s="743"/>
      <c r="BS97" s="743"/>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3"/>
      <c r="CX97" s="748"/>
      <c r="CY97" s="743"/>
      <c r="CZ97" s="743"/>
      <c r="DA97" s="743"/>
      <c r="DB97" s="743"/>
      <c r="DC97" s="743"/>
      <c r="DD97" s="743"/>
      <c r="DE97" s="743"/>
      <c r="DF97" s="743"/>
      <c r="DG97" s="743"/>
      <c r="DH97" s="743"/>
      <c r="DI97" s="743"/>
      <c r="DJ97" s="743"/>
      <c r="DK97" s="743"/>
      <c r="DL97" s="743"/>
      <c r="DM97" s="743"/>
      <c r="DN97" s="743"/>
      <c r="DO97" s="743"/>
      <c r="DP97" s="743"/>
      <c r="DQ97" s="743"/>
      <c r="DR97" s="743"/>
      <c r="DS97" s="743"/>
      <c r="DT97" s="743" t="str">
        <f t="shared" ca="1" si="242"/>
        <v>Croatia-Ghana</v>
      </c>
      <c r="DU97" s="743"/>
      <c r="DV97" s="743"/>
      <c r="DW97" s="8"/>
    </row>
    <row r="98" spans="1:127" ht="15.75" thickBot="1">
      <c r="A98" s="738"/>
      <c r="B98" s="738"/>
      <c r="C98" s="738"/>
      <c r="D98" s="743"/>
      <c r="E98" s="743"/>
      <c r="F98" s="743"/>
      <c r="G98" s="743"/>
      <c r="H98" s="743"/>
      <c r="I98" s="743"/>
      <c r="J98" s="743"/>
      <c r="K98" s="743"/>
      <c r="L98" s="743"/>
      <c r="M98" s="743"/>
      <c r="N98" s="743"/>
      <c r="O98" s="743"/>
      <c r="P98" s="743"/>
      <c r="Q98" s="743"/>
      <c r="R98" s="743"/>
      <c r="S98" s="743"/>
      <c r="T98" s="743"/>
      <c r="U98" s="743"/>
      <c r="V98" s="172"/>
      <c r="W98" s="242"/>
      <c r="X98" s="243"/>
      <c r="Y98" s="242"/>
      <c r="Z98" s="244"/>
      <c r="AA98" s="245"/>
      <c r="AB98" s="246"/>
      <c r="AC98" s="247"/>
      <c r="AD98" s="247"/>
      <c r="AE98" s="246"/>
      <c r="AF98" s="248"/>
      <c r="AG98" s="415"/>
      <c r="AH98" s="171"/>
      <c r="AI98" s="171"/>
      <c r="AJ98" s="249"/>
      <c r="AK98" s="250"/>
      <c r="AL98" s="186"/>
      <c r="AM98" s="251"/>
      <c r="AN98" s="249"/>
      <c r="AO98" s="249"/>
      <c r="AP98" s="249"/>
      <c r="AQ98" s="249"/>
      <c r="AR98" s="249"/>
      <c r="AS98" s="249"/>
      <c r="AT98" s="249"/>
      <c r="AU98" s="420"/>
      <c r="AV98" s="216"/>
      <c r="AW98" s="428"/>
      <c r="AX98" s="268"/>
      <c r="AY98" s="242"/>
      <c r="AZ98" s="243"/>
      <c r="BA98" s="175"/>
      <c r="BB98" s="743"/>
      <c r="BC98" s="743"/>
      <c r="BD98" s="743"/>
      <c r="BE98" s="743"/>
      <c r="BF98" s="743"/>
      <c r="BG98" s="743"/>
      <c r="BH98" s="743"/>
      <c r="BI98" s="743"/>
      <c r="BJ98" s="743"/>
      <c r="BK98" s="743"/>
      <c r="BL98" s="743"/>
      <c r="BM98" s="743"/>
      <c r="BN98" s="743"/>
      <c r="BO98" s="743"/>
      <c r="BP98" s="743"/>
      <c r="BQ98" s="743"/>
      <c r="BR98" s="743"/>
      <c r="BS98" s="743"/>
      <c r="BT98" s="743"/>
      <c r="BU98" s="743"/>
      <c r="BV98" s="743"/>
      <c r="BW98" s="743"/>
      <c r="BX98" s="743"/>
      <c r="BY98" s="743"/>
      <c r="BZ98" s="743"/>
      <c r="CA98" s="743"/>
      <c r="CB98" s="743"/>
      <c r="CC98" s="743"/>
      <c r="CD98" s="743"/>
      <c r="CE98" s="743"/>
      <c r="CF98" s="743"/>
      <c r="CG98" s="743"/>
      <c r="CH98" s="743"/>
      <c r="CI98" s="743"/>
      <c r="CJ98" s="743"/>
      <c r="CK98" s="743"/>
      <c r="CL98" s="743"/>
      <c r="CM98" s="743"/>
      <c r="CN98" s="743"/>
      <c r="CO98" s="743"/>
      <c r="CP98" s="743"/>
      <c r="CQ98" s="743"/>
      <c r="CR98" s="743"/>
      <c r="CS98" s="743"/>
      <c r="CT98" s="743"/>
      <c r="CU98" s="743"/>
      <c r="CV98" s="743"/>
      <c r="CW98" s="743"/>
      <c r="CX98" s="743"/>
      <c r="CY98" s="743"/>
      <c r="CZ98" s="743"/>
      <c r="DA98" s="743"/>
      <c r="DB98" s="743"/>
      <c r="DC98" s="743"/>
      <c r="DD98" s="743"/>
      <c r="DE98" s="743"/>
      <c r="DF98" s="743"/>
      <c r="DG98" s="743"/>
      <c r="DH98" s="743"/>
      <c r="DI98" s="743"/>
      <c r="DJ98" s="743"/>
      <c r="DK98" s="743"/>
      <c r="DL98" s="743"/>
      <c r="DM98" s="743"/>
      <c r="DN98" s="743"/>
      <c r="DO98" s="743"/>
      <c r="DP98" s="743"/>
      <c r="DQ98" s="743"/>
      <c r="DR98" s="743"/>
      <c r="DS98" s="743"/>
      <c r="DT98" s="743" t="str">
        <f t="shared" si="242"/>
        <v>-</v>
      </c>
      <c r="DU98" s="743"/>
      <c r="DV98" s="743"/>
      <c r="DW98" s="8"/>
    </row>
    <row r="99" spans="1:127" ht="15.75" thickBot="1">
      <c r="A99" s="738"/>
      <c r="B99" s="738"/>
      <c r="C99" s="738"/>
      <c r="D99" s="743"/>
      <c r="E99" s="743"/>
      <c r="F99" s="743"/>
      <c r="G99" s="743"/>
      <c r="H99" s="743"/>
      <c r="I99" s="743"/>
      <c r="J99" s="743" t="s">
        <v>1294</v>
      </c>
      <c r="K99" s="743"/>
      <c r="L99" s="743"/>
      <c r="M99" s="743"/>
      <c r="N99" s="743"/>
      <c r="O99" s="743"/>
      <c r="P99" s="743"/>
      <c r="Q99" s="743"/>
      <c r="R99" s="743"/>
      <c r="S99" s="743"/>
      <c r="T99" s="743"/>
      <c r="U99" s="743"/>
      <c r="V99" s="172"/>
      <c r="W99" s="269" t="str">
        <f>Idiomas!D25</f>
        <v>Round of 32</v>
      </c>
      <c r="X99" s="270"/>
      <c r="Y99" s="271"/>
      <c r="Z99" s="271"/>
      <c r="AA99" s="271"/>
      <c r="AB99" s="271"/>
      <c r="AC99" s="271"/>
      <c r="AD99" s="271"/>
      <c r="AE99" s="271"/>
      <c r="AF99" s="272"/>
      <c r="AG99" s="416"/>
      <c r="AH99" s="217"/>
      <c r="AI99" s="171"/>
      <c r="AJ99" s="496"/>
      <c r="AK99" s="273" t="str">
        <f ca="1">+IF(OR($H$113&gt;=48,$AJ$99&gt;=48),"",Idiomas!D71)</f>
        <v/>
      </c>
      <c r="AL99" s="186"/>
      <c r="AM99" s="186"/>
      <c r="AN99" s="186"/>
      <c r="AO99" s="186"/>
      <c r="AP99" s="186"/>
      <c r="AQ99" s="186"/>
      <c r="AR99" s="186"/>
      <c r="AS99" s="186"/>
      <c r="AT99" s="186"/>
      <c r="AU99" s="421"/>
      <c r="AV99" s="22"/>
      <c r="AW99" s="429"/>
      <c r="AX99" s="275"/>
      <c r="AY99" s="242"/>
      <c r="AZ99" s="243"/>
      <c r="BA99" s="175"/>
      <c r="BB99" s="743"/>
      <c r="BC99" s="743"/>
      <c r="BD99" s="743"/>
      <c r="BE99" s="743"/>
      <c r="BF99" s="743"/>
      <c r="BG99" s="743"/>
      <c r="BH99" s="743"/>
      <c r="BI99" s="743"/>
      <c r="BJ99" s="743"/>
      <c r="BK99" s="743"/>
      <c r="BL99" s="743"/>
      <c r="BM99" s="743"/>
      <c r="BN99" s="743"/>
      <c r="BO99" s="743"/>
      <c r="BP99" s="743"/>
      <c r="BQ99" s="743"/>
      <c r="BR99" s="743"/>
      <c r="BS99" s="743"/>
      <c r="BT99" s="743"/>
      <c r="BU99" s="743"/>
      <c r="BV99" s="743"/>
      <c r="BW99" s="743"/>
      <c r="BX99" s="743"/>
      <c r="BY99" s="743"/>
      <c r="BZ99" s="743"/>
      <c r="CA99" s="743"/>
      <c r="CB99" s="743"/>
      <c r="CC99" s="743"/>
      <c r="CD99" s="743"/>
      <c r="CE99" s="743"/>
      <c r="CF99" s="743"/>
      <c r="CG99" s="743"/>
      <c r="CH99" s="743"/>
      <c r="CI99" s="743"/>
      <c r="CJ99" s="743"/>
      <c r="CK99" s="743"/>
      <c r="CL99" s="743"/>
      <c r="CM99" s="743"/>
      <c r="CN99" s="743"/>
      <c r="CO99" s="743"/>
      <c r="CP99" s="743"/>
      <c r="CQ99" s="743"/>
      <c r="CR99" s="743"/>
      <c r="CS99" s="743"/>
      <c r="CT99" s="743"/>
      <c r="CU99" s="743"/>
      <c r="CV99" s="743"/>
      <c r="CW99" s="743"/>
      <c r="CX99" s="743"/>
      <c r="CY99" s="743"/>
      <c r="CZ99" s="743"/>
      <c r="DA99" s="743"/>
      <c r="DB99" s="743"/>
      <c r="DC99" s="745"/>
      <c r="DD99" s="745"/>
      <c r="DE99" s="745"/>
      <c r="DF99" s="745"/>
      <c r="DG99" s="745"/>
      <c r="DH99" s="745"/>
      <c r="DI99" s="745"/>
      <c r="DJ99" s="745"/>
      <c r="DK99" s="745"/>
      <c r="DL99" s="745"/>
      <c r="DM99" s="745"/>
      <c r="DN99" s="745"/>
      <c r="DO99" s="745"/>
      <c r="DP99" s="745"/>
      <c r="DQ99" s="745"/>
      <c r="DR99" s="745"/>
      <c r="DS99" s="745"/>
      <c r="DT99" s="743" t="str">
        <f t="shared" si="242"/>
        <v>-</v>
      </c>
      <c r="DU99" s="745"/>
      <c r="DV99" s="745"/>
      <c r="DW99" s="493"/>
    </row>
    <row r="100" spans="1:127" ht="16.149999999999999" customHeight="1">
      <c r="A100" s="738" t="s">
        <v>1295</v>
      </c>
      <c r="B100" s="738"/>
      <c r="C100" s="738"/>
      <c r="D100" s="743"/>
      <c r="E100" s="743"/>
      <c r="F100" s="743"/>
      <c r="G100" s="743"/>
      <c r="H100" s="743"/>
      <c r="I100" s="743"/>
      <c r="J100" s="743" t="s">
        <v>1191</v>
      </c>
      <c r="K100" s="743" t="s">
        <v>720</v>
      </c>
      <c r="L100" s="743"/>
      <c r="M100" s="743" t="s">
        <v>1192</v>
      </c>
      <c r="N100" s="743" t="s">
        <v>1193</v>
      </c>
      <c r="O100" s="743"/>
      <c r="P100" s="743"/>
      <c r="Q100" s="743"/>
      <c r="R100" s="743"/>
      <c r="S100" s="743"/>
      <c r="T100" s="743"/>
      <c r="U100" s="743"/>
      <c r="V100" s="172"/>
      <c r="W100" s="179"/>
      <c r="X100" s="180" t="str">
        <f>X3</f>
        <v>Date</v>
      </c>
      <c r="Y100" s="180" t="str">
        <f>Y3</f>
        <v>Hour</v>
      </c>
      <c r="Z100" s="180" t="s">
        <v>717</v>
      </c>
      <c r="AA100" s="266" t="str">
        <f>AA3</f>
        <v>Home</v>
      </c>
      <c r="AB100" s="265" t="s">
        <v>13</v>
      </c>
      <c r="AC100" s="180" t="str">
        <f>AC3</f>
        <v>Goal</v>
      </c>
      <c r="AD100" s="180" t="str">
        <f>AD3</f>
        <v>Goal</v>
      </c>
      <c r="AE100" s="265" t="s">
        <v>13</v>
      </c>
      <c r="AF100" s="267" t="str">
        <f>AF3</f>
        <v>Away</v>
      </c>
      <c r="AG100" s="416"/>
      <c r="AH100" s="217"/>
      <c r="AI100" s="171"/>
      <c r="AJ100" s="197" t="str">
        <f>Idiomas!D24</f>
        <v>Best third-placed</v>
      </c>
      <c r="AK100" s="198"/>
      <c r="AL100" s="198"/>
      <c r="AM100" s="198"/>
      <c r="AN100" s="198"/>
      <c r="AO100" s="198"/>
      <c r="AP100" s="198"/>
      <c r="AQ100" s="198"/>
      <c r="AR100" s="198"/>
      <c r="AS100" s="198"/>
      <c r="AT100" s="199"/>
      <c r="AU100" s="422"/>
      <c r="AV100" s="200" t="str">
        <f ca="1">IF(AU101&gt;0,$AV$3,"")</f>
        <v>IT'S A DRAW! Choose the order of the Nations to determine their rankings.</v>
      </c>
      <c r="AW100" s="19"/>
      <c r="AX100" s="247"/>
      <c r="AY100" s="242"/>
      <c r="AZ100" s="243"/>
      <c r="BA100" s="175"/>
      <c r="BB100" s="737"/>
      <c r="BC100" s="743"/>
      <c r="BD100" s="743"/>
      <c r="BE100" s="743"/>
      <c r="BF100" s="743"/>
      <c r="BG100" s="743"/>
      <c r="BH100" s="743"/>
      <c r="BI100" s="743"/>
      <c r="BJ100" s="743"/>
      <c r="BK100" s="743"/>
      <c r="BL100" s="743"/>
      <c r="BM100" s="737"/>
      <c r="BN100" s="737"/>
      <c r="BO100" s="737"/>
      <c r="BP100" s="737"/>
      <c r="BQ100" s="737"/>
      <c r="BR100" s="737"/>
      <c r="BS100" s="737"/>
      <c r="BT100" s="737"/>
      <c r="BU100" s="737"/>
      <c r="BV100" s="737"/>
      <c r="BW100" s="737"/>
      <c r="BX100" s="737"/>
      <c r="BY100" s="737"/>
      <c r="BZ100" s="737"/>
      <c r="CA100" s="737"/>
      <c r="CB100" s="737"/>
      <c r="CC100" s="737"/>
      <c r="CD100" s="737"/>
      <c r="CE100" s="737"/>
      <c r="CF100" s="737"/>
      <c r="CG100" s="737"/>
      <c r="CH100" s="737"/>
      <c r="CI100" s="737"/>
      <c r="CJ100" s="737"/>
      <c r="CK100" s="737"/>
      <c r="CL100" s="737"/>
      <c r="CM100" s="737"/>
      <c r="CN100" s="737"/>
      <c r="CO100" s="737"/>
      <c r="CP100" s="737"/>
      <c r="CQ100" s="737"/>
      <c r="CR100" s="737"/>
      <c r="CS100" s="737"/>
      <c r="CT100" s="737"/>
      <c r="CU100" s="737"/>
      <c r="CV100" s="737"/>
      <c r="CW100" s="737"/>
      <c r="CX100" s="737"/>
      <c r="CY100" s="737"/>
      <c r="CZ100" s="737"/>
      <c r="DA100" s="737"/>
      <c r="DB100" s="737"/>
      <c r="DC100" s="737"/>
      <c r="DD100" s="737"/>
      <c r="DE100" s="737"/>
      <c r="DF100" s="737"/>
      <c r="DG100" s="737"/>
      <c r="DH100" s="737"/>
      <c r="DI100" s="737"/>
      <c r="DJ100" s="737"/>
      <c r="DK100" s="737"/>
      <c r="DL100" s="737"/>
      <c r="DM100" s="737"/>
      <c r="DN100" s="737"/>
      <c r="DO100" s="737"/>
      <c r="DP100" s="737"/>
      <c r="DQ100" s="737"/>
      <c r="DR100" s="737"/>
      <c r="DS100" s="737"/>
      <c r="DT100" s="743" t="str">
        <f t="shared" si="242"/>
        <v>Home-Away</v>
      </c>
      <c r="DU100" s="737"/>
      <c r="DV100" s="737"/>
      <c r="DW100" s="11"/>
    </row>
    <row r="101" spans="1:127" ht="16.149999999999999" customHeight="1" thickBot="1">
      <c r="A101" s="737" t="s">
        <v>646</v>
      </c>
      <c r="B101" s="737" t="s">
        <v>649</v>
      </c>
      <c r="C101" s="738"/>
      <c r="D101" s="746" t="str">
        <f t="shared" ref="D101:D116" ca="1" si="302">IF(AND(OR(AC101="",AD101="")),"W"&amp;AH101,IF(AC101&gt;AD101,AA101,IF(AC101&lt;AD101,AF101,IF(AND(AC101=AD101,AB101=AE101),"W"&amp;AH101,IF(AND(AC101=AD101,OR(AB101="",AE101="")),"W"&amp;AH101,IF(AND(AC101=AD101,AB101&gt;AE101),AA101,AF101))))))</f>
        <v>Canada</v>
      </c>
      <c r="E101" s="738" t="s">
        <v>0</v>
      </c>
      <c r="F101" s="738" t="s">
        <v>1</v>
      </c>
      <c r="G101" s="747" t="s">
        <v>0</v>
      </c>
      <c r="H101" s="748">
        <f t="shared" ref="H101:H112" ca="1" si="303">+SUMIF($BC$6:$BC$53,G101,$BF$6:$BF$53)</f>
        <v>12</v>
      </c>
      <c r="I101" s="743"/>
      <c r="J101" s="737">
        <v>73</v>
      </c>
      <c r="K101" s="737">
        <v>46201.75</v>
      </c>
      <c r="L101" s="737" t="s">
        <v>685</v>
      </c>
      <c r="M101" s="737" t="str">
        <f t="shared" ref="M101:M116" ca="1" si="304">+IF(OR(INDEX($H$101:$H$113,MATCH(E101,$G$101:$G$113,0))=12,$AJ$99=144),INDEX($AL$6:$AL$97,MATCH(A101,$AI$6:$AI$97,0)),A101)</f>
        <v>South Africa</v>
      </c>
      <c r="N101" s="737" t="str">
        <f ca="1">+IFERROR(IF(OR(AND(LEFT(B101,1)="2",INDEX($H$101:$H$113,MATCH(F101,$G$101:$G$113,0))=12),AND(LEFT(B101,1)="2",$AJ$99=144)),INDEX($AL$6:$AL$97,MATCH(B101,$AI$6:$AI$97,0)),IF(OR(AND(LEFT(B101,1)="3",INDEX($H$101:$H$113,MATCH(F101,$G$101:$G$113,0))=144),AND(LEFT(B101,1)="3",$AJ$99=144)),INDEX(Combinaciones3!$C$2:$J$496,MATCH(1,Combinaciones3!$B$2:$B$496,0),MATCH(WORLDCUP!E101,Combinaciones3!$C$1:$J$1,0)),B101)),B101)</f>
        <v>Canada</v>
      </c>
      <c r="O101" s="737"/>
      <c r="P101" s="737"/>
      <c r="Q101" s="737"/>
      <c r="R101" s="737"/>
      <c r="S101" s="737"/>
      <c r="T101" s="737"/>
      <c r="U101" s="737"/>
      <c r="V101" s="172"/>
      <c r="W101" s="835" t="s">
        <v>483</v>
      </c>
      <c r="X101" s="189">
        <f ca="1">Horarios!C101</f>
        <v>46201.875</v>
      </c>
      <c r="Y101" s="190">
        <f ca="1">Horarios!C101</f>
        <v>46201.875</v>
      </c>
      <c r="Z101" s="276">
        <f>AH101</f>
        <v>73</v>
      </c>
      <c r="AA101" s="277" t="str">
        <f t="shared" ref="AA101:AA116" ca="1" si="305">+INDEX($M$101:$M$147,MATCH(AH101,$J$101:$J$147,0))</f>
        <v>South Africa</v>
      </c>
      <c r="AB101" s="278"/>
      <c r="AC101" s="194">
        <v>0</v>
      </c>
      <c r="AD101" s="194">
        <v>1</v>
      </c>
      <c r="AE101" s="279"/>
      <c r="AF101" s="280" t="str">
        <f t="shared" ref="AF101:AF116" ca="1" si="306">+INDEX($N$101:$N$147,MATCH(AH101,$J$101:$J$147,0))</f>
        <v>Canada</v>
      </c>
      <c r="AG101" s="417">
        <f t="shared" ref="AG101:AG116" ca="1" si="307">IF(D101="W"&amp;AH101,0,1)</f>
        <v>1</v>
      </c>
      <c r="AH101" s="196">
        <v>73</v>
      </c>
      <c r="AI101" s="171"/>
      <c r="AJ101" s="204" t="str">
        <f>AJ5</f>
        <v>Pos</v>
      </c>
      <c r="AK101" s="205"/>
      <c r="AL101" s="206" t="str">
        <f t="shared" ref="AL101:AT101" si="308">AL5</f>
        <v>Nation</v>
      </c>
      <c r="AM101" s="205" t="str">
        <f t="shared" si="308"/>
        <v>Pts</v>
      </c>
      <c r="AN101" s="205" t="str">
        <f t="shared" si="308"/>
        <v>P</v>
      </c>
      <c r="AO101" s="205" t="str">
        <f t="shared" si="308"/>
        <v>W</v>
      </c>
      <c r="AP101" s="205" t="str">
        <f t="shared" si="308"/>
        <v>D</v>
      </c>
      <c r="AQ101" s="205" t="str">
        <f t="shared" si="308"/>
        <v>L</v>
      </c>
      <c r="AR101" s="205" t="str">
        <f t="shared" si="308"/>
        <v>F</v>
      </c>
      <c r="AS101" s="205" t="str">
        <f t="shared" si="308"/>
        <v>A</v>
      </c>
      <c r="AT101" s="207" t="str">
        <f t="shared" si="308"/>
        <v>GD</v>
      </c>
      <c r="AU101" s="421">
        <f ca="1">COUNTIF(AU102:AU113,"&gt;1")</f>
        <v>2</v>
      </c>
      <c r="AV101" s="22"/>
      <c r="AW101" s="429"/>
      <c r="AX101" s="274"/>
      <c r="AY101" s="423" t="str">
        <f ca="1">+IF(OR($H$113&gt;=48,$AJ$99=144),Idiomas!D70,"")</f>
        <v xml:space="preserve">Best 3-placed groups: </v>
      </c>
      <c r="AZ101" s="424" t="str">
        <f ca="1">+IF(OR($H$113&gt;=48,$AJ$99=144),BI112,"")</f>
        <v>BDEFIJKL</v>
      </c>
      <c r="BA101" s="175"/>
      <c r="BB101" s="743"/>
      <c r="BC101" s="743"/>
      <c r="BD101" s="743"/>
      <c r="BE101" s="743"/>
      <c r="BF101" s="743"/>
      <c r="BG101" s="743"/>
      <c r="BH101" s="743"/>
      <c r="BI101" s="743"/>
      <c r="BJ101" s="743"/>
      <c r="BK101" s="743"/>
      <c r="BL101" s="743"/>
      <c r="BM101" s="743"/>
      <c r="BN101" s="743"/>
      <c r="BO101" s="743"/>
      <c r="BP101" s="743"/>
      <c r="BQ101" s="743"/>
      <c r="BR101" s="743"/>
      <c r="BS101" s="743"/>
      <c r="BT101" s="743"/>
      <c r="BU101" s="743"/>
      <c r="BV101" s="743"/>
      <c r="BW101" s="743"/>
      <c r="BX101" s="743"/>
      <c r="BY101" s="743"/>
      <c r="BZ101" s="743"/>
      <c r="CA101" s="743"/>
      <c r="CB101" s="743"/>
      <c r="CC101" s="743"/>
      <c r="CD101" s="743"/>
      <c r="CE101" s="743"/>
      <c r="CF101" s="743"/>
      <c r="CG101" s="743"/>
      <c r="CH101" s="743"/>
      <c r="CI101" s="743"/>
      <c r="CJ101" s="743"/>
      <c r="CK101" s="743"/>
      <c r="CL101" s="743"/>
      <c r="CM101" s="743"/>
      <c r="CN101" s="743"/>
      <c r="CO101" s="743"/>
      <c r="CP101" s="743"/>
      <c r="CQ101" s="743"/>
      <c r="CR101" s="743"/>
      <c r="CS101" s="743"/>
      <c r="CT101" s="743"/>
      <c r="CU101" s="743"/>
      <c r="CV101" s="743"/>
      <c r="CW101" s="743"/>
      <c r="CX101" s="743"/>
      <c r="CY101" s="743"/>
      <c r="CZ101" s="743"/>
      <c r="DA101" s="743"/>
      <c r="DB101" s="743"/>
      <c r="DC101" s="743"/>
      <c r="DD101" s="743"/>
      <c r="DE101" s="743"/>
      <c r="DF101" s="743"/>
      <c r="DG101" s="743"/>
      <c r="DH101" s="743"/>
      <c r="DI101" s="743"/>
      <c r="DJ101" s="743"/>
      <c r="DK101" s="743"/>
      <c r="DL101" s="743"/>
      <c r="DM101" s="743"/>
      <c r="DN101" s="743"/>
      <c r="DO101" s="743"/>
      <c r="DP101" s="743"/>
      <c r="DQ101" s="743"/>
      <c r="DR101" s="743"/>
      <c r="DS101" s="743"/>
      <c r="DT101" s="743" t="str">
        <f t="shared" ca="1" si="242"/>
        <v>South Africa-Canada</v>
      </c>
      <c r="DU101" s="743"/>
      <c r="DV101" s="743"/>
      <c r="DW101" s="8"/>
    </row>
    <row r="102" spans="1:127" ht="16.149999999999999" customHeight="1">
      <c r="A102" s="737" t="s">
        <v>661</v>
      </c>
      <c r="B102" s="737" t="s">
        <v>722</v>
      </c>
      <c r="C102" s="738"/>
      <c r="D102" s="746" t="str">
        <f t="shared" ca="1" si="302"/>
        <v>Brazil</v>
      </c>
      <c r="E102" s="738" t="s">
        <v>3</v>
      </c>
      <c r="F102" s="738" t="s">
        <v>721</v>
      </c>
      <c r="G102" s="747" t="s">
        <v>1</v>
      </c>
      <c r="H102" s="748">
        <f t="shared" ca="1" si="303"/>
        <v>12</v>
      </c>
      <c r="I102" s="743"/>
      <c r="J102" s="737">
        <v>74</v>
      </c>
      <c r="K102" s="737">
        <v>46202.75</v>
      </c>
      <c r="L102" s="737" t="s">
        <v>686</v>
      </c>
      <c r="M102" s="737" t="str">
        <f t="shared" ca="1" si="304"/>
        <v>Germany</v>
      </c>
      <c r="N102" s="737" t="str">
        <f ca="1">+IFERROR(IF(OR(AND(LEFT(B102,1)="2",INDEX($H$101:$H$113,MATCH(F102,$G$101:$G$113,0))=12),AND(LEFT(B102,1)="2",$AJ$99=144)),INDEX($AL$6:$AL$97,MATCH(B102,$AI$6:$AI$97,0)),IF(OR(AND(LEFT(B102,1)="3",INDEX($H$101:$H$113,MATCH(F102,$G$101:$G$113,0))=144),AND(LEFT(B102,1)="3",$AJ$99=144)),INDEX(Combinaciones3!$C$2:$J$496,MATCH(1,Combinaciones3!$B$2:$B$496,0),MATCH(WORLDCUP!E102,Combinaciones3!$C$1:$J$1,0)),B102)),B102)</f>
        <v>Paraguay</v>
      </c>
      <c r="O102" s="737"/>
      <c r="P102" s="737"/>
      <c r="Q102" s="737"/>
      <c r="R102" s="737"/>
      <c r="S102" s="737"/>
      <c r="T102" s="737"/>
      <c r="U102" s="737"/>
      <c r="V102" s="172"/>
      <c r="W102" s="835"/>
      <c r="X102" s="189">
        <f ca="1">Horarios!C102</f>
        <v>46202.791666666664</v>
      </c>
      <c r="Y102" s="190">
        <f ca="1">Horarios!C102</f>
        <v>46202.791666666664</v>
      </c>
      <c r="Z102" s="276">
        <f t="shared" ref="Z102:Z116" si="309">AH102</f>
        <v>76</v>
      </c>
      <c r="AA102" s="277" t="str">
        <f t="shared" ca="1" si="305"/>
        <v>Brazil</v>
      </c>
      <c r="AB102" s="278"/>
      <c r="AC102" s="281">
        <v>2</v>
      </c>
      <c r="AD102" s="281">
        <v>1</v>
      </c>
      <c r="AE102" s="278"/>
      <c r="AF102" s="280" t="str">
        <f t="shared" ca="1" si="306"/>
        <v>Japan</v>
      </c>
      <c r="AG102" s="417">
        <f t="shared" ca="1" si="307"/>
        <v>1</v>
      </c>
      <c r="AH102" s="196">
        <v>76</v>
      </c>
      <c r="AI102" s="217">
        <v>1</v>
      </c>
      <c r="AJ102" s="282">
        <v>1</v>
      </c>
      <c r="AK102" s="485" t="e" cm="1" vm="43">
        <f t="array" aca="1" ref="AK102" ca="1">Ver_flag_visit</f>
        <v>#VALUE!</v>
      </c>
      <c r="AL102" s="283" t="str">
        <f t="shared" ref="AL102:AL113" ca="1" si="310">+IF($H$113&gt;=48,INDEX($BD$58:$BD$69,MATCH(AI102,$BN$58:$BN$69,0)),BB58)</f>
        <v>DR Congo</v>
      </c>
      <c r="AM102" s="284">
        <f t="shared" ref="AM102:AT102" ca="1" si="311">+IF($H$113&gt;=48,INDEX($BE$58:$BN$69,MATCH($AL102,$BD$58:$BD$69,0),MATCH(AM$5,$BE$57:$BN$57,0)),$BB58)</f>
        <v>4</v>
      </c>
      <c r="AN102" s="285">
        <f t="shared" ca="1" si="311"/>
        <v>3</v>
      </c>
      <c r="AO102" s="285">
        <f t="shared" ca="1" si="311"/>
        <v>1</v>
      </c>
      <c r="AP102" s="285">
        <f t="shared" ca="1" si="311"/>
        <v>1</v>
      </c>
      <c r="AQ102" s="286">
        <f t="shared" ca="1" si="311"/>
        <v>1</v>
      </c>
      <c r="AR102" s="286">
        <f t="shared" ca="1" si="311"/>
        <v>4</v>
      </c>
      <c r="AS102" s="286">
        <f t="shared" ca="1" si="311"/>
        <v>3</v>
      </c>
      <c r="AT102" s="287">
        <f t="shared" ca="1" si="311"/>
        <v>1</v>
      </c>
      <c r="AU102" s="420">
        <f t="shared" ref="AU102:AU113" ca="1" si="312">IF($H$113=144,INDEX($DL$58:$DL$69,MATCH(AI102,$DP$58:$DP$69,0)),"")</f>
        <v>1</v>
      </c>
      <c r="AV102" s="217" t="str">
        <f t="shared" ref="AV102:AV113" ca="1" si="313">INDEX($BD$58:$BD$69,MATCH(AI102,$BM$58:$BM$69,0))</f>
        <v>DR Congo</v>
      </c>
      <c r="AW102" s="427"/>
      <c r="AX102" s="288"/>
      <c r="AY102" s="242"/>
      <c r="AZ102" s="243"/>
      <c r="BA102" s="175"/>
      <c r="BB102" s="737"/>
      <c r="BC102" s="743"/>
      <c r="BD102" s="737"/>
      <c r="BE102" s="759" t="s">
        <v>444</v>
      </c>
      <c r="BF102" s="737" t="s">
        <v>719</v>
      </c>
      <c r="BG102" s="737" t="s">
        <v>764</v>
      </c>
      <c r="BH102" s="737"/>
      <c r="BI102" s="737" t="s">
        <v>85</v>
      </c>
      <c r="BJ102" s="737"/>
      <c r="BK102" s="743"/>
      <c r="BL102" s="743"/>
      <c r="BM102" s="737"/>
      <c r="BN102" s="737"/>
      <c r="BO102" s="737"/>
      <c r="BP102" s="737"/>
      <c r="BQ102" s="737"/>
      <c r="BR102" s="737"/>
      <c r="BS102" s="737"/>
      <c r="BT102" s="737"/>
      <c r="BU102" s="737"/>
      <c r="BV102" s="737"/>
      <c r="BW102" s="737"/>
      <c r="BX102" s="737"/>
      <c r="BY102" s="737"/>
      <c r="BZ102" s="737"/>
      <c r="CA102" s="737"/>
      <c r="CB102" s="737"/>
      <c r="CC102" s="737"/>
      <c r="CD102" s="737"/>
      <c r="CE102" s="737"/>
      <c r="CF102" s="737"/>
      <c r="CG102" s="737"/>
      <c r="CH102" s="737"/>
      <c r="CI102" s="737"/>
      <c r="CJ102" s="737"/>
      <c r="CK102" s="737"/>
      <c r="CL102" s="737"/>
      <c r="CM102" s="737"/>
      <c r="CN102" s="737"/>
      <c r="CO102" s="737"/>
      <c r="CP102" s="737"/>
      <c r="CQ102" s="737"/>
      <c r="CR102" s="737"/>
      <c r="CS102" s="737"/>
      <c r="CT102" s="737"/>
      <c r="CU102" s="737"/>
      <c r="CV102" s="737"/>
      <c r="CW102" s="737"/>
      <c r="CX102" s="737"/>
      <c r="CY102" s="737"/>
      <c r="CZ102" s="737"/>
      <c r="DA102" s="737"/>
      <c r="DB102" s="737"/>
      <c r="DC102" s="737"/>
      <c r="DD102" s="737"/>
      <c r="DE102" s="737"/>
      <c r="DF102" s="737"/>
      <c r="DG102" s="737"/>
      <c r="DH102" s="737"/>
      <c r="DI102" s="737"/>
      <c r="DJ102" s="737"/>
      <c r="DK102" s="737"/>
      <c r="DL102" s="737"/>
      <c r="DM102" s="737"/>
      <c r="DN102" s="737"/>
      <c r="DO102" s="737"/>
      <c r="DP102" s="737"/>
      <c r="DQ102" s="737"/>
      <c r="DR102" s="737"/>
      <c r="DS102" s="737"/>
      <c r="DT102" s="743" t="str">
        <f t="shared" ca="1" si="242"/>
        <v>Brazil-Japan</v>
      </c>
      <c r="DU102" s="737"/>
      <c r="DV102" s="737"/>
      <c r="DW102" s="11"/>
    </row>
    <row r="103" spans="1:127" ht="16.149999999999999" customHeight="1">
      <c r="A103" s="737" t="s">
        <v>664</v>
      </c>
      <c r="B103" s="737" t="s">
        <v>656</v>
      </c>
      <c r="C103" s="738"/>
      <c r="D103" s="746" t="str">
        <f t="shared" ca="1" si="302"/>
        <v>Paraguay</v>
      </c>
      <c r="E103" s="738" t="s">
        <v>4</v>
      </c>
      <c r="F103" s="738" t="s">
        <v>2</v>
      </c>
      <c r="G103" s="747" t="s">
        <v>2</v>
      </c>
      <c r="H103" s="748">
        <f t="shared" ca="1" si="303"/>
        <v>12</v>
      </c>
      <c r="I103" s="743"/>
      <c r="J103" s="737">
        <v>75</v>
      </c>
      <c r="K103" s="737">
        <v>46202.75</v>
      </c>
      <c r="L103" s="737" t="s">
        <v>687</v>
      </c>
      <c r="M103" s="737" t="str">
        <f t="shared" ca="1" si="304"/>
        <v>Netherlands</v>
      </c>
      <c r="N103" s="737" t="str">
        <f ca="1">+IFERROR(IF(OR(AND(LEFT(B103,1)="2",INDEX($H$101:$H$113,MATCH(F103,$G$101:$G$113,0))=12),AND(LEFT(B103,1)="2",$AJ$99=144)),INDEX($AL$6:$AL$97,MATCH(B103,$AI$6:$AI$97,0)),IF(OR(AND(LEFT(B103,1)="3",INDEX($H$101:$H$113,MATCH(F103,$G$101:$G$113,0))=144),AND(LEFT(B103,1)="3",$AJ$99=144)),INDEX(Combinaciones3!$C$2:$J$496,MATCH(1,Combinaciones3!$B$2:$B$496,0),MATCH(WORLDCUP!E103,Combinaciones3!$C$1:$J$1,0)),B103)),B103)</f>
        <v>Morocco</v>
      </c>
      <c r="O103" s="737"/>
      <c r="P103" s="737"/>
      <c r="Q103" s="737"/>
      <c r="R103" s="737"/>
      <c r="S103" s="737"/>
      <c r="T103" s="737"/>
      <c r="U103" s="737"/>
      <c r="V103" s="172"/>
      <c r="W103" s="835"/>
      <c r="X103" s="189">
        <f ca="1">Horarios!C103</f>
        <v>46202.9375</v>
      </c>
      <c r="Y103" s="190">
        <f ca="1">Horarios!C103</f>
        <v>46202.9375</v>
      </c>
      <c r="Z103" s="276">
        <f t="shared" si="309"/>
        <v>74</v>
      </c>
      <c r="AA103" s="277" t="str">
        <f t="shared" ca="1" si="305"/>
        <v>Germany</v>
      </c>
      <c r="AB103" s="278">
        <v>3</v>
      </c>
      <c r="AC103" s="281">
        <v>1</v>
      </c>
      <c r="AD103" s="281">
        <v>1</v>
      </c>
      <c r="AE103" s="278">
        <v>4</v>
      </c>
      <c r="AF103" s="280" t="str">
        <f t="shared" ca="1" si="306"/>
        <v>Paraguay</v>
      </c>
      <c r="AG103" s="417">
        <f t="shared" ca="1" si="307"/>
        <v>1</v>
      </c>
      <c r="AH103" s="196">
        <v>74</v>
      </c>
      <c r="AI103" s="217">
        <v>2</v>
      </c>
      <c r="AJ103" s="221">
        <v>2</v>
      </c>
      <c r="AK103" s="486" t="e" cm="1" vm="23">
        <f t="array" aca="1" ref="AK103" ca="1">Ver_flag_visit</f>
        <v>#VALUE!</v>
      </c>
      <c r="AL103" s="289" t="str">
        <f t="shared" ca="1" si="310"/>
        <v>Sweden</v>
      </c>
      <c r="AM103" s="290">
        <f t="shared" ref="AM103:AT103" ca="1" si="314">+IF($H$113&gt;=48,INDEX($BE$58:$BN$69,MATCH($AL103,$BD$58:$BD$69,0),MATCH(AM$5,$BE$57:$BN$57,0)),$BB59)</f>
        <v>4</v>
      </c>
      <c r="AN103" s="291">
        <f t="shared" ca="1" si="314"/>
        <v>3</v>
      </c>
      <c r="AO103" s="291">
        <f t="shared" ca="1" si="314"/>
        <v>1</v>
      </c>
      <c r="AP103" s="291">
        <f t="shared" ca="1" si="314"/>
        <v>1</v>
      </c>
      <c r="AQ103" s="291">
        <f t="shared" ca="1" si="314"/>
        <v>1</v>
      </c>
      <c r="AR103" s="291">
        <f t="shared" ca="1" si="314"/>
        <v>7</v>
      </c>
      <c r="AS103" s="291">
        <f t="shared" ca="1" si="314"/>
        <v>7</v>
      </c>
      <c r="AT103" s="292">
        <f t="shared" ca="1" si="314"/>
        <v>0</v>
      </c>
      <c r="AU103" s="420">
        <f t="shared" ca="1" si="312"/>
        <v>1</v>
      </c>
      <c r="AV103" s="217" t="str">
        <f t="shared" ca="1" si="313"/>
        <v>Sweden</v>
      </c>
      <c r="AW103" s="427"/>
      <c r="AX103" s="288"/>
      <c r="AY103" s="293"/>
      <c r="AZ103" s="294" t="str">
        <f t="shared" ref="AZ103:AZ110" ca="1" si="315">+IF(OR($H$113&gt;=48,$AJ$99=144),BF117&amp;" - "&amp;BG117,"")</f>
        <v>1A - 3E</v>
      </c>
      <c r="BA103" s="175"/>
      <c r="BB103" s="737"/>
      <c r="BC103" s="743"/>
      <c r="BD103" s="737"/>
      <c r="BE103" s="737"/>
      <c r="BF103" s="737" t="str">
        <f t="shared" ref="BF103:BF110" ca="1" si="316">IFERROR(INDEX($BC$6:$BC$53,MATCH(AL102,$BD$6:$BD$53,0)),"")</f>
        <v>K</v>
      </c>
      <c r="BG103" s="737">
        <f t="shared" ref="BG103:BG110" ca="1" si="317">COUNTIF($BF$103:$BF$110,"&lt;="&amp;BF103)</f>
        <v>7</v>
      </c>
      <c r="BH103" s="737"/>
      <c r="BI103" s="743">
        <v>1</v>
      </c>
      <c r="BJ103" s="737" t="str">
        <f t="shared" ref="BJ103:BJ110" ca="1" si="318">IFERROR(INDEX($BF$103:$BF$110,MATCH(BI103,$BG$103:$BG$110,0)),"Grupo")</f>
        <v>B</v>
      </c>
      <c r="BK103" s="743"/>
      <c r="BL103" s="743"/>
      <c r="BM103" s="737"/>
      <c r="BN103" s="737"/>
      <c r="BO103" s="737"/>
      <c r="BP103" s="737"/>
      <c r="BQ103" s="737"/>
      <c r="BR103" s="737"/>
      <c r="BS103" s="737"/>
      <c r="BT103" s="737"/>
      <c r="BU103" s="737"/>
      <c r="BV103" s="737"/>
      <c r="BW103" s="737"/>
      <c r="BX103" s="737"/>
      <c r="BY103" s="737"/>
      <c r="BZ103" s="737"/>
      <c r="CA103" s="737"/>
      <c r="CB103" s="737"/>
      <c r="CC103" s="737"/>
      <c r="CD103" s="737"/>
      <c r="CE103" s="737"/>
      <c r="CF103" s="737"/>
      <c r="CG103" s="737"/>
      <c r="CH103" s="737"/>
      <c r="CI103" s="737"/>
      <c r="CJ103" s="737"/>
      <c r="CK103" s="737"/>
      <c r="CL103" s="737"/>
      <c r="CM103" s="737"/>
      <c r="CN103" s="737"/>
      <c r="CO103" s="737"/>
      <c r="CP103" s="737"/>
      <c r="CQ103" s="737"/>
      <c r="CR103" s="737"/>
      <c r="CS103" s="737"/>
      <c r="CT103" s="737"/>
      <c r="CU103" s="737"/>
      <c r="CV103" s="737"/>
      <c r="CW103" s="737"/>
      <c r="CX103" s="737"/>
      <c r="CY103" s="737"/>
      <c r="CZ103" s="737"/>
      <c r="DA103" s="737"/>
      <c r="DB103" s="737"/>
      <c r="DC103" s="737"/>
      <c r="DD103" s="737"/>
      <c r="DE103" s="737"/>
      <c r="DF103" s="737"/>
      <c r="DG103" s="737"/>
      <c r="DH103" s="737"/>
      <c r="DI103" s="737"/>
      <c r="DJ103" s="737"/>
      <c r="DK103" s="737"/>
      <c r="DL103" s="737"/>
      <c r="DM103" s="737"/>
      <c r="DN103" s="737"/>
      <c r="DO103" s="737"/>
      <c r="DP103" s="737"/>
      <c r="DQ103" s="737"/>
      <c r="DR103" s="737"/>
      <c r="DS103" s="737"/>
      <c r="DT103" s="743" t="str">
        <f t="shared" ca="1" si="242"/>
        <v>Germany-Paraguay</v>
      </c>
      <c r="DU103" s="737"/>
      <c r="DV103" s="737"/>
      <c r="DW103" s="11"/>
    </row>
    <row r="104" spans="1:127" ht="16.149999999999999" customHeight="1">
      <c r="A104" s="737" t="s">
        <v>651</v>
      </c>
      <c r="B104" s="737" t="s">
        <v>665</v>
      </c>
      <c r="C104" s="738"/>
      <c r="D104" s="746" t="str">
        <f t="shared" ca="1" si="302"/>
        <v>Morocco</v>
      </c>
      <c r="E104" s="738" t="s">
        <v>2</v>
      </c>
      <c r="F104" s="738" t="s">
        <v>4</v>
      </c>
      <c r="G104" s="747" t="s">
        <v>73</v>
      </c>
      <c r="H104" s="748">
        <f t="shared" ca="1" si="303"/>
        <v>12</v>
      </c>
      <c r="I104" s="743"/>
      <c r="J104" s="737">
        <v>76</v>
      </c>
      <c r="K104" s="737">
        <v>46202.75</v>
      </c>
      <c r="L104" s="737" t="s">
        <v>688</v>
      </c>
      <c r="M104" s="737" t="str">
        <f t="shared" ca="1" si="304"/>
        <v>Brazil</v>
      </c>
      <c r="N104" s="737" t="str">
        <f ca="1">+IFERROR(IF(OR(AND(LEFT(B104,1)="2",INDEX($H$101:$H$113,MATCH(F104,$G$101:$G$113,0))=12),AND(LEFT(B104,1)="2",$AJ$99=144)),INDEX($AL$6:$AL$97,MATCH(B104,$AI$6:$AI$97,0)),IF(OR(AND(LEFT(B104,1)="3",INDEX($H$101:$H$113,MATCH(F104,$G$101:$G$113,0))=144),AND(LEFT(B104,1)="3",$AJ$99=144)),INDEX(Combinaciones3!$C$2:$J$496,MATCH(1,Combinaciones3!$B$2:$B$496,0),MATCH(WORLDCUP!E104,Combinaciones3!$C$1:$J$1,0)),B104)),B104)</f>
        <v>Japan</v>
      </c>
      <c r="O104" s="737"/>
      <c r="P104" s="737"/>
      <c r="Q104" s="737"/>
      <c r="R104" s="737"/>
      <c r="S104" s="737"/>
      <c r="T104" s="737"/>
      <c r="U104" s="737"/>
      <c r="V104" s="172"/>
      <c r="W104" s="835"/>
      <c r="X104" s="189">
        <f ca="1">Horarios!C104</f>
        <v>46203.125</v>
      </c>
      <c r="Y104" s="190">
        <f ca="1">Horarios!C104</f>
        <v>46203.125</v>
      </c>
      <c r="Z104" s="276">
        <f t="shared" si="309"/>
        <v>75</v>
      </c>
      <c r="AA104" s="277" t="str">
        <f t="shared" ca="1" si="305"/>
        <v>Netherlands</v>
      </c>
      <c r="AB104" s="278">
        <v>2</v>
      </c>
      <c r="AC104" s="281">
        <v>1</v>
      </c>
      <c r="AD104" s="281">
        <v>1</v>
      </c>
      <c r="AE104" s="278">
        <v>3</v>
      </c>
      <c r="AF104" s="280" t="str">
        <f t="shared" ca="1" si="306"/>
        <v>Morocco</v>
      </c>
      <c r="AG104" s="417">
        <f t="shared" ca="1" si="307"/>
        <v>1</v>
      </c>
      <c r="AH104" s="196">
        <v>75</v>
      </c>
      <c r="AI104" s="217">
        <v>3</v>
      </c>
      <c r="AJ104" s="221">
        <v>3</v>
      </c>
      <c r="AK104" s="486" t="e" cm="1" vm="48">
        <f t="array" aca="1" ref="AK104" ca="1">Ver_flag_visit</f>
        <v>#VALUE!</v>
      </c>
      <c r="AL104" s="289" t="str">
        <f t="shared" ca="1" si="310"/>
        <v>Ghana</v>
      </c>
      <c r="AM104" s="290">
        <f t="shared" ref="AM104:AT104" ca="1" si="319">+IF($H$113&gt;=48,INDEX($BE$58:$BN$69,MATCH($AL104,$BD$58:$BD$69,0),MATCH(AM$5,$BE$57:$BN$57,0)),$BB60)</f>
        <v>4</v>
      </c>
      <c r="AN104" s="291">
        <f t="shared" ca="1" si="319"/>
        <v>3</v>
      </c>
      <c r="AO104" s="291">
        <f t="shared" ca="1" si="319"/>
        <v>1</v>
      </c>
      <c r="AP104" s="291">
        <f t="shared" ca="1" si="319"/>
        <v>1</v>
      </c>
      <c r="AQ104" s="291">
        <f t="shared" ca="1" si="319"/>
        <v>1</v>
      </c>
      <c r="AR104" s="291">
        <f t="shared" ca="1" si="319"/>
        <v>2</v>
      </c>
      <c r="AS104" s="291">
        <f t="shared" ca="1" si="319"/>
        <v>2</v>
      </c>
      <c r="AT104" s="292">
        <f t="shared" ca="1" si="319"/>
        <v>0</v>
      </c>
      <c r="AU104" s="420">
        <f t="shared" ca="1" si="312"/>
        <v>2</v>
      </c>
      <c r="AV104" s="217" t="str">
        <f t="shared" ca="1" si="313"/>
        <v>Ecuador</v>
      </c>
      <c r="AW104" s="427">
        <v>4</v>
      </c>
      <c r="AX104" s="288"/>
      <c r="AY104" s="293"/>
      <c r="AZ104" s="294" t="str">
        <f t="shared" ca="1" si="315"/>
        <v>1B - 3J</v>
      </c>
      <c r="BA104" s="175"/>
      <c r="BB104" s="737"/>
      <c r="BC104" s="743"/>
      <c r="BD104" s="737"/>
      <c r="BE104" s="737"/>
      <c r="BF104" s="737" t="str">
        <f t="shared" ca="1" si="316"/>
        <v>F</v>
      </c>
      <c r="BG104" s="737">
        <f t="shared" ca="1" si="317"/>
        <v>4</v>
      </c>
      <c r="BH104" s="737"/>
      <c r="BI104" s="743">
        <v>2</v>
      </c>
      <c r="BJ104" s="737" t="str">
        <f t="shared" ca="1" si="318"/>
        <v>D</v>
      </c>
      <c r="BK104" s="743"/>
      <c r="BL104" s="743"/>
      <c r="BM104" s="737"/>
      <c r="BN104" s="737"/>
      <c r="BO104" s="737"/>
      <c r="BP104" s="737"/>
      <c r="BQ104" s="737"/>
      <c r="BR104" s="737"/>
      <c r="BS104" s="737"/>
      <c r="BT104" s="737"/>
      <c r="BU104" s="737"/>
      <c r="BV104" s="737"/>
      <c r="BW104" s="737"/>
      <c r="BX104" s="737"/>
      <c r="BY104" s="737"/>
      <c r="BZ104" s="737"/>
      <c r="CA104" s="737"/>
      <c r="CB104" s="737"/>
      <c r="CC104" s="737"/>
      <c r="CD104" s="737"/>
      <c r="CE104" s="737"/>
      <c r="CF104" s="737"/>
      <c r="CG104" s="737"/>
      <c r="CH104" s="737"/>
      <c r="CI104" s="737"/>
      <c r="CJ104" s="737"/>
      <c r="CK104" s="737"/>
      <c r="CL104" s="737"/>
      <c r="CM104" s="737"/>
      <c r="CN104" s="737"/>
      <c r="CO104" s="737"/>
      <c r="CP104" s="737"/>
      <c r="CQ104" s="737"/>
      <c r="CR104" s="737"/>
      <c r="CS104" s="737"/>
      <c r="CT104" s="737"/>
      <c r="CU104" s="737"/>
      <c r="CV104" s="737"/>
      <c r="CW104" s="737"/>
      <c r="CX104" s="737"/>
      <c r="CY104" s="737"/>
      <c r="CZ104" s="737"/>
      <c r="DA104" s="737"/>
      <c r="DB104" s="737"/>
      <c r="DC104" s="737"/>
      <c r="DD104" s="737"/>
      <c r="DE104" s="737"/>
      <c r="DF104" s="737"/>
      <c r="DG104" s="737"/>
      <c r="DH104" s="737"/>
      <c r="DI104" s="737"/>
      <c r="DJ104" s="737"/>
      <c r="DK104" s="737"/>
      <c r="DL104" s="737"/>
      <c r="DM104" s="737"/>
      <c r="DN104" s="737"/>
      <c r="DO104" s="737"/>
      <c r="DP104" s="737"/>
      <c r="DQ104" s="737"/>
      <c r="DR104" s="737"/>
      <c r="DS104" s="737"/>
      <c r="DT104" s="743" t="str">
        <f t="shared" ca="1" si="242"/>
        <v>Netherlands-Morocco</v>
      </c>
      <c r="DU104" s="737"/>
      <c r="DV104" s="737"/>
      <c r="DW104" s="11"/>
    </row>
    <row r="105" spans="1:127" ht="16.149999999999999" customHeight="1">
      <c r="A105" s="737" t="s">
        <v>673</v>
      </c>
      <c r="B105" s="737" t="s">
        <v>723</v>
      </c>
      <c r="C105" s="738"/>
      <c r="D105" s="746" t="str">
        <f t="shared" ca="1" si="302"/>
        <v>Norway</v>
      </c>
      <c r="E105" s="738" t="s">
        <v>438</v>
      </c>
      <c r="F105" s="738" t="s">
        <v>721</v>
      </c>
      <c r="G105" s="747" t="s">
        <v>3</v>
      </c>
      <c r="H105" s="748">
        <f t="shared" ca="1" si="303"/>
        <v>12</v>
      </c>
      <c r="I105" s="743"/>
      <c r="J105" s="737">
        <v>77</v>
      </c>
      <c r="K105" s="737">
        <v>46203.75</v>
      </c>
      <c r="L105" s="737" t="s">
        <v>689</v>
      </c>
      <c r="M105" s="737" t="str">
        <f t="shared" ca="1" si="304"/>
        <v>France</v>
      </c>
      <c r="N105" s="737" t="str">
        <f ca="1">+IFERROR(IF(OR(AND(LEFT(B105,1)="2",INDEX($H$101:$H$113,MATCH(F105,$G$101:$G$113,0))=12),AND(LEFT(B105,1)="2",$AJ$99=144)),INDEX($AL$6:$AL$97,MATCH(B105,$AI$6:$AI$97,0)),IF(OR(AND(LEFT(B105,1)="3",INDEX($H$101:$H$113,MATCH(F105,$G$101:$G$113,0))=144),AND(LEFT(B105,1)="3",$AJ$99=144)),INDEX(Combinaciones3!$C$2:$J$496,MATCH(1,Combinaciones3!$B$2:$B$496,0),MATCH(WORLDCUP!E105,Combinaciones3!$C$1:$J$1,0)),B105)),B105)</f>
        <v>Sweden</v>
      </c>
      <c r="O105" s="737"/>
      <c r="P105" s="737"/>
      <c r="Q105" s="737"/>
      <c r="R105" s="737"/>
      <c r="S105" s="737"/>
      <c r="T105" s="737"/>
      <c r="U105" s="737"/>
      <c r="V105" s="172"/>
      <c r="W105" s="835"/>
      <c r="X105" s="189">
        <f ca="1">Horarios!C105</f>
        <v>46203.791666666664</v>
      </c>
      <c r="Y105" s="190">
        <f ca="1">Horarios!C105</f>
        <v>46203.791666666664</v>
      </c>
      <c r="Z105" s="276">
        <f t="shared" si="309"/>
        <v>78</v>
      </c>
      <c r="AA105" s="277" t="str">
        <f t="shared" ca="1" si="305"/>
        <v>Ivory Coast</v>
      </c>
      <c r="AB105" s="278"/>
      <c r="AC105" s="281">
        <v>1</v>
      </c>
      <c r="AD105" s="281">
        <v>2</v>
      </c>
      <c r="AE105" s="278"/>
      <c r="AF105" s="280" t="str">
        <f t="shared" ca="1" si="306"/>
        <v>Norway</v>
      </c>
      <c r="AG105" s="417">
        <f t="shared" ca="1" si="307"/>
        <v>1</v>
      </c>
      <c r="AH105" s="196">
        <v>78</v>
      </c>
      <c r="AI105" s="217">
        <v>4</v>
      </c>
      <c r="AJ105" s="221">
        <v>4</v>
      </c>
      <c r="AK105" s="486" t="e" cm="1" vm="20">
        <f t="array" aca="1" ref="AK105" ca="1">Ver_flag_visit</f>
        <v>#VALUE!</v>
      </c>
      <c r="AL105" s="289" t="str">
        <f t="shared" ca="1" si="310"/>
        <v>Ecuador</v>
      </c>
      <c r="AM105" s="290">
        <f t="shared" ref="AM105:AT105" ca="1" si="320">+IF($H$113&gt;=48,INDEX($BE$58:$BN$69,MATCH($AL105,$BD$58:$BD$69,0),MATCH(AM$5,$BE$57:$BN$57,0)),$BB61)</f>
        <v>4</v>
      </c>
      <c r="AN105" s="291">
        <f t="shared" ca="1" si="320"/>
        <v>3</v>
      </c>
      <c r="AO105" s="291">
        <f t="shared" ca="1" si="320"/>
        <v>1</v>
      </c>
      <c r="AP105" s="291">
        <f t="shared" ca="1" si="320"/>
        <v>1</v>
      </c>
      <c r="AQ105" s="291">
        <f t="shared" ca="1" si="320"/>
        <v>1</v>
      </c>
      <c r="AR105" s="291">
        <f t="shared" ca="1" si="320"/>
        <v>2</v>
      </c>
      <c r="AS105" s="291">
        <f t="shared" ca="1" si="320"/>
        <v>2</v>
      </c>
      <c r="AT105" s="292">
        <f t="shared" ca="1" si="320"/>
        <v>0</v>
      </c>
      <c r="AU105" s="420">
        <f t="shared" ca="1" si="312"/>
        <v>2</v>
      </c>
      <c r="AV105" s="217" t="str">
        <f t="shared" ca="1" si="313"/>
        <v>Ghana</v>
      </c>
      <c r="AW105" s="427">
        <v>3</v>
      </c>
      <c r="AX105" s="288"/>
      <c r="AY105" s="293"/>
      <c r="AZ105" s="294" t="str">
        <f t="shared" ca="1" si="315"/>
        <v>1D - 3B</v>
      </c>
      <c r="BA105" s="175"/>
      <c r="BB105" s="737"/>
      <c r="BC105" s="743"/>
      <c r="BD105" s="737"/>
      <c r="BE105" s="737"/>
      <c r="BF105" s="737" t="str">
        <f t="shared" ca="1" si="316"/>
        <v>L</v>
      </c>
      <c r="BG105" s="737">
        <f t="shared" ca="1" si="317"/>
        <v>8</v>
      </c>
      <c r="BH105" s="737"/>
      <c r="BI105" s="743">
        <v>3</v>
      </c>
      <c r="BJ105" s="737" t="str">
        <f t="shared" ca="1" si="318"/>
        <v>E</v>
      </c>
      <c r="BK105" s="743"/>
      <c r="BL105" s="743"/>
      <c r="BM105" s="737"/>
      <c r="BN105" s="737"/>
      <c r="BO105" s="737"/>
      <c r="BP105" s="737"/>
      <c r="BQ105" s="737"/>
      <c r="BR105" s="737"/>
      <c r="BS105" s="737"/>
      <c r="BT105" s="737"/>
      <c r="BU105" s="737"/>
      <c r="BV105" s="737"/>
      <c r="BW105" s="737"/>
      <c r="BX105" s="737"/>
      <c r="BY105" s="737"/>
      <c r="BZ105" s="737"/>
      <c r="CA105" s="737"/>
      <c r="CB105" s="737"/>
      <c r="CC105" s="737"/>
      <c r="CD105" s="737"/>
      <c r="CE105" s="737"/>
      <c r="CF105" s="737"/>
      <c r="CG105" s="737"/>
      <c r="CH105" s="737"/>
      <c r="CI105" s="737"/>
      <c r="CJ105" s="737"/>
      <c r="CK105" s="737"/>
      <c r="CL105" s="737"/>
      <c r="CM105" s="737"/>
      <c r="CN105" s="737"/>
      <c r="CO105" s="737"/>
      <c r="CP105" s="737"/>
      <c r="CQ105" s="737"/>
      <c r="CR105" s="737"/>
      <c r="CS105" s="737"/>
      <c r="CT105" s="737"/>
      <c r="CU105" s="737"/>
      <c r="CV105" s="737"/>
      <c r="CW105" s="737"/>
      <c r="CX105" s="737"/>
      <c r="CY105" s="737"/>
      <c r="CZ105" s="737"/>
      <c r="DA105" s="737"/>
      <c r="DB105" s="737"/>
      <c r="DC105" s="737"/>
      <c r="DD105" s="737"/>
      <c r="DE105" s="737"/>
      <c r="DF105" s="737"/>
      <c r="DG105" s="737"/>
      <c r="DH105" s="737"/>
      <c r="DI105" s="737"/>
      <c r="DJ105" s="737"/>
      <c r="DK105" s="737"/>
      <c r="DL105" s="737"/>
      <c r="DM105" s="737"/>
      <c r="DN105" s="737"/>
      <c r="DO105" s="737"/>
      <c r="DP105" s="737"/>
      <c r="DQ105" s="737"/>
      <c r="DR105" s="737"/>
      <c r="DS105" s="737"/>
      <c r="DT105" s="743" t="str">
        <f t="shared" ca="1" si="242"/>
        <v>Ivory Coast-Norway</v>
      </c>
      <c r="DU105" s="737"/>
      <c r="DV105" s="737"/>
      <c r="DW105" s="11"/>
    </row>
    <row r="106" spans="1:127" ht="16.149999999999999" customHeight="1">
      <c r="A106" s="737" t="s">
        <v>662</v>
      </c>
      <c r="B106" s="737" t="s">
        <v>674</v>
      </c>
      <c r="C106" s="738"/>
      <c r="D106" s="746" t="str">
        <f t="shared" ca="1" si="302"/>
        <v>France</v>
      </c>
      <c r="E106" s="738" t="s">
        <v>3</v>
      </c>
      <c r="F106" s="738" t="s">
        <v>438</v>
      </c>
      <c r="G106" s="747" t="s">
        <v>4</v>
      </c>
      <c r="H106" s="748">
        <f t="shared" ca="1" si="303"/>
        <v>12</v>
      </c>
      <c r="I106" s="743"/>
      <c r="J106" s="737">
        <v>78</v>
      </c>
      <c r="K106" s="737">
        <v>46203.75</v>
      </c>
      <c r="L106" s="737" t="s">
        <v>690</v>
      </c>
      <c r="M106" s="737" t="str">
        <f t="shared" ca="1" si="304"/>
        <v>Ivory Coast</v>
      </c>
      <c r="N106" s="737" t="str">
        <f ca="1">+IFERROR(IF(OR(AND(LEFT(B106,1)="2",INDEX($H$101:$H$113,MATCH(F106,$G$101:$G$113,0))=12),AND(LEFT(B106,1)="2",$AJ$99=144)),INDEX($AL$6:$AL$97,MATCH(B106,$AI$6:$AI$97,0)),IF(OR(AND(LEFT(B106,1)="3",INDEX($H$101:$H$113,MATCH(F106,$G$101:$G$113,0))=144),AND(LEFT(B106,1)="3",$AJ$99=144)),INDEX(Combinaciones3!$C$2:$J$496,MATCH(1,Combinaciones3!$B$2:$B$496,0),MATCH(WORLDCUP!E106,Combinaciones3!$C$1:$J$1,0)),B106)),B106)</f>
        <v>Norway</v>
      </c>
      <c r="O106" s="737"/>
      <c r="P106" s="737"/>
      <c r="Q106" s="737"/>
      <c r="R106" s="737"/>
      <c r="S106" s="737"/>
      <c r="T106" s="737"/>
      <c r="U106" s="737"/>
      <c r="V106" s="172"/>
      <c r="W106" s="835"/>
      <c r="X106" s="189">
        <f ca="1">Horarios!C106</f>
        <v>46203.958333333336</v>
      </c>
      <c r="Y106" s="190">
        <f ca="1">Horarios!C106</f>
        <v>46203.958333333336</v>
      </c>
      <c r="Z106" s="276">
        <f t="shared" si="309"/>
        <v>77</v>
      </c>
      <c r="AA106" s="277" t="str">
        <f t="shared" ca="1" si="305"/>
        <v>France</v>
      </c>
      <c r="AB106" s="278"/>
      <c r="AC106" s="281">
        <v>3</v>
      </c>
      <c r="AD106" s="281">
        <v>0</v>
      </c>
      <c r="AE106" s="278"/>
      <c r="AF106" s="280" t="str">
        <f t="shared" ca="1" si="306"/>
        <v>Sweden</v>
      </c>
      <c r="AG106" s="417">
        <f t="shared" ca="1" si="307"/>
        <v>1</v>
      </c>
      <c r="AH106" s="196">
        <v>77</v>
      </c>
      <c r="AI106" s="217">
        <v>5</v>
      </c>
      <c r="AJ106" s="221">
        <v>5</v>
      </c>
      <c r="AK106" s="486" t="e" cm="1" vm="6">
        <f t="array" aca="1" ref="AK106" ca="1">Ver_flag_visit</f>
        <v>#VALUE!</v>
      </c>
      <c r="AL106" s="289" t="str">
        <f t="shared" ca="1" si="310"/>
        <v>Bosnia and Herzegovina</v>
      </c>
      <c r="AM106" s="290">
        <f t="shared" ref="AM106:AT106" ca="1" si="321">+IF($H$113&gt;=48,INDEX($BE$58:$BN$69,MATCH($AL106,$BD$58:$BD$69,0),MATCH(AM$5,$BE$57:$BN$57,0)),$BB62)</f>
        <v>4</v>
      </c>
      <c r="AN106" s="291">
        <f t="shared" ca="1" si="321"/>
        <v>3</v>
      </c>
      <c r="AO106" s="291">
        <f t="shared" ca="1" si="321"/>
        <v>1</v>
      </c>
      <c r="AP106" s="291">
        <f t="shared" ca="1" si="321"/>
        <v>1</v>
      </c>
      <c r="AQ106" s="291">
        <f t="shared" ca="1" si="321"/>
        <v>1</v>
      </c>
      <c r="AR106" s="291">
        <f t="shared" ca="1" si="321"/>
        <v>5</v>
      </c>
      <c r="AS106" s="291">
        <f t="shared" ca="1" si="321"/>
        <v>6</v>
      </c>
      <c r="AT106" s="292">
        <f t="shared" ca="1" si="321"/>
        <v>-1</v>
      </c>
      <c r="AU106" s="420">
        <f t="shared" ca="1" si="312"/>
        <v>1</v>
      </c>
      <c r="AV106" s="217" t="str">
        <f t="shared" ca="1" si="313"/>
        <v>Bosnia and Herzegovina</v>
      </c>
      <c r="AW106" s="427"/>
      <c r="AX106" s="288"/>
      <c r="AY106" s="293"/>
      <c r="AZ106" s="294" t="str">
        <f t="shared" ca="1" si="315"/>
        <v>1E - 3D</v>
      </c>
      <c r="BA106" s="175"/>
      <c r="BB106" s="737"/>
      <c r="BC106" s="743"/>
      <c r="BD106" s="737"/>
      <c r="BE106" s="737"/>
      <c r="BF106" s="737" t="str">
        <f t="shared" ca="1" si="316"/>
        <v>E</v>
      </c>
      <c r="BG106" s="737">
        <f t="shared" ca="1" si="317"/>
        <v>3</v>
      </c>
      <c r="BH106" s="737"/>
      <c r="BI106" s="743">
        <v>4</v>
      </c>
      <c r="BJ106" s="737" t="str">
        <f t="shared" ca="1" si="318"/>
        <v>F</v>
      </c>
      <c r="BK106" s="743"/>
      <c r="BL106" s="743"/>
      <c r="BM106" s="737"/>
      <c r="BN106" s="737"/>
      <c r="BO106" s="737"/>
      <c r="BP106" s="737"/>
      <c r="BQ106" s="737"/>
      <c r="BR106" s="737"/>
      <c r="BS106" s="737"/>
      <c r="BT106" s="737"/>
      <c r="BU106" s="737"/>
      <c r="BV106" s="737"/>
      <c r="BW106" s="737"/>
      <c r="BX106" s="737"/>
      <c r="BY106" s="737"/>
      <c r="BZ106" s="737"/>
      <c r="CA106" s="737"/>
      <c r="CB106" s="737"/>
      <c r="CC106" s="737"/>
      <c r="CD106" s="737"/>
      <c r="CE106" s="737"/>
      <c r="CF106" s="737"/>
      <c r="CG106" s="737"/>
      <c r="CH106" s="737"/>
      <c r="CI106" s="737"/>
      <c r="CJ106" s="737"/>
      <c r="CK106" s="737"/>
      <c r="CL106" s="737"/>
      <c r="CM106" s="737"/>
      <c r="CN106" s="737"/>
      <c r="CO106" s="737"/>
      <c r="CP106" s="737"/>
      <c r="CQ106" s="737"/>
      <c r="CR106" s="737"/>
      <c r="CS106" s="737"/>
      <c r="CT106" s="737"/>
      <c r="CU106" s="737"/>
      <c r="CV106" s="737"/>
      <c r="CW106" s="737"/>
      <c r="CX106" s="737"/>
      <c r="CY106" s="737"/>
      <c r="CZ106" s="737"/>
      <c r="DA106" s="737"/>
      <c r="DB106" s="737"/>
      <c r="DC106" s="737"/>
      <c r="DD106" s="737"/>
      <c r="DE106" s="737"/>
      <c r="DF106" s="737"/>
      <c r="DG106" s="737"/>
      <c r="DH106" s="737"/>
      <c r="DI106" s="737"/>
      <c r="DJ106" s="737"/>
      <c r="DK106" s="737"/>
      <c r="DL106" s="737"/>
      <c r="DM106" s="737"/>
      <c r="DN106" s="737"/>
      <c r="DO106" s="737"/>
      <c r="DP106" s="737"/>
      <c r="DQ106" s="737"/>
      <c r="DR106" s="737"/>
      <c r="DS106" s="737"/>
      <c r="DT106" s="743" t="str">
        <f t="shared" ca="1" si="242"/>
        <v>France-Sweden</v>
      </c>
      <c r="DU106" s="737"/>
      <c r="DV106" s="737"/>
      <c r="DW106" s="11"/>
    </row>
    <row r="107" spans="1:127" ht="16.149999999999999" customHeight="1">
      <c r="A107" s="737" t="s">
        <v>645</v>
      </c>
      <c r="B107" s="737" t="s">
        <v>724</v>
      </c>
      <c r="C107" s="738"/>
      <c r="D107" s="746" t="str">
        <f t="shared" ca="1" si="302"/>
        <v>Mexico</v>
      </c>
      <c r="E107" s="738" t="s">
        <v>0</v>
      </c>
      <c r="F107" s="738" t="s">
        <v>721</v>
      </c>
      <c r="G107" s="747" t="s">
        <v>6</v>
      </c>
      <c r="H107" s="748">
        <f t="shared" ca="1" si="303"/>
        <v>12</v>
      </c>
      <c r="I107" s="743"/>
      <c r="J107" s="737">
        <v>79</v>
      </c>
      <c r="K107" s="737">
        <v>46203.75</v>
      </c>
      <c r="L107" s="737" t="s">
        <v>691</v>
      </c>
      <c r="M107" s="737" t="str">
        <f t="shared" ca="1" si="304"/>
        <v>Mexico</v>
      </c>
      <c r="N107" s="737" t="str">
        <f ca="1">+IFERROR(IF(OR(AND(LEFT(B107,1)="2",INDEX($H$101:$H$113,MATCH(F107,$G$101:$G$113,0))=12),AND(LEFT(B107,1)="2",$AJ$99=144)),INDEX($AL$6:$AL$97,MATCH(B107,$AI$6:$AI$97,0)),IF(OR(AND(LEFT(B107,1)="3",INDEX($H$101:$H$113,MATCH(F107,$G$101:$G$113,0))=144),AND(LEFT(B107,1)="3",$AJ$99=144)),INDEX(Combinaciones3!$C$2:$J$496,MATCH(1,Combinaciones3!$B$2:$B$496,0),MATCH(WORLDCUP!E107,Combinaciones3!$C$1:$J$1,0)),B107)),B107)</f>
        <v>Ecuador</v>
      </c>
      <c r="O107" s="737"/>
      <c r="P107" s="737"/>
      <c r="Q107" s="737"/>
      <c r="R107" s="737"/>
      <c r="S107" s="737"/>
      <c r="T107" s="737"/>
      <c r="U107" s="737"/>
      <c r="V107" s="172"/>
      <c r="W107" s="835"/>
      <c r="X107" s="189">
        <f ca="1">Horarios!C107</f>
        <v>46204.125</v>
      </c>
      <c r="Y107" s="190">
        <f ca="1">Horarios!C107</f>
        <v>46204.125</v>
      </c>
      <c r="Z107" s="276">
        <f t="shared" si="309"/>
        <v>79</v>
      </c>
      <c r="AA107" s="277" t="str">
        <f t="shared" ca="1" si="305"/>
        <v>Mexico</v>
      </c>
      <c r="AB107" s="278"/>
      <c r="AC107" s="281">
        <v>2</v>
      </c>
      <c r="AD107" s="281">
        <v>0</v>
      </c>
      <c r="AE107" s="278"/>
      <c r="AF107" s="280" t="str">
        <f t="shared" ca="1" si="306"/>
        <v>Ecuador</v>
      </c>
      <c r="AG107" s="417">
        <f t="shared" ca="1" si="307"/>
        <v>1</v>
      </c>
      <c r="AH107" s="196">
        <v>79</v>
      </c>
      <c r="AI107" s="217">
        <v>6</v>
      </c>
      <c r="AJ107" s="221">
        <v>6</v>
      </c>
      <c r="AK107" s="486" t="e" cm="1" vm="39">
        <f t="array" aca="1" ref="AK107" ca="1">Ver_flag_visit</f>
        <v>#VALUE!</v>
      </c>
      <c r="AL107" s="289" t="str">
        <f t="shared" ca="1" si="310"/>
        <v>Algeria</v>
      </c>
      <c r="AM107" s="290">
        <f t="shared" ref="AM107:AT107" ca="1" si="322">+IF($H$113&gt;=48,INDEX($BE$58:$BN$69,MATCH($AL107,$BD$58:$BD$69,0),MATCH(AM$5,$BE$57:$BN$57,0)),$BB63)</f>
        <v>4</v>
      </c>
      <c r="AN107" s="291">
        <f t="shared" ca="1" si="322"/>
        <v>3</v>
      </c>
      <c r="AO107" s="291">
        <f t="shared" ca="1" si="322"/>
        <v>1</v>
      </c>
      <c r="AP107" s="291">
        <f t="shared" ca="1" si="322"/>
        <v>1</v>
      </c>
      <c r="AQ107" s="291">
        <f t="shared" ca="1" si="322"/>
        <v>1</v>
      </c>
      <c r="AR107" s="291">
        <f t="shared" ca="1" si="322"/>
        <v>5</v>
      </c>
      <c r="AS107" s="291">
        <f t="shared" ca="1" si="322"/>
        <v>7</v>
      </c>
      <c r="AT107" s="292">
        <f t="shared" ca="1" si="322"/>
        <v>-2</v>
      </c>
      <c r="AU107" s="420">
        <f t="shared" ca="1" si="312"/>
        <v>1</v>
      </c>
      <c r="AV107" s="217" t="str">
        <f ca="1">INDEX($BD$58:$BD$69,MATCH(AI107,$BM$58:$BM$69,0))</f>
        <v>Algeria</v>
      </c>
      <c r="AW107" s="427"/>
      <c r="AX107" s="288"/>
      <c r="AY107" s="293"/>
      <c r="AZ107" s="294" t="str">
        <f t="shared" ca="1" si="315"/>
        <v>1G - 3I</v>
      </c>
      <c r="BA107" s="175"/>
      <c r="BB107" s="737"/>
      <c r="BC107" s="743"/>
      <c r="BD107" s="737"/>
      <c r="BE107" s="743"/>
      <c r="BF107" s="737" t="str">
        <f t="shared" ca="1" si="316"/>
        <v>B</v>
      </c>
      <c r="BG107" s="737">
        <f t="shared" ca="1" si="317"/>
        <v>1</v>
      </c>
      <c r="BH107" s="737"/>
      <c r="BI107" s="737">
        <v>5</v>
      </c>
      <c r="BJ107" s="737" t="str">
        <f t="shared" ca="1" si="318"/>
        <v>I</v>
      </c>
      <c r="BK107" s="743"/>
      <c r="BL107" s="743"/>
      <c r="BM107" s="737"/>
      <c r="BN107" s="737"/>
      <c r="BO107" s="737"/>
      <c r="BP107" s="737"/>
      <c r="BQ107" s="737"/>
      <c r="BR107" s="737"/>
      <c r="BS107" s="737"/>
      <c r="BT107" s="737"/>
      <c r="BU107" s="737"/>
      <c r="BV107" s="737"/>
      <c r="BW107" s="737"/>
      <c r="BX107" s="737"/>
      <c r="BY107" s="737"/>
      <c r="BZ107" s="737"/>
      <c r="CA107" s="737"/>
      <c r="CB107" s="737"/>
      <c r="CC107" s="737"/>
      <c r="CD107" s="737"/>
      <c r="CE107" s="737"/>
      <c r="CF107" s="737"/>
      <c r="CG107" s="737"/>
      <c r="CH107" s="737"/>
      <c r="CI107" s="737"/>
      <c r="CJ107" s="737"/>
      <c r="CK107" s="737"/>
      <c r="CL107" s="737"/>
      <c r="CM107" s="737"/>
      <c r="CN107" s="737"/>
      <c r="CO107" s="737"/>
      <c r="CP107" s="737"/>
      <c r="CQ107" s="737"/>
      <c r="CR107" s="737"/>
      <c r="CS107" s="737"/>
      <c r="CT107" s="737"/>
      <c r="CU107" s="737"/>
      <c r="CV107" s="737"/>
      <c r="CW107" s="737"/>
      <c r="CX107" s="737"/>
      <c r="CY107" s="737"/>
      <c r="CZ107" s="737"/>
      <c r="DA107" s="737"/>
      <c r="DB107" s="737"/>
      <c r="DC107" s="737"/>
      <c r="DD107" s="737"/>
      <c r="DE107" s="737"/>
      <c r="DF107" s="737"/>
      <c r="DG107" s="737"/>
      <c r="DH107" s="737"/>
      <c r="DI107" s="737"/>
      <c r="DJ107" s="737"/>
      <c r="DK107" s="737"/>
      <c r="DL107" s="737"/>
      <c r="DM107" s="737"/>
      <c r="DN107" s="737"/>
      <c r="DO107" s="737"/>
      <c r="DP107" s="737"/>
      <c r="DQ107" s="737"/>
      <c r="DR107" s="737"/>
      <c r="DS107" s="737"/>
      <c r="DT107" s="743" t="str">
        <f t="shared" ca="1" si="242"/>
        <v>Mexico-Ecuador</v>
      </c>
      <c r="DU107" s="737"/>
      <c r="DV107" s="737"/>
      <c r="DW107" s="11"/>
    </row>
    <row r="108" spans="1:127" ht="16.149999999999999" customHeight="1">
      <c r="A108" s="737" t="s">
        <v>682</v>
      </c>
      <c r="B108" s="737" t="s">
        <v>725</v>
      </c>
      <c r="C108" s="738"/>
      <c r="D108" s="746" t="str">
        <f t="shared" ca="1" si="302"/>
        <v>England</v>
      </c>
      <c r="E108" s="738" t="s">
        <v>238</v>
      </c>
      <c r="F108" s="738" t="s">
        <v>721</v>
      </c>
      <c r="G108" s="747" t="s">
        <v>437</v>
      </c>
      <c r="H108" s="748">
        <f t="shared" ca="1" si="303"/>
        <v>12</v>
      </c>
      <c r="I108" s="743"/>
      <c r="J108" s="737">
        <v>80</v>
      </c>
      <c r="K108" s="737">
        <v>46204.75</v>
      </c>
      <c r="L108" s="737" t="s">
        <v>692</v>
      </c>
      <c r="M108" s="737" t="str">
        <f t="shared" ca="1" si="304"/>
        <v>England</v>
      </c>
      <c r="N108" s="737" t="str">
        <f ca="1">+IFERROR(IF(OR(AND(LEFT(B108,1)="2",INDEX($H$101:$H$113,MATCH(F108,$G$101:$G$113,0))=12),AND(LEFT(B108,1)="2",$AJ$99=144)),INDEX($AL$6:$AL$97,MATCH(B108,$AI$6:$AI$97,0)),IF(OR(AND(LEFT(B108,1)="3",INDEX($H$101:$H$113,MATCH(F108,$G$101:$G$113,0))=144),AND(LEFT(B108,1)="3",$AJ$99=144)),INDEX(Combinaciones3!$C$2:$J$496,MATCH(1,Combinaciones3!$B$2:$B$496,0),MATCH(WORLDCUP!E108,Combinaciones3!$C$1:$J$1,0)),B108)),B108)</f>
        <v>DR Congo</v>
      </c>
      <c r="O108" s="737"/>
      <c r="P108" s="737"/>
      <c r="Q108" s="737"/>
      <c r="R108" s="737"/>
      <c r="S108" s="737"/>
      <c r="T108" s="737"/>
      <c r="U108" s="737"/>
      <c r="V108" s="172"/>
      <c r="W108" s="835"/>
      <c r="X108" s="189">
        <f ca="1">Horarios!C108</f>
        <v>46204.75</v>
      </c>
      <c r="Y108" s="190">
        <f ca="1">Horarios!C108</f>
        <v>46204.75</v>
      </c>
      <c r="Z108" s="276">
        <f t="shared" si="309"/>
        <v>80</v>
      </c>
      <c r="AA108" s="277" t="str">
        <f t="shared" ca="1" si="305"/>
        <v>England</v>
      </c>
      <c r="AB108" s="278"/>
      <c r="AC108" s="281">
        <v>2</v>
      </c>
      <c r="AD108" s="281">
        <v>1</v>
      </c>
      <c r="AE108" s="278"/>
      <c r="AF108" s="280" t="str">
        <f t="shared" ca="1" si="306"/>
        <v>DR Congo</v>
      </c>
      <c r="AG108" s="417">
        <f t="shared" ca="1" si="307"/>
        <v>1</v>
      </c>
      <c r="AH108" s="196">
        <v>80</v>
      </c>
      <c r="AI108" s="217">
        <v>7</v>
      </c>
      <c r="AJ108" s="221">
        <v>7</v>
      </c>
      <c r="AK108" s="486" t="e" cm="1" vm="14">
        <f t="array" aca="1" ref="AK108" ca="1">Ver_flag_visit</f>
        <v>#VALUE!</v>
      </c>
      <c r="AL108" s="289" t="str">
        <f t="shared" ca="1" si="310"/>
        <v>Paraguay</v>
      </c>
      <c r="AM108" s="290">
        <f t="shared" ref="AM108:AT108" ca="1" si="323">+IF($H$113&gt;=48,INDEX($BE$58:$BN$69,MATCH($AL108,$BD$58:$BD$69,0),MATCH(AM$5,$BE$57:$BN$57,0)),$BB64)</f>
        <v>4</v>
      </c>
      <c r="AN108" s="291">
        <f t="shared" ca="1" si="323"/>
        <v>3</v>
      </c>
      <c r="AO108" s="291">
        <f t="shared" ca="1" si="323"/>
        <v>1</v>
      </c>
      <c r="AP108" s="291">
        <f t="shared" ca="1" si="323"/>
        <v>1</v>
      </c>
      <c r="AQ108" s="291">
        <f t="shared" ca="1" si="323"/>
        <v>1</v>
      </c>
      <c r="AR108" s="291">
        <f t="shared" ca="1" si="323"/>
        <v>2</v>
      </c>
      <c r="AS108" s="291">
        <f t="shared" ca="1" si="323"/>
        <v>4</v>
      </c>
      <c r="AT108" s="292">
        <f t="shared" ca="1" si="323"/>
        <v>-2</v>
      </c>
      <c r="AU108" s="420">
        <f t="shared" ca="1" si="312"/>
        <v>1</v>
      </c>
      <c r="AV108" s="217" t="str">
        <f t="shared" ca="1" si="313"/>
        <v>Paraguay</v>
      </c>
      <c r="AW108" s="427"/>
      <c r="AX108" s="288"/>
      <c r="AY108" s="293"/>
      <c r="AZ108" s="294" t="str">
        <f t="shared" ca="1" si="315"/>
        <v>1I - 3F</v>
      </c>
      <c r="BA108" s="175"/>
      <c r="BB108" s="737"/>
      <c r="BC108" s="737"/>
      <c r="BD108" s="737"/>
      <c r="BE108" s="743"/>
      <c r="BF108" s="737" t="str">
        <f t="shared" ca="1" si="316"/>
        <v>J</v>
      </c>
      <c r="BG108" s="737">
        <f t="shared" ca="1" si="317"/>
        <v>6</v>
      </c>
      <c r="BH108" s="737"/>
      <c r="BI108" s="737">
        <v>6</v>
      </c>
      <c r="BJ108" s="737" t="str">
        <f t="shared" ca="1" si="318"/>
        <v>J</v>
      </c>
      <c r="BK108" s="743"/>
      <c r="BL108" s="737"/>
      <c r="BM108" s="737"/>
      <c r="BN108" s="737"/>
      <c r="BO108" s="737"/>
      <c r="BP108" s="737"/>
      <c r="BQ108" s="737"/>
      <c r="BR108" s="737"/>
      <c r="BS108" s="737"/>
      <c r="BT108" s="737"/>
      <c r="BU108" s="737"/>
      <c r="BV108" s="737"/>
      <c r="BW108" s="737"/>
      <c r="BX108" s="737"/>
      <c r="BY108" s="737"/>
      <c r="BZ108" s="737"/>
      <c r="CA108" s="737"/>
      <c r="CB108" s="737"/>
      <c r="CC108" s="737"/>
      <c r="CD108" s="737"/>
      <c r="CE108" s="737"/>
      <c r="CF108" s="737"/>
      <c r="CG108" s="737"/>
      <c r="CH108" s="737"/>
      <c r="CI108" s="737"/>
      <c r="CJ108" s="737"/>
      <c r="CK108" s="737"/>
      <c r="CL108" s="737"/>
      <c r="CM108" s="737"/>
      <c r="CN108" s="737"/>
      <c r="CO108" s="737"/>
      <c r="CP108" s="737"/>
      <c r="CQ108" s="737"/>
      <c r="CR108" s="737"/>
      <c r="CS108" s="737"/>
      <c r="CT108" s="737"/>
      <c r="CU108" s="737"/>
      <c r="CV108" s="737"/>
      <c r="CW108" s="737"/>
      <c r="CX108" s="737"/>
      <c r="CY108" s="737"/>
      <c r="CZ108" s="737"/>
      <c r="DA108" s="737"/>
      <c r="DB108" s="737"/>
      <c r="DC108" s="737"/>
      <c r="DD108" s="737"/>
      <c r="DE108" s="737"/>
      <c r="DF108" s="737"/>
      <c r="DG108" s="737"/>
      <c r="DH108" s="737"/>
      <c r="DI108" s="737"/>
      <c r="DJ108" s="737"/>
      <c r="DK108" s="737"/>
      <c r="DL108" s="737"/>
      <c r="DM108" s="737"/>
      <c r="DN108" s="737"/>
      <c r="DO108" s="737"/>
      <c r="DP108" s="737"/>
      <c r="DQ108" s="737"/>
      <c r="DR108" s="737"/>
      <c r="DS108" s="737"/>
      <c r="DT108" s="743" t="str">
        <f t="shared" ca="1" si="242"/>
        <v>England-DR Congo</v>
      </c>
      <c r="DU108" s="737"/>
      <c r="DV108" s="737"/>
      <c r="DW108" s="11"/>
    </row>
    <row r="109" spans="1:127" ht="16.149999999999999" customHeight="1">
      <c r="A109" s="737" t="s">
        <v>658</v>
      </c>
      <c r="B109" s="737" t="s">
        <v>726</v>
      </c>
      <c r="C109" s="738"/>
      <c r="D109" s="746" t="str">
        <f t="shared" ca="1" si="302"/>
        <v>Belgium</v>
      </c>
      <c r="E109" s="738" t="s">
        <v>73</v>
      </c>
      <c r="F109" s="738" t="s">
        <v>721</v>
      </c>
      <c r="G109" s="747" t="s">
        <v>438</v>
      </c>
      <c r="H109" s="748">
        <f t="shared" ca="1" si="303"/>
        <v>12</v>
      </c>
      <c r="I109" s="743"/>
      <c r="J109" s="737">
        <v>81</v>
      </c>
      <c r="K109" s="737">
        <v>46204.75</v>
      </c>
      <c r="L109" s="737" t="s">
        <v>693</v>
      </c>
      <c r="M109" s="737" t="str">
        <f t="shared" ca="1" si="304"/>
        <v>United States</v>
      </c>
      <c r="N109" s="737" t="str">
        <f ca="1">+IFERROR(IF(OR(AND(LEFT(B109,1)="2",INDEX($H$101:$H$113,MATCH(F109,$G$101:$G$113,0))=12),AND(LEFT(B109,1)="2",$AJ$99=144)),INDEX($AL$6:$AL$97,MATCH(B109,$AI$6:$AI$97,0)),IF(OR(AND(LEFT(B109,1)="3",INDEX($H$101:$H$113,MATCH(F109,$G$101:$G$113,0))=144),AND(LEFT(B109,1)="3",$AJ$99=144)),INDEX(Combinaciones3!$C$2:$J$496,MATCH(1,Combinaciones3!$B$2:$B$496,0),MATCH(WORLDCUP!E109,Combinaciones3!$C$1:$J$1,0)),B109)),B109)</f>
        <v>Bosnia and Herzegovina</v>
      </c>
      <c r="O109" s="737"/>
      <c r="P109" s="737"/>
      <c r="Q109" s="737"/>
      <c r="R109" s="737"/>
      <c r="S109" s="737"/>
      <c r="T109" s="737"/>
      <c r="U109" s="737"/>
      <c r="V109" s="172"/>
      <c r="W109" s="835"/>
      <c r="X109" s="189">
        <f ca="1">Horarios!C109</f>
        <v>46204.916666666664</v>
      </c>
      <c r="Y109" s="190">
        <f ca="1">Horarios!C109</f>
        <v>46204.916666666664</v>
      </c>
      <c r="Z109" s="276">
        <f t="shared" si="309"/>
        <v>82</v>
      </c>
      <c r="AA109" s="277" t="str">
        <f t="shared" ca="1" si="305"/>
        <v>Belgium</v>
      </c>
      <c r="AB109" s="278"/>
      <c r="AC109" s="281">
        <v>3</v>
      </c>
      <c r="AD109" s="281">
        <v>2</v>
      </c>
      <c r="AE109" s="278"/>
      <c r="AF109" s="280" t="str">
        <f t="shared" ca="1" si="306"/>
        <v>Senegal</v>
      </c>
      <c r="AG109" s="417">
        <f t="shared" ca="1" si="307"/>
        <v>1</v>
      </c>
      <c r="AH109" s="196">
        <v>82</v>
      </c>
      <c r="AI109" s="217">
        <v>8</v>
      </c>
      <c r="AJ109" s="221">
        <v>8</v>
      </c>
      <c r="AK109" s="486" t="e" cm="1" vm="35">
        <f t="array" aca="1" ref="AK109" ca="1">Ver_flag_visit</f>
        <v>#VALUE!</v>
      </c>
      <c r="AL109" s="289" t="str">
        <f t="shared" ca="1" si="310"/>
        <v>Senegal</v>
      </c>
      <c r="AM109" s="290">
        <f t="shared" ref="AM109:AT109" ca="1" si="324">+IF($H$113&gt;=48,INDEX($BE$58:$BN$69,MATCH($AL109,$BD$58:$BD$69,0),MATCH(AM$5,$BE$57:$BN$57,0)),$BB65)</f>
        <v>3</v>
      </c>
      <c r="AN109" s="291">
        <f t="shared" ca="1" si="324"/>
        <v>3</v>
      </c>
      <c r="AO109" s="291">
        <f t="shared" ca="1" si="324"/>
        <v>1</v>
      </c>
      <c r="AP109" s="291">
        <f t="shared" ca="1" si="324"/>
        <v>0</v>
      </c>
      <c r="AQ109" s="291">
        <f t="shared" ca="1" si="324"/>
        <v>2</v>
      </c>
      <c r="AR109" s="291">
        <f t="shared" ca="1" si="324"/>
        <v>8</v>
      </c>
      <c r="AS109" s="291">
        <f t="shared" ca="1" si="324"/>
        <v>6</v>
      </c>
      <c r="AT109" s="292">
        <f t="shared" ca="1" si="324"/>
        <v>2</v>
      </c>
      <c r="AU109" s="420">
        <f t="shared" ca="1" si="312"/>
        <v>1</v>
      </c>
      <c r="AV109" s="217" t="str">
        <f t="shared" ca="1" si="313"/>
        <v>Senegal</v>
      </c>
      <c r="AW109" s="427"/>
      <c r="AX109" s="288"/>
      <c r="AY109" s="293"/>
      <c r="AZ109" s="294" t="str">
        <f t="shared" ca="1" si="315"/>
        <v>1K - 3L</v>
      </c>
      <c r="BA109" s="175"/>
      <c r="BB109" s="737"/>
      <c r="BC109" s="737"/>
      <c r="BD109" s="737"/>
      <c r="BE109" s="743"/>
      <c r="BF109" s="737" t="str">
        <f t="shared" ca="1" si="316"/>
        <v>D</v>
      </c>
      <c r="BG109" s="737">
        <f t="shared" ca="1" si="317"/>
        <v>2</v>
      </c>
      <c r="BH109" s="737"/>
      <c r="BI109" s="737">
        <v>7</v>
      </c>
      <c r="BJ109" s="737" t="str">
        <f t="shared" ca="1" si="318"/>
        <v>K</v>
      </c>
      <c r="BK109" s="743"/>
      <c r="BL109" s="737"/>
      <c r="BM109" s="737"/>
      <c r="BN109" s="737"/>
      <c r="BO109" s="737"/>
      <c r="BP109" s="737"/>
      <c r="BQ109" s="737"/>
      <c r="BR109" s="737"/>
      <c r="BS109" s="737"/>
      <c r="BT109" s="737"/>
      <c r="BU109" s="737"/>
      <c r="BV109" s="737"/>
      <c r="BW109" s="737"/>
      <c r="BX109" s="737"/>
      <c r="BY109" s="737"/>
      <c r="BZ109" s="737"/>
      <c r="CA109" s="737"/>
      <c r="CB109" s="737"/>
      <c r="CC109" s="737"/>
      <c r="CD109" s="737"/>
      <c r="CE109" s="737"/>
      <c r="CF109" s="737"/>
      <c r="CG109" s="737"/>
      <c r="CH109" s="737"/>
      <c r="CI109" s="737"/>
      <c r="CJ109" s="737"/>
      <c r="CK109" s="737"/>
      <c r="CL109" s="737"/>
      <c r="CM109" s="737"/>
      <c r="CN109" s="737"/>
      <c r="CO109" s="737"/>
      <c r="CP109" s="737"/>
      <c r="CQ109" s="737"/>
      <c r="CR109" s="737"/>
      <c r="CS109" s="737"/>
      <c r="CT109" s="737"/>
      <c r="CU109" s="737"/>
      <c r="CV109" s="737"/>
      <c r="CW109" s="737"/>
      <c r="CX109" s="737"/>
      <c r="CY109" s="737"/>
      <c r="CZ109" s="737"/>
      <c r="DA109" s="737"/>
      <c r="DB109" s="737"/>
      <c r="DC109" s="737"/>
      <c r="DD109" s="737"/>
      <c r="DE109" s="737"/>
      <c r="DF109" s="737"/>
      <c r="DG109" s="737"/>
      <c r="DH109" s="737"/>
      <c r="DI109" s="737"/>
      <c r="DJ109" s="737"/>
      <c r="DK109" s="737"/>
      <c r="DL109" s="737"/>
      <c r="DM109" s="737"/>
      <c r="DN109" s="737"/>
      <c r="DO109" s="737"/>
      <c r="DP109" s="737"/>
      <c r="DQ109" s="737"/>
      <c r="DR109" s="737"/>
      <c r="DS109" s="737"/>
      <c r="DT109" s="743" t="str">
        <f t="shared" ca="1" si="242"/>
        <v>Belgium-Senegal</v>
      </c>
      <c r="DU109" s="737"/>
      <c r="DV109" s="737"/>
      <c r="DW109" s="11"/>
    </row>
    <row r="110" spans="1:127" ht="16.149999999999999" customHeight="1">
      <c r="A110" s="737" t="s">
        <v>667</v>
      </c>
      <c r="B110" s="737" t="s">
        <v>727</v>
      </c>
      <c r="C110" s="738"/>
      <c r="D110" s="746" t="str">
        <f t="shared" ca="1" si="302"/>
        <v>United States</v>
      </c>
      <c r="E110" s="738" t="s">
        <v>6</v>
      </c>
      <c r="F110" s="738" t="s">
        <v>721</v>
      </c>
      <c r="G110" s="747" t="s">
        <v>5</v>
      </c>
      <c r="H110" s="748">
        <f t="shared" ca="1" si="303"/>
        <v>12</v>
      </c>
      <c r="I110" s="743"/>
      <c r="J110" s="737">
        <v>82</v>
      </c>
      <c r="K110" s="737">
        <v>46204.75</v>
      </c>
      <c r="L110" s="737" t="s">
        <v>694</v>
      </c>
      <c r="M110" s="737" t="str">
        <f t="shared" ca="1" si="304"/>
        <v>Belgium</v>
      </c>
      <c r="N110" s="737" t="str">
        <f ca="1">+IFERROR(IF(OR(AND(LEFT(B110,1)="2",INDEX($H$101:$H$113,MATCH(F110,$G$101:$G$113,0))=12),AND(LEFT(B110,1)="2",$AJ$99=144)),INDEX($AL$6:$AL$97,MATCH(B110,$AI$6:$AI$97,0)),IF(OR(AND(LEFT(B110,1)="3",INDEX($H$101:$H$113,MATCH(F110,$G$101:$G$113,0))=144),AND(LEFT(B110,1)="3",$AJ$99=144)),INDEX(Combinaciones3!$C$2:$J$496,MATCH(1,Combinaciones3!$B$2:$B$496,0),MATCH(WORLDCUP!E110,Combinaciones3!$C$1:$J$1,0)),B110)),B110)</f>
        <v>Senegal</v>
      </c>
      <c r="O110" s="737"/>
      <c r="P110" s="737"/>
      <c r="Q110" s="737"/>
      <c r="R110" s="737"/>
      <c r="S110" s="737"/>
      <c r="T110" s="737"/>
      <c r="U110" s="737"/>
      <c r="V110" s="172"/>
      <c r="W110" s="835"/>
      <c r="X110" s="189">
        <f ca="1">Horarios!C110</f>
        <v>46205.083333333336</v>
      </c>
      <c r="Y110" s="190">
        <f ca="1">Horarios!C110</f>
        <v>46205.083333333336</v>
      </c>
      <c r="Z110" s="276">
        <f t="shared" si="309"/>
        <v>81</v>
      </c>
      <c r="AA110" s="277" t="str">
        <f t="shared" ca="1" si="305"/>
        <v>United States</v>
      </c>
      <c r="AB110" s="278"/>
      <c r="AC110" s="281">
        <v>2</v>
      </c>
      <c r="AD110" s="281">
        <v>0</v>
      </c>
      <c r="AE110" s="278"/>
      <c r="AF110" s="280" t="str">
        <f t="shared" ca="1" si="306"/>
        <v>Bosnia and Herzegovina</v>
      </c>
      <c r="AG110" s="417">
        <f t="shared" ca="1" si="307"/>
        <v>1</v>
      </c>
      <c r="AH110" s="196">
        <v>81</v>
      </c>
      <c r="AI110" s="217">
        <v>9</v>
      </c>
      <c r="AJ110" s="221">
        <v>9</v>
      </c>
      <c r="AK110" s="486" t="e" cm="1" vm="27">
        <f t="array" aca="1" ref="AK110" ca="1">Ver_flag_visit</f>
        <v>#VALUE!</v>
      </c>
      <c r="AL110" s="289" t="str">
        <f t="shared" ca="1" si="310"/>
        <v>Iran</v>
      </c>
      <c r="AM110" s="290">
        <f t="shared" ref="AM110:AT110" ca="1" si="325">+IF($H$113&gt;=48,INDEX($BE$58:$BN$69,MATCH($AL110,$BD$58:$BD$69,0),MATCH(AM$5,$BE$57:$BN$57,0)),$BB66)</f>
        <v>3</v>
      </c>
      <c r="AN110" s="291">
        <f t="shared" ca="1" si="325"/>
        <v>3</v>
      </c>
      <c r="AO110" s="291">
        <f t="shared" ca="1" si="325"/>
        <v>0</v>
      </c>
      <c r="AP110" s="291">
        <f t="shared" ca="1" si="325"/>
        <v>3</v>
      </c>
      <c r="AQ110" s="291">
        <f t="shared" ca="1" si="325"/>
        <v>0</v>
      </c>
      <c r="AR110" s="291">
        <f t="shared" ca="1" si="325"/>
        <v>3</v>
      </c>
      <c r="AS110" s="291">
        <f t="shared" ca="1" si="325"/>
        <v>3</v>
      </c>
      <c r="AT110" s="292">
        <f t="shared" ca="1" si="325"/>
        <v>0</v>
      </c>
      <c r="AU110" s="420">
        <f t="shared" ca="1" si="312"/>
        <v>1</v>
      </c>
      <c r="AV110" s="217" t="str">
        <f t="shared" ca="1" si="313"/>
        <v>Iran</v>
      </c>
      <c r="AW110" s="427"/>
      <c r="AX110" s="288"/>
      <c r="AY110" s="293"/>
      <c r="AZ110" s="294" t="str">
        <f t="shared" ca="1" si="315"/>
        <v>1L - 3K</v>
      </c>
      <c r="BA110" s="175"/>
      <c r="BB110" s="737"/>
      <c r="BC110" s="737"/>
      <c r="BD110" s="737"/>
      <c r="BE110" s="743"/>
      <c r="BF110" s="737" t="str">
        <f t="shared" ca="1" si="316"/>
        <v>I</v>
      </c>
      <c r="BG110" s="737">
        <f t="shared" ca="1" si="317"/>
        <v>5</v>
      </c>
      <c r="BH110" s="737"/>
      <c r="BI110" s="743">
        <v>8</v>
      </c>
      <c r="BJ110" s="737" t="str">
        <f t="shared" ca="1" si="318"/>
        <v>L</v>
      </c>
      <c r="BK110" s="743"/>
      <c r="BL110" s="737"/>
      <c r="BM110" s="737"/>
      <c r="BN110" s="737"/>
      <c r="BO110" s="737"/>
      <c r="BP110" s="737"/>
      <c r="BQ110" s="737"/>
      <c r="BR110" s="737"/>
      <c r="BS110" s="737"/>
      <c r="BT110" s="737"/>
      <c r="BU110" s="737"/>
      <c r="BV110" s="737"/>
      <c r="BW110" s="737"/>
      <c r="BX110" s="737"/>
      <c r="BY110" s="737"/>
      <c r="BZ110" s="737"/>
      <c r="CA110" s="737"/>
      <c r="CB110" s="737"/>
      <c r="CC110" s="737"/>
      <c r="CD110" s="737"/>
      <c r="CE110" s="737"/>
      <c r="CF110" s="737"/>
      <c r="CG110" s="737"/>
      <c r="CH110" s="737"/>
      <c r="CI110" s="737"/>
      <c r="CJ110" s="737"/>
      <c r="CK110" s="737"/>
      <c r="CL110" s="737"/>
      <c r="CM110" s="737"/>
      <c r="CN110" s="737"/>
      <c r="CO110" s="737"/>
      <c r="CP110" s="737"/>
      <c r="CQ110" s="737"/>
      <c r="CR110" s="737"/>
      <c r="CS110" s="737"/>
      <c r="CT110" s="737"/>
      <c r="CU110" s="737"/>
      <c r="CV110" s="737"/>
      <c r="CW110" s="737"/>
      <c r="CX110" s="737"/>
      <c r="CY110" s="737"/>
      <c r="CZ110" s="737"/>
      <c r="DA110" s="737"/>
      <c r="DB110" s="737"/>
      <c r="DC110" s="737"/>
      <c r="DD110" s="737"/>
      <c r="DE110" s="737"/>
      <c r="DF110" s="737"/>
      <c r="DG110" s="737"/>
      <c r="DH110" s="737"/>
      <c r="DI110" s="737"/>
      <c r="DJ110" s="737"/>
      <c r="DK110" s="737"/>
      <c r="DL110" s="737"/>
      <c r="DM110" s="737"/>
      <c r="DN110" s="737"/>
      <c r="DO110" s="737"/>
      <c r="DP110" s="737"/>
      <c r="DQ110" s="737"/>
      <c r="DR110" s="737"/>
      <c r="DS110" s="737"/>
      <c r="DT110" s="743" t="str">
        <f t="shared" ca="1" si="242"/>
        <v>United States-Bosnia and Herzegovina</v>
      </c>
      <c r="DU110" s="737"/>
      <c r="DV110" s="737"/>
      <c r="DW110" s="11"/>
    </row>
    <row r="111" spans="1:127" ht="16.149999999999999" customHeight="1">
      <c r="A111" s="737" t="s">
        <v>680</v>
      </c>
      <c r="B111" s="737" t="s">
        <v>683</v>
      </c>
      <c r="C111" s="738"/>
      <c r="D111" s="746" t="str">
        <f t="shared" ca="1" si="302"/>
        <v>Spain</v>
      </c>
      <c r="E111" s="738" t="s">
        <v>439</v>
      </c>
      <c r="F111" s="738" t="s">
        <v>238</v>
      </c>
      <c r="G111" s="747" t="s">
        <v>439</v>
      </c>
      <c r="H111" s="748">
        <f t="shared" ca="1" si="303"/>
        <v>12</v>
      </c>
      <c r="I111" s="743"/>
      <c r="J111" s="737">
        <v>83</v>
      </c>
      <c r="K111" s="737">
        <v>46205.75</v>
      </c>
      <c r="L111" s="737" t="s">
        <v>695</v>
      </c>
      <c r="M111" s="737" t="str">
        <f t="shared" ca="1" si="304"/>
        <v>Portugal</v>
      </c>
      <c r="N111" s="737" t="str">
        <f ca="1">+IFERROR(IF(OR(AND(LEFT(B111,1)="2",INDEX($H$101:$H$113,MATCH(F111,$G$101:$G$113,0))=12),AND(LEFT(B111,1)="2",$AJ$99=144)),INDEX($AL$6:$AL$97,MATCH(B111,$AI$6:$AI$97,0)),IF(OR(AND(LEFT(B111,1)="3",INDEX($H$101:$H$113,MATCH(F111,$G$101:$G$113,0))=144),AND(LEFT(B111,1)="3",$AJ$99=144)),INDEX(Combinaciones3!$C$2:$J$496,MATCH(1,Combinaciones3!$B$2:$B$496,0),MATCH(WORLDCUP!E111,Combinaciones3!$C$1:$J$1,0)),B111)),B111)</f>
        <v>Croatia</v>
      </c>
      <c r="O111" s="737"/>
      <c r="P111" s="737"/>
      <c r="Q111" s="737"/>
      <c r="R111" s="737"/>
      <c r="S111" s="737"/>
      <c r="T111" s="737"/>
      <c r="U111" s="737"/>
      <c r="V111" s="172"/>
      <c r="W111" s="835"/>
      <c r="X111" s="189">
        <f ca="1">Horarios!C111</f>
        <v>46205.875</v>
      </c>
      <c r="Y111" s="190">
        <f ca="1">Horarios!C111</f>
        <v>46205.875</v>
      </c>
      <c r="Z111" s="276">
        <f t="shared" si="309"/>
        <v>84</v>
      </c>
      <c r="AA111" s="277" t="str">
        <f t="shared" ca="1" si="305"/>
        <v>Spain</v>
      </c>
      <c r="AB111" s="278"/>
      <c r="AC111" s="281">
        <v>3</v>
      </c>
      <c r="AD111" s="281">
        <v>0</v>
      </c>
      <c r="AE111" s="278"/>
      <c r="AF111" s="280" t="str">
        <f t="shared" ca="1" si="306"/>
        <v>Austria</v>
      </c>
      <c r="AG111" s="417">
        <f t="shared" ca="1" si="307"/>
        <v>1</v>
      </c>
      <c r="AH111" s="196">
        <v>84</v>
      </c>
      <c r="AI111" s="217">
        <v>10</v>
      </c>
      <c r="AJ111" s="221">
        <v>10</v>
      </c>
      <c r="AK111" s="486" t="e" cm="1" vm="3">
        <f t="array" aca="1" ref="AK111" ca="1">Ver_flag_visit</f>
        <v>#VALUE!</v>
      </c>
      <c r="AL111" s="289" t="str">
        <f t="shared" ca="1" si="310"/>
        <v>South Korea</v>
      </c>
      <c r="AM111" s="290">
        <f t="shared" ref="AM111:AT111" ca="1" si="326">+IF($H$113&gt;=48,INDEX($BE$58:$BN$69,MATCH($AL111,$BD$58:$BD$69,0),MATCH(AM$5,$BE$57:$BN$57,0)),$BB67)</f>
        <v>3</v>
      </c>
      <c r="AN111" s="291">
        <f t="shared" ca="1" si="326"/>
        <v>3</v>
      </c>
      <c r="AO111" s="291">
        <f t="shared" ca="1" si="326"/>
        <v>1</v>
      </c>
      <c r="AP111" s="291">
        <f t="shared" ca="1" si="326"/>
        <v>0</v>
      </c>
      <c r="AQ111" s="291">
        <f t="shared" ca="1" si="326"/>
        <v>2</v>
      </c>
      <c r="AR111" s="291">
        <f t="shared" ca="1" si="326"/>
        <v>2</v>
      </c>
      <c r="AS111" s="291">
        <f t="shared" ca="1" si="326"/>
        <v>3</v>
      </c>
      <c r="AT111" s="292">
        <f t="shared" ca="1" si="326"/>
        <v>-1</v>
      </c>
      <c r="AU111" s="420">
        <f t="shared" ca="1" si="312"/>
        <v>1</v>
      </c>
      <c r="AV111" s="217" t="str">
        <f t="shared" ca="1" si="313"/>
        <v>South Korea</v>
      </c>
      <c r="AW111" s="427"/>
      <c r="AX111" s="288"/>
      <c r="AY111" s="295"/>
      <c r="AZ111" s="295"/>
      <c r="BA111" s="175"/>
      <c r="BB111" s="737"/>
      <c r="BC111" s="737"/>
      <c r="BD111" s="745"/>
      <c r="BE111" s="737"/>
      <c r="BF111" s="737"/>
      <c r="BG111" s="737"/>
      <c r="BH111" s="737"/>
      <c r="BI111" s="737" t="s">
        <v>86</v>
      </c>
      <c r="BJ111" s="737"/>
      <c r="BK111" s="743"/>
      <c r="BL111" s="737"/>
      <c r="BM111" s="737"/>
      <c r="BN111" s="737"/>
      <c r="BO111" s="737"/>
      <c r="BP111" s="737"/>
      <c r="BQ111" s="737"/>
      <c r="BR111" s="737"/>
      <c r="BS111" s="737"/>
      <c r="BT111" s="737"/>
      <c r="BU111" s="737"/>
      <c r="BV111" s="737"/>
      <c r="BW111" s="737"/>
      <c r="BX111" s="737"/>
      <c r="BY111" s="737"/>
      <c r="BZ111" s="737"/>
      <c r="CA111" s="737"/>
      <c r="CB111" s="737"/>
      <c r="CC111" s="737"/>
      <c r="CD111" s="737"/>
      <c r="CE111" s="737"/>
      <c r="CF111" s="737"/>
      <c r="CG111" s="737"/>
      <c r="CH111" s="737"/>
      <c r="CI111" s="737"/>
      <c r="CJ111" s="737"/>
      <c r="CK111" s="737"/>
      <c r="CL111" s="737"/>
      <c r="CM111" s="737"/>
      <c r="CN111" s="737"/>
      <c r="CO111" s="737"/>
      <c r="CP111" s="737"/>
      <c r="CQ111" s="737"/>
      <c r="CR111" s="737"/>
      <c r="CS111" s="737"/>
      <c r="CT111" s="737"/>
      <c r="CU111" s="737"/>
      <c r="CV111" s="737"/>
      <c r="CW111" s="737"/>
      <c r="CX111" s="737"/>
      <c r="CY111" s="737"/>
      <c r="CZ111" s="737"/>
      <c r="DA111" s="737"/>
      <c r="DB111" s="737"/>
      <c r="DC111" s="737"/>
      <c r="DD111" s="737"/>
      <c r="DE111" s="737"/>
      <c r="DF111" s="737"/>
      <c r="DG111" s="737"/>
      <c r="DH111" s="737"/>
      <c r="DI111" s="737"/>
      <c r="DJ111" s="737"/>
      <c r="DK111" s="737"/>
      <c r="DL111" s="737"/>
      <c r="DM111" s="737"/>
      <c r="DN111" s="737"/>
      <c r="DO111" s="737"/>
      <c r="DP111" s="737"/>
      <c r="DQ111" s="737"/>
      <c r="DR111" s="737"/>
      <c r="DS111" s="737"/>
      <c r="DT111" s="743" t="str">
        <f t="shared" ca="1" si="242"/>
        <v>Spain-Austria</v>
      </c>
      <c r="DU111" s="737"/>
      <c r="DV111" s="737"/>
      <c r="DW111" s="11"/>
    </row>
    <row r="112" spans="1:127" ht="16.149999999999999" customHeight="1">
      <c r="A112" s="737" t="s">
        <v>670</v>
      </c>
      <c r="B112" s="737" t="s">
        <v>677</v>
      </c>
      <c r="C112" s="738"/>
      <c r="D112" s="746" t="str">
        <f t="shared" ca="1" si="302"/>
        <v>Portugal</v>
      </c>
      <c r="E112" s="738" t="s">
        <v>437</v>
      </c>
      <c r="F112" s="738" t="s">
        <v>5</v>
      </c>
      <c r="G112" s="747" t="s">
        <v>238</v>
      </c>
      <c r="H112" s="748">
        <f t="shared" ca="1" si="303"/>
        <v>12</v>
      </c>
      <c r="I112" s="743"/>
      <c r="J112" s="737">
        <v>84</v>
      </c>
      <c r="K112" s="737">
        <v>46205.75</v>
      </c>
      <c r="L112" s="737" t="s">
        <v>696</v>
      </c>
      <c r="M112" s="737" t="str">
        <f t="shared" ca="1" si="304"/>
        <v>Spain</v>
      </c>
      <c r="N112" s="737" t="str">
        <f ca="1">+IFERROR(IF(OR(AND(LEFT(B112,1)="2",INDEX($H$101:$H$113,MATCH(F112,$G$101:$G$113,0))=12),AND(LEFT(B112,1)="2",$AJ$99=144)),INDEX($AL$6:$AL$97,MATCH(B112,$AI$6:$AI$97,0)),IF(OR(AND(LEFT(B112,1)="3",INDEX($H$101:$H$113,MATCH(F112,$G$101:$G$113,0))=144),AND(LEFT(B112,1)="3",$AJ$99=144)),INDEX(Combinaciones3!$C$2:$J$496,MATCH(1,Combinaciones3!$B$2:$B$496,0),MATCH(WORLDCUP!E112,Combinaciones3!$C$1:$J$1,0)),B112)),B112)</f>
        <v>Austria</v>
      </c>
      <c r="O112" s="737"/>
      <c r="P112" s="737"/>
      <c r="Q112" s="737"/>
      <c r="R112" s="737"/>
      <c r="S112" s="737"/>
      <c r="T112" s="737"/>
      <c r="U112" s="737"/>
      <c r="V112" s="172"/>
      <c r="W112" s="835"/>
      <c r="X112" s="189">
        <f ca="1">Horarios!C112</f>
        <v>46206.041666666664</v>
      </c>
      <c r="Y112" s="190">
        <f ca="1">Horarios!C112</f>
        <v>46206.041666666664</v>
      </c>
      <c r="Z112" s="276">
        <f t="shared" si="309"/>
        <v>83</v>
      </c>
      <c r="AA112" s="277" t="str">
        <f t="shared" ca="1" si="305"/>
        <v>Portugal</v>
      </c>
      <c r="AB112" s="278"/>
      <c r="AC112" s="281">
        <v>2</v>
      </c>
      <c r="AD112" s="281">
        <v>1</v>
      </c>
      <c r="AE112" s="278"/>
      <c r="AF112" s="280" t="str">
        <f t="shared" ca="1" si="306"/>
        <v>Croatia</v>
      </c>
      <c r="AG112" s="417">
        <f t="shared" ca="1" si="307"/>
        <v>1</v>
      </c>
      <c r="AH112" s="196">
        <v>83</v>
      </c>
      <c r="AI112" s="217">
        <v>11</v>
      </c>
      <c r="AJ112" s="221">
        <v>11</v>
      </c>
      <c r="AK112" s="486" t="e" cm="1" vm="12">
        <f t="array" aca="1" ref="AK112" ca="1">Ver_flag_visit</f>
        <v>#VALUE!</v>
      </c>
      <c r="AL112" s="289" t="str">
        <f t="shared" ca="1" si="310"/>
        <v>Scotland</v>
      </c>
      <c r="AM112" s="290">
        <f t="shared" ref="AM112:AT112" ca="1" si="327">+IF($H$113&gt;=48,INDEX($BE$58:$BN$69,MATCH($AL112,$BD$58:$BD$69,0),MATCH(AM$5,$BE$57:$BN$57,0)),$BB68)</f>
        <v>3</v>
      </c>
      <c r="AN112" s="291">
        <f t="shared" ca="1" si="327"/>
        <v>3</v>
      </c>
      <c r="AO112" s="291">
        <f t="shared" ca="1" si="327"/>
        <v>1</v>
      </c>
      <c r="AP112" s="291">
        <f t="shared" ca="1" si="327"/>
        <v>0</v>
      </c>
      <c r="AQ112" s="291">
        <f t="shared" ca="1" si="327"/>
        <v>2</v>
      </c>
      <c r="AR112" s="291">
        <f t="shared" ca="1" si="327"/>
        <v>1</v>
      </c>
      <c r="AS112" s="291">
        <f t="shared" ca="1" si="327"/>
        <v>4</v>
      </c>
      <c r="AT112" s="292">
        <f t="shared" ca="1" si="327"/>
        <v>-3</v>
      </c>
      <c r="AU112" s="420">
        <f t="shared" ca="1" si="312"/>
        <v>1</v>
      </c>
      <c r="AV112" s="217" t="str">
        <f t="shared" ca="1" si="313"/>
        <v>Scotland</v>
      </c>
      <c r="AW112" s="427"/>
      <c r="AX112" s="288"/>
      <c r="AY112" s="295"/>
      <c r="AZ112" s="295"/>
      <c r="BA112" s="175"/>
      <c r="BB112" s="737"/>
      <c r="BC112" s="737"/>
      <c r="BD112" s="745"/>
      <c r="BE112" s="737"/>
      <c r="BF112" s="737"/>
      <c r="BG112" s="737"/>
      <c r="BH112" s="737"/>
      <c r="BI112" s="737" t="str">
        <f ca="1">IFERROR(CONCATENATE(BJ103,BJ104,BJ105,BJ106,BJ107,BJ108,BJ109,BJ110),"¿A/B/C/D/E/F/G/H/I/J/K/L?")</f>
        <v>BDEFIJKL</v>
      </c>
      <c r="BJ112" s="737"/>
      <c r="BK112" s="743"/>
      <c r="BL112" s="737"/>
      <c r="BM112" s="737"/>
      <c r="BN112" s="737"/>
      <c r="BO112" s="737"/>
      <c r="BP112" s="737"/>
      <c r="BQ112" s="737"/>
      <c r="BR112" s="737"/>
      <c r="BS112" s="737"/>
      <c r="BT112" s="737"/>
      <c r="BU112" s="737"/>
      <c r="BV112" s="737"/>
      <c r="BW112" s="737"/>
      <c r="BX112" s="737"/>
      <c r="BY112" s="737"/>
      <c r="BZ112" s="737"/>
      <c r="CA112" s="737"/>
      <c r="CB112" s="737"/>
      <c r="CC112" s="737"/>
      <c r="CD112" s="737"/>
      <c r="CE112" s="737"/>
      <c r="CF112" s="737"/>
      <c r="CG112" s="737"/>
      <c r="CH112" s="737"/>
      <c r="CI112" s="737"/>
      <c r="CJ112" s="737"/>
      <c r="CK112" s="737"/>
      <c r="CL112" s="737"/>
      <c r="CM112" s="737"/>
      <c r="CN112" s="737"/>
      <c r="CO112" s="737"/>
      <c r="CP112" s="737"/>
      <c r="CQ112" s="737"/>
      <c r="CR112" s="737"/>
      <c r="CS112" s="737"/>
      <c r="CT112" s="737"/>
      <c r="CU112" s="737"/>
      <c r="CV112" s="737"/>
      <c r="CW112" s="737"/>
      <c r="CX112" s="737"/>
      <c r="CY112" s="737"/>
      <c r="CZ112" s="737"/>
      <c r="DA112" s="737"/>
      <c r="DB112" s="737"/>
      <c r="DC112" s="737"/>
      <c r="DD112" s="737"/>
      <c r="DE112" s="737"/>
      <c r="DF112" s="737"/>
      <c r="DG112" s="737"/>
      <c r="DH112" s="737"/>
      <c r="DI112" s="737"/>
      <c r="DJ112" s="737"/>
      <c r="DK112" s="737"/>
      <c r="DL112" s="737"/>
      <c r="DM112" s="737"/>
      <c r="DN112" s="737"/>
      <c r="DO112" s="737"/>
      <c r="DP112" s="737"/>
      <c r="DQ112" s="737"/>
      <c r="DR112" s="737"/>
      <c r="DS112" s="737"/>
      <c r="DT112" s="743" t="str">
        <f t="shared" ca="1" si="242"/>
        <v>Portugal-Croatia</v>
      </c>
      <c r="DU112" s="737"/>
      <c r="DV112" s="737"/>
      <c r="DW112" s="11"/>
    </row>
    <row r="113" spans="1:127" ht="16.149999999999999" customHeight="1" thickBot="1">
      <c r="A113" s="737" t="s">
        <v>648</v>
      </c>
      <c r="B113" s="737" t="s">
        <v>728</v>
      </c>
      <c r="C113" s="738"/>
      <c r="D113" s="746" t="str">
        <f t="shared" ca="1" si="302"/>
        <v>Switzerland</v>
      </c>
      <c r="E113" s="738" t="s">
        <v>1</v>
      </c>
      <c r="F113" s="738" t="s">
        <v>721</v>
      </c>
      <c r="G113" s="747" t="s">
        <v>721</v>
      </c>
      <c r="H113" s="748">
        <f ca="1">+IF(AJ99&lt;&gt;144,SUM(H101:H112),AJ99)</f>
        <v>144</v>
      </c>
      <c r="I113" s="743"/>
      <c r="J113" s="737">
        <v>85</v>
      </c>
      <c r="K113" s="737">
        <v>46205.75</v>
      </c>
      <c r="L113" s="737" t="s">
        <v>697</v>
      </c>
      <c r="M113" s="737" t="str">
        <f t="shared" ca="1" si="304"/>
        <v>Switzerland</v>
      </c>
      <c r="N113" s="737" t="str">
        <f ca="1">+IFERROR(IF(OR(AND(LEFT(B113,1)="2",INDEX($H$101:$H$113,MATCH(F113,$G$101:$G$113,0))=12),AND(LEFT(B113,1)="2",$AJ$99=144)),INDEX($AL$6:$AL$97,MATCH(B113,$AI$6:$AI$97,0)),IF(OR(AND(LEFT(B113,1)="3",INDEX($H$101:$H$113,MATCH(F113,$G$101:$G$113,0))=144),AND(LEFT(B113,1)="3",$AJ$99=144)),INDEX(Combinaciones3!$C$2:$J$496,MATCH(1,Combinaciones3!$B$2:$B$496,0),MATCH(WORLDCUP!E113,Combinaciones3!$C$1:$J$1,0)),B113)),B113)</f>
        <v>Algeria</v>
      </c>
      <c r="O113" s="737"/>
      <c r="P113" s="737"/>
      <c r="Q113" s="737"/>
      <c r="R113" s="737"/>
      <c r="S113" s="737"/>
      <c r="T113" s="737"/>
      <c r="U113" s="737"/>
      <c r="V113" s="172"/>
      <c r="W113" s="835"/>
      <c r="X113" s="189">
        <f ca="1">Horarios!C113</f>
        <v>46206.208333333336</v>
      </c>
      <c r="Y113" s="190">
        <f ca="1">Horarios!C113</f>
        <v>46206.208333333336</v>
      </c>
      <c r="Z113" s="276">
        <f t="shared" si="309"/>
        <v>85</v>
      </c>
      <c r="AA113" s="277" t="str">
        <f t="shared" ca="1" si="305"/>
        <v>Switzerland</v>
      </c>
      <c r="AB113" s="278"/>
      <c r="AC113" s="281">
        <v>2</v>
      </c>
      <c r="AD113" s="281">
        <v>0</v>
      </c>
      <c r="AE113" s="279"/>
      <c r="AF113" s="280" t="str">
        <f t="shared" ca="1" si="306"/>
        <v>Algeria</v>
      </c>
      <c r="AG113" s="417">
        <f t="shared" ca="1" si="307"/>
        <v>1</v>
      </c>
      <c r="AH113" s="196">
        <v>85</v>
      </c>
      <c r="AI113" s="217">
        <v>12</v>
      </c>
      <c r="AJ113" s="235">
        <v>12</v>
      </c>
      <c r="AK113" s="487" t="e" cm="1" vm="33">
        <f t="array" aca="1" ref="AK113" ca="1">Ver_flag_visit</f>
        <v>#VALUE!</v>
      </c>
      <c r="AL113" s="236" t="str">
        <f t="shared" ca="1" si="310"/>
        <v>Uruguay</v>
      </c>
      <c r="AM113" s="237">
        <f t="shared" ref="AM113:AT113" ca="1" si="328">+IF($H$113&gt;=48,INDEX($BE$58:$BN$69,MATCH($AL113,$BD$58:$BD$69,0),MATCH(AM$5,$BE$57:$BN$57,0)),$BB69)</f>
        <v>2</v>
      </c>
      <c r="AN113" s="238">
        <f t="shared" ca="1" si="328"/>
        <v>3</v>
      </c>
      <c r="AO113" s="238">
        <f t="shared" ca="1" si="328"/>
        <v>0</v>
      </c>
      <c r="AP113" s="238">
        <f t="shared" ca="1" si="328"/>
        <v>2</v>
      </c>
      <c r="AQ113" s="238">
        <f t="shared" ca="1" si="328"/>
        <v>1</v>
      </c>
      <c r="AR113" s="238">
        <f t="shared" ca="1" si="328"/>
        <v>3</v>
      </c>
      <c r="AS113" s="238">
        <f t="shared" ca="1" si="328"/>
        <v>4</v>
      </c>
      <c r="AT113" s="239">
        <f t="shared" ca="1" si="328"/>
        <v>-1</v>
      </c>
      <c r="AU113" s="420">
        <f t="shared" ca="1" si="312"/>
        <v>1</v>
      </c>
      <c r="AV113" s="217" t="str">
        <f t="shared" ca="1" si="313"/>
        <v>Uruguay</v>
      </c>
      <c r="AW113" s="427"/>
      <c r="AX113" s="288"/>
      <c r="AY113" s="242"/>
      <c r="AZ113" s="243"/>
      <c r="BA113" s="175"/>
      <c r="BB113" s="737"/>
      <c r="BC113" s="737"/>
      <c r="BD113" s="737"/>
      <c r="BE113" s="737"/>
      <c r="BF113" s="737"/>
      <c r="BG113" s="737"/>
      <c r="BH113" s="737"/>
      <c r="BI113" s="737"/>
      <c r="BJ113" s="737"/>
      <c r="BK113" s="737"/>
      <c r="BL113" s="737"/>
      <c r="BM113" s="737"/>
      <c r="BN113" s="737"/>
      <c r="BO113" s="737"/>
      <c r="BP113" s="737"/>
      <c r="BQ113" s="737"/>
      <c r="BR113" s="737"/>
      <c r="BS113" s="737"/>
      <c r="BT113" s="737"/>
      <c r="BU113" s="737"/>
      <c r="BV113" s="737"/>
      <c r="BW113" s="737"/>
      <c r="BX113" s="737"/>
      <c r="BY113" s="737"/>
      <c r="BZ113" s="737"/>
      <c r="CA113" s="737"/>
      <c r="CB113" s="737"/>
      <c r="CC113" s="737"/>
      <c r="CD113" s="737"/>
      <c r="CE113" s="737"/>
      <c r="CF113" s="737"/>
      <c r="CG113" s="737"/>
      <c r="CH113" s="737"/>
      <c r="CI113" s="737"/>
      <c r="CJ113" s="737"/>
      <c r="CK113" s="737"/>
      <c r="CL113" s="737"/>
      <c r="CM113" s="737"/>
      <c r="CN113" s="737"/>
      <c r="CO113" s="737"/>
      <c r="CP113" s="737"/>
      <c r="CQ113" s="737"/>
      <c r="CR113" s="737"/>
      <c r="CS113" s="737"/>
      <c r="CT113" s="737"/>
      <c r="CU113" s="737"/>
      <c r="CV113" s="737"/>
      <c r="CW113" s="737"/>
      <c r="CX113" s="737"/>
      <c r="CY113" s="737"/>
      <c r="CZ113" s="737"/>
      <c r="DA113" s="737"/>
      <c r="DB113" s="737"/>
      <c r="DC113" s="737"/>
      <c r="DD113" s="737"/>
      <c r="DE113" s="737"/>
      <c r="DF113" s="737"/>
      <c r="DG113" s="737"/>
      <c r="DH113" s="737"/>
      <c r="DI113" s="737"/>
      <c r="DJ113" s="737"/>
      <c r="DK113" s="737"/>
      <c r="DL113" s="737"/>
      <c r="DM113" s="737"/>
      <c r="DN113" s="737"/>
      <c r="DO113" s="737"/>
      <c r="DP113" s="737"/>
      <c r="DQ113" s="737"/>
      <c r="DR113" s="737"/>
      <c r="DS113" s="737"/>
      <c r="DT113" s="743" t="str">
        <f t="shared" ca="1" si="242"/>
        <v>Switzerland-Algeria</v>
      </c>
      <c r="DU113" s="737"/>
      <c r="DV113" s="737"/>
      <c r="DW113" s="11"/>
    </row>
    <row r="114" spans="1:127" ht="16.149999999999999" customHeight="1">
      <c r="A114" s="737" t="s">
        <v>676</v>
      </c>
      <c r="B114" s="737" t="s">
        <v>671</v>
      </c>
      <c r="C114" s="738"/>
      <c r="D114" s="746" t="str">
        <f t="shared" ca="1" si="302"/>
        <v>Egypt</v>
      </c>
      <c r="E114" s="738" t="s">
        <v>5</v>
      </c>
      <c r="F114" s="738" t="s">
        <v>437</v>
      </c>
      <c r="G114" s="743"/>
      <c r="H114" s="743"/>
      <c r="I114" s="743"/>
      <c r="J114" s="737">
        <v>86</v>
      </c>
      <c r="K114" s="737">
        <v>46206.75</v>
      </c>
      <c r="L114" s="737" t="s">
        <v>698</v>
      </c>
      <c r="M114" s="737" t="str">
        <f t="shared" ca="1" si="304"/>
        <v>Argentina</v>
      </c>
      <c r="N114" s="737" t="str">
        <f ca="1">+IFERROR(IF(OR(AND(LEFT(B114,1)="2",INDEX($H$101:$H$113,MATCH(F114,$G$101:$G$113,0))=12),AND(LEFT(B114,1)="2",$AJ$99=144)),INDEX($AL$6:$AL$97,MATCH(B114,$AI$6:$AI$97,0)),IF(OR(AND(LEFT(B114,1)="3",INDEX($H$101:$H$113,MATCH(F114,$G$101:$G$113,0))=144),AND(LEFT(B114,1)="3",$AJ$99=144)),INDEX(Combinaciones3!$C$2:$J$496,MATCH(1,Combinaciones3!$B$2:$B$496,0),MATCH(WORLDCUP!E114,Combinaciones3!$C$1:$J$1,0)),B114)),B114)</f>
        <v>Cape Verde</v>
      </c>
      <c r="O114" s="737"/>
      <c r="P114" s="737"/>
      <c r="Q114" s="737"/>
      <c r="R114" s="737"/>
      <c r="S114" s="737"/>
      <c r="T114" s="737"/>
      <c r="U114" s="737"/>
      <c r="V114" s="172"/>
      <c r="W114" s="835"/>
      <c r="X114" s="189">
        <f ca="1">Horarios!C114</f>
        <v>46206.833333333336</v>
      </c>
      <c r="Y114" s="190">
        <f ca="1">Horarios!C114</f>
        <v>46206.833333333336</v>
      </c>
      <c r="Z114" s="276">
        <f t="shared" si="309"/>
        <v>88</v>
      </c>
      <c r="AA114" s="277" t="str">
        <f t="shared" ca="1" si="305"/>
        <v>Australia</v>
      </c>
      <c r="AB114" s="278">
        <v>2</v>
      </c>
      <c r="AC114" s="281">
        <v>1</v>
      </c>
      <c r="AD114" s="281">
        <v>1</v>
      </c>
      <c r="AE114" s="278">
        <v>4</v>
      </c>
      <c r="AF114" s="280" t="str">
        <f t="shared" ca="1" si="306"/>
        <v>Egypt</v>
      </c>
      <c r="AG114" s="417">
        <f t="shared" ca="1" si="307"/>
        <v>1</v>
      </c>
      <c r="AH114" s="196">
        <v>88</v>
      </c>
      <c r="AI114" s="217"/>
      <c r="AJ114" s="249"/>
      <c r="AK114" s="250"/>
      <c r="AL114" s="186"/>
      <c r="AM114" s="251"/>
      <c r="AN114" s="249"/>
      <c r="AO114" s="249"/>
      <c r="AP114" s="249"/>
      <c r="AQ114" s="249"/>
      <c r="AR114" s="249"/>
      <c r="AS114" s="249"/>
      <c r="AT114" s="249"/>
      <c r="AU114" s="216"/>
      <c r="AV114" s="216"/>
      <c r="AW114" s="296"/>
      <c r="AX114" s="296"/>
      <c r="AY114" s="242"/>
      <c r="AZ114" s="243"/>
      <c r="BA114" s="175"/>
      <c r="BB114" s="743"/>
      <c r="BC114" s="743"/>
      <c r="BD114" s="743"/>
      <c r="BE114" s="743"/>
      <c r="BF114" s="743"/>
      <c r="BG114" s="743"/>
      <c r="BH114" s="743"/>
      <c r="BI114" s="743"/>
      <c r="BJ114" s="743"/>
      <c r="BK114" s="743"/>
      <c r="BL114" s="743"/>
      <c r="BM114" s="743"/>
      <c r="BN114" s="743"/>
      <c r="BO114" s="743"/>
      <c r="BP114" s="743"/>
      <c r="BQ114" s="743"/>
      <c r="BR114" s="743"/>
      <c r="BS114" s="743"/>
      <c r="BT114" s="743"/>
      <c r="BU114" s="743"/>
      <c r="BV114" s="743"/>
      <c r="BW114" s="743"/>
      <c r="BX114" s="743"/>
      <c r="BY114" s="743"/>
      <c r="BZ114" s="743"/>
      <c r="CA114" s="743"/>
      <c r="CB114" s="743"/>
      <c r="CC114" s="743"/>
      <c r="CD114" s="743"/>
      <c r="CE114" s="743"/>
      <c r="CF114" s="743"/>
      <c r="CG114" s="743"/>
      <c r="CH114" s="743"/>
      <c r="CI114" s="743"/>
      <c r="CJ114" s="743"/>
      <c r="CK114" s="743"/>
      <c r="CL114" s="743"/>
      <c r="CM114" s="743"/>
      <c r="CN114" s="743"/>
      <c r="CO114" s="743"/>
      <c r="CP114" s="743"/>
      <c r="CQ114" s="743"/>
      <c r="CR114" s="743"/>
      <c r="CS114" s="743"/>
      <c r="CT114" s="743"/>
      <c r="CU114" s="743"/>
      <c r="CV114" s="743"/>
      <c r="CW114" s="743"/>
      <c r="CX114" s="743"/>
      <c r="CY114" s="743"/>
      <c r="CZ114" s="743"/>
      <c r="DA114" s="743"/>
      <c r="DB114" s="743"/>
      <c r="DC114" s="743"/>
      <c r="DD114" s="743"/>
      <c r="DE114" s="743"/>
      <c r="DF114" s="743"/>
      <c r="DG114" s="743"/>
      <c r="DH114" s="743"/>
      <c r="DI114" s="743"/>
      <c r="DJ114" s="743"/>
      <c r="DK114" s="743"/>
      <c r="DL114" s="743"/>
      <c r="DM114" s="743"/>
      <c r="DN114" s="743"/>
      <c r="DO114" s="743"/>
      <c r="DP114" s="743"/>
      <c r="DQ114" s="743"/>
      <c r="DR114" s="743"/>
      <c r="DS114" s="743"/>
      <c r="DT114" s="743" t="str">
        <f t="shared" ca="1" si="242"/>
        <v>Australia-Egypt</v>
      </c>
      <c r="DU114" s="743"/>
      <c r="DV114" s="743"/>
      <c r="DW114" s="8"/>
    </row>
    <row r="115" spans="1:127" ht="16.149999999999999" customHeight="1">
      <c r="A115" s="737" t="s">
        <v>679</v>
      </c>
      <c r="B115" s="737" t="s">
        <v>729</v>
      </c>
      <c r="C115" s="738"/>
      <c r="D115" s="746" t="str">
        <f t="shared" ca="1" si="302"/>
        <v>Argentina</v>
      </c>
      <c r="E115" s="738" t="s">
        <v>439</v>
      </c>
      <c r="F115" s="738" t="s">
        <v>721</v>
      </c>
      <c r="G115" s="743"/>
      <c r="H115" s="743"/>
      <c r="I115" s="743"/>
      <c r="J115" s="737">
        <v>87</v>
      </c>
      <c r="K115" s="737">
        <v>46206.75</v>
      </c>
      <c r="L115" s="737" t="s">
        <v>699</v>
      </c>
      <c r="M115" s="737" t="str">
        <f t="shared" ca="1" si="304"/>
        <v>Colombia</v>
      </c>
      <c r="N115" s="737" t="str">
        <f ca="1">+IFERROR(IF(OR(AND(LEFT(B115,1)="2",INDEX($H$101:$H$113,MATCH(F115,$G$101:$G$113,0))=12),AND(LEFT(B115,1)="2",$AJ$99=144)),INDEX($AL$6:$AL$97,MATCH(B115,$AI$6:$AI$97,0)),IF(OR(AND(LEFT(B115,1)="3",INDEX($H$101:$H$113,MATCH(F115,$G$101:$G$113,0))=144),AND(LEFT(B115,1)="3",$AJ$99=144)),INDEX(Combinaciones3!$C$2:$J$496,MATCH(1,Combinaciones3!$B$2:$B$496,0),MATCH(WORLDCUP!E115,Combinaciones3!$C$1:$J$1,0)),B115)),B115)</f>
        <v>Ghana</v>
      </c>
      <c r="O115" s="737"/>
      <c r="P115" s="737"/>
      <c r="Q115" s="737"/>
      <c r="R115" s="737"/>
      <c r="S115" s="737"/>
      <c r="T115" s="737"/>
      <c r="U115" s="737"/>
      <c r="V115" s="172"/>
      <c r="W115" s="835"/>
      <c r="X115" s="189">
        <f ca="1">Horarios!C115</f>
        <v>46207</v>
      </c>
      <c r="Y115" s="190">
        <f ca="1">Horarios!C115</f>
        <v>46207</v>
      </c>
      <c r="Z115" s="276">
        <f t="shared" si="309"/>
        <v>86</v>
      </c>
      <c r="AA115" s="277" t="str">
        <f t="shared" ca="1" si="305"/>
        <v>Argentina</v>
      </c>
      <c r="AB115" s="278"/>
      <c r="AC115" s="281">
        <v>3</v>
      </c>
      <c r="AD115" s="281">
        <v>2</v>
      </c>
      <c r="AE115" s="278"/>
      <c r="AF115" s="280" t="str">
        <f t="shared" ca="1" si="306"/>
        <v>Cape Verde</v>
      </c>
      <c r="AG115" s="417">
        <f t="shared" ca="1" si="307"/>
        <v>1</v>
      </c>
      <c r="AH115" s="196">
        <v>86</v>
      </c>
      <c r="AI115" s="217"/>
      <c r="AJ115" s="186"/>
      <c r="AK115" s="252"/>
      <c r="AL115" s="19" t="str">
        <f>+IF($AJ$99&gt;=48,Idiomas!D78,"")</f>
        <v/>
      </c>
      <c r="AM115" s="186"/>
      <c r="AN115" s="186"/>
      <c r="AO115" s="186"/>
      <c r="AP115" s="186"/>
      <c r="AQ115" s="186"/>
      <c r="AR115" s="186"/>
      <c r="AS115" s="186"/>
      <c r="AT115" s="186"/>
      <c r="AU115" s="22"/>
      <c r="AV115" s="22"/>
      <c r="AW115" s="298"/>
      <c r="AX115" s="298"/>
      <c r="AY115" s="242"/>
      <c r="AZ115" s="243"/>
      <c r="BA115" s="175"/>
      <c r="BB115" s="743"/>
      <c r="BC115" s="743"/>
      <c r="BD115" s="743"/>
      <c r="BE115" s="743"/>
      <c r="BF115" s="743"/>
      <c r="BG115" s="743"/>
      <c r="BH115" s="743"/>
      <c r="BI115" s="743"/>
      <c r="BJ115" s="743"/>
      <c r="BK115" s="743"/>
      <c r="BL115" s="743"/>
      <c r="BM115" s="743"/>
      <c r="BN115" s="743"/>
      <c r="BO115" s="743"/>
      <c r="BP115" s="743"/>
      <c r="BQ115" s="743"/>
      <c r="BR115" s="743"/>
      <c r="BS115" s="743"/>
      <c r="BT115" s="743"/>
      <c r="BU115" s="743"/>
      <c r="BV115" s="743"/>
      <c r="BW115" s="743"/>
      <c r="BX115" s="743"/>
      <c r="BY115" s="743"/>
      <c r="BZ115" s="743"/>
      <c r="CA115" s="743"/>
      <c r="CB115" s="743"/>
      <c r="CC115" s="743"/>
      <c r="CD115" s="743"/>
      <c r="CE115" s="743"/>
      <c r="CF115" s="743"/>
      <c r="CG115" s="743"/>
      <c r="CH115" s="743"/>
      <c r="CI115" s="743"/>
      <c r="CJ115" s="743"/>
      <c r="CK115" s="743"/>
      <c r="CL115" s="743"/>
      <c r="CM115" s="743"/>
      <c r="CN115" s="743"/>
      <c r="CO115" s="743"/>
      <c r="CP115" s="743"/>
      <c r="CQ115" s="743"/>
      <c r="CR115" s="743"/>
      <c r="CS115" s="743"/>
      <c r="CT115" s="743"/>
      <c r="CU115" s="743"/>
      <c r="CV115" s="743"/>
      <c r="CW115" s="743"/>
      <c r="CX115" s="743"/>
      <c r="CY115" s="743"/>
      <c r="CZ115" s="743"/>
      <c r="DA115" s="743"/>
      <c r="DB115" s="743"/>
      <c r="DC115" s="743"/>
      <c r="DD115" s="743"/>
      <c r="DE115" s="743"/>
      <c r="DF115" s="743"/>
      <c r="DG115" s="743"/>
      <c r="DH115" s="743"/>
      <c r="DI115" s="743"/>
      <c r="DJ115" s="743"/>
      <c r="DK115" s="743"/>
      <c r="DL115" s="743"/>
      <c r="DM115" s="743"/>
      <c r="DN115" s="743"/>
      <c r="DO115" s="743"/>
      <c r="DP115" s="743"/>
      <c r="DQ115" s="743"/>
      <c r="DR115" s="743"/>
      <c r="DS115" s="743"/>
      <c r="DT115" s="743" t="str">
        <f t="shared" ca="1" si="242"/>
        <v>Argentina-Cape Verde</v>
      </c>
      <c r="DU115" s="743"/>
      <c r="DV115" s="743"/>
      <c r="DW115" s="8"/>
    </row>
    <row r="116" spans="1:127" ht="16.149999999999999" customHeight="1" thickBot="1">
      <c r="A116" s="737" t="s">
        <v>659</v>
      </c>
      <c r="B116" s="737" t="s">
        <v>668</v>
      </c>
      <c r="C116" s="738"/>
      <c r="D116" s="746" t="str">
        <f t="shared" ca="1" si="302"/>
        <v>Colombia</v>
      </c>
      <c r="E116" s="738" t="s">
        <v>73</v>
      </c>
      <c r="F116" s="738" t="s">
        <v>6</v>
      </c>
      <c r="G116" s="743"/>
      <c r="H116" s="743"/>
      <c r="I116" s="743"/>
      <c r="J116" s="737">
        <v>88</v>
      </c>
      <c r="K116" s="737">
        <v>46206.75</v>
      </c>
      <c r="L116" s="737" t="s">
        <v>700</v>
      </c>
      <c r="M116" s="737" t="str">
        <f t="shared" ca="1" si="304"/>
        <v>Australia</v>
      </c>
      <c r="N116" s="737" t="str">
        <f ca="1">+IFERROR(IF(OR(AND(LEFT(B116,1)="2",INDEX($H$101:$H$113,MATCH(F116,$G$101:$G$113,0))=12),AND(LEFT(B116,1)="2",$AJ$99=144)),INDEX($AL$6:$AL$97,MATCH(B116,$AI$6:$AI$97,0)),IF(OR(AND(LEFT(B116,1)="3",INDEX($H$101:$H$113,MATCH(F116,$G$101:$G$113,0))=144),AND(LEFT(B116,1)="3",$AJ$99=144)),INDEX(Combinaciones3!$C$2:$J$496,MATCH(1,Combinaciones3!$B$2:$B$496,0),MATCH(WORLDCUP!E116,Combinaciones3!$C$1:$J$1,0)),B116)),B116)</f>
        <v>Egypt</v>
      </c>
      <c r="O116" s="737"/>
      <c r="P116" s="737"/>
      <c r="Q116" s="737"/>
      <c r="R116" s="737"/>
      <c r="S116" s="737"/>
      <c r="T116" s="737"/>
      <c r="U116" s="737"/>
      <c r="V116" s="172"/>
      <c r="W116" s="836"/>
      <c r="X116" s="228">
        <f ca="1">Horarios!C116</f>
        <v>46207.145833333336</v>
      </c>
      <c r="Y116" s="229">
        <f ca="1">Horarios!C116</f>
        <v>46207.145833333336</v>
      </c>
      <c r="Z116" s="299">
        <f t="shared" si="309"/>
        <v>87</v>
      </c>
      <c r="AA116" s="300" t="str">
        <f t="shared" ca="1" si="305"/>
        <v>Colombia</v>
      </c>
      <c r="AB116" s="301"/>
      <c r="AC116" s="302">
        <v>1</v>
      </c>
      <c r="AD116" s="302">
        <v>0</v>
      </c>
      <c r="AE116" s="301"/>
      <c r="AF116" s="303" t="str">
        <f t="shared" ca="1" si="306"/>
        <v>Ghana</v>
      </c>
      <c r="AG116" s="417">
        <f t="shared" ca="1" si="307"/>
        <v>1</v>
      </c>
      <c r="AH116" s="196">
        <v>87</v>
      </c>
      <c r="AI116" s="217"/>
      <c r="AJ116" s="178"/>
      <c r="AK116" s="178"/>
      <c r="AL116" s="495" t="s">
        <v>1808</v>
      </c>
      <c r="AM116" s="297"/>
      <c r="AN116" s="297"/>
      <c r="AO116" s="297"/>
      <c r="AP116" s="297"/>
      <c r="AQ116" s="297"/>
      <c r="AR116" s="297"/>
      <c r="AS116" s="297"/>
      <c r="AT116" s="297"/>
      <c r="AU116" s="19"/>
      <c r="AV116" s="19"/>
      <c r="AW116" s="297"/>
      <c r="AX116" s="297"/>
      <c r="AY116" s="242"/>
      <c r="AZ116" s="243"/>
      <c r="BA116" s="175"/>
      <c r="BB116" s="743"/>
      <c r="BC116" s="743"/>
      <c r="BD116" s="743"/>
      <c r="BE116" s="743"/>
      <c r="BF116" s="743"/>
      <c r="BG116" s="743"/>
      <c r="BH116" s="743"/>
      <c r="BI116" s="743"/>
      <c r="BJ116" s="743"/>
      <c r="BK116" s="743"/>
      <c r="BL116" s="743"/>
      <c r="BM116" s="743"/>
      <c r="BN116" s="743"/>
      <c r="BO116" s="743"/>
      <c r="BP116" s="743"/>
      <c r="BQ116" s="743"/>
      <c r="BR116" s="743"/>
      <c r="BS116" s="743"/>
      <c r="BT116" s="743"/>
      <c r="BU116" s="743"/>
      <c r="BV116" s="743"/>
      <c r="BW116" s="743"/>
      <c r="BX116" s="743"/>
      <c r="BY116" s="743"/>
      <c r="BZ116" s="743"/>
      <c r="CA116" s="743"/>
      <c r="CB116" s="743"/>
      <c r="CC116" s="743"/>
      <c r="CD116" s="743"/>
      <c r="CE116" s="743"/>
      <c r="CF116" s="743"/>
      <c r="CG116" s="743"/>
      <c r="CH116" s="743"/>
      <c r="CI116" s="743"/>
      <c r="CJ116" s="743"/>
      <c r="CK116" s="743"/>
      <c r="CL116" s="743"/>
      <c r="CM116" s="743"/>
      <c r="CN116" s="743"/>
      <c r="CO116" s="743"/>
      <c r="CP116" s="743"/>
      <c r="CQ116" s="743"/>
      <c r="CR116" s="743"/>
      <c r="CS116" s="743"/>
      <c r="CT116" s="743"/>
      <c r="CU116" s="743"/>
      <c r="CV116" s="743"/>
      <c r="CW116" s="743"/>
      <c r="CX116" s="743"/>
      <c r="CY116" s="743"/>
      <c r="CZ116" s="743"/>
      <c r="DA116" s="743"/>
      <c r="DB116" s="743"/>
      <c r="DC116" s="743"/>
      <c r="DD116" s="743"/>
      <c r="DE116" s="743"/>
      <c r="DF116" s="743"/>
      <c r="DG116" s="743"/>
      <c r="DH116" s="743"/>
      <c r="DI116" s="743"/>
      <c r="DJ116" s="743"/>
      <c r="DK116" s="743"/>
      <c r="DL116" s="743"/>
      <c r="DM116" s="743"/>
      <c r="DN116" s="743"/>
      <c r="DO116" s="743"/>
      <c r="DP116" s="743"/>
      <c r="DQ116" s="743"/>
      <c r="DR116" s="743"/>
      <c r="DS116" s="743"/>
      <c r="DT116" s="743" t="str">
        <f t="shared" ca="1" si="242"/>
        <v>Colombia-Ghana</v>
      </c>
      <c r="DU116" s="743"/>
      <c r="DV116" s="743"/>
      <c r="DW116" s="8"/>
    </row>
    <row r="117" spans="1:127" ht="16.149999999999999" customHeight="1" thickBot="1">
      <c r="A117" s="738"/>
      <c r="B117" s="738"/>
      <c r="C117" s="738"/>
      <c r="D117" s="749"/>
      <c r="E117" s="743"/>
      <c r="F117" s="743"/>
      <c r="G117" s="743"/>
      <c r="H117" s="743"/>
      <c r="I117" s="743"/>
      <c r="J117" s="743"/>
      <c r="K117" s="743"/>
      <c r="L117" s="743"/>
      <c r="M117" s="743"/>
      <c r="N117" s="743"/>
      <c r="O117" s="743"/>
      <c r="P117" s="743"/>
      <c r="Q117" s="743"/>
      <c r="R117" s="743"/>
      <c r="S117" s="743"/>
      <c r="T117" s="743"/>
      <c r="U117" s="743"/>
      <c r="V117" s="172"/>
      <c r="W117" s="242"/>
      <c r="X117" s="243"/>
      <c r="Y117" s="242"/>
      <c r="Z117" s="244"/>
      <c r="AA117" s="245"/>
      <c r="AB117" s="246"/>
      <c r="AC117" s="247"/>
      <c r="AD117" s="247"/>
      <c r="AE117" s="246"/>
      <c r="AF117" s="248"/>
      <c r="AG117" s="416"/>
      <c r="AH117" s="196"/>
      <c r="AI117" s="217"/>
      <c r="AJ117" s="178"/>
      <c r="AK117" s="178"/>
      <c r="AL117" s="178"/>
      <c r="AM117" s="297"/>
      <c r="AN117" s="297"/>
      <c r="AO117" s="297"/>
      <c r="AP117" s="297"/>
      <c r="AQ117" s="297"/>
      <c r="AR117" s="297"/>
      <c r="AS117" s="297"/>
      <c r="AT117" s="297"/>
      <c r="AU117" s="19"/>
      <c r="AV117" s="19"/>
      <c r="AW117" s="297"/>
      <c r="AX117" s="297"/>
      <c r="AY117" s="242"/>
      <c r="AZ117" s="243"/>
      <c r="BA117" s="175"/>
      <c r="BB117" s="743"/>
      <c r="BC117" s="743"/>
      <c r="BD117" s="743"/>
      <c r="BE117" s="743"/>
      <c r="BF117" s="760" t="s">
        <v>645</v>
      </c>
      <c r="BG117" s="743" t="str">
        <f ca="1">+INDEX(Combinaciones3!$P$2:$W$496,MATCH(1,Combinaciones3!$B$2:$B$497,0),MATCH(WORLDCUP!BF117,Combinaciones3!$P$1:$W$1,0))</f>
        <v>3E</v>
      </c>
      <c r="BH117" s="743"/>
      <c r="BI117" s="743"/>
      <c r="BJ117" s="743"/>
      <c r="BK117" s="743"/>
      <c r="BL117" s="743"/>
      <c r="BM117" s="743"/>
      <c r="BN117" s="743"/>
      <c r="BO117" s="743"/>
      <c r="BP117" s="743"/>
      <c r="BQ117" s="743"/>
      <c r="BR117" s="743"/>
      <c r="BS117" s="743"/>
      <c r="BT117" s="743"/>
      <c r="BU117" s="743"/>
      <c r="BV117" s="743"/>
      <c r="BW117" s="743"/>
      <c r="BX117" s="743"/>
      <c r="BY117" s="743"/>
      <c r="BZ117" s="743"/>
      <c r="CA117" s="743"/>
      <c r="CB117" s="743"/>
      <c r="CC117" s="743"/>
      <c r="CD117" s="743"/>
      <c r="CE117" s="743"/>
      <c r="CF117" s="743"/>
      <c r="CG117" s="743"/>
      <c r="CH117" s="743"/>
      <c r="CI117" s="743"/>
      <c r="CJ117" s="743"/>
      <c r="CK117" s="743"/>
      <c r="CL117" s="743"/>
      <c r="CM117" s="743"/>
      <c r="CN117" s="743"/>
      <c r="CO117" s="743"/>
      <c r="CP117" s="743"/>
      <c r="CQ117" s="743"/>
      <c r="CR117" s="743"/>
      <c r="CS117" s="743"/>
      <c r="CT117" s="743"/>
      <c r="CU117" s="743"/>
      <c r="CV117" s="743"/>
      <c r="CW117" s="743"/>
      <c r="CX117" s="743"/>
      <c r="CY117" s="743"/>
      <c r="CZ117" s="743"/>
      <c r="DA117" s="743"/>
      <c r="DB117" s="743"/>
      <c r="DC117" s="743"/>
      <c r="DD117" s="743"/>
      <c r="DE117" s="743"/>
      <c r="DF117" s="743"/>
      <c r="DG117" s="743"/>
      <c r="DH117" s="743"/>
      <c r="DI117" s="743"/>
      <c r="DJ117" s="743"/>
      <c r="DK117" s="743"/>
      <c r="DL117" s="743"/>
      <c r="DM117" s="743"/>
      <c r="DN117" s="743"/>
      <c r="DO117" s="743"/>
      <c r="DP117" s="743"/>
      <c r="DQ117" s="743"/>
      <c r="DR117" s="743"/>
      <c r="DS117" s="743"/>
      <c r="DT117" s="743" t="str">
        <f t="shared" si="242"/>
        <v>-</v>
      </c>
      <c r="DU117" s="743"/>
      <c r="DV117" s="743"/>
      <c r="DW117" s="8"/>
    </row>
    <row r="118" spans="1:127" ht="16.149999999999999" customHeight="1" thickBot="1">
      <c r="A118" s="738"/>
      <c r="B118" s="738"/>
      <c r="C118" s="738"/>
      <c r="D118" s="749"/>
      <c r="E118" s="743"/>
      <c r="F118" s="743"/>
      <c r="G118" s="743"/>
      <c r="H118" s="743"/>
      <c r="I118" s="743"/>
      <c r="J118" s="743"/>
      <c r="K118" s="743"/>
      <c r="L118" s="743"/>
      <c r="M118" s="743"/>
      <c r="N118" s="743"/>
      <c r="O118" s="743"/>
      <c r="P118" s="743"/>
      <c r="Q118" s="743"/>
      <c r="R118" s="743"/>
      <c r="S118" s="743"/>
      <c r="T118" s="743"/>
      <c r="U118" s="743"/>
      <c r="V118" s="172"/>
      <c r="W118" s="269" t="str">
        <f>Idiomas!D26</f>
        <v>Round of 16</v>
      </c>
      <c r="X118" s="270"/>
      <c r="Y118" s="271"/>
      <c r="Z118" s="271"/>
      <c r="AA118" s="271"/>
      <c r="AB118" s="271"/>
      <c r="AC118" s="271"/>
      <c r="AD118" s="271"/>
      <c r="AE118" s="271"/>
      <c r="AF118" s="272"/>
      <c r="AG118" s="416"/>
      <c r="AH118" s="196"/>
      <c r="AI118" s="217"/>
      <c r="AJ118" s="297"/>
      <c r="AK118" s="178"/>
      <c r="AL118" s="304"/>
      <c r="AM118" s="297"/>
      <c r="AN118" s="297"/>
      <c r="AO118" s="297"/>
      <c r="AP118" s="297"/>
      <c r="AQ118" s="297"/>
      <c r="AR118" s="297"/>
      <c r="AS118" s="297"/>
      <c r="AT118" s="297"/>
      <c r="AU118" s="19"/>
      <c r="AV118" s="19"/>
      <c r="AW118" s="297"/>
      <c r="AX118" s="297"/>
      <c r="AY118" s="242"/>
      <c r="AZ118" s="243"/>
      <c r="BA118" s="17"/>
      <c r="BB118" s="743"/>
      <c r="BC118" s="743"/>
      <c r="BD118" s="743"/>
      <c r="BE118" s="743"/>
      <c r="BF118" s="760" t="s">
        <v>648</v>
      </c>
      <c r="BG118" s="743" t="str">
        <f ca="1">+INDEX(Combinaciones3!$P$2:$W$496,MATCH(1,Combinaciones3!$B$2:$B$497,0),MATCH(WORLDCUP!BF118,Combinaciones3!$P$1:$W$1,0))</f>
        <v>3J</v>
      </c>
      <c r="BH118" s="743"/>
      <c r="BI118" s="743"/>
      <c r="BJ118" s="743"/>
      <c r="BK118" s="743"/>
      <c r="BL118" s="743"/>
      <c r="BM118" s="743"/>
      <c r="BN118" s="743"/>
      <c r="BO118" s="743"/>
      <c r="BP118" s="743"/>
      <c r="BQ118" s="743"/>
      <c r="BR118" s="743"/>
      <c r="BS118" s="743"/>
      <c r="BT118" s="743"/>
      <c r="BU118" s="743"/>
      <c r="BV118" s="743"/>
      <c r="BW118" s="743"/>
      <c r="BX118" s="743"/>
      <c r="BY118" s="743"/>
      <c r="BZ118" s="743"/>
      <c r="CA118" s="743"/>
      <c r="CB118" s="743"/>
      <c r="CC118" s="743"/>
      <c r="CD118" s="743"/>
      <c r="CE118" s="743"/>
      <c r="CF118" s="743"/>
      <c r="CG118" s="743"/>
      <c r="CH118" s="743"/>
      <c r="CI118" s="743"/>
      <c r="CJ118" s="743"/>
      <c r="CK118" s="743"/>
      <c r="CL118" s="743"/>
      <c r="CM118" s="743"/>
      <c r="CN118" s="743"/>
      <c r="CO118" s="743"/>
      <c r="CP118" s="743"/>
      <c r="CQ118" s="743"/>
      <c r="CR118" s="743"/>
      <c r="CS118" s="743"/>
      <c r="CT118" s="743"/>
      <c r="CU118" s="743"/>
      <c r="CV118" s="743"/>
      <c r="CW118" s="743"/>
      <c r="CX118" s="743"/>
      <c r="CY118" s="743"/>
      <c r="CZ118" s="743"/>
      <c r="DA118" s="743"/>
      <c r="DB118" s="743"/>
      <c r="DC118" s="743"/>
      <c r="DD118" s="743"/>
      <c r="DE118" s="743"/>
      <c r="DF118" s="743"/>
      <c r="DG118" s="743"/>
      <c r="DH118" s="743"/>
      <c r="DI118" s="743"/>
      <c r="DJ118" s="743"/>
      <c r="DK118" s="743"/>
      <c r="DL118" s="743"/>
      <c r="DM118" s="743"/>
      <c r="DN118" s="743"/>
      <c r="DO118" s="743"/>
      <c r="DP118" s="743"/>
      <c r="DQ118" s="743"/>
      <c r="DR118" s="743"/>
      <c r="DS118" s="743"/>
      <c r="DT118" s="743" t="str">
        <f t="shared" si="242"/>
        <v>-</v>
      </c>
      <c r="DU118" s="743"/>
      <c r="DV118" s="743"/>
      <c r="DW118" s="8"/>
    </row>
    <row r="119" spans="1:127" ht="16.149999999999999" customHeight="1">
      <c r="A119" s="738"/>
      <c r="B119" s="738"/>
      <c r="C119" s="738"/>
      <c r="D119" s="749"/>
      <c r="E119" s="743"/>
      <c r="F119" s="743"/>
      <c r="G119" s="743"/>
      <c r="H119" s="743"/>
      <c r="I119" s="743"/>
      <c r="J119" s="743"/>
      <c r="K119" s="743"/>
      <c r="L119" s="743"/>
      <c r="M119" s="743"/>
      <c r="N119" s="743"/>
      <c r="O119" s="743"/>
      <c r="P119" s="743"/>
      <c r="Q119" s="743"/>
      <c r="R119" s="743"/>
      <c r="S119" s="743"/>
      <c r="T119" s="743"/>
      <c r="U119" s="743"/>
      <c r="V119" s="172"/>
      <c r="W119" s="179"/>
      <c r="X119" s="180" t="str">
        <f>X3</f>
        <v>Date</v>
      </c>
      <c r="Y119" s="180" t="str">
        <f>Y3</f>
        <v>Hour</v>
      </c>
      <c r="Z119" s="265"/>
      <c r="AA119" s="266" t="str">
        <f>AA3</f>
        <v>Home</v>
      </c>
      <c r="AB119" s="265" t="s">
        <v>13</v>
      </c>
      <c r="AC119" s="180" t="str">
        <f>AC3</f>
        <v>Goal</v>
      </c>
      <c r="AD119" s="180" t="str">
        <f>AD3</f>
        <v>Goal</v>
      </c>
      <c r="AE119" s="265" t="s">
        <v>13</v>
      </c>
      <c r="AF119" s="267" t="str">
        <f>AF3</f>
        <v>Away</v>
      </c>
      <c r="AG119" s="416"/>
      <c r="AH119" s="196"/>
      <c r="AI119" s="217"/>
      <c r="AJ119" s="178"/>
      <c r="AK119" s="178"/>
      <c r="AL119" s="178"/>
      <c r="AM119" s="297"/>
      <c r="AN119" s="297"/>
      <c r="AO119" s="297"/>
      <c r="AP119" s="297"/>
      <c r="AQ119" s="297"/>
      <c r="AR119" s="297"/>
      <c r="AS119" s="297"/>
      <c r="AT119" s="297"/>
      <c r="AU119" s="19"/>
      <c r="AV119" s="19"/>
      <c r="AW119" s="297"/>
      <c r="AX119" s="297"/>
      <c r="AY119" s="242"/>
      <c r="AZ119" s="243"/>
      <c r="BA119" s="175"/>
      <c r="BB119" s="743"/>
      <c r="BC119" s="743"/>
      <c r="BD119" s="743"/>
      <c r="BE119" s="743"/>
      <c r="BF119" s="760" t="s">
        <v>658</v>
      </c>
      <c r="BG119" s="743" t="str">
        <f ca="1">+INDEX(Combinaciones3!$P$2:$W$496,MATCH(1,Combinaciones3!$B$2:$B$497,0),MATCH(WORLDCUP!BF119,Combinaciones3!$P$1:$W$1,0))</f>
        <v>3B</v>
      </c>
      <c r="BH119" s="743"/>
      <c r="BI119" s="743"/>
      <c r="BJ119" s="743"/>
      <c r="BK119" s="743"/>
      <c r="BL119" s="743"/>
      <c r="BM119" s="743"/>
      <c r="BN119" s="743"/>
      <c r="BO119" s="743"/>
      <c r="BP119" s="743"/>
      <c r="BQ119" s="743"/>
      <c r="BR119" s="743"/>
      <c r="BS119" s="743"/>
      <c r="BT119" s="743"/>
      <c r="BU119" s="743"/>
      <c r="BV119" s="743"/>
      <c r="BW119" s="743"/>
      <c r="BX119" s="743"/>
      <c r="BY119" s="743"/>
      <c r="BZ119" s="743"/>
      <c r="CA119" s="743"/>
      <c r="CB119" s="743"/>
      <c r="CC119" s="743"/>
      <c r="CD119" s="743"/>
      <c r="CE119" s="743"/>
      <c r="CF119" s="743"/>
      <c r="CG119" s="743"/>
      <c r="CH119" s="743"/>
      <c r="CI119" s="743"/>
      <c r="CJ119" s="743"/>
      <c r="CK119" s="743"/>
      <c r="CL119" s="743"/>
      <c r="CM119" s="743"/>
      <c r="CN119" s="743"/>
      <c r="CO119" s="743"/>
      <c r="CP119" s="743"/>
      <c r="CQ119" s="743"/>
      <c r="CR119" s="743"/>
      <c r="CS119" s="743"/>
      <c r="CT119" s="743"/>
      <c r="CU119" s="743"/>
      <c r="CV119" s="743"/>
      <c r="CW119" s="743"/>
      <c r="CX119" s="743"/>
      <c r="CY119" s="743"/>
      <c r="CZ119" s="743"/>
      <c r="DA119" s="743"/>
      <c r="DB119" s="743"/>
      <c r="DC119" s="743"/>
      <c r="DD119" s="743"/>
      <c r="DE119" s="743"/>
      <c r="DF119" s="743"/>
      <c r="DG119" s="743"/>
      <c r="DH119" s="743"/>
      <c r="DI119" s="743"/>
      <c r="DJ119" s="743"/>
      <c r="DK119" s="743"/>
      <c r="DL119" s="743"/>
      <c r="DM119" s="743"/>
      <c r="DN119" s="743"/>
      <c r="DO119" s="743"/>
      <c r="DP119" s="743"/>
      <c r="DQ119" s="743"/>
      <c r="DR119" s="743"/>
      <c r="DS119" s="743"/>
      <c r="DT119" s="743" t="str">
        <f t="shared" si="242"/>
        <v>Home-Away</v>
      </c>
      <c r="DU119" s="743"/>
      <c r="DV119" s="743"/>
      <c r="DW119" s="8"/>
    </row>
    <row r="120" spans="1:127" ht="16.149999999999999" customHeight="1">
      <c r="A120" s="737" t="s">
        <v>730</v>
      </c>
      <c r="B120" s="737" t="s">
        <v>731</v>
      </c>
      <c r="C120" s="738"/>
      <c r="D120" s="746" t="str">
        <f t="shared" ref="D120:D127" ca="1" si="329">IF(AND(OR(AC120="",AD120="")),"W"&amp;AH120,IF(AC120&gt;AD120,AA120,IF(AC120&lt;AD120,AF120,IF(AND(AC120=AD120,AB120=AE120),"W"&amp;AH120,IF(AND(AC120=AD120,OR(AB120="",AE120="")),"W"&amp;AH120,IF(AND(AC120=AD120,AB120&gt;AE120),AA120,AF120))))))</f>
        <v>Morocco</v>
      </c>
      <c r="E120" s="743">
        <v>74</v>
      </c>
      <c r="F120" s="743">
        <v>77</v>
      </c>
      <c r="G120" s="743"/>
      <c r="H120" s="743"/>
      <c r="I120" s="743"/>
      <c r="J120" s="737">
        <v>89</v>
      </c>
      <c r="K120" s="737">
        <v>46207.75</v>
      </c>
      <c r="L120" s="737" t="s">
        <v>701</v>
      </c>
      <c r="M120" s="743" t="str">
        <f t="shared" ref="M120:N127" ca="1" si="330">+INDEX($D$101:$D$147,MATCH(E120,$AH$101:$AH$147,0))</f>
        <v>Paraguay</v>
      </c>
      <c r="N120" s="743" t="str">
        <f t="shared" ca="1" si="330"/>
        <v>France</v>
      </c>
      <c r="O120" s="743"/>
      <c r="P120" s="743"/>
      <c r="Q120" s="743"/>
      <c r="R120" s="743"/>
      <c r="S120" s="743"/>
      <c r="T120" s="743"/>
      <c r="U120" s="743"/>
      <c r="V120" s="172"/>
      <c r="W120" s="837" t="s">
        <v>88</v>
      </c>
      <c r="X120" s="189">
        <f ca="1">Horarios!C120</f>
        <v>46207.791666666664</v>
      </c>
      <c r="Y120" s="190">
        <f ca="1">Horarios!C120</f>
        <v>46207.791666666664</v>
      </c>
      <c r="Z120" s="276">
        <f t="shared" ref="Z120:Z127" si="331">AH120</f>
        <v>90</v>
      </c>
      <c r="AA120" s="277" t="str">
        <f t="shared" ref="AA120:AA127" ca="1" si="332">+INDEX($M$101:$M$147,MATCH(AH120,$J$101:$J$147,0))</f>
        <v>Canada</v>
      </c>
      <c r="AB120" s="278"/>
      <c r="AC120" s="305">
        <v>0</v>
      </c>
      <c r="AD120" s="305">
        <v>3</v>
      </c>
      <c r="AE120" s="278"/>
      <c r="AF120" s="280" t="str">
        <f t="shared" ref="AF120:AF127" ca="1" si="333">+INDEX($N$101:$N$147,MATCH(AH120,$J$101:$J$147,0))</f>
        <v>Morocco</v>
      </c>
      <c r="AG120" s="417">
        <f t="shared" ref="AG120:AG127" ca="1" si="334">IF(D120="W"&amp;AH120,0,1)</f>
        <v>1</v>
      </c>
      <c r="AH120" s="196">
        <v>90</v>
      </c>
      <c r="AI120" s="217"/>
      <c r="AJ120" s="178"/>
      <c r="AK120" s="178"/>
      <c r="AL120" s="306"/>
      <c r="AM120" s="297"/>
      <c r="AN120" s="297"/>
      <c r="AO120" s="297"/>
      <c r="AP120" s="297"/>
      <c r="AQ120" s="297"/>
      <c r="AR120" s="297"/>
      <c r="AS120" s="297"/>
      <c r="AT120" s="297"/>
      <c r="AU120" s="19"/>
      <c r="AV120" s="19"/>
      <c r="AW120" s="297"/>
      <c r="AX120" s="297"/>
      <c r="AY120" s="242"/>
      <c r="AZ120" s="243"/>
      <c r="BA120" s="175"/>
      <c r="BB120" s="743"/>
      <c r="BC120" s="743"/>
      <c r="BD120" s="743"/>
      <c r="BE120" s="743"/>
      <c r="BF120" s="760" t="s">
        <v>661</v>
      </c>
      <c r="BG120" s="743" t="str">
        <f ca="1">+INDEX(Combinaciones3!$P$2:$W$496,MATCH(1,Combinaciones3!$B$2:$B$497,0),MATCH(WORLDCUP!BF120,Combinaciones3!$P$1:$W$1,0))</f>
        <v>3D</v>
      </c>
      <c r="BH120" s="743"/>
      <c r="BI120" s="743"/>
      <c r="BJ120" s="743"/>
      <c r="BK120" s="743"/>
      <c r="BL120" s="743"/>
      <c r="BM120" s="743"/>
      <c r="BN120" s="743"/>
      <c r="BO120" s="743"/>
      <c r="BP120" s="743"/>
      <c r="BQ120" s="743"/>
      <c r="BR120" s="743"/>
      <c r="BS120" s="743"/>
      <c r="BT120" s="743"/>
      <c r="BU120" s="743"/>
      <c r="BV120" s="743"/>
      <c r="BW120" s="743"/>
      <c r="BX120" s="743"/>
      <c r="BY120" s="743"/>
      <c r="BZ120" s="743"/>
      <c r="CA120" s="743"/>
      <c r="CB120" s="743"/>
      <c r="CC120" s="743"/>
      <c r="CD120" s="743"/>
      <c r="CE120" s="743"/>
      <c r="CF120" s="743"/>
      <c r="CG120" s="743"/>
      <c r="CH120" s="743"/>
      <c r="CI120" s="743"/>
      <c r="CJ120" s="743"/>
      <c r="CK120" s="743"/>
      <c r="CL120" s="743"/>
      <c r="CM120" s="743"/>
      <c r="CN120" s="743"/>
      <c r="CO120" s="743"/>
      <c r="CP120" s="743"/>
      <c r="CQ120" s="743"/>
      <c r="CR120" s="743"/>
      <c r="CS120" s="743"/>
      <c r="CT120" s="743"/>
      <c r="CU120" s="743"/>
      <c r="CV120" s="743"/>
      <c r="CW120" s="743"/>
      <c r="CX120" s="743"/>
      <c r="CY120" s="743"/>
      <c r="CZ120" s="743"/>
      <c r="DA120" s="743"/>
      <c r="DB120" s="743"/>
      <c r="DC120" s="743"/>
      <c r="DD120" s="743"/>
      <c r="DE120" s="743"/>
      <c r="DF120" s="743"/>
      <c r="DG120" s="743"/>
      <c r="DH120" s="743"/>
      <c r="DI120" s="743"/>
      <c r="DJ120" s="743"/>
      <c r="DK120" s="743"/>
      <c r="DL120" s="743"/>
      <c r="DM120" s="743"/>
      <c r="DN120" s="743"/>
      <c r="DO120" s="743"/>
      <c r="DP120" s="743"/>
      <c r="DQ120" s="743"/>
      <c r="DR120" s="743"/>
      <c r="DS120" s="743"/>
      <c r="DT120" s="743" t="str">
        <f t="shared" ca="1" si="242"/>
        <v>Canada-Morocco</v>
      </c>
      <c r="DU120" s="743"/>
      <c r="DV120" s="743"/>
      <c r="DW120" s="8"/>
    </row>
    <row r="121" spans="1:127" ht="16.149999999999999" customHeight="1">
      <c r="A121" s="737" t="s">
        <v>732</v>
      </c>
      <c r="B121" s="737" t="s">
        <v>733</v>
      </c>
      <c r="C121" s="738"/>
      <c r="D121" s="746" t="str">
        <f t="shared" ca="1" si="329"/>
        <v>France</v>
      </c>
      <c r="E121" s="743">
        <v>73</v>
      </c>
      <c r="F121" s="743">
        <v>75</v>
      </c>
      <c r="G121" s="743"/>
      <c r="H121" s="743"/>
      <c r="I121" s="743"/>
      <c r="J121" s="737">
        <v>90</v>
      </c>
      <c r="K121" s="737">
        <v>46207.875</v>
      </c>
      <c r="L121" s="737" t="s">
        <v>702</v>
      </c>
      <c r="M121" s="743" t="str">
        <f t="shared" ca="1" si="330"/>
        <v>Canada</v>
      </c>
      <c r="N121" s="743" t="str">
        <f t="shared" ca="1" si="330"/>
        <v>Morocco</v>
      </c>
      <c r="O121" s="743"/>
      <c r="P121" s="743"/>
      <c r="Q121" s="743"/>
      <c r="R121" s="743"/>
      <c r="S121" s="743"/>
      <c r="T121" s="743"/>
      <c r="U121" s="743"/>
      <c r="V121" s="172"/>
      <c r="W121" s="837"/>
      <c r="X121" s="189">
        <f ca="1">Horarios!C121</f>
        <v>46207.958333333336</v>
      </c>
      <c r="Y121" s="190">
        <f ca="1">Horarios!C121</f>
        <v>46207.958333333336</v>
      </c>
      <c r="Z121" s="276">
        <f t="shared" si="331"/>
        <v>89</v>
      </c>
      <c r="AA121" s="277" t="str">
        <f t="shared" ca="1" si="332"/>
        <v>Paraguay</v>
      </c>
      <c r="AB121" s="278"/>
      <c r="AC121" s="307">
        <v>0</v>
      </c>
      <c r="AD121" s="307">
        <v>1</v>
      </c>
      <c r="AE121" s="278"/>
      <c r="AF121" s="280" t="str">
        <f t="shared" ca="1" si="333"/>
        <v>France</v>
      </c>
      <c r="AG121" s="417">
        <f t="shared" ca="1" si="334"/>
        <v>1</v>
      </c>
      <c r="AH121" s="196">
        <v>89</v>
      </c>
      <c r="AI121" s="217"/>
      <c r="AJ121" s="178"/>
      <c r="AK121" s="178"/>
      <c r="AL121" s="178"/>
      <c r="AM121" s="297"/>
      <c r="AN121" s="297"/>
      <c r="AO121" s="297"/>
      <c r="AP121" s="297"/>
      <c r="AQ121" s="297"/>
      <c r="AR121" s="297"/>
      <c r="AS121" s="297"/>
      <c r="AT121" s="297"/>
      <c r="AU121" s="19"/>
      <c r="AV121" s="19"/>
      <c r="AW121" s="297"/>
      <c r="AX121" s="297"/>
      <c r="AY121" s="242"/>
      <c r="AZ121" s="243"/>
      <c r="BA121" s="175"/>
      <c r="BB121" s="743"/>
      <c r="BC121" s="743"/>
      <c r="BD121" s="743"/>
      <c r="BE121" s="743"/>
      <c r="BF121" s="760" t="s">
        <v>667</v>
      </c>
      <c r="BG121" s="743" t="str">
        <f ca="1">+INDEX(Combinaciones3!$P$2:$W$496,MATCH(1,Combinaciones3!$B$2:$B$497,0),MATCH(WORLDCUP!BF121,Combinaciones3!$P$1:$W$1,0))</f>
        <v>3I</v>
      </c>
      <c r="BH121" s="743"/>
      <c r="BI121" s="743"/>
      <c r="BJ121" s="743"/>
      <c r="BK121" s="743"/>
      <c r="BL121" s="743"/>
      <c r="BM121" s="743"/>
      <c r="BN121" s="743"/>
      <c r="BO121" s="743"/>
      <c r="BP121" s="743"/>
      <c r="BQ121" s="743"/>
      <c r="BR121" s="743"/>
      <c r="BS121" s="743"/>
      <c r="BT121" s="743"/>
      <c r="BU121" s="743"/>
      <c r="BV121" s="743"/>
      <c r="BW121" s="743"/>
      <c r="BX121" s="743"/>
      <c r="BY121" s="743"/>
      <c r="BZ121" s="743"/>
      <c r="CA121" s="743"/>
      <c r="CB121" s="743"/>
      <c r="CC121" s="743"/>
      <c r="CD121" s="743"/>
      <c r="CE121" s="743"/>
      <c r="CF121" s="743"/>
      <c r="CG121" s="743"/>
      <c r="CH121" s="743"/>
      <c r="CI121" s="743"/>
      <c r="CJ121" s="743"/>
      <c r="CK121" s="743"/>
      <c r="CL121" s="743"/>
      <c r="CM121" s="743"/>
      <c r="CN121" s="743"/>
      <c r="CO121" s="743"/>
      <c r="CP121" s="743"/>
      <c r="CQ121" s="743"/>
      <c r="CR121" s="743"/>
      <c r="CS121" s="743"/>
      <c r="CT121" s="743"/>
      <c r="CU121" s="743"/>
      <c r="CV121" s="743"/>
      <c r="CW121" s="743"/>
      <c r="CX121" s="743"/>
      <c r="CY121" s="743"/>
      <c r="CZ121" s="743"/>
      <c r="DA121" s="743"/>
      <c r="DB121" s="743"/>
      <c r="DC121" s="743"/>
      <c r="DD121" s="743"/>
      <c r="DE121" s="743"/>
      <c r="DF121" s="743"/>
      <c r="DG121" s="743"/>
      <c r="DH121" s="743"/>
      <c r="DI121" s="743"/>
      <c r="DJ121" s="743"/>
      <c r="DK121" s="743"/>
      <c r="DL121" s="743"/>
      <c r="DM121" s="743"/>
      <c r="DN121" s="743"/>
      <c r="DO121" s="743"/>
      <c r="DP121" s="743"/>
      <c r="DQ121" s="743"/>
      <c r="DR121" s="743"/>
      <c r="DS121" s="743"/>
      <c r="DT121" s="743" t="str">
        <f t="shared" ca="1" si="242"/>
        <v>Paraguay-France</v>
      </c>
      <c r="DU121" s="743"/>
      <c r="DV121" s="743"/>
      <c r="DW121" s="8"/>
    </row>
    <row r="122" spans="1:127" ht="16.149999999999999" customHeight="1">
      <c r="A122" s="737" t="s">
        <v>734</v>
      </c>
      <c r="B122" s="737" t="s">
        <v>735</v>
      </c>
      <c r="C122" s="738"/>
      <c r="D122" s="746" t="str">
        <f t="shared" ca="1" si="329"/>
        <v>Norway</v>
      </c>
      <c r="E122" s="743">
        <v>76</v>
      </c>
      <c r="F122" s="743">
        <v>78</v>
      </c>
      <c r="G122" s="743"/>
      <c r="H122" s="743"/>
      <c r="I122" s="743"/>
      <c r="J122" s="737">
        <v>91</v>
      </c>
      <c r="K122" s="737">
        <v>46208.75</v>
      </c>
      <c r="L122" s="737" t="s">
        <v>703</v>
      </c>
      <c r="M122" s="743" t="str">
        <f t="shared" ca="1" si="330"/>
        <v>Brazil</v>
      </c>
      <c r="N122" s="743" t="str">
        <f t="shared" ca="1" si="330"/>
        <v>Norway</v>
      </c>
      <c r="O122" s="743"/>
      <c r="P122" s="743"/>
      <c r="Q122" s="743"/>
      <c r="R122" s="743"/>
      <c r="S122" s="743"/>
      <c r="T122" s="743"/>
      <c r="U122" s="743"/>
      <c r="V122" s="172"/>
      <c r="W122" s="837"/>
      <c r="X122" s="189">
        <f ca="1">Horarios!C122</f>
        <v>46208.916666666664</v>
      </c>
      <c r="Y122" s="190">
        <f ca="1">Horarios!C122</f>
        <v>46208.916666666664</v>
      </c>
      <c r="Z122" s="276">
        <f t="shared" si="331"/>
        <v>91</v>
      </c>
      <c r="AA122" s="277" t="str">
        <f t="shared" ca="1" si="332"/>
        <v>Brazil</v>
      </c>
      <c r="AB122" s="278"/>
      <c r="AC122" s="307">
        <v>1</v>
      </c>
      <c r="AD122" s="307">
        <v>2</v>
      </c>
      <c r="AE122" s="278"/>
      <c r="AF122" s="280" t="str">
        <f t="shared" ca="1" si="333"/>
        <v>Norway</v>
      </c>
      <c r="AG122" s="417">
        <f t="shared" ca="1" si="334"/>
        <v>1</v>
      </c>
      <c r="AH122" s="196">
        <v>91</v>
      </c>
      <c r="AI122" s="217"/>
      <c r="AJ122" s="178"/>
      <c r="AK122" s="178"/>
      <c r="AL122" s="178"/>
      <c r="AM122" s="297"/>
      <c r="AN122" s="297"/>
      <c r="AO122" s="297"/>
      <c r="AP122" s="297"/>
      <c r="AQ122" s="297"/>
      <c r="AR122" s="297"/>
      <c r="AS122" s="297"/>
      <c r="AT122" s="297"/>
      <c r="AU122" s="19"/>
      <c r="AV122" s="19"/>
      <c r="AW122" s="297"/>
      <c r="AX122" s="297"/>
      <c r="AY122" s="242"/>
      <c r="AZ122" s="243"/>
      <c r="BA122" s="175"/>
      <c r="BB122" s="743"/>
      <c r="BC122" s="743"/>
      <c r="BD122" s="743"/>
      <c r="BE122" s="743"/>
      <c r="BF122" s="751" t="s">
        <v>673</v>
      </c>
      <c r="BG122" s="743" t="str">
        <f ca="1">+INDEX(Combinaciones3!$P$2:$W$496,MATCH(1,Combinaciones3!$B$2:$B$497,0),MATCH(WORLDCUP!BF122,Combinaciones3!$P$1:$W$1,0))</f>
        <v>3F</v>
      </c>
      <c r="BH122" s="743"/>
      <c r="BI122" s="743"/>
      <c r="BJ122" s="743"/>
      <c r="BK122" s="743"/>
      <c r="BL122" s="743"/>
      <c r="BM122" s="743"/>
      <c r="BN122" s="743"/>
      <c r="BO122" s="743"/>
      <c r="BP122" s="743"/>
      <c r="BQ122" s="743"/>
      <c r="BR122" s="743"/>
      <c r="BS122" s="743"/>
      <c r="BT122" s="743"/>
      <c r="BU122" s="743"/>
      <c r="BV122" s="743"/>
      <c r="BW122" s="743"/>
      <c r="BX122" s="743"/>
      <c r="BY122" s="743"/>
      <c r="BZ122" s="743"/>
      <c r="CA122" s="743"/>
      <c r="CB122" s="743"/>
      <c r="CC122" s="743"/>
      <c r="CD122" s="743"/>
      <c r="CE122" s="743"/>
      <c r="CF122" s="743"/>
      <c r="CG122" s="743"/>
      <c r="CH122" s="743"/>
      <c r="CI122" s="743"/>
      <c r="CJ122" s="743"/>
      <c r="CK122" s="743"/>
      <c r="CL122" s="743"/>
      <c r="CM122" s="743"/>
      <c r="CN122" s="743"/>
      <c r="CO122" s="743"/>
      <c r="CP122" s="743"/>
      <c r="CQ122" s="743"/>
      <c r="CR122" s="743"/>
      <c r="CS122" s="743"/>
      <c r="CT122" s="743"/>
      <c r="CU122" s="743"/>
      <c r="CV122" s="743"/>
      <c r="CW122" s="743"/>
      <c r="CX122" s="743"/>
      <c r="CY122" s="743"/>
      <c r="CZ122" s="743"/>
      <c r="DA122" s="743"/>
      <c r="DB122" s="743"/>
      <c r="DC122" s="743"/>
      <c r="DD122" s="743"/>
      <c r="DE122" s="743"/>
      <c r="DF122" s="743"/>
      <c r="DG122" s="743"/>
      <c r="DH122" s="743"/>
      <c r="DI122" s="743"/>
      <c r="DJ122" s="743"/>
      <c r="DK122" s="743"/>
      <c r="DL122" s="743"/>
      <c r="DM122" s="743"/>
      <c r="DN122" s="743"/>
      <c r="DO122" s="743"/>
      <c r="DP122" s="743"/>
      <c r="DQ122" s="743"/>
      <c r="DR122" s="743"/>
      <c r="DS122" s="743"/>
      <c r="DT122" s="743" t="str">
        <f t="shared" ca="1" si="242"/>
        <v>Brazil-Norway</v>
      </c>
      <c r="DU122" s="743"/>
      <c r="DV122" s="743"/>
      <c r="DW122" s="8"/>
    </row>
    <row r="123" spans="1:127" ht="16.149999999999999" customHeight="1">
      <c r="A123" s="737" t="s">
        <v>736</v>
      </c>
      <c r="B123" s="737" t="s">
        <v>737</v>
      </c>
      <c r="C123" s="738"/>
      <c r="D123" s="746" t="str">
        <f t="shared" ca="1" si="329"/>
        <v>England</v>
      </c>
      <c r="E123" s="743">
        <v>79</v>
      </c>
      <c r="F123" s="743">
        <v>80</v>
      </c>
      <c r="G123" s="743"/>
      <c r="H123" s="743"/>
      <c r="I123" s="743"/>
      <c r="J123" s="737">
        <v>92</v>
      </c>
      <c r="K123" s="737">
        <v>46208.875</v>
      </c>
      <c r="L123" s="737" t="s">
        <v>704</v>
      </c>
      <c r="M123" s="743" t="str">
        <f t="shared" ca="1" si="330"/>
        <v>Mexico</v>
      </c>
      <c r="N123" s="743" t="str">
        <f t="shared" ca="1" si="330"/>
        <v>England</v>
      </c>
      <c r="O123" s="743"/>
      <c r="P123" s="743"/>
      <c r="Q123" s="743"/>
      <c r="R123" s="743"/>
      <c r="S123" s="743"/>
      <c r="T123" s="743"/>
      <c r="U123" s="743"/>
      <c r="V123" s="172"/>
      <c r="W123" s="837"/>
      <c r="X123" s="189">
        <f ca="1">Horarios!C123</f>
        <v>46209.083333333336</v>
      </c>
      <c r="Y123" s="190">
        <f ca="1">Horarios!C123</f>
        <v>46209.083333333336</v>
      </c>
      <c r="Z123" s="276">
        <f t="shared" si="331"/>
        <v>92</v>
      </c>
      <c r="AA123" s="277" t="str">
        <f t="shared" ca="1" si="332"/>
        <v>Mexico</v>
      </c>
      <c r="AB123" s="278"/>
      <c r="AC123" s="307">
        <v>2</v>
      </c>
      <c r="AD123" s="307">
        <v>3</v>
      </c>
      <c r="AE123" s="278"/>
      <c r="AF123" s="280" t="str">
        <f t="shared" ca="1" si="333"/>
        <v>England</v>
      </c>
      <c r="AG123" s="417">
        <f t="shared" ca="1" si="334"/>
        <v>1</v>
      </c>
      <c r="AH123" s="196">
        <v>92</v>
      </c>
      <c r="AI123" s="217"/>
      <c r="AJ123" s="178"/>
      <c r="AK123" s="178"/>
      <c r="AL123" s="178"/>
      <c r="AM123" s="297"/>
      <c r="AN123" s="297"/>
      <c r="AO123" s="297"/>
      <c r="AP123" s="297"/>
      <c r="AQ123" s="297"/>
      <c r="AR123" s="297"/>
      <c r="AS123" s="297"/>
      <c r="AT123" s="297"/>
      <c r="AU123" s="19"/>
      <c r="AV123" s="19"/>
      <c r="AW123" s="297"/>
      <c r="AX123" s="297"/>
      <c r="AY123" s="242"/>
      <c r="AZ123" s="243"/>
      <c r="BA123" s="175"/>
      <c r="BB123" s="743"/>
      <c r="BC123" s="743"/>
      <c r="BD123" s="743"/>
      <c r="BE123" s="743"/>
      <c r="BF123" s="751" t="s">
        <v>679</v>
      </c>
      <c r="BG123" s="743" t="str">
        <f ca="1">+INDEX(Combinaciones3!$P$2:$W$496,MATCH(1,Combinaciones3!$B$2:$B$497,0),MATCH(WORLDCUP!BF123,Combinaciones3!$P$1:$W$1,0))</f>
        <v>3L</v>
      </c>
      <c r="BH123" s="743"/>
      <c r="BI123" s="743"/>
      <c r="BJ123" s="743"/>
      <c r="BK123" s="743"/>
      <c r="BL123" s="743"/>
      <c r="BM123" s="743"/>
      <c r="BN123" s="743"/>
      <c r="BO123" s="743"/>
      <c r="BP123" s="743"/>
      <c r="BQ123" s="743"/>
      <c r="BR123" s="743"/>
      <c r="BS123" s="743"/>
      <c r="BT123" s="743"/>
      <c r="BU123" s="743"/>
      <c r="BV123" s="743"/>
      <c r="BW123" s="743"/>
      <c r="BX123" s="743"/>
      <c r="BY123" s="743"/>
      <c r="BZ123" s="743"/>
      <c r="CA123" s="743"/>
      <c r="CB123" s="743"/>
      <c r="CC123" s="743"/>
      <c r="CD123" s="743"/>
      <c r="CE123" s="743"/>
      <c r="CF123" s="743"/>
      <c r="CG123" s="743"/>
      <c r="CH123" s="743"/>
      <c r="CI123" s="743"/>
      <c r="CJ123" s="743"/>
      <c r="CK123" s="743"/>
      <c r="CL123" s="743"/>
      <c r="CM123" s="743"/>
      <c r="CN123" s="743"/>
      <c r="CO123" s="743"/>
      <c r="CP123" s="743"/>
      <c r="CQ123" s="743"/>
      <c r="CR123" s="743"/>
      <c r="CS123" s="743"/>
      <c r="CT123" s="743"/>
      <c r="CU123" s="743"/>
      <c r="CV123" s="743"/>
      <c r="CW123" s="743"/>
      <c r="CX123" s="743"/>
      <c r="CY123" s="743"/>
      <c r="CZ123" s="743"/>
      <c r="DA123" s="743"/>
      <c r="DB123" s="743"/>
      <c r="DC123" s="743"/>
      <c r="DD123" s="743"/>
      <c r="DE123" s="743"/>
      <c r="DF123" s="743"/>
      <c r="DG123" s="743"/>
      <c r="DH123" s="743"/>
      <c r="DI123" s="743"/>
      <c r="DJ123" s="743"/>
      <c r="DK123" s="743"/>
      <c r="DL123" s="743"/>
      <c r="DM123" s="743"/>
      <c r="DN123" s="743"/>
      <c r="DO123" s="743"/>
      <c r="DP123" s="743"/>
      <c r="DQ123" s="743"/>
      <c r="DR123" s="743"/>
      <c r="DS123" s="743"/>
      <c r="DT123" s="743" t="str">
        <f t="shared" ca="1" si="242"/>
        <v>Mexico-England</v>
      </c>
      <c r="DU123" s="743"/>
      <c r="DV123" s="743"/>
      <c r="DW123" s="8"/>
    </row>
    <row r="124" spans="1:127" ht="16.149999999999999" customHeight="1">
      <c r="A124" s="737" t="s">
        <v>738</v>
      </c>
      <c r="B124" s="737" t="s">
        <v>739</v>
      </c>
      <c r="C124" s="738"/>
      <c r="D124" s="746" t="str">
        <f t="shared" ca="1" si="329"/>
        <v>Spain</v>
      </c>
      <c r="E124" s="743">
        <v>83</v>
      </c>
      <c r="F124" s="743">
        <v>84</v>
      </c>
      <c r="G124" s="743"/>
      <c r="H124" s="743"/>
      <c r="I124" s="743"/>
      <c r="J124" s="737">
        <v>93</v>
      </c>
      <c r="K124" s="737">
        <v>46209.75</v>
      </c>
      <c r="L124" s="737" t="s">
        <v>705</v>
      </c>
      <c r="M124" s="743" t="str">
        <f t="shared" ca="1" si="330"/>
        <v>Portugal</v>
      </c>
      <c r="N124" s="743" t="str">
        <f t="shared" ca="1" si="330"/>
        <v>Spain</v>
      </c>
      <c r="O124" s="743"/>
      <c r="P124" s="743"/>
      <c r="Q124" s="743"/>
      <c r="R124" s="743"/>
      <c r="S124" s="743"/>
      <c r="T124" s="743"/>
      <c r="U124" s="743"/>
      <c r="V124" s="172"/>
      <c r="W124" s="837"/>
      <c r="X124" s="189">
        <f ca="1">Horarios!C124</f>
        <v>46209.875</v>
      </c>
      <c r="Y124" s="190">
        <f ca="1">Horarios!C124</f>
        <v>46209.875</v>
      </c>
      <c r="Z124" s="276">
        <f t="shared" si="331"/>
        <v>93</v>
      </c>
      <c r="AA124" s="277" t="str">
        <f t="shared" ca="1" si="332"/>
        <v>Portugal</v>
      </c>
      <c r="AB124" s="308"/>
      <c r="AC124" s="307">
        <v>0</v>
      </c>
      <c r="AD124" s="307">
        <v>1</v>
      </c>
      <c r="AE124" s="279"/>
      <c r="AF124" s="280" t="str">
        <f t="shared" ca="1" si="333"/>
        <v>Spain</v>
      </c>
      <c r="AG124" s="417">
        <f t="shared" ca="1" si="334"/>
        <v>1</v>
      </c>
      <c r="AH124" s="196">
        <v>93</v>
      </c>
      <c r="AI124" s="217"/>
      <c r="AJ124" s="178"/>
      <c r="AK124" s="178"/>
      <c r="AL124" s="178"/>
      <c r="AM124" s="297"/>
      <c r="AN124" s="297"/>
      <c r="AO124" s="297"/>
      <c r="AP124" s="297"/>
      <c r="AQ124" s="297"/>
      <c r="AR124" s="297"/>
      <c r="AS124" s="297"/>
      <c r="AT124" s="297"/>
      <c r="AU124" s="19"/>
      <c r="AV124" s="19"/>
      <c r="AW124" s="297"/>
      <c r="AX124" s="297"/>
      <c r="AY124" s="242"/>
      <c r="AZ124" s="243"/>
      <c r="BA124" s="175"/>
      <c r="BB124" s="743"/>
      <c r="BC124" s="743"/>
      <c r="BD124" s="743"/>
      <c r="BE124" s="743"/>
      <c r="BF124" s="751" t="s">
        <v>682</v>
      </c>
      <c r="BG124" s="743" t="str">
        <f ca="1">+INDEX(Combinaciones3!$P$2:$W$496,MATCH(1,Combinaciones3!$B$2:$B$497,0),MATCH(WORLDCUP!BF124,Combinaciones3!$P$1:$W$1,0))</f>
        <v>3K</v>
      </c>
      <c r="BH124" s="743"/>
      <c r="BI124" s="743"/>
      <c r="BJ124" s="743"/>
      <c r="BK124" s="743"/>
      <c r="BL124" s="743"/>
      <c r="BM124" s="743"/>
      <c r="BN124" s="743"/>
      <c r="BO124" s="743"/>
      <c r="BP124" s="743"/>
      <c r="BQ124" s="743"/>
      <c r="BR124" s="743"/>
      <c r="BS124" s="743"/>
      <c r="BT124" s="743"/>
      <c r="BU124" s="743"/>
      <c r="BV124" s="743"/>
      <c r="BW124" s="743"/>
      <c r="BX124" s="743"/>
      <c r="BY124" s="743"/>
      <c r="BZ124" s="743"/>
      <c r="CA124" s="743"/>
      <c r="CB124" s="743"/>
      <c r="CC124" s="743"/>
      <c r="CD124" s="743"/>
      <c r="CE124" s="743"/>
      <c r="CF124" s="743"/>
      <c r="CG124" s="743"/>
      <c r="CH124" s="743"/>
      <c r="CI124" s="743"/>
      <c r="CJ124" s="743"/>
      <c r="CK124" s="743"/>
      <c r="CL124" s="743"/>
      <c r="CM124" s="743"/>
      <c r="CN124" s="743"/>
      <c r="CO124" s="743"/>
      <c r="CP124" s="743"/>
      <c r="CQ124" s="743"/>
      <c r="CR124" s="743"/>
      <c r="CS124" s="743"/>
      <c r="CT124" s="743"/>
      <c r="CU124" s="743"/>
      <c r="CV124" s="743"/>
      <c r="CW124" s="743"/>
      <c r="CX124" s="743"/>
      <c r="CY124" s="743"/>
      <c r="CZ124" s="743"/>
      <c r="DA124" s="743"/>
      <c r="DB124" s="743"/>
      <c r="DC124" s="743"/>
      <c r="DD124" s="743"/>
      <c r="DE124" s="743"/>
      <c r="DF124" s="743"/>
      <c r="DG124" s="743"/>
      <c r="DH124" s="743"/>
      <c r="DI124" s="743"/>
      <c r="DJ124" s="743"/>
      <c r="DK124" s="743"/>
      <c r="DL124" s="743"/>
      <c r="DM124" s="743"/>
      <c r="DN124" s="743"/>
      <c r="DO124" s="743"/>
      <c r="DP124" s="743"/>
      <c r="DQ124" s="743"/>
      <c r="DR124" s="743"/>
      <c r="DS124" s="743"/>
      <c r="DT124" s="743" t="str">
        <f t="shared" ca="1" si="242"/>
        <v>Portugal-Spain</v>
      </c>
      <c r="DU124" s="743"/>
      <c r="DV124" s="743"/>
      <c r="DW124" s="8"/>
    </row>
    <row r="125" spans="1:127" ht="16.149999999999999" customHeight="1">
      <c r="A125" s="737" t="s">
        <v>740</v>
      </c>
      <c r="B125" s="737" t="s">
        <v>741</v>
      </c>
      <c r="C125" s="738"/>
      <c r="D125" s="746" t="str">
        <f t="shared" ca="1" si="329"/>
        <v>Belgium</v>
      </c>
      <c r="E125" s="743">
        <v>81</v>
      </c>
      <c r="F125" s="743">
        <v>82</v>
      </c>
      <c r="G125" s="743"/>
      <c r="H125" s="743"/>
      <c r="I125" s="743"/>
      <c r="J125" s="737">
        <v>94</v>
      </c>
      <c r="K125" s="737">
        <v>46209.875</v>
      </c>
      <c r="L125" s="737" t="s">
        <v>706</v>
      </c>
      <c r="M125" s="743" t="str">
        <f t="shared" ca="1" si="330"/>
        <v>United States</v>
      </c>
      <c r="N125" s="743" t="str">
        <f t="shared" ca="1" si="330"/>
        <v>Belgium</v>
      </c>
      <c r="O125" s="743"/>
      <c r="P125" s="743"/>
      <c r="Q125" s="743"/>
      <c r="R125" s="743"/>
      <c r="S125" s="743"/>
      <c r="T125" s="743"/>
      <c r="U125" s="743"/>
      <c r="V125" s="172"/>
      <c r="W125" s="837"/>
      <c r="X125" s="189">
        <f ca="1">Horarios!C125</f>
        <v>46210.083333333336</v>
      </c>
      <c r="Y125" s="190">
        <f ca="1">Horarios!C125</f>
        <v>46210.083333333336</v>
      </c>
      <c r="Z125" s="276">
        <f t="shared" si="331"/>
        <v>94</v>
      </c>
      <c r="AA125" s="277" t="str">
        <f t="shared" ca="1" si="332"/>
        <v>United States</v>
      </c>
      <c r="AB125" s="278"/>
      <c r="AC125" s="309">
        <v>1</v>
      </c>
      <c r="AD125" s="309">
        <v>4</v>
      </c>
      <c r="AE125" s="278"/>
      <c r="AF125" s="280" t="str">
        <f t="shared" ca="1" si="333"/>
        <v>Belgium</v>
      </c>
      <c r="AG125" s="417">
        <f t="shared" ca="1" si="334"/>
        <v>1</v>
      </c>
      <c r="AH125" s="196">
        <v>94</v>
      </c>
      <c r="AI125" s="217"/>
      <c r="AJ125" s="178"/>
      <c r="AK125" s="178"/>
      <c r="AL125" s="178"/>
      <c r="AM125" s="297"/>
      <c r="AN125" s="297"/>
      <c r="AO125" s="297"/>
      <c r="AP125" s="297"/>
      <c r="AQ125" s="297"/>
      <c r="AR125" s="297"/>
      <c r="AS125" s="297"/>
      <c r="AT125" s="297"/>
      <c r="AU125" s="19"/>
      <c r="AV125" s="19"/>
      <c r="AW125" s="297"/>
      <c r="AX125" s="297"/>
      <c r="AY125" s="242"/>
      <c r="AZ125" s="243"/>
      <c r="BA125" s="175"/>
      <c r="BB125" s="743"/>
      <c r="BC125" s="743"/>
      <c r="BD125" s="743"/>
      <c r="BE125" s="743"/>
      <c r="BF125" s="743"/>
      <c r="BG125" s="743"/>
      <c r="BH125" s="743"/>
      <c r="BI125" s="743"/>
      <c r="BJ125" s="743"/>
      <c r="BK125" s="743"/>
      <c r="BL125" s="743"/>
      <c r="BM125" s="743"/>
      <c r="BN125" s="743"/>
      <c r="BO125" s="743"/>
      <c r="BP125" s="743"/>
      <c r="BQ125" s="743"/>
      <c r="BR125" s="743"/>
      <c r="BS125" s="743"/>
      <c r="BT125" s="743"/>
      <c r="BU125" s="743"/>
      <c r="BV125" s="743"/>
      <c r="BW125" s="743"/>
      <c r="BX125" s="743"/>
      <c r="BY125" s="743"/>
      <c r="BZ125" s="743"/>
      <c r="CA125" s="743"/>
      <c r="CB125" s="743"/>
      <c r="CC125" s="743"/>
      <c r="CD125" s="743"/>
      <c r="CE125" s="743"/>
      <c r="CF125" s="743"/>
      <c r="CG125" s="743"/>
      <c r="CH125" s="743"/>
      <c r="CI125" s="743"/>
      <c r="CJ125" s="743"/>
      <c r="CK125" s="743"/>
      <c r="CL125" s="743"/>
      <c r="CM125" s="743"/>
      <c r="CN125" s="743"/>
      <c r="CO125" s="743"/>
      <c r="CP125" s="743"/>
      <c r="CQ125" s="743"/>
      <c r="CR125" s="743"/>
      <c r="CS125" s="743"/>
      <c r="CT125" s="743"/>
      <c r="CU125" s="743"/>
      <c r="CV125" s="743"/>
      <c r="CW125" s="743"/>
      <c r="CX125" s="743"/>
      <c r="CY125" s="743"/>
      <c r="CZ125" s="743"/>
      <c r="DA125" s="743"/>
      <c r="DB125" s="743"/>
      <c r="DC125" s="743"/>
      <c r="DD125" s="743"/>
      <c r="DE125" s="743"/>
      <c r="DF125" s="743"/>
      <c r="DG125" s="743"/>
      <c r="DH125" s="743"/>
      <c r="DI125" s="743"/>
      <c r="DJ125" s="743"/>
      <c r="DK125" s="743"/>
      <c r="DL125" s="743"/>
      <c r="DM125" s="743"/>
      <c r="DN125" s="743"/>
      <c r="DO125" s="743"/>
      <c r="DP125" s="743"/>
      <c r="DQ125" s="743"/>
      <c r="DR125" s="743"/>
      <c r="DS125" s="743"/>
      <c r="DT125" s="743" t="str">
        <f t="shared" ca="1" si="242"/>
        <v>United States-Belgium</v>
      </c>
      <c r="DU125" s="743"/>
      <c r="DV125" s="743"/>
      <c r="DW125" s="8"/>
    </row>
    <row r="126" spans="1:127" ht="16.149999999999999" customHeight="1">
      <c r="A126" s="737" t="s">
        <v>742</v>
      </c>
      <c r="B126" s="737" t="s">
        <v>743</v>
      </c>
      <c r="C126" s="738"/>
      <c r="D126" s="746" t="str">
        <f t="shared" ca="1" si="329"/>
        <v>Argentina</v>
      </c>
      <c r="E126" s="743">
        <v>86</v>
      </c>
      <c r="F126" s="743">
        <v>88</v>
      </c>
      <c r="G126" s="743"/>
      <c r="H126" s="743"/>
      <c r="I126" s="743"/>
      <c r="J126" s="737">
        <v>95</v>
      </c>
      <c r="K126" s="737">
        <v>46210.75</v>
      </c>
      <c r="L126" s="737" t="s">
        <v>707</v>
      </c>
      <c r="M126" s="743" t="str">
        <f t="shared" ca="1" si="330"/>
        <v>Argentina</v>
      </c>
      <c r="N126" s="743" t="str">
        <f t="shared" ca="1" si="330"/>
        <v>Egypt</v>
      </c>
      <c r="O126" s="743"/>
      <c r="P126" s="743"/>
      <c r="Q126" s="743"/>
      <c r="R126" s="743"/>
      <c r="S126" s="743"/>
      <c r="T126" s="743"/>
      <c r="U126" s="743"/>
      <c r="V126" s="172"/>
      <c r="W126" s="837"/>
      <c r="X126" s="189">
        <f ca="1">Horarios!C126</f>
        <v>46210.75</v>
      </c>
      <c r="Y126" s="190">
        <f ca="1">Horarios!C126</f>
        <v>46210.75</v>
      </c>
      <c r="Z126" s="276">
        <f t="shared" si="331"/>
        <v>95</v>
      </c>
      <c r="AA126" s="277" t="str">
        <f t="shared" ca="1" si="332"/>
        <v>Argentina</v>
      </c>
      <c r="AB126" s="278"/>
      <c r="AC126" s="309">
        <v>3</v>
      </c>
      <c r="AD126" s="309">
        <v>2</v>
      </c>
      <c r="AE126" s="278"/>
      <c r="AF126" s="280" t="str">
        <f t="shared" ca="1" si="333"/>
        <v>Egypt</v>
      </c>
      <c r="AG126" s="417">
        <f t="shared" ca="1" si="334"/>
        <v>1</v>
      </c>
      <c r="AH126" s="196">
        <v>95</v>
      </c>
      <c r="AI126" s="217"/>
      <c r="AJ126" s="178"/>
      <c r="AK126" s="178"/>
      <c r="AL126" s="178"/>
      <c r="AM126" s="297"/>
      <c r="AN126" s="297"/>
      <c r="AO126" s="297"/>
      <c r="AP126" s="297"/>
      <c r="AQ126" s="297"/>
      <c r="AR126" s="297"/>
      <c r="AS126" s="297"/>
      <c r="AT126" s="297"/>
      <c r="AU126" s="19"/>
      <c r="AV126" s="19"/>
      <c r="AW126" s="297"/>
      <c r="AX126" s="297"/>
      <c r="AY126" s="242"/>
      <c r="AZ126" s="243"/>
      <c r="BA126" s="175"/>
      <c r="BB126" s="743"/>
      <c r="BC126" s="743"/>
      <c r="BD126" s="743"/>
      <c r="BE126" s="743"/>
      <c r="BF126" s="743"/>
      <c r="BG126" s="743"/>
      <c r="BH126" s="743"/>
      <c r="BI126" s="743"/>
      <c r="BJ126" s="743"/>
      <c r="BK126" s="743"/>
      <c r="BL126" s="743"/>
      <c r="BM126" s="743"/>
      <c r="BN126" s="743"/>
      <c r="BO126" s="743"/>
      <c r="BP126" s="743"/>
      <c r="BQ126" s="743"/>
      <c r="BR126" s="743"/>
      <c r="BS126" s="743"/>
      <c r="BT126" s="743"/>
      <c r="BU126" s="743"/>
      <c r="BV126" s="743"/>
      <c r="BW126" s="743"/>
      <c r="BX126" s="743"/>
      <c r="BY126" s="743"/>
      <c r="BZ126" s="743"/>
      <c r="CA126" s="743"/>
      <c r="CB126" s="743"/>
      <c r="CC126" s="743"/>
      <c r="CD126" s="743"/>
      <c r="CE126" s="743"/>
      <c r="CF126" s="743"/>
      <c r="CG126" s="743"/>
      <c r="CH126" s="743"/>
      <c r="CI126" s="743"/>
      <c r="CJ126" s="743"/>
      <c r="CK126" s="743"/>
      <c r="CL126" s="743"/>
      <c r="CM126" s="743"/>
      <c r="CN126" s="743"/>
      <c r="CO126" s="743"/>
      <c r="CP126" s="743"/>
      <c r="CQ126" s="743"/>
      <c r="CR126" s="743"/>
      <c r="CS126" s="743"/>
      <c r="CT126" s="743"/>
      <c r="CU126" s="743"/>
      <c r="CV126" s="743"/>
      <c r="CW126" s="743"/>
      <c r="CX126" s="743"/>
      <c r="CY126" s="743"/>
      <c r="CZ126" s="743"/>
      <c r="DA126" s="743"/>
      <c r="DB126" s="743"/>
      <c r="DC126" s="743"/>
      <c r="DD126" s="743"/>
      <c r="DE126" s="743"/>
      <c r="DF126" s="743"/>
      <c r="DG126" s="743"/>
      <c r="DH126" s="743"/>
      <c r="DI126" s="743"/>
      <c r="DJ126" s="743"/>
      <c r="DK126" s="743"/>
      <c r="DL126" s="743"/>
      <c r="DM126" s="743"/>
      <c r="DN126" s="743"/>
      <c r="DO126" s="743"/>
      <c r="DP126" s="743"/>
      <c r="DQ126" s="743"/>
      <c r="DR126" s="743"/>
      <c r="DS126" s="743"/>
      <c r="DT126" s="743" t="str">
        <f t="shared" ca="1" si="242"/>
        <v>Argentina-Egypt</v>
      </c>
      <c r="DU126" s="743"/>
      <c r="DV126" s="743"/>
      <c r="DW126" s="8"/>
    </row>
    <row r="127" spans="1:127" ht="16.149999999999999" customHeight="1" thickBot="1">
      <c r="A127" s="737" t="s">
        <v>744</v>
      </c>
      <c r="B127" s="737" t="s">
        <v>745</v>
      </c>
      <c r="C127" s="738"/>
      <c r="D127" s="746" t="str">
        <f t="shared" ca="1" si="329"/>
        <v>Switzerland</v>
      </c>
      <c r="E127" s="743">
        <v>85</v>
      </c>
      <c r="F127" s="743">
        <v>87</v>
      </c>
      <c r="G127" s="743"/>
      <c r="H127" s="743"/>
      <c r="I127" s="743"/>
      <c r="J127" s="737">
        <v>96</v>
      </c>
      <c r="K127" s="737">
        <v>46210.875</v>
      </c>
      <c r="L127" s="737" t="s">
        <v>708</v>
      </c>
      <c r="M127" s="743" t="str">
        <f t="shared" ca="1" si="330"/>
        <v>Switzerland</v>
      </c>
      <c r="N127" s="743" t="str">
        <f t="shared" ca="1" si="330"/>
        <v>Colombia</v>
      </c>
      <c r="O127" s="743"/>
      <c r="P127" s="743"/>
      <c r="Q127" s="743"/>
      <c r="R127" s="743"/>
      <c r="S127" s="743"/>
      <c r="T127" s="743"/>
      <c r="U127" s="743"/>
      <c r="V127" s="172"/>
      <c r="W127" s="838"/>
      <c r="X127" s="228">
        <f ca="1">Horarios!C127</f>
        <v>46210.916666666664</v>
      </c>
      <c r="Y127" s="229">
        <f ca="1">Horarios!C127</f>
        <v>46210.916666666664</v>
      </c>
      <c r="Z127" s="299">
        <f t="shared" si="331"/>
        <v>96</v>
      </c>
      <c r="AA127" s="300" t="str">
        <f t="shared" ca="1" si="332"/>
        <v>Switzerland</v>
      </c>
      <c r="AB127" s="301">
        <v>4</v>
      </c>
      <c r="AC127" s="310">
        <v>0</v>
      </c>
      <c r="AD127" s="310">
        <v>0</v>
      </c>
      <c r="AE127" s="301">
        <v>3</v>
      </c>
      <c r="AF127" s="303" t="str">
        <f t="shared" ca="1" si="333"/>
        <v>Colombia</v>
      </c>
      <c r="AG127" s="417">
        <f t="shared" ca="1" si="334"/>
        <v>1</v>
      </c>
      <c r="AH127" s="196">
        <v>96</v>
      </c>
      <c r="AI127" s="217"/>
      <c r="AJ127" s="178"/>
      <c r="AK127" s="178"/>
      <c r="AL127" s="178"/>
      <c r="AM127" s="297"/>
      <c r="AN127" s="297"/>
      <c r="AO127" s="297"/>
      <c r="AP127" s="297"/>
      <c r="AQ127" s="297"/>
      <c r="AR127" s="297"/>
      <c r="AS127" s="297"/>
      <c r="AT127" s="297"/>
      <c r="AU127" s="19"/>
      <c r="AV127" s="19"/>
      <c r="AW127" s="297"/>
      <c r="AX127" s="297"/>
      <c r="AY127" s="242"/>
      <c r="AZ127" s="243"/>
      <c r="BA127" s="175"/>
      <c r="BB127" s="743"/>
      <c r="BC127" s="743"/>
      <c r="BD127" s="743"/>
      <c r="BE127" s="743"/>
      <c r="BF127" s="743"/>
      <c r="BG127" s="743"/>
      <c r="BH127" s="743"/>
      <c r="BI127" s="743"/>
      <c r="BJ127" s="743"/>
      <c r="BK127" s="743"/>
      <c r="BL127" s="743"/>
      <c r="BM127" s="743"/>
      <c r="BN127" s="743"/>
      <c r="BO127" s="743"/>
      <c r="BP127" s="743"/>
      <c r="BQ127" s="743"/>
      <c r="BR127" s="743"/>
      <c r="BS127" s="743"/>
      <c r="BT127" s="743"/>
      <c r="BU127" s="743"/>
      <c r="BV127" s="743"/>
      <c r="BW127" s="743"/>
      <c r="BX127" s="743"/>
      <c r="BY127" s="743"/>
      <c r="BZ127" s="743"/>
      <c r="CA127" s="743"/>
      <c r="CB127" s="743"/>
      <c r="CC127" s="743"/>
      <c r="CD127" s="743"/>
      <c r="CE127" s="743"/>
      <c r="CF127" s="743"/>
      <c r="CG127" s="743"/>
      <c r="CH127" s="743"/>
      <c r="CI127" s="743"/>
      <c r="CJ127" s="743"/>
      <c r="CK127" s="743"/>
      <c r="CL127" s="743"/>
      <c r="CM127" s="743"/>
      <c r="CN127" s="743"/>
      <c r="CO127" s="743"/>
      <c r="CP127" s="743"/>
      <c r="CQ127" s="743"/>
      <c r="CR127" s="743"/>
      <c r="CS127" s="743"/>
      <c r="CT127" s="743"/>
      <c r="CU127" s="743"/>
      <c r="CV127" s="743"/>
      <c r="CW127" s="743"/>
      <c r="CX127" s="743"/>
      <c r="CY127" s="743"/>
      <c r="CZ127" s="743"/>
      <c r="DA127" s="743"/>
      <c r="DB127" s="743"/>
      <c r="DC127" s="743"/>
      <c r="DD127" s="743"/>
      <c r="DE127" s="743"/>
      <c r="DF127" s="743"/>
      <c r="DG127" s="743"/>
      <c r="DH127" s="743"/>
      <c r="DI127" s="743"/>
      <c r="DJ127" s="743"/>
      <c r="DK127" s="743"/>
      <c r="DL127" s="743"/>
      <c r="DM127" s="743"/>
      <c r="DN127" s="743"/>
      <c r="DO127" s="743"/>
      <c r="DP127" s="743"/>
      <c r="DQ127" s="743"/>
      <c r="DR127" s="743"/>
      <c r="DS127" s="743"/>
      <c r="DT127" s="743" t="str">
        <f t="shared" ca="1" si="242"/>
        <v>Switzerland-Colombia</v>
      </c>
      <c r="DU127" s="743"/>
      <c r="DV127" s="743"/>
      <c r="DW127" s="8"/>
    </row>
    <row r="128" spans="1:127" ht="16.149999999999999" customHeight="1" thickBot="1">
      <c r="A128" s="738"/>
      <c r="B128" s="738"/>
      <c r="C128" s="738"/>
      <c r="D128" s="746"/>
      <c r="E128" s="743"/>
      <c r="F128" s="743"/>
      <c r="G128" s="743"/>
      <c r="H128" s="743"/>
      <c r="I128" s="743"/>
      <c r="J128" s="743"/>
      <c r="K128" s="743"/>
      <c r="L128" s="743"/>
      <c r="M128" s="743"/>
      <c r="N128" s="743"/>
      <c r="O128" s="743"/>
      <c r="P128" s="743"/>
      <c r="Q128" s="743"/>
      <c r="R128" s="743"/>
      <c r="S128" s="743"/>
      <c r="T128" s="743"/>
      <c r="U128" s="743"/>
      <c r="V128" s="172"/>
      <c r="W128" s="242"/>
      <c r="X128" s="243"/>
      <c r="Y128" s="242"/>
      <c r="Z128" s="244"/>
      <c r="AA128" s="245"/>
      <c r="AB128" s="246"/>
      <c r="AC128" s="247"/>
      <c r="AD128" s="247"/>
      <c r="AE128" s="246"/>
      <c r="AF128" s="248"/>
      <c r="AG128" s="416"/>
      <c r="AH128" s="196"/>
      <c r="AI128" s="217"/>
      <c r="AJ128" s="178"/>
      <c r="AK128" s="178"/>
      <c r="AL128" s="178"/>
      <c r="AM128" s="297"/>
      <c r="AN128" s="297"/>
      <c r="AO128" s="297"/>
      <c r="AP128" s="297"/>
      <c r="AQ128" s="297"/>
      <c r="AR128" s="297"/>
      <c r="AS128" s="297"/>
      <c r="AT128" s="297"/>
      <c r="AU128" s="19"/>
      <c r="AV128" s="19"/>
      <c r="AW128" s="297"/>
      <c r="AX128" s="297"/>
      <c r="AY128" s="242"/>
      <c r="AZ128" s="243"/>
      <c r="BA128" s="175"/>
      <c r="BB128" s="743"/>
      <c r="BC128" s="743"/>
      <c r="BD128" s="743"/>
      <c r="BE128" s="743"/>
      <c r="BF128" s="743"/>
      <c r="BG128" s="743"/>
      <c r="BH128" s="743"/>
      <c r="BI128" s="743"/>
      <c r="BJ128" s="743"/>
      <c r="BK128" s="743"/>
      <c r="BL128" s="743"/>
      <c r="BM128" s="743"/>
      <c r="BN128" s="743"/>
      <c r="BO128" s="743"/>
      <c r="BP128" s="743"/>
      <c r="BQ128" s="743"/>
      <c r="BR128" s="743"/>
      <c r="BS128" s="743"/>
      <c r="BT128" s="743"/>
      <c r="BU128" s="743"/>
      <c r="BV128" s="743"/>
      <c r="BW128" s="743"/>
      <c r="BX128" s="743"/>
      <c r="BY128" s="743"/>
      <c r="BZ128" s="743"/>
      <c r="CA128" s="743"/>
      <c r="CB128" s="743"/>
      <c r="CC128" s="743"/>
      <c r="CD128" s="743"/>
      <c r="CE128" s="743"/>
      <c r="CF128" s="743"/>
      <c r="CG128" s="743"/>
      <c r="CH128" s="743"/>
      <c r="CI128" s="743"/>
      <c r="CJ128" s="743"/>
      <c r="CK128" s="743"/>
      <c r="CL128" s="743"/>
      <c r="CM128" s="743"/>
      <c r="CN128" s="743"/>
      <c r="CO128" s="743"/>
      <c r="CP128" s="743"/>
      <c r="CQ128" s="743"/>
      <c r="CR128" s="743"/>
      <c r="CS128" s="743"/>
      <c r="CT128" s="743"/>
      <c r="CU128" s="743"/>
      <c r="CV128" s="743"/>
      <c r="CW128" s="743"/>
      <c r="CX128" s="743"/>
      <c r="CY128" s="743"/>
      <c r="CZ128" s="743"/>
      <c r="DA128" s="743"/>
      <c r="DB128" s="743"/>
      <c r="DC128" s="743"/>
      <c r="DD128" s="743"/>
      <c r="DE128" s="743"/>
      <c r="DF128" s="743"/>
      <c r="DG128" s="743"/>
      <c r="DH128" s="743"/>
      <c r="DI128" s="743"/>
      <c r="DJ128" s="743"/>
      <c r="DK128" s="743"/>
      <c r="DL128" s="743"/>
      <c r="DM128" s="743"/>
      <c r="DN128" s="743"/>
      <c r="DO128" s="743"/>
      <c r="DP128" s="743"/>
      <c r="DQ128" s="743"/>
      <c r="DR128" s="743"/>
      <c r="DS128" s="743"/>
      <c r="DT128" s="743" t="str">
        <f t="shared" si="242"/>
        <v>-</v>
      </c>
      <c r="DU128" s="743"/>
      <c r="DV128" s="743"/>
      <c r="DW128" s="8"/>
    </row>
    <row r="129" spans="1:127" ht="16.149999999999999" customHeight="1" thickBot="1">
      <c r="A129" s="738"/>
      <c r="B129" s="738"/>
      <c r="C129" s="738"/>
      <c r="D129" s="746"/>
      <c r="E129" s="743"/>
      <c r="F129" s="743"/>
      <c r="G129" s="743"/>
      <c r="H129" s="743"/>
      <c r="I129" s="743"/>
      <c r="J129" s="743"/>
      <c r="K129" s="743"/>
      <c r="L129" s="743"/>
      <c r="M129" s="743"/>
      <c r="N129" s="743"/>
      <c r="O129" s="743"/>
      <c r="P129" s="743"/>
      <c r="Q129" s="743"/>
      <c r="R129" s="743"/>
      <c r="S129" s="743"/>
      <c r="T129" s="743"/>
      <c r="U129" s="743"/>
      <c r="V129" s="172"/>
      <c r="W129" s="269" t="str">
        <f>Idiomas!D27</f>
        <v>Quarterfinals</v>
      </c>
      <c r="X129" s="270"/>
      <c r="Y129" s="271"/>
      <c r="Z129" s="271"/>
      <c r="AA129" s="271"/>
      <c r="AB129" s="271"/>
      <c r="AC129" s="271"/>
      <c r="AD129" s="271"/>
      <c r="AE129" s="271"/>
      <c r="AF129" s="272"/>
      <c r="AG129" s="414"/>
      <c r="AH129" s="19"/>
      <c r="AI129" s="217"/>
      <c r="AJ129" s="178"/>
      <c r="AK129" s="178"/>
      <c r="AL129" s="178"/>
      <c r="AM129" s="297"/>
      <c r="AN129" s="297"/>
      <c r="AO129" s="297"/>
      <c r="AP129" s="297"/>
      <c r="AQ129" s="297"/>
      <c r="AR129" s="297"/>
      <c r="AS129" s="297"/>
      <c r="AT129" s="297"/>
      <c r="AU129" s="19"/>
      <c r="AV129" s="19"/>
      <c r="AW129" s="297"/>
      <c r="AX129" s="297"/>
      <c r="AY129" s="242"/>
      <c r="AZ129" s="243"/>
      <c r="BA129" s="175"/>
      <c r="BB129" s="743"/>
      <c r="BC129" s="743"/>
      <c r="BD129" s="743"/>
      <c r="BE129" s="743"/>
      <c r="BF129" s="743"/>
      <c r="BG129" s="743"/>
      <c r="BH129" s="743"/>
      <c r="BI129" s="743"/>
      <c r="BJ129" s="743"/>
      <c r="BK129" s="743"/>
      <c r="BL129" s="743"/>
      <c r="BM129" s="743"/>
      <c r="BN129" s="743"/>
      <c r="BO129" s="743"/>
      <c r="BP129" s="743"/>
      <c r="BQ129" s="743"/>
      <c r="BR129" s="743"/>
      <c r="BS129" s="743"/>
      <c r="BT129" s="743"/>
      <c r="BU129" s="743"/>
      <c r="BV129" s="743"/>
      <c r="BW129" s="743"/>
      <c r="BX129" s="743"/>
      <c r="BY129" s="743"/>
      <c r="BZ129" s="743"/>
      <c r="CA129" s="743"/>
      <c r="CB129" s="743"/>
      <c r="CC129" s="743"/>
      <c r="CD129" s="743"/>
      <c r="CE129" s="743"/>
      <c r="CF129" s="743"/>
      <c r="CG129" s="743"/>
      <c r="CH129" s="743"/>
      <c r="CI129" s="743"/>
      <c r="CJ129" s="743"/>
      <c r="CK129" s="743"/>
      <c r="CL129" s="743"/>
      <c r="CM129" s="743"/>
      <c r="CN129" s="743"/>
      <c r="CO129" s="743"/>
      <c r="CP129" s="743"/>
      <c r="CQ129" s="743"/>
      <c r="CR129" s="743"/>
      <c r="CS129" s="743"/>
      <c r="CT129" s="743"/>
      <c r="CU129" s="743"/>
      <c r="CV129" s="743"/>
      <c r="CW129" s="743"/>
      <c r="CX129" s="743"/>
      <c r="CY129" s="743"/>
      <c r="CZ129" s="743"/>
      <c r="DA129" s="743"/>
      <c r="DB129" s="743"/>
      <c r="DC129" s="743"/>
      <c r="DD129" s="743"/>
      <c r="DE129" s="743"/>
      <c r="DF129" s="743"/>
      <c r="DG129" s="743"/>
      <c r="DH129" s="743"/>
      <c r="DI129" s="743"/>
      <c r="DJ129" s="743"/>
      <c r="DK129" s="743"/>
      <c r="DL129" s="743"/>
      <c r="DM129" s="743"/>
      <c r="DN129" s="743"/>
      <c r="DO129" s="743"/>
      <c r="DP129" s="743"/>
      <c r="DQ129" s="743"/>
      <c r="DR129" s="743"/>
      <c r="DS129" s="743"/>
      <c r="DT129" s="743" t="str">
        <f t="shared" si="242"/>
        <v>-</v>
      </c>
      <c r="DU129" s="743"/>
      <c r="DV129" s="743"/>
      <c r="DW129" s="8"/>
    </row>
    <row r="130" spans="1:127" ht="16.149999999999999" customHeight="1">
      <c r="A130" s="738"/>
      <c r="B130" s="738"/>
      <c r="C130" s="738"/>
      <c r="D130" s="746"/>
      <c r="E130" s="743"/>
      <c r="F130" s="743"/>
      <c r="G130" s="743"/>
      <c r="H130" s="743"/>
      <c r="I130" s="743"/>
      <c r="J130" s="743"/>
      <c r="K130" s="743"/>
      <c r="L130" s="743"/>
      <c r="M130" s="743"/>
      <c r="N130" s="743"/>
      <c r="O130" s="743"/>
      <c r="P130" s="743"/>
      <c r="Q130" s="743"/>
      <c r="R130" s="743"/>
      <c r="S130" s="743"/>
      <c r="T130" s="743"/>
      <c r="U130" s="743"/>
      <c r="V130" s="172"/>
      <c r="W130" s="179"/>
      <c r="X130" s="180" t="str">
        <f>X3</f>
        <v>Date</v>
      </c>
      <c r="Y130" s="180" t="str">
        <f>Y3</f>
        <v>Hour</v>
      </c>
      <c r="Z130" s="265"/>
      <c r="AA130" s="266" t="str">
        <f>AA3</f>
        <v>Home</v>
      </c>
      <c r="AB130" s="265" t="s">
        <v>13</v>
      </c>
      <c r="AC130" s="180" t="str">
        <f>AC3</f>
        <v>Goal</v>
      </c>
      <c r="AD130" s="180" t="str">
        <f>AD3</f>
        <v>Goal</v>
      </c>
      <c r="AE130" s="265" t="s">
        <v>13</v>
      </c>
      <c r="AF130" s="267" t="str">
        <f>AF3</f>
        <v>Away</v>
      </c>
      <c r="AG130" s="414"/>
      <c r="AH130" s="19"/>
      <c r="AI130" s="217"/>
      <c r="AJ130" s="178"/>
      <c r="AK130" s="178"/>
      <c r="AL130" s="178"/>
      <c r="AM130" s="297"/>
      <c r="AN130" s="297"/>
      <c r="AO130" s="297"/>
      <c r="AP130" s="297"/>
      <c r="AQ130" s="297"/>
      <c r="AR130" s="297"/>
      <c r="AS130" s="297"/>
      <c r="AT130" s="297"/>
      <c r="AU130" s="19"/>
      <c r="AV130" s="19"/>
      <c r="AW130" s="297"/>
      <c r="AX130" s="297"/>
      <c r="AY130" s="242"/>
      <c r="AZ130" s="243"/>
      <c r="BA130" s="175"/>
      <c r="BB130" s="743"/>
      <c r="BC130" s="743"/>
      <c r="BD130" s="743"/>
      <c r="BE130" s="743"/>
      <c r="BF130" s="743"/>
      <c r="BG130" s="743"/>
      <c r="BH130" s="743"/>
      <c r="BI130" s="743"/>
      <c r="BJ130" s="743"/>
      <c r="BK130" s="743"/>
      <c r="BL130" s="743"/>
      <c r="BM130" s="743"/>
      <c r="BN130" s="743"/>
      <c r="BO130" s="743"/>
      <c r="BP130" s="743"/>
      <c r="BQ130" s="743"/>
      <c r="BR130" s="743"/>
      <c r="BS130" s="743"/>
      <c r="BT130" s="743"/>
      <c r="BU130" s="743"/>
      <c r="BV130" s="743"/>
      <c r="BW130" s="743"/>
      <c r="BX130" s="743"/>
      <c r="BY130" s="743"/>
      <c r="BZ130" s="743"/>
      <c r="CA130" s="743"/>
      <c r="CB130" s="743"/>
      <c r="CC130" s="743"/>
      <c r="CD130" s="743"/>
      <c r="CE130" s="743"/>
      <c r="CF130" s="743"/>
      <c r="CG130" s="743"/>
      <c r="CH130" s="743"/>
      <c r="CI130" s="743"/>
      <c r="CJ130" s="743"/>
      <c r="CK130" s="743"/>
      <c r="CL130" s="743"/>
      <c r="CM130" s="743"/>
      <c r="CN130" s="743"/>
      <c r="CO130" s="743"/>
      <c r="CP130" s="743"/>
      <c r="CQ130" s="743"/>
      <c r="CR130" s="743"/>
      <c r="CS130" s="743"/>
      <c r="CT130" s="743"/>
      <c r="CU130" s="743"/>
      <c r="CV130" s="743"/>
      <c r="CW130" s="743"/>
      <c r="CX130" s="743"/>
      <c r="CY130" s="743"/>
      <c r="CZ130" s="743"/>
      <c r="DA130" s="743"/>
      <c r="DB130" s="743"/>
      <c r="DC130" s="743"/>
      <c r="DD130" s="743"/>
      <c r="DE130" s="743"/>
      <c r="DF130" s="743"/>
      <c r="DG130" s="743"/>
      <c r="DH130" s="743"/>
      <c r="DI130" s="743"/>
      <c r="DJ130" s="743"/>
      <c r="DK130" s="743"/>
      <c r="DL130" s="743"/>
      <c r="DM130" s="743"/>
      <c r="DN130" s="743"/>
      <c r="DO130" s="743"/>
      <c r="DP130" s="743"/>
      <c r="DQ130" s="743"/>
      <c r="DR130" s="743"/>
      <c r="DS130" s="743"/>
      <c r="DT130" s="743" t="str">
        <f t="shared" si="242"/>
        <v>Home-Away</v>
      </c>
      <c r="DU130" s="743"/>
      <c r="DV130" s="743"/>
      <c r="DW130" s="8"/>
    </row>
    <row r="131" spans="1:127" ht="16.149999999999999" customHeight="1">
      <c r="A131" s="737" t="s">
        <v>746</v>
      </c>
      <c r="B131" s="737" t="s">
        <v>747</v>
      </c>
      <c r="C131" s="738"/>
      <c r="D131" s="746" t="str">
        <f ca="1">IF(AND(OR(AC131="",AD131="")),"W"&amp;AH131,IF(AC131&gt;AD131,AA131,IF(AC131&lt;AD131,AF131,IF(AND(AC131=AD131,AB131=AE131),"W"&amp;AH131,IF(AND(AC131=AD131,OR(AB131="",AE131="")),"W"&amp;AH131,IF(AND(AC131=AD131,AB131&gt;AE131),AA131,AF131))))))</f>
        <v>France</v>
      </c>
      <c r="E131" s="743">
        <v>89</v>
      </c>
      <c r="F131" s="743">
        <v>90</v>
      </c>
      <c r="G131" s="743"/>
      <c r="H131" s="743"/>
      <c r="I131" s="743"/>
      <c r="J131" s="737">
        <v>97</v>
      </c>
      <c r="K131" s="737">
        <v>46212.75</v>
      </c>
      <c r="L131" s="737" t="s">
        <v>709</v>
      </c>
      <c r="M131" s="743" t="str">
        <f t="shared" ref="M131:N134" ca="1" si="335">+INDEX($D$101:$D$147,MATCH(E131,$AH$101:$AH$147,0))</f>
        <v>France</v>
      </c>
      <c r="N131" s="743" t="str">
        <f t="shared" ca="1" si="335"/>
        <v>Morocco</v>
      </c>
      <c r="O131" s="743"/>
      <c r="P131" s="743"/>
      <c r="Q131" s="743"/>
      <c r="R131" s="743"/>
      <c r="S131" s="743"/>
      <c r="T131" s="743"/>
      <c r="U131" s="743"/>
      <c r="V131" s="172"/>
      <c r="W131" s="839" t="s">
        <v>34</v>
      </c>
      <c r="X131" s="189">
        <f ca="1">Horarios!C131</f>
        <v>46212.916666666664</v>
      </c>
      <c r="Y131" s="190">
        <f ca="1">Horarios!C131</f>
        <v>46212.916666666664</v>
      </c>
      <c r="Z131" s="311">
        <f t="shared" ref="Z131:Z134" si="336">AH131</f>
        <v>97</v>
      </c>
      <c r="AA131" s="277" t="str">
        <f t="shared" ref="AA131:AA134" ca="1" si="337">+INDEX($M$101:$M$147,MATCH(AH131,$J$101:$J$147,0))</f>
        <v>France</v>
      </c>
      <c r="AB131" s="308"/>
      <c r="AC131" s="305">
        <v>2</v>
      </c>
      <c r="AD131" s="305">
        <v>0</v>
      </c>
      <c r="AE131" s="279"/>
      <c r="AF131" s="312" t="str">
        <f ca="1">+INDEX($N$101:$N$147,MATCH(AH131,$J$101:$J$147,0))</f>
        <v>Morocco</v>
      </c>
      <c r="AG131" s="417">
        <f ca="1">IF(D131="W"&amp;AH131,0,1)</f>
        <v>1</v>
      </c>
      <c r="AH131" s="313">
        <v>97</v>
      </c>
      <c r="AI131" s="217"/>
      <c r="AJ131" s="178"/>
      <c r="AK131" s="178"/>
      <c r="AL131" s="178"/>
      <c r="AM131" s="297"/>
      <c r="AN131" s="297"/>
      <c r="AO131" s="297"/>
      <c r="AP131" s="297"/>
      <c r="AQ131" s="297"/>
      <c r="AR131" s="297"/>
      <c r="AS131" s="297"/>
      <c r="AT131" s="297"/>
      <c r="AU131" s="19"/>
      <c r="AV131" s="19"/>
      <c r="AW131" s="297"/>
      <c r="AX131" s="297"/>
      <c r="AY131" s="242"/>
      <c r="AZ131" s="243"/>
      <c r="BA131" s="17"/>
      <c r="BB131" s="743"/>
      <c r="BC131" s="746"/>
      <c r="BD131" s="743"/>
      <c r="BE131" s="743"/>
      <c r="BF131" s="743"/>
      <c r="BG131" s="743"/>
      <c r="BH131" s="743"/>
      <c r="BI131" s="743"/>
      <c r="BJ131" s="743"/>
      <c r="BK131" s="743"/>
      <c r="BL131" s="743"/>
      <c r="BM131" s="743"/>
      <c r="BN131" s="743"/>
      <c r="BO131" s="743"/>
      <c r="BP131" s="743"/>
      <c r="BQ131" s="743"/>
      <c r="BR131" s="743"/>
      <c r="BS131" s="743"/>
      <c r="BT131" s="743"/>
      <c r="BU131" s="743"/>
      <c r="BV131" s="743"/>
      <c r="BW131" s="743"/>
      <c r="BX131" s="743"/>
      <c r="BY131" s="743"/>
      <c r="BZ131" s="743"/>
      <c r="CA131" s="743"/>
      <c r="CB131" s="743"/>
      <c r="CC131" s="743"/>
      <c r="CD131" s="743"/>
      <c r="CE131" s="743"/>
      <c r="CF131" s="743"/>
      <c r="CG131" s="743"/>
      <c r="CH131" s="743"/>
      <c r="CI131" s="743"/>
      <c r="CJ131" s="743"/>
      <c r="CK131" s="743"/>
      <c r="CL131" s="743"/>
      <c r="CM131" s="743"/>
      <c r="CN131" s="743"/>
      <c r="CO131" s="743"/>
      <c r="CP131" s="743"/>
      <c r="CQ131" s="743"/>
      <c r="CR131" s="743"/>
      <c r="CS131" s="743"/>
      <c r="CT131" s="743"/>
      <c r="CU131" s="743"/>
      <c r="CV131" s="743"/>
      <c r="CW131" s="743"/>
      <c r="CX131" s="743"/>
      <c r="CY131" s="743"/>
      <c r="CZ131" s="743"/>
      <c r="DA131" s="743"/>
      <c r="DB131" s="743"/>
      <c r="DC131" s="743"/>
      <c r="DD131" s="743"/>
      <c r="DE131" s="743"/>
      <c r="DF131" s="743"/>
      <c r="DG131" s="743"/>
      <c r="DH131" s="743"/>
      <c r="DI131" s="743"/>
      <c r="DJ131" s="743"/>
      <c r="DK131" s="743"/>
      <c r="DL131" s="743"/>
      <c r="DM131" s="743"/>
      <c r="DN131" s="743"/>
      <c r="DO131" s="743"/>
      <c r="DP131" s="743"/>
      <c r="DQ131" s="743"/>
      <c r="DR131" s="743"/>
      <c r="DS131" s="743"/>
      <c r="DT131" s="743" t="str">
        <f t="shared" ca="1" si="242"/>
        <v>France-Morocco</v>
      </c>
      <c r="DU131" s="743"/>
      <c r="DV131" s="743"/>
      <c r="DW131" s="8"/>
    </row>
    <row r="132" spans="1:127" ht="16.149999999999999" customHeight="1">
      <c r="A132" s="737" t="s">
        <v>748</v>
      </c>
      <c r="B132" s="737" t="s">
        <v>749</v>
      </c>
      <c r="C132" s="738"/>
      <c r="D132" s="746" t="str">
        <f ca="1">IF(AND(OR(AC132="",AD132="")),"W"&amp;AH132,IF(AC132&gt;AD132,AA132,IF(AC132&lt;AD132,AF132,IF(AND(AC132=AD132,AB132=AE132),"W"&amp;AH132,IF(AND(AC132=AD132,OR(AB132="",AE132="")),"W"&amp;AH132,IF(AND(AC132=AD132,AB132&gt;AE132),AA132,AF132))))))</f>
        <v>Spain</v>
      </c>
      <c r="E132" s="743">
        <v>93</v>
      </c>
      <c r="F132" s="743">
        <v>94</v>
      </c>
      <c r="G132" s="743"/>
      <c r="H132" s="743"/>
      <c r="I132" s="743"/>
      <c r="J132" s="737">
        <v>98</v>
      </c>
      <c r="K132" s="737">
        <v>46213.875</v>
      </c>
      <c r="L132" s="737" t="s">
        <v>710</v>
      </c>
      <c r="M132" s="743" t="str">
        <f t="shared" ca="1" si="335"/>
        <v>Spain</v>
      </c>
      <c r="N132" s="743" t="str">
        <f t="shared" ca="1" si="335"/>
        <v>Belgium</v>
      </c>
      <c r="O132" s="743"/>
      <c r="P132" s="743"/>
      <c r="Q132" s="743"/>
      <c r="R132" s="743"/>
      <c r="S132" s="743"/>
      <c r="T132" s="743"/>
      <c r="U132" s="743"/>
      <c r="V132" s="172"/>
      <c r="W132" s="839"/>
      <c r="X132" s="189">
        <f ca="1">Horarios!C132</f>
        <v>46213.875</v>
      </c>
      <c r="Y132" s="190">
        <f ca="1">Horarios!C132</f>
        <v>46213.875</v>
      </c>
      <c r="Z132" s="311">
        <f t="shared" si="336"/>
        <v>98</v>
      </c>
      <c r="AA132" s="277" t="str">
        <f t="shared" ca="1" si="337"/>
        <v>Spain</v>
      </c>
      <c r="AB132" s="278"/>
      <c r="AC132" s="309">
        <v>2</v>
      </c>
      <c r="AD132" s="309">
        <v>1</v>
      </c>
      <c r="AE132" s="278"/>
      <c r="AF132" s="312" t="str">
        <f ca="1">+INDEX($N$101:$N$147,MATCH(AH132,$J$101:$J$147,0))</f>
        <v>Belgium</v>
      </c>
      <c r="AG132" s="417">
        <f ca="1">IF(D132="W"&amp;AH132,0,1)</f>
        <v>1</v>
      </c>
      <c r="AH132" s="313">
        <v>98</v>
      </c>
      <c r="AI132" s="217"/>
      <c r="AJ132" s="178"/>
      <c r="AK132" s="178"/>
      <c r="AL132" s="178"/>
      <c r="AM132" s="297"/>
      <c r="AN132" s="297"/>
      <c r="AO132" s="297"/>
      <c r="AP132" s="297"/>
      <c r="AQ132" s="297"/>
      <c r="AR132" s="297"/>
      <c r="AS132" s="297"/>
      <c r="AT132" s="297"/>
      <c r="AU132" s="19"/>
      <c r="AV132" s="19"/>
      <c r="AW132" s="297"/>
      <c r="AX132" s="297"/>
      <c r="AY132" s="242"/>
      <c r="AZ132" s="243"/>
      <c r="BA132" s="17"/>
      <c r="BB132" s="743"/>
      <c r="BC132" s="746"/>
      <c r="BD132" s="743"/>
      <c r="BE132" s="743"/>
      <c r="BF132" s="743"/>
      <c r="BG132" s="743"/>
      <c r="BH132" s="743"/>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3"/>
      <c r="CI132" s="743"/>
      <c r="CJ132" s="743"/>
      <c r="CK132" s="743"/>
      <c r="CL132" s="743"/>
      <c r="CM132" s="743"/>
      <c r="CN132" s="743"/>
      <c r="CO132" s="743"/>
      <c r="CP132" s="743"/>
      <c r="CQ132" s="743"/>
      <c r="CR132" s="743"/>
      <c r="CS132" s="743"/>
      <c r="CT132" s="743"/>
      <c r="CU132" s="743"/>
      <c r="CV132" s="743"/>
      <c r="CW132" s="743"/>
      <c r="CX132" s="743"/>
      <c r="CY132" s="743"/>
      <c r="CZ132" s="743"/>
      <c r="DA132" s="743"/>
      <c r="DB132" s="743"/>
      <c r="DC132" s="743"/>
      <c r="DD132" s="743"/>
      <c r="DE132" s="743"/>
      <c r="DF132" s="743"/>
      <c r="DG132" s="743"/>
      <c r="DH132" s="743"/>
      <c r="DI132" s="743"/>
      <c r="DJ132" s="743"/>
      <c r="DK132" s="743"/>
      <c r="DL132" s="743"/>
      <c r="DM132" s="743"/>
      <c r="DN132" s="743"/>
      <c r="DO132" s="743"/>
      <c r="DP132" s="743"/>
      <c r="DQ132" s="743"/>
      <c r="DR132" s="743"/>
      <c r="DS132" s="743"/>
      <c r="DT132" s="743" t="str">
        <f t="shared" ca="1" si="242"/>
        <v>Spain-Belgium</v>
      </c>
      <c r="DU132" s="743"/>
      <c r="DV132" s="743"/>
      <c r="DW132" s="8"/>
    </row>
    <row r="133" spans="1:127" ht="16.149999999999999" customHeight="1">
      <c r="A133" s="737" t="s">
        <v>750</v>
      </c>
      <c r="B133" s="737" t="s">
        <v>751</v>
      </c>
      <c r="C133" s="738"/>
      <c r="D133" s="746" t="str">
        <f ca="1">IF(AND(OR(AC133="",AD133="")),"W"&amp;AH133,IF(AC133&gt;AD133,AA133,IF(AC133&lt;AD133,AF133,IF(AND(AC133=AD133,AB133=AE133),"W"&amp;AH133,IF(AND(AC133=AD133,OR(AB133="",AE133="")),"W"&amp;AH133,IF(AND(AC133=AD133,AB133&gt;AE133),AA133,AF133))))))</f>
        <v>England</v>
      </c>
      <c r="E133" s="743">
        <v>91</v>
      </c>
      <c r="F133" s="743">
        <v>92</v>
      </c>
      <c r="G133" s="743"/>
      <c r="H133" s="743"/>
      <c r="I133" s="743"/>
      <c r="J133" s="737">
        <v>99</v>
      </c>
      <c r="K133" s="737">
        <v>46214.75</v>
      </c>
      <c r="L133" s="737" t="s">
        <v>711</v>
      </c>
      <c r="M133" s="743" t="str">
        <f t="shared" ca="1" si="335"/>
        <v>Norway</v>
      </c>
      <c r="N133" s="743" t="str">
        <f t="shared" ca="1" si="335"/>
        <v>England</v>
      </c>
      <c r="O133" s="743"/>
      <c r="P133" s="743"/>
      <c r="Q133" s="743"/>
      <c r="R133" s="743"/>
      <c r="S133" s="743"/>
      <c r="T133" s="743"/>
      <c r="U133" s="743"/>
      <c r="V133" s="172"/>
      <c r="W133" s="839"/>
      <c r="X133" s="189">
        <f ca="1">Horarios!C133</f>
        <v>46214.958333333336</v>
      </c>
      <c r="Y133" s="190">
        <f ca="1">Horarios!C133</f>
        <v>46214.958333333336</v>
      </c>
      <c r="Z133" s="311">
        <f t="shared" si="336"/>
        <v>99</v>
      </c>
      <c r="AA133" s="277" t="str">
        <f t="shared" ca="1" si="337"/>
        <v>Norway</v>
      </c>
      <c r="AB133" s="278"/>
      <c r="AC133" s="309">
        <v>1</v>
      </c>
      <c r="AD133" s="309">
        <v>2</v>
      </c>
      <c r="AE133" s="278"/>
      <c r="AF133" s="312" t="str">
        <f ca="1">+INDEX($N$101:$N$147,MATCH(AH133,$J$101:$J$147,0))</f>
        <v>England</v>
      </c>
      <c r="AG133" s="417">
        <f ca="1">IF(D133="W"&amp;AH133,0,1)</f>
        <v>1</v>
      </c>
      <c r="AH133" s="313">
        <v>99</v>
      </c>
      <c r="AI133" s="217"/>
      <c r="AJ133" s="178"/>
      <c r="AK133" s="178"/>
      <c r="AL133" s="178"/>
      <c r="AM133" s="297"/>
      <c r="AN133" s="297"/>
      <c r="AO133" s="297"/>
      <c r="AP133" s="297"/>
      <c r="AQ133" s="297"/>
      <c r="AR133" s="297"/>
      <c r="AS133" s="297"/>
      <c r="AT133" s="297"/>
      <c r="AU133" s="19"/>
      <c r="AV133" s="19"/>
      <c r="AW133" s="297"/>
      <c r="AX133" s="297"/>
      <c r="AY133" s="242"/>
      <c r="AZ133" s="243"/>
      <c r="BA133" s="17"/>
      <c r="BB133" s="743"/>
      <c r="BC133" s="746"/>
      <c r="BD133" s="743"/>
      <c r="BE133" s="743"/>
      <c r="BF133" s="743"/>
      <c r="BG133" s="743"/>
      <c r="BH133" s="743"/>
      <c r="BI133" s="743"/>
      <c r="BJ133" s="743"/>
      <c r="BK133" s="743"/>
      <c r="BL133" s="743"/>
      <c r="BM133" s="743"/>
      <c r="BN133" s="743"/>
      <c r="BO133" s="743"/>
      <c r="BP133" s="743"/>
      <c r="BQ133" s="743"/>
      <c r="BR133" s="743"/>
      <c r="BS133" s="743"/>
      <c r="BT133" s="743"/>
      <c r="BU133" s="743"/>
      <c r="BV133" s="743"/>
      <c r="BW133" s="743"/>
      <c r="BX133" s="743"/>
      <c r="BY133" s="743"/>
      <c r="BZ133" s="743"/>
      <c r="CA133" s="743"/>
      <c r="CB133" s="743"/>
      <c r="CC133" s="743"/>
      <c r="CD133" s="743"/>
      <c r="CE133" s="743"/>
      <c r="CF133" s="743"/>
      <c r="CG133" s="743"/>
      <c r="CH133" s="743"/>
      <c r="CI133" s="743"/>
      <c r="CJ133" s="743"/>
      <c r="CK133" s="743"/>
      <c r="CL133" s="743"/>
      <c r="CM133" s="743"/>
      <c r="CN133" s="743"/>
      <c r="CO133" s="743"/>
      <c r="CP133" s="743"/>
      <c r="CQ133" s="743"/>
      <c r="CR133" s="743"/>
      <c r="CS133" s="743"/>
      <c r="CT133" s="743"/>
      <c r="CU133" s="743"/>
      <c r="CV133" s="743"/>
      <c r="CW133" s="743"/>
      <c r="CX133" s="743"/>
      <c r="CY133" s="743"/>
      <c r="CZ133" s="743"/>
      <c r="DA133" s="743"/>
      <c r="DB133" s="743"/>
      <c r="DC133" s="743"/>
      <c r="DD133" s="743"/>
      <c r="DE133" s="743"/>
      <c r="DF133" s="743"/>
      <c r="DG133" s="743"/>
      <c r="DH133" s="743"/>
      <c r="DI133" s="743"/>
      <c r="DJ133" s="743"/>
      <c r="DK133" s="743"/>
      <c r="DL133" s="743"/>
      <c r="DM133" s="743"/>
      <c r="DN133" s="743"/>
      <c r="DO133" s="743"/>
      <c r="DP133" s="743"/>
      <c r="DQ133" s="743"/>
      <c r="DR133" s="743"/>
      <c r="DS133" s="743"/>
      <c r="DT133" s="743" t="str">
        <f t="shared" ref="DT133:DT147" ca="1" si="338">AA133&amp;"-"&amp;AF133</f>
        <v>Norway-England</v>
      </c>
      <c r="DU133" s="743"/>
      <c r="DV133" s="743"/>
      <c r="DW133" s="8"/>
    </row>
    <row r="134" spans="1:127" ht="16.149999999999999" customHeight="1" thickBot="1">
      <c r="A134" s="737" t="s">
        <v>752</v>
      </c>
      <c r="B134" s="737" t="s">
        <v>753</v>
      </c>
      <c r="C134" s="738"/>
      <c r="D134" s="746" t="str">
        <f ca="1">IF(AND(OR(AC134="",AD134="")),"W"&amp;AH134,IF(AC134&gt;AD134,AA134,IF(AC134&lt;AD134,AF134,IF(AND(AC134=AD134,AB134=AE134),"W"&amp;AH134,IF(AND(AC134=AD134,OR(AB134="",AE134="")),"W"&amp;AH134,IF(AND(AC134=AD134,AB134&gt;AE134),AA134,AF134))))))</f>
        <v>Argentina</v>
      </c>
      <c r="E134" s="743">
        <v>95</v>
      </c>
      <c r="F134" s="743">
        <v>96</v>
      </c>
      <c r="G134" s="743"/>
      <c r="H134" s="743"/>
      <c r="I134" s="743"/>
      <c r="J134" s="737">
        <v>100</v>
      </c>
      <c r="K134" s="737">
        <v>46214.875</v>
      </c>
      <c r="L134" s="737" t="s">
        <v>712</v>
      </c>
      <c r="M134" s="743" t="str">
        <f t="shared" ca="1" si="335"/>
        <v>Argentina</v>
      </c>
      <c r="N134" s="743" t="str">
        <f t="shared" ca="1" si="335"/>
        <v>Switzerland</v>
      </c>
      <c r="O134" s="743"/>
      <c r="P134" s="743"/>
      <c r="Q134" s="743"/>
      <c r="R134" s="743"/>
      <c r="S134" s="743"/>
      <c r="T134" s="743"/>
      <c r="U134" s="743"/>
      <c r="V134" s="172"/>
      <c r="W134" s="840"/>
      <c r="X134" s="228">
        <f ca="1">Horarios!C134</f>
        <v>46215.125</v>
      </c>
      <c r="Y134" s="229">
        <f ca="1">Horarios!C134</f>
        <v>46215.125</v>
      </c>
      <c r="Z134" s="314">
        <f t="shared" si="336"/>
        <v>100</v>
      </c>
      <c r="AA134" s="300" t="str">
        <f t="shared" ca="1" si="337"/>
        <v>Argentina</v>
      </c>
      <c r="AB134" s="301"/>
      <c r="AC134" s="310">
        <v>3</v>
      </c>
      <c r="AD134" s="310">
        <v>1</v>
      </c>
      <c r="AE134" s="301"/>
      <c r="AF134" s="315" t="str">
        <f ca="1">+INDEX($N$101:$N$147,MATCH(AH134,$J$101:$J$147,0))</f>
        <v>Switzerland</v>
      </c>
      <c r="AG134" s="417">
        <f ca="1">IF(D134="W"&amp;AH134,0,1)</f>
        <v>1</v>
      </c>
      <c r="AH134" s="313">
        <v>100</v>
      </c>
      <c r="AI134" s="217"/>
      <c r="AJ134" s="178"/>
      <c r="AK134" s="178"/>
      <c r="AL134" s="178"/>
      <c r="AM134" s="297"/>
      <c r="AN134" s="297"/>
      <c r="AO134" s="297"/>
      <c r="AP134" s="297"/>
      <c r="AQ134" s="297"/>
      <c r="AR134" s="297"/>
      <c r="AS134" s="297"/>
      <c r="AT134" s="297"/>
      <c r="AU134" s="19"/>
      <c r="AV134" s="19"/>
      <c r="AW134" s="297"/>
      <c r="AX134" s="297"/>
      <c r="AY134" s="242"/>
      <c r="AZ134" s="243"/>
      <c r="BA134" s="17"/>
      <c r="BB134" s="743"/>
      <c r="BC134" s="746"/>
      <c r="BD134" s="743"/>
      <c r="BE134" s="743"/>
      <c r="BF134" s="743"/>
      <c r="BG134" s="743"/>
      <c r="BH134" s="743"/>
      <c r="BI134" s="743"/>
      <c r="BJ134" s="743"/>
      <c r="BK134" s="743"/>
      <c r="BL134" s="743"/>
      <c r="BM134" s="743"/>
      <c r="BN134" s="743"/>
      <c r="BO134" s="743"/>
      <c r="BP134" s="743"/>
      <c r="BQ134" s="743"/>
      <c r="BR134" s="743"/>
      <c r="BS134" s="743"/>
      <c r="BT134" s="743"/>
      <c r="BU134" s="743"/>
      <c r="BV134" s="743"/>
      <c r="BW134" s="743"/>
      <c r="BX134" s="743"/>
      <c r="BY134" s="743"/>
      <c r="BZ134" s="743"/>
      <c r="CA134" s="743"/>
      <c r="CB134" s="743"/>
      <c r="CC134" s="743"/>
      <c r="CD134" s="743"/>
      <c r="CE134" s="743"/>
      <c r="CF134" s="743"/>
      <c r="CG134" s="743"/>
      <c r="CH134" s="743"/>
      <c r="CI134" s="743"/>
      <c r="CJ134" s="743"/>
      <c r="CK134" s="743"/>
      <c r="CL134" s="743"/>
      <c r="CM134" s="743"/>
      <c r="CN134" s="743"/>
      <c r="CO134" s="743"/>
      <c r="CP134" s="743"/>
      <c r="CQ134" s="743"/>
      <c r="CR134" s="743"/>
      <c r="CS134" s="743"/>
      <c r="CT134" s="743"/>
      <c r="CU134" s="743"/>
      <c r="CV134" s="743"/>
      <c r="CW134" s="743"/>
      <c r="CX134" s="743"/>
      <c r="CY134" s="743"/>
      <c r="CZ134" s="743"/>
      <c r="DA134" s="743"/>
      <c r="DB134" s="743"/>
      <c r="DC134" s="743"/>
      <c r="DD134" s="743"/>
      <c r="DE134" s="743"/>
      <c r="DF134" s="743"/>
      <c r="DG134" s="743"/>
      <c r="DH134" s="743"/>
      <c r="DI134" s="743"/>
      <c r="DJ134" s="743"/>
      <c r="DK134" s="743"/>
      <c r="DL134" s="743"/>
      <c r="DM134" s="743"/>
      <c r="DN134" s="743"/>
      <c r="DO134" s="743"/>
      <c r="DP134" s="743"/>
      <c r="DQ134" s="743"/>
      <c r="DR134" s="743"/>
      <c r="DS134" s="743"/>
      <c r="DT134" s="743" t="str">
        <f t="shared" ca="1" si="338"/>
        <v>Argentina-Switzerland</v>
      </c>
      <c r="DU134" s="743"/>
      <c r="DV134" s="743"/>
      <c r="DW134" s="8"/>
    </row>
    <row r="135" spans="1:127" ht="16.149999999999999" customHeight="1" thickBot="1">
      <c r="A135" s="738"/>
      <c r="B135" s="738"/>
      <c r="C135" s="738"/>
      <c r="D135" s="746"/>
      <c r="E135" s="743"/>
      <c r="F135" s="743"/>
      <c r="G135" s="743"/>
      <c r="H135" s="743"/>
      <c r="I135" s="743"/>
      <c r="J135" s="743"/>
      <c r="K135" s="743"/>
      <c r="L135" s="743"/>
      <c r="M135" s="743"/>
      <c r="N135" s="743"/>
      <c r="O135" s="743"/>
      <c r="P135" s="743"/>
      <c r="Q135" s="743"/>
      <c r="R135" s="743"/>
      <c r="S135" s="743"/>
      <c r="T135" s="743"/>
      <c r="U135" s="743"/>
      <c r="V135" s="172"/>
      <c r="W135" s="242"/>
      <c r="X135" s="243"/>
      <c r="Y135" s="242"/>
      <c r="Z135" s="244"/>
      <c r="AA135" s="245"/>
      <c r="AB135" s="246"/>
      <c r="AC135" s="247"/>
      <c r="AD135" s="247"/>
      <c r="AE135" s="246"/>
      <c r="AF135" s="248"/>
      <c r="AG135" s="418"/>
      <c r="AH135" s="316"/>
      <c r="AI135" s="217"/>
      <c r="AJ135" s="178"/>
      <c r="AK135" s="178"/>
      <c r="AL135" s="178"/>
      <c r="AM135" s="297"/>
      <c r="AN135" s="297"/>
      <c r="AO135" s="297"/>
      <c r="AP135" s="297"/>
      <c r="AQ135" s="297"/>
      <c r="AR135" s="297"/>
      <c r="AS135" s="297"/>
      <c r="AT135" s="297"/>
      <c r="AU135" s="19"/>
      <c r="AV135" s="19"/>
      <c r="AW135" s="297"/>
      <c r="AX135" s="297"/>
      <c r="AY135" s="242"/>
      <c r="AZ135" s="243"/>
      <c r="BA135" s="17"/>
      <c r="BB135" s="743"/>
      <c r="BC135" s="746"/>
      <c r="BD135" s="743"/>
      <c r="BE135" s="743"/>
      <c r="BF135" s="743"/>
      <c r="BG135" s="743"/>
      <c r="BH135" s="743"/>
      <c r="BI135" s="743"/>
      <c r="BJ135" s="743"/>
      <c r="BK135" s="743"/>
      <c r="BL135" s="743"/>
      <c r="BM135" s="743"/>
      <c r="BN135" s="743"/>
      <c r="BO135" s="743"/>
      <c r="BP135" s="743"/>
      <c r="BQ135" s="743"/>
      <c r="BR135" s="743"/>
      <c r="BS135" s="743"/>
      <c r="BT135" s="743"/>
      <c r="BU135" s="743"/>
      <c r="BV135" s="743"/>
      <c r="BW135" s="743"/>
      <c r="BX135" s="743"/>
      <c r="BY135" s="743"/>
      <c r="BZ135" s="743"/>
      <c r="CA135" s="743"/>
      <c r="CB135" s="743"/>
      <c r="CC135" s="743"/>
      <c r="CD135" s="743"/>
      <c r="CE135" s="743"/>
      <c r="CF135" s="743"/>
      <c r="CG135" s="743"/>
      <c r="CH135" s="743"/>
      <c r="CI135" s="743"/>
      <c r="CJ135" s="743"/>
      <c r="CK135" s="743"/>
      <c r="CL135" s="743"/>
      <c r="CM135" s="743"/>
      <c r="CN135" s="743"/>
      <c r="CO135" s="743"/>
      <c r="CP135" s="743"/>
      <c r="CQ135" s="743"/>
      <c r="CR135" s="743"/>
      <c r="CS135" s="743"/>
      <c r="CT135" s="743"/>
      <c r="CU135" s="743"/>
      <c r="CV135" s="743"/>
      <c r="CW135" s="743"/>
      <c r="CX135" s="743"/>
      <c r="CY135" s="743"/>
      <c r="CZ135" s="743"/>
      <c r="DA135" s="743"/>
      <c r="DB135" s="743"/>
      <c r="DC135" s="743"/>
      <c r="DD135" s="743"/>
      <c r="DE135" s="743"/>
      <c r="DF135" s="743"/>
      <c r="DG135" s="743"/>
      <c r="DH135" s="743"/>
      <c r="DI135" s="743"/>
      <c r="DJ135" s="743"/>
      <c r="DK135" s="743"/>
      <c r="DL135" s="743"/>
      <c r="DM135" s="743"/>
      <c r="DN135" s="743"/>
      <c r="DO135" s="743"/>
      <c r="DP135" s="743"/>
      <c r="DQ135" s="743"/>
      <c r="DR135" s="743"/>
      <c r="DS135" s="743"/>
      <c r="DT135" s="743" t="str">
        <f t="shared" si="338"/>
        <v>-</v>
      </c>
      <c r="DU135" s="743"/>
      <c r="DV135" s="743"/>
      <c r="DW135" s="8"/>
    </row>
    <row r="136" spans="1:127" ht="16.149999999999999" customHeight="1" thickBot="1">
      <c r="A136" s="738"/>
      <c r="B136" s="738"/>
      <c r="C136" s="738"/>
      <c r="D136" s="746"/>
      <c r="E136" s="743"/>
      <c r="F136" s="743" t="s">
        <v>1194</v>
      </c>
      <c r="G136" s="743"/>
      <c r="H136" s="743"/>
      <c r="I136" s="743"/>
      <c r="J136" s="743"/>
      <c r="K136" s="743"/>
      <c r="L136" s="743"/>
      <c r="M136" s="743"/>
      <c r="N136" s="743"/>
      <c r="O136" s="743"/>
      <c r="P136" s="743"/>
      <c r="Q136" s="743"/>
      <c r="R136" s="743"/>
      <c r="S136" s="743"/>
      <c r="T136" s="743"/>
      <c r="U136" s="743"/>
      <c r="V136" s="172"/>
      <c r="W136" s="317" t="str">
        <f>Idiomas!D28</f>
        <v>Semifinals</v>
      </c>
      <c r="X136" s="318"/>
      <c r="Y136" s="319"/>
      <c r="Z136" s="319"/>
      <c r="AA136" s="319"/>
      <c r="AB136" s="319"/>
      <c r="AC136" s="319"/>
      <c r="AD136" s="319"/>
      <c r="AE136" s="319"/>
      <c r="AF136" s="320"/>
      <c r="AG136" s="418"/>
      <c r="AH136" s="316"/>
      <c r="AI136" s="217"/>
      <c r="AJ136" s="178"/>
      <c r="AK136" s="178"/>
      <c r="AL136" s="178"/>
      <c r="AM136" s="297"/>
      <c r="AN136" s="297"/>
      <c r="AO136" s="297"/>
      <c r="AP136" s="297"/>
      <c r="AQ136" s="297"/>
      <c r="AR136" s="297"/>
      <c r="AS136" s="297"/>
      <c r="AT136" s="297"/>
      <c r="AU136" s="19"/>
      <c r="AV136" s="19"/>
      <c r="AW136" s="297"/>
      <c r="AX136" s="297"/>
      <c r="AY136" s="242"/>
      <c r="AZ136" s="243"/>
      <c r="BA136" s="17"/>
      <c r="BB136" s="743"/>
      <c r="BC136" s="746"/>
      <c r="BD136" s="743"/>
      <c r="BE136" s="743"/>
      <c r="BF136" s="743"/>
      <c r="BG136" s="743"/>
      <c r="BH136" s="743"/>
      <c r="BI136" s="743"/>
      <c r="BJ136" s="743"/>
      <c r="BK136" s="743"/>
      <c r="BL136" s="743"/>
      <c r="BM136" s="743"/>
      <c r="BN136" s="743"/>
      <c r="BO136" s="743"/>
      <c r="BP136" s="743"/>
      <c r="BQ136" s="743"/>
      <c r="BR136" s="743"/>
      <c r="BS136" s="743"/>
      <c r="BT136" s="743"/>
      <c r="BU136" s="743"/>
      <c r="BV136" s="743"/>
      <c r="BW136" s="743"/>
      <c r="BX136" s="743"/>
      <c r="BY136" s="743"/>
      <c r="BZ136" s="743"/>
      <c r="CA136" s="743"/>
      <c r="CB136" s="743"/>
      <c r="CC136" s="743"/>
      <c r="CD136" s="743"/>
      <c r="CE136" s="743"/>
      <c r="CF136" s="743"/>
      <c r="CG136" s="743"/>
      <c r="CH136" s="743"/>
      <c r="CI136" s="743"/>
      <c r="CJ136" s="743"/>
      <c r="CK136" s="743"/>
      <c r="CL136" s="743"/>
      <c r="CM136" s="743"/>
      <c r="CN136" s="743"/>
      <c r="CO136" s="743"/>
      <c r="CP136" s="743"/>
      <c r="CQ136" s="743"/>
      <c r="CR136" s="743"/>
      <c r="CS136" s="743"/>
      <c r="CT136" s="743"/>
      <c r="CU136" s="743"/>
      <c r="CV136" s="743"/>
      <c r="CW136" s="743"/>
      <c r="CX136" s="743"/>
      <c r="CY136" s="743"/>
      <c r="CZ136" s="743"/>
      <c r="DA136" s="743"/>
      <c r="DB136" s="743"/>
      <c r="DC136" s="743"/>
      <c r="DD136" s="743"/>
      <c r="DE136" s="743"/>
      <c r="DF136" s="743"/>
      <c r="DG136" s="743"/>
      <c r="DH136" s="743"/>
      <c r="DI136" s="743"/>
      <c r="DJ136" s="743"/>
      <c r="DK136" s="743"/>
      <c r="DL136" s="743"/>
      <c r="DM136" s="743"/>
      <c r="DN136" s="743"/>
      <c r="DO136" s="743"/>
      <c r="DP136" s="743"/>
      <c r="DQ136" s="743"/>
      <c r="DR136" s="743"/>
      <c r="DS136" s="743"/>
      <c r="DT136" s="743" t="str">
        <f t="shared" si="338"/>
        <v>-</v>
      </c>
      <c r="DU136" s="743"/>
      <c r="DV136" s="743"/>
      <c r="DW136" s="8"/>
    </row>
    <row r="137" spans="1:127" ht="16.149999999999999" customHeight="1">
      <c r="A137" s="738"/>
      <c r="B137" s="738"/>
      <c r="C137" s="738"/>
      <c r="D137" s="746"/>
      <c r="E137" s="743"/>
      <c r="F137" s="743"/>
      <c r="G137" s="743"/>
      <c r="H137" s="743" t="s">
        <v>1371</v>
      </c>
      <c r="I137" s="743"/>
      <c r="J137" s="743"/>
      <c r="K137" s="743"/>
      <c r="L137" s="743"/>
      <c r="M137" s="743"/>
      <c r="N137" s="743"/>
      <c r="O137" s="743"/>
      <c r="P137" s="743"/>
      <c r="Q137" s="743"/>
      <c r="R137" s="743"/>
      <c r="S137" s="743"/>
      <c r="T137" s="743"/>
      <c r="U137" s="743"/>
      <c r="V137" s="172"/>
      <c r="W137" s="321"/>
      <c r="X137" s="180" t="str">
        <f>X3</f>
        <v>Date</v>
      </c>
      <c r="Y137" s="180" t="str">
        <f>Y3</f>
        <v>Hour</v>
      </c>
      <c r="Z137" s="265"/>
      <c r="AA137" s="266" t="str">
        <f>AA3</f>
        <v>Home</v>
      </c>
      <c r="AB137" s="265" t="s">
        <v>13</v>
      </c>
      <c r="AC137" s="180" t="s">
        <v>17</v>
      </c>
      <c r="AD137" s="180" t="s">
        <v>17</v>
      </c>
      <c r="AE137" s="265" t="s">
        <v>13</v>
      </c>
      <c r="AF137" s="322" t="str">
        <f>AF3</f>
        <v>Away</v>
      </c>
      <c r="AG137" s="418"/>
      <c r="AH137" s="316"/>
      <c r="AI137" s="217"/>
      <c r="AJ137" s="178"/>
      <c r="AK137" s="178"/>
      <c r="AL137" s="178"/>
      <c r="AM137" s="297"/>
      <c r="AN137" s="297"/>
      <c r="AO137" s="297"/>
      <c r="AP137" s="297"/>
      <c r="AQ137" s="297"/>
      <c r="AR137" s="297"/>
      <c r="AS137" s="297"/>
      <c r="AT137" s="297"/>
      <c r="AU137" s="19"/>
      <c r="AV137" s="19"/>
      <c r="AW137" s="297"/>
      <c r="AX137" s="297"/>
      <c r="AY137" s="242"/>
      <c r="AZ137" s="243"/>
      <c r="BA137" s="17"/>
      <c r="BB137" s="743"/>
      <c r="BC137" s="746"/>
      <c r="BD137" s="743"/>
      <c r="BE137" s="743"/>
      <c r="BF137" s="743"/>
      <c r="BG137" s="743"/>
      <c r="BH137" s="743"/>
      <c r="BI137" s="743"/>
      <c r="BJ137" s="743"/>
      <c r="BK137" s="743"/>
      <c r="BL137" s="743"/>
      <c r="BM137" s="743"/>
      <c r="BN137" s="743"/>
      <c r="BO137" s="743"/>
      <c r="BP137" s="743"/>
      <c r="BQ137" s="743"/>
      <c r="BR137" s="743"/>
      <c r="BS137" s="743"/>
      <c r="BT137" s="743"/>
      <c r="BU137" s="743"/>
      <c r="BV137" s="743"/>
      <c r="BW137" s="743"/>
      <c r="BX137" s="743"/>
      <c r="BY137" s="743"/>
      <c r="BZ137" s="743"/>
      <c r="CA137" s="743"/>
      <c r="CB137" s="743"/>
      <c r="CC137" s="743"/>
      <c r="CD137" s="743"/>
      <c r="CE137" s="743"/>
      <c r="CF137" s="743"/>
      <c r="CG137" s="743"/>
      <c r="CH137" s="743"/>
      <c r="CI137" s="743"/>
      <c r="CJ137" s="743"/>
      <c r="CK137" s="743"/>
      <c r="CL137" s="743"/>
      <c r="CM137" s="743"/>
      <c r="CN137" s="743"/>
      <c r="CO137" s="743"/>
      <c r="CP137" s="743"/>
      <c r="CQ137" s="743"/>
      <c r="CR137" s="743"/>
      <c r="CS137" s="743"/>
      <c r="CT137" s="743"/>
      <c r="CU137" s="743"/>
      <c r="CV137" s="743"/>
      <c r="CW137" s="743"/>
      <c r="CX137" s="743"/>
      <c r="CY137" s="743"/>
      <c r="CZ137" s="743"/>
      <c r="DA137" s="743"/>
      <c r="DB137" s="743"/>
      <c r="DC137" s="743"/>
      <c r="DD137" s="743"/>
      <c r="DE137" s="743"/>
      <c r="DF137" s="743"/>
      <c r="DG137" s="743"/>
      <c r="DH137" s="743"/>
      <c r="DI137" s="743"/>
      <c r="DJ137" s="743"/>
      <c r="DK137" s="743"/>
      <c r="DL137" s="743"/>
      <c r="DM137" s="743"/>
      <c r="DN137" s="743"/>
      <c r="DO137" s="743"/>
      <c r="DP137" s="743"/>
      <c r="DQ137" s="743"/>
      <c r="DR137" s="743"/>
      <c r="DS137" s="743"/>
      <c r="DT137" s="743" t="str">
        <f t="shared" si="338"/>
        <v>Home-Away</v>
      </c>
      <c r="DU137" s="743"/>
      <c r="DV137" s="743"/>
      <c r="DW137" s="8"/>
    </row>
    <row r="138" spans="1:127" ht="16.149999999999999" customHeight="1">
      <c r="A138" s="737" t="s">
        <v>754</v>
      </c>
      <c r="B138" s="737" t="s">
        <v>755</v>
      </c>
      <c r="C138" s="738"/>
      <c r="D138" s="746" t="str">
        <f ca="1">IF(AND(OR(AC138="",AD138="")),"W"&amp;AH138,IF(AC138&gt;AD138,AA138,IF(AC138&lt;AD138,AF138,IF(AND(AC138=AD138,AB138=AE138),"W"&amp;AH138,IF(AND(AC138=AD138,OR(AB138="",AE138="")),"W"&amp;AH138,IF(AND(AC138=AD138,AB138&gt;AE138),AA138,AF138))))))</f>
        <v>Spain</v>
      </c>
      <c r="E138" s="743">
        <v>97</v>
      </c>
      <c r="F138" s="743">
        <v>98</v>
      </c>
      <c r="G138" s="743"/>
      <c r="H138" s="743" t="str">
        <f ca="1">IF(AND(OR(AC138="",AD138="")),"L101",IF(AC138&gt;AD138,AF138,IF(AC138&lt;AD138,AA138,IF(AND(AC138=AD138,AB138=AE138),"L101",IF(AND(AC138=AD138,OR(AB138="",AE138="")),"L101",IF(AND(AC138=AD138,AB138&gt;AE138),AF138,AA138))))))</f>
        <v>France</v>
      </c>
      <c r="I138" s="743"/>
      <c r="J138" s="737">
        <v>101</v>
      </c>
      <c r="K138" s="737">
        <v>46217.875</v>
      </c>
      <c r="L138" s="737" t="s">
        <v>713</v>
      </c>
      <c r="M138" s="737" t="str">
        <f ca="1">+INDEX($D$101:$D$147,MATCH(E138,$AH$101:$AH$147,0))</f>
        <v>France</v>
      </c>
      <c r="N138" s="737" t="str">
        <f ca="1">+INDEX($D$101:$D$147,MATCH(F138,$AH$101:$AH$147,0))</f>
        <v>Spain</v>
      </c>
      <c r="O138" s="737"/>
      <c r="P138" s="737"/>
      <c r="Q138" s="737"/>
      <c r="R138" s="737"/>
      <c r="S138" s="737"/>
      <c r="T138" s="737"/>
      <c r="U138" s="737"/>
      <c r="V138" s="172"/>
      <c r="W138" s="841" t="s">
        <v>35</v>
      </c>
      <c r="X138" s="189">
        <f ca="1">Horarios!C138</f>
        <v>46217.875</v>
      </c>
      <c r="Y138" s="190">
        <f ca="1">Horarios!C138</f>
        <v>46217.875</v>
      </c>
      <c r="Z138" s="311">
        <f t="shared" ref="Z138:Z139" si="339">AH138</f>
        <v>101</v>
      </c>
      <c r="AA138" s="277" t="str">
        <f t="shared" ref="AA138:AA139" ca="1" si="340">+INDEX($M$101:$M$147,MATCH(AH138,$J$101:$J$147,0))</f>
        <v>France</v>
      </c>
      <c r="AB138" s="278"/>
      <c r="AC138" s="323">
        <v>0</v>
      </c>
      <c r="AD138" s="323">
        <v>2</v>
      </c>
      <c r="AE138" s="278"/>
      <c r="AF138" s="312" t="str">
        <f ca="1">+INDEX($N$101:$N$147,MATCH(AH138,$J$101:$J$147,0))</f>
        <v>Spain</v>
      </c>
      <c r="AG138" s="417">
        <f ca="1">IF(D138="W"&amp;AH138,0,1)</f>
        <v>1</v>
      </c>
      <c r="AH138" s="313">
        <v>101</v>
      </c>
      <c r="AI138" s="217"/>
      <c r="AJ138" s="178"/>
      <c r="AK138" s="178"/>
      <c r="AL138" s="178"/>
      <c r="AM138" s="297"/>
      <c r="AN138" s="297"/>
      <c r="AO138" s="297"/>
      <c r="AP138" s="297"/>
      <c r="AQ138" s="297"/>
      <c r="AR138" s="297"/>
      <c r="AS138" s="297"/>
      <c r="AT138" s="297"/>
      <c r="AU138" s="19"/>
      <c r="AV138" s="19"/>
      <c r="AW138" s="297"/>
      <c r="AX138" s="297"/>
      <c r="AY138" s="242"/>
      <c r="AZ138" s="243"/>
      <c r="BA138" s="17"/>
      <c r="BB138" s="743"/>
      <c r="BC138" s="746"/>
      <c r="BD138" s="743"/>
      <c r="BE138" s="743"/>
      <c r="BF138" s="743"/>
      <c r="BG138" s="743"/>
      <c r="BH138" s="743"/>
      <c r="BI138" s="743"/>
      <c r="BJ138" s="743"/>
      <c r="BK138" s="743"/>
      <c r="BL138" s="743"/>
      <c r="BM138" s="743"/>
      <c r="BN138" s="743"/>
      <c r="BO138" s="743"/>
      <c r="BP138" s="743"/>
      <c r="BQ138" s="743"/>
      <c r="BR138" s="743"/>
      <c r="BS138" s="743"/>
      <c r="BT138" s="743"/>
      <c r="BU138" s="743"/>
      <c r="BV138" s="743"/>
      <c r="BW138" s="743"/>
      <c r="BX138" s="743"/>
      <c r="BY138" s="743"/>
      <c r="BZ138" s="743"/>
      <c r="CA138" s="743"/>
      <c r="CB138" s="743"/>
      <c r="CC138" s="743"/>
      <c r="CD138" s="743"/>
      <c r="CE138" s="743"/>
      <c r="CF138" s="743"/>
      <c r="CG138" s="743"/>
      <c r="CH138" s="743"/>
      <c r="CI138" s="743"/>
      <c r="CJ138" s="743"/>
      <c r="CK138" s="743"/>
      <c r="CL138" s="743"/>
      <c r="CM138" s="743"/>
      <c r="CN138" s="743"/>
      <c r="CO138" s="743"/>
      <c r="CP138" s="743"/>
      <c r="CQ138" s="743"/>
      <c r="CR138" s="743"/>
      <c r="CS138" s="743"/>
      <c r="CT138" s="743"/>
      <c r="CU138" s="743"/>
      <c r="CV138" s="743"/>
      <c r="CW138" s="743"/>
      <c r="CX138" s="743"/>
      <c r="CY138" s="743"/>
      <c r="CZ138" s="743"/>
      <c r="DA138" s="743"/>
      <c r="DB138" s="743"/>
      <c r="DC138" s="743"/>
      <c r="DD138" s="743"/>
      <c r="DE138" s="743"/>
      <c r="DF138" s="743"/>
      <c r="DG138" s="743"/>
      <c r="DH138" s="743"/>
      <c r="DI138" s="743"/>
      <c r="DJ138" s="743"/>
      <c r="DK138" s="743"/>
      <c r="DL138" s="743"/>
      <c r="DM138" s="743"/>
      <c r="DN138" s="743"/>
      <c r="DO138" s="743"/>
      <c r="DP138" s="743"/>
      <c r="DQ138" s="743"/>
      <c r="DR138" s="743"/>
      <c r="DS138" s="743"/>
      <c r="DT138" s="743" t="str">
        <f t="shared" ca="1" si="338"/>
        <v>France-Spain</v>
      </c>
      <c r="DU138" s="743"/>
      <c r="DV138" s="743"/>
      <c r="DW138" s="8"/>
    </row>
    <row r="139" spans="1:127" ht="16.149999999999999" customHeight="1" thickBot="1">
      <c r="A139" s="737" t="s">
        <v>756</v>
      </c>
      <c r="B139" s="737" t="s">
        <v>757</v>
      </c>
      <c r="C139" s="738"/>
      <c r="D139" s="746" t="str">
        <f ca="1">IF(AND(OR(AC139="",AD139="")),"W"&amp;AH139,IF(AC139&gt;AD139,AA139,IF(AC139&lt;AD139,AF139,IF(AND(AC139=AD139,AB139=AE139),"W"&amp;AH139,IF(AND(AC139=AD139,OR(AB139="",AE139="")),"W"&amp;AH139,IF(AND(AC139=AD139,AB139&gt;AE139),AA139,AF139))))))</f>
        <v>Argentina</v>
      </c>
      <c r="E139" s="743">
        <v>99</v>
      </c>
      <c r="F139" s="743">
        <v>100</v>
      </c>
      <c r="G139" s="743"/>
      <c r="H139" s="743" t="str">
        <f ca="1">IF(AND(OR(AC139="",AD139="")),"L102",IF(AC139&gt;AD139,AF139,IF(AC139&lt;AD139,AA139,IF(AND(AC139=AD139,AB139=AE139),"W102",IF(AND(AC139=AD139,OR(AB139="",AE139="")),"L102",IF(AND(AC139=AD139,AB139&gt;AE139),AF139,AA139))))))</f>
        <v>England</v>
      </c>
      <c r="I139" s="743"/>
      <c r="J139" s="737">
        <v>102</v>
      </c>
      <c r="K139" s="737">
        <v>46218.875</v>
      </c>
      <c r="L139" s="737" t="s">
        <v>714</v>
      </c>
      <c r="M139" s="737" t="str">
        <f ca="1">+INDEX($D$101:$D$147,MATCH(E139,$AH$101:$AH$147,0))</f>
        <v>England</v>
      </c>
      <c r="N139" s="737" t="str">
        <f ca="1">+INDEX($D$101:$D$147,MATCH(F139,$AH$101:$AH$147,0))</f>
        <v>Argentina</v>
      </c>
      <c r="O139" s="737"/>
      <c r="P139" s="737"/>
      <c r="Q139" s="737"/>
      <c r="R139" s="737"/>
      <c r="S139" s="737"/>
      <c r="T139" s="737"/>
      <c r="U139" s="737"/>
      <c r="V139" s="172"/>
      <c r="W139" s="842"/>
      <c r="X139" s="324">
        <f ca="1">Horarios!C139</f>
        <v>46218.875</v>
      </c>
      <c r="Y139" s="325">
        <f ca="1">Horarios!C139</f>
        <v>46218.875</v>
      </c>
      <c r="Z139" s="326">
        <f t="shared" si="339"/>
        <v>102</v>
      </c>
      <c r="AA139" s="327" t="str">
        <f t="shared" ca="1" si="340"/>
        <v>England</v>
      </c>
      <c r="AB139" s="328"/>
      <c r="AC139" s="310">
        <v>1</v>
      </c>
      <c r="AD139" s="310">
        <v>2</v>
      </c>
      <c r="AE139" s="328"/>
      <c r="AF139" s="329" t="str">
        <f ca="1">+INDEX($N$101:$N$147,MATCH(AH139,$J$101:$J$147,0))</f>
        <v>Argentina</v>
      </c>
      <c r="AG139" s="417">
        <f ca="1">IF(D139="W"&amp;AH139,0,1)</f>
        <v>1</v>
      </c>
      <c r="AH139" s="313">
        <v>102</v>
      </c>
      <c r="AI139" s="217"/>
      <c r="AJ139" s="178"/>
      <c r="AK139" s="178"/>
      <c r="AL139" s="178"/>
      <c r="AM139" s="297"/>
      <c r="AN139" s="297"/>
      <c r="AO139" s="297"/>
      <c r="AP139" s="297"/>
      <c r="AQ139" s="297"/>
      <c r="AR139" s="297"/>
      <c r="AS139" s="297"/>
      <c r="AT139" s="297"/>
      <c r="AU139" s="19"/>
      <c r="AV139" s="19"/>
      <c r="AW139" s="297"/>
      <c r="AX139" s="297"/>
      <c r="AY139" s="242"/>
      <c r="AZ139" s="243"/>
      <c r="BA139" s="17"/>
      <c r="BB139" s="743"/>
      <c r="BC139" s="746"/>
      <c r="BD139" s="743"/>
      <c r="BE139" s="743"/>
      <c r="BF139" s="743"/>
      <c r="BG139" s="743"/>
      <c r="BH139" s="743"/>
      <c r="BI139" s="743"/>
      <c r="BJ139" s="743"/>
      <c r="BK139" s="743"/>
      <c r="BL139" s="743"/>
      <c r="BM139" s="743"/>
      <c r="BN139" s="743"/>
      <c r="BO139" s="743"/>
      <c r="BP139" s="743"/>
      <c r="BQ139" s="743"/>
      <c r="BR139" s="743"/>
      <c r="BS139" s="743"/>
      <c r="BT139" s="743"/>
      <c r="BU139" s="743"/>
      <c r="BV139" s="743"/>
      <c r="BW139" s="743"/>
      <c r="BX139" s="743"/>
      <c r="BY139" s="743"/>
      <c r="BZ139" s="743"/>
      <c r="CA139" s="743"/>
      <c r="CB139" s="743"/>
      <c r="CC139" s="743"/>
      <c r="CD139" s="743"/>
      <c r="CE139" s="743"/>
      <c r="CF139" s="743"/>
      <c r="CG139" s="743"/>
      <c r="CH139" s="743"/>
      <c r="CI139" s="743"/>
      <c r="CJ139" s="743"/>
      <c r="CK139" s="743"/>
      <c r="CL139" s="743"/>
      <c r="CM139" s="743"/>
      <c r="CN139" s="743"/>
      <c r="CO139" s="743"/>
      <c r="CP139" s="743"/>
      <c r="CQ139" s="743"/>
      <c r="CR139" s="743"/>
      <c r="CS139" s="743"/>
      <c r="CT139" s="743"/>
      <c r="CU139" s="743"/>
      <c r="CV139" s="743"/>
      <c r="CW139" s="743"/>
      <c r="CX139" s="743"/>
      <c r="CY139" s="743"/>
      <c r="CZ139" s="743"/>
      <c r="DA139" s="743"/>
      <c r="DB139" s="743"/>
      <c r="DC139" s="743"/>
      <c r="DD139" s="743"/>
      <c r="DE139" s="743"/>
      <c r="DF139" s="743"/>
      <c r="DG139" s="743"/>
      <c r="DH139" s="743"/>
      <c r="DI139" s="743"/>
      <c r="DJ139" s="743"/>
      <c r="DK139" s="743"/>
      <c r="DL139" s="743"/>
      <c r="DM139" s="743"/>
      <c r="DN139" s="743"/>
      <c r="DO139" s="743"/>
      <c r="DP139" s="743"/>
      <c r="DQ139" s="743"/>
      <c r="DR139" s="743"/>
      <c r="DS139" s="743"/>
      <c r="DT139" s="743" t="str">
        <f t="shared" ca="1" si="338"/>
        <v>England-Argentina</v>
      </c>
      <c r="DU139" s="743"/>
      <c r="DV139" s="743"/>
      <c r="DW139" s="8"/>
    </row>
    <row r="140" spans="1:127" ht="16.149999999999999" customHeight="1" thickBot="1">
      <c r="A140" s="738"/>
      <c r="B140" s="738"/>
      <c r="C140" s="738"/>
      <c r="D140" s="746"/>
      <c r="E140" s="743"/>
      <c r="F140" s="743"/>
      <c r="G140" s="743"/>
      <c r="H140" s="743"/>
      <c r="I140" s="743"/>
      <c r="J140" s="743"/>
      <c r="K140" s="743"/>
      <c r="L140" s="743"/>
      <c r="M140" s="743"/>
      <c r="N140" s="743"/>
      <c r="O140" s="743"/>
      <c r="P140" s="743"/>
      <c r="Q140" s="743"/>
      <c r="R140" s="743"/>
      <c r="S140" s="743"/>
      <c r="T140" s="743"/>
      <c r="U140" s="743"/>
      <c r="V140" s="172"/>
      <c r="W140" s="242"/>
      <c r="X140" s="243"/>
      <c r="Y140" s="242"/>
      <c r="Z140" s="244"/>
      <c r="AA140" s="245"/>
      <c r="AB140" s="246"/>
      <c r="AC140" s="247"/>
      <c r="AD140" s="247"/>
      <c r="AE140" s="246"/>
      <c r="AF140" s="248"/>
      <c r="AG140" s="418"/>
      <c r="AH140" s="316"/>
      <c r="AI140" s="217"/>
      <c r="AJ140" s="178"/>
      <c r="AK140" s="178"/>
      <c r="AL140" s="178"/>
      <c r="AM140" s="297"/>
      <c r="AN140" s="297"/>
      <c r="AO140" s="297"/>
      <c r="AP140" s="297"/>
      <c r="AQ140" s="297"/>
      <c r="AR140" s="297"/>
      <c r="AS140" s="297"/>
      <c r="AT140" s="297"/>
      <c r="AU140" s="19"/>
      <c r="AV140" s="19"/>
      <c r="AW140" s="297"/>
      <c r="AX140" s="297"/>
      <c r="AY140" s="242"/>
      <c r="AZ140" s="243"/>
      <c r="BA140" s="17"/>
      <c r="BB140" s="743"/>
      <c r="BC140" s="746"/>
      <c r="BD140" s="743"/>
      <c r="BE140" s="743"/>
      <c r="BF140" s="743"/>
      <c r="BG140" s="743"/>
      <c r="BH140" s="743"/>
      <c r="BI140" s="743"/>
      <c r="BJ140" s="743"/>
      <c r="BK140" s="743"/>
      <c r="BL140" s="743"/>
      <c r="BM140" s="743"/>
      <c r="BN140" s="743"/>
      <c r="BO140" s="743"/>
      <c r="BP140" s="743"/>
      <c r="BQ140" s="743"/>
      <c r="BR140" s="743"/>
      <c r="BS140" s="743"/>
      <c r="BT140" s="743"/>
      <c r="BU140" s="743"/>
      <c r="BV140" s="743"/>
      <c r="BW140" s="743"/>
      <c r="BX140" s="743"/>
      <c r="BY140" s="743"/>
      <c r="BZ140" s="743"/>
      <c r="CA140" s="743"/>
      <c r="CB140" s="743"/>
      <c r="CC140" s="743"/>
      <c r="CD140" s="743"/>
      <c r="CE140" s="743"/>
      <c r="CF140" s="743"/>
      <c r="CG140" s="743"/>
      <c r="CH140" s="743"/>
      <c r="CI140" s="743"/>
      <c r="CJ140" s="743"/>
      <c r="CK140" s="743"/>
      <c r="CL140" s="743"/>
      <c r="CM140" s="743"/>
      <c r="CN140" s="743"/>
      <c r="CO140" s="743"/>
      <c r="CP140" s="743"/>
      <c r="CQ140" s="743"/>
      <c r="CR140" s="743"/>
      <c r="CS140" s="743"/>
      <c r="CT140" s="743"/>
      <c r="CU140" s="743"/>
      <c r="CV140" s="743"/>
      <c r="CW140" s="743"/>
      <c r="CX140" s="743"/>
      <c r="CY140" s="743"/>
      <c r="CZ140" s="743"/>
      <c r="DA140" s="743"/>
      <c r="DB140" s="743"/>
      <c r="DC140" s="743"/>
      <c r="DD140" s="743"/>
      <c r="DE140" s="743"/>
      <c r="DF140" s="743"/>
      <c r="DG140" s="743"/>
      <c r="DH140" s="743"/>
      <c r="DI140" s="743"/>
      <c r="DJ140" s="743"/>
      <c r="DK140" s="743"/>
      <c r="DL140" s="743"/>
      <c r="DM140" s="743"/>
      <c r="DN140" s="743"/>
      <c r="DO140" s="743"/>
      <c r="DP140" s="743"/>
      <c r="DQ140" s="743"/>
      <c r="DR140" s="743"/>
      <c r="DS140" s="743"/>
      <c r="DT140" s="743" t="str">
        <f t="shared" si="338"/>
        <v>-</v>
      </c>
      <c r="DU140" s="743"/>
      <c r="DV140" s="743"/>
      <c r="DW140" s="8"/>
    </row>
    <row r="141" spans="1:127" ht="16.149999999999999" customHeight="1" thickBot="1">
      <c r="A141" s="738"/>
      <c r="B141" s="738"/>
      <c r="C141" s="738"/>
      <c r="D141" s="746"/>
      <c r="E141" s="743"/>
      <c r="F141" s="743"/>
      <c r="G141" s="743"/>
      <c r="H141" s="743"/>
      <c r="I141" s="743"/>
      <c r="J141" s="743"/>
      <c r="K141" s="743"/>
      <c r="L141" s="743"/>
      <c r="M141" s="743"/>
      <c r="N141" s="743"/>
      <c r="O141" s="743"/>
      <c r="P141" s="743"/>
      <c r="Q141" s="743"/>
      <c r="R141" s="743"/>
      <c r="S141" s="743"/>
      <c r="T141" s="743"/>
      <c r="U141" s="743"/>
      <c r="V141" s="172"/>
      <c r="W141" s="317" t="str">
        <f>Idiomas!D29</f>
        <v>3rd-4th place</v>
      </c>
      <c r="X141" s="318"/>
      <c r="Y141" s="319"/>
      <c r="Z141" s="319"/>
      <c r="AA141" s="319"/>
      <c r="AB141" s="319"/>
      <c r="AC141" s="319"/>
      <c r="AD141" s="319"/>
      <c r="AE141" s="319"/>
      <c r="AF141" s="320"/>
      <c r="AG141" s="418"/>
      <c r="AH141" s="316"/>
      <c r="AI141" s="217"/>
      <c r="AJ141" s="178"/>
      <c r="AK141" s="178"/>
      <c r="AL141" s="178"/>
      <c r="AM141" s="297"/>
      <c r="AN141" s="297"/>
      <c r="AO141" s="297"/>
      <c r="AP141" s="297"/>
      <c r="AQ141" s="17"/>
      <c r="AR141" s="297"/>
      <c r="AS141" s="297"/>
      <c r="AT141" s="297"/>
      <c r="AU141" s="19"/>
      <c r="AV141" s="19"/>
      <c r="AW141" s="297"/>
      <c r="AX141" s="297"/>
      <c r="AY141" s="242"/>
      <c r="AZ141" s="243"/>
      <c r="BA141" s="17"/>
      <c r="BB141" s="743"/>
      <c r="BC141" s="746"/>
      <c r="BD141" s="743"/>
      <c r="BE141" s="743"/>
      <c r="BF141" s="743"/>
      <c r="BG141" s="743"/>
      <c r="BH141" s="743"/>
      <c r="BI141" s="743"/>
      <c r="BJ141" s="743"/>
      <c r="BK141" s="743"/>
      <c r="BL141" s="743"/>
      <c r="BM141" s="743"/>
      <c r="BN141" s="743"/>
      <c r="BO141" s="743"/>
      <c r="BP141" s="743"/>
      <c r="BQ141" s="743"/>
      <c r="BR141" s="743"/>
      <c r="BS141" s="743"/>
      <c r="BT141" s="743"/>
      <c r="BU141" s="743"/>
      <c r="BV141" s="743"/>
      <c r="BW141" s="743"/>
      <c r="BX141" s="743"/>
      <c r="BY141" s="743"/>
      <c r="BZ141" s="743"/>
      <c r="CA141" s="743"/>
      <c r="CB141" s="743"/>
      <c r="CC141" s="743"/>
      <c r="CD141" s="743"/>
      <c r="CE141" s="743"/>
      <c r="CF141" s="743"/>
      <c r="CG141" s="743"/>
      <c r="CH141" s="743"/>
      <c r="CI141" s="743"/>
      <c r="CJ141" s="743"/>
      <c r="CK141" s="743"/>
      <c r="CL141" s="743"/>
      <c r="CM141" s="743"/>
      <c r="CN141" s="743"/>
      <c r="CO141" s="743"/>
      <c r="CP141" s="743"/>
      <c r="CQ141" s="743"/>
      <c r="CR141" s="743"/>
      <c r="CS141" s="743"/>
      <c r="CT141" s="743"/>
      <c r="CU141" s="743"/>
      <c r="CV141" s="743"/>
      <c r="CW141" s="743"/>
      <c r="CX141" s="743"/>
      <c r="CY141" s="743"/>
      <c r="CZ141" s="743"/>
      <c r="DA141" s="743"/>
      <c r="DB141" s="743"/>
      <c r="DC141" s="743"/>
      <c r="DD141" s="743"/>
      <c r="DE141" s="743"/>
      <c r="DF141" s="743"/>
      <c r="DG141" s="743"/>
      <c r="DH141" s="743"/>
      <c r="DI141" s="743"/>
      <c r="DJ141" s="743"/>
      <c r="DK141" s="743"/>
      <c r="DL141" s="743"/>
      <c r="DM141" s="743"/>
      <c r="DN141" s="743"/>
      <c r="DO141" s="743"/>
      <c r="DP141" s="743"/>
      <c r="DQ141" s="743"/>
      <c r="DR141" s="743"/>
      <c r="DS141" s="743"/>
      <c r="DT141" s="743" t="str">
        <f t="shared" si="338"/>
        <v>-</v>
      </c>
      <c r="DU141" s="743"/>
      <c r="DV141" s="743"/>
      <c r="DW141" s="8"/>
    </row>
    <row r="142" spans="1:127" ht="16.149999999999999" customHeight="1">
      <c r="A142" s="738"/>
      <c r="B142" s="738"/>
      <c r="C142" s="738"/>
      <c r="D142" s="746"/>
      <c r="E142" s="743"/>
      <c r="F142" s="743"/>
      <c r="G142" s="743"/>
      <c r="H142" s="743"/>
      <c r="I142" s="743"/>
      <c r="J142" s="743"/>
      <c r="K142" s="743"/>
      <c r="L142" s="743"/>
      <c r="M142" s="743"/>
      <c r="N142" s="743"/>
      <c r="O142" s="743"/>
      <c r="P142" s="743"/>
      <c r="Q142" s="743"/>
      <c r="R142" s="743"/>
      <c r="S142" s="743"/>
      <c r="T142" s="743"/>
      <c r="U142" s="743"/>
      <c r="V142" s="172"/>
      <c r="W142" s="330"/>
      <c r="X142" s="180" t="str">
        <f>X3</f>
        <v>Date</v>
      </c>
      <c r="Y142" s="180" t="str">
        <f>Y3</f>
        <v>Hour</v>
      </c>
      <c r="Z142" s="265"/>
      <c r="AA142" s="266" t="str">
        <f>AA3</f>
        <v>Home</v>
      </c>
      <c r="AB142" s="265" t="s">
        <v>13</v>
      </c>
      <c r="AC142" s="180" t="str">
        <f>AC3</f>
        <v>Goal</v>
      </c>
      <c r="AD142" s="180" t="str">
        <f>AD3</f>
        <v>Goal</v>
      </c>
      <c r="AE142" s="265" t="s">
        <v>13</v>
      </c>
      <c r="AF142" s="322" t="str">
        <f>AF3</f>
        <v>Away</v>
      </c>
      <c r="AG142" s="418"/>
      <c r="AH142" s="316"/>
      <c r="AI142" s="217"/>
      <c r="AJ142" s="178"/>
      <c r="AK142" s="178"/>
      <c r="AL142" s="178"/>
      <c r="AM142" s="297"/>
      <c r="AN142" s="297"/>
      <c r="AO142" s="297"/>
      <c r="AP142" s="297"/>
      <c r="AQ142" s="297"/>
      <c r="AR142" s="297"/>
      <c r="AS142" s="297"/>
      <c r="AT142" s="297"/>
      <c r="AU142" s="19"/>
      <c r="AV142" s="19"/>
      <c r="AW142" s="297"/>
      <c r="AX142" s="297"/>
      <c r="AY142" s="242"/>
      <c r="AZ142" s="243"/>
      <c r="BA142" s="175"/>
      <c r="BB142" s="743"/>
      <c r="BC142" s="743"/>
      <c r="BD142" s="743"/>
      <c r="BE142" s="743"/>
      <c r="BF142" s="743"/>
      <c r="BG142" s="743"/>
      <c r="BH142" s="743"/>
      <c r="BI142" s="743"/>
      <c r="BJ142" s="743"/>
      <c r="BK142" s="743"/>
      <c r="BL142" s="743"/>
      <c r="BM142" s="743"/>
      <c r="BN142" s="743"/>
      <c r="BO142" s="743"/>
      <c r="BP142" s="743"/>
      <c r="BQ142" s="743"/>
      <c r="BR142" s="743"/>
      <c r="BS142" s="743"/>
      <c r="BT142" s="743"/>
      <c r="BU142" s="743"/>
      <c r="BV142" s="743"/>
      <c r="BW142" s="743"/>
      <c r="BX142" s="743"/>
      <c r="BY142" s="743"/>
      <c r="BZ142" s="743"/>
      <c r="CA142" s="743"/>
      <c r="CB142" s="743"/>
      <c r="CC142" s="743"/>
      <c r="CD142" s="743"/>
      <c r="CE142" s="743"/>
      <c r="CF142" s="743"/>
      <c r="CG142" s="743"/>
      <c r="CH142" s="743"/>
      <c r="CI142" s="743"/>
      <c r="CJ142" s="743"/>
      <c r="CK142" s="743"/>
      <c r="CL142" s="743"/>
      <c r="CM142" s="743"/>
      <c r="CN142" s="743"/>
      <c r="CO142" s="743"/>
      <c r="CP142" s="743"/>
      <c r="CQ142" s="743"/>
      <c r="CR142" s="743"/>
      <c r="CS142" s="743"/>
      <c r="CT142" s="743"/>
      <c r="CU142" s="743"/>
      <c r="CV142" s="743"/>
      <c r="CW142" s="743"/>
      <c r="CX142" s="743"/>
      <c r="CY142" s="743"/>
      <c r="CZ142" s="743"/>
      <c r="DA142" s="743"/>
      <c r="DB142" s="743"/>
      <c r="DC142" s="743"/>
      <c r="DD142" s="743"/>
      <c r="DE142" s="743"/>
      <c r="DF142" s="743"/>
      <c r="DG142" s="743"/>
      <c r="DH142" s="743"/>
      <c r="DI142" s="743"/>
      <c r="DJ142" s="743"/>
      <c r="DK142" s="743"/>
      <c r="DL142" s="743"/>
      <c r="DM142" s="743"/>
      <c r="DN142" s="743"/>
      <c r="DO142" s="743"/>
      <c r="DP142" s="743"/>
      <c r="DQ142" s="743"/>
      <c r="DR142" s="743"/>
      <c r="DS142" s="743"/>
      <c r="DT142" s="743" t="str">
        <f t="shared" si="338"/>
        <v>Home-Away</v>
      </c>
      <c r="DU142" s="743"/>
      <c r="DV142" s="743"/>
      <c r="DW142" s="8"/>
    </row>
    <row r="143" spans="1:127" ht="16.149999999999999" customHeight="1" thickBot="1">
      <c r="A143" s="737" t="s">
        <v>758</v>
      </c>
      <c r="B143" s="737" t="s">
        <v>759</v>
      </c>
      <c r="C143" s="738"/>
      <c r="D143" s="746" t="str">
        <f ca="1">IF(AND(OR(AC143="",AD143="")),"W"&amp;AH143,IF(AC143&gt;AD143,AA143,IF(AC143&lt;AD143,AF143,IF(AND(AC143=AD143,AB143=AE143),"W"&amp;AH143,IF(AND(AC143=AD143,OR(AB143="",AE143="")),"W"&amp;AH143,IF(AND(AC143=AD143,AB143&gt;AE143),AA143,AF143))))))</f>
        <v>England</v>
      </c>
      <c r="E143" s="743">
        <v>101</v>
      </c>
      <c r="F143" s="743">
        <v>102</v>
      </c>
      <c r="G143" s="743"/>
      <c r="H143" s="743"/>
      <c r="I143" s="743"/>
      <c r="J143" s="737">
        <v>103</v>
      </c>
      <c r="K143" s="737">
        <v>46221.875</v>
      </c>
      <c r="L143" s="737" t="s">
        <v>715</v>
      </c>
      <c r="M143" s="737" t="str">
        <f ca="1">+INDEX($D$101:$D$147,MATCH(E143,$AH$101:$AH$147,0))</f>
        <v>Spain</v>
      </c>
      <c r="N143" s="737" t="str">
        <f ca="1">+INDEX($D$101:$D$147,MATCH(F143,$AH$101:$AH$147,0))</f>
        <v>Argentina</v>
      </c>
      <c r="O143" s="737"/>
      <c r="P143" s="737"/>
      <c r="Q143" s="737"/>
      <c r="R143" s="737"/>
      <c r="S143" s="737"/>
      <c r="T143" s="737"/>
      <c r="U143" s="737"/>
      <c r="V143" s="172"/>
      <c r="W143" s="331" t="s">
        <v>493</v>
      </c>
      <c r="X143" s="324">
        <f ca="1">Horarios!C143</f>
        <v>46221.958333333336</v>
      </c>
      <c r="Y143" s="325">
        <f ca="1">Horarios!C143</f>
        <v>46221.958333333336</v>
      </c>
      <c r="Z143" s="332">
        <f>AH143</f>
        <v>103</v>
      </c>
      <c r="AA143" s="333" t="str">
        <f ca="1">IF(AND(OR(AC138="",AD138="")),"L101",IF(AC138&gt;AD138,AF138,IF(AC138&lt;AD138,AA138,IF(AND(AC138=AD138,AB138=AE138),"L101",IF(AND(AC138=AD138,OR(AB138="",AE138="")),"L101",IF(AND(AC138=AD138,AB138&gt;AE138),AF138,AA138))))))</f>
        <v>France</v>
      </c>
      <c r="AB143" s="334"/>
      <c r="AC143" s="335">
        <v>4</v>
      </c>
      <c r="AD143" s="335">
        <v>6</v>
      </c>
      <c r="AE143" s="334"/>
      <c r="AF143" s="336" t="str">
        <f ca="1">IF(AND(OR(AC139="",AD139="")),"L102",IF(AC139&gt;AD139,AF139,IF(AC139&lt;AD139,AA139,IF(AND(AC139=AD139,AB139=AE139),"L102",IF(AND(AC139=AD139,OR(AB139="",AE139="")),"L102",IF(AND(AC139=AD139,AB139&gt;AE139),AF139,AA139))))))</f>
        <v>England</v>
      </c>
      <c r="AG143" s="417">
        <f ca="1">IF(D143="W"&amp;AH143,0,1)</f>
        <v>1</v>
      </c>
      <c r="AH143" s="313">
        <v>103</v>
      </c>
      <c r="AI143" s="217"/>
      <c r="AJ143" s="178"/>
      <c r="AK143" s="178"/>
      <c r="AL143" s="178"/>
      <c r="AM143" s="297"/>
      <c r="AN143" s="297"/>
      <c r="AO143" s="297"/>
      <c r="AP143" s="297"/>
      <c r="AQ143" s="297"/>
      <c r="AR143" s="297"/>
      <c r="AS143" s="297"/>
      <c r="AT143" s="297"/>
      <c r="AU143" s="19"/>
      <c r="AV143" s="19"/>
      <c r="AW143" s="297"/>
      <c r="AX143" s="297"/>
      <c r="AY143" s="242"/>
      <c r="AZ143" s="243"/>
      <c r="BA143" s="175"/>
      <c r="BB143" s="743"/>
      <c r="BC143" s="743"/>
      <c r="BD143" s="743"/>
      <c r="BE143" s="743"/>
      <c r="BF143" s="743"/>
      <c r="BG143" s="743"/>
      <c r="BH143" s="743"/>
      <c r="BI143" s="743"/>
      <c r="BJ143" s="743"/>
      <c r="BK143" s="743"/>
      <c r="BL143" s="743"/>
      <c r="BM143" s="743"/>
      <c r="BN143" s="743"/>
      <c r="BO143" s="743"/>
      <c r="BP143" s="743"/>
      <c r="BQ143" s="743"/>
      <c r="BR143" s="743"/>
      <c r="BS143" s="743"/>
      <c r="BT143" s="743"/>
      <c r="BU143" s="743"/>
      <c r="BV143" s="743"/>
      <c r="BW143" s="743"/>
      <c r="BX143" s="743"/>
      <c r="BY143" s="743"/>
      <c r="BZ143" s="743"/>
      <c r="CA143" s="743"/>
      <c r="CB143" s="743"/>
      <c r="CC143" s="743"/>
      <c r="CD143" s="743"/>
      <c r="CE143" s="743"/>
      <c r="CF143" s="743"/>
      <c r="CG143" s="743"/>
      <c r="CH143" s="743"/>
      <c r="CI143" s="743"/>
      <c r="CJ143" s="743"/>
      <c r="CK143" s="743"/>
      <c r="CL143" s="743"/>
      <c r="CM143" s="743"/>
      <c r="CN143" s="743"/>
      <c r="CO143" s="743"/>
      <c r="CP143" s="743"/>
      <c r="CQ143" s="743"/>
      <c r="CR143" s="743"/>
      <c r="CS143" s="743"/>
      <c r="CT143" s="743"/>
      <c r="CU143" s="743"/>
      <c r="CV143" s="743"/>
      <c r="CW143" s="743"/>
      <c r="CX143" s="743"/>
      <c r="CY143" s="743"/>
      <c r="CZ143" s="743"/>
      <c r="DA143" s="743"/>
      <c r="DB143" s="743"/>
      <c r="DC143" s="743"/>
      <c r="DD143" s="743"/>
      <c r="DE143" s="743"/>
      <c r="DF143" s="743"/>
      <c r="DG143" s="743"/>
      <c r="DH143" s="743"/>
      <c r="DI143" s="743"/>
      <c r="DJ143" s="743"/>
      <c r="DK143" s="743"/>
      <c r="DL143" s="743"/>
      <c r="DM143" s="743"/>
      <c r="DN143" s="743"/>
      <c r="DO143" s="743"/>
      <c r="DP143" s="743"/>
      <c r="DQ143" s="743"/>
      <c r="DR143" s="743"/>
      <c r="DS143" s="743"/>
      <c r="DT143" s="743" t="str">
        <f t="shared" ca="1" si="338"/>
        <v>France-England</v>
      </c>
      <c r="DU143" s="743"/>
      <c r="DV143" s="743"/>
      <c r="DW143" s="8"/>
    </row>
    <row r="144" spans="1:127" ht="16.149999999999999" customHeight="1" thickBot="1">
      <c r="A144" s="738"/>
      <c r="B144" s="738"/>
      <c r="C144" s="738"/>
      <c r="D144" s="746"/>
      <c r="E144" s="743"/>
      <c r="F144" s="743"/>
      <c r="G144" s="743"/>
      <c r="H144" s="743"/>
      <c r="I144" s="743"/>
      <c r="J144" s="743"/>
      <c r="K144" s="743"/>
      <c r="L144" s="743"/>
      <c r="M144" s="743"/>
      <c r="N144" s="743"/>
      <c r="O144" s="743"/>
      <c r="P144" s="743"/>
      <c r="Q144" s="743"/>
      <c r="R144" s="743"/>
      <c r="S144" s="743"/>
      <c r="T144" s="743"/>
      <c r="U144" s="743"/>
      <c r="V144" s="172"/>
      <c r="W144" s="242"/>
      <c r="X144" s="243"/>
      <c r="Y144" s="242"/>
      <c r="Z144" s="244"/>
      <c r="AA144" s="245"/>
      <c r="AB144" s="246"/>
      <c r="AC144" s="247"/>
      <c r="AD144" s="247"/>
      <c r="AE144" s="246"/>
      <c r="AF144" s="248"/>
      <c r="AG144" s="418"/>
      <c r="AH144" s="313"/>
      <c r="AI144" s="217"/>
      <c r="AJ144" s="178"/>
      <c r="AK144" s="178"/>
      <c r="AL144" s="178"/>
      <c r="AM144" s="297"/>
      <c r="AN144" s="297"/>
      <c r="AO144" s="297"/>
      <c r="AP144" s="297"/>
      <c r="AQ144" s="297"/>
      <c r="AR144" s="297"/>
      <c r="AS144" s="297"/>
      <c r="AT144" s="297"/>
      <c r="AU144" s="19"/>
      <c r="AV144" s="19"/>
      <c r="AW144" s="297"/>
      <c r="AX144" s="297"/>
      <c r="AY144" s="242"/>
      <c r="AZ144" s="243"/>
      <c r="BA144" s="175"/>
      <c r="BB144" s="743"/>
      <c r="BC144" s="743"/>
      <c r="BD144" s="743"/>
      <c r="BE144" s="743"/>
      <c r="BF144" s="743"/>
      <c r="BG144" s="743"/>
      <c r="BH144" s="743"/>
      <c r="BI144" s="743"/>
      <c r="BJ144" s="743"/>
      <c r="BK144" s="743"/>
      <c r="BL144" s="743"/>
      <c r="BM144" s="743"/>
      <c r="BN144" s="743"/>
      <c r="BO144" s="743"/>
      <c r="BP144" s="743"/>
      <c r="BQ144" s="743"/>
      <c r="BR144" s="743"/>
      <c r="BS144" s="743"/>
      <c r="BT144" s="743"/>
      <c r="BU144" s="743"/>
      <c r="BV144" s="743"/>
      <c r="BW144" s="743"/>
      <c r="BX144" s="743"/>
      <c r="BY144" s="743"/>
      <c r="BZ144" s="743"/>
      <c r="CA144" s="743"/>
      <c r="CB144" s="743"/>
      <c r="CC144" s="743"/>
      <c r="CD144" s="743"/>
      <c r="CE144" s="743"/>
      <c r="CF144" s="743"/>
      <c r="CG144" s="743"/>
      <c r="CH144" s="743"/>
      <c r="CI144" s="743"/>
      <c r="CJ144" s="743"/>
      <c r="CK144" s="743"/>
      <c r="CL144" s="743"/>
      <c r="CM144" s="743"/>
      <c r="CN144" s="743"/>
      <c r="CO144" s="743"/>
      <c r="CP144" s="743"/>
      <c r="CQ144" s="743"/>
      <c r="CR144" s="743"/>
      <c r="CS144" s="743"/>
      <c r="CT144" s="743"/>
      <c r="CU144" s="743"/>
      <c r="CV144" s="743"/>
      <c r="CW144" s="743"/>
      <c r="CX144" s="743"/>
      <c r="CY144" s="743"/>
      <c r="CZ144" s="743"/>
      <c r="DA144" s="743"/>
      <c r="DB144" s="743"/>
      <c r="DC144" s="743"/>
      <c r="DD144" s="743"/>
      <c r="DE144" s="743"/>
      <c r="DF144" s="743"/>
      <c r="DG144" s="743"/>
      <c r="DH144" s="743"/>
      <c r="DI144" s="743"/>
      <c r="DJ144" s="743"/>
      <c r="DK144" s="743"/>
      <c r="DL144" s="743"/>
      <c r="DM144" s="743"/>
      <c r="DN144" s="743"/>
      <c r="DO144" s="743"/>
      <c r="DP144" s="743"/>
      <c r="DQ144" s="743"/>
      <c r="DR144" s="743"/>
      <c r="DS144" s="743"/>
      <c r="DT144" s="743" t="str">
        <f t="shared" si="338"/>
        <v>-</v>
      </c>
      <c r="DU144" s="743"/>
      <c r="DV144" s="743"/>
      <c r="DW144" s="8"/>
    </row>
    <row r="145" spans="1:127" ht="16.149999999999999" customHeight="1" thickBot="1">
      <c r="A145" s="738"/>
      <c r="B145" s="738"/>
      <c r="C145" s="738"/>
      <c r="D145" s="746"/>
      <c r="E145" s="743"/>
      <c r="F145" s="743"/>
      <c r="G145" s="743"/>
      <c r="H145" s="743"/>
      <c r="I145" s="743"/>
      <c r="J145" s="743"/>
      <c r="K145" s="743"/>
      <c r="L145" s="743"/>
      <c r="M145" s="743"/>
      <c r="N145" s="743"/>
      <c r="O145" s="743"/>
      <c r="P145" s="743"/>
      <c r="Q145" s="743"/>
      <c r="R145" s="743"/>
      <c r="S145" s="743"/>
      <c r="T145" s="743"/>
      <c r="U145" s="743"/>
      <c r="V145" s="172"/>
      <c r="W145" s="317" t="str">
        <f>Idiomas!D30</f>
        <v>Final</v>
      </c>
      <c r="X145" s="318"/>
      <c r="Y145" s="319"/>
      <c r="Z145" s="319"/>
      <c r="AA145" s="337"/>
      <c r="AB145" s="319"/>
      <c r="AC145" s="319"/>
      <c r="AD145" s="319"/>
      <c r="AE145" s="319"/>
      <c r="AF145" s="320"/>
      <c r="AG145" s="418"/>
      <c r="AH145" s="313"/>
      <c r="AI145" s="217"/>
      <c r="AJ145" s="178"/>
      <c r="AK145" s="178"/>
      <c r="AL145" s="178"/>
      <c r="AM145" s="297"/>
      <c r="AN145" s="297"/>
      <c r="AO145" s="297"/>
      <c r="AP145" s="297"/>
      <c r="AQ145" s="297"/>
      <c r="AR145" s="297"/>
      <c r="AS145" s="297"/>
      <c r="AT145" s="297"/>
      <c r="AU145" s="19"/>
      <c r="AV145" s="19"/>
      <c r="AW145" s="297"/>
      <c r="AX145" s="297"/>
      <c r="AY145" s="242"/>
      <c r="AZ145" s="243"/>
      <c r="BA145" s="175"/>
      <c r="BB145" s="743"/>
      <c r="BC145" s="743"/>
      <c r="BD145" s="743"/>
      <c r="BE145" s="743"/>
      <c r="BF145" s="743"/>
      <c r="BG145" s="743"/>
      <c r="BH145" s="743"/>
      <c r="BI145" s="743"/>
      <c r="BJ145" s="743"/>
      <c r="BK145" s="743"/>
      <c r="BL145" s="743"/>
      <c r="BM145" s="743"/>
      <c r="BN145" s="743"/>
      <c r="BO145" s="743"/>
      <c r="BP145" s="743"/>
      <c r="BQ145" s="743"/>
      <c r="BR145" s="743"/>
      <c r="BS145" s="743"/>
      <c r="BT145" s="743"/>
      <c r="BU145" s="743"/>
      <c r="BV145" s="743"/>
      <c r="BW145" s="743"/>
      <c r="BX145" s="743"/>
      <c r="BY145" s="743"/>
      <c r="BZ145" s="743"/>
      <c r="CA145" s="743"/>
      <c r="CB145" s="743"/>
      <c r="CC145" s="743"/>
      <c r="CD145" s="743"/>
      <c r="CE145" s="743"/>
      <c r="CF145" s="743"/>
      <c r="CG145" s="743"/>
      <c r="CH145" s="743"/>
      <c r="CI145" s="743"/>
      <c r="CJ145" s="743"/>
      <c r="CK145" s="743"/>
      <c r="CL145" s="743"/>
      <c r="CM145" s="743"/>
      <c r="CN145" s="743"/>
      <c r="CO145" s="743"/>
      <c r="CP145" s="743"/>
      <c r="CQ145" s="743"/>
      <c r="CR145" s="743"/>
      <c r="CS145" s="743"/>
      <c r="CT145" s="743"/>
      <c r="CU145" s="743"/>
      <c r="CV145" s="743"/>
      <c r="CW145" s="743"/>
      <c r="CX145" s="743"/>
      <c r="CY145" s="743"/>
      <c r="CZ145" s="743"/>
      <c r="DA145" s="743"/>
      <c r="DB145" s="743"/>
      <c r="DC145" s="743"/>
      <c r="DD145" s="743"/>
      <c r="DE145" s="743"/>
      <c r="DF145" s="743"/>
      <c r="DG145" s="743"/>
      <c r="DH145" s="743"/>
      <c r="DI145" s="743"/>
      <c r="DJ145" s="743"/>
      <c r="DK145" s="743"/>
      <c r="DL145" s="743"/>
      <c r="DM145" s="743"/>
      <c r="DN145" s="743"/>
      <c r="DO145" s="743"/>
      <c r="DP145" s="743"/>
      <c r="DQ145" s="743"/>
      <c r="DR145" s="743"/>
      <c r="DS145" s="743"/>
      <c r="DT145" s="743" t="str">
        <f t="shared" si="338"/>
        <v>-</v>
      </c>
      <c r="DU145" s="743"/>
      <c r="DV145" s="743"/>
      <c r="DW145" s="8"/>
    </row>
    <row r="146" spans="1:127" ht="16.149999999999999" customHeight="1">
      <c r="A146" s="738"/>
      <c r="B146" s="738"/>
      <c r="C146" s="738"/>
      <c r="D146" s="746"/>
      <c r="E146" s="743"/>
      <c r="F146" s="743"/>
      <c r="G146" s="743"/>
      <c r="H146" s="743"/>
      <c r="I146" s="743"/>
      <c r="J146" s="743"/>
      <c r="K146" s="743"/>
      <c r="L146" s="743"/>
      <c r="M146" s="743"/>
      <c r="N146" s="743"/>
      <c r="O146" s="743"/>
      <c r="P146" s="743"/>
      <c r="Q146" s="743"/>
      <c r="R146" s="743"/>
      <c r="S146" s="743"/>
      <c r="T146" s="743"/>
      <c r="U146" s="743"/>
      <c r="V146" s="172"/>
      <c r="W146" s="321"/>
      <c r="X146" s="180" t="str">
        <f>X3</f>
        <v>Date</v>
      </c>
      <c r="Y146" s="180" t="str">
        <f>Y3</f>
        <v>Hour</v>
      </c>
      <c r="Z146" s="265"/>
      <c r="AA146" s="266" t="str">
        <f>AA3</f>
        <v>Home</v>
      </c>
      <c r="AB146" s="265" t="s">
        <v>13</v>
      </c>
      <c r="AC146" s="180" t="s">
        <v>17</v>
      </c>
      <c r="AD146" s="180" t="s">
        <v>17</v>
      </c>
      <c r="AE146" s="265" t="s">
        <v>13</v>
      </c>
      <c r="AF146" s="322" t="str">
        <f>AF3</f>
        <v>Away</v>
      </c>
      <c r="AG146" s="418"/>
      <c r="AH146" s="313"/>
      <c r="AI146" s="18"/>
      <c r="AJ146" s="173"/>
      <c r="AK146" s="173"/>
      <c r="AL146" s="178"/>
      <c r="AM146" s="297"/>
      <c r="AN146" s="297"/>
      <c r="AO146" s="297"/>
      <c r="AP146" s="297"/>
      <c r="AQ146" s="297"/>
      <c r="AR146" s="297"/>
      <c r="AS146" s="297"/>
      <c r="AT146" s="297"/>
      <c r="AU146" s="19"/>
      <c r="AV146" s="19"/>
      <c r="AW146" s="297"/>
      <c r="AX146" s="297"/>
      <c r="AY146" s="242"/>
      <c r="AZ146" s="243"/>
      <c r="BA146" s="175"/>
      <c r="BB146" s="743"/>
      <c r="BC146" s="743"/>
      <c r="BD146" s="743"/>
      <c r="BE146" s="743"/>
      <c r="BF146" s="743"/>
      <c r="BG146" s="743"/>
      <c r="BH146" s="743"/>
      <c r="BI146" s="743"/>
      <c r="BJ146" s="743"/>
      <c r="BK146" s="743"/>
      <c r="BL146" s="743"/>
      <c r="BM146" s="743"/>
      <c r="BN146" s="743"/>
      <c r="BO146" s="743"/>
      <c r="BP146" s="743"/>
      <c r="BQ146" s="743"/>
      <c r="BR146" s="743"/>
      <c r="BS146" s="743"/>
      <c r="BT146" s="743"/>
      <c r="BU146" s="743"/>
      <c r="BV146" s="743"/>
      <c r="BW146" s="743"/>
      <c r="BX146" s="743"/>
      <c r="BY146" s="743"/>
      <c r="BZ146" s="743"/>
      <c r="CA146" s="743"/>
      <c r="CB146" s="743"/>
      <c r="CC146" s="743"/>
      <c r="CD146" s="743"/>
      <c r="CE146" s="743"/>
      <c r="CF146" s="743"/>
      <c r="CG146" s="743"/>
      <c r="CH146" s="743"/>
      <c r="CI146" s="743"/>
      <c r="CJ146" s="743"/>
      <c r="CK146" s="743"/>
      <c r="CL146" s="743"/>
      <c r="CM146" s="743"/>
      <c r="CN146" s="743"/>
      <c r="CO146" s="743"/>
      <c r="CP146" s="743"/>
      <c r="CQ146" s="743"/>
      <c r="CR146" s="743"/>
      <c r="CS146" s="743"/>
      <c r="CT146" s="743"/>
      <c r="CU146" s="743"/>
      <c r="CV146" s="743"/>
      <c r="CW146" s="743"/>
      <c r="CX146" s="743"/>
      <c r="CY146" s="743"/>
      <c r="CZ146" s="743"/>
      <c r="DA146" s="743"/>
      <c r="DB146" s="743"/>
      <c r="DC146" s="743"/>
      <c r="DD146" s="743"/>
      <c r="DE146" s="743"/>
      <c r="DF146" s="743"/>
      <c r="DG146" s="743"/>
      <c r="DH146" s="743"/>
      <c r="DI146" s="743"/>
      <c r="DJ146" s="743"/>
      <c r="DK146" s="743"/>
      <c r="DL146" s="743"/>
      <c r="DM146" s="743"/>
      <c r="DN146" s="743"/>
      <c r="DO146" s="743"/>
      <c r="DP146" s="743"/>
      <c r="DQ146" s="743"/>
      <c r="DR146" s="743"/>
      <c r="DS146" s="743"/>
      <c r="DT146" s="743" t="str">
        <f t="shared" si="338"/>
        <v>Home-Away</v>
      </c>
      <c r="DU146" s="743"/>
      <c r="DV146" s="743"/>
      <c r="DW146" s="8"/>
    </row>
    <row r="147" spans="1:127" ht="16.149999999999999" customHeight="1" thickBot="1">
      <c r="A147" s="737" t="s">
        <v>760</v>
      </c>
      <c r="B147" s="737" t="s">
        <v>761</v>
      </c>
      <c r="C147" s="738"/>
      <c r="D147" s="746" t="str">
        <f ca="1">IF(AND(OR(AC147="",AD147="")),"W"&amp;AH147,IF(AC147&gt;AD147,AA147,IF(AC147&lt;AD147,AF147,IF(AND(AC147=AD147,AB147=AE147),"W"&amp;AH147,IF(AND(AC147=AD147,OR(AB147="",AE147="")),"W"&amp;AH147,IF(AND(AC147=AD147,AB147&gt;AE147),AA147,AF147))))))</f>
        <v>Spain</v>
      </c>
      <c r="E147" s="743">
        <v>101</v>
      </c>
      <c r="F147" s="743">
        <v>102</v>
      </c>
      <c r="G147" s="743"/>
      <c r="H147" s="743" t="str">
        <f ca="1">IF(AND(OR(AC147="",AD147="")),"LF",IF(AC147&gt;AD147,AF147,IF(AC147&lt;AD147,AA147,IF(AND(AC147=AD147,AB147=AE147),"LF",IF(AND(AC147=AD147,OR(AB147="",AE147="")),"LF",IF(AND(AC147=AD147,AB147&gt;AE147),AF147,AA147))))))</f>
        <v>Argentina</v>
      </c>
      <c r="I147" s="743"/>
      <c r="J147" s="737">
        <v>104</v>
      </c>
      <c r="K147" s="737">
        <v>46222.875</v>
      </c>
      <c r="L147" s="737" t="s">
        <v>716</v>
      </c>
      <c r="M147" s="737" t="str">
        <f ca="1">+INDEX($D$101:$D$147,MATCH(E147,$AH$101:$AH$147,0))</f>
        <v>Spain</v>
      </c>
      <c r="N147" s="737" t="str">
        <f ca="1">+INDEX($D$101:$D$147,MATCH(F147,$AH$101:$AH$147,0))</f>
        <v>Argentina</v>
      </c>
      <c r="O147" s="737"/>
      <c r="P147" s="737"/>
      <c r="Q147" s="737"/>
      <c r="R147" s="737"/>
      <c r="S147" s="737"/>
      <c r="T147" s="737"/>
      <c r="U147" s="737"/>
      <c r="V147" s="172"/>
      <c r="W147" s="338" t="s">
        <v>4</v>
      </c>
      <c r="X147" s="324">
        <f ca="1">Horarios!C147</f>
        <v>46222.875</v>
      </c>
      <c r="Y147" s="325">
        <f ca="1">Horarios!C147</f>
        <v>46222.875</v>
      </c>
      <c r="Z147" s="332">
        <f>AH147</f>
        <v>104</v>
      </c>
      <c r="AA147" s="333" t="str">
        <f ca="1">IF(AND(OR(AC138="",AD138="")),"W"&amp;AH138,IF(AC138&gt;AD138,AA138,IF(AC138&lt;AD138,AF138,IF(AND(AC138=AD138,AB138=AE138),"W"&amp;AH138,IF(AND(AC138=AD138,OR(AB138="",AE138="")),"W"&amp;AH138,IF(AND(AC138=AD138,AB138&gt;AE138),AA138,AF138))))))</f>
        <v>Spain</v>
      </c>
      <c r="AB147" s="334"/>
      <c r="AC147" s="335">
        <v>1</v>
      </c>
      <c r="AD147" s="335">
        <v>0</v>
      </c>
      <c r="AE147" s="334"/>
      <c r="AF147" s="336" t="str">
        <f ca="1">IF(AND(OR(AC139="",AD139="")),"W"&amp;AH139,IF(AC139&gt;AD139,AA139,IF(AC139&lt;AD139,AF139,IF(AND(AC139=AD139,AB139=AE139),"W"&amp;AH139,IF(AND(AC139=AD139,OR(AB139="",AE139="")),"W"&amp;AH139,IF(AND(AC139=AD139,AB139&gt;AE139),AA139,AF139))))))</f>
        <v>Argentina</v>
      </c>
      <c r="AG147" s="417">
        <f ca="1">IF(D147="W"&amp;AH147,0,1)</f>
        <v>1</v>
      </c>
      <c r="AH147" s="313">
        <v>104</v>
      </c>
      <c r="AI147" s="18"/>
      <c r="AJ147" s="173"/>
      <c r="AK147" s="173"/>
      <c r="AL147" s="178"/>
      <c r="AM147" s="173"/>
      <c r="AN147" s="173"/>
      <c r="AO147" s="173"/>
      <c r="AP147" s="174"/>
      <c r="AQ147" s="174"/>
      <c r="AR147" s="174"/>
      <c r="AS147" s="174"/>
      <c r="AT147" s="174"/>
      <c r="AU147" s="22"/>
      <c r="AV147" s="22"/>
      <c r="AW147" s="178"/>
      <c r="AX147" s="178"/>
      <c r="AY147" s="242"/>
      <c r="AZ147" s="243"/>
      <c r="BA147" s="175"/>
      <c r="BB147" s="743"/>
      <c r="BC147" s="743"/>
      <c r="BD147" s="743"/>
      <c r="BE147" s="743"/>
      <c r="BF147" s="743"/>
      <c r="BG147" s="743"/>
      <c r="BH147" s="743"/>
      <c r="BI147" s="743"/>
      <c r="BJ147" s="743"/>
      <c r="BK147" s="743"/>
      <c r="BL147" s="743"/>
      <c r="BM147" s="743"/>
      <c r="BN147" s="743"/>
      <c r="BO147" s="743"/>
      <c r="BP147" s="743"/>
      <c r="BQ147" s="743"/>
      <c r="BR147" s="743"/>
      <c r="BS147" s="743"/>
      <c r="BT147" s="743"/>
      <c r="BU147" s="743"/>
      <c r="BV147" s="743"/>
      <c r="BW147" s="743"/>
      <c r="BX147" s="743"/>
      <c r="BY147" s="743"/>
      <c r="BZ147" s="743"/>
      <c r="CA147" s="743"/>
      <c r="CB147" s="743"/>
      <c r="CC147" s="743"/>
      <c r="CD147" s="743"/>
      <c r="CE147" s="743"/>
      <c r="CF147" s="743"/>
      <c r="CG147" s="743"/>
      <c r="CH147" s="743"/>
      <c r="CI147" s="743"/>
      <c r="CJ147" s="743"/>
      <c r="CK147" s="743"/>
      <c r="CL147" s="743"/>
      <c r="CM147" s="743"/>
      <c r="CN147" s="743"/>
      <c r="CO147" s="743"/>
      <c r="CP147" s="743"/>
      <c r="CQ147" s="743"/>
      <c r="CR147" s="743"/>
      <c r="CS147" s="743"/>
      <c r="CT147" s="743"/>
      <c r="CU147" s="743"/>
      <c r="CV147" s="743"/>
      <c r="CW147" s="743"/>
      <c r="CX147" s="743"/>
      <c r="CY147" s="743"/>
      <c r="CZ147" s="743"/>
      <c r="DA147" s="743"/>
      <c r="DB147" s="743"/>
      <c r="DC147" s="743"/>
      <c r="DD147" s="743"/>
      <c r="DE147" s="743"/>
      <c r="DF147" s="743"/>
      <c r="DG147" s="743"/>
      <c r="DH147" s="743"/>
      <c r="DI147" s="743"/>
      <c r="DJ147" s="743"/>
      <c r="DK147" s="743"/>
      <c r="DL147" s="743"/>
      <c r="DM147" s="743"/>
      <c r="DN147" s="743"/>
      <c r="DO147" s="743"/>
      <c r="DP147" s="743"/>
      <c r="DQ147" s="743"/>
      <c r="DR147" s="743"/>
      <c r="DS147" s="743"/>
      <c r="DT147" s="743" t="str">
        <f t="shared" ca="1" si="338"/>
        <v>Spain-Argentina</v>
      </c>
      <c r="DU147" s="743"/>
      <c r="DV147" s="743"/>
      <c r="DW147" s="8"/>
    </row>
    <row r="148" spans="1:127" ht="16.149999999999999" customHeight="1" thickBot="1">
      <c r="C148" s="5"/>
      <c r="D148" s="5"/>
      <c r="E148" s="5"/>
      <c r="F148" s="5"/>
      <c r="G148" s="5"/>
      <c r="H148" s="5"/>
      <c r="I148" s="5"/>
      <c r="J148" s="5"/>
      <c r="K148" s="5"/>
      <c r="L148" s="5"/>
      <c r="M148" s="5"/>
      <c r="N148" s="5"/>
      <c r="O148" s="5"/>
      <c r="P148" s="5"/>
      <c r="Q148" s="5"/>
      <c r="R148" s="5"/>
      <c r="S148" s="5"/>
      <c r="T148" s="5"/>
      <c r="U148" s="5"/>
      <c r="V148" s="172"/>
      <c r="W148" s="242"/>
      <c r="X148" s="243"/>
      <c r="Y148" s="242"/>
      <c r="Z148" s="244"/>
      <c r="AA148" s="245"/>
      <c r="AB148" s="246"/>
      <c r="AC148" s="247"/>
      <c r="AD148" s="247"/>
      <c r="AE148" s="246"/>
      <c r="AF148" s="248"/>
      <c r="AG148" s="418"/>
      <c r="AH148" s="339"/>
      <c r="AI148" s="339"/>
      <c r="AJ148" s="297"/>
      <c r="AK148" s="297"/>
      <c r="AL148" s="19" t="str">
        <f>Idiomas!D49</f>
        <v>WORLD CUP IN PROGRESS</v>
      </c>
      <c r="AM148" s="19" t="str">
        <f>Idiomas!D50</f>
        <v>The race is still on</v>
      </c>
      <c r="AN148" s="297"/>
      <c r="AO148" s="297"/>
      <c r="AP148" s="297"/>
      <c r="AQ148" s="297"/>
      <c r="AR148" s="297"/>
      <c r="AS148" s="297"/>
      <c r="AT148" s="297"/>
      <c r="AU148" s="19"/>
      <c r="AV148" s="19"/>
      <c r="AW148" s="297"/>
      <c r="AX148" s="297"/>
      <c r="AY148" s="242"/>
      <c r="AZ148" s="243"/>
      <c r="BA148" s="175"/>
      <c r="BB148" s="743"/>
      <c r="BC148" s="743"/>
      <c r="BD148" s="743"/>
      <c r="BE148" s="743"/>
      <c r="BF148" s="743"/>
      <c r="BG148" s="743"/>
      <c r="BH148" s="743"/>
      <c r="BI148" s="743"/>
      <c r="BJ148" s="743"/>
      <c r="BK148" s="743"/>
      <c r="BL148" s="743"/>
      <c r="BM148" s="743"/>
      <c r="BN148" s="743"/>
      <c r="BO148" s="743"/>
      <c r="BP148" s="743"/>
      <c r="BQ148" s="743"/>
      <c r="BR148" s="743"/>
      <c r="BS148" s="743"/>
      <c r="BT148" s="743"/>
      <c r="BU148" s="743"/>
      <c r="BV148" s="743"/>
      <c r="BW148" s="743"/>
      <c r="BX148" s="743"/>
      <c r="BY148" s="743"/>
      <c r="BZ148" s="743"/>
      <c r="CA148" s="743"/>
      <c r="CB148" s="743"/>
      <c r="CC148" s="743"/>
      <c r="CD148" s="743"/>
      <c r="CE148" s="743"/>
      <c r="CF148" s="743"/>
      <c r="CG148" s="743"/>
      <c r="CH148" s="743"/>
      <c r="CI148" s="743"/>
      <c r="CJ148" s="743"/>
      <c r="CK148" s="743"/>
      <c r="CL148" s="743"/>
      <c r="CM148" s="743"/>
      <c r="CN148" s="743"/>
      <c r="CO148" s="743"/>
      <c r="CP148" s="743"/>
      <c r="CQ148" s="743"/>
      <c r="CR148" s="743"/>
      <c r="CS148" s="743"/>
      <c r="CT148" s="743"/>
      <c r="CU148" s="743"/>
      <c r="CV148" s="743"/>
      <c r="CW148" s="743"/>
      <c r="CX148" s="743"/>
      <c r="CY148" s="743"/>
      <c r="CZ148" s="743"/>
      <c r="DA148" s="743"/>
      <c r="DB148" s="743"/>
      <c r="DC148" s="743"/>
      <c r="DD148" s="743"/>
      <c r="DE148" s="743"/>
      <c r="DF148" s="743"/>
      <c r="DG148" s="743"/>
      <c r="DH148" s="743"/>
      <c r="DI148" s="743"/>
      <c r="DJ148" s="743"/>
      <c r="DK148" s="743"/>
      <c r="DL148" s="743"/>
      <c r="DM148" s="743"/>
      <c r="DN148" s="743"/>
      <c r="DO148" s="743"/>
      <c r="DP148" s="743"/>
      <c r="DQ148" s="743"/>
      <c r="DR148" s="743"/>
      <c r="DS148" s="743"/>
      <c r="DT148" s="743"/>
      <c r="DU148" s="743"/>
      <c r="DV148" s="743"/>
      <c r="DW148" s="8"/>
    </row>
    <row r="149" spans="1:127" ht="16.149999999999999" customHeight="1" thickBot="1">
      <c r="A149" s="727"/>
      <c r="B149" s="727"/>
      <c r="C149" s="727"/>
      <c r="D149" s="727"/>
      <c r="E149" s="727"/>
      <c r="F149" s="727"/>
      <c r="G149" s="727"/>
      <c r="H149" s="727"/>
      <c r="I149" s="727"/>
      <c r="J149" s="727"/>
      <c r="K149" s="727"/>
      <c r="L149" s="727"/>
      <c r="M149" s="727"/>
      <c r="N149" s="727"/>
      <c r="O149" s="727"/>
      <c r="P149" s="727"/>
      <c r="Q149" s="727"/>
      <c r="R149" s="727"/>
      <c r="S149" s="727"/>
      <c r="T149" s="727"/>
      <c r="U149" s="727"/>
      <c r="V149" s="172"/>
      <c r="W149" s="340"/>
      <c r="X149" s="341"/>
      <c r="Y149" s="342"/>
      <c r="Z149" s="342"/>
      <c r="AA149" s="343" t="str">
        <f>Idiomas!D31</f>
        <v>Honor box</v>
      </c>
      <c r="AB149" s="342"/>
      <c r="AC149" s="341"/>
      <c r="AD149" s="341"/>
      <c r="AE149" s="342"/>
      <c r="AF149" s="344"/>
      <c r="AG149" s="419"/>
      <c r="AH149" s="345"/>
      <c r="AI149" s="339"/>
      <c r="AJ149" s="297"/>
      <c r="AK149" s="297"/>
      <c r="AL149" s="19" t="str">
        <f>Idiomas!D51</f>
        <v>WORLD CUP FINISHED</v>
      </c>
      <c r="AM149" s="19" t="str">
        <f>Idiomas!D52</f>
        <v>Who has won the pool?</v>
      </c>
      <c r="AN149" s="297"/>
      <c r="AO149" s="297"/>
      <c r="AP149" s="297"/>
      <c r="AQ149" s="297"/>
      <c r="AR149" s="297"/>
      <c r="AS149" s="297"/>
      <c r="AT149" s="297"/>
      <c r="AU149" s="19"/>
      <c r="AV149" s="19"/>
      <c r="AW149" s="297"/>
      <c r="AX149" s="297"/>
      <c r="AY149" s="242"/>
      <c r="AZ149" s="243"/>
      <c r="BA149" s="175"/>
      <c r="BB149" s="743"/>
      <c r="BC149" s="743"/>
      <c r="BD149" s="743"/>
      <c r="BE149" s="743"/>
      <c r="BF149" s="743"/>
      <c r="BG149" s="743"/>
      <c r="BH149" s="743"/>
      <c r="BI149" s="743"/>
      <c r="BJ149" s="743"/>
      <c r="BK149" s="743"/>
      <c r="BL149" s="743"/>
      <c r="BM149" s="743"/>
      <c r="BN149" s="743"/>
      <c r="BO149" s="743"/>
      <c r="BP149" s="743"/>
      <c r="BQ149" s="743"/>
      <c r="BR149" s="743"/>
      <c r="BS149" s="743"/>
      <c r="BT149" s="743"/>
      <c r="BU149" s="743"/>
      <c r="BV149" s="743"/>
      <c r="BW149" s="743"/>
      <c r="BX149" s="743"/>
      <c r="BY149" s="743"/>
      <c r="BZ149" s="743"/>
      <c r="CA149" s="743"/>
      <c r="CB149" s="743"/>
      <c r="CC149" s="743"/>
      <c r="CD149" s="743"/>
      <c r="CE149" s="743"/>
      <c r="CF149" s="743"/>
      <c r="CG149" s="743"/>
      <c r="CH149" s="743"/>
      <c r="CI149" s="743"/>
      <c r="CJ149" s="743"/>
      <c r="CK149" s="743"/>
      <c r="CL149" s="743"/>
      <c r="CM149" s="743"/>
      <c r="CN149" s="743"/>
      <c r="CO149" s="743"/>
      <c r="CP149" s="743"/>
      <c r="CQ149" s="743"/>
      <c r="CR149" s="743"/>
      <c r="CS149" s="743"/>
      <c r="CT149" s="743"/>
      <c r="CU149" s="743"/>
      <c r="CV149" s="743"/>
      <c r="CW149" s="743"/>
      <c r="CX149" s="743"/>
      <c r="CY149" s="743"/>
      <c r="CZ149" s="743"/>
      <c r="DA149" s="743"/>
      <c r="DB149" s="743"/>
      <c r="DC149" s="743"/>
      <c r="DD149" s="743"/>
      <c r="DE149" s="743"/>
      <c r="DF149" s="743"/>
      <c r="DG149" s="743"/>
      <c r="DH149" s="743"/>
      <c r="DI149" s="743"/>
      <c r="DJ149" s="743"/>
      <c r="DK149" s="743"/>
      <c r="DL149" s="743"/>
      <c r="DM149" s="743"/>
      <c r="DN149" s="743"/>
      <c r="DO149" s="743"/>
      <c r="DP149" s="743"/>
      <c r="DQ149" s="743"/>
      <c r="DR149" s="743"/>
      <c r="DS149" s="743"/>
      <c r="DT149" s="743"/>
      <c r="DU149" s="743"/>
      <c r="DV149" s="743"/>
      <c r="DW149" s="8"/>
    </row>
    <row r="150" spans="1:127" ht="16.149999999999999" customHeight="1" thickBot="1">
      <c r="A150" s="727"/>
      <c r="B150" s="727"/>
      <c r="C150" s="727"/>
      <c r="D150" s="727"/>
      <c r="E150" s="727"/>
      <c r="F150" s="727"/>
      <c r="G150" s="727"/>
      <c r="H150" s="727"/>
      <c r="I150" s="727"/>
      <c r="J150" s="727"/>
      <c r="K150" s="727"/>
      <c r="L150" s="727"/>
      <c r="M150" s="727"/>
      <c r="N150" s="727"/>
      <c r="O150" s="727"/>
      <c r="P150" s="727"/>
      <c r="Q150" s="727"/>
      <c r="R150" s="727"/>
      <c r="S150" s="727"/>
      <c r="T150" s="727"/>
      <c r="U150" s="727"/>
      <c r="V150" s="172"/>
      <c r="W150" s="346" t="str">
        <f>"🥇"&amp;Idiomas!D32</f>
        <v>🥇Winner</v>
      </c>
      <c r="X150" s="347"/>
      <c r="Y150" s="348"/>
      <c r="Z150" s="348"/>
      <c r="AA150" s="349" t="str">
        <f ca="1">IF(AND(OR(AC147="",AD147="")),"WF",IF(AC147&gt;AD147,AA147,IF(AC147&lt;AD147,AF147,IF(AND(AC147=AD147,AB147=AE147),"WF",IF(AND(AC147=AD147,OR(AB147="",AE147="")),"WF",IF(AND(AC147=AD147,AB147&gt;AE147),AA147,AF147))))))</f>
        <v>Spain</v>
      </c>
      <c r="AB150" s="350"/>
      <c r="AC150" s="350"/>
      <c r="AD150" s="350"/>
      <c r="AE150" s="350"/>
      <c r="AF150" s="351"/>
      <c r="AG150" s="417">
        <f ca="1">IF(AA150="WF",0,1)</f>
        <v>1</v>
      </c>
      <c r="AH150" s="345"/>
      <c r="AI150" s="345"/>
      <c r="AJ150" s="173"/>
      <c r="AK150" s="173"/>
      <c r="AL150" s="173"/>
      <c r="AM150" s="173"/>
      <c r="AN150" s="173"/>
      <c r="AO150" s="173"/>
      <c r="AP150" s="173"/>
      <c r="AQ150" s="173"/>
      <c r="AR150" s="173"/>
      <c r="AS150" s="173"/>
      <c r="AT150" s="173"/>
      <c r="AU150" s="345"/>
      <c r="AV150" s="345"/>
      <c r="AW150" s="173"/>
      <c r="AX150" s="173"/>
      <c r="AY150" s="242"/>
      <c r="AZ150" s="243"/>
      <c r="BA150" s="175"/>
      <c r="BB150" s="743"/>
      <c r="BC150" s="743"/>
      <c r="BD150" s="743"/>
      <c r="BE150" s="743"/>
      <c r="BF150" s="743"/>
      <c r="BG150" s="743"/>
      <c r="BH150" s="743"/>
      <c r="BI150" s="743"/>
      <c r="BJ150" s="743"/>
      <c r="BK150" s="743"/>
      <c r="BL150" s="743"/>
      <c r="BM150" s="743"/>
      <c r="BN150" s="743"/>
      <c r="BO150" s="743"/>
      <c r="BP150" s="743"/>
      <c r="BQ150" s="743"/>
      <c r="BR150" s="743"/>
      <c r="BS150" s="743"/>
      <c r="BT150" s="743"/>
      <c r="BU150" s="743"/>
      <c r="BV150" s="743"/>
      <c r="BW150" s="743"/>
      <c r="BX150" s="743"/>
      <c r="BY150" s="743"/>
      <c r="BZ150" s="743"/>
      <c r="CA150" s="743"/>
      <c r="CB150" s="743"/>
      <c r="CC150" s="743"/>
      <c r="CD150" s="743"/>
      <c r="CE150" s="743"/>
      <c r="CF150" s="743"/>
      <c r="CG150" s="743"/>
      <c r="CH150" s="743"/>
      <c r="CI150" s="743"/>
      <c r="CJ150" s="743"/>
      <c r="CK150" s="743"/>
      <c r="CL150" s="743"/>
      <c r="CM150" s="743"/>
      <c r="CN150" s="743"/>
      <c r="CO150" s="743"/>
      <c r="CP150" s="743"/>
      <c r="CQ150" s="743"/>
      <c r="CR150" s="743"/>
      <c r="CS150" s="743"/>
      <c r="CT150" s="743"/>
      <c r="CU150" s="743"/>
      <c r="CV150" s="743"/>
      <c r="CW150" s="743"/>
      <c r="CX150" s="743"/>
      <c r="CY150" s="743"/>
      <c r="CZ150" s="743"/>
      <c r="DA150" s="743"/>
      <c r="DB150" s="743"/>
      <c r="DC150" s="743"/>
      <c r="DD150" s="743"/>
      <c r="DE150" s="743"/>
      <c r="DF150" s="743"/>
      <c r="DG150" s="743"/>
      <c r="DH150" s="743"/>
      <c r="DI150" s="743"/>
      <c r="DJ150" s="743"/>
      <c r="DK150" s="743"/>
      <c r="DL150" s="743"/>
      <c r="DM150" s="743"/>
      <c r="DN150" s="743"/>
      <c r="DO150" s="743"/>
      <c r="DP150" s="743"/>
      <c r="DQ150" s="743"/>
      <c r="DR150" s="743"/>
      <c r="DS150" s="743"/>
      <c r="DT150" s="743"/>
      <c r="DU150" s="743"/>
      <c r="DV150" s="743"/>
      <c r="DW150" s="8"/>
    </row>
    <row r="151" spans="1:127" ht="16.149999999999999" customHeight="1">
      <c r="A151" s="727"/>
      <c r="B151" s="727"/>
      <c r="C151" s="727"/>
      <c r="D151" s="727"/>
      <c r="E151" s="727"/>
      <c r="F151" s="727"/>
      <c r="G151" s="727"/>
      <c r="H151" s="727"/>
      <c r="I151" s="727"/>
      <c r="J151" s="727"/>
      <c r="K151" s="727"/>
      <c r="L151" s="727"/>
      <c r="M151" s="727"/>
      <c r="N151" s="727"/>
      <c r="O151" s="727"/>
      <c r="P151" s="727"/>
      <c r="Q151" s="727"/>
      <c r="R151" s="727"/>
      <c r="S151" s="727"/>
      <c r="T151" s="727"/>
      <c r="U151" s="727"/>
      <c r="V151" s="172"/>
      <c r="W151" s="346" t="str">
        <f>"🥈"&amp;Idiomas!D33</f>
        <v>🥈Runner-up</v>
      </c>
      <c r="X151" s="347"/>
      <c r="Y151" s="348"/>
      <c r="Z151" s="348"/>
      <c r="AA151" s="352" t="str">
        <f ca="1">IF(AND(OR(AC147="",AD147="")),"LF",IF(AC147&gt;AD147,AF147,IF(AC147&lt;AD147,AA147,IF(AND(AC147=AD147,AB147=AE147),"LF",IF(AND(AC147=AD147,OR(AB147="",AE147="")),"LF",IF(AND(AC147=AD147,AB147&gt;AE147),AF147,AA147))))))</f>
        <v>Argentina</v>
      </c>
      <c r="AB151" s="353"/>
      <c r="AC151" s="353"/>
      <c r="AD151" s="353"/>
      <c r="AE151" s="353"/>
      <c r="AF151" s="354"/>
      <c r="AG151" s="417">
        <f ca="1">IF(AA151="LF",0,1)</f>
        <v>1</v>
      </c>
      <c r="AH151" s="345"/>
      <c r="AI151" s="345"/>
      <c r="AJ151" s="805" t="str">
        <f ca="1">IF(SUM(COUNTIF(AG4:AG97,0),COUNTIF(AG101:AG160,0)&gt;0),AL148,AL149)</f>
        <v>WORLD CUP FINISHED</v>
      </c>
      <c r="AK151" s="806"/>
      <c r="AL151" s="806"/>
      <c r="AM151" s="806"/>
      <c r="AN151" s="806"/>
      <c r="AO151" s="806"/>
      <c r="AP151" s="806"/>
      <c r="AQ151" s="806"/>
      <c r="AR151" s="806"/>
      <c r="AS151" s="806"/>
      <c r="AT151" s="806"/>
      <c r="AU151" s="807"/>
      <c r="AV151" s="355"/>
      <c r="AW151" s="243"/>
      <c r="AX151" s="242"/>
      <c r="AY151" s="244"/>
      <c r="AZ151" s="245"/>
      <c r="BA151" s="175"/>
      <c r="DW151" s="8"/>
    </row>
    <row r="152" spans="1:127" ht="16.149999999999999" customHeight="1" thickBot="1">
      <c r="A152" s="727"/>
      <c r="B152" s="727"/>
      <c r="C152" s="727"/>
      <c r="D152" s="727"/>
      <c r="E152" s="727"/>
      <c r="F152" s="727"/>
      <c r="G152" s="727"/>
      <c r="H152" s="727"/>
      <c r="I152" s="727"/>
      <c r="J152" s="727"/>
      <c r="K152" s="727"/>
      <c r="L152" s="727"/>
      <c r="M152" s="727"/>
      <c r="N152" s="727"/>
      <c r="O152" s="727"/>
      <c r="P152" s="727"/>
      <c r="Q152" s="727"/>
      <c r="R152" s="727"/>
      <c r="S152" s="727"/>
      <c r="T152" s="727"/>
      <c r="U152" s="727"/>
      <c r="V152" s="172"/>
      <c r="W152" s="356" t="str">
        <f>"🥉"&amp;Idiomas!D34</f>
        <v>🥉3rd place</v>
      </c>
      <c r="X152" s="357"/>
      <c r="Y152" s="358"/>
      <c r="Z152" s="358"/>
      <c r="AA152" s="359" t="str">
        <f ca="1">IF(AND(OR(AC143="",AD143="")),"W34",IF(AC143&gt;AD143,AA143,IF(AC143&lt;AD143,AF143,IF(AND(AC143=AD143,AB143=AE143),"W34",IF(AND(AC143=AD143,OR(AB143="",AE143="")),"W34",IF(AND(AC143=AD143,AB143&gt;AE143),AA143,AF143))))))</f>
        <v>England</v>
      </c>
      <c r="AB152" s="360"/>
      <c r="AC152" s="360"/>
      <c r="AD152" s="360"/>
      <c r="AE152" s="360"/>
      <c r="AF152" s="361"/>
      <c r="AG152" s="417">
        <f ca="1">IF(AA152="W34",0,1)</f>
        <v>1</v>
      </c>
      <c r="AH152" s="345"/>
      <c r="AI152" s="345"/>
      <c r="AJ152" s="808"/>
      <c r="AK152" s="809"/>
      <c r="AL152" s="809"/>
      <c r="AM152" s="809"/>
      <c r="AN152" s="809"/>
      <c r="AO152" s="809"/>
      <c r="AP152" s="809"/>
      <c r="AQ152" s="809"/>
      <c r="AR152" s="809"/>
      <c r="AS152" s="809"/>
      <c r="AT152" s="809"/>
      <c r="AU152" s="810"/>
      <c r="AV152" s="355"/>
      <c r="AW152" s="243"/>
      <c r="AX152" s="242"/>
      <c r="AY152" s="244"/>
      <c r="AZ152" s="245"/>
      <c r="BA152" s="175"/>
      <c r="DW152" s="8"/>
    </row>
    <row r="153" spans="1:127" ht="16.149999999999999" customHeight="1" thickBot="1">
      <c r="A153" s="727"/>
      <c r="B153" s="727"/>
      <c r="C153" s="727"/>
      <c r="D153" s="727"/>
      <c r="E153" s="727"/>
      <c r="F153" s="727"/>
      <c r="G153" s="727"/>
      <c r="H153" s="727"/>
      <c r="I153" s="727"/>
      <c r="J153" s="727"/>
      <c r="K153" s="727"/>
      <c r="L153" s="727"/>
      <c r="M153" s="727"/>
      <c r="N153" s="727"/>
      <c r="O153" s="727"/>
      <c r="P153" s="727"/>
      <c r="Q153" s="727"/>
      <c r="R153" s="727"/>
      <c r="S153" s="727"/>
      <c r="T153" s="727"/>
      <c r="U153" s="727"/>
      <c r="V153" s="172"/>
      <c r="W153" s="242"/>
      <c r="X153" s="243"/>
      <c r="Y153" s="242"/>
      <c r="Z153" s="244"/>
      <c r="AA153" s="245"/>
      <c r="AB153" s="246"/>
      <c r="AC153" s="247"/>
      <c r="AD153" s="247"/>
      <c r="AE153" s="246"/>
      <c r="AF153" s="248"/>
      <c r="AG153" s="415"/>
      <c r="AH153" s="345"/>
      <c r="AI153" s="345"/>
      <c r="AJ153" s="808"/>
      <c r="AK153" s="809"/>
      <c r="AL153" s="809"/>
      <c r="AM153" s="809"/>
      <c r="AN153" s="809"/>
      <c r="AO153" s="809"/>
      <c r="AP153" s="809"/>
      <c r="AQ153" s="809"/>
      <c r="AR153" s="809"/>
      <c r="AS153" s="809"/>
      <c r="AT153" s="809"/>
      <c r="AU153" s="810"/>
      <c r="AV153" s="355"/>
      <c r="AW153" s="243"/>
      <c r="AX153" s="242"/>
      <c r="AY153" s="244"/>
      <c r="AZ153" s="245"/>
      <c r="BA153" s="175"/>
      <c r="DW153" s="8"/>
    </row>
    <row r="154" spans="1:127" ht="16.149999999999999" customHeight="1">
      <c r="A154" s="727"/>
      <c r="B154" s="727"/>
      <c r="C154" s="727"/>
      <c r="D154" s="727"/>
      <c r="E154" s="727"/>
      <c r="F154" s="727"/>
      <c r="G154" s="727"/>
      <c r="H154" s="727"/>
      <c r="I154" s="727"/>
      <c r="J154" s="727"/>
      <c r="K154" s="727"/>
      <c r="L154" s="727"/>
      <c r="M154" s="727"/>
      <c r="N154" s="727"/>
      <c r="O154" s="727"/>
      <c r="P154" s="727"/>
      <c r="Q154" s="727"/>
      <c r="R154" s="727"/>
      <c r="S154" s="727"/>
      <c r="T154" s="727"/>
      <c r="U154" s="727"/>
      <c r="V154" s="172"/>
      <c r="W154" s="362" t="str">
        <f>Idiomas!D35</f>
        <v>Golden Boot  (Top Scorer)</v>
      </c>
      <c r="X154" s="363"/>
      <c r="Y154" s="363"/>
      <c r="Z154" s="364"/>
      <c r="AA154" s="365" t="s">
        <v>3014</v>
      </c>
      <c r="AB154" s="366"/>
      <c r="AC154" s="366"/>
      <c r="AD154" s="366"/>
      <c r="AE154" s="366"/>
      <c r="AF154" s="367"/>
      <c r="AG154" s="417">
        <f>IF(AA154=AH154,0,IF(AA154="",0,1))</f>
        <v>1</v>
      </c>
      <c r="AH154" s="368" t="str">
        <f>+Idiomas!D41</f>
        <v>Write the Golden Boot player</v>
      </c>
      <c r="AI154" s="345"/>
      <c r="AJ154" s="808"/>
      <c r="AK154" s="809"/>
      <c r="AL154" s="809"/>
      <c r="AM154" s="809"/>
      <c r="AN154" s="809"/>
      <c r="AO154" s="809"/>
      <c r="AP154" s="809"/>
      <c r="AQ154" s="809"/>
      <c r="AR154" s="809"/>
      <c r="AS154" s="809"/>
      <c r="AT154" s="809"/>
      <c r="AU154" s="810"/>
      <c r="AV154" s="355"/>
      <c r="AW154" s="243"/>
      <c r="AX154" s="242"/>
      <c r="AY154" s="244"/>
      <c r="AZ154" s="245"/>
      <c r="BA154" s="175"/>
      <c r="DW154" s="8"/>
    </row>
    <row r="155" spans="1:127" ht="16.149999999999999" customHeight="1">
      <c r="A155" s="727"/>
      <c r="B155" s="727"/>
      <c r="C155" s="727"/>
      <c r="D155" s="727"/>
      <c r="E155" s="727"/>
      <c r="F155" s="727"/>
      <c r="G155" s="727"/>
      <c r="H155" s="727"/>
      <c r="I155" s="727"/>
      <c r="J155" s="727"/>
      <c r="K155" s="727"/>
      <c r="L155" s="727"/>
      <c r="M155" s="727"/>
      <c r="N155" s="727"/>
      <c r="O155" s="727"/>
      <c r="P155" s="727"/>
      <c r="Q155" s="727"/>
      <c r="R155" s="727"/>
      <c r="S155" s="727"/>
      <c r="T155" s="727"/>
      <c r="U155" s="727"/>
      <c r="V155" s="172"/>
      <c r="W155" s="346" t="str">
        <f>Idiomas!D36</f>
        <v>Silver Boot  (2nd Top Scorer)</v>
      </c>
      <c r="X155" s="348"/>
      <c r="Y155" s="348"/>
      <c r="Z155" s="369"/>
      <c r="AA155" s="370" t="s">
        <v>2441</v>
      </c>
      <c r="AB155" s="371"/>
      <c r="AC155" s="371"/>
      <c r="AD155" s="371"/>
      <c r="AE155" s="371"/>
      <c r="AF155" s="372"/>
      <c r="AG155" s="417">
        <f t="shared" ref="AG155:AG156" si="341">IF(AA155=AH155,0,IF(AA155="",0,1))</f>
        <v>1</v>
      </c>
      <c r="AH155" s="345" t="str">
        <f>+Idiomas!D42</f>
        <v>Write the Silver Boot player</v>
      </c>
      <c r="AI155" s="345"/>
      <c r="AJ155" s="817" t="str">
        <f ca="1">IF(SUM(COUNTIF(AG4:AG97,0),COUNTIF(AG101:AG160,0)&gt;0),AM148,AM149)</f>
        <v>Who has won the pool?</v>
      </c>
      <c r="AK155" s="818"/>
      <c r="AL155" s="818"/>
      <c r="AM155" s="818"/>
      <c r="AN155" s="818"/>
      <c r="AO155" s="818"/>
      <c r="AP155" s="818"/>
      <c r="AQ155" s="818"/>
      <c r="AR155" s="818"/>
      <c r="AS155" s="818"/>
      <c r="AT155" s="818"/>
      <c r="AU155" s="819"/>
      <c r="AV155" s="355"/>
      <c r="AW155" s="243"/>
      <c r="AX155" s="242"/>
      <c r="AY155" s="244"/>
      <c r="AZ155" s="245"/>
      <c r="BA155" s="373"/>
      <c r="DW155" s="8"/>
    </row>
    <row r="156" spans="1:127" ht="16.149999999999999" customHeight="1" thickBot="1">
      <c r="A156" s="727"/>
      <c r="B156" s="727"/>
      <c r="C156" s="727"/>
      <c r="D156" s="727"/>
      <c r="E156" s="727"/>
      <c r="F156" s="727"/>
      <c r="G156" s="727"/>
      <c r="H156" s="727"/>
      <c r="I156" s="727"/>
      <c r="J156" s="727"/>
      <c r="K156" s="727"/>
      <c r="L156" s="727"/>
      <c r="M156" s="727"/>
      <c r="N156" s="727"/>
      <c r="O156" s="727"/>
      <c r="P156" s="727"/>
      <c r="Q156" s="727"/>
      <c r="R156" s="727"/>
      <c r="S156" s="727"/>
      <c r="T156" s="727"/>
      <c r="U156" s="727"/>
      <c r="V156" s="172"/>
      <c r="W156" s="356" t="str">
        <f>Idiomas!D37</f>
        <v>Bronze Boot (3rd Top Scorer)</v>
      </c>
      <c r="X156" s="358"/>
      <c r="Y156" s="358"/>
      <c r="Z156" s="374"/>
      <c r="AA156" s="375" t="s">
        <v>3069</v>
      </c>
      <c r="AB156" s="376"/>
      <c r="AC156" s="376"/>
      <c r="AD156" s="376"/>
      <c r="AE156" s="376"/>
      <c r="AF156" s="377"/>
      <c r="AG156" s="417">
        <f t="shared" si="341"/>
        <v>1</v>
      </c>
      <c r="AH156" s="345" t="str">
        <f>+Idiomas!D43</f>
        <v>Write the Bronze Boot player</v>
      </c>
      <c r="AI156" s="345"/>
      <c r="AJ156" s="817"/>
      <c r="AK156" s="818"/>
      <c r="AL156" s="818"/>
      <c r="AM156" s="818"/>
      <c r="AN156" s="818"/>
      <c r="AO156" s="818"/>
      <c r="AP156" s="818"/>
      <c r="AQ156" s="818"/>
      <c r="AR156" s="818"/>
      <c r="AS156" s="818"/>
      <c r="AT156" s="818"/>
      <c r="AU156" s="819"/>
      <c r="AV156" s="355"/>
      <c r="AW156" s="243"/>
      <c r="AX156" s="242"/>
      <c r="AY156" s="244"/>
      <c r="AZ156" s="245"/>
      <c r="BA156" s="373"/>
      <c r="DW156" s="8"/>
    </row>
    <row r="157" spans="1:127" ht="16.149999999999999" customHeight="1" thickBot="1">
      <c r="A157" s="727"/>
      <c r="B157" s="727"/>
      <c r="C157" s="727"/>
      <c r="D157" s="727"/>
      <c r="E157" s="727"/>
      <c r="F157" s="727"/>
      <c r="G157" s="727"/>
      <c r="H157" s="727"/>
      <c r="I157" s="727"/>
      <c r="J157" s="727"/>
      <c r="K157" s="727"/>
      <c r="L157" s="727"/>
      <c r="M157" s="727"/>
      <c r="N157" s="727"/>
      <c r="O157" s="727"/>
      <c r="P157" s="727"/>
      <c r="Q157" s="727"/>
      <c r="R157" s="727"/>
      <c r="S157" s="727"/>
      <c r="T157" s="727"/>
      <c r="U157" s="727"/>
      <c r="V157" s="172"/>
      <c r="W157" s="242"/>
      <c r="X157" s="243"/>
      <c r="Y157" s="242"/>
      <c r="Z157" s="244"/>
      <c r="AA157" s="245"/>
      <c r="AB157" s="246"/>
      <c r="AC157" s="247"/>
      <c r="AD157" s="247"/>
      <c r="AE157" s="246"/>
      <c r="AF157" s="248"/>
      <c r="AG157" s="415"/>
      <c r="AH157" s="345"/>
      <c r="AI157" s="345"/>
      <c r="AJ157" s="820"/>
      <c r="AK157" s="821"/>
      <c r="AL157" s="821"/>
      <c r="AM157" s="821"/>
      <c r="AN157" s="821"/>
      <c r="AO157" s="821"/>
      <c r="AP157" s="821"/>
      <c r="AQ157" s="821"/>
      <c r="AR157" s="821"/>
      <c r="AS157" s="821"/>
      <c r="AT157" s="821"/>
      <c r="AU157" s="822"/>
      <c r="AV157" s="355"/>
      <c r="AW157" s="243"/>
      <c r="AX157" s="242"/>
      <c r="AY157" s="244"/>
      <c r="AZ157" s="245"/>
      <c r="BA157" s="373"/>
      <c r="DW157" s="8"/>
    </row>
    <row r="158" spans="1:127" ht="16.149999999999999" customHeight="1">
      <c r="A158" s="727"/>
      <c r="B158" s="727"/>
      <c r="C158" s="727"/>
      <c r="D158" s="727"/>
      <c r="E158" s="727"/>
      <c r="F158" s="727"/>
      <c r="G158" s="727"/>
      <c r="H158" s="727"/>
      <c r="I158" s="727"/>
      <c r="J158" s="727"/>
      <c r="K158" s="727"/>
      <c r="L158" s="727"/>
      <c r="M158" s="727"/>
      <c r="N158" s="727"/>
      <c r="O158" s="727"/>
      <c r="P158" s="727"/>
      <c r="Q158" s="727"/>
      <c r="R158" s="727"/>
      <c r="S158" s="727"/>
      <c r="T158" s="727"/>
      <c r="U158" s="727"/>
      <c r="V158" s="172"/>
      <c r="W158" s="362" t="str">
        <f>Idiomas!D38</f>
        <v>Golden Ball (Best Player)</v>
      </c>
      <c r="X158" s="363"/>
      <c r="Y158" s="363"/>
      <c r="Z158" s="364"/>
      <c r="AA158" s="365" t="s">
        <v>3070</v>
      </c>
      <c r="AB158" s="366"/>
      <c r="AC158" s="366"/>
      <c r="AD158" s="366"/>
      <c r="AE158" s="366"/>
      <c r="AF158" s="367"/>
      <c r="AG158" s="417">
        <f t="shared" ref="AG158:AG160" si="342">IF(AA158=AH158,0,IF(AA158="",0,1))</f>
        <v>1</v>
      </c>
      <c r="AH158" s="25" t="str">
        <f>+Idiomas!D44</f>
        <v>Write the Golden Ball player</v>
      </c>
      <c r="AI158" s="345"/>
      <c r="AJ158" s="173"/>
      <c r="AK158" s="173"/>
      <c r="AL158" s="173"/>
      <c r="AM158" s="173"/>
      <c r="AN158" s="173"/>
      <c r="AO158" s="173"/>
      <c r="AP158" s="173"/>
      <c r="AQ158" s="173"/>
      <c r="AR158" s="173"/>
      <c r="AS158" s="173"/>
      <c r="AT158" s="173"/>
      <c r="AU158" s="345"/>
      <c r="AV158" s="355"/>
      <c r="AW158" s="243"/>
      <c r="AX158" s="242"/>
      <c r="AY158" s="244"/>
      <c r="AZ158" s="245"/>
      <c r="BA158" s="373"/>
      <c r="DW158" s="8"/>
    </row>
    <row r="159" spans="1:127" ht="16.149999999999999" customHeight="1">
      <c r="A159" s="727"/>
      <c r="B159" s="727"/>
      <c r="C159" s="727"/>
      <c r="D159" s="727"/>
      <c r="E159" s="727"/>
      <c r="F159" s="727"/>
      <c r="G159" s="727"/>
      <c r="H159" s="727"/>
      <c r="I159" s="727"/>
      <c r="J159" s="727"/>
      <c r="K159" s="727"/>
      <c r="L159" s="727"/>
      <c r="M159" s="727"/>
      <c r="N159" s="727"/>
      <c r="O159" s="727"/>
      <c r="P159" s="727"/>
      <c r="Q159" s="727"/>
      <c r="R159" s="727"/>
      <c r="S159" s="727"/>
      <c r="T159" s="727"/>
      <c r="U159" s="727"/>
      <c r="V159" s="172"/>
      <c r="W159" s="346" t="str">
        <f>Idiomas!D39</f>
        <v>Silver Ball (2nd Best Player)</v>
      </c>
      <c r="X159" s="348"/>
      <c r="Y159" s="348"/>
      <c r="Z159" s="369"/>
      <c r="AA159" s="370" t="s">
        <v>2441</v>
      </c>
      <c r="AB159" s="371"/>
      <c r="AC159" s="371"/>
      <c r="AD159" s="371"/>
      <c r="AE159" s="371"/>
      <c r="AF159" s="372"/>
      <c r="AG159" s="417">
        <f t="shared" si="342"/>
        <v>1</v>
      </c>
      <c r="AH159" s="345" t="str">
        <f>+Idiomas!D45</f>
        <v>Write the Silver Ball player</v>
      </c>
      <c r="AI159" s="378"/>
      <c r="AJ159" s="173"/>
      <c r="AK159" s="173"/>
      <c r="AL159" s="173"/>
      <c r="AM159" s="173"/>
      <c r="AN159" s="173"/>
      <c r="AO159" s="173"/>
      <c r="AP159" s="173"/>
      <c r="AQ159" s="173"/>
      <c r="AR159" s="173"/>
      <c r="AS159" s="173"/>
      <c r="AT159" s="173"/>
      <c r="AU159" s="345"/>
      <c r="AV159" s="355"/>
      <c r="AW159" s="243"/>
      <c r="AX159" s="242"/>
      <c r="AY159" s="244"/>
      <c r="AZ159" s="245"/>
      <c r="BA159" s="373"/>
      <c r="DW159" s="8"/>
    </row>
    <row r="160" spans="1:127" ht="16.149999999999999" customHeight="1" thickBot="1">
      <c r="A160" s="727"/>
      <c r="B160" s="727"/>
      <c r="C160" s="727"/>
      <c r="D160" s="727"/>
      <c r="E160" s="727"/>
      <c r="F160" s="727"/>
      <c r="G160" s="727"/>
      <c r="H160" s="727"/>
      <c r="I160" s="727"/>
      <c r="J160" s="727"/>
      <c r="K160" s="727"/>
      <c r="L160" s="727"/>
      <c r="M160" s="727"/>
      <c r="N160" s="727"/>
      <c r="O160" s="727"/>
      <c r="P160" s="727"/>
      <c r="Q160" s="727"/>
      <c r="R160" s="727"/>
      <c r="S160" s="727"/>
      <c r="T160" s="727"/>
      <c r="U160" s="727"/>
      <c r="V160" s="172"/>
      <c r="W160" s="356" t="str">
        <f>Idiomas!D40</f>
        <v>Bronze Ball (3rd Best Player))</v>
      </c>
      <c r="X160" s="358"/>
      <c r="Y160" s="358"/>
      <c r="Z160" s="374"/>
      <c r="AA160" s="375" t="s">
        <v>3014</v>
      </c>
      <c r="AB160" s="376"/>
      <c r="AC160" s="376"/>
      <c r="AD160" s="376"/>
      <c r="AE160" s="376"/>
      <c r="AF160" s="377"/>
      <c r="AG160" s="417">
        <f t="shared" si="342"/>
        <v>1</v>
      </c>
      <c r="AH160" s="345" t="str">
        <f>+Idiomas!D46</f>
        <v>Write the Bronze Ball player</v>
      </c>
      <c r="AI160" s="345"/>
      <c r="AJ160" s="173"/>
      <c r="AK160" s="173"/>
      <c r="AL160" s="173"/>
      <c r="AM160" s="173"/>
      <c r="AN160" s="173"/>
      <c r="AO160" s="173"/>
      <c r="AP160" s="173"/>
      <c r="AQ160" s="173"/>
      <c r="AR160" s="173"/>
      <c r="AS160" s="173"/>
      <c r="AT160" s="173"/>
      <c r="AU160" s="345"/>
      <c r="AV160" s="355"/>
      <c r="AW160" s="243"/>
      <c r="AX160" s="242"/>
      <c r="AY160" s="244"/>
      <c r="AZ160" s="245"/>
      <c r="BA160" s="373"/>
      <c r="DW160" s="8"/>
    </row>
    <row r="161" spans="1:127" ht="19.899999999999999" customHeight="1" thickBot="1">
      <c r="A161" s="727"/>
      <c r="B161" s="727"/>
      <c r="C161" s="727"/>
      <c r="D161" s="727"/>
      <c r="E161" s="727"/>
      <c r="F161" s="727"/>
      <c r="G161" s="727"/>
      <c r="H161" s="727"/>
      <c r="I161" s="727"/>
      <c r="J161" s="727"/>
      <c r="K161" s="727"/>
      <c r="L161" s="727"/>
      <c r="M161" s="727"/>
      <c r="N161" s="727"/>
      <c r="O161" s="727"/>
      <c r="P161" s="727"/>
      <c r="Q161" s="727"/>
      <c r="R161" s="727"/>
      <c r="S161" s="727"/>
      <c r="T161" s="727"/>
      <c r="U161" s="727"/>
      <c r="V161" s="172"/>
      <c r="W161" s="242"/>
      <c r="X161" s="242"/>
      <c r="Y161" s="243"/>
      <c r="Z161" s="242"/>
      <c r="AA161" s="244"/>
      <c r="AB161" s="245"/>
      <c r="AC161" s="246"/>
      <c r="AD161" s="247"/>
      <c r="AE161" s="247"/>
      <c r="AF161" s="246"/>
      <c r="AG161" s="173"/>
      <c r="AH161" s="345"/>
      <c r="AI161" s="345"/>
      <c r="AJ161" s="173"/>
      <c r="AK161" s="173"/>
      <c r="AL161" s="379" t="s">
        <v>1317</v>
      </c>
      <c r="AM161" s="380"/>
      <c r="AN161" s="764"/>
      <c r="AO161" s="173"/>
      <c r="AP161" s="173"/>
      <c r="AQ161" s="173"/>
      <c r="AR161" s="173"/>
      <c r="AS161" s="173"/>
      <c r="AT161" s="173"/>
      <c r="AU161" s="345"/>
      <c r="AV161" s="355"/>
      <c r="AW161" s="243"/>
      <c r="AX161" s="242"/>
      <c r="AY161" s="244"/>
      <c r="AZ161" s="245"/>
      <c r="BA161" s="373"/>
      <c r="DW161" s="8"/>
    </row>
    <row r="162" spans="1:127" ht="16.149999999999999" customHeight="1" thickBot="1">
      <c r="A162" s="727"/>
      <c r="B162" s="727"/>
      <c r="C162" s="727"/>
      <c r="D162" s="727"/>
      <c r="E162" s="727"/>
      <c r="F162" s="727"/>
      <c r="G162" s="727"/>
      <c r="H162" s="727"/>
      <c r="I162" s="727"/>
      <c r="J162" s="727"/>
      <c r="K162" s="727"/>
      <c r="L162" s="727"/>
      <c r="M162" s="727"/>
      <c r="N162" s="727"/>
      <c r="O162" s="727"/>
      <c r="P162" s="727"/>
      <c r="Q162" s="727"/>
      <c r="R162" s="727"/>
      <c r="S162" s="727"/>
      <c r="T162" s="727"/>
      <c r="U162" s="727"/>
      <c r="V162" s="172"/>
      <c r="W162" s="242"/>
      <c r="X162" s="242"/>
      <c r="Y162" s="243"/>
      <c r="Z162" s="242"/>
      <c r="AA162" s="242"/>
      <c r="AB162" s="245"/>
      <c r="AC162" s="246"/>
      <c r="AD162" s="247"/>
      <c r="AE162" s="247"/>
      <c r="AF162" s="712" t="s">
        <v>1305</v>
      </c>
      <c r="AG162" s="381"/>
      <c r="AH162" s="345"/>
      <c r="AI162" s="345"/>
      <c r="AJ162" s="173"/>
      <c r="AK162" s="173"/>
      <c r="AL162" s="173"/>
      <c r="AM162" s="173"/>
      <c r="AN162" s="173"/>
      <c r="AO162" s="173"/>
      <c r="AP162" s="173"/>
      <c r="AQ162" s="173"/>
      <c r="AR162" s="173"/>
      <c r="AS162" s="173"/>
      <c r="AT162" s="173"/>
      <c r="AU162" s="345"/>
      <c r="AV162" s="355"/>
      <c r="AW162" s="243"/>
      <c r="AX162" s="242"/>
      <c r="AY162" s="244"/>
      <c r="AZ162" s="245"/>
      <c r="BA162" s="373"/>
      <c r="DW162" s="8"/>
    </row>
    <row r="163" spans="1:127" ht="16.149999999999999" customHeight="1">
      <c r="A163" s="727"/>
      <c r="B163" s="727"/>
      <c r="C163" s="727"/>
      <c r="D163" s="727"/>
      <c r="E163" s="727"/>
      <c r="F163" s="727"/>
      <c r="G163" s="727"/>
      <c r="H163" s="727"/>
      <c r="I163" s="727"/>
      <c r="J163" s="727"/>
      <c r="K163" s="727"/>
      <c r="L163" s="727"/>
      <c r="M163" s="727"/>
      <c r="N163" s="727"/>
      <c r="O163" s="727"/>
      <c r="P163" s="727"/>
      <c r="Q163" s="727"/>
      <c r="R163" s="727"/>
      <c r="S163" s="727"/>
      <c r="T163" s="727"/>
      <c r="U163" s="727"/>
      <c r="V163" s="172"/>
      <c r="W163" s="242"/>
      <c r="X163" s="242"/>
      <c r="Y163" s="243"/>
      <c r="Z163" s="242"/>
      <c r="AA163" s="244"/>
      <c r="AB163" s="245"/>
      <c r="AC163" s="246"/>
      <c r="AD163" s="247"/>
      <c r="AE163" s="247"/>
      <c r="AF163" s="246"/>
      <c r="AG163" s="381"/>
      <c r="AH163" s="382"/>
      <c r="AI163" s="345"/>
      <c r="AJ163" s="173"/>
      <c r="AK163" s="173"/>
      <c r="AL163" s="173"/>
      <c r="AM163" s="173"/>
      <c r="AN163" s="173"/>
      <c r="AO163" s="173"/>
      <c r="AP163" s="173"/>
      <c r="AQ163" s="173"/>
      <c r="AR163" s="173"/>
      <c r="AS163" s="173"/>
      <c r="AT163" s="173"/>
      <c r="AU163" s="345"/>
      <c r="AV163" s="355"/>
      <c r="AW163" s="243"/>
      <c r="AX163" s="242"/>
      <c r="AY163" s="244"/>
      <c r="AZ163" s="245"/>
      <c r="BA163" s="373"/>
      <c r="DW163" s="8"/>
    </row>
    <row r="164" spans="1:127" ht="16.149999999999999" customHeight="1">
      <c r="A164" s="727"/>
      <c r="B164" s="727"/>
      <c r="C164" s="727"/>
      <c r="D164" s="727"/>
      <c r="E164" s="727"/>
      <c r="F164" s="727"/>
      <c r="G164" s="727"/>
      <c r="H164" s="727"/>
      <c r="I164" s="727"/>
      <c r="J164" s="727"/>
      <c r="K164" s="727"/>
      <c r="L164" s="727"/>
      <c r="M164" s="727"/>
      <c r="N164" s="727"/>
      <c r="O164" s="727"/>
      <c r="P164" s="727"/>
      <c r="Q164" s="727"/>
      <c r="R164" s="727"/>
      <c r="S164" s="727"/>
      <c r="T164" s="727"/>
      <c r="U164" s="727"/>
      <c r="V164" s="172"/>
      <c r="W164" s="242"/>
      <c r="X164" s="242"/>
      <c r="Y164" s="243"/>
      <c r="Z164" s="242"/>
      <c r="AA164" s="244"/>
      <c r="AB164" s="245"/>
      <c r="AC164" s="246"/>
      <c r="AD164" s="247"/>
      <c r="AE164" s="247"/>
      <c r="AF164" s="246"/>
      <c r="AG164" s="173"/>
      <c r="AH164" s="345"/>
      <c r="AI164" s="345"/>
      <c r="AJ164" s="173"/>
      <c r="AK164" s="173"/>
      <c r="AL164" s="173"/>
      <c r="AM164" s="173"/>
      <c r="AN164" s="173"/>
      <c r="AO164" s="173"/>
      <c r="AP164" s="173"/>
      <c r="AQ164" s="173"/>
      <c r="AR164" s="173"/>
      <c r="AS164" s="173"/>
      <c r="AT164" s="173"/>
      <c r="AU164" s="345"/>
      <c r="AV164" s="355"/>
      <c r="AW164" s="243"/>
      <c r="AX164" s="242"/>
      <c r="AY164" s="244"/>
      <c r="AZ164" s="245"/>
      <c r="BA164" s="175"/>
      <c r="CA164" s="5" t="str">
        <f>+D170&amp;E170&amp;F170&amp;G170&amp;H170&amp;I170&amp;J170&amp;K170</f>
        <v>matejero</v>
      </c>
      <c r="DW164" s="8"/>
    </row>
    <row r="165" spans="1:127" ht="16.149999999999999" customHeight="1">
      <c r="V165" s="172"/>
      <c r="W165" s="242"/>
      <c r="X165" s="242"/>
      <c r="Y165" s="243"/>
      <c r="Z165" s="242"/>
      <c r="AA165" s="244"/>
      <c r="AB165" s="245"/>
      <c r="AC165" s="246"/>
      <c r="AD165" s="247"/>
      <c r="AE165" s="247"/>
      <c r="AF165" s="246"/>
      <c r="AG165" s="297"/>
      <c r="AH165" s="19"/>
      <c r="AI165" s="19"/>
      <c r="AJ165" s="297"/>
      <c r="AK165" s="297"/>
      <c r="AL165" s="297"/>
      <c r="AM165" s="297"/>
      <c r="AN165" s="297"/>
      <c r="AO165" s="297"/>
      <c r="AP165" s="297"/>
      <c r="AQ165" s="297"/>
      <c r="AR165" s="297"/>
      <c r="AS165" s="297"/>
      <c r="AT165" s="297"/>
      <c r="AU165" s="19"/>
      <c r="AV165" s="355"/>
      <c r="AW165" s="243"/>
      <c r="AX165" s="242"/>
      <c r="AY165" s="244"/>
      <c r="AZ165" s="245"/>
      <c r="BA165" s="297"/>
      <c r="DW165" s="8"/>
    </row>
    <row r="166" spans="1:127">
      <c r="V166" s="172"/>
      <c r="W166" s="242"/>
      <c r="X166" s="242"/>
      <c r="Y166" s="243"/>
      <c r="Z166" s="242"/>
      <c r="AA166" s="244"/>
      <c r="AB166" s="245"/>
      <c r="AC166" s="246"/>
      <c r="AD166" s="247"/>
      <c r="AE166" s="247"/>
      <c r="AF166" s="246"/>
      <c r="AG166" s="297"/>
      <c r="AH166" s="19"/>
      <c r="AI166" s="19"/>
      <c r="AJ166" s="297"/>
      <c r="AK166" s="297"/>
      <c r="AL166" s="297"/>
      <c r="AM166" s="297"/>
      <c r="AN166" s="297"/>
      <c r="AO166" s="297"/>
      <c r="AP166" s="297"/>
      <c r="AQ166" s="297"/>
      <c r="AR166" s="297"/>
      <c r="AS166" s="297"/>
      <c r="AT166" s="297"/>
      <c r="AU166" s="19"/>
      <c r="AV166" s="355"/>
      <c r="AW166" s="243"/>
      <c r="AX166" s="242"/>
      <c r="AY166" s="244"/>
      <c r="AZ166" s="245"/>
      <c r="BA166" s="17"/>
      <c r="DW166" s="8"/>
    </row>
    <row r="167" spans="1:127">
      <c r="V167" s="172"/>
      <c r="W167" s="242"/>
      <c r="X167" s="242"/>
      <c r="Y167" s="243"/>
      <c r="Z167" s="242"/>
      <c r="AA167" s="244"/>
      <c r="AB167" s="245"/>
      <c r="AC167" s="246"/>
      <c r="AD167" s="247"/>
      <c r="AE167" s="247"/>
      <c r="AF167" s="246"/>
      <c r="AG167" s="297"/>
      <c r="AH167" s="19"/>
      <c r="AI167" s="19"/>
      <c r="AJ167" s="297"/>
      <c r="AK167" s="297"/>
      <c r="AL167" s="297"/>
      <c r="AM167" s="297"/>
      <c r="AN167" s="297"/>
      <c r="AO167" s="297"/>
      <c r="AP167" s="297"/>
      <c r="AQ167" s="297"/>
      <c r="AR167" s="297"/>
      <c r="AS167" s="297"/>
      <c r="AT167" s="297"/>
      <c r="AU167" s="19"/>
      <c r="AV167" s="355"/>
      <c r="AW167" s="243"/>
      <c r="AX167" s="242"/>
      <c r="AY167" s="244"/>
      <c r="AZ167" s="245"/>
      <c r="BA167" s="297"/>
      <c r="DW167" s="8"/>
    </row>
    <row r="168" spans="1:127">
      <c r="V168" s="172"/>
      <c r="W168" s="242"/>
      <c r="X168" s="242"/>
      <c r="Y168" s="243"/>
      <c r="Z168" s="242"/>
      <c r="AA168" s="244"/>
      <c r="AB168" s="245"/>
      <c r="AC168" s="246"/>
      <c r="AD168" s="247"/>
      <c r="AE168" s="247"/>
      <c r="AF168" s="246"/>
      <c r="AG168" s="297"/>
      <c r="AH168" s="19"/>
      <c r="AI168" s="19"/>
      <c r="AJ168" s="297"/>
      <c r="AK168" s="297"/>
      <c r="AL168" s="297"/>
      <c r="AM168" s="297"/>
      <c r="AN168" s="297"/>
      <c r="AO168" s="297"/>
      <c r="AP168" s="297"/>
      <c r="AQ168" s="297"/>
      <c r="AR168" s="297"/>
      <c r="AS168" s="297"/>
      <c r="AT168" s="297"/>
      <c r="AU168" s="19"/>
      <c r="AV168" s="355"/>
      <c r="AW168" s="243"/>
      <c r="AX168" s="242"/>
      <c r="AY168" s="244"/>
      <c r="AZ168" s="245"/>
      <c r="BA168" s="17"/>
      <c r="DW168" s="8"/>
    </row>
    <row r="169" spans="1:127">
      <c r="V169" s="1"/>
      <c r="W169" s="1"/>
      <c r="X169" s="1"/>
      <c r="Y169" s="1"/>
      <c r="Z169" s="1"/>
      <c r="AA169" s="1"/>
      <c r="AB169" s="1"/>
      <c r="AC169" s="1"/>
      <c r="AD169" s="1"/>
      <c r="AE169" s="1"/>
      <c r="AF169" s="1"/>
      <c r="AG169" s="1"/>
      <c r="AH169" s="20"/>
      <c r="AI169" s="20"/>
      <c r="AJ169" s="1"/>
      <c r="AK169" s="1"/>
      <c r="AL169" s="1"/>
      <c r="AM169" s="1"/>
      <c r="AN169" s="1"/>
      <c r="AO169" s="1"/>
      <c r="AP169" s="1"/>
      <c r="AQ169" s="1"/>
      <c r="AR169" s="1"/>
      <c r="AS169" s="1"/>
      <c r="AT169" s="1"/>
      <c r="AU169" s="20"/>
      <c r="AV169" s="20"/>
      <c r="AW169" s="1"/>
      <c r="AX169" s="1"/>
      <c r="AY169" s="5"/>
      <c r="AZ169" s="1"/>
      <c r="BA169" s="1"/>
      <c r="DW169" s="8"/>
    </row>
    <row r="170" spans="1:127">
      <c r="D170" s="9" t="s">
        <v>1818</v>
      </c>
      <c r="E170" s="9" t="s">
        <v>1819</v>
      </c>
      <c r="F170" s="9" t="s">
        <v>1820</v>
      </c>
      <c r="G170" s="9" t="s">
        <v>1821</v>
      </c>
      <c r="H170" s="9" t="s">
        <v>1822</v>
      </c>
      <c r="I170" s="9" t="s">
        <v>1821</v>
      </c>
      <c r="J170" s="9" t="s">
        <v>1823</v>
      </c>
      <c r="K170" s="9" t="s">
        <v>1824</v>
      </c>
      <c r="V170" s="1"/>
      <c r="W170" s="1"/>
      <c r="X170" s="1"/>
      <c r="Y170" s="1"/>
      <c r="Z170" s="1"/>
      <c r="AA170" s="1"/>
      <c r="AB170" s="1"/>
      <c r="AC170" s="1"/>
      <c r="AD170" s="1"/>
      <c r="AE170" s="1"/>
      <c r="AF170" s="1"/>
      <c r="AG170" s="1"/>
      <c r="AH170" s="20"/>
      <c r="AI170" s="20"/>
      <c r="AJ170" s="1"/>
      <c r="AK170" s="1"/>
      <c r="AL170" s="1"/>
      <c r="AM170" s="1"/>
      <c r="AN170" s="1"/>
      <c r="AO170" s="1"/>
      <c r="AP170" s="1"/>
      <c r="AQ170" s="1"/>
      <c r="AR170" s="1"/>
      <c r="AS170" s="1"/>
      <c r="AT170" s="1"/>
      <c r="AU170" s="20"/>
      <c r="AV170" s="20"/>
      <c r="AW170" s="1"/>
      <c r="AX170" s="1"/>
      <c r="AY170" s="5"/>
      <c r="AZ170" s="1"/>
      <c r="DW170" s="8"/>
    </row>
    <row r="171" spans="1:127">
      <c r="V171" s="1"/>
      <c r="W171" s="1"/>
      <c r="X171" s="1"/>
      <c r="Y171" s="1"/>
      <c r="Z171" s="1"/>
      <c r="AA171" s="1"/>
      <c r="AB171" s="1"/>
      <c r="AC171" s="1"/>
      <c r="AD171" s="1"/>
      <c r="AE171" s="1"/>
      <c r="AF171" s="1"/>
      <c r="AG171" s="1"/>
      <c r="AH171" s="20"/>
      <c r="AI171" s="20"/>
      <c r="AJ171" s="1"/>
      <c r="AK171" s="1"/>
      <c r="AL171" s="1"/>
      <c r="AM171" s="1"/>
      <c r="AN171" s="1"/>
      <c r="AO171" s="1"/>
      <c r="AP171" s="1"/>
      <c r="AQ171" s="1"/>
      <c r="AR171" s="1"/>
      <c r="AS171" s="1"/>
      <c r="AT171" s="1"/>
      <c r="AU171" s="20"/>
      <c r="AV171" s="20"/>
      <c r="AW171" s="1"/>
      <c r="AX171" s="1"/>
      <c r="AY171" s="5"/>
      <c r="AZ171" s="1"/>
      <c r="BA171" s="1"/>
      <c r="DW171" s="8"/>
    </row>
    <row r="172" spans="1:127">
      <c r="V172" s="1"/>
      <c r="W172" s="1"/>
      <c r="X172" s="1"/>
      <c r="Y172" s="1"/>
      <c r="Z172" s="1"/>
      <c r="AA172" s="1"/>
      <c r="AB172" s="1"/>
      <c r="AC172" s="1"/>
      <c r="AD172" s="1"/>
      <c r="AE172" s="1"/>
      <c r="AF172" s="1"/>
      <c r="AG172" s="1"/>
      <c r="AH172" s="20"/>
      <c r="AI172" s="20"/>
      <c r="AJ172" s="1"/>
      <c r="AK172" s="1"/>
      <c r="AL172" s="1"/>
      <c r="AM172" s="1"/>
      <c r="AN172" s="1"/>
      <c r="AO172" s="1"/>
      <c r="AP172" s="1"/>
      <c r="AQ172" s="1"/>
      <c r="AR172" s="1"/>
      <c r="AS172" s="1"/>
      <c r="AT172" s="1"/>
      <c r="AU172" s="20"/>
      <c r="AV172" s="20"/>
      <c r="AW172" s="1"/>
      <c r="AX172" s="1"/>
      <c r="AY172" s="5"/>
      <c r="AZ172" s="1"/>
      <c r="DW172" s="8"/>
    </row>
    <row r="173" spans="1:127">
      <c r="V173" s="1"/>
      <c r="W173" s="1"/>
      <c r="X173" s="1"/>
      <c r="Y173" s="1"/>
      <c r="Z173" s="1"/>
      <c r="AA173" s="1"/>
      <c r="AB173" s="1"/>
      <c r="AC173" s="1"/>
      <c r="AD173" s="1"/>
      <c r="AE173" s="1"/>
      <c r="AF173" s="1"/>
      <c r="AG173" s="1"/>
      <c r="AH173" s="20"/>
      <c r="AI173" s="20"/>
      <c r="AJ173" s="1"/>
      <c r="AK173" s="1"/>
      <c r="AL173" s="1"/>
      <c r="AM173" s="1"/>
      <c r="AN173" s="1"/>
      <c r="AO173" s="1"/>
      <c r="AP173" s="1"/>
      <c r="AQ173" s="1"/>
      <c r="AR173" s="1"/>
      <c r="AS173" s="1"/>
      <c r="AT173" s="1"/>
      <c r="AU173" s="20"/>
      <c r="AV173" s="20"/>
      <c r="AW173" s="1"/>
      <c r="AX173" s="1"/>
      <c r="AY173" s="5"/>
      <c r="AZ173" s="1"/>
      <c r="BA173" s="1"/>
      <c r="DW173" s="8"/>
    </row>
    <row r="174" spans="1:127">
      <c r="V174" s="1"/>
      <c r="W174" s="1"/>
      <c r="X174" s="1"/>
      <c r="Y174" s="1"/>
      <c r="Z174" s="1"/>
      <c r="AA174" s="1"/>
      <c r="AB174" s="1"/>
      <c r="AC174" s="1"/>
      <c r="AD174" s="1"/>
      <c r="AE174" s="1"/>
      <c r="AF174" s="1"/>
      <c r="AG174" s="1"/>
      <c r="AH174" s="20"/>
      <c r="AI174" s="20"/>
      <c r="AJ174" s="1"/>
      <c r="AK174" s="1"/>
      <c r="AL174" s="1"/>
      <c r="AM174" s="1"/>
      <c r="AN174" s="1"/>
      <c r="AO174" s="1"/>
      <c r="AP174" s="1"/>
      <c r="AQ174" s="1"/>
      <c r="AR174" s="1"/>
      <c r="AS174" s="1"/>
      <c r="AT174" s="1"/>
      <c r="AU174" s="20"/>
      <c r="AV174" s="20"/>
      <c r="AW174" s="1"/>
      <c r="AX174" s="1"/>
      <c r="AY174" s="5"/>
      <c r="AZ174" s="1"/>
      <c r="DW174" s="8"/>
    </row>
    <row r="175" spans="1:127">
      <c r="V175" s="1"/>
      <c r="W175" s="1"/>
      <c r="X175" s="1"/>
      <c r="Y175" s="1"/>
      <c r="Z175" s="1"/>
      <c r="AA175" s="1"/>
      <c r="AB175" s="1"/>
      <c r="AC175" s="1"/>
      <c r="AD175" s="1"/>
      <c r="AE175" s="1"/>
      <c r="AF175" s="1"/>
      <c r="AG175" s="1"/>
      <c r="AH175" s="20"/>
      <c r="AI175" s="20"/>
      <c r="AJ175" s="1"/>
      <c r="AK175" s="1"/>
      <c r="AL175" s="1"/>
      <c r="AM175" s="1"/>
      <c r="AN175" s="1"/>
      <c r="AO175" s="1"/>
      <c r="AP175" s="1"/>
      <c r="AQ175" s="1"/>
      <c r="AR175" s="1"/>
      <c r="AS175" s="1"/>
      <c r="AT175" s="1"/>
      <c r="AU175" s="20"/>
      <c r="AV175" s="20"/>
      <c r="AW175" s="1"/>
      <c r="AX175" s="1"/>
      <c r="AY175" s="5"/>
      <c r="AZ175" s="1"/>
      <c r="BA175" s="1"/>
      <c r="DW175" s="8"/>
    </row>
    <row r="176" spans="1:127">
      <c r="V176" s="1"/>
      <c r="W176" s="1"/>
      <c r="X176" s="1"/>
      <c r="Y176" s="1"/>
      <c r="Z176" s="1"/>
      <c r="AA176" s="1"/>
      <c r="AB176" s="1"/>
      <c r="AC176" s="1"/>
      <c r="AD176" s="1"/>
      <c r="AE176" s="1"/>
      <c r="AF176" s="1"/>
      <c r="AG176" s="1"/>
      <c r="AH176" s="20"/>
      <c r="AI176" s="20"/>
      <c r="AJ176" s="1"/>
      <c r="AK176" s="1"/>
      <c r="AL176" s="1"/>
      <c r="AM176" s="1"/>
      <c r="AN176" s="1"/>
      <c r="AO176" s="1"/>
      <c r="AP176" s="1"/>
      <c r="AQ176" s="1"/>
      <c r="AR176" s="1"/>
      <c r="AS176" s="1"/>
      <c r="AT176" s="1"/>
      <c r="AU176" s="20"/>
      <c r="AV176" s="20"/>
      <c r="AW176" s="1"/>
      <c r="AX176" s="1"/>
      <c r="AY176" s="5"/>
      <c r="AZ176" s="1"/>
      <c r="DW176" s="8"/>
    </row>
    <row r="177" spans="4:127">
      <c r="V177" s="1"/>
      <c r="W177" s="1"/>
      <c r="X177" s="1"/>
      <c r="Y177" s="1"/>
      <c r="Z177" s="1"/>
      <c r="AA177" s="1"/>
      <c r="AB177" s="1"/>
      <c r="AC177" s="1"/>
      <c r="AD177" s="1"/>
      <c r="AE177" s="1"/>
      <c r="AF177" s="1"/>
      <c r="AG177" s="1"/>
      <c r="AH177" s="20"/>
      <c r="AI177" s="20"/>
      <c r="AJ177" s="1"/>
      <c r="AK177" s="1"/>
      <c r="AL177" s="1"/>
      <c r="AM177" s="1"/>
      <c r="AN177" s="1"/>
      <c r="AO177" s="1"/>
      <c r="AP177" s="1"/>
      <c r="AQ177" s="1"/>
      <c r="AR177" s="1"/>
      <c r="AS177" s="1"/>
      <c r="AT177" s="1"/>
      <c r="AU177" s="20"/>
      <c r="AV177" s="20"/>
      <c r="AW177" s="1"/>
      <c r="AX177" s="1"/>
      <c r="AY177" s="5"/>
      <c r="AZ177" s="1"/>
      <c r="BA177" s="1"/>
      <c r="DW177" s="8"/>
    </row>
    <row r="178" spans="4:127">
      <c r="V178" s="1"/>
      <c r="W178" s="1"/>
      <c r="X178" s="1"/>
      <c r="Y178" s="1"/>
      <c r="Z178" s="1"/>
      <c r="AA178" s="1"/>
      <c r="AB178" s="1"/>
      <c r="AC178" s="1"/>
      <c r="AD178" s="1"/>
      <c r="AE178" s="1"/>
      <c r="AF178" s="1"/>
      <c r="AG178" s="1"/>
      <c r="AH178" s="20"/>
      <c r="AI178" s="20"/>
      <c r="AJ178" s="1"/>
      <c r="AK178" s="1"/>
      <c r="AL178" s="1"/>
      <c r="AM178" s="1"/>
      <c r="AN178" s="1"/>
      <c r="AO178" s="1"/>
      <c r="AP178" s="1"/>
      <c r="AQ178" s="1"/>
      <c r="AR178" s="1"/>
      <c r="AS178" s="1"/>
      <c r="AT178" s="1"/>
      <c r="AU178" s="20"/>
      <c r="AV178" s="20"/>
      <c r="AW178" s="1"/>
      <c r="AX178" s="1"/>
      <c r="AY178" s="5"/>
      <c r="AZ178" s="1"/>
      <c r="DW178" s="8"/>
    </row>
    <row r="179" spans="4:127">
      <c r="V179" s="1"/>
      <c r="W179" s="1"/>
      <c r="X179" s="1"/>
      <c r="Y179" s="1"/>
      <c r="Z179" s="1"/>
      <c r="AA179" s="1"/>
      <c r="AB179" s="1"/>
      <c r="AC179" s="1"/>
      <c r="AD179" s="1"/>
      <c r="AE179" s="1"/>
      <c r="AF179" s="1"/>
      <c r="AG179" s="1"/>
      <c r="AH179" s="20"/>
      <c r="AI179" s="20"/>
      <c r="AJ179" s="1"/>
      <c r="AK179" s="1"/>
      <c r="AL179" s="1"/>
      <c r="AM179" s="1"/>
      <c r="AN179" s="1"/>
      <c r="AO179" s="1"/>
      <c r="AP179" s="1"/>
      <c r="AQ179" s="1"/>
      <c r="AR179" s="1"/>
      <c r="AS179" s="1"/>
      <c r="AT179" s="1"/>
      <c r="AU179" s="20"/>
      <c r="AV179" s="20"/>
      <c r="AW179" s="1"/>
      <c r="AX179" s="1"/>
      <c r="AY179" s="5"/>
      <c r="AZ179" s="1"/>
      <c r="BA179" s="1"/>
      <c r="DW179" s="8"/>
    </row>
    <row r="180" spans="4:127">
      <c r="V180" s="1"/>
      <c r="W180" s="1"/>
      <c r="X180" s="1"/>
      <c r="Y180" s="1"/>
      <c r="Z180" s="1"/>
      <c r="AA180" s="1"/>
      <c r="AB180" s="1"/>
      <c r="AC180" s="1"/>
      <c r="AD180" s="1"/>
      <c r="AE180" s="1"/>
      <c r="AF180" s="1"/>
      <c r="AG180" s="1"/>
      <c r="AH180" s="20"/>
      <c r="AI180" s="20"/>
      <c r="AJ180" s="1"/>
      <c r="AK180" s="1"/>
      <c r="AL180" s="1"/>
      <c r="AM180" s="1"/>
      <c r="AN180" s="1"/>
      <c r="AO180" s="1"/>
      <c r="AP180" s="1"/>
      <c r="AQ180" s="1"/>
      <c r="AR180" s="1"/>
      <c r="AS180" s="1"/>
      <c r="AT180" s="1"/>
      <c r="AU180" s="20"/>
      <c r="AV180" s="20"/>
      <c r="AW180" s="1"/>
      <c r="AX180" s="1"/>
      <c r="AY180" s="5"/>
      <c r="AZ180" s="1"/>
      <c r="DW180" s="8"/>
    </row>
    <row r="181" spans="4:127">
      <c r="V181" s="1"/>
      <c r="W181" s="1"/>
      <c r="X181" s="1"/>
      <c r="Y181" s="1"/>
      <c r="Z181" s="1"/>
      <c r="AA181" s="1"/>
      <c r="AB181" s="1"/>
      <c r="AC181" s="1"/>
      <c r="AD181" s="1"/>
      <c r="AE181" s="1"/>
      <c r="AF181" s="1"/>
      <c r="AG181" s="1"/>
      <c r="AH181" s="20"/>
      <c r="AI181" s="20"/>
      <c r="AJ181" s="1"/>
      <c r="AK181" s="1"/>
      <c r="AL181" s="1"/>
      <c r="AM181" s="1"/>
      <c r="AN181" s="1"/>
      <c r="AO181" s="1"/>
      <c r="AP181" s="1"/>
      <c r="AQ181" s="1"/>
      <c r="AR181" s="1"/>
      <c r="AS181" s="1"/>
      <c r="AT181" s="1"/>
      <c r="AU181" s="20"/>
      <c r="AV181" s="20"/>
      <c r="AW181" s="1"/>
      <c r="AX181" s="1"/>
      <c r="AY181" s="5"/>
      <c r="AZ181" s="1"/>
      <c r="BA181" s="1"/>
      <c r="DW181" s="8"/>
    </row>
    <row r="182" spans="4:127">
      <c r="V182" s="1"/>
      <c r="W182" s="1"/>
      <c r="X182" s="1"/>
      <c r="Y182" s="1"/>
      <c r="Z182" s="1"/>
      <c r="AA182" s="1"/>
      <c r="AB182" s="1"/>
      <c r="AC182" s="1"/>
      <c r="AD182" s="1"/>
      <c r="AE182" s="1"/>
      <c r="AF182" s="1"/>
      <c r="AG182" s="1"/>
      <c r="AH182" s="20"/>
      <c r="AI182" s="20"/>
      <c r="AJ182" s="1"/>
      <c r="AK182" s="1"/>
      <c r="AL182" s="1"/>
      <c r="AM182" s="1"/>
      <c r="AN182" s="1"/>
      <c r="AO182" s="1"/>
      <c r="AP182" s="1"/>
      <c r="AQ182" s="1"/>
      <c r="AR182" s="1"/>
      <c r="AS182" s="1"/>
      <c r="AT182" s="1"/>
      <c r="AU182" s="20"/>
      <c r="AV182" s="20"/>
      <c r="AW182" s="1"/>
      <c r="AX182" s="1"/>
      <c r="AY182" s="5"/>
      <c r="AZ182" s="1"/>
      <c r="DW182" s="8"/>
    </row>
    <row r="183" spans="4:127">
      <c r="V183" s="1"/>
      <c r="W183" s="1"/>
      <c r="X183" s="1"/>
      <c r="Y183" s="1"/>
      <c r="Z183" s="1"/>
      <c r="AA183" s="1"/>
      <c r="AB183" s="1"/>
      <c r="AC183" s="1"/>
      <c r="AD183" s="1"/>
      <c r="AE183" s="1"/>
      <c r="AF183" s="1"/>
      <c r="AG183" s="1"/>
      <c r="AH183" s="20"/>
      <c r="AI183" s="20"/>
      <c r="AJ183" s="1"/>
      <c r="AK183" s="1"/>
      <c r="AL183" s="1"/>
      <c r="AM183" s="1"/>
      <c r="AN183" s="1"/>
      <c r="AO183" s="1"/>
      <c r="AP183" s="1"/>
      <c r="AQ183" s="1"/>
      <c r="AR183" s="1"/>
      <c r="AS183" s="1"/>
      <c r="AT183" s="1"/>
      <c r="AU183" s="20"/>
      <c r="AV183" s="20"/>
      <c r="AW183" s="1"/>
      <c r="AX183" s="1"/>
      <c r="AY183" s="5"/>
      <c r="AZ183" s="1"/>
      <c r="BA183" s="1"/>
      <c r="DW183" s="8"/>
    </row>
    <row r="184" spans="4:127">
      <c r="D184" s="5"/>
      <c r="E184" s="5"/>
      <c r="F184" s="5"/>
      <c r="G184" s="5"/>
      <c r="H184" s="5"/>
      <c r="I184" s="5"/>
      <c r="J184" s="5"/>
      <c r="K184" s="5"/>
      <c r="L184" s="5"/>
      <c r="M184" s="5"/>
      <c r="N184" s="5"/>
      <c r="O184" s="5"/>
      <c r="P184" s="5"/>
      <c r="Q184" s="5"/>
      <c r="R184" s="5"/>
      <c r="S184" s="5"/>
      <c r="T184" s="5"/>
      <c r="U184" s="5"/>
      <c r="V184" s="1"/>
      <c r="W184" s="1"/>
      <c r="X184" s="1"/>
      <c r="Y184" s="1"/>
      <c r="Z184" s="1"/>
      <c r="AA184" s="1"/>
      <c r="AB184" s="1"/>
      <c r="AC184" s="1"/>
      <c r="AD184" s="1"/>
      <c r="AE184" s="1"/>
      <c r="AF184" s="1"/>
      <c r="AG184" s="1"/>
      <c r="AH184" s="20"/>
      <c r="AI184" s="20"/>
      <c r="AJ184" s="1"/>
      <c r="AK184" s="1"/>
      <c r="AL184" s="1"/>
      <c r="AM184" s="1"/>
      <c r="AN184" s="1"/>
      <c r="AO184" s="1"/>
      <c r="AP184" s="1"/>
      <c r="AQ184" s="1"/>
      <c r="AR184" s="1"/>
      <c r="AS184" s="1"/>
      <c r="AT184" s="1"/>
      <c r="AY184" s="9"/>
      <c r="BA184" s="1"/>
      <c r="DW184" s="8"/>
    </row>
    <row r="185" spans="4:127">
      <c r="D185" s="5"/>
      <c r="E185" s="5"/>
      <c r="F185" s="5"/>
      <c r="G185" s="5"/>
      <c r="H185" s="5"/>
      <c r="I185" s="5"/>
      <c r="J185" s="5"/>
      <c r="K185" s="5"/>
      <c r="L185" s="5"/>
      <c r="M185" s="5"/>
      <c r="N185" s="5"/>
      <c r="O185" s="5"/>
      <c r="P185" s="5"/>
      <c r="Q185" s="5"/>
      <c r="R185" s="5"/>
      <c r="S185" s="5"/>
      <c r="T185" s="5"/>
      <c r="U185" s="5"/>
      <c r="V185" s="1"/>
      <c r="W185" s="1"/>
      <c r="X185" s="1"/>
      <c r="Y185" s="1"/>
      <c r="Z185" s="1"/>
      <c r="AA185" s="1"/>
      <c r="AB185" s="1"/>
      <c r="AC185" s="1"/>
      <c r="AD185" s="1"/>
      <c r="AE185" s="1"/>
      <c r="AF185" s="1"/>
      <c r="AG185" s="1"/>
      <c r="AH185" s="20"/>
      <c r="AI185" s="20"/>
      <c r="AJ185" s="1"/>
      <c r="AK185" s="1"/>
      <c r="AL185" s="1"/>
      <c r="AM185" s="1"/>
      <c r="AN185" s="1"/>
      <c r="AO185" s="1"/>
      <c r="AP185" s="1"/>
      <c r="AQ185" s="1"/>
      <c r="AR185" s="1"/>
      <c r="AS185" s="1"/>
      <c r="AT185" s="1"/>
      <c r="BA185" s="1"/>
      <c r="DW185" s="8"/>
    </row>
    <row r="186" spans="4:127">
      <c r="D186" s="5"/>
      <c r="E186" s="5"/>
      <c r="F186" s="5"/>
      <c r="G186" s="5"/>
      <c r="H186" s="5"/>
      <c r="I186" s="5"/>
      <c r="J186" s="5"/>
      <c r="K186" s="5"/>
      <c r="L186" s="5"/>
      <c r="M186" s="5"/>
      <c r="N186" s="5"/>
      <c r="O186" s="5"/>
      <c r="P186" s="5"/>
      <c r="Q186" s="5"/>
      <c r="R186" s="5"/>
      <c r="S186" s="5"/>
      <c r="T186" s="5"/>
      <c r="U186" s="5"/>
      <c r="V186" s="1"/>
      <c r="W186" s="1"/>
      <c r="X186" s="1"/>
      <c r="Y186" s="1"/>
      <c r="Z186" s="1"/>
      <c r="AA186" s="1"/>
      <c r="AB186" s="1"/>
      <c r="AC186" s="1"/>
      <c r="AD186" s="1"/>
      <c r="AE186" s="1"/>
      <c r="AF186" s="1"/>
      <c r="AG186" s="1"/>
      <c r="AH186" s="20"/>
      <c r="AI186" s="20"/>
      <c r="AJ186" s="1"/>
      <c r="AK186" s="1"/>
      <c r="AL186" s="1"/>
      <c r="AM186" s="1"/>
      <c r="AN186" s="1"/>
      <c r="AO186" s="1"/>
      <c r="AP186" s="1"/>
      <c r="AQ186" s="1"/>
      <c r="AR186" s="1"/>
      <c r="AS186" s="1"/>
      <c r="AT186" s="1"/>
      <c r="BA186" s="1"/>
      <c r="DW186" s="8"/>
    </row>
    <row r="187" spans="4:127">
      <c r="D187" s="5"/>
      <c r="E187" s="5"/>
      <c r="F187" s="5"/>
      <c r="G187" s="5"/>
      <c r="H187" s="5"/>
      <c r="I187" s="5"/>
      <c r="J187" s="5"/>
      <c r="K187" s="5"/>
      <c r="L187" s="5"/>
      <c r="M187" s="5"/>
      <c r="N187" s="5"/>
      <c r="O187" s="5"/>
      <c r="P187" s="5"/>
      <c r="Q187" s="5"/>
      <c r="R187" s="5"/>
      <c r="S187" s="5"/>
      <c r="T187" s="5"/>
      <c r="U187" s="5"/>
      <c r="V187" s="1"/>
      <c r="W187" s="1"/>
      <c r="X187" s="1"/>
      <c r="Y187" s="1"/>
      <c r="Z187" s="1"/>
      <c r="AA187" s="1"/>
      <c r="AB187" s="1"/>
      <c r="AC187" s="1"/>
      <c r="AD187" s="1"/>
      <c r="AE187" s="1"/>
      <c r="AF187" s="1"/>
      <c r="AG187" s="1"/>
      <c r="AH187" s="20"/>
      <c r="AI187" s="20"/>
      <c r="AJ187" s="1"/>
      <c r="AK187" s="1"/>
      <c r="AL187" s="1"/>
      <c r="AM187" s="1"/>
      <c r="AN187" s="1"/>
      <c r="AO187" s="1"/>
      <c r="AP187" s="1"/>
      <c r="AQ187" s="1"/>
      <c r="AR187" s="1"/>
      <c r="AS187" s="1"/>
      <c r="AT187" s="1"/>
      <c r="BA187" s="1"/>
      <c r="DW187" s="8"/>
    </row>
    <row r="188" spans="4:127">
      <c r="D188" s="5"/>
      <c r="E188" s="5"/>
      <c r="F188" s="5"/>
      <c r="G188" s="5"/>
      <c r="H188" s="5"/>
      <c r="I188" s="5"/>
      <c r="J188" s="5"/>
      <c r="K188" s="5"/>
      <c r="L188" s="5"/>
      <c r="M188" s="5"/>
      <c r="N188" s="5"/>
      <c r="O188" s="5"/>
      <c r="P188" s="5"/>
      <c r="Q188" s="5"/>
      <c r="R188" s="5"/>
      <c r="S188" s="5"/>
      <c r="T188" s="5"/>
      <c r="U188" s="5"/>
      <c r="V188" s="1"/>
      <c r="W188" s="1"/>
      <c r="X188" s="1"/>
      <c r="Y188" s="1"/>
      <c r="Z188" s="1"/>
      <c r="AA188" s="1"/>
      <c r="AB188" s="1"/>
      <c r="AC188" s="1"/>
      <c r="AD188" s="1"/>
      <c r="AE188" s="1"/>
      <c r="AF188" s="1"/>
      <c r="AG188" s="1"/>
      <c r="AH188" s="20"/>
      <c r="AI188" s="20"/>
      <c r="AJ188" s="1"/>
      <c r="AK188" s="1"/>
      <c r="AL188" s="1"/>
      <c r="AM188" s="1"/>
      <c r="AN188" s="1"/>
      <c r="AO188" s="1"/>
      <c r="AP188" s="1"/>
      <c r="AQ188" s="1"/>
      <c r="AR188" s="1"/>
      <c r="AS188" s="1"/>
      <c r="AT188" s="1"/>
      <c r="BA188" s="1"/>
      <c r="DW188" s="8"/>
    </row>
    <row r="189" spans="4:127">
      <c r="D189" s="5"/>
      <c r="E189" s="5"/>
      <c r="F189" s="5"/>
      <c r="G189" s="5"/>
      <c r="H189" s="5"/>
      <c r="I189" s="5"/>
      <c r="J189" s="5"/>
      <c r="K189" s="5"/>
      <c r="L189" s="5"/>
      <c r="M189" s="5"/>
      <c r="N189" s="5"/>
      <c r="O189" s="5"/>
      <c r="P189" s="5"/>
      <c r="Q189" s="5"/>
      <c r="R189" s="5"/>
      <c r="S189" s="5"/>
      <c r="T189" s="5"/>
      <c r="U189" s="5"/>
      <c r="V189" s="1"/>
      <c r="W189" s="1"/>
      <c r="X189" s="1"/>
      <c r="Y189" s="1"/>
      <c r="Z189" s="1"/>
      <c r="AA189" s="1"/>
      <c r="AB189" s="1"/>
      <c r="AC189" s="1"/>
      <c r="AD189" s="1"/>
      <c r="AE189" s="1"/>
      <c r="AF189" s="1"/>
      <c r="AG189" s="1"/>
      <c r="AH189" s="20"/>
      <c r="AI189" s="20"/>
      <c r="AJ189" s="1"/>
      <c r="AK189" s="1"/>
      <c r="AL189" s="1"/>
      <c r="AM189" s="1"/>
      <c r="AN189" s="1"/>
      <c r="AO189" s="1"/>
      <c r="AP189" s="1"/>
      <c r="AQ189" s="1"/>
      <c r="AR189" s="1"/>
      <c r="AS189" s="1"/>
      <c r="AT189" s="1"/>
      <c r="BA189" s="1"/>
      <c r="DW189" s="8"/>
    </row>
    <row r="190" spans="4:127">
      <c r="D190" s="5"/>
      <c r="E190" s="5"/>
      <c r="F190" s="5"/>
      <c r="G190" s="5"/>
      <c r="H190" s="5"/>
      <c r="I190" s="5"/>
      <c r="J190" s="5"/>
      <c r="K190" s="5"/>
      <c r="L190" s="5"/>
      <c r="M190" s="5"/>
      <c r="N190" s="5"/>
      <c r="O190" s="5"/>
      <c r="P190" s="5"/>
      <c r="Q190" s="5"/>
      <c r="R190" s="5"/>
      <c r="S190" s="5"/>
      <c r="T190" s="5"/>
      <c r="U190" s="5"/>
      <c r="V190" s="1"/>
      <c r="W190" s="1"/>
      <c r="X190" s="1"/>
      <c r="Y190" s="1"/>
      <c r="Z190" s="1"/>
      <c r="AA190" s="1"/>
      <c r="AB190" s="1"/>
      <c r="AC190" s="1"/>
      <c r="AD190" s="1"/>
      <c r="AE190" s="1"/>
      <c r="AF190" s="1"/>
      <c r="AG190" s="1"/>
      <c r="AH190" s="20"/>
      <c r="AI190" s="20"/>
      <c r="AJ190" s="1"/>
      <c r="AK190" s="1"/>
      <c r="AL190" s="1"/>
      <c r="AM190" s="1"/>
      <c r="AN190" s="1"/>
      <c r="AO190" s="1"/>
      <c r="AP190" s="1"/>
      <c r="AQ190" s="1"/>
      <c r="AR190" s="1"/>
      <c r="AS190" s="1"/>
      <c r="AT190" s="1"/>
      <c r="BA190" s="1"/>
      <c r="DW190" s="8"/>
    </row>
    <row r="191" spans="4:127">
      <c r="D191" s="5"/>
      <c r="E191" s="5"/>
      <c r="F191" s="5"/>
      <c r="G191" s="5"/>
      <c r="H191" s="5"/>
      <c r="I191" s="5"/>
      <c r="J191" s="5"/>
      <c r="K191" s="5"/>
      <c r="L191" s="5"/>
      <c r="M191" s="5"/>
      <c r="N191" s="5"/>
      <c r="O191" s="5"/>
      <c r="P191" s="5"/>
      <c r="Q191" s="5"/>
      <c r="R191" s="5"/>
      <c r="S191" s="5"/>
      <c r="T191" s="5"/>
      <c r="U191" s="5"/>
      <c r="V191" s="1"/>
      <c r="W191" s="1"/>
      <c r="X191" s="1"/>
      <c r="Y191" s="1"/>
      <c r="Z191" s="1"/>
      <c r="AA191" s="1"/>
      <c r="AB191" s="1"/>
      <c r="AC191" s="1"/>
      <c r="AD191" s="1"/>
      <c r="AE191" s="1"/>
      <c r="AF191" s="1"/>
      <c r="AG191" s="1"/>
      <c r="AH191" s="20"/>
      <c r="AI191" s="20"/>
      <c r="AJ191" s="1"/>
      <c r="AK191" s="1"/>
      <c r="AL191" s="1"/>
      <c r="AM191" s="1"/>
      <c r="AN191" s="1"/>
      <c r="AO191" s="1"/>
      <c r="AP191" s="1"/>
      <c r="AQ191" s="1"/>
      <c r="AR191" s="1"/>
      <c r="AS191" s="1"/>
      <c r="AT191" s="1"/>
      <c r="BA191" s="1"/>
      <c r="DW191" s="8"/>
    </row>
    <row r="192" spans="4:127">
      <c r="D192" s="5"/>
      <c r="E192" s="5"/>
      <c r="F192" s="5"/>
      <c r="G192" s="5"/>
      <c r="H192" s="5"/>
      <c r="I192" s="5"/>
      <c r="J192" s="5"/>
      <c r="K192" s="5"/>
      <c r="L192" s="5"/>
      <c r="M192" s="5"/>
      <c r="N192" s="5"/>
      <c r="O192" s="5"/>
      <c r="P192" s="5"/>
      <c r="Q192" s="5"/>
      <c r="R192" s="5"/>
      <c r="S192" s="5"/>
      <c r="T192" s="5"/>
      <c r="U192" s="5"/>
      <c r="V192" s="1"/>
      <c r="W192" s="1"/>
      <c r="X192" s="1"/>
      <c r="Y192" s="1"/>
      <c r="Z192" s="1"/>
      <c r="AA192" s="1"/>
      <c r="AB192" s="1"/>
      <c r="AC192" s="1"/>
      <c r="AD192" s="1"/>
      <c r="AE192" s="1"/>
      <c r="AF192" s="1"/>
      <c r="AG192" s="1"/>
      <c r="AH192" s="20"/>
      <c r="AI192" s="20"/>
      <c r="AJ192" s="1"/>
      <c r="AK192" s="1"/>
      <c r="AL192" s="1"/>
      <c r="AM192" s="1"/>
      <c r="AN192" s="1"/>
      <c r="AO192" s="1"/>
      <c r="AP192" s="1"/>
      <c r="AQ192" s="1"/>
      <c r="AR192" s="1"/>
      <c r="AS192" s="1"/>
      <c r="AT192" s="1"/>
      <c r="BA192" s="1"/>
      <c r="DW192" s="8"/>
    </row>
  </sheetData>
  <sheetProtection algorithmName="SHA-512" hashValue="qkkuK/Wc2BWLl2vPlW2cjanXZdHBRPJBNeHyR4MDb1mG2fIX39/lIlnX4VMsO2CArHa4bGScVp4muKTvowCz1w==" saltValue="xqatsQQLmawRx1MbHf6JRA==" spinCount="100000" sheet="1" objects="1" scenarios="1" selectLockedCells="1"/>
  <mergeCells count="19">
    <mergeCell ref="AJ155:AU157"/>
    <mergeCell ref="W44:W49"/>
    <mergeCell ref="W60:W65"/>
    <mergeCell ref="W76:W81"/>
    <mergeCell ref="W92:W97"/>
    <mergeCell ref="W68:W73"/>
    <mergeCell ref="W84:W89"/>
    <mergeCell ref="W101:W116"/>
    <mergeCell ref="W120:W127"/>
    <mergeCell ref="W131:W134"/>
    <mergeCell ref="W138:W139"/>
    <mergeCell ref="W52:W57"/>
    <mergeCell ref="W4:W9"/>
    <mergeCell ref="W12:W17"/>
    <mergeCell ref="W1:AF1"/>
    <mergeCell ref="AJ151:AU154"/>
    <mergeCell ref="W20:W25"/>
    <mergeCell ref="W28:W33"/>
    <mergeCell ref="W36:W41"/>
  </mergeCells>
  <phoneticPr fontId="14" type="noConversion"/>
  <conditionalFormatting sqref="AB101:AB116 AE101:AE116 AB120:AB127 AE120:AE127 AB131:AB134 AE131:AE134 AB138:AB139 AE138:AE139 AB143 AE143 AB147 AE147">
    <cfRule type="expression" dxfId="37" priority="8" stopIfTrue="1">
      <formula>IF(COUNT($AC101:$AD101)=2,IF(AND($AB101&lt;&gt;$AE101,$AC101=$AD101,$AB101&lt;&gt;"",$AE101&lt;&gt;""),1=2,IF(AND($AB101&lt;&gt;"",$AC101=$AD101),1=1,IF(AND($AB101="",$AC101=$AD101),1=1,1=2))),1=2)</formula>
    </cfRule>
  </conditionalFormatting>
  <conditionalFormatting sqref="AC4:AD9 AC12:AD17 AC20:AD25 AC28:AD33 AC36:AD41 AC44:AD49 AC52:AD57 AC60:AD65 AC68:AD73 AC76:AD81 AC84:AD89 AC92:AD97 AC101:AD116 AC120:AD127 AC131:AD134 AC138:AD139 AC143:AD143 AC147:AD147">
    <cfRule type="expression" dxfId="36" priority="6" stopIfTrue="1">
      <formula>AC4=""</formula>
    </cfRule>
  </conditionalFormatting>
  <conditionalFormatting sqref="AJ8:AT8 AJ16:AT16 AJ24:AT24 AJ32:AT32 AJ40:AT40 AJ48:AT48 AJ56:AT56 AJ64:AT64 AJ72:AT72 AJ80:AT80 AJ88:AT88 AJ96:AT96 AJ110:AT113">
    <cfRule type="expression" dxfId="35" priority="3">
      <formula>AND(OR(SUM($AN$102:$AN$113)=36,$AJ$99=144),COUNTIF($AL$110:$AL$113,$AL8))</formula>
    </cfRule>
  </conditionalFormatting>
  <conditionalFormatting sqref="AJ9:AT9 AJ17:AT17 AJ25:AT25 AJ33:AT33 AJ41:AT41 AJ49:AT49 AJ57:AT57 AJ65:AT65 AJ73:AT73 AJ81:AT81 AJ89:AT89 AJ97:AT97">
    <cfRule type="expression" dxfId="34" priority="10" stopIfTrue="1">
      <formula>OR(SUM($AN6:$AN9)=12,$AJ$99=144)</formula>
    </cfRule>
  </conditionalFormatting>
  <conditionalFormatting sqref="AJ151:AU157">
    <cfRule type="expression" dxfId="33" priority="9">
      <formula>IF($AJ$151=$AL$149,1,0)</formula>
    </cfRule>
  </conditionalFormatting>
  <conditionalFormatting sqref="AL115">
    <cfRule type="expression" dxfId="32" priority="2">
      <formula>IF($AJ$99=144,1,0)</formula>
    </cfRule>
  </conditionalFormatting>
  <conditionalFormatting sqref="AL116">
    <cfRule type="expression" dxfId="31" priority="1">
      <formula>IF($AJ$99=144,1,0)</formula>
    </cfRule>
  </conditionalFormatting>
  <conditionalFormatting sqref="AM102:AM113 AR102:AT113">
    <cfRule type="expression" dxfId="30" priority="12" stopIfTrue="1">
      <formula>$BB$57=3</formula>
    </cfRule>
  </conditionalFormatting>
  <conditionalFormatting sqref="AV6:AV9 AV14:AV17 AV22:AV25 AV30:AV33 AV38:AV41 AV46:AV49 AV54:AV57 AV62:AV65 AV70:AV73 AV78:AV81 AV86:AV89 AV94:AV97">
    <cfRule type="expression" dxfId="29" priority="13" stopIfTrue="1">
      <formula>INDEX($DL$6:$DL$53,MATCH($AL6,$DQ$6:$DQ$53,0))&gt;1</formula>
    </cfRule>
  </conditionalFormatting>
  <conditionalFormatting sqref="AV102:AV113">
    <cfRule type="expression" dxfId="28" priority="14" stopIfTrue="1">
      <formula>AND(INDEX($DL$58:$DL$69,MATCH($AL102,$DQ$58:$DQ$69,0))&gt;1,$H$113=144)</formula>
    </cfRule>
  </conditionalFormatting>
  <conditionalFormatting sqref="AW6:AW9 AW14:AW17 AW22:AW25 AW30:AW33 AW38:AW41 AW46:AW49 AW54:AW57 AW62:AW65 AW70:AW73 AW78:AW81 AW86:AW89 AW94:AW97">
    <cfRule type="expression" dxfId="27" priority="15" stopIfTrue="1">
      <formula>INDEX($DL$6:$DL$53,MATCH($AL6,$DQ$6:$DQ$53,0))&gt;1</formula>
    </cfRule>
  </conditionalFormatting>
  <conditionalFormatting sqref="AW102:AW113">
    <cfRule type="expression" dxfId="26" priority="16">
      <formula>AND(INDEX($DL$58:$DL$69,MATCH($AL102,$DQ$58:$DQ$69,0))&gt;1,$H$113=144)</formula>
    </cfRule>
  </conditionalFormatting>
  <conditionalFormatting sqref="AY5:AZ97">
    <cfRule type="expression" dxfId="25" priority="4">
      <formula>IF($AZ$3="No",1,0)</formula>
    </cfRule>
  </conditionalFormatting>
  <conditionalFormatting sqref="AY101:AZ101">
    <cfRule type="expression" dxfId="24" priority="5">
      <formula>+IF(OR($H$113&gt;=48,$AJ$99=144),1,0)</formula>
    </cfRule>
  </conditionalFormatting>
  <dataValidations count="2">
    <dataValidation type="whole" operator="lessThan" allowBlank="1" showInputMessage="1" showErrorMessage="1" errorTitle="Escribe un número negativo" error="Write a negative number" sqref="AZ6:AZ9 AZ14:AZ17 AZ22:AZ25 AZ30:AZ33 AZ38:AZ41 AZ46:AZ49 AZ54:AZ57 AZ62:AZ65 AZ70:AZ73 AZ78:AZ81 AZ86:AZ89 AZ94:AZ97" xr:uid="{0A1F2BD6-48E6-C743-AF4D-773ACCF8D344}">
      <formula1>0</formula1>
    </dataValidation>
    <dataValidation type="whole" allowBlank="1" showInputMessage="1" showErrorMessage="1" errorTitle="Introduce un número" error="Introduce a number" sqref="AB147:AE147 AB143:AE143 AB138:AE139 AB131:AE134 AB120:AE127 AB101:AE116 AC92:AD97 AC84:AD89 AC76:AD81 AC68:AD73 AC60:AD65 AC52:AD57 AC44:AD49 AC36:AD41 AC28:AD33 AC20:AD25 AC12:AD17 AC4:AD9" xr:uid="{120955B6-00F5-7F45-BDB7-592E6F372E85}">
      <formula1>0</formula1>
      <formula2>500</formula2>
    </dataValidation>
  </dataValidations>
  <hyperlinks>
    <hyperlink ref="AF162" location="Fixture!A1" display="Fixture" xr:uid="{052ACF60-5D13-F744-9003-12B3EE7E07FB}"/>
    <hyperlink ref="AV1" r:id="rId1" xr:uid="{7C87204F-A578-DF48-B7C0-ABF4EB164DFF}"/>
    <hyperlink ref="AL161" r:id="rId2" display="© Miguel Angel Tejero. 2025" xr:uid="{6A1013A7-5450-F84C-BF37-BC6F4ECAC7CF}"/>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iconSet" priority="7" id="{AC7E618D-1FD7-6F41-871B-4212BDD98813}">
            <x14:iconSet iconSet="3Symbols2" showValue="0" custom="1">
              <x14:cfvo type="percent">
                <xm:f>0</xm:f>
              </x14:cfvo>
              <x14:cfvo type="num">
                <xm:f>0.5</xm:f>
              </x14:cfvo>
              <x14:cfvo type="num">
                <xm:f>1</xm:f>
              </x14:cfvo>
              <x14:cfIcon iconSet="3TrafficLights1" iconId="0"/>
              <x14:cfIcon iconSet="3TrafficLights1" iconId="1"/>
              <x14:cfIcon iconSet="3TrafficLights1" iconId="2"/>
            </x14:iconSet>
          </x14:cfRule>
          <xm:sqref>AG101:AG160 AG4:AG97</xm:sqref>
        </x14:conditionalFormatting>
        <x14:conditionalFormatting xmlns:xm="http://schemas.microsoft.com/office/excel/2006/main">
          <x14:cfRule type="iconSet" priority="11" id="{A603073B-466B-7145-9877-D60081747BCC}">
            <x14:iconSet iconSet="3Symbols2" showValue="0" custom="1">
              <x14:cfvo type="percent">
                <xm:f>0</xm:f>
              </x14:cfvo>
              <x14:cfvo type="num">
                <xm:f>0</xm:f>
              </x14:cfvo>
              <x14:cfvo type="num" gte="0">
                <xm:f>1</xm:f>
              </x14:cfvo>
              <x14:cfIcon iconSet="NoIcons" iconId="0"/>
              <x14:cfIcon iconSet="NoIcons" iconId="0"/>
              <x14:cfIcon iconSet="3Symbols2" iconId="1"/>
            </x14:iconSet>
          </x14:cfRule>
          <xm:sqref>AU6:AU9 AU14:AU17 AU22:AU25 AU30:AU33 AU38:AU41 AU46:AU49 AU54:AU57 AU62:AU65 AU70:AU73 AU78:AU81 AU86:AU89 AU94:AU97 AU102:AU113</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97B73F36-8869-204A-8092-12E31C5FDA9D}">
          <x14:formula1>
            <xm:f>Equipos!$F$2:$F$13</xm:f>
          </x14:formula1>
          <xm:sqref>B4 B12 B20 B28 B36 B44 B52 B60 B68 B76 B84 B92</xm:sqref>
        </x14:dataValidation>
        <x14:dataValidation type="list" allowBlank="1" showInputMessage="1" showErrorMessage="1" xr:uid="{DA804455-EFBF-9242-9C04-8F65DDDD0486}">
          <x14:formula1>
            <xm:f>OFFSET(Horarios!$P$3,DJ50-1,0,DL50,1)</xm:f>
          </x14:formula1>
          <xm:sqref>AW102:AW113 AW94:AW97</xm:sqref>
        </x14:dataValidation>
        <x14:dataValidation type="list" allowBlank="1" showInputMessage="1" showErrorMessage="1" error="Introduce un puesto que corresponda_x000a_" xr:uid="{271BC99E-0ECA-794F-8547-CDB0CA063DB4}">
          <x14:formula1>
            <xm:f>OFFSET(Horarios!$P$3,DJ6-1,0,DL6,1)</xm:f>
          </x14:formula1>
          <xm:sqref>AW6:AW9</xm:sqref>
        </x14:dataValidation>
        <x14:dataValidation type="list" allowBlank="1" showInputMessage="1" showErrorMessage="1" error="Introduce un puesto que corresponda_x000a_" xr:uid="{AA5DA48F-0D92-E342-B3EE-C71FCEE28945}">
          <x14:formula1>
            <xm:f>OFFSET(Horarios!$P$3,DJ10-1,0,DL10,1)</xm:f>
          </x14:formula1>
          <xm:sqref>AW14:AW17</xm:sqref>
        </x14:dataValidation>
        <x14:dataValidation type="list" allowBlank="1" showInputMessage="1" showErrorMessage="1" error="Introduce un puesto que corresponda_x000a_" xr:uid="{95B7EE6E-68E1-B44F-BF63-39356F5CC1BA}">
          <x14:formula1>
            <xm:f>OFFSET(Horarios!$P$3,DJ14-1,0,DL14,1)</xm:f>
          </x14:formula1>
          <xm:sqref>AW22:AW25</xm:sqref>
        </x14:dataValidation>
        <x14:dataValidation type="list" allowBlank="1" showInputMessage="1" showErrorMessage="1" xr:uid="{199E120F-74F1-F443-B9AF-F405107BF03C}">
          <x14:formula1>
            <xm:f>OFFSET(Horarios!$P$3,DJ18-1,0,DL18,1)</xm:f>
          </x14:formula1>
          <xm:sqref>AW30:AW33</xm:sqref>
        </x14:dataValidation>
        <x14:dataValidation type="list" allowBlank="1" showInputMessage="1" showErrorMessage="1" xr:uid="{C7DE6235-2196-B348-87D0-BAADE85203F0}">
          <x14:formula1>
            <xm:f>OFFSET(Horarios!$P$3,DJ22-1,0,DL22,1)</xm:f>
          </x14:formula1>
          <xm:sqref>AW38:AW41</xm:sqref>
        </x14:dataValidation>
        <x14:dataValidation type="list" allowBlank="1" showInputMessage="1" showErrorMessage="1" xr:uid="{1C6D2E5E-7F14-2C48-83CE-E7C507319566}">
          <x14:formula1>
            <xm:f>OFFSET(Horarios!$P$3,DJ26-1,0,DL26,1)</xm:f>
          </x14:formula1>
          <xm:sqref>AW46:AW49</xm:sqref>
        </x14:dataValidation>
        <x14:dataValidation type="list" allowBlank="1" showInputMessage="1" showErrorMessage="1" xr:uid="{2DB754D6-A1CB-0841-82AB-C6783A05837E}">
          <x14:formula1>
            <xm:f>OFFSET(Horarios!$P$3,DJ30-1,0,DL30,1)</xm:f>
          </x14:formula1>
          <xm:sqref>AW54:AW57</xm:sqref>
        </x14:dataValidation>
        <x14:dataValidation type="list" allowBlank="1" showInputMessage="1" showErrorMessage="1" xr:uid="{58077E07-99D3-B14E-87EB-5D1715618098}">
          <x14:formula1>
            <xm:f>OFFSET(Horarios!$P$3,DJ34-1,0,DL34,1)</xm:f>
          </x14:formula1>
          <xm:sqref>AW62:AW65</xm:sqref>
        </x14:dataValidation>
        <x14:dataValidation type="list" allowBlank="1" showInputMessage="1" showErrorMessage="1" xr:uid="{2F4EAC24-E330-1340-911E-20B5AD8ADCC9}">
          <x14:formula1>
            <xm:f>OFFSET(Horarios!$P$3,DJ38-1,0,DL38,1)</xm:f>
          </x14:formula1>
          <xm:sqref>AW70:AW73</xm:sqref>
        </x14:dataValidation>
        <x14:dataValidation type="list" allowBlank="1" showInputMessage="1" showErrorMessage="1" xr:uid="{56C2A2DF-C240-C343-9D8B-818981234B8F}">
          <x14:formula1>
            <xm:f>OFFSET(Horarios!$P$3,DJ42-1,0,DL42,1)</xm:f>
          </x14:formula1>
          <xm:sqref>AW78:AW81</xm:sqref>
        </x14:dataValidation>
        <x14:dataValidation type="list" allowBlank="1" showInputMessage="1" showErrorMessage="1" xr:uid="{F2BC73FD-BB69-F14B-9A96-A479B39FA615}">
          <x14:formula1>
            <xm:f>OFFSET(Horarios!$P$3,DJ46-1,0,DL46,1)</xm:f>
          </x14:formula1>
          <xm:sqref>AW86:AW89</xm:sqref>
        </x14:dataValidation>
        <x14:dataValidation type="list" allowBlank="1" showInputMessage="1" showErrorMessage="1" xr:uid="{329DC42E-D991-2940-8819-0513D90364C2}">
          <x14:formula1>
            <xm:f>Idiomas!$D$72:$D$73</xm:f>
          </x14:formula1>
          <xm:sqref>AZ3</xm:sqref>
        </x14:dataValidation>
        <x14:dataValidation type="list" allowBlank="1" showInputMessage="1" showErrorMessage="1" xr:uid="{7A87CA8B-70A4-6240-9D6A-2A8827FCE5D1}">
          <x14:formula1>
            <xm:f>Idiomas!$D$75:$D$77</xm:f>
          </x14:formula1>
          <xm:sqref>AL116</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43325-A402-A84C-9A38-E8CE9FF1AA17}">
  <sheetPr codeName="Hoja10"/>
  <dimension ref="A1:BFJ269"/>
  <sheetViews>
    <sheetView showGridLines="0" showRowColHeaders="0" topLeftCell="FR227" zoomScale="85" zoomScaleNormal="85" workbookViewId="0">
      <selection activeCell="FJ258" sqref="FJ258"/>
      <extLst>
        <ext xmlns:xlsdti="http://schemas.microsoft.com/office/spreadsheetml/2023/showDataTypeIcons" uri="{77bfe23e-c014-4d31-8a63-9c772dbf06b6}">
          <xlsdti:showDataTypeIcons visible="0"/>
        </ext>
      </extLst>
    </sheetView>
  </sheetViews>
  <sheetFormatPr defaultColWidth="0" defaultRowHeight="15"/>
  <cols>
    <col min="1" max="1" width="5" style="1" hidden="1" customWidth="1"/>
    <col min="2" max="2" width="3.42578125" style="1" customWidth="1"/>
    <col min="3" max="3" width="47.7109375" style="1" bestFit="1" customWidth="1"/>
    <col min="4" max="4" width="11.28515625" style="1" customWidth="1"/>
    <col min="5" max="5" width="4.42578125" style="7" customWidth="1"/>
    <col min="6" max="6" width="10.7109375" style="721" hidden="1" customWidth="1"/>
    <col min="7" max="7" width="7.7109375" style="5" hidden="1" customWidth="1"/>
    <col min="8" max="8" width="14.140625" style="5" hidden="1" customWidth="1"/>
    <col min="9" max="9" width="6.42578125" style="61" customWidth="1"/>
    <col min="10" max="10" width="8.28515625" style="104" customWidth="1"/>
    <col min="11" max="11" width="30.7109375" style="86" bestFit="1" customWidth="1"/>
    <col min="12" max="12" width="2.7109375" style="61" customWidth="1"/>
    <col min="13" max="13" width="30" style="86" customWidth="1"/>
    <col min="14" max="14" width="3.7109375" style="444" hidden="1" customWidth="1"/>
    <col min="15" max="15" width="3.140625" style="444" hidden="1" customWidth="1"/>
    <col min="16" max="16" width="2.7109375" style="444" hidden="1" customWidth="1"/>
    <col min="17" max="17" width="3.140625" style="444" hidden="1" customWidth="1"/>
    <col min="18" max="18" width="2.7109375" style="5" customWidth="1"/>
    <col min="19" max="19" width="29.7109375" style="86" bestFit="1" customWidth="1"/>
    <col min="20" max="20" width="5.140625" style="86" customWidth="1"/>
    <col min="21" max="21" width="2.7109375" style="20" customWidth="1"/>
    <col min="22" max="22" width="29.7109375" style="86" bestFit="1" customWidth="1"/>
    <col min="23" max="23" width="5.140625" style="86" customWidth="1"/>
    <col min="24" max="24" width="2.7109375" style="20" customWidth="1"/>
    <col min="25" max="25" width="29.7109375" style="86" bestFit="1" customWidth="1"/>
    <col min="26" max="26" width="5.140625" style="86" customWidth="1"/>
    <col min="27" max="27" width="2.7109375" style="20" customWidth="1"/>
    <col min="28" max="28" width="29.7109375" style="86" bestFit="1" customWidth="1"/>
    <col min="29" max="29" width="5.140625" style="86" customWidth="1"/>
    <col min="30" max="30" width="2.7109375" style="20" customWidth="1"/>
    <col min="31" max="31" width="29.7109375" style="86" bestFit="1" customWidth="1"/>
    <col min="32" max="32" width="5.140625" style="86" customWidth="1"/>
    <col min="33" max="33" width="2.7109375" style="20" customWidth="1"/>
    <col min="34" max="34" width="29.7109375" style="86" bestFit="1" customWidth="1"/>
    <col min="35" max="35" width="5.140625" style="86" customWidth="1"/>
    <col min="36" max="36" width="2.7109375" style="20" customWidth="1"/>
    <col min="37" max="37" width="29.7109375" style="86" bestFit="1" customWidth="1"/>
    <col min="38" max="38" width="5.140625" style="86" customWidth="1"/>
    <col min="39" max="39" width="2.7109375" style="20" customWidth="1"/>
    <col min="40" max="40" width="29.7109375" style="86" bestFit="1" customWidth="1"/>
    <col min="41" max="41" width="5.140625" style="86" customWidth="1"/>
    <col min="42" max="42" width="2.7109375" style="20" customWidth="1"/>
    <col min="43" max="43" width="29.7109375" style="86" bestFit="1" customWidth="1"/>
    <col min="44" max="44" width="5.140625" style="86" customWidth="1"/>
    <col min="45" max="45" width="2.7109375" style="20" customWidth="1"/>
    <col min="46" max="46" width="29.7109375" style="86" bestFit="1" customWidth="1"/>
    <col min="47" max="47" width="5.140625" style="86" customWidth="1"/>
    <col min="48" max="48" width="2.7109375" style="20" customWidth="1"/>
    <col min="49" max="49" width="29.7109375" style="86" bestFit="1" customWidth="1"/>
    <col min="50" max="50" width="5.140625" style="86" customWidth="1"/>
    <col min="51" max="51" width="2.7109375" style="20" customWidth="1"/>
    <col min="52" max="52" width="29.7109375" style="86" bestFit="1" customWidth="1"/>
    <col min="53" max="53" width="5.140625" style="86" customWidth="1"/>
    <col min="54" max="54" width="2.7109375" style="20" customWidth="1"/>
    <col min="55" max="55" width="29.7109375" style="86" bestFit="1" customWidth="1"/>
    <col min="56" max="56" width="5.140625" style="86" customWidth="1"/>
    <col min="57" max="57" width="2.7109375" style="20" customWidth="1"/>
    <col min="58" max="58" width="29.7109375" style="86" bestFit="1" customWidth="1"/>
    <col min="59" max="59" width="5.140625" style="86" customWidth="1"/>
    <col min="60" max="60" width="2.7109375" style="20" customWidth="1"/>
    <col min="61" max="61" width="29.7109375" style="86" bestFit="1" customWidth="1"/>
    <col min="62" max="62" width="5.140625" style="86" customWidth="1"/>
    <col min="63" max="63" width="2.7109375" style="20" customWidth="1"/>
    <col min="64" max="64" width="29.7109375" style="86" bestFit="1" customWidth="1"/>
    <col min="65" max="65" width="5.140625" style="86" customWidth="1"/>
    <col min="66" max="66" width="2.7109375" style="20" customWidth="1"/>
    <col min="67" max="67" width="29.7109375" style="86" bestFit="1" customWidth="1"/>
    <col min="68" max="68" width="5.140625" style="86" customWidth="1"/>
    <col min="69" max="69" width="2.7109375" style="20" customWidth="1"/>
    <col min="70" max="70" width="29.7109375" style="86" bestFit="1" customWidth="1"/>
    <col min="71" max="71" width="5.140625" style="86" customWidth="1"/>
    <col min="72" max="72" width="2.7109375" style="20" customWidth="1"/>
    <col min="73" max="73" width="29.7109375" style="86" bestFit="1" customWidth="1"/>
    <col min="74" max="74" width="5.140625" style="86" customWidth="1"/>
    <col min="75" max="75" width="2.7109375" style="20" customWidth="1"/>
    <col min="76" max="76" width="29.7109375" style="86" bestFit="1" customWidth="1"/>
    <col min="77" max="77" width="5.140625" style="86" customWidth="1"/>
    <col min="78" max="78" width="2.7109375" style="20" customWidth="1"/>
    <col min="79" max="79" width="29.7109375" style="86" bestFit="1" customWidth="1"/>
    <col min="80" max="80" width="5.140625" style="86" customWidth="1"/>
    <col min="81" max="81" width="2.7109375" style="20" customWidth="1"/>
    <col min="82" max="82" width="29.7109375" style="86" bestFit="1" customWidth="1"/>
    <col min="83" max="83" width="5.140625" style="86" customWidth="1"/>
    <col min="84" max="84" width="2.7109375" style="20" customWidth="1"/>
    <col min="85" max="85" width="29.7109375" style="86" bestFit="1" customWidth="1"/>
    <col min="86" max="86" width="5.140625" style="86" customWidth="1"/>
    <col min="87" max="87" width="2.7109375" style="20" customWidth="1"/>
    <col min="88" max="88" width="29.7109375" style="86" bestFit="1" customWidth="1"/>
    <col min="89" max="89" width="5.140625" style="86" customWidth="1"/>
    <col min="90" max="90" width="2.7109375" style="20" customWidth="1"/>
    <col min="91" max="91" width="29.7109375" style="86" bestFit="1" customWidth="1"/>
    <col min="92" max="92" width="5.140625" style="86" customWidth="1"/>
    <col min="93" max="93" width="2.7109375" style="20" customWidth="1"/>
    <col min="94" max="94" width="29.7109375" style="86" bestFit="1" customWidth="1"/>
    <col min="95" max="95" width="5.140625" style="86" customWidth="1"/>
    <col min="96" max="96" width="2.7109375" style="20" customWidth="1"/>
    <col min="97" max="97" width="29.7109375" style="86" bestFit="1" customWidth="1"/>
    <col min="98" max="98" width="5.140625" style="86" customWidth="1"/>
    <col min="99" max="99" width="2.7109375" style="20" customWidth="1"/>
    <col min="100" max="100" width="29.7109375" style="86" bestFit="1" customWidth="1"/>
    <col min="101" max="101" width="5.140625" style="86" customWidth="1"/>
    <col min="102" max="102" width="2.7109375" style="20" customWidth="1"/>
    <col min="103" max="103" width="29.7109375" style="86" bestFit="1" customWidth="1"/>
    <col min="104" max="104" width="5.140625" style="86" customWidth="1"/>
    <col min="105" max="105" width="2.7109375" style="20" customWidth="1"/>
    <col min="106" max="106" width="29.7109375" style="86" bestFit="1" customWidth="1"/>
    <col min="107" max="107" width="5.140625" style="86" customWidth="1"/>
    <col min="108" max="108" width="2.7109375" style="20" customWidth="1"/>
    <col min="109" max="109" width="29.7109375" style="86" bestFit="1" customWidth="1"/>
    <col min="110" max="110" width="5.140625" style="86" customWidth="1"/>
    <col min="111" max="111" width="2.7109375" style="20" customWidth="1"/>
    <col min="112" max="112" width="29.7109375" style="86" bestFit="1" customWidth="1"/>
    <col min="113" max="113" width="5.140625" style="86" customWidth="1"/>
    <col min="114" max="114" width="2.7109375" style="20" customWidth="1"/>
    <col min="115" max="115" width="29.7109375" style="86" bestFit="1" customWidth="1"/>
    <col min="116" max="116" width="5.140625" style="86" customWidth="1"/>
    <col min="117" max="117" width="2.7109375" style="20" customWidth="1"/>
    <col min="118" max="118" width="29.7109375" style="86" bestFit="1" customWidth="1"/>
    <col min="119" max="119" width="5.140625" style="86" customWidth="1"/>
    <col min="120" max="120" width="2.7109375" style="20" customWidth="1"/>
    <col min="121" max="121" width="29.7109375" style="86" bestFit="1" customWidth="1"/>
    <col min="122" max="122" width="5.140625" style="86" customWidth="1"/>
    <col min="123" max="123" width="2.7109375" style="20" customWidth="1"/>
    <col min="124" max="124" width="29.7109375" style="86" bestFit="1" customWidth="1"/>
    <col min="125" max="125" width="5.140625" style="86" customWidth="1"/>
    <col min="126" max="126" width="2.7109375" style="20" customWidth="1"/>
    <col min="127" max="127" width="29.7109375" style="86" bestFit="1" customWidth="1"/>
    <col min="128" max="128" width="5.140625" style="86" customWidth="1"/>
    <col min="129" max="129" width="2.7109375" style="20" customWidth="1"/>
    <col min="130" max="130" width="29.7109375" style="86" bestFit="1" customWidth="1"/>
    <col min="131" max="131" width="5.140625" style="86" customWidth="1"/>
    <col min="132" max="132" width="2.7109375" style="20" customWidth="1"/>
    <col min="133" max="133" width="29.7109375" style="86" bestFit="1" customWidth="1"/>
    <col min="134" max="134" width="5.140625" style="86" customWidth="1"/>
    <col min="135" max="135" width="2.7109375" style="20" customWidth="1"/>
    <col min="136" max="136" width="29.7109375" style="86" bestFit="1" customWidth="1"/>
    <col min="137" max="137" width="5.140625" style="86" customWidth="1"/>
    <col min="138" max="138" width="2.7109375" style="20" customWidth="1"/>
    <col min="139" max="139" width="29.7109375" style="86" bestFit="1" customWidth="1"/>
    <col min="140" max="140" width="5.140625" style="86" customWidth="1"/>
    <col min="141" max="141" width="2.7109375" style="20" customWidth="1"/>
    <col min="142" max="142" width="29.7109375" style="86" bestFit="1" customWidth="1"/>
    <col min="143" max="143" width="5.140625" style="86" customWidth="1"/>
    <col min="144" max="144" width="2.7109375" style="20" customWidth="1"/>
    <col min="145" max="145" width="29.7109375" style="86" bestFit="1" customWidth="1"/>
    <col min="146" max="146" width="5.140625" style="86" customWidth="1"/>
    <col min="147" max="147" width="2.7109375" style="20" customWidth="1"/>
    <col min="148" max="148" width="29.7109375" style="86" bestFit="1" customWidth="1"/>
    <col min="149" max="149" width="5.140625" style="86" customWidth="1"/>
    <col min="150" max="150" width="2.7109375" style="20" customWidth="1"/>
    <col min="151" max="151" width="29.7109375" style="86" bestFit="1" customWidth="1"/>
    <col min="152" max="152" width="5.140625" style="86" customWidth="1"/>
    <col min="153" max="153" width="2.7109375" style="20" customWidth="1"/>
    <col min="154" max="154" width="29.7109375" style="86" bestFit="1" customWidth="1"/>
    <col min="155" max="155" width="5.140625" style="86" customWidth="1"/>
    <col min="156" max="156" width="2.7109375" style="20" customWidth="1"/>
    <col min="157" max="157" width="29.7109375" style="86" bestFit="1" customWidth="1"/>
    <col min="158" max="158" width="5.140625" style="86" customWidth="1"/>
    <col min="159" max="159" width="2.7109375" style="20" customWidth="1"/>
    <col min="160" max="160" width="29.7109375" style="86" bestFit="1" customWidth="1"/>
    <col min="161" max="161" width="5.140625" style="86" customWidth="1"/>
    <col min="162" max="162" width="2.7109375" style="20" customWidth="1"/>
    <col min="163" max="163" width="29.7109375" style="86" bestFit="1" customWidth="1"/>
    <col min="164" max="164" width="5.140625" style="86" customWidth="1"/>
    <col min="165" max="165" width="2.7109375" style="20" customWidth="1"/>
    <col min="166" max="166" width="29.7109375" style="86" bestFit="1" customWidth="1"/>
    <col min="167" max="167" width="5.140625" style="86" customWidth="1"/>
    <col min="168" max="168" width="2.7109375" style="20" customWidth="1"/>
    <col min="169" max="169" width="29.7109375" style="86" bestFit="1" customWidth="1"/>
    <col min="170" max="170" width="5.140625" style="86" customWidth="1"/>
    <col min="171" max="171" width="2.7109375" style="20" customWidth="1"/>
    <col min="172" max="172" width="29.7109375" style="86" bestFit="1" customWidth="1"/>
    <col min="173" max="173" width="5.140625" style="86" customWidth="1"/>
    <col min="174" max="174" width="2.7109375" style="20" customWidth="1"/>
    <col min="175" max="175" width="29.7109375" style="86" bestFit="1" customWidth="1"/>
    <col min="176" max="176" width="5.140625" style="86" customWidth="1"/>
    <col min="177" max="177" width="2.7109375" style="20" customWidth="1"/>
    <col min="178" max="178" width="29.7109375" style="86" bestFit="1" customWidth="1"/>
    <col min="179" max="179" width="5.140625" style="86" customWidth="1"/>
    <col min="180" max="180" width="2.7109375" style="20" customWidth="1"/>
    <col min="181" max="181" width="29.7109375" style="86" bestFit="1" customWidth="1"/>
    <col min="182" max="182" width="5.140625" style="86" customWidth="1"/>
    <col min="183" max="183" width="2.7109375" style="20" customWidth="1"/>
    <col min="184" max="184" width="29.7109375" style="86" bestFit="1" customWidth="1"/>
    <col min="185" max="185" width="5.140625" style="86" customWidth="1"/>
    <col min="186" max="186" width="2.7109375" style="20" customWidth="1"/>
    <col min="187" max="187" width="29.7109375" style="86" bestFit="1" customWidth="1"/>
    <col min="188" max="188" width="5.140625" style="86" customWidth="1"/>
    <col min="189" max="189" width="2.7109375" style="20" customWidth="1"/>
    <col min="190" max="190" width="29.7109375" style="86" bestFit="1" customWidth="1"/>
    <col min="191" max="191" width="5.140625" style="86" customWidth="1"/>
    <col min="192" max="192" width="2.7109375" style="20" customWidth="1"/>
    <col min="193" max="193" width="29.7109375" style="86" bestFit="1" customWidth="1"/>
    <col min="194" max="194" width="5.140625" style="86" customWidth="1"/>
    <col min="195" max="195" width="2.7109375" style="20" customWidth="1"/>
    <col min="196" max="196" width="29.7109375" style="86" bestFit="1" customWidth="1"/>
    <col min="197" max="197" width="5.140625" style="86" customWidth="1"/>
    <col min="198" max="198" width="2.7109375" style="20" customWidth="1"/>
    <col min="199" max="199" width="29.7109375" style="86" bestFit="1" customWidth="1"/>
    <col min="200" max="200" width="5.140625" style="86" customWidth="1"/>
    <col min="201" max="201" width="2.7109375" style="20" customWidth="1"/>
    <col min="202" max="202" width="29.7109375" style="86" bestFit="1" customWidth="1"/>
    <col min="203" max="203" width="5.140625" style="86" customWidth="1"/>
    <col min="204" max="204" width="2.7109375" style="20" customWidth="1"/>
    <col min="205" max="205" width="29.7109375" style="86" bestFit="1" customWidth="1"/>
    <col min="206" max="206" width="5.140625" style="86" customWidth="1"/>
    <col min="207" max="207" width="2.7109375" style="20" customWidth="1"/>
    <col min="208" max="208" width="29.7109375" style="86" bestFit="1" customWidth="1"/>
    <col min="209" max="209" width="5.140625" style="86" customWidth="1"/>
    <col min="210" max="210" width="2.7109375" style="20" customWidth="1"/>
    <col min="211" max="211" width="29.7109375" style="86" bestFit="1" customWidth="1"/>
    <col min="212" max="212" width="5.140625" style="86" customWidth="1"/>
    <col min="213" max="213" width="2.7109375" style="20" customWidth="1"/>
    <col min="214" max="214" width="29.7109375" style="86" bestFit="1" customWidth="1"/>
    <col min="215" max="215" width="5.140625" style="86" customWidth="1"/>
    <col min="216" max="216" width="2.7109375" style="20" customWidth="1"/>
    <col min="217" max="217" width="29.7109375" style="86" bestFit="1" customWidth="1"/>
    <col min="218" max="218" width="5.140625" style="86" customWidth="1"/>
    <col min="219" max="219" width="2.7109375" style="20" customWidth="1"/>
    <col min="220" max="220" width="29.7109375" style="86" bestFit="1" customWidth="1"/>
    <col min="221" max="221" width="5.140625" style="86" customWidth="1"/>
    <col min="222" max="222" width="2.7109375" style="20" customWidth="1"/>
    <col min="223" max="223" width="29.7109375" style="86" bestFit="1" customWidth="1"/>
    <col min="224" max="224" width="5.140625" style="86" customWidth="1"/>
    <col min="225" max="225" width="2.7109375" style="20" customWidth="1"/>
    <col min="226" max="226" width="29.7109375" style="86" bestFit="1" customWidth="1"/>
    <col min="227" max="227" width="5.140625" style="86" customWidth="1"/>
    <col min="228" max="228" width="2.7109375" style="20" customWidth="1"/>
    <col min="229" max="229" width="29.7109375" style="86" bestFit="1" customWidth="1"/>
    <col min="230" max="230" width="5.140625" style="86" customWidth="1"/>
    <col min="231" max="231" width="2.7109375" style="20" customWidth="1"/>
    <col min="232" max="232" width="29.7109375" style="86" bestFit="1" customWidth="1"/>
    <col min="233" max="233" width="5.140625" style="86" customWidth="1"/>
    <col min="234" max="234" width="2.7109375" style="20" customWidth="1"/>
    <col min="235" max="235" width="29.7109375" style="86" bestFit="1" customWidth="1"/>
    <col min="236" max="236" width="5.140625" style="86" customWidth="1"/>
    <col min="237" max="237" width="2.7109375" style="20" customWidth="1"/>
    <col min="238" max="238" width="29.7109375" style="86" bestFit="1" customWidth="1"/>
    <col min="239" max="239" width="5.140625" style="86" customWidth="1"/>
    <col min="240" max="240" width="2.7109375" style="20" customWidth="1"/>
    <col min="241" max="241" width="29.7109375" style="86" bestFit="1" customWidth="1"/>
    <col min="242" max="242" width="5.140625" style="86" customWidth="1"/>
    <col min="243" max="243" width="2.7109375" style="20" customWidth="1"/>
    <col min="244" max="244" width="29.7109375" style="86" bestFit="1" customWidth="1"/>
    <col min="245" max="245" width="5.140625" style="86" customWidth="1"/>
    <col min="246" max="246" width="2.7109375" style="20" customWidth="1"/>
    <col min="247" max="247" width="29.7109375" style="86" bestFit="1" customWidth="1"/>
    <col min="248" max="248" width="5.140625" style="86" customWidth="1"/>
    <col min="249" max="249" width="2.7109375" style="20" customWidth="1"/>
    <col min="250" max="250" width="29.7109375" style="86" bestFit="1" customWidth="1"/>
    <col min="251" max="251" width="5.140625" style="86" customWidth="1"/>
    <col min="252" max="252" width="2.7109375" style="20" customWidth="1"/>
    <col min="253" max="253" width="29.7109375" style="86" bestFit="1" customWidth="1"/>
    <col min="254" max="254" width="5.140625" style="86" customWidth="1"/>
    <col min="255" max="255" width="2.7109375" style="20" customWidth="1"/>
    <col min="256" max="256" width="29.7109375" style="86" bestFit="1" customWidth="1"/>
    <col min="257" max="257" width="5.140625" style="86" customWidth="1"/>
    <col min="258" max="258" width="2.7109375" style="20" customWidth="1"/>
    <col min="259" max="259" width="29.7109375" style="86" bestFit="1" customWidth="1"/>
    <col min="260" max="260" width="5.140625" style="86" customWidth="1"/>
    <col min="261" max="261" width="2.7109375" style="20" customWidth="1"/>
    <col min="262" max="262" width="29.7109375" style="86" bestFit="1" customWidth="1"/>
    <col min="263" max="263" width="5.140625" style="86" customWidth="1"/>
    <col min="264" max="264" width="2.7109375" style="20" customWidth="1"/>
    <col min="265" max="265" width="29.7109375" style="86" bestFit="1" customWidth="1"/>
    <col min="266" max="266" width="5.140625" style="86" customWidth="1"/>
    <col min="267" max="267" width="2.7109375" style="20" customWidth="1"/>
    <col min="268" max="268" width="29.7109375" style="86" bestFit="1" customWidth="1"/>
    <col min="269" max="269" width="5.140625" style="86" customWidth="1"/>
    <col min="270" max="270" width="2.7109375" style="20" customWidth="1"/>
    <col min="271" max="271" width="29.7109375" style="86" bestFit="1" customWidth="1"/>
    <col min="272" max="272" width="5.140625" style="86" customWidth="1"/>
    <col min="273" max="273" width="2.7109375" style="20" customWidth="1"/>
    <col min="274" max="274" width="29.7109375" style="86" bestFit="1" customWidth="1"/>
    <col min="275" max="275" width="5.140625" style="86" customWidth="1"/>
    <col min="276" max="276" width="2.7109375" style="20" customWidth="1"/>
    <col min="277" max="277" width="29.7109375" style="86" bestFit="1" customWidth="1"/>
    <col min="278" max="278" width="5.140625" style="86" customWidth="1"/>
    <col min="279" max="279" width="2.7109375" style="20" customWidth="1"/>
    <col min="280" max="280" width="29.7109375" style="86" bestFit="1" customWidth="1"/>
    <col min="281" max="281" width="5.140625" style="86" customWidth="1"/>
    <col min="282" max="282" width="2.7109375" style="20" customWidth="1"/>
    <col min="283" max="283" width="29.7109375" style="86" bestFit="1" customWidth="1"/>
    <col min="284" max="284" width="5.140625" style="86" customWidth="1"/>
    <col min="285" max="285" width="2.7109375" style="20" customWidth="1"/>
    <col min="286" max="286" width="29.7109375" style="86" bestFit="1" customWidth="1"/>
    <col min="287" max="287" width="5.140625" style="86" customWidth="1"/>
    <col min="288" max="288" width="2.7109375" style="20" customWidth="1"/>
    <col min="289" max="289" width="29.7109375" style="86" bestFit="1" customWidth="1"/>
    <col min="290" max="290" width="5.140625" style="86" customWidth="1"/>
    <col min="291" max="291" width="2.7109375" style="20" customWidth="1"/>
    <col min="292" max="292" width="29.7109375" style="86" bestFit="1" customWidth="1"/>
    <col min="293" max="293" width="5.140625" style="86" customWidth="1"/>
    <col min="294" max="294" width="2.7109375" style="20" customWidth="1"/>
    <col min="295" max="295" width="29.7109375" style="86" bestFit="1" customWidth="1"/>
    <col min="296" max="296" width="5.140625" style="86" customWidth="1"/>
    <col min="297" max="297" width="2.7109375" style="20" customWidth="1"/>
    <col min="298" max="298" width="29.7109375" style="86" bestFit="1" customWidth="1"/>
    <col min="299" max="299" width="5.140625" style="86" customWidth="1"/>
    <col min="300" max="300" width="2.7109375" style="20" customWidth="1"/>
    <col min="301" max="301" width="29.7109375" style="86" bestFit="1" customWidth="1"/>
    <col min="302" max="302" width="5.140625" style="86" customWidth="1"/>
    <col min="303" max="303" width="2.7109375" style="20" customWidth="1"/>
    <col min="304" max="304" width="29.7109375" style="86" bestFit="1" customWidth="1"/>
    <col min="305" max="305" width="5.140625" style="86" customWidth="1"/>
    <col min="306" max="306" width="2.7109375" style="20" customWidth="1"/>
    <col min="307" max="307" width="29.7109375" style="86" bestFit="1" customWidth="1"/>
    <col min="308" max="308" width="5.140625" style="86" customWidth="1"/>
    <col min="309" max="309" width="2.7109375" style="20" customWidth="1"/>
    <col min="310" max="310" width="29.7109375" style="86" bestFit="1" customWidth="1"/>
    <col min="311" max="311" width="5.140625" style="86" customWidth="1"/>
    <col min="312" max="312" width="2.7109375" style="20" customWidth="1"/>
    <col min="313" max="313" width="29.7109375" style="86" bestFit="1" customWidth="1"/>
    <col min="314" max="314" width="5.140625" style="86" customWidth="1"/>
    <col min="315" max="315" width="2.7109375" style="20" customWidth="1"/>
    <col min="316" max="316" width="29.7109375" style="86" bestFit="1" customWidth="1"/>
    <col min="317" max="317" width="5.140625" style="86" customWidth="1"/>
    <col min="318" max="319" width="2.7109375" style="20" customWidth="1"/>
    <col min="320" max="1518" width="0" style="1" hidden="1" customWidth="1"/>
    <col min="1519" max="16384" width="10.7109375" style="1" hidden="1"/>
  </cols>
  <sheetData>
    <row r="1" spans="1:319" s="20" customFormat="1">
      <c r="A1" s="65"/>
      <c r="B1" s="65"/>
      <c r="C1" s="65"/>
      <c r="D1" s="65"/>
      <c r="E1" s="111"/>
      <c r="F1" s="729"/>
      <c r="G1" s="49"/>
      <c r="H1" s="49"/>
      <c r="I1" s="65"/>
      <c r="J1" s="93"/>
      <c r="K1" s="665"/>
      <c r="L1" s="65"/>
      <c r="M1" s="87"/>
      <c r="N1" s="25"/>
      <c r="O1" s="25"/>
      <c r="P1" s="25"/>
      <c r="Q1" s="25"/>
      <c r="R1" s="49"/>
      <c r="S1" s="87">
        <f ca="1">+IFERROR(RANK(S2,OFFSET($S$2,0,0,1,$D$5*3),0),"-")</f>
        <v>55</v>
      </c>
      <c r="T1" s="87"/>
      <c r="U1" s="65"/>
      <c r="V1" s="87">
        <f ca="1">+IFERROR(RANK(V2,OFFSET($S$2,0,0,1,$D$5*3),0),"-")</f>
        <v>29</v>
      </c>
      <c r="W1" s="87"/>
      <c r="X1" s="65"/>
      <c r="Y1" s="87">
        <f ca="1">+IFERROR(RANK(Y2,OFFSET($S$2,0,0,1,$D$5*3),0),"-")</f>
        <v>37</v>
      </c>
      <c r="Z1" s="87"/>
      <c r="AA1" s="65"/>
      <c r="AB1" s="87">
        <f ca="1">+IFERROR(RANK(AB2,OFFSET($S$2,0,0,1,$D$5*3),0),"-")</f>
        <v>12</v>
      </c>
      <c r="AC1" s="87"/>
      <c r="AD1" s="65"/>
      <c r="AE1" s="87">
        <f ca="1">+IFERROR(RANK(AE2,OFFSET($S$2,0,0,1,$D$5*3),0),"-")</f>
        <v>20</v>
      </c>
      <c r="AF1" s="87"/>
      <c r="AG1" s="65"/>
      <c r="AH1" s="87">
        <f ca="1">+IFERROR(RANK(AH2,OFFSET($S$2,0,0,1,$D$5*3),0),"-")</f>
        <v>33</v>
      </c>
      <c r="AI1" s="87"/>
      <c r="AJ1" s="65"/>
      <c r="AK1" s="87">
        <f ca="1">+IFERROR(RANK(AK2,OFFSET($S$2,0,0,1,$D$5*3),0),"-")</f>
        <v>46</v>
      </c>
      <c r="AL1" s="87"/>
      <c r="AM1" s="65"/>
      <c r="AN1" s="87">
        <f ca="1">+IFERROR(RANK(AN2,OFFSET($S$2,0,0,1,$D$5*3),0),"-")</f>
        <v>59</v>
      </c>
      <c r="AO1" s="87"/>
      <c r="AP1" s="65"/>
      <c r="AQ1" s="87">
        <f ca="1">+IFERROR(RANK(AQ2,OFFSET($S$2,0,0,1,$D$5*3),0),"-")</f>
        <v>48</v>
      </c>
      <c r="AR1" s="87"/>
      <c r="AS1" s="65"/>
      <c r="AT1" s="87">
        <f ca="1">+IFERROR(RANK(AT2,OFFSET($S$2,0,0,1,$D$5*3),0),"-")</f>
        <v>52</v>
      </c>
      <c r="AU1" s="87"/>
      <c r="AV1" s="65"/>
      <c r="AW1" s="87">
        <f ca="1">+IFERROR(RANK(AW2,OFFSET($S$2,0,0,1,$D$5*3),0),"-")</f>
        <v>50</v>
      </c>
      <c r="AX1" s="87"/>
      <c r="AY1" s="65"/>
      <c r="AZ1" s="87">
        <f ca="1">+IFERROR(RANK(AZ2,OFFSET($S$2,0,0,1,$D$5*3),0),"-")</f>
        <v>11</v>
      </c>
      <c r="BA1" s="87"/>
      <c r="BB1" s="65"/>
      <c r="BC1" s="87">
        <f ca="1">+IFERROR(RANK(BC2,OFFSET($S$2,0,0,1,$D$5*3),0),"-")</f>
        <v>43</v>
      </c>
      <c r="BD1" s="87"/>
      <c r="BE1" s="65"/>
      <c r="BF1" s="87">
        <f ca="1">+IFERROR(RANK(BF2,OFFSET($S$2,0,0,1,$D$5*3),0),"-")</f>
        <v>44</v>
      </c>
      <c r="BG1" s="87"/>
      <c r="BH1" s="65"/>
      <c r="BI1" s="87">
        <f ca="1">+IFERROR(RANK(BI2,OFFSET($S$2,0,0,1,$D$5*3),0),"-")</f>
        <v>42</v>
      </c>
      <c r="BJ1" s="87"/>
      <c r="BK1" s="65"/>
      <c r="BL1" s="87">
        <f ca="1">+IFERROR(RANK(BL2,OFFSET($S$2,0,0,1,$D$5*3),0),"-")</f>
        <v>1</v>
      </c>
      <c r="BM1" s="87"/>
      <c r="BN1" s="65"/>
      <c r="BO1" s="87">
        <f ca="1">+IFERROR(RANK(BO2,OFFSET($S$2,0,0,1,$D$5*3),0),"-")</f>
        <v>4</v>
      </c>
      <c r="BP1" s="87"/>
      <c r="BQ1" s="65"/>
      <c r="BR1" s="87">
        <f ca="1">+IFERROR(RANK(BR2,OFFSET($S$2,0,0,1,$D$5*3),0),"-")</f>
        <v>51</v>
      </c>
      <c r="BS1" s="87"/>
      <c r="BT1" s="65"/>
      <c r="BU1" s="87">
        <f ca="1">+IFERROR(RANK(BU2,OFFSET($S$2,0,0,1,$D$5*3),0),"-")</f>
        <v>19</v>
      </c>
      <c r="BV1" s="87"/>
      <c r="BW1" s="65"/>
      <c r="BX1" s="87">
        <f ca="1">+IFERROR(RANK(BX2,OFFSET($S$2,0,0,1,$D$5*3),0),"-")</f>
        <v>30</v>
      </c>
      <c r="BY1" s="87"/>
      <c r="BZ1" s="65"/>
      <c r="CA1" s="87">
        <f ca="1">+IFERROR(RANK(CA2,OFFSET($S$2,0,0,1,$D$5*3),0),"-")</f>
        <v>9</v>
      </c>
      <c r="CB1" s="87"/>
      <c r="CC1" s="65"/>
      <c r="CD1" s="87">
        <f ca="1">+IFERROR(RANK(CD2,OFFSET($S$2,0,0,1,$D$5*3),0),"-")</f>
        <v>54</v>
      </c>
      <c r="CE1" s="87"/>
      <c r="CF1" s="65"/>
      <c r="CG1" s="87">
        <f ca="1">+IFERROR(RANK(CG2,OFFSET($S$2,0,0,1,$D$5*3),0),"-")</f>
        <v>10</v>
      </c>
      <c r="CH1" s="87"/>
      <c r="CI1" s="65"/>
      <c r="CJ1" s="87">
        <f ca="1">+IFERROR(RANK(CJ2,OFFSET($S$2,0,0,1,$D$5*3),0),"-")</f>
        <v>35</v>
      </c>
      <c r="CK1" s="87"/>
      <c r="CL1" s="65"/>
      <c r="CM1" s="87">
        <f ca="1">+IFERROR(RANK(CM2,OFFSET($S$2,0,0,1,$D$5*3),0),"-")</f>
        <v>13</v>
      </c>
      <c r="CN1" s="87"/>
      <c r="CO1" s="65"/>
      <c r="CP1" s="87">
        <f ca="1">+IFERROR(RANK(CP2,OFFSET($S$2,0,0,1,$D$5*3),0),"-")</f>
        <v>15</v>
      </c>
      <c r="CQ1" s="87"/>
      <c r="CR1" s="65"/>
      <c r="CS1" s="87">
        <f ca="1">+IFERROR(RANK(CS2,OFFSET($S$2,0,0,1,$D$5*3),0),"-")</f>
        <v>57</v>
      </c>
      <c r="CT1" s="87"/>
      <c r="CU1" s="65"/>
      <c r="CV1" s="87">
        <f ca="1">+IFERROR(RANK(CV2,OFFSET($S$2,0,0,1,$D$5*3),0),"-")</f>
        <v>53</v>
      </c>
      <c r="CW1" s="87"/>
      <c r="CX1" s="65"/>
      <c r="CY1" s="87">
        <f ca="1">+IFERROR(RANK(CY2,OFFSET($S$2,0,0,1,$D$5*3),0),"-")</f>
        <v>58</v>
      </c>
      <c r="CZ1" s="87"/>
      <c r="DA1" s="65"/>
      <c r="DB1" s="87">
        <f ca="1">+IFERROR(RANK(DB2,OFFSET($S$2,0,0,1,$D$5*3),0),"-")</f>
        <v>16</v>
      </c>
      <c r="DC1" s="87"/>
      <c r="DD1" s="65"/>
      <c r="DE1" s="87">
        <f ca="1">+IFERROR(RANK(DE2,OFFSET($S$2,0,0,1,$D$5*3),0),"-")</f>
        <v>22</v>
      </c>
      <c r="DF1" s="87"/>
      <c r="DG1" s="65"/>
      <c r="DH1" s="87">
        <f ca="1">+IFERROR(RANK(DH2,OFFSET($S$2,0,0,1,$D$5*3),0),"-")</f>
        <v>36</v>
      </c>
      <c r="DI1" s="87"/>
      <c r="DJ1" s="65"/>
      <c r="DK1" s="87">
        <f ca="1">+IFERROR(RANK(DK2,OFFSET($S$2,0,0,1,$D$5*3),0),"-")</f>
        <v>6</v>
      </c>
      <c r="DL1" s="87"/>
      <c r="DM1" s="65"/>
      <c r="DN1" s="87">
        <f ca="1">+IFERROR(RANK(DN2,OFFSET($S$2,0,0,1,$D$5*3),0),"-")</f>
        <v>31</v>
      </c>
      <c r="DO1" s="87"/>
      <c r="DP1" s="65"/>
      <c r="DQ1" s="87">
        <f ca="1">+IFERROR(RANK(DQ2,OFFSET($S$2,0,0,1,$D$5*3),0),"-")</f>
        <v>41</v>
      </c>
      <c r="DR1" s="87"/>
      <c r="DS1" s="65"/>
      <c r="DT1" s="87">
        <f ca="1">+IFERROR(RANK(DT2,OFFSET($S$2,0,0,1,$D$5*3),0),"-")</f>
        <v>40</v>
      </c>
      <c r="DU1" s="87"/>
      <c r="DV1" s="65"/>
      <c r="DW1" s="87">
        <f ca="1">+IFERROR(RANK(DW2,OFFSET($S$2,0,0,1,$D$5*3),0),"-")</f>
        <v>26</v>
      </c>
      <c r="DX1" s="87"/>
      <c r="DY1" s="65"/>
      <c r="DZ1" s="87">
        <f ca="1">+IFERROR(RANK(DZ2,OFFSET($S$2,0,0,1,$D$5*3),0),"-")</f>
        <v>28</v>
      </c>
      <c r="EA1" s="87"/>
      <c r="EB1" s="65"/>
      <c r="EC1" s="87">
        <f ca="1">+IFERROR(RANK(EC2,OFFSET($S$2,0,0,1,$D$5*3),0),"-")</f>
        <v>2</v>
      </c>
      <c r="ED1" s="87"/>
      <c r="EE1" s="65"/>
      <c r="EF1" s="87">
        <f ca="1">+IFERROR(RANK(EF2,OFFSET($S$2,0,0,1,$D$5*3),0),"-")</f>
        <v>56</v>
      </c>
      <c r="EG1" s="87"/>
      <c r="EH1" s="65"/>
      <c r="EI1" s="87">
        <f ca="1">+IFERROR(RANK(EI2,OFFSET($S$2,0,0,1,$D$5*3),0),"-")</f>
        <v>3</v>
      </c>
      <c r="EJ1" s="87"/>
      <c r="EK1" s="65"/>
      <c r="EL1" s="87">
        <f ca="1">+IFERROR(RANK(EL2,OFFSET($S$2,0,0,1,$D$5*3),0),"-")</f>
        <v>5</v>
      </c>
      <c r="EM1" s="87"/>
      <c r="EN1" s="65"/>
      <c r="EO1" s="87">
        <f ca="1">+IFERROR(RANK(EO2,OFFSET($S$2,0,0,1,$D$5*3),0),"-")</f>
        <v>17</v>
      </c>
      <c r="EP1" s="87"/>
      <c r="EQ1" s="65"/>
      <c r="ER1" s="87">
        <f ca="1">+IFERROR(RANK(ER2,OFFSET($S$2,0,0,1,$D$5*3),0),"-")</f>
        <v>7</v>
      </c>
      <c r="ES1" s="87"/>
      <c r="ET1" s="65"/>
      <c r="EU1" s="87">
        <f ca="1">+IFERROR(RANK(EU2,OFFSET($S$2,0,0,1,$D$5*3),0),"-")</f>
        <v>34</v>
      </c>
      <c r="EV1" s="87"/>
      <c r="EW1" s="65"/>
      <c r="EX1" s="87">
        <f ca="1">+IFERROR(RANK(EX2,OFFSET($S$2,0,0,1,$D$5*3),0),"-")</f>
        <v>21</v>
      </c>
      <c r="EY1" s="87"/>
      <c r="EZ1" s="65"/>
      <c r="FA1" s="87">
        <f ca="1">+IFERROR(RANK(FA2,OFFSET($S$2,0,0,1,$D$5*3),0),"-")</f>
        <v>49</v>
      </c>
      <c r="FB1" s="87"/>
      <c r="FC1" s="65"/>
      <c r="FD1" s="87">
        <f ca="1">+IFERROR(RANK(FD2,OFFSET($S$2,0,0,1,$D$5*3),0),"-")</f>
        <v>47</v>
      </c>
      <c r="FE1" s="87"/>
      <c r="FF1" s="65"/>
      <c r="FG1" s="87">
        <f ca="1">+IFERROR(RANK(FG2,OFFSET($S$2,0,0,1,$D$5*3),0),"-")</f>
        <v>27</v>
      </c>
      <c r="FH1" s="87"/>
      <c r="FI1" s="65"/>
      <c r="FJ1" s="87">
        <f ca="1">+IFERROR(RANK(FJ2,OFFSET($S$2,0,0,1,$D$5*3),0),"-")</f>
        <v>14</v>
      </c>
      <c r="FK1" s="87"/>
      <c r="FL1" s="65"/>
      <c r="FM1" s="87">
        <f ca="1">+IFERROR(RANK(FM2,OFFSET($S$2,0,0,1,$D$5*3),0),"-")</f>
        <v>25</v>
      </c>
      <c r="FN1" s="87"/>
      <c r="FO1" s="65"/>
      <c r="FP1" s="87">
        <f ca="1">+IFERROR(RANK(FP2,OFFSET($S$2,0,0,1,$D$5*3),0),"-")</f>
        <v>23</v>
      </c>
      <c r="FQ1" s="87"/>
      <c r="FR1" s="65"/>
      <c r="FS1" s="87">
        <f ca="1">+IFERROR(RANK(FS2,OFFSET($S$2,0,0,1,$D$5*3),0),"-")</f>
        <v>32</v>
      </c>
      <c r="FT1" s="87"/>
      <c r="FU1" s="65"/>
      <c r="FV1" s="87">
        <f ca="1">+IFERROR(RANK(FV2,OFFSET($S$2,0,0,1,$D$5*3),0),"-")</f>
        <v>8</v>
      </c>
      <c r="FW1" s="87"/>
      <c r="FX1" s="65"/>
      <c r="FY1" s="87">
        <f ca="1">+IFERROR(RANK(FY2,OFFSET($S$2,0,0,1,$D$5*3),0),"-")</f>
        <v>39</v>
      </c>
      <c r="FZ1" s="87"/>
      <c r="GA1" s="65"/>
      <c r="GB1" s="87">
        <f ca="1">+IFERROR(RANK(GB2,OFFSET($S$2,0,0,1,$D$5*3),0),"-")</f>
        <v>24</v>
      </c>
      <c r="GC1" s="87"/>
      <c r="GD1" s="65"/>
      <c r="GE1" s="87">
        <f ca="1">+IFERROR(RANK(GE2,OFFSET($S$2,0,0,1,$D$5*3),0),"-")</f>
        <v>18</v>
      </c>
      <c r="GF1" s="87"/>
      <c r="GG1" s="65"/>
      <c r="GH1" s="87">
        <f ca="1">+IFERROR(RANK(GH2,OFFSET($S$2,0,0,1,$D$5*3),0),"-")</f>
        <v>38</v>
      </c>
      <c r="GI1" s="87"/>
      <c r="GJ1" s="65"/>
      <c r="GK1" s="87">
        <f ca="1">+IFERROR(RANK(GK2,OFFSET($S$2,0,0,1,$D$5*3),0),"-")</f>
        <v>45</v>
      </c>
      <c r="GL1" s="87"/>
      <c r="GM1" s="65"/>
      <c r="GN1" s="87" t="str">
        <f ca="1">+IFERROR(RANK(GN2,OFFSET($S$2,0,0,1,$D$5*3),0),"-")</f>
        <v>-</v>
      </c>
      <c r="GO1" s="87"/>
      <c r="GP1" s="65"/>
      <c r="GQ1" s="87" t="str">
        <f ca="1">+IFERROR(RANK(GQ2,OFFSET($S$2,0,0,1,$D$5*3),0),"-")</f>
        <v>-</v>
      </c>
      <c r="GR1" s="87"/>
      <c r="GS1" s="65"/>
      <c r="GT1" s="87" t="str">
        <f ca="1">+IFERROR(RANK(GT2,OFFSET($S$2,0,0,1,$D$5*3),0),"-")</f>
        <v>-</v>
      </c>
      <c r="GU1" s="87"/>
      <c r="GV1" s="65"/>
      <c r="GW1" s="87" t="str">
        <f ca="1">+IFERROR(RANK(GW2,OFFSET($S$2,0,0,1,$D$5*3),0),"-")</f>
        <v>-</v>
      </c>
      <c r="GX1" s="87"/>
      <c r="GY1" s="65"/>
      <c r="GZ1" s="87" t="str">
        <f ca="1">+IFERROR(RANK(GZ2,OFFSET($S$2,0,0,1,$D$5*3),0),"-")</f>
        <v>-</v>
      </c>
      <c r="HA1" s="87"/>
      <c r="HB1" s="65"/>
      <c r="HC1" s="87" t="str">
        <f ca="1">+IFERROR(RANK(HC2,OFFSET($S$2,0,0,1,$D$5*3),0),"-")</f>
        <v>-</v>
      </c>
      <c r="HD1" s="87"/>
      <c r="HE1" s="65"/>
      <c r="HF1" s="87" t="str">
        <f ca="1">+IFERROR(RANK(HF2,OFFSET($S$2,0,0,1,$D$5*3),0),"-")</f>
        <v>-</v>
      </c>
      <c r="HG1" s="87"/>
      <c r="HH1" s="65"/>
      <c r="HI1" s="87" t="str">
        <f ca="1">+IFERROR(RANK(HI2,OFFSET($S$2,0,0,1,$D$5*3),0),"-")</f>
        <v>-</v>
      </c>
      <c r="HJ1" s="87"/>
      <c r="HK1" s="65"/>
      <c r="HL1" s="87" t="str">
        <f ca="1">+IFERROR(RANK(HL2,OFFSET($S$2,0,0,1,$D$5*3),0),"-")</f>
        <v>-</v>
      </c>
      <c r="HM1" s="87"/>
      <c r="HN1" s="65"/>
      <c r="HO1" s="87" t="str">
        <f ca="1">+IFERROR(RANK(HO2,OFFSET($S$2,0,0,1,$D$5*3),0),"-")</f>
        <v>-</v>
      </c>
      <c r="HP1" s="87"/>
      <c r="HQ1" s="65"/>
      <c r="HR1" s="87" t="str">
        <f ca="1">+IFERROR(RANK(HR2,OFFSET($S$2,0,0,1,$D$5*3),0),"-")</f>
        <v>-</v>
      </c>
      <c r="HS1" s="87"/>
      <c r="HT1" s="65"/>
      <c r="HU1" s="87" t="str">
        <f ca="1">+IFERROR(RANK(HU2,OFFSET($S$2,0,0,1,$D$5*3),0),"-")</f>
        <v>-</v>
      </c>
      <c r="HV1" s="87"/>
      <c r="HW1" s="65"/>
      <c r="HX1" s="87" t="str">
        <f ca="1">+IFERROR(RANK(HX2,OFFSET($S$2,0,0,1,$D$5*3),0),"-")</f>
        <v>-</v>
      </c>
      <c r="HY1" s="87"/>
      <c r="HZ1" s="65"/>
      <c r="IA1" s="87" t="str">
        <f ca="1">+IFERROR(RANK(IA2,OFFSET($S$2,0,0,1,$D$5*3),0),"-")</f>
        <v>-</v>
      </c>
      <c r="IB1" s="87"/>
      <c r="IC1" s="65"/>
      <c r="ID1" s="87" t="str">
        <f ca="1">+IFERROR(RANK(ID2,OFFSET($S$2,0,0,1,$D$5*3),0),"-")</f>
        <v>-</v>
      </c>
      <c r="IE1" s="87"/>
      <c r="IF1" s="65"/>
      <c r="IG1" s="87" t="str">
        <f ca="1">+IFERROR(RANK(IG2,OFFSET($S$2,0,0,1,$D$5*3),0),"-")</f>
        <v>-</v>
      </c>
      <c r="IH1" s="87"/>
      <c r="II1" s="65"/>
      <c r="IJ1" s="87" t="str">
        <f ca="1">+IFERROR(RANK(IJ2,OFFSET($S$2,0,0,1,$D$5*3),0),"-")</f>
        <v>-</v>
      </c>
      <c r="IK1" s="87"/>
      <c r="IL1" s="65"/>
      <c r="IM1" s="87" t="str">
        <f ca="1">+IFERROR(RANK(IM2,OFFSET($S$2,0,0,1,$D$5*3),0),"-")</f>
        <v>-</v>
      </c>
      <c r="IN1" s="87"/>
      <c r="IO1" s="65"/>
      <c r="IP1" s="87" t="str">
        <f ca="1">+IFERROR(RANK(IP2,OFFSET($S$2,0,0,1,$D$5*3),0),"-")</f>
        <v>-</v>
      </c>
      <c r="IQ1" s="87"/>
      <c r="IR1" s="65"/>
      <c r="IS1" s="87" t="str">
        <f ca="1">+IFERROR(RANK(IS2,OFFSET($S$2,0,0,1,$D$5*3),0),"-")</f>
        <v>-</v>
      </c>
      <c r="IT1" s="87"/>
      <c r="IU1" s="65"/>
      <c r="IV1" s="87" t="str">
        <f ca="1">+IFERROR(RANK(IV2,OFFSET($S$2,0,0,1,$D$5*3),0),"-")</f>
        <v>-</v>
      </c>
      <c r="IW1" s="87"/>
      <c r="IX1" s="65"/>
      <c r="IY1" s="87" t="str">
        <f ca="1">+IFERROR(RANK(IY2,OFFSET($S$2,0,0,1,$D$5*3),0),"-")</f>
        <v>-</v>
      </c>
      <c r="IZ1" s="87"/>
      <c r="JA1" s="65"/>
      <c r="JB1" s="87" t="str">
        <f ca="1">+IFERROR(RANK(JB2,OFFSET($S$2,0,0,1,$D$5*3),0),"-")</f>
        <v>-</v>
      </c>
      <c r="JC1" s="87"/>
      <c r="JD1" s="65"/>
      <c r="JE1" s="87" t="str">
        <f ca="1">+IFERROR(RANK(JE2,OFFSET($S$2,0,0,1,$D$5*3),0),"-")</f>
        <v>-</v>
      </c>
      <c r="JF1" s="87"/>
      <c r="JG1" s="65"/>
      <c r="JH1" s="87" t="str">
        <f ca="1">+IFERROR(RANK(JH2,OFFSET($S$2,0,0,1,$D$5*3),0),"-")</f>
        <v>-</v>
      </c>
      <c r="JI1" s="87"/>
      <c r="JJ1" s="65"/>
      <c r="JK1" s="87" t="str">
        <f ca="1">+IFERROR(RANK(JK2,OFFSET($S$2,0,0,1,$D$5*3),0),"-")</f>
        <v>-</v>
      </c>
      <c r="JL1" s="87"/>
      <c r="JM1" s="65"/>
      <c r="JN1" s="87" t="str">
        <f ca="1">+IFERROR(RANK(JN2,OFFSET($S$2,0,0,1,$D$5*3),0),"-")</f>
        <v>-</v>
      </c>
      <c r="JO1" s="87"/>
      <c r="JP1" s="65"/>
      <c r="JQ1" s="87" t="str">
        <f ca="1">+IFERROR(RANK(JQ2,OFFSET($S$2,0,0,1,$D$5*3),0),"-")</f>
        <v>-</v>
      </c>
      <c r="JR1" s="87"/>
      <c r="JS1" s="65"/>
      <c r="JT1" s="87" t="str">
        <f ca="1">+IFERROR(RANK(JT2,OFFSET($S$2,0,0,1,$D$5*3),0),"-")</f>
        <v>-</v>
      </c>
      <c r="JU1" s="87"/>
      <c r="JV1" s="65"/>
      <c r="JW1" s="87" t="str">
        <f ca="1">+IFERROR(RANK(JW2,OFFSET($S$2,0,0,1,$D$5*3),0),"-")</f>
        <v>-</v>
      </c>
      <c r="JX1" s="87"/>
      <c r="JY1" s="65"/>
      <c r="JZ1" s="87" t="str">
        <f ca="1">+IFERROR(RANK(JZ2,OFFSET($S$2,0,0,1,$D$5*3),0),"-")</f>
        <v>-</v>
      </c>
      <c r="KA1" s="87"/>
      <c r="KB1" s="65"/>
      <c r="KC1" s="87" t="str">
        <f ca="1">+IFERROR(RANK(KC2,OFFSET($S$2,0,0,1,$D$5*3),0),"-")</f>
        <v>-</v>
      </c>
      <c r="KD1" s="87"/>
      <c r="KE1" s="65"/>
      <c r="KF1" s="87" t="str">
        <f ca="1">+IFERROR(RANK(KF2,OFFSET($S$2,0,0,1,$D$5*3),0),"-")</f>
        <v>-</v>
      </c>
      <c r="KG1" s="87"/>
      <c r="KH1" s="65"/>
      <c r="KI1" s="87" t="str">
        <f ca="1">+IFERROR(RANK(KI2,OFFSET($S$2,0,0,1,$D$5*3),0),"-")</f>
        <v>-</v>
      </c>
      <c r="KJ1" s="87"/>
      <c r="KK1" s="65"/>
      <c r="KL1" s="87" t="str">
        <f ca="1">+IFERROR(RANK(KL2,OFFSET($S$2,0,0,1,$D$5*3),0),"-")</f>
        <v>-</v>
      </c>
      <c r="KM1" s="87"/>
      <c r="KN1" s="65"/>
      <c r="KO1" s="87" t="str">
        <f ca="1">+IFERROR(RANK(KO2,OFFSET($S$2,0,0,1,$D$5*3),0),"-")</f>
        <v>-</v>
      </c>
      <c r="KP1" s="87"/>
      <c r="KQ1" s="65"/>
      <c r="KR1" s="87" t="str">
        <f ca="1">+IFERROR(RANK(KR2,OFFSET($S$2,0,0,1,$D$5*3),0),"-")</f>
        <v>-</v>
      </c>
      <c r="KS1" s="87"/>
      <c r="KT1" s="65"/>
      <c r="KU1" s="87" t="str">
        <f ca="1">+IFERROR(RANK(KU2,OFFSET($S$2,0,0,1,$D$5*3),0),"-")</f>
        <v>-</v>
      </c>
      <c r="KV1" s="87"/>
      <c r="KW1" s="65"/>
      <c r="KX1" s="87" t="str">
        <f ca="1">+IFERROR(RANK(KX2,OFFSET($S$2,0,0,1,$D$5*3),0),"-")</f>
        <v>-</v>
      </c>
      <c r="KY1" s="87"/>
      <c r="KZ1" s="65"/>
      <c r="LA1" s="87" t="str">
        <f ca="1">+IFERROR(RANK(LA2,OFFSET($S$2,0,0,1,$D$5*3),0),"-")</f>
        <v>-</v>
      </c>
      <c r="LB1" s="87"/>
      <c r="LC1" s="65"/>
      <c r="LD1" s="87" t="str">
        <f ca="1">+IFERROR(RANK(LD2,OFFSET($S$2,0,0,1,$D$5*3),0),"-")</f>
        <v>-</v>
      </c>
      <c r="LE1" s="87"/>
      <c r="LF1" s="65"/>
      <c r="LG1" s="111"/>
    </row>
    <row r="2" spans="1:319" s="20" customFormat="1" ht="22.15" customHeight="1">
      <c r="A2" s="65"/>
      <c r="B2" s="65"/>
      <c r="C2" s="65"/>
      <c r="D2" s="65"/>
      <c r="E2" s="111"/>
      <c r="F2" s="729"/>
      <c r="G2" s="49"/>
      <c r="H2" s="49"/>
      <c r="I2" s="65"/>
      <c r="J2" s="93"/>
      <c r="K2" s="25"/>
      <c r="L2" s="65"/>
      <c r="M2" s="87"/>
      <c r="N2" s="25"/>
      <c r="O2" s="25"/>
      <c r="P2" s="25"/>
      <c r="Q2" s="25"/>
      <c r="R2" s="49"/>
      <c r="S2" s="87">
        <f ca="1">S4-(COLUMN()/10000)</f>
        <v>1028.9981</v>
      </c>
      <c r="T2" s="87"/>
      <c r="U2" s="65"/>
      <c r="V2" s="87">
        <f t="shared" ref="V2" ca="1" si="0">V4-(COLUMN()/10000)</f>
        <v>1317.9978000000001</v>
      </c>
      <c r="W2" s="87"/>
      <c r="X2" s="65"/>
      <c r="Y2" s="87">
        <f t="shared" ref="Y2" ca="1" si="1">Y4-(COLUMN()/10000)</f>
        <v>1261.9974999999999</v>
      </c>
      <c r="Z2" s="87"/>
      <c r="AA2" s="65"/>
      <c r="AB2" s="87">
        <f t="shared" ref="AB2" ca="1" si="2">AB4-(COLUMN()/10000)</f>
        <v>1489.9972</v>
      </c>
      <c r="AC2" s="87"/>
      <c r="AD2" s="65"/>
      <c r="AE2" s="87">
        <f t="shared" ref="AE2" ca="1" si="3">AE4-(COLUMN()/10000)</f>
        <v>1405.9969000000001</v>
      </c>
      <c r="AF2" s="87"/>
      <c r="AG2" s="65"/>
      <c r="AH2" s="87">
        <f t="shared" ref="AH2" ca="1" si="4">AH4-(COLUMN()/10000)</f>
        <v>1283.9965999999999</v>
      </c>
      <c r="AI2" s="87"/>
      <c r="AJ2" s="65"/>
      <c r="AK2" s="87">
        <f t="shared" ref="AK2" ca="1" si="5">AK4-(COLUMN()/10000)</f>
        <v>1191.9963</v>
      </c>
      <c r="AL2" s="87"/>
      <c r="AM2" s="65"/>
      <c r="AN2" s="87">
        <f t="shared" ref="AN2" ca="1" si="6">AN4-(COLUMN()/10000)</f>
        <v>740.99599999999998</v>
      </c>
      <c r="AO2" s="87"/>
      <c r="AP2" s="65"/>
      <c r="AQ2" s="87">
        <f t="shared" ref="AQ2" ca="1" si="7">AQ4-(COLUMN()/10000)</f>
        <v>1154.9956999999999</v>
      </c>
      <c r="AR2" s="87"/>
      <c r="AS2" s="65"/>
      <c r="AT2" s="87">
        <f t="shared" ref="AT2" ca="1" si="8">AT4-(COLUMN()/10000)</f>
        <v>1109.9954</v>
      </c>
      <c r="AU2" s="87"/>
      <c r="AV2" s="65"/>
      <c r="AW2" s="87">
        <f t="shared" ref="AW2" ca="1" si="9">AW4-(COLUMN()/10000)</f>
        <v>1147.9951000000001</v>
      </c>
      <c r="AX2" s="87"/>
      <c r="AY2" s="65"/>
      <c r="AZ2" s="87">
        <f t="shared" ref="AZ2" ca="1" si="10">AZ4-(COLUMN()/10000)</f>
        <v>1507.9947999999999</v>
      </c>
      <c r="BA2" s="87"/>
      <c r="BB2" s="65"/>
      <c r="BC2" s="87">
        <f t="shared" ref="BC2" ca="1" si="11">BC4-(COLUMN()/10000)</f>
        <v>1218.9945</v>
      </c>
      <c r="BD2" s="87"/>
      <c r="BE2" s="65"/>
      <c r="BF2" s="87">
        <f t="shared" ref="BF2" ca="1" si="12">BF4-(COLUMN()/10000)</f>
        <v>1209.9942000000001</v>
      </c>
      <c r="BG2" s="87"/>
      <c r="BH2" s="65"/>
      <c r="BI2" s="87">
        <f t="shared" ref="BI2" ca="1" si="13">BI4-(COLUMN()/10000)</f>
        <v>1220.9938999999999</v>
      </c>
      <c r="BJ2" s="87"/>
      <c r="BK2" s="65"/>
      <c r="BL2" s="87">
        <f t="shared" ref="BL2" ca="1" si="14">BL4-(COLUMN()/10000)</f>
        <v>1676.9936</v>
      </c>
      <c r="BM2" s="87"/>
      <c r="BN2" s="65"/>
      <c r="BO2" s="87">
        <f t="shared" ref="BO2" ca="1" si="15">BO4-(COLUMN()/10000)</f>
        <v>1584.9933000000001</v>
      </c>
      <c r="BP2" s="87"/>
      <c r="BQ2" s="65"/>
      <c r="BR2" s="87">
        <f t="shared" ref="BR2" ca="1" si="16">BR4-(COLUMN()/10000)</f>
        <v>1136.9929999999999</v>
      </c>
      <c r="BS2" s="87"/>
      <c r="BT2" s="65"/>
      <c r="BU2" s="87">
        <f t="shared" ref="BU2" ca="1" si="17">BU4-(COLUMN()/10000)</f>
        <v>1411.9927</v>
      </c>
      <c r="BV2" s="87"/>
      <c r="BW2" s="65"/>
      <c r="BX2" s="87">
        <f t="shared" ref="BX2" ca="1" si="18">BX4-(COLUMN()/10000)</f>
        <v>1291.9924000000001</v>
      </c>
      <c r="BY2" s="87"/>
      <c r="BZ2" s="65"/>
      <c r="CA2" s="87">
        <f t="shared" ref="CA2" ca="1" si="19">CA4-(COLUMN()/10000)</f>
        <v>1535.9920999999999</v>
      </c>
      <c r="CB2" s="87"/>
      <c r="CC2" s="65"/>
      <c r="CD2" s="87">
        <f t="shared" ref="CD2" ca="1" si="20">CD4-(COLUMN()/10000)</f>
        <v>1071.9918</v>
      </c>
      <c r="CE2" s="87"/>
      <c r="CF2" s="65"/>
      <c r="CG2" s="87">
        <f t="shared" ref="CG2" ca="1" si="21">CG4-(COLUMN()/10000)</f>
        <v>1525.9915000000001</v>
      </c>
      <c r="CH2" s="87"/>
      <c r="CI2" s="65"/>
      <c r="CJ2" s="87">
        <f t="shared" ref="CJ2" ca="1" si="22">CJ4-(COLUMN()/10000)</f>
        <v>1266.9911999999999</v>
      </c>
      <c r="CK2" s="87"/>
      <c r="CL2" s="65"/>
      <c r="CM2" s="87">
        <f t="shared" ref="CM2" ca="1" si="23">CM4-(COLUMN()/10000)</f>
        <v>1482.9909</v>
      </c>
      <c r="CN2" s="87"/>
      <c r="CO2" s="65"/>
      <c r="CP2" s="87">
        <f t="shared" ref="CP2" ca="1" si="24">CP4-(COLUMN()/10000)</f>
        <v>1477.9906000000001</v>
      </c>
      <c r="CQ2" s="87"/>
      <c r="CR2" s="65"/>
      <c r="CS2" s="87">
        <f t="shared" ref="CS2" ca="1" si="25">CS4-(COLUMN()/10000)</f>
        <v>962.99030000000005</v>
      </c>
      <c r="CT2" s="87"/>
      <c r="CU2" s="65"/>
      <c r="CV2" s="87">
        <f t="shared" ref="CV2" ca="1" si="26">CV4-(COLUMN()/10000)</f>
        <v>1080.99</v>
      </c>
      <c r="CW2" s="87"/>
      <c r="CX2" s="65"/>
      <c r="CY2" s="87">
        <f t="shared" ref="CY2" ca="1" si="27">CY4-(COLUMN()/10000)</f>
        <v>954.98969999999997</v>
      </c>
      <c r="CZ2" s="87"/>
      <c r="DA2" s="65"/>
      <c r="DB2" s="87">
        <f t="shared" ref="DB2" ca="1" si="28">DB4-(COLUMN()/10000)</f>
        <v>1439.9893999999999</v>
      </c>
      <c r="DC2" s="87"/>
      <c r="DD2" s="65"/>
      <c r="DE2" s="87">
        <f t="shared" ref="DE2" ca="1" si="29">DE4-(COLUMN()/10000)</f>
        <v>1385.9891</v>
      </c>
      <c r="DF2" s="87"/>
      <c r="DG2" s="65"/>
      <c r="DH2" s="87">
        <f t="shared" ref="DH2" ca="1" si="30">DH4-(COLUMN()/10000)</f>
        <v>1262.9888000000001</v>
      </c>
      <c r="DI2" s="87"/>
      <c r="DJ2" s="65"/>
      <c r="DK2" s="87">
        <f t="shared" ref="DK2" ca="1" si="31">DK4-(COLUMN()/10000)</f>
        <v>1568.9884999999999</v>
      </c>
      <c r="DL2" s="87"/>
      <c r="DM2" s="65"/>
      <c r="DN2" s="87">
        <f t="shared" ref="DN2" ca="1" si="32">DN4-(COLUMN()/10000)</f>
        <v>1287.9882</v>
      </c>
      <c r="DO2" s="87"/>
      <c r="DP2" s="65"/>
      <c r="DQ2" s="87">
        <f t="shared" ref="DQ2" ca="1" si="33">DQ4-(COLUMN()/10000)</f>
        <v>1224.9879000000001</v>
      </c>
      <c r="DR2" s="87"/>
      <c r="DS2" s="65"/>
      <c r="DT2" s="87">
        <f t="shared" ref="DT2" ca="1" si="34">DT4-(COLUMN()/10000)</f>
        <v>1241.9875999999999</v>
      </c>
      <c r="DU2" s="87"/>
      <c r="DV2" s="65"/>
      <c r="DW2" s="87">
        <f t="shared" ref="DW2" ca="1" si="35">DW4-(COLUMN()/10000)</f>
        <v>1355.9873</v>
      </c>
      <c r="DX2" s="87"/>
      <c r="DY2" s="65"/>
      <c r="DZ2" s="87">
        <f t="shared" ref="DZ2" ca="1" si="36">DZ4-(COLUMN()/10000)</f>
        <v>1328.9870000000001</v>
      </c>
      <c r="EA2" s="87"/>
      <c r="EB2" s="65"/>
      <c r="EC2" s="87">
        <f t="shared" ref="EC2" ca="1" si="37">EC4-(COLUMN()/10000)</f>
        <v>1619.9866999999999</v>
      </c>
      <c r="ED2" s="87"/>
      <c r="EE2" s="65"/>
      <c r="EF2" s="87">
        <f t="shared" ref="EF2" ca="1" si="38">EF4-(COLUMN()/10000)</f>
        <v>1002.9864</v>
      </c>
      <c r="EG2" s="87"/>
      <c r="EH2" s="65"/>
      <c r="EI2" s="87">
        <f t="shared" ref="EI2" ca="1" si="39">EI4-(COLUMN()/10000)</f>
        <v>1595.9861000000001</v>
      </c>
      <c r="EJ2" s="87"/>
      <c r="EK2" s="65"/>
      <c r="EL2" s="87">
        <f t="shared" ref="EL2" ca="1" si="40">EL4-(COLUMN()/10000)</f>
        <v>1572.9857999999999</v>
      </c>
      <c r="EM2" s="87"/>
      <c r="EN2" s="65"/>
      <c r="EO2" s="87">
        <f t="shared" ref="EO2" ca="1" si="41">EO4-(COLUMN()/10000)</f>
        <v>1435.9855</v>
      </c>
      <c r="EP2" s="87"/>
      <c r="EQ2" s="65"/>
      <c r="ER2" s="87">
        <f t="shared" ref="ER2" ca="1" si="42">ER4-(COLUMN()/10000)</f>
        <v>1562.9852000000001</v>
      </c>
      <c r="ES2" s="87"/>
      <c r="ET2" s="65"/>
      <c r="EU2" s="87">
        <f t="shared" ref="EU2" ca="1" si="43">EU4-(COLUMN()/10000)</f>
        <v>1277.9848999999999</v>
      </c>
      <c r="EV2" s="87"/>
      <c r="EW2" s="65"/>
      <c r="EX2" s="87">
        <f t="shared" ref="EX2" ca="1" si="44">EX4-(COLUMN()/10000)</f>
        <v>1405.9846</v>
      </c>
      <c r="EY2" s="87"/>
      <c r="EZ2" s="65"/>
      <c r="FA2" s="87">
        <f t="shared" ref="FA2" ca="1" si="45">FA4-(COLUMN()/10000)</f>
        <v>1149.9843000000001</v>
      </c>
      <c r="FB2" s="87"/>
      <c r="FC2" s="65"/>
      <c r="FD2" s="87">
        <f t="shared" ref="FD2" ca="1" si="46">FD4-(COLUMN()/10000)</f>
        <v>1164.9839999999999</v>
      </c>
      <c r="FE2" s="87"/>
      <c r="FF2" s="65"/>
      <c r="FG2" s="87">
        <f t="shared" ref="FG2" ca="1" si="47">FG4-(COLUMN()/10000)</f>
        <v>1331.9837</v>
      </c>
      <c r="FH2" s="87"/>
      <c r="FI2" s="65"/>
      <c r="FJ2" s="87">
        <f t="shared" ref="FJ2" ca="1" si="48">FJ4-(COLUMN()/10000)</f>
        <v>1480.9834000000001</v>
      </c>
      <c r="FK2" s="87"/>
      <c r="FL2" s="65"/>
      <c r="FM2" s="87">
        <f t="shared" ref="FM2" ca="1" si="49">FM4-(COLUMN()/10000)</f>
        <v>1362.9830999999999</v>
      </c>
      <c r="FN2" s="87"/>
      <c r="FO2" s="65"/>
      <c r="FP2" s="87">
        <f t="shared" ref="FP2" ca="1" si="50">FP4-(COLUMN()/10000)</f>
        <v>1382.9828</v>
      </c>
      <c r="FQ2" s="87"/>
      <c r="FR2" s="65"/>
      <c r="FS2" s="87">
        <f t="shared" ref="FS2" ca="1" si="51">FS4-(COLUMN()/10000)</f>
        <v>1284.9825000000001</v>
      </c>
      <c r="FT2" s="87"/>
      <c r="FU2" s="65"/>
      <c r="FV2" s="87">
        <f t="shared" ref="FV2" ca="1" si="52">FV4-(COLUMN()/10000)</f>
        <v>1544.9821999999999</v>
      </c>
      <c r="FW2" s="87"/>
      <c r="FX2" s="65"/>
      <c r="FY2" s="87">
        <f t="shared" ref="FY2" ca="1" si="53">FY4-(COLUMN()/10000)</f>
        <v>1244.9819</v>
      </c>
      <c r="FZ2" s="87"/>
      <c r="GA2" s="65"/>
      <c r="GB2" s="87">
        <f t="shared" ref="GB2" ca="1" si="54">GB4-(COLUMN()/10000)</f>
        <v>1371.9816000000001</v>
      </c>
      <c r="GC2" s="87"/>
      <c r="GD2" s="65"/>
      <c r="GE2" s="87">
        <f t="shared" ref="GE2" ca="1" si="55">GE4-(COLUMN()/10000)</f>
        <v>1426.9812999999999</v>
      </c>
      <c r="GF2" s="87"/>
      <c r="GG2" s="65"/>
      <c r="GH2" s="87">
        <f t="shared" ref="GH2" ca="1" si="56">GH4-(COLUMN()/10000)</f>
        <v>1247.981</v>
      </c>
      <c r="GI2" s="87"/>
      <c r="GJ2" s="65"/>
      <c r="GK2" s="87">
        <f t="shared" ref="GK2" ca="1" si="57">GK4-(COLUMN()/10000)</f>
        <v>1192.9807000000001</v>
      </c>
      <c r="GL2" s="87"/>
      <c r="GM2" s="65"/>
      <c r="GN2" s="87">
        <f t="shared" ref="GN2" ca="1" si="58">GN4-(COLUMN()/10000)</f>
        <v>-1.9599999999999999E-2</v>
      </c>
      <c r="GO2" s="87"/>
      <c r="GP2" s="65"/>
      <c r="GQ2" s="87">
        <f t="shared" ref="GQ2" ca="1" si="59">GQ4-(COLUMN()/10000)</f>
        <v>-1.9900000000000001E-2</v>
      </c>
      <c r="GR2" s="87"/>
      <c r="GS2" s="65"/>
      <c r="GT2" s="87">
        <f t="shared" ref="GT2" ca="1" si="60">GT4-(COLUMN()/10000)</f>
        <v>-2.0199999999999999E-2</v>
      </c>
      <c r="GU2" s="87"/>
      <c r="GV2" s="65"/>
      <c r="GW2" s="87">
        <f t="shared" ref="GW2" ca="1" si="61">GW4-(COLUMN()/10000)</f>
        <v>-2.0500000000000001E-2</v>
      </c>
      <c r="GX2" s="87"/>
      <c r="GY2" s="65"/>
      <c r="GZ2" s="87">
        <f t="shared" ref="GZ2" ca="1" si="62">GZ4-(COLUMN()/10000)</f>
        <v>-2.0799999999999999E-2</v>
      </c>
      <c r="HA2" s="87"/>
      <c r="HB2" s="65"/>
      <c r="HC2" s="87">
        <f t="shared" ref="HC2" ca="1" si="63">HC4-(COLUMN()/10000)</f>
        <v>-2.1100000000000001E-2</v>
      </c>
      <c r="HD2" s="87"/>
      <c r="HE2" s="65"/>
      <c r="HF2" s="87">
        <f t="shared" ref="HF2" ca="1" si="64">HF4-(COLUMN()/10000)</f>
        <v>-2.1399999999999999E-2</v>
      </c>
      <c r="HG2" s="87"/>
      <c r="HH2" s="65"/>
      <c r="HI2" s="87">
        <f t="shared" ref="HI2" ca="1" si="65">HI4-(COLUMN()/10000)</f>
        <v>-2.1700000000000001E-2</v>
      </c>
      <c r="HJ2" s="87"/>
      <c r="HK2" s="65"/>
      <c r="HL2" s="87">
        <f t="shared" ref="HL2" ca="1" si="66">HL4-(COLUMN()/10000)</f>
        <v>-2.1999999999999999E-2</v>
      </c>
      <c r="HM2" s="87"/>
      <c r="HN2" s="65"/>
      <c r="HO2" s="87">
        <f t="shared" ref="HO2" ca="1" si="67">HO4-(COLUMN()/10000)</f>
        <v>-2.23E-2</v>
      </c>
      <c r="HP2" s="87"/>
      <c r="HQ2" s="65"/>
      <c r="HR2" s="87">
        <f t="shared" ref="HR2" ca="1" si="68">HR4-(COLUMN()/10000)</f>
        <v>-2.2599999999999999E-2</v>
      </c>
      <c r="HS2" s="87"/>
      <c r="HT2" s="65"/>
      <c r="HU2" s="87">
        <f t="shared" ref="HU2" ca="1" si="69">HU4-(COLUMN()/10000)</f>
        <v>-2.29E-2</v>
      </c>
      <c r="HV2" s="87"/>
      <c r="HW2" s="65"/>
      <c r="HX2" s="87">
        <f t="shared" ref="HX2" ca="1" si="70">HX4-(COLUMN()/10000)</f>
        <v>-2.3199999999999998E-2</v>
      </c>
      <c r="HY2" s="87"/>
      <c r="HZ2" s="65"/>
      <c r="IA2" s="87">
        <f t="shared" ref="IA2" ca="1" si="71">IA4-(COLUMN()/10000)</f>
        <v>-2.35E-2</v>
      </c>
      <c r="IB2" s="87"/>
      <c r="IC2" s="65"/>
      <c r="ID2" s="87">
        <f t="shared" ref="ID2" ca="1" si="72">ID4-(COLUMN()/10000)</f>
        <v>-2.3800000000000002E-2</v>
      </c>
      <c r="IE2" s="87"/>
      <c r="IF2" s="65"/>
      <c r="IG2" s="87">
        <f t="shared" ref="IG2" ca="1" si="73">IG4-(COLUMN()/10000)</f>
        <v>-2.41E-2</v>
      </c>
      <c r="IH2" s="87"/>
      <c r="II2" s="65"/>
      <c r="IJ2" s="87">
        <f t="shared" ref="IJ2" ca="1" si="74">IJ4-(COLUMN()/10000)</f>
        <v>-2.4400000000000002E-2</v>
      </c>
      <c r="IK2" s="87"/>
      <c r="IL2" s="65"/>
      <c r="IM2" s="87">
        <f t="shared" ref="IM2" ca="1" si="75">IM4-(COLUMN()/10000)</f>
        <v>-2.47E-2</v>
      </c>
      <c r="IN2" s="87"/>
      <c r="IO2" s="65"/>
      <c r="IP2" s="87">
        <f t="shared" ref="IP2" ca="1" si="76">IP4-(COLUMN()/10000)</f>
        <v>-2.5000000000000001E-2</v>
      </c>
      <c r="IQ2" s="87"/>
      <c r="IR2" s="65"/>
      <c r="IS2" s="87">
        <f t="shared" ref="IS2" ca="1" si="77">IS4-(COLUMN()/10000)</f>
        <v>-2.53E-2</v>
      </c>
      <c r="IT2" s="87"/>
      <c r="IU2" s="65"/>
      <c r="IV2" s="87">
        <f t="shared" ref="IV2" ca="1" si="78">IV4-(COLUMN()/10000)</f>
        <v>-2.5600000000000001E-2</v>
      </c>
      <c r="IW2" s="87"/>
      <c r="IX2" s="65"/>
      <c r="IY2" s="87">
        <f t="shared" ref="IY2" ca="1" si="79">IY4-(COLUMN()/10000)</f>
        <v>-2.5899999999999999E-2</v>
      </c>
      <c r="IZ2" s="87"/>
      <c r="JA2" s="65"/>
      <c r="JB2" s="87">
        <f t="shared" ref="JB2" ca="1" si="80">JB4-(COLUMN()/10000)</f>
        <v>-2.6200000000000001E-2</v>
      </c>
      <c r="JC2" s="87"/>
      <c r="JD2" s="65"/>
      <c r="JE2" s="87">
        <f t="shared" ref="JE2" ca="1" si="81">JE4-(COLUMN()/10000)</f>
        <v>-2.6499999999999999E-2</v>
      </c>
      <c r="JF2" s="87"/>
      <c r="JG2" s="65"/>
      <c r="JH2" s="87">
        <f t="shared" ref="JH2" ca="1" si="82">JH4-(COLUMN()/10000)</f>
        <v>-2.6800000000000001E-2</v>
      </c>
      <c r="JI2" s="87"/>
      <c r="JJ2" s="65"/>
      <c r="JK2" s="87">
        <f t="shared" ref="JK2" ca="1" si="83">JK4-(COLUMN()/10000)</f>
        <v>-2.7099999999999999E-2</v>
      </c>
      <c r="JL2" s="87"/>
      <c r="JM2" s="65"/>
      <c r="JN2" s="87">
        <f t="shared" ref="JN2" ca="1" si="84">JN4-(COLUMN()/10000)</f>
        <v>-2.7400000000000001E-2</v>
      </c>
      <c r="JO2" s="87"/>
      <c r="JP2" s="65"/>
      <c r="JQ2" s="87">
        <f t="shared" ref="JQ2" ca="1" si="85">JQ4-(COLUMN()/10000)</f>
        <v>-2.7699999999999999E-2</v>
      </c>
      <c r="JR2" s="87"/>
      <c r="JS2" s="65"/>
      <c r="JT2" s="87">
        <f t="shared" ref="JT2" ca="1" si="86">JT4-(COLUMN()/10000)</f>
        <v>-2.8000000000000001E-2</v>
      </c>
      <c r="JU2" s="87"/>
      <c r="JV2" s="65"/>
      <c r="JW2" s="87">
        <f t="shared" ref="JW2" ca="1" si="87">JW4-(COLUMN()/10000)</f>
        <v>-2.8299999999999999E-2</v>
      </c>
      <c r="JX2" s="87"/>
      <c r="JY2" s="65"/>
      <c r="JZ2" s="87">
        <f t="shared" ref="JZ2" ca="1" si="88">JZ4-(COLUMN()/10000)</f>
        <v>-2.86E-2</v>
      </c>
      <c r="KA2" s="87"/>
      <c r="KB2" s="65"/>
      <c r="KC2" s="87">
        <f t="shared" ref="KC2" ca="1" si="89">KC4-(COLUMN()/10000)</f>
        <v>-2.8899999999999999E-2</v>
      </c>
      <c r="KD2" s="87"/>
      <c r="KE2" s="65"/>
      <c r="KF2" s="87">
        <f t="shared" ref="KF2" ca="1" si="90">KF4-(COLUMN()/10000)</f>
        <v>-2.92E-2</v>
      </c>
      <c r="KG2" s="87"/>
      <c r="KH2" s="65"/>
      <c r="KI2" s="87">
        <f t="shared" ref="KI2" ca="1" si="91">KI4-(COLUMN()/10000)</f>
        <v>-2.9499999999999998E-2</v>
      </c>
      <c r="KJ2" s="87"/>
      <c r="KK2" s="65"/>
      <c r="KL2" s="87">
        <f t="shared" ref="KL2" ca="1" si="92">KL4-(COLUMN()/10000)</f>
        <v>-2.98E-2</v>
      </c>
      <c r="KM2" s="87"/>
      <c r="KN2" s="65"/>
      <c r="KO2" s="87">
        <f t="shared" ref="KO2" ca="1" si="93">KO4-(COLUMN()/10000)</f>
        <v>-3.0099999999999998E-2</v>
      </c>
      <c r="KP2" s="87"/>
      <c r="KQ2" s="65"/>
      <c r="KR2" s="87">
        <f t="shared" ref="KR2" ca="1" si="94">KR4-(COLUMN()/10000)</f>
        <v>-3.04E-2</v>
      </c>
      <c r="KS2" s="87"/>
      <c r="KT2" s="65"/>
      <c r="KU2" s="87">
        <f t="shared" ref="KU2" ca="1" si="95">KU4-(COLUMN()/10000)</f>
        <v>-3.0700000000000002E-2</v>
      </c>
      <c r="KV2" s="87"/>
      <c r="KW2" s="65"/>
      <c r="KX2" s="87">
        <f t="shared" ref="KX2" ca="1" si="96">KX4-(COLUMN()/10000)</f>
        <v>-3.1E-2</v>
      </c>
      <c r="KY2" s="87"/>
      <c r="KZ2" s="65"/>
      <c r="LA2" s="87">
        <f t="shared" ref="LA2" ca="1" si="97">LA4-(COLUMN()/10000)</f>
        <v>-3.1300000000000001E-2</v>
      </c>
      <c r="LB2" s="87"/>
      <c r="LC2" s="65"/>
      <c r="LD2" s="87">
        <f t="shared" ref="LD2" ca="1" si="98">LD4-(COLUMN()/10000)</f>
        <v>-3.1600000000000003E-2</v>
      </c>
      <c r="LE2" s="87"/>
      <c r="LF2" s="65"/>
      <c r="LG2" s="111"/>
    </row>
    <row r="3" spans="1:319" s="20" customFormat="1">
      <c r="A3" s="65"/>
      <c r="B3" s="65"/>
      <c r="C3" s="65"/>
      <c r="D3" s="65"/>
      <c r="E3" s="111"/>
      <c r="F3" s="729"/>
      <c r="G3" s="49"/>
      <c r="H3" s="49"/>
      <c r="I3" s="65"/>
      <c r="J3" s="93"/>
      <c r="K3" s="87"/>
      <c r="L3" s="65"/>
      <c r="M3" s="87"/>
      <c r="N3" s="25"/>
      <c r="O3" s="25"/>
      <c r="P3" s="25"/>
      <c r="Q3" s="25"/>
      <c r="R3" s="49"/>
      <c r="S3" s="87">
        <f ca="1">RANK(S4,OFFSET($S$4,0,0,1,$D$5*3),0)</f>
        <v>55</v>
      </c>
      <c r="T3" s="87"/>
      <c r="U3" s="65"/>
      <c r="V3" s="87">
        <f ca="1">RANK(V4,OFFSET($S$4,0,0,1,$D$5*3),0)</f>
        <v>29</v>
      </c>
      <c r="W3" s="87"/>
      <c r="X3" s="65"/>
      <c r="Y3" s="87">
        <f ca="1">RANK(Y4,OFFSET($S$4,0,0,1,$D$5*3),0)</f>
        <v>37</v>
      </c>
      <c r="Z3" s="87"/>
      <c r="AA3" s="65"/>
      <c r="AB3" s="87">
        <f ca="1">RANK(AB4,OFFSET($S$4,0,0,1,$D$5*3),0)</f>
        <v>12</v>
      </c>
      <c r="AC3" s="87"/>
      <c r="AD3" s="65"/>
      <c r="AE3" s="87">
        <f ca="1">RANK(AE4,OFFSET($S$4,0,0,1,$D$5*3),0)</f>
        <v>20</v>
      </c>
      <c r="AF3" s="87"/>
      <c r="AG3" s="65"/>
      <c r="AH3" s="87">
        <f ca="1">RANK(AH4,OFFSET($S$4,0,0,1,$D$5*3),0)</f>
        <v>33</v>
      </c>
      <c r="AI3" s="87"/>
      <c r="AJ3" s="65"/>
      <c r="AK3" s="87">
        <f ca="1">RANK(AK4,OFFSET($S$4,0,0,1,$D$5*3),0)</f>
        <v>46</v>
      </c>
      <c r="AL3" s="87"/>
      <c r="AM3" s="65"/>
      <c r="AN3" s="87">
        <f ca="1">RANK(AN4,OFFSET($S$4,0,0,1,$D$5*3),0)</f>
        <v>59</v>
      </c>
      <c r="AO3" s="87"/>
      <c r="AP3" s="65"/>
      <c r="AQ3" s="87">
        <f ca="1">RANK(AQ4,OFFSET($S$4,0,0,1,$D$5*3),0)</f>
        <v>48</v>
      </c>
      <c r="AR3" s="87"/>
      <c r="AS3" s="65"/>
      <c r="AT3" s="87">
        <f ca="1">RANK(AT4,OFFSET($S$4,0,0,1,$D$5*3),0)</f>
        <v>52</v>
      </c>
      <c r="AU3" s="87"/>
      <c r="AV3" s="65"/>
      <c r="AW3" s="87">
        <f ca="1">RANK(AW4,OFFSET($S$4,0,0,1,$D$5*3),0)</f>
        <v>50</v>
      </c>
      <c r="AX3" s="87"/>
      <c r="AY3" s="65"/>
      <c r="AZ3" s="87">
        <f ca="1">RANK(AZ4,OFFSET($S$4,0,0,1,$D$5*3),0)</f>
        <v>11</v>
      </c>
      <c r="BA3" s="87"/>
      <c r="BB3" s="65"/>
      <c r="BC3" s="87">
        <f ca="1">RANK(BC4,OFFSET($S$4,0,0,1,$D$5*3),0)</f>
        <v>43</v>
      </c>
      <c r="BD3" s="87"/>
      <c r="BE3" s="65"/>
      <c r="BF3" s="87">
        <f ca="1">RANK(BF4,OFFSET($S$4,0,0,1,$D$5*3),0)</f>
        <v>44</v>
      </c>
      <c r="BG3" s="87"/>
      <c r="BH3" s="65"/>
      <c r="BI3" s="87">
        <f ca="1">RANK(BI4,OFFSET($S$4,0,0,1,$D$5*3),0)</f>
        <v>42</v>
      </c>
      <c r="BJ3" s="87"/>
      <c r="BK3" s="65"/>
      <c r="BL3" s="87">
        <f ca="1">RANK(BL4,OFFSET($S$4,0,0,1,$D$5*3),0)</f>
        <v>1</v>
      </c>
      <c r="BM3" s="87"/>
      <c r="BN3" s="65"/>
      <c r="BO3" s="87">
        <f ca="1">RANK(BO4,OFFSET($S$4,0,0,1,$D$5*3),0)</f>
        <v>4</v>
      </c>
      <c r="BP3" s="87"/>
      <c r="BQ3" s="65"/>
      <c r="BR3" s="87">
        <f ca="1">RANK(BR4,OFFSET($S$4,0,0,1,$D$5*3),0)</f>
        <v>51</v>
      </c>
      <c r="BS3" s="87"/>
      <c r="BT3" s="65"/>
      <c r="BU3" s="87">
        <f ca="1">RANK(BU4,OFFSET($S$4,0,0,1,$D$5*3),0)</f>
        <v>19</v>
      </c>
      <c r="BV3" s="87"/>
      <c r="BW3" s="65"/>
      <c r="BX3" s="87">
        <f ca="1">RANK(BX4,OFFSET($S$4,0,0,1,$D$5*3),0)</f>
        <v>30</v>
      </c>
      <c r="BY3" s="87"/>
      <c r="BZ3" s="65"/>
      <c r="CA3" s="87">
        <f ca="1">RANK(CA4,OFFSET($S$4,0,0,1,$D$5*3),0)</f>
        <v>9</v>
      </c>
      <c r="CB3" s="87"/>
      <c r="CC3" s="65"/>
      <c r="CD3" s="87">
        <f ca="1">RANK(CD4,OFFSET($S$4,0,0,1,$D$5*3),0)</f>
        <v>54</v>
      </c>
      <c r="CE3" s="87"/>
      <c r="CF3" s="65"/>
      <c r="CG3" s="87">
        <f ca="1">RANK(CG4,OFFSET($S$4,0,0,1,$D$5*3),0)</f>
        <v>10</v>
      </c>
      <c r="CH3" s="87"/>
      <c r="CI3" s="65"/>
      <c r="CJ3" s="87">
        <f ca="1">RANK(CJ4,OFFSET($S$4,0,0,1,$D$5*3),0)</f>
        <v>35</v>
      </c>
      <c r="CK3" s="87"/>
      <c r="CL3" s="65"/>
      <c r="CM3" s="87">
        <f ca="1">RANK(CM4,OFFSET($S$4,0,0,1,$D$5*3),0)</f>
        <v>13</v>
      </c>
      <c r="CN3" s="87"/>
      <c r="CO3" s="65"/>
      <c r="CP3" s="87">
        <f ca="1">RANK(CP4,OFFSET($S$4,0,0,1,$D$5*3),0)</f>
        <v>15</v>
      </c>
      <c r="CQ3" s="87"/>
      <c r="CR3" s="65"/>
      <c r="CS3" s="87">
        <f ca="1">RANK(CS4,OFFSET($S$4,0,0,1,$D$5*3),0)</f>
        <v>57</v>
      </c>
      <c r="CT3" s="87"/>
      <c r="CU3" s="65"/>
      <c r="CV3" s="87">
        <f ca="1">RANK(CV4,OFFSET($S$4,0,0,1,$D$5*3),0)</f>
        <v>53</v>
      </c>
      <c r="CW3" s="87"/>
      <c r="CX3" s="65"/>
      <c r="CY3" s="87">
        <f ca="1">RANK(CY4,OFFSET($S$4,0,0,1,$D$5*3),0)</f>
        <v>58</v>
      </c>
      <c r="CZ3" s="87"/>
      <c r="DA3" s="65"/>
      <c r="DB3" s="87">
        <f ca="1">RANK(DB4,OFFSET($S$4,0,0,1,$D$5*3),0)</f>
        <v>16</v>
      </c>
      <c r="DC3" s="87"/>
      <c r="DD3" s="65"/>
      <c r="DE3" s="87">
        <f ca="1">RANK(DE4,OFFSET($S$4,0,0,1,$D$5*3),0)</f>
        <v>22</v>
      </c>
      <c r="DF3" s="87"/>
      <c r="DG3" s="65"/>
      <c r="DH3" s="87">
        <f ca="1">RANK(DH4,OFFSET($S$4,0,0,1,$D$5*3),0)</f>
        <v>36</v>
      </c>
      <c r="DI3" s="87"/>
      <c r="DJ3" s="65"/>
      <c r="DK3" s="87">
        <f ca="1">RANK(DK4,OFFSET($S$4,0,0,1,$D$5*3),0)</f>
        <v>6</v>
      </c>
      <c r="DL3" s="87"/>
      <c r="DM3" s="65"/>
      <c r="DN3" s="87">
        <f ca="1">RANK(DN4,OFFSET($S$4,0,0,1,$D$5*3),0)</f>
        <v>31</v>
      </c>
      <c r="DO3" s="87"/>
      <c r="DP3" s="65"/>
      <c r="DQ3" s="87">
        <f ca="1">RANK(DQ4,OFFSET($S$4,0,0,1,$D$5*3),0)</f>
        <v>41</v>
      </c>
      <c r="DR3" s="87"/>
      <c r="DS3" s="65"/>
      <c r="DT3" s="87">
        <f ca="1">RANK(DT4,OFFSET($S$4,0,0,1,$D$5*3),0)</f>
        <v>40</v>
      </c>
      <c r="DU3" s="87"/>
      <c r="DV3" s="65"/>
      <c r="DW3" s="87">
        <f ca="1">RANK(DW4,OFFSET($S$4,0,0,1,$D$5*3),0)</f>
        <v>26</v>
      </c>
      <c r="DX3" s="87"/>
      <c r="DY3" s="65"/>
      <c r="DZ3" s="87">
        <f ca="1">RANK(DZ4,OFFSET($S$4,0,0,1,$D$5*3),0)</f>
        <v>28</v>
      </c>
      <c r="EA3" s="87"/>
      <c r="EB3" s="65"/>
      <c r="EC3" s="87">
        <f ca="1">RANK(EC4,OFFSET($S$4,0,0,1,$D$5*3),0)</f>
        <v>2</v>
      </c>
      <c r="ED3" s="87"/>
      <c r="EE3" s="65"/>
      <c r="EF3" s="87">
        <f ca="1">RANK(EF4,OFFSET($S$4,0,0,1,$D$5*3),0)</f>
        <v>56</v>
      </c>
      <c r="EG3" s="87"/>
      <c r="EH3" s="65"/>
      <c r="EI3" s="87">
        <f ca="1">RANK(EI4,OFFSET($S$4,0,0,1,$D$5*3),0)</f>
        <v>3</v>
      </c>
      <c r="EJ3" s="87"/>
      <c r="EK3" s="65"/>
      <c r="EL3" s="87">
        <f ca="1">RANK(EL4,OFFSET($S$4,0,0,1,$D$5*3),0)</f>
        <v>5</v>
      </c>
      <c r="EM3" s="87"/>
      <c r="EN3" s="65"/>
      <c r="EO3" s="87">
        <f ca="1">RANK(EO4,OFFSET($S$4,0,0,1,$D$5*3),0)</f>
        <v>17</v>
      </c>
      <c r="EP3" s="87"/>
      <c r="EQ3" s="65"/>
      <c r="ER3" s="87">
        <f ca="1">RANK(ER4,OFFSET($S$4,0,0,1,$D$5*3),0)</f>
        <v>7</v>
      </c>
      <c r="ES3" s="87"/>
      <c r="ET3" s="65"/>
      <c r="EU3" s="87">
        <f ca="1">RANK(EU4,OFFSET($S$4,0,0,1,$D$5*3),0)</f>
        <v>34</v>
      </c>
      <c r="EV3" s="87"/>
      <c r="EW3" s="65"/>
      <c r="EX3" s="87">
        <f ca="1">RANK(EX4,OFFSET($S$4,0,0,1,$D$5*3),0)</f>
        <v>20</v>
      </c>
      <c r="EY3" s="87"/>
      <c r="EZ3" s="65"/>
      <c r="FA3" s="87">
        <f ca="1">RANK(FA4,OFFSET($S$4,0,0,1,$D$5*3),0)</f>
        <v>49</v>
      </c>
      <c r="FB3" s="87"/>
      <c r="FC3" s="65"/>
      <c r="FD3" s="87">
        <f ca="1">RANK(FD4,OFFSET($S$4,0,0,1,$D$5*3),0)</f>
        <v>47</v>
      </c>
      <c r="FE3" s="87"/>
      <c r="FF3" s="65"/>
      <c r="FG3" s="87">
        <f ca="1">RANK(FG4,OFFSET($S$4,0,0,1,$D$5*3),0)</f>
        <v>27</v>
      </c>
      <c r="FH3" s="87"/>
      <c r="FI3" s="65"/>
      <c r="FJ3" s="87">
        <f ca="1">RANK(FJ4,OFFSET($S$4,0,0,1,$D$5*3),0)</f>
        <v>14</v>
      </c>
      <c r="FK3" s="87"/>
      <c r="FL3" s="65"/>
      <c r="FM3" s="87">
        <f ca="1">RANK(FM4,OFFSET($S$4,0,0,1,$D$5*3),0)</f>
        <v>25</v>
      </c>
      <c r="FN3" s="87"/>
      <c r="FO3" s="65"/>
      <c r="FP3" s="87">
        <f ca="1">RANK(FP4,OFFSET($S$4,0,0,1,$D$5*3),0)</f>
        <v>23</v>
      </c>
      <c r="FQ3" s="87"/>
      <c r="FR3" s="65"/>
      <c r="FS3" s="87">
        <f ca="1">RANK(FS4,OFFSET($S$4,0,0,1,$D$5*3),0)</f>
        <v>32</v>
      </c>
      <c r="FT3" s="87"/>
      <c r="FU3" s="65"/>
      <c r="FV3" s="87">
        <f ca="1">RANK(FV4,OFFSET($S$4,0,0,1,$D$5*3),0)</f>
        <v>8</v>
      </c>
      <c r="FW3" s="87"/>
      <c r="FX3" s="65"/>
      <c r="FY3" s="87">
        <f ca="1">RANK(FY4,OFFSET($S$4,0,0,1,$D$5*3),0)</f>
        <v>39</v>
      </c>
      <c r="FZ3" s="87"/>
      <c r="GA3" s="65"/>
      <c r="GB3" s="87">
        <f ca="1">RANK(GB4,OFFSET($S$4,0,0,1,$D$5*3),0)</f>
        <v>24</v>
      </c>
      <c r="GC3" s="87"/>
      <c r="GD3" s="65"/>
      <c r="GE3" s="87">
        <f ca="1">RANK(GE4,OFFSET($S$4,0,0,1,$D$5*3),0)</f>
        <v>18</v>
      </c>
      <c r="GF3" s="87"/>
      <c r="GG3" s="65"/>
      <c r="GH3" s="87">
        <f ca="1">RANK(GH4,OFFSET($S$4,0,0,1,$D$5*3),0)</f>
        <v>38</v>
      </c>
      <c r="GI3" s="87"/>
      <c r="GJ3" s="65"/>
      <c r="GK3" s="87">
        <f ca="1">RANK(GK4,OFFSET($S$4,0,0,1,$D$5*3),0)</f>
        <v>45</v>
      </c>
      <c r="GL3" s="87"/>
      <c r="GM3" s="65"/>
      <c r="GN3" s="87" t="e">
        <f ca="1">RANK(GN4,OFFSET($S$4,0,0,1,$D$5*3),0)</f>
        <v>#N/A</v>
      </c>
      <c r="GO3" s="87"/>
      <c r="GP3" s="65"/>
      <c r="GQ3" s="87" t="e">
        <f ca="1">RANK(GQ4,OFFSET($S$4,0,0,1,$D$5*3),0)</f>
        <v>#N/A</v>
      </c>
      <c r="GR3" s="87"/>
      <c r="GS3" s="65"/>
      <c r="GT3" s="87" t="e">
        <f ca="1">RANK(GT4,OFFSET($S$4,0,0,1,$D$5*3),0)</f>
        <v>#N/A</v>
      </c>
      <c r="GU3" s="87"/>
      <c r="GV3" s="65"/>
      <c r="GW3" s="87" t="e">
        <f ca="1">RANK(GW4,OFFSET($S$4,0,0,1,$D$5*3),0)</f>
        <v>#N/A</v>
      </c>
      <c r="GX3" s="87"/>
      <c r="GY3" s="65"/>
      <c r="GZ3" s="87" t="e">
        <f ca="1">RANK(GZ4,OFFSET($S$4,0,0,1,$D$5*3),0)</f>
        <v>#N/A</v>
      </c>
      <c r="HA3" s="87"/>
      <c r="HB3" s="65"/>
      <c r="HC3" s="87" t="e">
        <f ca="1">RANK(HC4,OFFSET($S$4,0,0,1,$D$5*3),0)</f>
        <v>#N/A</v>
      </c>
      <c r="HD3" s="87"/>
      <c r="HE3" s="65"/>
      <c r="HF3" s="87" t="e">
        <f ca="1">RANK(HF4,OFFSET($S$4,0,0,1,$D$5*3),0)</f>
        <v>#N/A</v>
      </c>
      <c r="HG3" s="87"/>
      <c r="HH3" s="65"/>
      <c r="HI3" s="87" t="e">
        <f ca="1">RANK(HI4,OFFSET($S$4,0,0,1,$D$5*3),0)</f>
        <v>#N/A</v>
      </c>
      <c r="HJ3" s="87"/>
      <c r="HK3" s="65"/>
      <c r="HL3" s="87" t="e">
        <f ca="1">RANK(HL4,OFFSET($S$4,0,0,1,$D$5*3),0)</f>
        <v>#N/A</v>
      </c>
      <c r="HM3" s="87"/>
      <c r="HN3" s="65"/>
      <c r="HO3" s="87" t="e">
        <f ca="1">RANK(HO4,OFFSET($S$4,0,0,1,$D$5*3),0)</f>
        <v>#N/A</v>
      </c>
      <c r="HP3" s="87"/>
      <c r="HQ3" s="65"/>
      <c r="HR3" s="87" t="e">
        <f ca="1">RANK(HR4,OFFSET($S$4,0,0,1,$D$5*3),0)</f>
        <v>#N/A</v>
      </c>
      <c r="HS3" s="87"/>
      <c r="HT3" s="65"/>
      <c r="HU3" s="87" t="e">
        <f ca="1">RANK(HU4,OFFSET($S$4,0,0,1,$D$5*3),0)</f>
        <v>#N/A</v>
      </c>
      <c r="HV3" s="87"/>
      <c r="HW3" s="65"/>
      <c r="HX3" s="87" t="e">
        <f ca="1">RANK(HX4,OFFSET($S$4,0,0,1,$D$5*3),0)</f>
        <v>#N/A</v>
      </c>
      <c r="HY3" s="87"/>
      <c r="HZ3" s="65"/>
      <c r="IA3" s="87" t="e">
        <f ca="1">RANK(IA4,OFFSET($S$4,0,0,1,$D$5*3),0)</f>
        <v>#N/A</v>
      </c>
      <c r="IB3" s="87"/>
      <c r="IC3" s="65"/>
      <c r="ID3" s="87" t="e">
        <f ca="1">RANK(ID4,OFFSET($S$4,0,0,1,$D$5*3),0)</f>
        <v>#N/A</v>
      </c>
      <c r="IE3" s="87"/>
      <c r="IF3" s="65"/>
      <c r="IG3" s="87" t="e">
        <f ca="1">RANK(IG4,OFFSET($S$4,0,0,1,$D$5*3),0)</f>
        <v>#N/A</v>
      </c>
      <c r="IH3" s="87"/>
      <c r="II3" s="65"/>
      <c r="IJ3" s="87" t="e">
        <f ca="1">RANK(IJ4,OFFSET($S$4,0,0,1,$D$5*3),0)</f>
        <v>#N/A</v>
      </c>
      <c r="IK3" s="87"/>
      <c r="IL3" s="65"/>
      <c r="IM3" s="87" t="e">
        <f ca="1">RANK(IM4,OFFSET($S$4,0,0,1,$D$5*3),0)</f>
        <v>#N/A</v>
      </c>
      <c r="IN3" s="87"/>
      <c r="IO3" s="65"/>
      <c r="IP3" s="87" t="e">
        <f ca="1">RANK(IP4,OFFSET($S$4,0,0,1,$D$5*3),0)</f>
        <v>#N/A</v>
      </c>
      <c r="IQ3" s="87"/>
      <c r="IR3" s="65"/>
      <c r="IS3" s="87" t="e">
        <f ca="1">RANK(IS4,OFFSET($S$4,0,0,1,$D$5*3),0)</f>
        <v>#N/A</v>
      </c>
      <c r="IT3" s="87"/>
      <c r="IU3" s="65"/>
      <c r="IV3" s="87" t="e">
        <f ca="1">RANK(IV4,OFFSET($S$4,0,0,1,$D$5*3),0)</f>
        <v>#N/A</v>
      </c>
      <c r="IW3" s="87"/>
      <c r="IX3" s="65"/>
      <c r="IY3" s="87" t="e">
        <f ca="1">RANK(IY4,OFFSET($S$4,0,0,1,$D$5*3),0)</f>
        <v>#N/A</v>
      </c>
      <c r="IZ3" s="87"/>
      <c r="JA3" s="65"/>
      <c r="JB3" s="87" t="e">
        <f ca="1">RANK(JB4,OFFSET($S$4,0,0,1,$D$5*3),0)</f>
        <v>#N/A</v>
      </c>
      <c r="JC3" s="87"/>
      <c r="JD3" s="65"/>
      <c r="JE3" s="87" t="e">
        <f ca="1">RANK(JE4,OFFSET($S$4,0,0,1,$D$5*3),0)</f>
        <v>#N/A</v>
      </c>
      <c r="JF3" s="87"/>
      <c r="JG3" s="65"/>
      <c r="JH3" s="87" t="e">
        <f ca="1">RANK(JH4,OFFSET($S$4,0,0,1,$D$5*3),0)</f>
        <v>#N/A</v>
      </c>
      <c r="JI3" s="87"/>
      <c r="JJ3" s="65"/>
      <c r="JK3" s="87" t="e">
        <f ca="1">RANK(JK4,OFFSET($S$4,0,0,1,$D$5*3),0)</f>
        <v>#N/A</v>
      </c>
      <c r="JL3" s="87"/>
      <c r="JM3" s="65"/>
      <c r="JN3" s="87" t="e">
        <f ca="1">RANK(JN4,OFFSET($S$4,0,0,1,$D$5*3),0)</f>
        <v>#N/A</v>
      </c>
      <c r="JO3" s="87"/>
      <c r="JP3" s="65"/>
      <c r="JQ3" s="87" t="e">
        <f ca="1">RANK(JQ4,OFFSET($S$4,0,0,1,$D$5*3),0)</f>
        <v>#N/A</v>
      </c>
      <c r="JR3" s="87"/>
      <c r="JS3" s="65"/>
      <c r="JT3" s="87" t="e">
        <f ca="1">RANK(JT4,OFFSET($S$4,0,0,1,$D$5*3),0)</f>
        <v>#N/A</v>
      </c>
      <c r="JU3" s="87"/>
      <c r="JV3" s="65"/>
      <c r="JW3" s="87" t="e">
        <f ca="1">RANK(JW4,OFFSET($S$4,0,0,1,$D$5*3),0)</f>
        <v>#N/A</v>
      </c>
      <c r="JX3" s="87"/>
      <c r="JY3" s="65"/>
      <c r="JZ3" s="87" t="e">
        <f ca="1">RANK(JZ4,OFFSET($S$4,0,0,1,$D$5*3),0)</f>
        <v>#N/A</v>
      </c>
      <c r="KA3" s="87"/>
      <c r="KB3" s="65"/>
      <c r="KC3" s="87" t="e">
        <f ca="1">RANK(KC4,OFFSET($S$4,0,0,1,$D$5*3),0)</f>
        <v>#N/A</v>
      </c>
      <c r="KD3" s="87"/>
      <c r="KE3" s="65"/>
      <c r="KF3" s="87" t="e">
        <f ca="1">RANK(KF4,OFFSET($S$4,0,0,1,$D$5*3),0)</f>
        <v>#N/A</v>
      </c>
      <c r="KG3" s="87"/>
      <c r="KH3" s="65"/>
      <c r="KI3" s="87" t="e">
        <f ca="1">RANK(KI4,OFFSET($S$4,0,0,1,$D$5*3),0)</f>
        <v>#N/A</v>
      </c>
      <c r="KJ3" s="87"/>
      <c r="KK3" s="65"/>
      <c r="KL3" s="87" t="e">
        <f ca="1">RANK(KL4,OFFSET($S$4,0,0,1,$D$5*3),0)</f>
        <v>#N/A</v>
      </c>
      <c r="KM3" s="87"/>
      <c r="KN3" s="65"/>
      <c r="KO3" s="87" t="e">
        <f ca="1">RANK(KO4,OFFSET($S$4,0,0,1,$D$5*3),0)</f>
        <v>#N/A</v>
      </c>
      <c r="KP3" s="87"/>
      <c r="KQ3" s="65"/>
      <c r="KR3" s="87" t="e">
        <f ca="1">RANK(KR4,OFFSET($S$4,0,0,1,$D$5*3),0)</f>
        <v>#N/A</v>
      </c>
      <c r="KS3" s="87"/>
      <c r="KT3" s="65"/>
      <c r="KU3" s="87" t="e">
        <f ca="1">RANK(KU4,OFFSET($S$4,0,0,1,$D$5*3),0)</f>
        <v>#N/A</v>
      </c>
      <c r="KV3" s="87"/>
      <c r="KW3" s="65"/>
      <c r="KX3" s="87" t="e">
        <f ca="1">RANK(KX4,OFFSET($S$4,0,0,1,$D$5*3),0)</f>
        <v>#N/A</v>
      </c>
      <c r="KY3" s="87"/>
      <c r="KZ3" s="65"/>
      <c r="LA3" s="87" t="e">
        <f ca="1">RANK(LA4,OFFSET($S$4,0,0,1,$D$5*3),0)</f>
        <v>#N/A</v>
      </c>
      <c r="LB3" s="87"/>
      <c r="LC3" s="65"/>
      <c r="LD3" s="87" t="e">
        <f ca="1">RANK(LD4,OFFSET($S$4,0,0,1,$D$5*3),0)</f>
        <v>#N/A</v>
      </c>
      <c r="LE3" s="87"/>
      <c r="LF3" s="65"/>
      <c r="LG3" s="111"/>
    </row>
    <row r="4" spans="1:319" ht="15" customHeight="1" thickBot="1">
      <c r="A4" s="49"/>
      <c r="B4" s="49"/>
      <c r="C4" s="50"/>
      <c r="D4" s="49"/>
      <c r="E4" s="111"/>
      <c r="F4" s="729"/>
      <c r="G4" s="49"/>
      <c r="H4" s="49"/>
      <c r="I4" s="666"/>
      <c r="J4" s="93"/>
      <c r="K4" s="87"/>
      <c r="L4" s="65"/>
      <c r="M4" s="87"/>
      <c r="N4" s="25"/>
      <c r="O4" s="25"/>
      <c r="P4" s="25"/>
      <c r="Q4" s="25"/>
      <c r="R4" s="49"/>
      <c r="S4" s="67">
        <f ca="1">SUM(T6:T259)/2</f>
        <v>1029</v>
      </c>
      <c r="T4" s="68"/>
      <c r="U4" s="65"/>
      <c r="V4" s="67">
        <f ca="1">SUM(W6:W259)/2</f>
        <v>1318</v>
      </c>
      <c r="W4" s="68"/>
      <c r="X4" s="65"/>
      <c r="Y4" s="67">
        <f ca="1">SUM(Z6:Z259)/2</f>
        <v>1262</v>
      </c>
      <c r="Z4" s="68"/>
      <c r="AA4" s="65"/>
      <c r="AB4" s="67">
        <f ca="1">SUM(AC6:AC259)/2</f>
        <v>1490</v>
      </c>
      <c r="AC4" s="68"/>
      <c r="AD4" s="65"/>
      <c r="AE4" s="67">
        <f ca="1">SUM(AF6:AF259)/2</f>
        <v>1406</v>
      </c>
      <c r="AF4" s="68"/>
      <c r="AG4" s="65"/>
      <c r="AH4" s="67">
        <f ca="1">SUM(AI6:AI259)/2</f>
        <v>1284</v>
      </c>
      <c r="AI4" s="68"/>
      <c r="AJ4" s="65"/>
      <c r="AK4" s="67">
        <f ca="1">SUM(AL6:AL259)/2</f>
        <v>1192</v>
      </c>
      <c r="AL4" s="68"/>
      <c r="AM4" s="65"/>
      <c r="AN4" s="67">
        <f ca="1">SUM(AO6:AO259)/2</f>
        <v>741</v>
      </c>
      <c r="AO4" s="68"/>
      <c r="AP4" s="65"/>
      <c r="AQ4" s="67">
        <f ca="1">SUM(AR6:AR259)/2</f>
        <v>1155</v>
      </c>
      <c r="AR4" s="68"/>
      <c r="AS4" s="65"/>
      <c r="AT4" s="67">
        <f ca="1">SUM(AU6:AU259)/2</f>
        <v>1110</v>
      </c>
      <c r="AU4" s="68"/>
      <c r="AV4" s="65"/>
      <c r="AW4" s="67">
        <f ca="1">SUM(AX6:AX259)/2</f>
        <v>1148</v>
      </c>
      <c r="AX4" s="68"/>
      <c r="AY4" s="65"/>
      <c r="AZ4" s="67">
        <f ca="1">SUM(BA6:BA259)/2</f>
        <v>1508</v>
      </c>
      <c r="BA4" s="68"/>
      <c r="BB4" s="65"/>
      <c r="BC4" s="67">
        <f ca="1">SUM(BD6:BD259)/2</f>
        <v>1219</v>
      </c>
      <c r="BD4" s="68"/>
      <c r="BE4" s="65"/>
      <c r="BF4" s="67">
        <f ca="1">SUM(BG6:BG259)/2</f>
        <v>1210</v>
      </c>
      <c r="BG4" s="68"/>
      <c r="BH4" s="65"/>
      <c r="BI4" s="67">
        <f ca="1">SUM(BJ6:BJ259)/2</f>
        <v>1221</v>
      </c>
      <c r="BJ4" s="68"/>
      <c r="BK4" s="65"/>
      <c r="BL4" s="67">
        <f ca="1">SUM(BM6:BM259)/2</f>
        <v>1677</v>
      </c>
      <c r="BM4" s="68"/>
      <c r="BN4" s="65"/>
      <c r="BO4" s="67">
        <f ca="1">SUM(BP6:BP259)/2</f>
        <v>1585</v>
      </c>
      <c r="BP4" s="68"/>
      <c r="BQ4" s="65"/>
      <c r="BR4" s="67">
        <f ca="1">SUM(BS6:BS259)/2</f>
        <v>1137</v>
      </c>
      <c r="BS4" s="68"/>
      <c r="BT4" s="65"/>
      <c r="BU4" s="67">
        <f ca="1">SUM(BV6:BV259)/2</f>
        <v>1412</v>
      </c>
      <c r="BV4" s="68"/>
      <c r="BW4" s="65"/>
      <c r="BX4" s="67">
        <f ca="1">SUM(BY6:BY259)/2</f>
        <v>1292</v>
      </c>
      <c r="BY4" s="68"/>
      <c r="BZ4" s="65"/>
      <c r="CA4" s="67">
        <f ca="1">SUM(CB6:CB259)/2</f>
        <v>1536</v>
      </c>
      <c r="CB4" s="68"/>
      <c r="CC4" s="65"/>
      <c r="CD4" s="67">
        <f ca="1">SUM(CE6:CE259)/2</f>
        <v>1072</v>
      </c>
      <c r="CE4" s="68"/>
      <c r="CF4" s="65"/>
      <c r="CG4" s="67">
        <f ca="1">SUM(CH6:CH259)/2</f>
        <v>1526</v>
      </c>
      <c r="CH4" s="68"/>
      <c r="CI4" s="65"/>
      <c r="CJ4" s="67">
        <f ca="1">SUM(CK6:CK259)/2</f>
        <v>1267</v>
      </c>
      <c r="CK4" s="68"/>
      <c r="CL4" s="65"/>
      <c r="CM4" s="67">
        <f ca="1">SUM(CN6:CN259)/2</f>
        <v>1483</v>
      </c>
      <c r="CN4" s="68"/>
      <c r="CO4" s="65"/>
      <c r="CP4" s="67">
        <f ca="1">SUM(CQ6:CQ259)/2</f>
        <v>1478</v>
      </c>
      <c r="CQ4" s="68"/>
      <c r="CR4" s="65"/>
      <c r="CS4" s="67">
        <f ca="1">SUM(CT6:CT259)/2</f>
        <v>963</v>
      </c>
      <c r="CT4" s="68"/>
      <c r="CU4" s="65"/>
      <c r="CV4" s="67">
        <f ca="1">SUM(CW6:CW259)/2</f>
        <v>1081</v>
      </c>
      <c r="CW4" s="68"/>
      <c r="CX4" s="65"/>
      <c r="CY4" s="67">
        <f ca="1">SUM(CZ6:CZ259)/2</f>
        <v>955</v>
      </c>
      <c r="CZ4" s="68"/>
      <c r="DA4" s="65"/>
      <c r="DB4" s="67">
        <f ca="1">SUM(DC6:DC259)/2</f>
        <v>1440</v>
      </c>
      <c r="DC4" s="68"/>
      <c r="DD4" s="65"/>
      <c r="DE4" s="67">
        <f ca="1">SUM(DF6:DF259)/2</f>
        <v>1386</v>
      </c>
      <c r="DF4" s="68"/>
      <c r="DG4" s="65"/>
      <c r="DH4" s="67">
        <f ca="1">SUM(DI6:DI259)/2</f>
        <v>1263</v>
      </c>
      <c r="DI4" s="68"/>
      <c r="DJ4" s="65"/>
      <c r="DK4" s="67">
        <f ca="1">SUM(DL6:DL259)/2</f>
        <v>1569</v>
      </c>
      <c r="DL4" s="68"/>
      <c r="DM4" s="65"/>
      <c r="DN4" s="67">
        <f ca="1">SUM(DO6:DO259)/2</f>
        <v>1288</v>
      </c>
      <c r="DO4" s="68"/>
      <c r="DP4" s="65"/>
      <c r="DQ4" s="67">
        <f ca="1">SUM(DR6:DR259)/2</f>
        <v>1225</v>
      </c>
      <c r="DR4" s="68"/>
      <c r="DS4" s="65"/>
      <c r="DT4" s="67">
        <f ca="1">SUM(DU6:DU259)/2</f>
        <v>1242</v>
      </c>
      <c r="DU4" s="68"/>
      <c r="DV4" s="65"/>
      <c r="DW4" s="67">
        <f ca="1">SUM(DX6:DX259)/2</f>
        <v>1356</v>
      </c>
      <c r="DX4" s="68"/>
      <c r="DY4" s="65"/>
      <c r="DZ4" s="67">
        <f ca="1">SUM(EA6:EA259)/2</f>
        <v>1329</v>
      </c>
      <c r="EA4" s="68"/>
      <c r="EB4" s="65"/>
      <c r="EC4" s="67">
        <f ca="1">SUM(ED6:ED259)/2</f>
        <v>1620</v>
      </c>
      <c r="ED4" s="68"/>
      <c r="EE4" s="65"/>
      <c r="EF4" s="67">
        <f ca="1">SUM(EG6:EG259)/2</f>
        <v>1003</v>
      </c>
      <c r="EG4" s="68"/>
      <c r="EH4" s="65"/>
      <c r="EI4" s="67">
        <f ca="1">SUM(EJ6:EJ259)/2</f>
        <v>1596</v>
      </c>
      <c r="EJ4" s="68"/>
      <c r="EK4" s="65"/>
      <c r="EL4" s="67">
        <f ca="1">SUM(EM6:EM259)/2</f>
        <v>1573</v>
      </c>
      <c r="EM4" s="68"/>
      <c r="EN4" s="65"/>
      <c r="EO4" s="67">
        <f ca="1">SUM(EP6:EP259)/2</f>
        <v>1436</v>
      </c>
      <c r="EP4" s="68"/>
      <c r="EQ4" s="65"/>
      <c r="ER4" s="67">
        <f ca="1">SUM(ES6:ES259)/2</f>
        <v>1563</v>
      </c>
      <c r="ES4" s="68"/>
      <c r="ET4" s="65"/>
      <c r="EU4" s="67">
        <f ca="1">SUM(EV6:EV259)/2</f>
        <v>1278</v>
      </c>
      <c r="EV4" s="68"/>
      <c r="EW4" s="65"/>
      <c r="EX4" s="67">
        <f ca="1">SUM(EY6:EY259)/2</f>
        <v>1406</v>
      </c>
      <c r="EY4" s="68"/>
      <c r="EZ4" s="65"/>
      <c r="FA4" s="67">
        <f ca="1">SUM(FB6:FB259)/2</f>
        <v>1150</v>
      </c>
      <c r="FB4" s="68"/>
      <c r="FC4" s="65"/>
      <c r="FD4" s="67">
        <f ca="1">SUM(FE6:FE259)/2</f>
        <v>1165</v>
      </c>
      <c r="FE4" s="68"/>
      <c r="FF4" s="65"/>
      <c r="FG4" s="67">
        <f ca="1">SUM(FH6:FH259)/2</f>
        <v>1332</v>
      </c>
      <c r="FH4" s="68"/>
      <c r="FI4" s="65"/>
      <c r="FJ4" s="67">
        <f ca="1">SUM(FK6:FK259)/2</f>
        <v>1481</v>
      </c>
      <c r="FK4" s="68"/>
      <c r="FL4" s="65"/>
      <c r="FM4" s="67">
        <f ca="1">SUM(FN6:FN259)/2</f>
        <v>1363</v>
      </c>
      <c r="FN4" s="68"/>
      <c r="FO4" s="65"/>
      <c r="FP4" s="67">
        <f ca="1">SUM(FQ6:FQ259)/2</f>
        <v>1383</v>
      </c>
      <c r="FQ4" s="68"/>
      <c r="FR4" s="65"/>
      <c r="FS4" s="67">
        <f ca="1">SUM(FT6:FT259)/2</f>
        <v>1285</v>
      </c>
      <c r="FT4" s="68"/>
      <c r="FU4" s="65"/>
      <c r="FV4" s="67">
        <f ca="1">SUM(FW6:FW259)/2</f>
        <v>1545</v>
      </c>
      <c r="FW4" s="68"/>
      <c r="FX4" s="65"/>
      <c r="FY4" s="67">
        <f ca="1">SUM(FZ6:FZ259)/2</f>
        <v>1245</v>
      </c>
      <c r="FZ4" s="68"/>
      <c r="GA4" s="65"/>
      <c r="GB4" s="67">
        <f ca="1">SUM(GC6:GC259)/2</f>
        <v>1372</v>
      </c>
      <c r="GC4" s="68"/>
      <c r="GD4" s="65"/>
      <c r="GE4" s="67">
        <f ca="1">SUM(GF6:GF259)/2</f>
        <v>1427</v>
      </c>
      <c r="GF4" s="68"/>
      <c r="GG4" s="65"/>
      <c r="GH4" s="67">
        <f ca="1">SUM(GI6:GI259)/2</f>
        <v>1248</v>
      </c>
      <c r="GI4" s="68"/>
      <c r="GJ4" s="65"/>
      <c r="GK4" s="67">
        <f ca="1">SUM(GL6:GL259)/2</f>
        <v>1193</v>
      </c>
      <c r="GL4" s="68"/>
      <c r="GM4" s="65"/>
      <c r="GN4" s="67">
        <f ca="1">SUM(GO6:GO259)/2</f>
        <v>0</v>
      </c>
      <c r="GO4" s="68"/>
      <c r="GP4" s="65"/>
      <c r="GQ4" s="67">
        <f ca="1">SUM(GR6:GR259)/2</f>
        <v>0</v>
      </c>
      <c r="GR4" s="68"/>
      <c r="GS4" s="65"/>
      <c r="GT4" s="67">
        <f ca="1">SUM(GU6:GU259)/2</f>
        <v>0</v>
      </c>
      <c r="GU4" s="68"/>
      <c r="GV4" s="65"/>
      <c r="GW4" s="67">
        <f ca="1">SUM(GX6:GX259)/2</f>
        <v>0</v>
      </c>
      <c r="GX4" s="68"/>
      <c r="GY4" s="65"/>
      <c r="GZ4" s="67">
        <f ca="1">SUM(HA6:HA259)/2</f>
        <v>0</v>
      </c>
      <c r="HA4" s="68"/>
      <c r="HB4" s="65"/>
      <c r="HC4" s="67">
        <f ca="1">SUM(HD6:HD259)/2</f>
        <v>0</v>
      </c>
      <c r="HD4" s="68"/>
      <c r="HE4" s="65"/>
      <c r="HF4" s="67">
        <f ca="1">SUM(HG6:HG259)/2</f>
        <v>0</v>
      </c>
      <c r="HG4" s="68"/>
      <c r="HH4" s="65"/>
      <c r="HI4" s="67">
        <f ca="1">SUM(HJ6:HJ259)/2</f>
        <v>0</v>
      </c>
      <c r="HJ4" s="68"/>
      <c r="HK4" s="65"/>
      <c r="HL4" s="67">
        <f ca="1">SUM(HM6:HM259)/2</f>
        <v>0</v>
      </c>
      <c r="HM4" s="68"/>
      <c r="HN4" s="65"/>
      <c r="HO4" s="67">
        <f ca="1">SUM(HP6:HP259)/2</f>
        <v>0</v>
      </c>
      <c r="HP4" s="68"/>
      <c r="HQ4" s="65"/>
      <c r="HR4" s="67">
        <f ca="1">SUM(HS6:HS259)/2</f>
        <v>0</v>
      </c>
      <c r="HS4" s="68"/>
      <c r="HT4" s="65"/>
      <c r="HU4" s="67">
        <f ca="1">SUM(HV6:HV259)/2</f>
        <v>0</v>
      </c>
      <c r="HV4" s="68"/>
      <c r="HW4" s="65"/>
      <c r="HX4" s="67">
        <f ca="1">SUM(HY6:HY259)/2</f>
        <v>0</v>
      </c>
      <c r="HY4" s="68"/>
      <c r="HZ4" s="65"/>
      <c r="IA4" s="67">
        <f ca="1">SUM(IB6:IB259)/2</f>
        <v>0</v>
      </c>
      <c r="IB4" s="68"/>
      <c r="IC4" s="65"/>
      <c r="ID4" s="67">
        <f ca="1">SUM(IE6:IE259)/2</f>
        <v>0</v>
      </c>
      <c r="IE4" s="68"/>
      <c r="IF4" s="65"/>
      <c r="IG4" s="67">
        <f ca="1">SUM(IH6:IH259)/2</f>
        <v>0</v>
      </c>
      <c r="IH4" s="68"/>
      <c r="II4" s="65"/>
      <c r="IJ4" s="67">
        <f ca="1">SUM(IK6:IK259)/2</f>
        <v>0</v>
      </c>
      <c r="IK4" s="68"/>
      <c r="IL4" s="65"/>
      <c r="IM4" s="67">
        <f ca="1">SUM(IN6:IN259)/2</f>
        <v>0</v>
      </c>
      <c r="IN4" s="68"/>
      <c r="IO4" s="65"/>
      <c r="IP4" s="67">
        <f ca="1">SUM(IQ6:IQ259)/2</f>
        <v>0</v>
      </c>
      <c r="IQ4" s="68"/>
      <c r="IR4" s="65"/>
      <c r="IS4" s="67">
        <f ca="1">SUM(IT6:IT259)/2</f>
        <v>0</v>
      </c>
      <c r="IT4" s="68"/>
      <c r="IU4" s="65"/>
      <c r="IV4" s="67">
        <f ca="1">SUM(IW6:IW259)/2</f>
        <v>0</v>
      </c>
      <c r="IW4" s="68"/>
      <c r="IX4" s="65"/>
      <c r="IY4" s="67">
        <f ca="1">SUM(IZ6:IZ259)/2</f>
        <v>0</v>
      </c>
      <c r="IZ4" s="68"/>
      <c r="JA4" s="65"/>
      <c r="JB4" s="67">
        <f ca="1">SUM(JC6:JC259)/2</f>
        <v>0</v>
      </c>
      <c r="JC4" s="68"/>
      <c r="JD4" s="65"/>
      <c r="JE4" s="67">
        <f ca="1">SUM(JF6:JF259)/2</f>
        <v>0</v>
      </c>
      <c r="JF4" s="68"/>
      <c r="JG4" s="65"/>
      <c r="JH4" s="67">
        <f ca="1">SUM(JI6:JI259)/2</f>
        <v>0</v>
      </c>
      <c r="JI4" s="68"/>
      <c r="JJ4" s="65"/>
      <c r="JK4" s="67">
        <f ca="1">SUM(JL6:JL259)/2</f>
        <v>0</v>
      </c>
      <c r="JL4" s="68"/>
      <c r="JM4" s="65"/>
      <c r="JN4" s="67">
        <f ca="1">SUM(JO6:JO259)/2</f>
        <v>0</v>
      </c>
      <c r="JO4" s="68"/>
      <c r="JP4" s="65"/>
      <c r="JQ4" s="67">
        <f ca="1">SUM(JR6:JR259)/2</f>
        <v>0</v>
      </c>
      <c r="JR4" s="68"/>
      <c r="JS4" s="65"/>
      <c r="JT4" s="67">
        <f ca="1">SUM(JU6:JU259)/2</f>
        <v>0</v>
      </c>
      <c r="JU4" s="68"/>
      <c r="JV4" s="65"/>
      <c r="JW4" s="67">
        <f ca="1">SUM(JX6:JX259)/2</f>
        <v>0</v>
      </c>
      <c r="JX4" s="68"/>
      <c r="JY4" s="65"/>
      <c r="JZ4" s="67">
        <f ca="1">SUM(KA6:KA259)/2</f>
        <v>0</v>
      </c>
      <c r="KA4" s="68"/>
      <c r="KB4" s="65"/>
      <c r="KC4" s="67">
        <f ca="1">SUM(KD6:KD259)/2</f>
        <v>0</v>
      </c>
      <c r="KD4" s="68"/>
      <c r="KE4" s="65"/>
      <c r="KF4" s="67">
        <f ca="1">SUM(KG6:KG259)/2</f>
        <v>0</v>
      </c>
      <c r="KG4" s="68"/>
      <c r="KH4" s="65"/>
      <c r="KI4" s="67">
        <f ca="1">SUM(KJ6:KJ259)/2</f>
        <v>0</v>
      </c>
      <c r="KJ4" s="68"/>
      <c r="KK4" s="65"/>
      <c r="KL4" s="67">
        <f ca="1">SUM(KM6:KM259)/2</f>
        <v>0</v>
      </c>
      <c r="KM4" s="68"/>
      <c r="KN4" s="65"/>
      <c r="KO4" s="67">
        <f ca="1">SUM(KP6:KP259)/2</f>
        <v>0</v>
      </c>
      <c r="KP4" s="68"/>
      <c r="KQ4" s="65"/>
      <c r="KR4" s="67">
        <f ca="1">SUM(KS6:KS259)/2</f>
        <v>0</v>
      </c>
      <c r="KS4" s="68"/>
      <c r="KT4" s="65"/>
      <c r="KU4" s="67">
        <f ca="1">SUM(KV6:KV259)/2</f>
        <v>0</v>
      </c>
      <c r="KV4" s="68"/>
      <c r="KW4" s="65"/>
      <c r="KX4" s="67">
        <f ca="1">SUM(KY6:KY259)/2</f>
        <v>0</v>
      </c>
      <c r="KY4" s="68"/>
      <c r="KZ4" s="65"/>
      <c r="LA4" s="67">
        <f ca="1">SUM(LB6:LB259)/2</f>
        <v>0</v>
      </c>
      <c r="LB4" s="68"/>
      <c r="LC4" s="65"/>
      <c r="LD4" s="67">
        <f ca="1">SUM(LE6:LE259)/2</f>
        <v>0</v>
      </c>
      <c r="LE4" s="68"/>
      <c r="LF4" s="65"/>
      <c r="LG4" s="65"/>
    </row>
    <row r="5" spans="1:319" ht="21.75" thickBot="1">
      <c r="A5" s="49"/>
      <c r="B5" s="49"/>
      <c r="C5" s="51" t="str">
        <f>Idiomas!D299&amp;" -&gt;"</f>
        <v>Select the number of players: -&gt;</v>
      </c>
      <c r="D5" s="452">
        <v>59</v>
      </c>
      <c r="E5" s="111"/>
      <c r="F5" s="445" t="s">
        <v>1577</v>
      </c>
      <c r="G5" s="445" t="s">
        <v>1649</v>
      </c>
      <c r="H5" s="445" t="s">
        <v>10</v>
      </c>
      <c r="I5" s="118" t="s">
        <v>1578</v>
      </c>
      <c r="J5" s="670" t="str">
        <f>HYPERLINK(Idiomas!D446,Idiomas!D445)</f>
        <v>?</v>
      </c>
      <c r="K5" s="113" t="str">
        <f>Idiomas!D135</f>
        <v>GROUP STAGE</v>
      </c>
      <c r="L5" s="50"/>
      <c r="M5" s="71"/>
      <c r="N5" s="25"/>
      <c r="O5" s="25"/>
      <c r="P5" s="25"/>
      <c r="Q5" s="25"/>
      <c r="R5" s="65">
        <v>0</v>
      </c>
      <c r="S5" s="69" t="s">
        <v>1942</v>
      </c>
      <c r="T5" s="70"/>
      <c r="U5" s="65">
        <v>1</v>
      </c>
      <c r="V5" s="69" t="s">
        <v>1999</v>
      </c>
      <c r="W5" s="70"/>
      <c r="X5" s="65">
        <v>2</v>
      </c>
      <c r="Y5" s="69" t="s">
        <v>2037</v>
      </c>
      <c r="Z5" s="70"/>
      <c r="AA5" s="65">
        <v>3</v>
      </c>
      <c r="AB5" s="69" t="s">
        <v>2069</v>
      </c>
      <c r="AC5" s="70"/>
      <c r="AD5" s="65">
        <v>4</v>
      </c>
      <c r="AE5" s="69" t="s">
        <v>2105</v>
      </c>
      <c r="AF5" s="70"/>
      <c r="AG5" s="65">
        <v>5</v>
      </c>
      <c r="AH5" s="69" t="s">
        <v>2128</v>
      </c>
      <c r="AI5" s="70"/>
      <c r="AJ5" s="65">
        <v>6</v>
      </c>
      <c r="AK5" s="69" t="s">
        <v>2161</v>
      </c>
      <c r="AL5" s="70"/>
      <c r="AM5" s="65">
        <v>7</v>
      </c>
      <c r="AN5" s="69" t="s">
        <v>2187</v>
      </c>
      <c r="AO5" s="70"/>
      <c r="AP5" s="65">
        <v>8</v>
      </c>
      <c r="AQ5" s="69" t="s">
        <v>2225</v>
      </c>
      <c r="AR5" s="70"/>
      <c r="AS5" s="65">
        <v>9</v>
      </c>
      <c r="AT5" s="69" t="s">
        <v>2251</v>
      </c>
      <c r="AU5" s="70"/>
      <c r="AV5" s="65">
        <v>10</v>
      </c>
      <c r="AW5" s="69" t="s">
        <v>2277</v>
      </c>
      <c r="AX5" s="70"/>
      <c r="AY5" s="65">
        <v>11</v>
      </c>
      <c r="AZ5" s="69" t="s">
        <v>2306</v>
      </c>
      <c r="BA5" s="70"/>
      <c r="BB5" s="65">
        <v>12</v>
      </c>
      <c r="BC5" s="69" t="s">
        <v>2321</v>
      </c>
      <c r="BD5" s="70"/>
      <c r="BE5" s="65">
        <v>13</v>
      </c>
      <c r="BF5" s="69" t="s">
        <v>2348</v>
      </c>
      <c r="BG5" s="70"/>
      <c r="BH5" s="65">
        <v>14</v>
      </c>
      <c r="BI5" s="69" t="s">
        <v>2368</v>
      </c>
      <c r="BJ5" s="70"/>
      <c r="BK5" s="65">
        <v>15</v>
      </c>
      <c r="BL5" s="69" t="s">
        <v>2404</v>
      </c>
      <c r="BM5" s="70"/>
      <c r="BN5" s="65">
        <v>16</v>
      </c>
      <c r="BO5" s="69" t="s">
        <v>2419</v>
      </c>
      <c r="BP5" s="70"/>
      <c r="BQ5" s="65">
        <v>17</v>
      </c>
      <c r="BR5" s="69" t="s">
        <v>2443</v>
      </c>
      <c r="BS5" s="70"/>
      <c r="BT5" s="65">
        <v>18</v>
      </c>
      <c r="BU5" s="69" t="s">
        <v>2468</v>
      </c>
      <c r="BV5" s="70"/>
      <c r="BW5" s="65">
        <v>19</v>
      </c>
      <c r="BX5" s="69" t="s">
        <v>2477</v>
      </c>
      <c r="BY5" s="70"/>
      <c r="BZ5" s="65">
        <v>20</v>
      </c>
      <c r="CA5" s="69" t="s">
        <v>2491</v>
      </c>
      <c r="CB5" s="70"/>
      <c r="CC5" s="65">
        <v>21</v>
      </c>
      <c r="CD5" s="69" t="s">
        <v>2510</v>
      </c>
      <c r="CE5" s="70"/>
      <c r="CF5" s="65">
        <v>22</v>
      </c>
      <c r="CG5" s="69" t="s">
        <v>2531</v>
      </c>
      <c r="CH5" s="70"/>
      <c r="CI5" s="65">
        <v>23</v>
      </c>
      <c r="CJ5" s="69" t="s">
        <v>2547</v>
      </c>
      <c r="CK5" s="70"/>
      <c r="CL5" s="65">
        <v>24</v>
      </c>
      <c r="CM5" s="69" t="s">
        <v>2571</v>
      </c>
      <c r="CN5" s="70"/>
      <c r="CO5" s="65">
        <v>25</v>
      </c>
      <c r="CP5" s="69" t="s">
        <v>2604</v>
      </c>
      <c r="CQ5" s="70"/>
      <c r="CR5" s="65">
        <v>26</v>
      </c>
      <c r="CS5" s="69" t="s">
        <v>2610</v>
      </c>
      <c r="CT5" s="70"/>
      <c r="CU5" s="65">
        <v>27</v>
      </c>
      <c r="CV5" s="69" t="s">
        <v>2632</v>
      </c>
      <c r="CW5" s="70"/>
      <c r="CX5" s="65">
        <v>28</v>
      </c>
      <c r="CY5" s="69" t="s">
        <v>2659</v>
      </c>
      <c r="CZ5" s="70"/>
      <c r="DA5" s="65">
        <v>29</v>
      </c>
      <c r="DB5" s="69" t="s">
        <v>2695</v>
      </c>
      <c r="DC5" s="70"/>
      <c r="DD5" s="65">
        <v>30</v>
      </c>
      <c r="DE5" s="69" t="s">
        <v>2709</v>
      </c>
      <c r="DF5" s="70"/>
      <c r="DG5" s="65">
        <v>31</v>
      </c>
      <c r="DH5" s="69" t="s">
        <v>2721</v>
      </c>
      <c r="DI5" s="70"/>
      <c r="DJ5" s="65">
        <v>32</v>
      </c>
      <c r="DK5" s="69" t="s">
        <v>2746</v>
      </c>
      <c r="DL5" s="70"/>
      <c r="DM5" s="65">
        <v>33</v>
      </c>
      <c r="DN5" s="69" t="s">
        <v>2760</v>
      </c>
      <c r="DO5" s="70"/>
      <c r="DP5" s="65">
        <v>34</v>
      </c>
      <c r="DQ5" s="69" t="s">
        <v>2776</v>
      </c>
      <c r="DR5" s="70"/>
      <c r="DS5" s="65">
        <v>35</v>
      </c>
      <c r="DT5" s="69" t="s">
        <v>2790</v>
      </c>
      <c r="DU5" s="70"/>
      <c r="DV5" s="65">
        <v>36</v>
      </c>
      <c r="DW5" s="69" t="s">
        <v>2801</v>
      </c>
      <c r="DX5" s="70"/>
      <c r="DY5" s="65">
        <v>37</v>
      </c>
      <c r="DZ5" s="69" t="s">
        <v>2816</v>
      </c>
      <c r="EA5" s="70"/>
      <c r="EB5" s="65">
        <v>38</v>
      </c>
      <c r="EC5" s="69" t="s">
        <v>2820</v>
      </c>
      <c r="ED5" s="70"/>
      <c r="EE5" s="65">
        <v>39</v>
      </c>
      <c r="EF5" s="69" t="s">
        <v>2827</v>
      </c>
      <c r="EG5" s="70"/>
      <c r="EH5" s="65">
        <v>40</v>
      </c>
      <c r="EI5" s="69" t="s">
        <v>2856</v>
      </c>
      <c r="EJ5" s="70"/>
      <c r="EK5" s="65">
        <v>41</v>
      </c>
      <c r="EL5" s="69" t="s">
        <v>2861</v>
      </c>
      <c r="EM5" s="70"/>
      <c r="EN5" s="65">
        <v>42</v>
      </c>
      <c r="EO5" s="69" t="s">
        <v>2871</v>
      </c>
      <c r="EP5" s="70"/>
      <c r="EQ5" s="65">
        <v>43</v>
      </c>
      <c r="ER5" s="69" t="s">
        <v>2888</v>
      </c>
      <c r="ES5" s="70"/>
      <c r="ET5" s="65">
        <v>44</v>
      </c>
      <c r="EU5" s="69" t="s">
        <v>2896</v>
      </c>
      <c r="EV5" s="70"/>
      <c r="EW5" s="65">
        <v>45</v>
      </c>
      <c r="EX5" s="69" t="s">
        <v>2919</v>
      </c>
      <c r="EY5" s="70"/>
      <c r="EZ5" s="65">
        <v>46</v>
      </c>
      <c r="FA5" s="69" t="s">
        <v>2923</v>
      </c>
      <c r="FB5" s="70"/>
      <c r="FC5" s="65">
        <v>47</v>
      </c>
      <c r="FD5" s="69" t="s">
        <v>2935</v>
      </c>
      <c r="FE5" s="70"/>
      <c r="FF5" s="65">
        <v>48</v>
      </c>
      <c r="FG5" s="69" t="s">
        <v>2948</v>
      </c>
      <c r="FH5" s="70"/>
      <c r="FI5" s="65">
        <v>49</v>
      </c>
      <c r="FJ5" s="69" t="s">
        <v>2966</v>
      </c>
      <c r="FK5" s="70"/>
      <c r="FL5" s="65">
        <v>50</v>
      </c>
      <c r="FM5" s="69" t="s">
        <v>2969</v>
      </c>
      <c r="FN5" s="70"/>
      <c r="FO5" s="65">
        <v>51</v>
      </c>
      <c r="FP5" s="69" t="s">
        <v>2976</v>
      </c>
      <c r="FQ5" s="70"/>
      <c r="FR5" s="65">
        <v>52</v>
      </c>
      <c r="FS5" s="69" t="s">
        <v>2983</v>
      </c>
      <c r="FT5" s="70"/>
      <c r="FU5" s="65">
        <v>53</v>
      </c>
      <c r="FV5" s="69" t="s">
        <v>2992</v>
      </c>
      <c r="FW5" s="70"/>
      <c r="FX5" s="65">
        <v>54</v>
      </c>
      <c r="FY5" s="69" t="s">
        <v>3000</v>
      </c>
      <c r="FZ5" s="70"/>
      <c r="GA5" s="65">
        <v>55</v>
      </c>
      <c r="GB5" s="69" t="s">
        <v>3016</v>
      </c>
      <c r="GC5" s="70"/>
      <c r="GD5" s="65">
        <v>56</v>
      </c>
      <c r="GE5" s="69" t="s">
        <v>3031</v>
      </c>
      <c r="GF5" s="70"/>
      <c r="GG5" s="65">
        <v>57</v>
      </c>
      <c r="GH5" s="69" t="s">
        <v>3043</v>
      </c>
      <c r="GI5" s="70"/>
      <c r="GJ5" s="65">
        <v>58</v>
      </c>
      <c r="GK5" s="69" t="s">
        <v>3057</v>
      </c>
      <c r="GL5" s="70"/>
      <c r="GM5" s="65">
        <v>59</v>
      </c>
      <c r="GN5" s="69" t="str">
        <f>Idiomas!$G$363&amp;ADMIN!GP5</f>
        <v>Pegar Valores Nombre J60</v>
      </c>
      <c r="GO5" s="70"/>
      <c r="GP5" s="65">
        <v>60</v>
      </c>
      <c r="GQ5" s="69" t="str">
        <f>Idiomas!$G$363&amp;ADMIN!GS5</f>
        <v>Pegar Valores Nombre J61</v>
      </c>
      <c r="GR5" s="70"/>
      <c r="GS5" s="65">
        <v>61</v>
      </c>
      <c r="GT5" s="69" t="str">
        <f>Idiomas!$G$363&amp;ADMIN!GV5</f>
        <v>Pegar Valores Nombre J62</v>
      </c>
      <c r="GU5" s="70"/>
      <c r="GV5" s="65">
        <v>62</v>
      </c>
      <c r="GW5" s="69" t="str">
        <f>Idiomas!$G$363&amp;ADMIN!GY5</f>
        <v>Pegar Valores Nombre J63</v>
      </c>
      <c r="GX5" s="70"/>
      <c r="GY5" s="65">
        <v>63</v>
      </c>
      <c r="GZ5" s="69" t="str">
        <f>Idiomas!$G$363&amp;ADMIN!HB5</f>
        <v>Pegar Valores Nombre J64</v>
      </c>
      <c r="HA5" s="70"/>
      <c r="HB5" s="65">
        <v>64</v>
      </c>
      <c r="HC5" s="69" t="str">
        <f>Idiomas!$G$363&amp;ADMIN!HE5</f>
        <v>Pegar Valores Nombre J65</v>
      </c>
      <c r="HD5" s="70"/>
      <c r="HE5" s="65">
        <v>65</v>
      </c>
      <c r="HF5" s="69" t="str">
        <f>Idiomas!$G$363&amp;ADMIN!HH5</f>
        <v>Pegar Valores Nombre J66</v>
      </c>
      <c r="HG5" s="70"/>
      <c r="HH5" s="65">
        <v>66</v>
      </c>
      <c r="HI5" s="69" t="str">
        <f>Idiomas!$G$363&amp;ADMIN!HK5</f>
        <v>Pegar Valores Nombre J67</v>
      </c>
      <c r="HJ5" s="70"/>
      <c r="HK5" s="65">
        <v>67</v>
      </c>
      <c r="HL5" s="69" t="str">
        <f>Idiomas!$G$363&amp;ADMIN!HN5</f>
        <v>Pegar Valores Nombre J68</v>
      </c>
      <c r="HM5" s="70"/>
      <c r="HN5" s="65">
        <v>68</v>
      </c>
      <c r="HO5" s="69" t="str">
        <f>Idiomas!$G$363&amp;ADMIN!HQ5</f>
        <v>Pegar Valores Nombre J69</v>
      </c>
      <c r="HP5" s="70"/>
      <c r="HQ5" s="65">
        <v>69</v>
      </c>
      <c r="HR5" s="69" t="str">
        <f>Idiomas!$G$363&amp;ADMIN!HT5</f>
        <v>Pegar Valores Nombre J70</v>
      </c>
      <c r="HS5" s="70"/>
      <c r="HT5" s="65">
        <v>70</v>
      </c>
      <c r="HU5" s="69" t="str">
        <f>Idiomas!$G$363&amp;ADMIN!HW5</f>
        <v>Pegar Valores Nombre J71</v>
      </c>
      <c r="HV5" s="70"/>
      <c r="HW5" s="65">
        <v>71</v>
      </c>
      <c r="HX5" s="69" t="str">
        <f>Idiomas!$G$363&amp;ADMIN!HZ5</f>
        <v>Pegar Valores Nombre J72</v>
      </c>
      <c r="HY5" s="70"/>
      <c r="HZ5" s="65">
        <v>72</v>
      </c>
      <c r="IA5" s="69" t="str">
        <f>Idiomas!$G$363&amp;ADMIN!IC5</f>
        <v>Pegar Valores Nombre J73</v>
      </c>
      <c r="IB5" s="70"/>
      <c r="IC5" s="65">
        <v>73</v>
      </c>
      <c r="ID5" s="69" t="str">
        <f>Idiomas!$G$363&amp;ADMIN!IF5</f>
        <v>Pegar Valores Nombre J74</v>
      </c>
      <c r="IE5" s="70"/>
      <c r="IF5" s="65">
        <v>74</v>
      </c>
      <c r="IG5" s="69" t="str">
        <f>Idiomas!$G$363&amp;ADMIN!II5</f>
        <v>Pegar Valores Nombre J75</v>
      </c>
      <c r="IH5" s="70"/>
      <c r="II5" s="65">
        <v>75</v>
      </c>
      <c r="IJ5" s="69" t="str">
        <f>Idiomas!$G$363&amp;ADMIN!IL5</f>
        <v>Pegar Valores Nombre J76</v>
      </c>
      <c r="IK5" s="70"/>
      <c r="IL5" s="65">
        <v>76</v>
      </c>
      <c r="IM5" s="69" t="str">
        <f>Idiomas!$G$363&amp;ADMIN!IO5</f>
        <v>Pegar Valores Nombre J77</v>
      </c>
      <c r="IN5" s="70"/>
      <c r="IO5" s="65">
        <v>77</v>
      </c>
      <c r="IP5" s="69" t="str">
        <f>Idiomas!$G$363&amp;ADMIN!IR5</f>
        <v>Pegar Valores Nombre J78</v>
      </c>
      <c r="IQ5" s="70"/>
      <c r="IR5" s="65">
        <v>78</v>
      </c>
      <c r="IS5" s="69" t="str">
        <f>Idiomas!$G$363&amp;ADMIN!IU5</f>
        <v>Pegar Valores Nombre J79</v>
      </c>
      <c r="IT5" s="70"/>
      <c r="IU5" s="65">
        <v>79</v>
      </c>
      <c r="IV5" s="69" t="str">
        <f>Idiomas!$G$363&amp;ADMIN!IX5</f>
        <v>Pegar Valores Nombre J80</v>
      </c>
      <c r="IW5" s="70"/>
      <c r="IX5" s="65">
        <v>80</v>
      </c>
      <c r="IY5" s="69" t="str">
        <f>Idiomas!$G$363&amp;ADMIN!JA5</f>
        <v>Pegar Valores Nombre J81</v>
      </c>
      <c r="IZ5" s="70"/>
      <c r="JA5" s="65">
        <v>81</v>
      </c>
      <c r="JB5" s="69" t="str">
        <f>Idiomas!$G$363&amp;ADMIN!JD5</f>
        <v>Pegar Valores Nombre J82</v>
      </c>
      <c r="JC5" s="70"/>
      <c r="JD5" s="65">
        <v>82</v>
      </c>
      <c r="JE5" s="69" t="str">
        <f>Idiomas!$G$363&amp;ADMIN!JG5</f>
        <v>Pegar Valores Nombre J83</v>
      </c>
      <c r="JF5" s="70"/>
      <c r="JG5" s="65">
        <v>83</v>
      </c>
      <c r="JH5" s="69" t="str">
        <f>Idiomas!$G$363&amp;ADMIN!JJ5</f>
        <v>Pegar Valores Nombre J84</v>
      </c>
      <c r="JI5" s="70"/>
      <c r="JJ5" s="65">
        <v>84</v>
      </c>
      <c r="JK5" s="69" t="str">
        <f>Idiomas!$G$363&amp;ADMIN!JM5</f>
        <v>Pegar Valores Nombre J85</v>
      </c>
      <c r="JL5" s="70"/>
      <c r="JM5" s="65">
        <v>85</v>
      </c>
      <c r="JN5" s="69" t="str">
        <f>Idiomas!$G$363&amp;ADMIN!JP5</f>
        <v>Pegar Valores Nombre J86</v>
      </c>
      <c r="JO5" s="70"/>
      <c r="JP5" s="65">
        <v>86</v>
      </c>
      <c r="JQ5" s="69" t="str">
        <f>Idiomas!$G$363&amp;ADMIN!JS5</f>
        <v>Pegar Valores Nombre J87</v>
      </c>
      <c r="JR5" s="70"/>
      <c r="JS5" s="65">
        <v>87</v>
      </c>
      <c r="JT5" s="69" t="str">
        <f>Idiomas!$G$363&amp;ADMIN!JV5</f>
        <v>Pegar Valores Nombre J88</v>
      </c>
      <c r="JU5" s="70"/>
      <c r="JV5" s="65">
        <v>88</v>
      </c>
      <c r="JW5" s="69" t="str">
        <f>Idiomas!$G$363&amp;ADMIN!JY5</f>
        <v>Pegar Valores Nombre J89</v>
      </c>
      <c r="JX5" s="70"/>
      <c r="JY5" s="65">
        <v>89</v>
      </c>
      <c r="JZ5" s="69" t="str">
        <f>Idiomas!$G$363&amp;ADMIN!KB5</f>
        <v>Pegar Valores Nombre J90</v>
      </c>
      <c r="KA5" s="70"/>
      <c r="KB5" s="65">
        <v>90</v>
      </c>
      <c r="KC5" s="69" t="str">
        <f>Idiomas!$G$363&amp;ADMIN!KE5</f>
        <v>Pegar Valores Nombre J91</v>
      </c>
      <c r="KD5" s="70"/>
      <c r="KE5" s="65">
        <v>91</v>
      </c>
      <c r="KF5" s="69" t="str">
        <f>Idiomas!$G$363&amp;ADMIN!KH5</f>
        <v>Pegar Valores Nombre J92</v>
      </c>
      <c r="KG5" s="70"/>
      <c r="KH5" s="65">
        <v>92</v>
      </c>
      <c r="KI5" s="69" t="str">
        <f>Idiomas!$G$363&amp;ADMIN!KK5</f>
        <v>Pegar Valores Nombre J93</v>
      </c>
      <c r="KJ5" s="70"/>
      <c r="KK5" s="65">
        <v>93</v>
      </c>
      <c r="KL5" s="69" t="str">
        <f>Idiomas!$G$363&amp;ADMIN!KN5</f>
        <v>Pegar Valores Nombre J94</v>
      </c>
      <c r="KM5" s="70"/>
      <c r="KN5" s="65">
        <v>94</v>
      </c>
      <c r="KO5" s="69" t="str">
        <f>Idiomas!$G$363&amp;ADMIN!KQ5</f>
        <v>Pegar Valores Nombre J95</v>
      </c>
      <c r="KP5" s="70"/>
      <c r="KQ5" s="65">
        <v>95</v>
      </c>
      <c r="KR5" s="69" t="str">
        <f>Idiomas!$G$363&amp;ADMIN!KT5</f>
        <v>Pegar Valores Nombre J96</v>
      </c>
      <c r="KS5" s="70"/>
      <c r="KT5" s="65">
        <v>96</v>
      </c>
      <c r="KU5" s="69" t="str">
        <f>Idiomas!$G$363&amp;ADMIN!KW5</f>
        <v>Pegar Valores Nombre J97</v>
      </c>
      <c r="KV5" s="70"/>
      <c r="KW5" s="65">
        <v>97</v>
      </c>
      <c r="KX5" s="69" t="str">
        <f>Idiomas!$G$363&amp;ADMIN!KZ5</f>
        <v>Pegar Valores Nombre J98</v>
      </c>
      <c r="KY5" s="70"/>
      <c r="KZ5" s="65">
        <v>98</v>
      </c>
      <c r="LA5" s="69" t="str">
        <f>Idiomas!$G$363&amp;ADMIN!LC5</f>
        <v>Pegar Valores Nombre J99</v>
      </c>
      <c r="LB5" s="70"/>
      <c r="LC5" s="65">
        <v>99</v>
      </c>
      <c r="LD5" s="69" t="str">
        <f>Idiomas!$G$363&amp;ADMIN!LF5</f>
        <v>Pegar Valores Nombre J100</v>
      </c>
      <c r="LE5" s="70"/>
      <c r="LF5" s="65">
        <v>100</v>
      </c>
      <c r="LG5" s="65"/>
    </row>
    <row r="6" spans="1:319" ht="15.75" thickBot="1">
      <c r="A6" s="49"/>
      <c r="B6" s="49"/>
      <c r="C6" s="669"/>
      <c r="D6" s="49"/>
      <c r="E6" s="111"/>
      <c r="F6" s="445">
        <f>SUM($D$8:$D$10)*I6</f>
        <v>20</v>
      </c>
      <c r="G6" s="445">
        <f ca="1">VLOOKUP(H6,Equipos!$Q$1:$R$25,2,0)</f>
        <v>1</v>
      </c>
      <c r="H6" s="446">
        <f ca="1">TRUNC(INDEX(WORLDCUP!$X$4:$X$147,MATCH(ADMIN!K6,WORLDCUP!$DT$4:$DT$147,0))+INDEX(Horarios!$R$3:$R$86,MATCH(Horarios!$C$3,Horarios!$P$3:$P$86,0))/24)</f>
        <v>46184</v>
      </c>
      <c r="I6" s="48">
        <v>1</v>
      </c>
      <c r="J6" s="95" t="s">
        <v>112</v>
      </c>
      <c r="K6" s="53" t="str">
        <f ca="1">CONCATENATE(WORLDCUP!AA4,"-",WORLDCUP!AF4)</f>
        <v>Mexico-South Africa</v>
      </c>
      <c r="L6" s="53"/>
      <c r="M6" s="53" t="str">
        <f>IF(OR(WORLDCUP!AC4="",WORLDCUP!AD4=""),"-",N6&amp;"|"&amp;O6&amp;"-"&amp;P6)</f>
        <v>1|2-0</v>
      </c>
      <c r="N6" s="25" t="str">
        <f>IF(OR(WORLDCUP!AC4="",WORLDCUP!AD4=""),"",IF(WORLDCUP!AC4&gt;WORLDCUP!AD4,"1",IF(WORLDCUP!AC4&lt;WORLDCUP!AD4,"2","X")))</f>
        <v>1</v>
      </c>
      <c r="O6" s="25">
        <f>WORLDCUP!AC4</f>
        <v>2</v>
      </c>
      <c r="P6" s="25">
        <f>WORLDCUP!AD4</f>
        <v>0</v>
      </c>
      <c r="Q6" s="25">
        <f>ABS(O6-P6)</f>
        <v>2</v>
      </c>
      <c r="R6" s="49"/>
      <c r="S6" s="72" t="s">
        <v>1943</v>
      </c>
      <c r="T6" s="73">
        <f>IFERROR(IF($M6=S6,($D$8+$D$9+$D$10)*$I6,IF($N6=LEFT(S6,1),($D$8+MAX(0,IF($D$50=1,$D$9*(1-(ABS($Q6-ABS(VALUE(MID(S6,FIND("|",S6)+1,FIND("-",S6)-FIND("|",S6)-1))-VALUE(MID(S6,FIND("-",S6)+1,10)))))*$D$50),$D$9*(1-(IF($N6="X",ABS($O6-VALUE(MID(S6,FIND("|",S6)+1,FIND("-",S6)-FIND("|",S6)-1))),ABS($Q6-ABS(VALUE(MID(S6,FIND("|",S6)+1,FIND("-",S6)-FIND("|",S6)-1))-VALUE(MID(S6,FIND("-",S6)+1,10)))))*$D$50)))))*$I6,0)),0)</f>
        <v>10</v>
      </c>
      <c r="U6" s="111"/>
      <c r="V6" s="72" t="s">
        <v>1950</v>
      </c>
      <c r="W6" s="73">
        <f>IFERROR(IF($M6=V6,($D$8+$D$9+$D$10)*$I6,IF($N6=LEFT(V6,1),($D$8+MAX(0,IF($D$50=1,$D$9*(1-(ABS($Q6-ABS(VALUE(MID(V6,FIND("|",V6)+1,FIND("-",V6)-FIND("|",V6)-1))-VALUE(MID(V6,FIND("-",V6)+1,10)))))*$D$50),$D$9*(1-(IF($N6="X",ABS($O6-VALUE(MID(V6,FIND("|",V6)+1,FIND("-",V6)-FIND("|",V6)-1))),ABS($Q6-ABS(VALUE(MID(V6,FIND("|",V6)+1,FIND("-",V6)-FIND("|",V6)-1))-VALUE(MID(V6,FIND("-",V6)+1,10)))))*$D$50)))))*$I6,0)),0)</f>
        <v>20</v>
      </c>
      <c r="X6" s="111"/>
      <c r="Y6" s="72" t="s">
        <v>1958</v>
      </c>
      <c r="Z6" s="73">
        <f t="shared" ref="Z6" si="99">IFERROR(IF($M6=Y6,($D$8+$D$9+$D$10)*$I6,IF($N6=LEFT(Y6,1),($D$8+MAX(0,IF($D$50=1,$D$9*(1-(ABS($Q6-ABS(VALUE(MID(Y6,FIND("|",Y6)+1,FIND("-",Y6)-FIND("|",Y6)-1))-VALUE(MID(Y6,FIND("-",Y6)+1,10)))))*$D$50),$D$9*(1-(IF($N6="X",ABS($O6-VALUE(MID(Y6,FIND("|",Y6)+1,FIND("-",Y6)-FIND("|",Y6)-1))),ABS($Q6-ABS(VALUE(MID(Y6,FIND("|",Y6)+1,FIND("-",Y6)-FIND("|",Y6)-1))-VALUE(MID(Y6,FIND("-",Y6)+1,10)))))*$D$50)))))*$I6,0)),0)</f>
        <v>10</v>
      </c>
      <c r="AA6" s="111"/>
      <c r="AB6" s="72" t="s">
        <v>1954</v>
      </c>
      <c r="AC6" s="73">
        <f t="shared" ref="AC6" si="100">IFERROR(IF($M6=AB6,($D$8+$D$9+$D$10)*$I6,IF($N6=LEFT(AB6,1),($D$8+MAX(0,IF($D$50=1,$D$9*(1-(ABS($Q6-ABS(VALUE(MID(AB6,FIND("|",AB6)+1,FIND("-",AB6)-FIND("|",AB6)-1))-VALUE(MID(AB6,FIND("-",AB6)+1,10)))))*$D$50),$D$9*(1-(IF($N6="X",ABS($O6-VALUE(MID(AB6,FIND("|",AB6)+1,FIND("-",AB6)-FIND("|",AB6)-1))),ABS($Q6-ABS(VALUE(MID(AB6,FIND("|",AB6)+1,FIND("-",AB6)-FIND("|",AB6)-1))-VALUE(MID(AB6,FIND("-",AB6)+1,10)))))*$D$50)))))*$I6,0)),0)</f>
        <v>10</v>
      </c>
      <c r="AD6" s="111"/>
      <c r="AE6" s="72" t="s">
        <v>1950</v>
      </c>
      <c r="AF6" s="73">
        <f t="shared" ref="AF6" si="101">IFERROR(IF($M6=AE6,($D$8+$D$9+$D$10)*$I6,IF($N6=LEFT(AE6,1),($D$8+MAX(0,IF($D$50=1,$D$9*(1-(ABS($Q6-ABS(VALUE(MID(AE6,FIND("|",AE6)+1,FIND("-",AE6)-FIND("|",AE6)-1))-VALUE(MID(AE6,FIND("-",AE6)+1,10)))))*$D$50),$D$9*(1-(IF($N6="X",ABS($O6-VALUE(MID(AE6,FIND("|",AE6)+1,FIND("-",AE6)-FIND("|",AE6)-1))),ABS($Q6-ABS(VALUE(MID(AE6,FIND("|",AE6)+1,FIND("-",AE6)-FIND("|",AE6)-1))-VALUE(MID(AE6,FIND("-",AE6)+1,10)))))*$D$50)))))*$I6,0)),0)</f>
        <v>20</v>
      </c>
      <c r="AG6" s="111"/>
      <c r="AH6" s="72" t="s">
        <v>1954</v>
      </c>
      <c r="AI6" s="73">
        <f t="shared" ref="AI6" si="102">IFERROR(IF($M6=AH6,($D$8+$D$9+$D$10)*$I6,IF($N6=LEFT(AH6,1),($D$8+MAX(0,IF($D$50=1,$D$9*(1-(ABS($Q6-ABS(VALUE(MID(AH6,FIND("|",AH6)+1,FIND("-",AH6)-FIND("|",AH6)-1))-VALUE(MID(AH6,FIND("-",AH6)+1,10)))))*$D$50),$D$9*(1-(IF($N6="X",ABS($O6-VALUE(MID(AH6,FIND("|",AH6)+1,FIND("-",AH6)-FIND("|",AH6)-1))),ABS($Q6-ABS(VALUE(MID(AH6,FIND("|",AH6)+1,FIND("-",AH6)-FIND("|",AH6)-1))-VALUE(MID(AH6,FIND("-",AH6)+1,10)))))*$D$50)))))*$I6,0)),0)</f>
        <v>10</v>
      </c>
      <c r="AJ6" s="111"/>
      <c r="AK6" s="72" t="s">
        <v>1954</v>
      </c>
      <c r="AL6" s="73">
        <f t="shared" ref="AL6" si="103">IFERROR(IF($M6=AK6,($D$8+$D$9+$D$10)*$I6,IF($N6=LEFT(AK6,1),($D$8+MAX(0,IF($D$50=1,$D$9*(1-(ABS($Q6-ABS(VALUE(MID(AK6,FIND("|",AK6)+1,FIND("-",AK6)-FIND("|",AK6)-1))-VALUE(MID(AK6,FIND("-",AK6)+1,10)))))*$D$50),$D$9*(1-(IF($N6="X",ABS($O6-VALUE(MID(AK6,FIND("|",AK6)+1,FIND("-",AK6)-FIND("|",AK6)-1))),ABS($Q6-ABS(VALUE(MID(AK6,FIND("|",AK6)+1,FIND("-",AK6)-FIND("|",AK6)-1))-VALUE(MID(AK6,FIND("-",AK6)+1,10)))))*$D$50)))))*$I6,0)),0)</f>
        <v>10</v>
      </c>
      <c r="AM6" s="111"/>
      <c r="AN6" s="72" t="s">
        <v>1950</v>
      </c>
      <c r="AO6" s="73">
        <f t="shared" ref="AO6" si="104">IFERROR(IF($M6=AN6,($D$8+$D$9+$D$10)*$I6,IF($N6=LEFT(AN6,1),($D$8+MAX(0,IF($D$50=1,$D$9*(1-(ABS($Q6-ABS(VALUE(MID(AN6,FIND("|",AN6)+1,FIND("-",AN6)-FIND("|",AN6)-1))-VALUE(MID(AN6,FIND("-",AN6)+1,10)))))*$D$50),$D$9*(1-(IF($N6="X",ABS($O6-VALUE(MID(AN6,FIND("|",AN6)+1,FIND("-",AN6)-FIND("|",AN6)-1))),ABS($Q6-ABS(VALUE(MID(AN6,FIND("|",AN6)+1,FIND("-",AN6)-FIND("|",AN6)-1))-VALUE(MID(AN6,FIND("-",AN6)+1,10)))))*$D$50)))))*$I6,0)),0)</f>
        <v>20</v>
      </c>
      <c r="AP6" s="111"/>
      <c r="AQ6" s="72" t="s">
        <v>1950</v>
      </c>
      <c r="AR6" s="73">
        <f t="shared" ref="AR6" si="105">IFERROR(IF($M6=AQ6,($D$8+$D$9+$D$10)*$I6,IF($N6=LEFT(AQ6,1),($D$8+MAX(0,IF($D$50=1,$D$9*(1-(ABS($Q6-ABS(VALUE(MID(AQ6,FIND("|",AQ6)+1,FIND("-",AQ6)-FIND("|",AQ6)-1))-VALUE(MID(AQ6,FIND("-",AQ6)+1,10)))))*$D$50),$D$9*(1-(IF($N6="X",ABS($O6-VALUE(MID(AQ6,FIND("|",AQ6)+1,FIND("-",AQ6)-FIND("|",AQ6)-1))),ABS($Q6-ABS(VALUE(MID(AQ6,FIND("|",AQ6)+1,FIND("-",AQ6)-FIND("|",AQ6)-1))-VALUE(MID(AQ6,FIND("-",AQ6)+1,10)))))*$D$50)))))*$I6,0)),0)</f>
        <v>20</v>
      </c>
      <c r="AS6" s="111"/>
      <c r="AT6" s="72" t="s">
        <v>1950</v>
      </c>
      <c r="AU6" s="73">
        <f t="shared" ref="AU6" si="106">IFERROR(IF($M6=AT6,($D$8+$D$9+$D$10)*$I6,IF($N6=LEFT(AT6,1),($D$8+MAX(0,IF($D$50=1,$D$9*(1-(ABS($Q6-ABS(VALUE(MID(AT6,FIND("|",AT6)+1,FIND("-",AT6)-FIND("|",AT6)-1))-VALUE(MID(AT6,FIND("-",AT6)+1,10)))))*$D$50),$D$9*(1-(IF($N6="X",ABS($O6-VALUE(MID(AT6,FIND("|",AT6)+1,FIND("-",AT6)-FIND("|",AT6)-1))),ABS($Q6-ABS(VALUE(MID(AT6,FIND("|",AT6)+1,FIND("-",AT6)-FIND("|",AT6)-1))-VALUE(MID(AT6,FIND("-",AT6)+1,10)))))*$D$50)))))*$I6,0)),0)</f>
        <v>20</v>
      </c>
      <c r="AV6" s="111"/>
      <c r="AW6" s="72" t="s">
        <v>1959</v>
      </c>
      <c r="AX6" s="73">
        <f t="shared" ref="AX6" si="107">IFERROR(IF($M6=AW6,($D$8+$D$9+$D$10)*$I6,IF($N6=LEFT(AW6,1),($D$8+MAX(0,IF($D$50=1,$D$9*(1-(ABS($Q6-ABS(VALUE(MID(AW6,FIND("|",AW6)+1,FIND("-",AW6)-FIND("|",AW6)-1))-VALUE(MID(AW6,FIND("-",AW6)+1,10)))))*$D$50),$D$9*(1-(IF($N6="X",ABS($O6-VALUE(MID(AW6,FIND("|",AW6)+1,FIND("-",AW6)-FIND("|",AW6)-1))),ABS($Q6-ABS(VALUE(MID(AW6,FIND("|",AW6)+1,FIND("-",AW6)-FIND("|",AW6)-1))-VALUE(MID(AW6,FIND("-",AW6)+1,10)))))*$D$50)))))*$I6,0)),0)</f>
        <v>10</v>
      </c>
      <c r="AY6" s="111"/>
      <c r="AZ6" s="72" t="s">
        <v>1950</v>
      </c>
      <c r="BA6" s="73">
        <f t="shared" ref="BA6" si="108">IFERROR(IF($M6=AZ6,($D$8+$D$9+$D$10)*$I6,IF($N6=LEFT(AZ6,1),($D$8+MAX(0,IF($D$50=1,$D$9*(1-(ABS($Q6-ABS(VALUE(MID(AZ6,FIND("|",AZ6)+1,FIND("-",AZ6)-FIND("|",AZ6)-1))-VALUE(MID(AZ6,FIND("-",AZ6)+1,10)))))*$D$50),$D$9*(1-(IF($N6="X",ABS($O6-VALUE(MID(AZ6,FIND("|",AZ6)+1,FIND("-",AZ6)-FIND("|",AZ6)-1))),ABS($Q6-ABS(VALUE(MID(AZ6,FIND("|",AZ6)+1,FIND("-",AZ6)-FIND("|",AZ6)-1))-VALUE(MID(AZ6,FIND("-",AZ6)+1,10)))))*$D$50)))))*$I6,0)),0)</f>
        <v>20</v>
      </c>
      <c r="BB6" s="111"/>
      <c r="BC6" s="72" t="s">
        <v>1944</v>
      </c>
      <c r="BD6" s="73">
        <f t="shared" ref="BD6" si="109">IFERROR(IF($M6=BC6,($D$8+$D$9+$D$10)*$I6,IF($N6=LEFT(BC6,1),($D$8+MAX(0,IF($D$50=1,$D$9*(1-(ABS($Q6-ABS(VALUE(MID(BC6,FIND("|",BC6)+1,FIND("-",BC6)-FIND("|",BC6)-1))-VALUE(MID(BC6,FIND("-",BC6)+1,10)))))*$D$50),$D$9*(1-(IF($N6="X",ABS($O6-VALUE(MID(BC6,FIND("|",BC6)+1,FIND("-",BC6)-FIND("|",BC6)-1))),ABS($Q6-ABS(VALUE(MID(BC6,FIND("|",BC6)+1,FIND("-",BC6)-FIND("|",BC6)-1))-VALUE(MID(BC6,FIND("-",BC6)+1,10)))))*$D$50)))))*$I6,0)),0)</f>
        <v>0</v>
      </c>
      <c r="BE6" s="111"/>
      <c r="BF6" s="72" t="s">
        <v>1959</v>
      </c>
      <c r="BG6" s="73">
        <f t="shared" ref="BG6" si="110">IFERROR(IF($M6=BF6,($D$8+$D$9+$D$10)*$I6,IF($N6=LEFT(BF6,1),($D$8+MAX(0,IF($D$50=1,$D$9*(1-(ABS($Q6-ABS(VALUE(MID(BF6,FIND("|",BF6)+1,FIND("-",BF6)-FIND("|",BF6)-1))-VALUE(MID(BF6,FIND("-",BF6)+1,10)))))*$D$50),$D$9*(1-(IF($N6="X",ABS($O6-VALUE(MID(BF6,FIND("|",BF6)+1,FIND("-",BF6)-FIND("|",BF6)-1))),ABS($Q6-ABS(VALUE(MID(BF6,FIND("|",BF6)+1,FIND("-",BF6)-FIND("|",BF6)-1))-VALUE(MID(BF6,FIND("-",BF6)+1,10)))))*$D$50)))))*$I6,0)),0)</f>
        <v>10</v>
      </c>
      <c r="BH6" s="111"/>
      <c r="BI6" s="72" t="s">
        <v>1954</v>
      </c>
      <c r="BJ6" s="73">
        <f t="shared" ref="BJ6" si="111">IFERROR(IF($M6=BI6,($D$8+$D$9+$D$10)*$I6,IF($N6=LEFT(BI6,1),($D$8+MAX(0,IF($D$50=1,$D$9*(1-(ABS($Q6-ABS(VALUE(MID(BI6,FIND("|",BI6)+1,FIND("-",BI6)-FIND("|",BI6)-1))-VALUE(MID(BI6,FIND("-",BI6)+1,10)))))*$D$50),$D$9*(1-(IF($N6="X",ABS($O6-VALUE(MID(BI6,FIND("|",BI6)+1,FIND("-",BI6)-FIND("|",BI6)-1))),ABS($Q6-ABS(VALUE(MID(BI6,FIND("|",BI6)+1,FIND("-",BI6)-FIND("|",BI6)-1))-VALUE(MID(BI6,FIND("-",BI6)+1,10)))))*$D$50)))))*$I6,0)),0)</f>
        <v>10</v>
      </c>
      <c r="BK6" s="111"/>
      <c r="BL6" s="72" t="s">
        <v>1950</v>
      </c>
      <c r="BM6" s="73">
        <f t="shared" ref="BM6" si="112">IFERROR(IF($M6=BL6,($D$8+$D$9+$D$10)*$I6,IF($N6=LEFT(BL6,1),($D$8+MAX(0,IF($D$50=1,$D$9*(1-(ABS($Q6-ABS(VALUE(MID(BL6,FIND("|",BL6)+1,FIND("-",BL6)-FIND("|",BL6)-1))-VALUE(MID(BL6,FIND("-",BL6)+1,10)))))*$D$50),$D$9*(1-(IF($N6="X",ABS($O6-VALUE(MID(BL6,FIND("|",BL6)+1,FIND("-",BL6)-FIND("|",BL6)-1))),ABS($Q6-ABS(VALUE(MID(BL6,FIND("|",BL6)+1,FIND("-",BL6)-FIND("|",BL6)-1))-VALUE(MID(BL6,FIND("-",BL6)+1,10)))))*$D$50)))))*$I6,0)),0)</f>
        <v>20</v>
      </c>
      <c r="BN6" s="111"/>
      <c r="BO6" s="72" t="s">
        <v>1950</v>
      </c>
      <c r="BP6" s="73">
        <f t="shared" ref="BP6" si="113">IFERROR(IF($M6=BO6,($D$8+$D$9+$D$10)*$I6,IF($N6=LEFT(BO6,1),($D$8+MAX(0,IF($D$50=1,$D$9*(1-(ABS($Q6-ABS(VALUE(MID(BO6,FIND("|",BO6)+1,FIND("-",BO6)-FIND("|",BO6)-1))-VALUE(MID(BO6,FIND("-",BO6)+1,10)))))*$D$50),$D$9*(1-(IF($N6="X",ABS($O6-VALUE(MID(BO6,FIND("|",BO6)+1,FIND("-",BO6)-FIND("|",BO6)-1))),ABS($Q6-ABS(VALUE(MID(BO6,FIND("|",BO6)+1,FIND("-",BO6)-FIND("|",BO6)-1))-VALUE(MID(BO6,FIND("-",BO6)+1,10)))))*$D$50)))))*$I6,0)),0)</f>
        <v>20</v>
      </c>
      <c r="BQ6" s="111"/>
      <c r="BR6" s="72" t="s">
        <v>1950</v>
      </c>
      <c r="BS6" s="73">
        <f t="shared" ref="BS6" si="114">IFERROR(IF($M6=BR6,($D$8+$D$9+$D$10)*$I6,IF($N6=LEFT(BR6,1),($D$8+MAX(0,IF($D$50=1,$D$9*(1-(ABS($Q6-ABS(VALUE(MID(BR6,FIND("|",BR6)+1,FIND("-",BR6)-FIND("|",BR6)-1))-VALUE(MID(BR6,FIND("-",BR6)+1,10)))))*$D$50),$D$9*(1-(IF($N6="X",ABS($O6-VALUE(MID(BR6,FIND("|",BR6)+1,FIND("-",BR6)-FIND("|",BR6)-1))),ABS($Q6-ABS(VALUE(MID(BR6,FIND("|",BR6)+1,FIND("-",BR6)-FIND("|",BR6)-1))-VALUE(MID(BR6,FIND("-",BR6)+1,10)))))*$D$50)))))*$I6,0)),0)</f>
        <v>20</v>
      </c>
      <c r="BT6" s="111"/>
      <c r="BU6" s="72" t="s">
        <v>1950</v>
      </c>
      <c r="BV6" s="73">
        <f t="shared" ref="BV6" si="115">IFERROR(IF($M6=BU6,($D$8+$D$9+$D$10)*$I6,IF($N6=LEFT(BU6,1),($D$8+MAX(0,IF($D$50=1,$D$9*(1-(ABS($Q6-ABS(VALUE(MID(BU6,FIND("|",BU6)+1,FIND("-",BU6)-FIND("|",BU6)-1))-VALUE(MID(BU6,FIND("-",BU6)+1,10)))))*$D$50),$D$9*(1-(IF($N6="X",ABS($O6-VALUE(MID(BU6,FIND("|",BU6)+1,FIND("-",BU6)-FIND("|",BU6)-1))),ABS($Q6-ABS(VALUE(MID(BU6,FIND("|",BU6)+1,FIND("-",BU6)-FIND("|",BU6)-1))-VALUE(MID(BU6,FIND("-",BU6)+1,10)))))*$D$50)))))*$I6,0)),0)</f>
        <v>20</v>
      </c>
      <c r="BW6" s="111"/>
      <c r="BX6" s="72" t="s">
        <v>1954</v>
      </c>
      <c r="BY6" s="73">
        <f t="shared" ref="BY6" si="116">IFERROR(IF($M6=BX6,($D$8+$D$9+$D$10)*$I6,IF($N6=LEFT(BX6,1),($D$8+MAX(0,IF($D$50=1,$D$9*(1-(ABS($Q6-ABS(VALUE(MID(BX6,FIND("|",BX6)+1,FIND("-",BX6)-FIND("|",BX6)-1))-VALUE(MID(BX6,FIND("-",BX6)+1,10)))))*$D$50),$D$9*(1-(IF($N6="X",ABS($O6-VALUE(MID(BX6,FIND("|",BX6)+1,FIND("-",BX6)-FIND("|",BX6)-1))),ABS($Q6-ABS(VALUE(MID(BX6,FIND("|",BX6)+1,FIND("-",BX6)-FIND("|",BX6)-1))-VALUE(MID(BX6,FIND("-",BX6)+1,10)))))*$D$50)))))*$I6,0)),0)</f>
        <v>10</v>
      </c>
      <c r="BZ6" s="111"/>
      <c r="CA6" s="72" t="s">
        <v>1950</v>
      </c>
      <c r="CB6" s="73">
        <f t="shared" ref="CB6" si="117">IFERROR(IF($M6=CA6,($D$8+$D$9+$D$10)*$I6,IF($N6=LEFT(CA6,1),($D$8+MAX(0,IF($D$50=1,$D$9*(1-(ABS($Q6-ABS(VALUE(MID(CA6,FIND("|",CA6)+1,FIND("-",CA6)-FIND("|",CA6)-1))-VALUE(MID(CA6,FIND("-",CA6)+1,10)))))*$D$50),$D$9*(1-(IF($N6="X",ABS($O6-VALUE(MID(CA6,FIND("|",CA6)+1,FIND("-",CA6)-FIND("|",CA6)-1))),ABS($Q6-ABS(VALUE(MID(CA6,FIND("|",CA6)+1,FIND("-",CA6)-FIND("|",CA6)-1))-VALUE(MID(CA6,FIND("-",CA6)+1,10)))))*$D$50)))))*$I6,0)),0)</f>
        <v>20</v>
      </c>
      <c r="CC6" s="111"/>
      <c r="CD6" s="72" t="s">
        <v>1950</v>
      </c>
      <c r="CE6" s="73">
        <f t="shared" ref="CE6" si="118">IFERROR(IF($M6=CD6,($D$8+$D$9+$D$10)*$I6,IF($N6=LEFT(CD6,1),($D$8+MAX(0,IF($D$50=1,$D$9*(1-(ABS($Q6-ABS(VALUE(MID(CD6,FIND("|",CD6)+1,FIND("-",CD6)-FIND("|",CD6)-1))-VALUE(MID(CD6,FIND("-",CD6)+1,10)))))*$D$50),$D$9*(1-(IF($N6="X",ABS($O6-VALUE(MID(CD6,FIND("|",CD6)+1,FIND("-",CD6)-FIND("|",CD6)-1))),ABS($Q6-ABS(VALUE(MID(CD6,FIND("|",CD6)+1,FIND("-",CD6)-FIND("|",CD6)-1))-VALUE(MID(CD6,FIND("-",CD6)+1,10)))))*$D$50)))))*$I6,0)),0)</f>
        <v>20</v>
      </c>
      <c r="CF6" s="111"/>
      <c r="CG6" s="72" t="s">
        <v>1950</v>
      </c>
      <c r="CH6" s="73">
        <f t="shared" ref="CH6" si="119">IFERROR(IF($M6=CG6,($D$8+$D$9+$D$10)*$I6,IF($N6=LEFT(CG6,1),($D$8+MAX(0,IF($D$50=1,$D$9*(1-(ABS($Q6-ABS(VALUE(MID(CG6,FIND("|",CG6)+1,FIND("-",CG6)-FIND("|",CG6)-1))-VALUE(MID(CG6,FIND("-",CG6)+1,10)))))*$D$50),$D$9*(1-(IF($N6="X",ABS($O6-VALUE(MID(CG6,FIND("|",CG6)+1,FIND("-",CG6)-FIND("|",CG6)-1))),ABS($Q6-ABS(VALUE(MID(CG6,FIND("|",CG6)+1,FIND("-",CG6)-FIND("|",CG6)-1))-VALUE(MID(CG6,FIND("-",CG6)+1,10)))))*$D$50)))))*$I6,0)),0)</f>
        <v>20</v>
      </c>
      <c r="CI6" s="111"/>
      <c r="CJ6" s="72" t="s">
        <v>1954</v>
      </c>
      <c r="CK6" s="73">
        <f t="shared" ref="CK6:EV19" si="120">IFERROR(IF($M6=CJ6,($D$8+$D$9+$D$10)*$I6,IF($N6=LEFT(CJ6,1),($D$8+MAX(0,IF($D$50=1,$D$9*(1-(ABS($Q6-ABS(VALUE(MID(CJ6,FIND("|",CJ6)+1,FIND("-",CJ6)-FIND("|",CJ6)-1))-VALUE(MID(CJ6,FIND("-",CJ6)+1,10)))))*$D$50),$D$9*(1-(IF($N6="X",ABS($O6-VALUE(MID(CJ6,FIND("|",CJ6)+1,FIND("-",CJ6)-FIND("|",CJ6)-1))),ABS($Q6-ABS(VALUE(MID(CJ6,FIND("|",CJ6)+1,FIND("-",CJ6)-FIND("|",CJ6)-1))-VALUE(MID(CJ6,FIND("-",CJ6)+1,10)))))*$D$50)))))*$I6,0)),0)</f>
        <v>10</v>
      </c>
      <c r="CL6" s="111"/>
      <c r="CM6" s="72" t="s">
        <v>1950</v>
      </c>
      <c r="CN6" s="73">
        <f t="shared" ref="CN6" si="121">IFERROR(IF($M6=CM6,($D$8+$D$9+$D$10)*$I6,IF($N6=LEFT(CM6,1),($D$8+MAX(0,IF($D$50=1,$D$9*(1-(ABS($Q6-ABS(VALUE(MID(CM6,FIND("|",CM6)+1,FIND("-",CM6)-FIND("|",CM6)-1))-VALUE(MID(CM6,FIND("-",CM6)+1,10)))))*$D$50),$D$9*(1-(IF($N6="X",ABS($O6-VALUE(MID(CM6,FIND("|",CM6)+1,FIND("-",CM6)-FIND("|",CM6)-1))),ABS($Q6-ABS(VALUE(MID(CM6,FIND("|",CM6)+1,FIND("-",CM6)-FIND("|",CM6)-1))-VALUE(MID(CM6,FIND("-",CM6)+1,10)))))*$D$50)))))*$I6,0)),0)</f>
        <v>20</v>
      </c>
      <c r="CO6" s="111"/>
      <c r="CP6" s="72" t="s">
        <v>1950</v>
      </c>
      <c r="CQ6" s="73">
        <f t="shared" ref="CQ6" si="122">IFERROR(IF($M6=CP6,($D$8+$D$9+$D$10)*$I6,IF($N6=LEFT(CP6,1),($D$8+MAX(0,IF($D$50=1,$D$9*(1-(ABS($Q6-ABS(VALUE(MID(CP6,FIND("|",CP6)+1,FIND("-",CP6)-FIND("|",CP6)-1))-VALUE(MID(CP6,FIND("-",CP6)+1,10)))))*$D$50),$D$9*(1-(IF($N6="X",ABS($O6-VALUE(MID(CP6,FIND("|",CP6)+1,FIND("-",CP6)-FIND("|",CP6)-1))),ABS($Q6-ABS(VALUE(MID(CP6,FIND("|",CP6)+1,FIND("-",CP6)-FIND("|",CP6)-1))-VALUE(MID(CP6,FIND("-",CP6)+1,10)))))*$D$50)))))*$I6,0)),0)</f>
        <v>20</v>
      </c>
      <c r="CR6" s="111"/>
      <c r="CS6" s="72" t="s">
        <v>1954</v>
      </c>
      <c r="CT6" s="73">
        <f t="shared" ref="CT6" si="123">IFERROR(IF($M6=CS6,($D$8+$D$9+$D$10)*$I6,IF($N6=LEFT(CS6,1),($D$8+MAX(0,IF($D$50=1,$D$9*(1-(ABS($Q6-ABS(VALUE(MID(CS6,FIND("|",CS6)+1,FIND("-",CS6)-FIND("|",CS6)-1))-VALUE(MID(CS6,FIND("-",CS6)+1,10)))))*$D$50),$D$9*(1-(IF($N6="X",ABS($O6-VALUE(MID(CS6,FIND("|",CS6)+1,FIND("-",CS6)-FIND("|",CS6)-1))),ABS($Q6-ABS(VALUE(MID(CS6,FIND("|",CS6)+1,FIND("-",CS6)-FIND("|",CS6)-1))-VALUE(MID(CS6,FIND("-",CS6)+1,10)))))*$D$50)))))*$I6,0)),0)</f>
        <v>10</v>
      </c>
      <c r="CU6" s="111"/>
      <c r="CV6" s="72" t="s">
        <v>1950</v>
      </c>
      <c r="CW6" s="73">
        <f t="shared" ref="CW6" si="124">IFERROR(IF($M6=CV6,($D$8+$D$9+$D$10)*$I6,IF($N6=LEFT(CV6,1),($D$8+MAX(0,IF($D$50=1,$D$9*(1-(ABS($Q6-ABS(VALUE(MID(CV6,FIND("|",CV6)+1,FIND("-",CV6)-FIND("|",CV6)-1))-VALUE(MID(CV6,FIND("-",CV6)+1,10)))))*$D$50),$D$9*(1-(IF($N6="X",ABS($O6-VALUE(MID(CV6,FIND("|",CV6)+1,FIND("-",CV6)-FIND("|",CV6)-1))),ABS($Q6-ABS(VALUE(MID(CV6,FIND("|",CV6)+1,FIND("-",CV6)-FIND("|",CV6)-1))-VALUE(MID(CV6,FIND("-",CV6)+1,10)))))*$D$50)))))*$I6,0)),0)</f>
        <v>20</v>
      </c>
      <c r="CX6" s="111"/>
      <c r="CY6" s="72" t="s">
        <v>1955</v>
      </c>
      <c r="CZ6" s="73">
        <f t="shared" ref="CZ6" si="125">IFERROR(IF($M6=CY6,($D$8+$D$9+$D$10)*$I6,IF($N6=LEFT(CY6,1),($D$8+MAX(0,IF($D$50=1,$D$9*(1-(ABS($Q6-ABS(VALUE(MID(CY6,FIND("|",CY6)+1,FIND("-",CY6)-FIND("|",CY6)-1))-VALUE(MID(CY6,FIND("-",CY6)+1,10)))))*$D$50),$D$9*(1-(IF($N6="X",ABS($O6-VALUE(MID(CY6,FIND("|",CY6)+1,FIND("-",CY6)-FIND("|",CY6)-1))),ABS($Q6-ABS(VALUE(MID(CY6,FIND("|",CY6)+1,FIND("-",CY6)-FIND("|",CY6)-1))-VALUE(MID(CY6,FIND("-",CY6)+1,10)))))*$D$50)))))*$I6,0)),0)</f>
        <v>0</v>
      </c>
      <c r="DA6" s="111"/>
      <c r="DB6" s="72" t="s">
        <v>1959</v>
      </c>
      <c r="DC6" s="73">
        <f t="shared" ref="DC6" si="126">IFERROR(IF($M6=DB6,($D$8+$D$9+$D$10)*$I6,IF($N6=LEFT(DB6,1),($D$8+MAX(0,IF($D$50=1,$D$9*(1-(ABS($Q6-ABS(VALUE(MID(DB6,FIND("|",DB6)+1,FIND("-",DB6)-FIND("|",DB6)-1))-VALUE(MID(DB6,FIND("-",DB6)+1,10)))))*$D$50),$D$9*(1-(IF($N6="X",ABS($O6-VALUE(MID(DB6,FIND("|",DB6)+1,FIND("-",DB6)-FIND("|",DB6)-1))),ABS($Q6-ABS(VALUE(MID(DB6,FIND("|",DB6)+1,FIND("-",DB6)-FIND("|",DB6)-1))-VALUE(MID(DB6,FIND("-",DB6)+1,10)))))*$D$50)))))*$I6,0)),0)</f>
        <v>10</v>
      </c>
      <c r="DD6" s="111"/>
      <c r="DE6" s="72" t="s">
        <v>1950</v>
      </c>
      <c r="DF6" s="73">
        <f t="shared" ref="DF6" si="127">IFERROR(IF($M6=DE6,($D$8+$D$9+$D$10)*$I6,IF($N6=LEFT(DE6,1),($D$8+MAX(0,IF($D$50=1,$D$9*(1-(ABS($Q6-ABS(VALUE(MID(DE6,FIND("|",DE6)+1,FIND("-",DE6)-FIND("|",DE6)-1))-VALUE(MID(DE6,FIND("-",DE6)+1,10)))))*$D$50),$D$9*(1-(IF($N6="X",ABS($O6-VALUE(MID(DE6,FIND("|",DE6)+1,FIND("-",DE6)-FIND("|",DE6)-1))),ABS($Q6-ABS(VALUE(MID(DE6,FIND("|",DE6)+1,FIND("-",DE6)-FIND("|",DE6)-1))-VALUE(MID(DE6,FIND("-",DE6)+1,10)))))*$D$50)))))*$I6,0)),0)</f>
        <v>20</v>
      </c>
      <c r="DG6" s="111"/>
      <c r="DH6" s="72" t="s">
        <v>1954</v>
      </c>
      <c r="DI6" s="73">
        <f t="shared" ref="DI6" si="128">IFERROR(IF($M6=DH6,($D$8+$D$9+$D$10)*$I6,IF($N6=LEFT(DH6,1),($D$8+MAX(0,IF($D$50=1,$D$9*(1-(ABS($Q6-ABS(VALUE(MID(DH6,FIND("|",DH6)+1,FIND("-",DH6)-FIND("|",DH6)-1))-VALUE(MID(DH6,FIND("-",DH6)+1,10)))))*$D$50),$D$9*(1-(IF($N6="X",ABS($O6-VALUE(MID(DH6,FIND("|",DH6)+1,FIND("-",DH6)-FIND("|",DH6)-1))),ABS($Q6-ABS(VALUE(MID(DH6,FIND("|",DH6)+1,FIND("-",DH6)-FIND("|",DH6)-1))-VALUE(MID(DH6,FIND("-",DH6)+1,10)))))*$D$50)))))*$I6,0)),0)</f>
        <v>10</v>
      </c>
      <c r="DJ6" s="111"/>
      <c r="DK6" s="72" t="s">
        <v>1950</v>
      </c>
      <c r="DL6" s="73">
        <f t="shared" ref="DL6" si="129">IFERROR(IF($M6=DK6,($D$8+$D$9+$D$10)*$I6,IF($N6=LEFT(DK6,1),($D$8+MAX(0,IF($D$50=1,$D$9*(1-(ABS($Q6-ABS(VALUE(MID(DK6,FIND("|",DK6)+1,FIND("-",DK6)-FIND("|",DK6)-1))-VALUE(MID(DK6,FIND("-",DK6)+1,10)))))*$D$50),$D$9*(1-(IF($N6="X",ABS($O6-VALUE(MID(DK6,FIND("|",DK6)+1,FIND("-",DK6)-FIND("|",DK6)-1))),ABS($Q6-ABS(VALUE(MID(DK6,FIND("|",DK6)+1,FIND("-",DK6)-FIND("|",DK6)-1))-VALUE(MID(DK6,FIND("-",DK6)+1,10)))))*$D$50)))))*$I6,0)),0)</f>
        <v>20</v>
      </c>
      <c r="DM6" s="111"/>
      <c r="DN6" s="72" t="s">
        <v>1954</v>
      </c>
      <c r="DO6" s="73">
        <f t="shared" ref="DO6" si="130">IFERROR(IF($M6=DN6,($D$8+$D$9+$D$10)*$I6,IF($N6=LEFT(DN6,1),($D$8+MAX(0,IF($D$50=1,$D$9*(1-(ABS($Q6-ABS(VALUE(MID(DN6,FIND("|",DN6)+1,FIND("-",DN6)-FIND("|",DN6)-1))-VALUE(MID(DN6,FIND("-",DN6)+1,10)))))*$D$50),$D$9*(1-(IF($N6="X",ABS($O6-VALUE(MID(DN6,FIND("|",DN6)+1,FIND("-",DN6)-FIND("|",DN6)-1))),ABS($Q6-ABS(VALUE(MID(DN6,FIND("|",DN6)+1,FIND("-",DN6)-FIND("|",DN6)-1))-VALUE(MID(DN6,FIND("-",DN6)+1,10)))))*$D$50)))))*$I6,0)),0)</f>
        <v>10</v>
      </c>
      <c r="DP6" s="111"/>
      <c r="DQ6" s="72" t="s">
        <v>1950</v>
      </c>
      <c r="DR6" s="73">
        <f t="shared" ref="DR6" si="131">IFERROR(IF($M6=DQ6,($D$8+$D$9+$D$10)*$I6,IF($N6=LEFT(DQ6,1),($D$8+MAX(0,IF($D$50=1,$D$9*(1-(ABS($Q6-ABS(VALUE(MID(DQ6,FIND("|",DQ6)+1,FIND("-",DQ6)-FIND("|",DQ6)-1))-VALUE(MID(DQ6,FIND("-",DQ6)+1,10)))))*$D$50),$D$9*(1-(IF($N6="X",ABS($O6-VALUE(MID(DQ6,FIND("|",DQ6)+1,FIND("-",DQ6)-FIND("|",DQ6)-1))),ABS($Q6-ABS(VALUE(MID(DQ6,FIND("|",DQ6)+1,FIND("-",DQ6)-FIND("|",DQ6)-1))-VALUE(MID(DQ6,FIND("-",DQ6)+1,10)))))*$D$50)))))*$I6,0)),0)</f>
        <v>20</v>
      </c>
      <c r="DS6" s="111"/>
      <c r="DT6" s="72" t="s">
        <v>1950</v>
      </c>
      <c r="DU6" s="73">
        <f t="shared" ref="DU6" si="132">IFERROR(IF($M6=DT6,($D$8+$D$9+$D$10)*$I6,IF($N6=LEFT(DT6,1),($D$8+MAX(0,IF($D$50=1,$D$9*(1-(ABS($Q6-ABS(VALUE(MID(DT6,FIND("|",DT6)+1,FIND("-",DT6)-FIND("|",DT6)-1))-VALUE(MID(DT6,FIND("-",DT6)+1,10)))))*$D$50),$D$9*(1-(IF($N6="X",ABS($O6-VALUE(MID(DT6,FIND("|",DT6)+1,FIND("-",DT6)-FIND("|",DT6)-1))),ABS($Q6-ABS(VALUE(MID(DT6,FIND("|",DT6)+1,FIND("-",DT6)-FIND("|",DT6)-1))-VALUE(MID(DT6,FIND("-",DT6)+1,10)))))*$D$50)))))*$I6,0)),0)</f>
        <v>20</v>
      </c>
      <c r="DV6" s="111"/>
      <c r="DW6" s="72" t="s">
        <v>1950</v>
      </c>
      <c r="DX6" s="73">
        <f t="shared" ref="DX6" si="133">IFERROR(IF($M6=DW6,($D$8+$D$9+$D$10)*$I6,IF($N6=LEFT(DW6,1),($D$8+MAX(0,IF($D$50=1,$D$9*(1-(ABS($Q6-ABS(VALUE(MID(DW6,FIND("|",DW6)+1,FIND("-",DW6)-FIND("|",DW6)-1))-VALUE(MID(DW6,FIND("-",DW6)+1,10)))))*$D$50),$D$9*(1-(IF($N6="X",ABS($O6-VALUE(MID(DW6,FIND("|",DW6)+1,FIND("-",DW6)-FIND("|",DW6)-1))),ABS($Q6-ABS(VALUE(MID(DW6,FIND("|",DW6)+1,FIND("-",DW6)-FIND("|",DW6)-1))-VALUE(MID(DW6,FIND("-",DW6)+1,10)))))*$D$50)))))*$I6,0)),0)</f>
        <v>20</v>
      </c>
      <c r="DY6" s="111"/>
      <c r="DZ6" s="72" t="s">
        <v>1954</v>
      </c>
      <c r="EA6" s="73">
        <f t="shared" ref="EA6" si="134">IFERROR(IF($M6=DZ6,($D$8+$D$9+$D$10)*$I6,IF($N6=LEFT(DZ6,1),($D$8+MAX(0,IF($D$50=1,$D$9*(1-(ABS($Q6-ABS(VALUE(MID(DZ6,FIND("|",DZ6)+1,FIND("-",DZ6)-FIND("|",DZ6)-1))-VALUE(MID(DZ6,FIND("-",DZ6)+1,10)))))*$D$50),$D$9*(1-(IF($N6="X",ABS($O6-VALUE(MID(DZ6,FIND("|",DZ6)+1,FIND("-",DZ6)-FIND("|",DZ6)-1))),ABS($Q6-ABS(VALUE(MID(DZ6,FIND("|",DZ6)+1,FIND("-",DZ6)-FIND("|",DZ6)-1))-VALUE(MID(DZ6,FIND("-",DZ6)+1,10)))))*$D$50)))))*$I6,0)),0)</f>
        <v>10</v>
      </c>
      <c r="EB6" s="111"/>
      <c r="EC6" s="72" t="s">
        <v>1950</v>
      </c>
      <c r="ED6" s="73">
        <f t="shared" ref="ED6" si="135">IFERROR(IF($M6=EC6,($D$8+$D$9+$D$10)*$I6,IF($N6=LEFT(EC6,1),($D$8+MAX(0,IF($D$50=1,$D$9*(1-(ABS($Q6-ABS(VALUE(MID(EC6,FIND("|",EC6)+1,FIND("-",EC6)-FIND("|",EC6)-1))-VALUE(MID(EC6,FIND("-",EC6)+1,10)))))*$D$50),$D$9*(1-(IF($N6="X",ABS($O6-VALUE(MID(EC6,FIND("|",EC6)+1,FIND("-",EC6)-FIND("|",EC6)-1))),ABS($Q6-ABS(VALUE(MID(EC6,FIND("|",EC6)+1,FIND("-",EC6)-FIND("|",EC6)-1))-VALUE(MID(EC6,FIND("-",EC6)+1,10)))))*$D$50)))))*$I6,0)),0)</f>
        <v>20</v>
      </c>
      <c r="EE6" s="111"/>
      <c r="EF6" s="72" t="s">
        <v>1949</v>
      </c>
      <c r="EG6" s="73">
        <f t="shared" ref="EG6" si="136">IFERROR(IF($M6=EF6,($D$8+$D$9+$D$10)*$I6,IF($N6=LEFT(EF6,1),($D$8+MAX(0,IF($D$50=1,$D$9*(1-(ABS($Q6-ABS(VALUE(MID(EF6,FIND("|",EF6)+1,FIND("-",EF6)-FIND("|",EF6)-1))-VALUE(MID(EF6,FIND("-",EF6)+1,10)))))*$D$50),$D$9*(1-(IF($N6="X",ABS($O6-VALUE(MID(EF6,FIND("|",EF6)+1,FIND("-",EF6)-FIND("|",EF6)-1))),ABS($Q6-ABS(VALUE(MID(EF6,FIND("|",EF6)+1,FIND("-",EF6)-FIND("|",EF6)-1))-VALUE(MID(EF6,FIND("-",EF6)+1,10)))))*$D$50)))))*$I6,0)),0)</f>
        <v>12</v>
      </c>
      <c r="EH6" s="111"/>
      <c r="EI6" s="72" t="s">
        <v>1950</v>
      </c>
      <c r="EJ6" s="73">
        <f t="shared" ref="EJ6" si="137">IFERROR(IF($M6=EI6,($D$8+$D$9+$D$10)*$I6,IF($N6=LEFT(EI6,1),($D$8+MAX(0,IF($D$50=1,$D$9*(1-(ABS($Q6-ABS(VALUE(MID(EI6,FIND("|",EI6)+1,FIND("-",EI6)-FIND("|",EI6)-1))-VALUE(MID(EI6,FIND("-",EI6)+1,10)))))*$D$50),$D$9*(1-(IF($N6="X",ABS($O6-VALUE(MID(EI6,FIND("|",EI6)+1,FIND("-",EI6)-FIND("|",EI6)-1))),ABS($Q6-ABS(VALUE(MID(EI6,FIND("|",EI6)+1,FIND("-",EI6)-FIND("|",EI6)-1))-VALUE(MID(EI6,FIND("-",EI6)+1,10)))))*$D$50)))))*$I6,0)),0)</f>
        <v>20</v>
      </c>
      <c r="EK6" s="111"/>
      <c r="EL6" s="72" t="s">
        <v>1954</v>
      </c>
      <c r="EM6" s="73">
        <f t="shared" ref="EM6" si="138">IFERROR(IF($M6=EL6,($D$8+$D$9+$D$10)*$I6,IF($N6=LEFT(EL6,1),($D$8+MAX(0,IF($D$50=1,$D$9*(1-(ABS($Q6-ABS(VALUE(MID(EL6,FIND("|",EL6)+1,FIND("-",EL6)-FIND("|",EL6)-1))-VALUE(MID(EL6,FIND("-",EL6)+1,10)))))*$D$50),$D$9*(1-(IF($N6="X",ABS($O6-VALUE(MID(EL6,FIND("|",EL6)+1,FIND("-",EL6)-FIND("|",EL6)-1))),ABS($Q6-ABS(VALUE(MID(EL6,FIND("|",EL6)+1,FIND("-",EL6)-FIND("|",EL6)-1))-VALUE(MID(EL6,FIND("-",EL6)+1,10)))))*$D$50)))))*$I6,0)),0)</f>
        <v>10</v>
      </c>
      <c r="EN6" s="111"/>
      <c r="EO6" s="72" t="s">
        <v>1954</v>
      </c>
      <c r="EP6" s="73">
        <f t="shared" ref="EP6" si="139">IFERROR(IF($M6=EO6,($D$8+$D$9+$D$10)*$I6,IF($N6=LEFT(EO6,1),($D$8+MAX(0,IF($D$50=1,$D$9*(1-(ABS($Q6-ABS(VALUE(MID(EO6,FIND("|",EO6)+1,FIND("-",EO6)-FIND("|",EO6)-1))-VALUE(MID(EO6,FIND("-",EO6)+1,10)))))*$D$50),$D$9*(1-(IF($N6="X",ABS($O6-VALUE(MID(EO6,FIND("|",EO6)+1,FIND("-",EO6)-FIND("|",EO6)-1))),ABS($Q6-ABS(VALUE(MID(EO6,FIND("|",EO6)+1,FIND("-",EO6)-FIND("|",EO6)-1))-VALUE(MID(EO6,FIND("-",EO6)+1,10)))))*$D$50)))))*$I6,0)),0)</f>
        <v>10</v>
      </c>
      <c r="EQ6" s="111"/>
      <c r="ER6" s="72" t="s">
        <v>1954</v>
      </c>
      <c r="ES6" s="73">
        <f t="shared" ref="ES6" si="140">IFERROR(IF($M6=ER6,($D$8+$D$9+$D$10)*$I6,IF($N6=LEFT(ER6,1),($D$8+MAX(0,IF($D$50=1,$D$9*(1-(ABS($Q6-ABS(VALUE(MID(ER6,FIND("|",ER6)+1,FIND("-",ER6)-FIND("|",ER6)-1))-VALUE(MID(ER6,FIND("-",ER6)+1,10)))))*$D$50),$D$9*(1-(IF($N6="X",ABS($O6-VALUE(MID(ER6,FIND("|",ER6)+1,FIND("-",ER6)-FIND("|",ER6)-1))),ABS($Q6-ABS(VALUE(MID(ER6,FIND("|",ER6)+1,FIND("-",ER6)-FIND("|",ER6)-1))-VALUE(MID(ER6,FIND("-",ER6)+1,10)))))*$D$50)))))*$I6,0)),0)</f>
        <v>10</v>
      </c>
      <c r="ET6" s="111"/>
      <c r="EU6" s="72" t="s">
        <v>1950</v>
      </c>
      <c r="EV6" s="73">
        <f t="shared" ref="EV6" si="141">IFERROR(IF($M6=EU6,($D$8+$D$9+$D$10)*$I6,IF($N6=LEFT(EU6,1),($D$8+MAX(0,IF($D$50=1,$D$9*(1-(ABS($Q6-ABS(VALUE(MID(EU6,FIND("|",EU6)+1,FIND("-",EU6)-FIND("|",EU6)-1))-VALUE(MID(EU6,FIND("-",EU6)+1,10)))))*$D$50),$D$9*(1-(IF($N6="X",ABS($O6-VALUE(MID(EU6,FIND("|",EU6)+1,FIND("-",EU6)-FIND("|",EU6)-1))),ABS($Q6-ABS(VALUE(MID(EU6,FIND("|",EU6)+1,FIND("-",EU6)-FIND("|",EU6)-1))-VALUE(MID(EU6,FIND("-",EU6)+1,10)))))*$D$50)))))*$I6,0)),0)</f>
        <v>20</v>
      </c>
      <c r="EW6" s="111"/>
      <c r="EX6" s="72" t="s">
        <v>1954</v>
      </c>
      <c r="EY6" s="73">
        <f t="shared" ref="EY6:HJ18" si="142">IFERROR(IF($M6=EX6,($D$8+$D$9+$D$10)*$I6,IF($N6=LEFT(EX6,1),($D$8+MAX(0,IF($D$50=1,$D$9*(1-(ABS($Q6-ABS(VALUE(MID(EX6,FIND("|",EX6)+1,FIND("-",EX6)-FIND("|",EX6)-1))-VALUE(MID(EX6,FIND("-",EX6)+1,10)))))*$D$50),$D$9*(1-(IF($N6="X",ABS($O6-VALUE(MID(EX6,FIND("|",EX6)+1,FIND("-",EX6)-FIND("|",EX6)-1))),ABS($Q6-ABS(VALUE(MID(EX6,FIND("|",EX6)+1,FIND("-",EX6)-FIND("|",EX6)-1))-VALUE(MID(EX6,FIND("-",EX6)+1,10)))))*$D$50)))))*$I6,0)),0)</f>
        <v>10</v>
      </c>
      <c r="EZ6" s="111"/>
      <c r="FA6" s="72" t="s">
        <v>1950</v>
      </c>
      <c r="FB6" s="73">
        <f t="shared" ref="FB6" si="143">IFERROR(IF($M6=FA6,($D$8+$D$9+$D$10)*$I6,IF($N6=LEFT(FA6,1),($D$8+MAX(0,IF($D$50=1,$D$9*(1-(ABS($Q6-ABS(VALUE(MID(FA6,FIND("|",FA6)+1,FIND("-",FA6)-FIND("|",FA6)-1))-VALUE(MID(FA6,FIND("-",FA6)+1,10)))))*$D$50),$D$9*(1-(IF($N6="X",ABS($O6-VALUE(MID(FA6,FIND("|",FA6)+1,FIND("-",FA6)-FIND("|",FA6)-1))),ABS($Q6-ABS(VALUE(MID(FA6,FIND("|",FA6)+1,FIND("-",FA6)-FIND("|",FA6)-1))-VALUE(MID(FA6,FIND("-",FA6)+1,10)))))*$D$50)))))*$I6,0)),0)</f>
        <v>20</v>
      </c>
      <c r="FC6" s="111"/>
      <c r="FD6" s="72" t="s">
        <v>1959</v>
      </c>
      <c r="FE6" s="73">
        <f t="shared" ref="FE6" si="144">IFERROR(IF($M6=FD6,($D$8+$D$9+$D$10)*$I6,IF($N6=LEFT(FD6,1),($D$8+MAX(0,IF($D$50=1,$D$9*(1-(ABS($Q6-ABS(VALUE(MID(FD6,FIND("|",FD6)+1,FIND("-",FD6)-FIND("|",FD6)-1))-VALUE(MID(FD6,FIND("-",FD6)+1,10)))))*$D$50),$D$9*(1-(IF($N6="X",ABS($O6-VALUE(MID(FD6,FIND("|",FD6)+1,FIND("-",FD6)-FIND("|",FD6)-1))),ABS($Q6-ABS(VALUE(MID(FD6,FIND("|",FD6)+1,FIND("-",FD6)-FIND("|",FD6)-1))-VALUE(MID(FD6,FIND("-",FD6)+1,10)))))*$D$50)))))*$I6,0)),0)</f>
        <v>10</v>
      </c>
      <c r="FF6" s="111"/>
      <c r="FG6" s="72" t="s">
        <v>1949</v>
      </c>
      <c r="FH6" s="73">
        <f t="shared" ref="FH6" si="145">IFERROR(IF($M6=FG6,($D$8+$D$9+$D$10)*$I6,IF($N6=LEFT(FG6,1),($D$8+MAX(0,IF($D$50=1,$D$9*(1-(ABS($Q6-ABS(VALUE(MID(FG6,FIND("|",FG6)+1,FIND("-",FG6)-FIND("|",FG6)-1))-VALUE(MID(FG6,FIND("-",FG6)+1,10)))))*$D$50),$D$9*(1-(IF($N6="X",ABS($O6-VALUE(MID(FG6,FIND("|",FG6)+1,FIND("-",FG6)-FIND("|",FG6)-1))),ABS($Q6-ABS(VALUE(MID(FG6,FIND("|",FG6)+1,FIND("-",FG6)-FIND("|",FG6)-1))-VALUE(MID(FG6,FIND("-",FG6)+1,10)))))*$D$50)))))*$I6,0)),0)</f>
        <v>12</v>
      </c>
      <c r="FI6" s="111"/>
      <c r="FJ6" s="72" t="s">
        <v>1950</v>
      </c>
      <c r="FK6" s="73">
        <f t="shared" ref="FK6" si="146">IFERROR(IF($M6=FJ6,($D$8+$D$9+$D$10)*$I6,IF($N6=LEFT(FJ6,1),($D$8+MAX(0,IF($D$50=1,$D$9*(1-(ABS($Q6-ABS(VALUE(MID(FJ6,FIND("|",FJ6)+1,FIND("-",FJ6)-FIND("|",FJ6)-1))-VALUE(MID(FJ6,FIND("-",FJ6)+1,10)))))*$D$50),$D$9*(1-(IF($N6="X",ABS($O6-VALUE(MID(FJ6,FIND("|",FJ6)+1,FIND("-",FJ6)-FIND("|",FJ6)-1))),ABS($Q6-ABS(VALUE(MID(FJ6,FIND("|",FJ6)+1,FIND("-",FJ6)-FIND("|",FJ6)-1))-VALUE(MID(FJ6,FIND("-",FJ6)+1,10)))))*$D$50)))))*$I6,0)),0)</f>
        <v>20</v>
      </c>
      <c r="FL6" s="111"/>
      <c r="FM6" s="72" t="s">
        <v>1958</v>
      </c>
      <c r="FN6" s="73">
        <f t="shared" ref="FN6" si="147">IFERROR(IF($M6=FM6,($D$8+$D$9+$D$10)*$I6,IF($N6=LEFT(FM6,1),($D$8+MAX(0,IF($D$50=1,$D$9*(1-(ABS($Q6-ABS(VALUE(MID(FM6,FIND("|",FM6)+1,FIND("-",FM6)-FIND("|",FM6)-1))-VALUE(MID(FM6,FIND("-",FM6)+1,10)))))*$D$50),$D$9*(1-(IF($N6="X",ABS($O6-VALUE(MID(FM6,FIND("|",FM6)+1,FIND("-",FM6)-FIND("|",FM6)-1))),ABS($Q6-ABS(VALUE(MID(FM6,FIND("|",FM6)+1,FIND("-",FM6)-FIND("|",FM6)-1))-VALUE(MID(FM6,FIND("-",FM6)+1,10)))))*$D$50)))))*$I6,0)),0)</f>
        <v>10</v>
      </c>
      <c r="FO6" s="111"/>
      <c r="FP6" s="72" t="s">
        <v>1950</v>
      </c>
      <c r="FQ6" s="73">
        <f t="shared" ref="FQ6" si="148">IFERROR(IF($M6=FP6,($D$8+$D$9+$D$10)*$I6,IF($N6=LEFT(FP6,1),($D$8+MAX(0,IF($D$50=1,$D$9*(1-(ABS($Q6-ABS(VALUE(MID(FP6,FIND("|",FP6)+1,FIND("-",FP6)-FIND("|",FP6)-1))-VALUE(MID(FP6,FIND("-",FP6)+1,10)))))*$D$50),$D$9*(1-(IF($N6="X",ABS($O6-VALUE(MID(FP6,FIND("|",FP6)+1,FIND("-",FP6)-FIND("|",FP6)-1))),ABS($Q6-ABS(VALUE(MID(FP6,FIND("|",FP6)+1,FIND("-",FP6)-FIND("|",FP6)-1))-VALUE(MID(FP6,FIND("-",FP6)+1,10)))))*$D$50)))))*$I6,0)),0)</f>
        <v>20</v>
      </c>
      <c r="FR6" s="111"/>
      <c r="FS6" s="72" t="s">
        <v>1950</v>
      </c>
      <c r="FT6" s="73">
        <f t="shared" ref="FT6" si="149">IFERROR(IF($M6=FS6,($D$8+$D$9+$D$10)*$I6,IF($N6=LEFT(FS6,1),($D$8+MAX(0,IF($D$50=1,$D$9*(1-(ABS($Q6-ABS(VALUE(MID(FS6,FIND("|",FS6)+1,FIND("-",FS6)-FIND("|",FS6)-1))-VALUE(MID(FS6,FIND("-",FS6)+1,10)))))*$D$50),$D$9*(1-(IF($N6="X",ABS($O6-VALUE(MID(FS6,FIND("|",FS6)+1,FIND("-",FS6)-FIND("|",FS6)-1))),ABS($Q6-ABS(VALUE(MID(FS6,FIND("|",FS6)+1,FIND("-",FS6)-FIND("|",FS6)-1))-VALUE(MID(FS6,FIND("-",FS6)+1,10)))))*$D$50)))))*$I6,0)),0)</f>
        <v>20</v>
      </c>
      <c r="FU6" s="111"/>
      <c r="FV6" s="72" t="s">
        <v>1950</v>
      </c>
      <c r="FW6" s="73">
        <f t="shared" ref="FW6" si="150">IFERROR(IF($M6=FV6,($D$8+$D$9+$D$10)*$I6,IF($N6=LEFT(FV6,1),($D$8+MAX(0,IF($D$50=1,$D$9*(1-(ABS($Q6-ABS(VALUE(MID(FV6,FIND("|",FV6)+1,FIND("-",FV6)-FIND("|",FV6)-1))-VALUE(MID(FV6,FIND("-",FV6)+1,10)))))*$D$50),$D$9*(1-(IF($N6="X",ABS($O6-VALUE(MID(FV6,FIND("|",FV6)+1,FIND("-",FV6)-FIND("|",FV6)-1))),ABS($Q6-ABS(VALUE(MID(FV6,FIND("|",FV6)+1,FIND("-",FV6)-FIND("|",FV6)-1))-VALUE(MID(FV6,FIND("-",FV6)+1,10)))))*$D$50)))))*$I6,0)),0)</f>
        <v>20</v>
      </c>
      <c r="FX6" s="111"/>
      <c r="FY6" s="72" t="s">
        <v>1954</v>
      </c>
      <c r="FZ6" s="73">
        <f t="shared" ref="FZ6" si="151">IFERROR(IF($M6=FY6,($D$8+$D$9+$D$10)*$I6,IF($N6=LEFT(FY6,1),($D$8+MAX(0,IF($D$50=1,$D$9*(1-(ABS($Q6-ABS(VALUE(MID(FY6,FIND("|",FY6)+1,FIND("-",FY6)-FIND("|",FY6)-1))-VALUE(MID(FY6,FIND("-",FY6)+1,10)))))*$D$50),$D$9*(1-(IF($N6="X",ABS($O6-VALUE(MID(FY6,FIND("|",FY6)+1,FIND("-",FY6)-FIND("|",FY6)-1))),ABS($Q6-ABS(VALUE(MID(FY6,FIND("|",FY6)+1,FIND("-",FY6)-FIND("|",FY6)-1))-VALUE(MID(FY6,FIND("-",FY6)+1,10)))))*$D$50)))))*$I6,0)),0)</f>
        <v>10</v>
      </c>
      <c r="GA6" s="111"/>
      <c r="GB6" s="72" t="s">
        <v>1954</v>
      </c>
      <c r="GC6" s="73">
        <f t="shared" ref="GC6" si="152">IFERROR(IF($M6=GB6,($D$8+$D$9+$D$10)*$I6,IF($N6=LEFT(GB6,1),($D$8+MAX(0,IF($D$50=1,$D$9*(1-(ABS($Q6-ABS(VALUE(MID(GB6,FIND("|",GB6)+1,FIND("-",GB6)-FIND("|",GB6)-1))-VALUE(MID(GB6,FIND("-",GB6)+1,10)))))*$D$50),$D$9*(1-(IF($N6="X",ABS($O6-VALUE(MID(GB6,FIND("|",GB6)+1,FIND("-",GB6)-FIND("|",GB6)-1))),ABS($Q6-ABS(VALUE(MID(GB6,FIND("|",GB6)+1,FIND("-",GB6)-FIND("|",GB6)-1))-VALUE(MID(GB6,FIND("-",GB6)+1,10)))))*$D$50)))))*$I6,0)),0)</f>
        <v>10</v>
      </c>
      <c r="GD6" s="111"/>
      <c r="GE6" s="72" t="s">
        <v>1950</v>
      </c>
      <c r="GF6" s="73">
        <f t="shared" ref="GF6" si="153">IFERROR(IF($M6=GE6,($D$8+$D$9+$D$10)*$I6,IF($N6=LEFT(GE6,1),($D$8+MAX(0,IF($D$50=1,$D$9*(1-(ABS($Q6-ABS(VALUE(MID(GE6,FIND("|",GE6)+1,FIND("-",GE6)-FIND("|",GE6)-1))-VALUE(MID(GE6,FIND("-",GE6)+1,10)))))*$D$50),$D$9*(1-(IF($N6="X",ABS($O6-VALUE(MID(GE6,FIND("|",GE6)+1,FIND("-",GE6)-FIND("|",GE6)-1))),ABS($Q6-ABS(VALUE(MID(GE6,FIND("|",GE6)+1,FIND("-",GE6)-FIND("|",GE6)-1))-VALUE(MID(GE6,FIND("-",GE6)+1,10)))))*$D$50)))))*$I6,0)),0)</f>
        <v>20</v>
      </c>
      <c r="GG6" s="111"/>
      <c r="GH6" s="72" t="s">
        <v>1950</v>
      </c>
      <c r="GI6" s="73">
        <f t="shared" ref="GI6" si="154">IFERROR(IF($M6=GH6,($D$8+$D$9+$D$10)*$I6,IF($N6=LEFT(GH6,1),($D$8+MAX(0,IF($D$50=1,$D$9*(1-(ABS($Q6-ABS(VALUE(MID(GH6,FIND("|",GH6)+1,FIND("-",GH6)-FIND("|",GH6)-1))-VALUE(MID(GH6,FIND("-",GH6)+1,10)))))*$D$50),$D$9*(1-(IF($N6="X",ABS($O6-VALUE(MID(GH6,FIND("|",GH6)+1,FIND("-",GH6)-FIND("|",GH6)-1))),ABS($Q6-ABS(VALUE(MID(GH6,FIND("|",GH6)+1,FIND("-",GH6)-FIND("|",GH6)-1))-VALUE(MID(GH6,FIND("-",GH6)+1,10)))))*$D$50)))))*$I6,0)),0)</f>
        <v>20</v>
      </c>
      <c r="GJ6" s="111"/>
      <c r="GK6" s="72" t="s">
        <v>1950</v>
      </c>
      <c r="GL6" s="73">
        <f t="shared" ref="GL6" si="155">IFERROR(IF($M6=GK6,($D$8+$D$9+$D$10)*$I6,IF($N6=LEFT(GK6,1),($D$8+MAX(0,IF($D$50=1,$D$9*(1-(ABS($Q6-ABS(VALUE(MID(GK6,FIND("|",GK6)+1,FIND("-",GK6)-FIND("|",GK6)-1))-VALUE(MID(GK6,FIND("-",GK6)+1,10)))))*$D$50),$D$9*(1-(IF($N6="X",ABS($O6-VALUE(MID(GK6,FIND("|",GK6)+1,FIND("-",GK6)-FIND("|",GK6)-1))),ABS($Q6-ABS(VALUE(MID(GK6,FIND("|",GK6)+1,FIND("-",GK6)-FIND("|",GK6)-1))-VALUE(MID(GK6,FIND("-",GK6)+1,10)))))*$D$50)))))*$I6,0)),0)</f>
        <v>20</v>
      </c>
      <c r="GM6" s="111"/>
      <c r="GN6" s="72" t="str">
        <f>Idiomas!$D$364</f>
        <v>Paste Values (R1)</v>
      </c>
      <c r="GO6" s="73">
        <f t="shared" ref="GO6" si="156">IFERROR(IF($M6=GN6,($D$8+$D$9+$D$10)*$I6,IF($N6=LEFT(GN6,1),($D$8+MAX(0,IF($D$50=1,$D$9*(1-(ABS($Q6-ABS(VALUE(MID(GN6,FIND("|",GN6)+1,FIND("-",GN6)-FIND("|",GN6)-1))-VALUE(MID(GN6,FIND("-",GN6)+1,10)))))*$D$50),$D$9*(1-(IF($N6="X",ABS($O6-VALUE(MID(GN6,FIND("|",GN6)+1,FIND("-",GN6)-FIND("|",GN6)-1))),ABS($Q6-ABS(VALUE(MID(GN6,FIND("|",GN6)+1,FIND("-",GN6)-FIND("|",GN6)-1))-VALUE(MID(GN6,FIND("-",GN6)+1,10)))))*$D$50)))))*$I6,0)),0)</f>
        <v>0</v>
      </c>
      <c r="GP6" s="111"/>
      <c r="GQ6" s="72" t="str">
        <f>Idiomas!$D$364</f>
        <v>Paste Values (R1)</v>
      </c>
      <c r="GR6" s="73">
        <f t="shared" ref="GR6" si="157">IFERROR(IF($M6=GQ6,($D$8+$D$9+$D$10)*$I6,IF($N6=LEFT(GQ6,1),($D$8+MAX(0,IF($D$50=1,$D$9*(1-(ABS($Q6-ABS(VALUE(MID(GQ6,FIND("|",GQ6)+1,FIND("-",GQ6)-FIND("|",GQ6)-1))-VALUE(MID(GQ6,FIND("-",GQ6)+1,10)))))*$D$50),$D$9*(1-(IF($N6="X",ABS($O6-VALUE(MID(GQ6,FIND("|",GQ6)+1,FIND("-",GQ6)-FIND("|",GQ6)-1))),ABS($Q6-ABS(VALUE(MID(GQ6,FIND("|",GQ6)+1,FIND("-",GQ6)-FIND("|",GQ6)-1))-VALUE(MID(GQ6,FIND("-",GQ6)+1,10)))))*$D$50)))))*$I6,0)),0)</f>
        <v>0</v>
      </c>
      <c r="GS6" s="111"/>
      <c r="GT6" s="72" t="str">
        <f>Idiomas!$D$364</f>
        <v>Paste Values (R1)</v>
      </c>
      <c r="GU6" s="73">
        <f t="shared" ref="GU6" si="158">IFERROR(IF($M6=GT6,($D$8+$D$9+$D$10)*$I6,IF($N6=LEFT(GT6,1),($D$8+MAX(0,IF($D$50=1,$D$9*(1-(ABS($Q6-ABS(VALUE(MID(GT6,FIND("|",GT6)+1,FIND("-",GT6)-FIND("|",GT6)-1))-VALUE(MID(GT6,FIND("-",GT6)+1,10)))))*$D$50),$D$9*(1-(IF($N6="X",ABS($O6-VALUE(MID(GT6,FIND("|",GT6)+1,FIND("-",GT6)-FIND("|",GT6)-1))),ABS($Q6-ABS(VALUE(MID(GT6,FIND("|",GT6)+1,FIND("-",GT6)-FIND("|",GT6)-1))-VALUE(MID(GT6,FIND("-",GT6)+1,10)))))*$D$50)))))*$I6,0)),0)</f>
        <v>0</v>
      </c>
      <c r="GV6" s="111"/>
      <c r="GW6" s="72" t="str">
        <f>Idiomas!$D$364</f>
        <v>Paste Values (R1)</v>
      </c>
      <c r="GX6" s="73">
        <f t="shared" ref="GX6" si="159">IFERROR(IF($M6=GW6,($D$8+$D$9+$D$10)*$I6,IF($N6=LEFT(GW6,1),($D$8+MAX(0,IF($D$50=1,$D$9*(1-(ABS($Q6-ABS(VALUE(MID(GW6,FIND("|",GW6)+1,FIND("-",GW6)-FIND("|",GW6)-1))-VALUE(MID(GW6,FIND("-",GW6)+1,10)))))*$D$50),$D$9*(1-(IF($N6="X",ABS($O6-VALUE(MID(GW6,FIND("|",GW6)+1,FIND("-",GW6)-FIND("|",GW6)-1))),ABS($Q6-ABS(VALUE(MID(GW6,FIND("|",GW6)+1,FIND("-",GW6)-FIND("|",GW6)-1))-VALUE(MID(GW6,FIND("-",GW6)+1,10)))))*$D$50)))))*$I6,0)),0)</f>
        <v>0</v>
      </c>
      <c r="GY6" s="111"/>
      <c r="GZ6" s="72" t="str">
        <f>Idiomas!$D$364</f>
        <v>Paste Values (R1)</v>
      </c>
      <c r="HA6" s="73">
        <f t="shared" ref="HA6" si="160">IFERROR(IF($M6=GZ6,($D$8+$D$9+$D$10)*$I6,IF($N6=LEFT(GZ6,1),($D$8+MAX(0,IF($D$50=1,$D$9*(1-(ABS($Q6-ABS(VALUE(MID(GZ6,FIND("|",GZ6)+1,FIND("-",GZ6)-FIND("|",GZ6)-1))-VALUE(MID(GZ6,FIND("-",GZ6)+1,10)))))*$D$50),$D$9*(1-(IF($N6="X",ABS($O6-VALUE(MID(GZ6,FIND("|",GZ6)+1,FIND("-",GZ6)-FIND("|",GZ6)-1))),ABS($Q6-ABS(VALUE(MID(GZ6,FIND("|",GZ6)+1,FIND("-",GZ6)-FIND("|",GZ6)-1))-VALUE(MID(GZ6,FIND("-",GZ6)+1,10)))))*$D$50)))))*$I6,0)),0)</f>
        <v>0</v>
      </c>
      <c r="HB6" s="111"/>
      <c r="HC6" s="72" t="str">
        <f>Idiomas!$D$364</f>
        <v>Paste Values (R1)</v>
      </c>
      <c r="HD6" s="73">
        <f t="shared" ref="HD6" si="161">IFERROR(IF($M6=HC6,($D$8+$D$9+$D$10)*$I6,IF($N6=LEFT(HC6,1),($D$8+MAX(0,IF($D$50=1,$D$9*(1-(ABS($Q6-ABS(VALUE(MID(HC6,FIND("|",HC6)+1,FIND("-",HC6)-FIND("|",HC6)-1))-VALUE(MID(HC6,FIND("-",HC6)+1,10)))))*$D$50),$D$9*(1-(IF($N6="X",ABS($O6-VALUE(MID(HC6,FIND("|",HC6)+1,FIND("-",HC6)-FIND("|",HC6)-1))),ABS($Q6-ABS(VALUE(MID(HC6,FIND("|",HC6)+1,FIND("-",HC6)-FIND("|",HC6)-1))-VALUE(MID(HC6,FIND("-",HC6)+1,10)))))*$D$50)))))*$I6,0)),0)</f>
        <v>0</v>
      </c>
      <c r="HE6" s="111"/>
      <c r="HF6" s="72" t="str">
        <f>Idiomas!$D$364</f>
        <v>Paste Values (R1)</v>
      </c>
      <c r="HG6" s="73">
        <f t="shared" ref="HG6" si="162">IFERROR(IF($M6=HF6,($D$8+$D$9+$D$10)*$I6,IF($N6=LEFT(HF6,1),($D$8+MAX(0,IF($D$50=1,$D$9*(1-(ABS($Q6-ABS(VALUE(MID(HF6,FIND("|",HF6)+1,FIND("-",HF6)-FIND("|",HF6)-1))-VALUE(MID(HF6,FIND("-",HF6)+1,10)))))*$D$50),$D$9*(1-(IF($N6="X",ABS($O6-VALUE(MID(HF6,FIND("|",HF6)+1,FIND("-",HF6)-FIND("|",HF6)-1))),ABS($Q6-ABS(VALUE(MID(HF6,FIND("|",HF6)+1,FIND("-",HF6)-FIND("|",HF6)-1))-VALUE(MID(HF6,FIND("-",HF6)+1,10)))))*$D$50)))))*$I6,0)),0)</f>
        <v>0</v>
      </c>
      <c r="HH6" s="111"/>
      <c r="HI6" s="72" t="str">
        <f>Idiomas!$D$364</f>
        <v>Paste Values (R1)</v>
      </c>
      <c r="HJ6" s="73">
        <f t="shared" ref="HJ6" si="163">IFERROR(IF($M6=HI6,($D$8+$D$9+$D$10)*$I6,IF($N6=LEFT(HI6,1),($D$8+MAX(0,IF($D$50=1,$D$9*(1-(ABS($Q6-ABS(VALUE(MID(HI6,FIND("|",HI6)+1,FIND("-",HI6)-FIND("|",HI6)-1))-VALUE(MID(HI6,FIND("-",HI6)+1,10)))))*$D$50),$D$9*(1-(IF($N6="X",ABS($O6-VALUE(MID(HI6,FIND("|",HI6)+1,FIND("-",HI6)-FIND("|",HI6)-1))),ABS($Q6-ABS(VALUE(MID(HI6,FIND("|",HI6)+1,FIND("-",HI6)-FIND("|",HI6)-1))-VALUE(MID(HI6,FIND("-",HI6)+1,10)))))*$D$50)))))*$I6,0)),0)</f>
        <v>0</v>
      </c>
      <c r="HK6" s="111"/>
      <c r="HL6" s="72" t="str">
        <f>Idiomas!$D$364</f>
        <v>Paste Values (R1)</v>
      </c>
      <c r="HM6" s="73">
        <f t="shared" ref="HM6:JX19" si="164">IFERROR(IF($M6=HL6,($D$8+$D$9+$D$10)*$I6,IF($N6=LEFT(HL6,1),($D$8+MAX(0,IF($D$50=1,$D$9*(1-(ABS($Q6-ABS(VALUE(MID(HL6,FIND("|",HL6)+1,FIND("-",HL6)-FIND("|",HL6)-1))-VALUE(MID(HL6,FIND("-",HL6)+1,10)))))*$D$50),$D$9*(1-(IF($N6="X",ABS($O6-VALUE(MID(HL6,FIND("|",HL6)+1,FIND("-",HL6)-FIND("|",HL6)-1))),ABS($Q6-ABS(VALUE(MID(HL6,FIND("|",HL6)+1,FIND("-",HL6)-FIND("|",HL6)-1))-VALUE(MID(HL6,FIND("-",HL6)+1,10)))))*$D$50)))))*$I6,0)),0)</f>
        <v>0</v>
      </c>
      <c r="HN6" s="111"/>
      <c r="HO6" s="72" t="str">
        <f>Idiomas!$D$364</f>
        <v>Paste Values (R1)</v>
      </c>
      <c r="HP6" s="73">
        <f t="shared" ref="HP6" si="165">IFERROR(IF($M6=HO6,($D$8+$D$9+$D$10)*$I6,IF($N6=LEFT(HO6,1),($D$8+MAX(0,IF($D$50=1,$D$9*(1-(ABS($Q6-ABS(VALUE(MID(HO6,FIND("|",HO6)+1,FIND("-",HO6)-FIND("|",HO6)-1))-VALUE(MID(HO6,FIND("-",HO6)+1,10)))))*$D$50),$D$9*(1-(IF($N6="X",ABS($O6-VALUE(MID(HO6,FIND("|",HO6)+1,FIND("-",HO6)-FIND("|",HO6)-1))),ABS($Q6-ABS(VALUE(MID(HO6,FIND("|",HO6)+1,FIND("-",HO6)-FIND("|",HO6)-1))-VALUE(MID(HO6,FIND("-",HO6)+1,10)))))*$D$50)))))*$I6,0)),0)</f>
        <v>0</v>
      </c>
      <c r="HQ6" s="111"/>
      <c r="HR6" s="72" t="str">
        <f>Idiomas!$D$364</f>
        <v>Paste Values (R1)</v>
      </c>
      <c r="HS6" s="73">
        <f t="shared" ref="HS6" si="166">IFERROR(IF($M6=HR6,($D$8+$D$9+$D$10)*$I6,IF($N6=LEFT(HR6,1),($D$8+MAX(0,IF($D$50=1,$D$9*(1-(ABS($Q6-ABS(VALUE(MID(HR6,FIND("|",HR6)+1,FIND("-",HR6)-FIND("|",HR6)-1))-VALUE(MID(HR6,FIND("-",HR6)+1,10)))))*$D$50),$D$9*(1-(IF($N6="X",ABS($O6-VALUE(MID(HR6,FIND("|",HR6)+1,FIND("-",HR6)-FIND("|",HR6)-1))),ABS($Q6-ABS(VALUE(MID(HR6,FIND("|",HR6)+1,FIND("-",HR6)-FIND("|",HR6)-1))-VALUE(MID(HR6,FIND("-",HR6)+1,10)))))*$D$50)))))*$I6,0)),0)</f>
        <v>0</v>
      </c>
      <c r="HT6" s="111"/>
      <c r="HU6" s="72" t="str">
        <f>Idiomas!$D$364</f>
        <v>Paste Values (R1)</v>
      </c>
      <c r="HV6" s="73">
        <f t="shared" ref="HV6" si="167">IFERROR(IF($M6=HU6,($D$8+$D$9+$D$10)*$I6,IF($N6=LEFT(HU6,1),($D$8+MAX(0,IF($D$50=1,$D$9*(1-(ABS($Q6-ABS(VALUE(MID(HU6,FIND("|",HU6)+1,FIND("-",HU6)-FIND("|",HU6)-1))-VALUE(MID(HU6,FIND("-",HU6)+1,10)))))*$D$50),$D$9*(1-(IF($N6="X",ABS($O6-VALUE(MID(HU6,FIND("|",HU6)+1,FIND("-",HU6)-FIND("|",HU6)-1))),ABS($Q6-ABS(VALUE(MID(HU6,FIND("|",HU6)+1,FIND("-",HU6)-FIND("|",HU6)-1))-VALUE(MID(HU6,FIND("-",HU6)+1,10)))))*$D$50)))))*$I6,0)),0)</f>
        <v>0</v>
      </c>
      <c r="HW6" s="111"/>
      <c r="HX6" s="72" t="str">
        <f>Idiomas!$D$364</f>
        <v>Paste Values (R1)</v>
      </c>
      <c r="HY6" s="73">
        <f t="shared" ref="HY6" si="168">IFERROR(IF($M6=HX6,($D$8+$D$9+$D$10)*$I6,IF($N6=LEFT(HX6,1),($D$8+MAX(0,IF($D$50=1,$D$9*(1-(ABS($Q6-ABS(VALUE(MID(HX6,FIND("|",HX6)+1,FIND("-",HX6)-FIND("|",HX6)-1))-VALUE(MID(HX6,FIND("-",HX6)+1,10)))))*$D$50),$D$9*(1-(IF($N6="X",ABS($O6-VALUE(MID(HX6,FIND("|",HX6)+1,FIND("-",HX6)-FIND("|",HX6)-1))),ABS($Q6-ABS(VALUE(MID(HX6,FIND("|",HX6)+1,FIND("-",HX6)-FIND("|",HX6)-1))-VALUE(MID(HX6,FIND("-",HX6)+1,10)))))*$D$50)))))*$I6,0)),0)</f>
        <v>0</v>
      </c>
      <c r="HZ6" s="111"/>
      <c r="IA6" s="72" t="str">
        <f>Idiomas!$D$364</f>
        <v>Paste Values (R1)</v>
      </c>
      <c r="IB6" s="73">
        <f t="shared" ref="IB6" si="169">IFERROR(IF($M6=IA6,($D$8+$D$9+$D$10)*$I6,IF($N6=LEFT(IA6,1),($D$8+MAX(0,IF($D$50=1,$D$9*(1-(ABS($Q6-ABS(VALUE(MID(IA6,FIND("|",IA6)+1,FIND("-",IA6)-FIND("|",IA6)-1))-VALUE(MID(IA6,FIND("-",IA6)+1,10)))))*$D$50),$D$9*(1-(IF($N6="X",ABS($O6-VALUE(MID(IA6,FIND("|",IA6)+1,FIND("-",IA6)-FIND("|",IA6)-1))),ABS($Q6-ABS(VALUE(MID(IA6,FIND("|",IA6)+1,FIND("-",IA6)-FIND("|",IA6)-1))-VALUE(MID(IA6,FIND("-",IA6)+1,10)))))*$D$50)))))*$I6,0)),0)</f>
        <v>0</v>
      </c>
      <c r="IC6" s="111"/>
      <c r="ID6" s="72" t="str">
        <f>Idiomas!$D$364</f>
        <v>Paste Values (R1)</v>
      </c>
      <c r="IE6" s="73">
        <f t="shared" ref="IE6" si="170">IFERROR(IF($M6=ID6,($D$8+$D$9+$D$10)*$I6,IF($N6=LEFT(ID6,1),($D$8+MAX(0,IF($D$50=1,$D$9*(1-(ABS($Q6-ABS(VALUE(MID(ID6,FIND("|",ID6)+1,FIND("-",ID6)-FIND("|",ID6)-1))-VALUE(MID(ID6,FIND("-",ID6)+1,10)))))*$D$50),$D$9*(1-(IF($N6="X",ABS($O6-VALUE(MID(ID6,FIND("|",ID6)+1,FIND("-",ID6)-FIND("|",ID6)-1))),ABS($Q6-ABS(VALUE(MID(ID6,FIND("|",ID6)+1,FIND("-",ID6)-FIND("|",ID6)-1))-VALUE(MID(ID6,FIND("-",ID6)+1,10)))))*$D$50)))))*$I6,0)),0)</f>
        <v>0</v>
      </c>
      <c r="IF6" s="111"/>
      <c r="IG6" s="72" t="str">
        <f>Idiomas!$D$364</f>
        <v>Paste Values (R1)</v>
      </c>
      <c r="IH6" s="73">
        <f t="shared" ref="IH6" si="171">IFERROR(IF($M6=IG6,($D$8+$D$9+$D$10)*$I6,IF($N6=LEFT(IG6,1),($D$8+MAX(0,IF($D$50=1,$D$9*(1-(ABS($Q6-ABS(VALUE(MID(IG6,FIND("|",IG6)+1,FIND("-",IG6)-FIND("|",IG6)-1))-VALUE(MID(IG6,FIND("-",IG6)+1,10)))))*$D$50),$D$9*(1-(IF($N6="X",ABS($O6-VALUE(MID(IG6,FIND("|",IG6)+1,FIND("-",IG6)-FIND("|",IG6)-1))),ABS($Q6-ABS(VALUE(MID(IG6,FIND("|",IG6)+1,FIND("-",IG6)-FIND("|",IG6)-1))-VALUE(MID(IG6,FIND("-",IG6)+1,10)))))*$D$50)))))*$I6,0)),0)</f>
        <v>0</v>
      </c>
      <c r="II6" s="111"/>
      <c r="IJ6" s="72" t="str">
        <f>Idiomas!$D$364</f>
        <v>Paste Values (R1)</v>
      </c>
      <c r="IK6" s="73">
        <f t="shared" ref="IK6" si="172">IFERROR(IF($M6=IJ6,($D$8+$D$9+$D$10)*$I6,IF($N6=LEFT(IJ6,1),($D$8+MAX(0,IF($D$50=1,$D$9*(1-(ABS($Q6-ABS(VALUE(MID(IJ6,FIND("|",IJ6)+1,FIND("-",IJ6)-FIND("|",IJ6)-1))-VALUE(MID(IJ6,FIND("-",IJ6)+1,10)))))*$D$50),$D$9*(1-(IF($N6="X",ABS($O6-VALUE(MID(IJ6,FIND("|",IJ6)+1,FIND("-",IJ6)-FIND("|",IJ6)-1))),ABS($Q6-ABS(VALUE(MID(IJ6,FIND("|",IJ6)+1,FIND("-",IJ6)-FIND("|",IJ6)-1))-VALUE(MID(IJ6,FIND("-",IJ6)+1,10)))))*$D$50)))))*$I6,0)),0)</f>
        <v>0</v>
      </c>
      <c r="IL6" s="111"/>
      <c r="IM6" s="72" t="str">
        <f>Idiomas!$D$364</f>
        <v>Paste Values (R1)</v>
      </c>
      <c r="IN6" s="73">
        <f t="shared" ref="IN6" si="173">IFERROR(IF($M6=IM6,($D$8+$D$9+$D$10)*$I6,IF($N6=LEFT(IM6,1),($D$8+MAX(0,IF($D$50=1,$D$9*(1-(ABS($Q6-ABS(VALUE(MID(IM6,FIND("|",IM6)+1,FIND("-",IM6)-FIND("|",IM6)-1))-VALUE(MID(IM6,FIND("-",IM6)+1,10)))))*$D$50),$D$9*(1-(IF($N6="X",ABS($O6-VALUE(MID(IM6,FIND("|",IM6)+1,FIND("-",IM6)-FIND("|",IM6)-1))),ABS($Q6-ABS(VALUE(MID(IM6,FIND("|",IM6)+1,FIND("-",IM6)-FIND("|",IM6)-1))-VALUE(MID(IM6,FIND("-",IM6)+1,10)))))*$D$50)))))*$I6,0)),0)</f>
        <v>0</v>
      </c>
      <c r="IO6" s="111"/>
      <c r="IP6" s="72" t="str">
        <f>Idiomas!$D$364</f>
        <v>Paste Values (R1)</v>
      </c>
      <c r="IQ6" s="73">
        <f t="shared" ref="IQ6" si="174">IFERROR(IF($M6=IP6,($D$8+$D$9+$D$10)*$I6,IF($N6=LEFT(IP6,1),($D$8+MAX(0,IF($D$50=1,$D$9*(1-(ABS($Q6-ABS(VALUE(MID(IP6,FIND("|",IP6)+1,FIND("-",IP6)-FIND("|",IP6)-1))-VALUE(MID(IP6,FIND("-",IP6)+1,10)))))*$D$50),$D$9*(1-(IF($N6="X",ABS($O6-VALUE(MID(IP6,FIND("|",IP6)+1,FIND("-",IP6)-FIND("|",IP6)-1))),ABS($Q6-ABS(VALUE(MID(IP6,FIND("|",IP6)+1,FIND("-",IP6)-FIND("|",IP6)-1))-VALUE(MID(IP6,FIND("-",IP6)+1,10)))))*$D$50)))))*$I6,0)),0)</f>
        <v>0</v>
      </c>
      <c r="IR6" s="111"/>
      <c r="IS6" s="72" t="str">
        <f>Idiomas!$D$364</f>
        <v>Paste Values (R1)</v>
      </c>
      <c r="IT6" s="73">
        <f t="shared" ref="IT6" si="175">IFERROR(IF($M6=IS6,($D$8+$D$9+$D$10)*$I6,IF($N6=LEFT(IS6,1),($D$8+MAX(0,IF($D$50=1,$D$9*(1-(ABS($Q6-ABS(VALUE(MID(IS6,FIND("|",IS6)+1,FIND("-",IS6)-FIND("|",IS6)-1))-VALUE(MID(IS6,FIND("-",IS6)+1,10)))))*$D$50),$D$9*(1-(IF($N6="X",ABS($O6-VALUE(MID(IS6,FIND("|",IS6)+1,FIND("-",IS6)-FIND("|",IS6)-1))),ABS($Q6-ABS(VALUE(MID(IS6,FIND("|",IS6)+1,FIND("-",IS6)-FIND("|",IS6)-1))-VALUE(MID(IS6,FIND("-",IS6)+1,10)))))*$D$50)))))*$I6,0)),0)</f>
        <v>0</v>
      </c>
      <c r="IU6" s="111"/>
      <c r="IV6" s="72" t="str">
        <f>Idiomas!$D$364</f>
        <v>Paste Values (R1)</v>
      </c>
      <c r="IW6" s="73">
        <f t="shared" ref="IW6" si="176">IFERROR(IF($M6=IV6,($D$8+$D$9+$D$10)*$I6,IF($N6=LEFT(IV6,1),($D$8+MAX(0,IF($D$50=1,$D$9*(1-(ABS($Q6-ABS(VALUE(MID(IV6,FIND("|",IV6)+1,FIND("-",IV6)-FIND("|",IV6)-1))-VALUE(MID(IV6,FIND("-",IV6)+1,10)))))*$D$50),$D$9*(1-(IF($N6="X",ABS($O6-VALUE(MID(IV6,FIND("|",IV6)+1,FIND("-",IV6)-FIND("|",IV6)-1))),ABS($Q6-ABS(VALUE(MID(IV6,FIND("|",IV6)+1,FIND("-",IV6)-FIND("|",IV6)-1))-VALUE(MID(IV6,FIND("-",IV6)+1,10)))))*$D$50)))))*$I6,0)),0)</f>
        <v>0</v>
      </c>
      <c r="IX6" s="111"/>
      <c r="IY6" s="72" t="str">
        <f>Idiomas!$D$364</f>
        <v>Paste Values (R1)</v>
      </c>
      <c r="IZ6" s="73">
        <f t="shared" ref="IZ6" si="177">IFERROR(IF($M6=IY6,($D$8+$D$9+$D$10)*$I6,IF($N6=LEFT(IY6,1),($D$8+MAX(0,IF($D$50=1,$D$9*(1-(ABS($Q6-ABS(VALUE(MID(IY6,FIND("|",IY6)+1,FIND("-",IY6)-FIND("|",IY6)-1))-VALUE(MID(IY6,FIND("-",IY6)+1,10)))))*$D$50),$D$9*(1-(IF($N6="X",ABS($O6-VALUE(MID(IY6,FIND("|",IY6)+1,FIND("-",IY6)-FIND("|",IY6)-1))),ABS($Q6-ABS(VALUE(MID(IY6,FIND("|",IY6)+1,FIND("-",IY6)-FIND("|",IY6)-1))-VALUE(MID(IY6,FIND("-",IY6)+1,10)))))*$D$50)))))*$I6,0)),0)</f>
        <v>0</v>
      </c>
      <c r="JA6" s="111"/>
      <c r="JB6" s="72" t="str">
        <f>Idiomas!$D$364</f>
        <v>Paste Values (R1)</v>
      </c>
      <c r="JC6" s="73">
        <f t="shared" ref="JC6" si="178">IFERROR(IF($M6=JB6,($D$8+$D$9+$D$10)*$I6,IF($N6=LEFT(JB6,1),($D$8+MAX(0,IF($D$50=1,$D$9*(1-(ABS($Q6-ABS(VALUE(MID(JB6,FIND("|",JB6)+1,FIND("-",JB6)-FIND("|",JB6)-1))-VALUE(MID(JB6,FIND("-",JB6)+1,10)))))*$D$50),$D$9*(1-(IF($N6="X",ABS($O6-VALUE(MID(JB6,FIND("|",JB6)+1,FIND("-",JB6)-FIND("|",JB6)-1))),ABS($Q6-ABS(VALUE(MID(JB6,FIND("|",JB6)+1,FIND("-",JB6)-FIND("|",JB6)-1))-VALUE(MID(JB6,FIND("-",JB6)+1,10)))))*$D$50)))))*$I6,0)),0)</f>
        <v>0</v>
      </c>
      <c r="JD6" s="111"/>
      <c r="JE6" s="72" t="str">
        <f>Idiomas!$D$364</f>
        <v>Paste Values (R1)</v>
      </c>
      <c r="JF6" s="73">
        <f t="shared" ref="JF6" si="179">IFERROR(IF($M6=JE6,($D$8+$D$9+$D$10)*$I6,IF($N6=LEFT(JE6,1),($D$8+MAX(0,IF($D$50=1,$D$9*(1-(ABS($Q6-ABS(VALUE(MID(JE6,FIND("|",JE6)+1,FIND("-",JE6)-FIND("|",JE6)-1))-VALUE(MID(JE6,FIND("-",JE6)+1,10)))))*$D$50),$D$9*(1-(IF($N6="X",ABS($O6-VALUE(MID(JE6,FIND("|",JE6)+1,FIND("-",JE6)-FIND("|",JE6)-1))),ABS($Q6-ABS(VALUE(MID(JE6,FIND("|",JE6)+1,FIND("-",JE6)-FIND("|",JE6)-1))-VALUE(MID(JE6,FIND("-",JE6)+1,10)))))*$D$50)))))*$I6,0)),0)</f>
        <v>0</v>
      </c>
      <c r="JG6" s="111"/>
      <c r="JH6" s="72" t="str">
        <f>Idiomas!$D$364</f>
        <v>Paste Values (R1)</v>
      </c>
      <c r="JI6" s="73">
        <f t="shared" ref="JI6" si="180">IFERROR(IF($M6=JH6,($D$8+$D$9+$D$10)*$I6,IF($N6=LEFT(JH6,1),($D$8+MAX(0,IF($D$50=1,$D$9*(1-(ABS($Q6-ABS(VALUE(MID(JH6,FIND("|",JH6)+1,FIND("-",JH6)-FIND("|",JH6)-1))-VALUE(MID(JH6,FIND("-",JH6)+1,10)))))*$D$50),$D$9*(1-(IF($N6="X",ABS($O6-VALUE(MID(JH6,FIND("|",JH6)+1,FIND("-",JH6)-FIND("|",JH6)-1))),ABS($Q6-ABS(VALUE(MID(JH6,FIND("|",JH6)+1,FIND("-",JH6)-FIND("|",JH6)-1))-VALUE(MID(JH6,FIND("-",JH6)+1,10)))))*$D$50)))))*$I6,0)),0)</f>
        <v>0</v>
      </c>
      <c r="JJ6" s="111"/>
      <c r="JK6" s="72" t="str">
        <f>Idiomas!$D$364</f>
        <v>Paste Values (R1)</v>
      </c>
      <c r="JL6" s="73">
        <f t="shared" ref="JL6" si="181">IFERROR(IF($M6=JK6,($D$8+$D$9+$D$10)*$I6,IF($N6=LEFT(JK6,1),($D$8+MAX(0,IF($D$50=1,$D$9*(1-(ABS($Q6-ABS(VALUE(MID(JK6,FIND("|",JK6)+1,FIND("-",JK6)-FIND("|",JK6)-1))-VALUE(MID(JK6,FIND("-",JK6)+1,10)))))*$D$50),$D$9*(1-(IF($N6="X",ABS($O6-VALUE(MID(JK6,FIND("|",JK6)+1,FIND("-",JK6)-FIND("|",JK6)-1))),ABS($Q6-ABS(VALUE(MID(JK6,FIND("|",JK6)+1,FIND("-",JK6)-FIND("|",JK6)-1))-VALUE(MID(JK6,FIND("-",JK6)+1,10)))))*$D$50)))))*$I6,0)),0)</f>
        <v>0</v>
      </c>
      <c r="JM6" s="111"/>
      <c r="JN6" s="72" t="str">
        <f>Idiomas!$D$364</f>
        <v>Paste Values (R1)</v>
      </c>
      <c r="JO6" s="73">
        <f t="shared" ref="JO6" si="182">IFERROR(IF($M6=JN6,($D$8+$D$9+$D$10)*$I6,IF($N6=LEFT(JN6,1),($D$8+MAX(0,IF($D$50=1,$D$9*(1-(ABS($Q6-ABS(VALUE(MID(JN6,FIND("|",JN6)+1,FIND("-",JN6)-FIND("|",JN6)-1))-VALUE(MID(JN6,FIND("-",JN6)+1,10)))))*$D$50),$D$9*(1-(IF($N6="X",ABS($O6-VALUE(MID(JN6,FIND("|",JN6)+1,FIND("-",JN6)-FIND("|",JN6)-1))),ABS($Q6-ABS(VALUE(MID(JN6,FIND("|",JN6)+1,FIND("-",JN6)-FIND("|",JN6)-1))-VALUE(MID(JN6,FIND("-",JN6)+1,10)))))*$D$50)))))*$I6,0)),0)</f>
        <v>0</v>
      </c>
      <c r="JP6" s="111"/>
      <c r="JQ6" s="72" t="str">
        <f>Idiomas!$D$364</f>
        <v>Paste Values (R1)</v>
      </c>
      <c r="JR6" s="73">
        <f t="shared" ref="JR6" si="183">IFERROR(IF($M6=JQ6,($D$8+$D$9+$D$10)*$I6,IF($N6=LEFT(JQ6,1),($D$8+MAX(0,IF($D$50=1,$D$9*(1-(ABS($Q6-ABS(VALUE(MID(JQ6,FIND("|",JQ6)+1,FIND("-",JQ6)-FIND("|",JQ6)-1))-VALUE(MID(JQ6,FIND("-",JQ6)+1,10)))))*$D$50),$D$9*(1-(IF($N6="X",ABS($O6-VALUE(MID(JQ6,FIND("|",JQ6)+1,FIND("-",JQ6)-FIND("|",JQ6)-1))),ABS($Q6-ABS(VALUE(MID(JQ6,FIND("|",JQ6)+1,FIND("-",JQ6)-FIND("|",JQ6)-1))-VALUE(MID(JQ6,FIND("-",JQ6)+1,10)))))*$D$50)))))*$I6,0)),0)</f>
        <v>0</v>
      </c>
      <c r="JS6" s="111"/>
      <c r="JT6" s="72" t="str">
        <f>Idiomas!$D$364</f>
        <v>Paste Values (R1)</v>
      </c>
      <c r="JU6" s="73">
        <f t="shared" ref="JU6" si="184">IFERROR(IF($M6=JT6,($D$8+$D$9+$D$10)*$I6,IF($N6=LEFT(JT6,1),($D$8+MAX(0,IF($D$50=1,$D$9*(1-(ABS($Q6-ABS(VALUE(MID(JT6,FIND("|",JT6)+1,FIND("-",JT6)-FIND("|",JT6)-1))-VALUE(MID(JT6,FIND("-",JT6)+1,10)))))*$D$50),$D$9*(1-(IF($N6="X",ABS($O6-VALUE(MID(JT6,FIND("|",JT6)+1,FIND("-",JT6)-FIND("|",JT6)-1))),ABS($Q6-ABS(VALUE(MID(JT6,FIND("|",JT6)+1,FIND("-",JT6)-FIND("|",JT6)-1))-VALUE(MID(JT6,FIND("-",JT6)+1,10)))))*$D$50)))))*$I6,0)),0)</f>
        <v>0</v>
      </c>
      <c r="JV6" s="111"/>
      <c r="JW6" s="72" t="str">
        <f>Idiomas!$D$364</f>
        <v>Paste Values (R1)</v>
      </c>
      <c r="JX6" s="73">
        <f t="shared" ref="JX6" si="185">IFERROR(IF($M6=JW6,($D$8+$D$9+$D$10)*$I6,IF($N6=LEFT(JW6,1),($D$8+MAX(0,IF($D$50=1,$D$9*(1-(ABS($Q6-ABS(VALUE(MID(JW6,FIND("|",JW6)+1,FIND("-",JW6)-FIND("|",JW6)-1))-VALUE(MID(JW6,FIND("-",JW6)+1,10)))))*$D$50),$D$9*(1-(IF($N6="X",ABS($O6-VALUE(MID(JW6,FIND("|",JW6)+1,FIND("-",JW6)-FIND("|",JW6)-1))),ABS($Q6-ABS(VALUE(MID(JW6,FIND("|",JW6)+1,FIND("-",JW6)-FIND("|",JW6)-1))-VALUE(MID(JW6,FIND("-",JW6)+1,10)))))*$D$50)))))*$I6,0)),0)</f>
        <v>0</v>
      </c>
      <c r="JY6" s="111"/>
      <c r="JZ6" s="72" t="str">
        <f>Idiomas!$D$364</f>
        <v>Paste Values (R1)</v>
      </c>
      <c r="KA6" s="73">
        <f t="shared" ref="KA6:LE18" si="186">IFERROR(IF($M6=JZ6,($D$8+$D$9+$D$10)*$I6,IF($N6=LEFT(JZ6,1),($D$8+MAX(0,IF($D$50=1,$D$9*(1-(ABS($Q6-ABS(VALUE(MID(JZ6,FIND("|",JZ6)+1,FIND("-",JZ6)-FIND("|",JZ6)-1))-VALUE(MID(JZ6,FIND("-",JZ6)+1,10)))))*$D$50),$D$9*(1-(IF($N6="X",ABS($O6-VALUE(MID(JZ6,FIND("|",JZ6)+1,FIND("-",JZ6)-FIND("|",JZ6)-1))),ABS($Q6-ABS(VALUE(MID(JZ6,FIND("|",JZ6)+1,FIND("-",JZ6)-FIND("|",JZ6)-1))-VALUE(MID(JZ6,FIND("-",JZ6)+1,10)))))*$D$50)))))*$I6,0)),0)</f>
        <v>0</v>
      </c>
      <c r="KB6" s="111"/>
      <c r="KC6" s="72" t="str">
        <f>Idiomas!$D$364</f>
        <v>Paste Values (R1)</v>
      </c>
      <c r="KD6" s="73">
        <f t="shared" ref="KD6" si="187">IFERROR(IF($M6=KC6,($D$8+$D$9+$D$10)*$I6,IF($N6=LEFT(KC6,1),($D$8+MAX(0,IF($D$50=1,$D$9*(1-(ABS($Q6-ABS(VALUE(MID(KC6,FIND("|",KC6)+1,FIND("-",KC6)-FIND("|",KC6)-1))-VALUE(MID(KC6,FIND("-",KC6)+1,10)))))*$D$50),$D$9*(1-(IF($N6="X",ABS($O6-VALUE(MID(KC6,FIND("|",KC6)+1,FIND("-",KC6)-FIND("|",KC6)-1))),ABS($Q6-ABS(VALUE(MID(KC6,FIND("|",KC6)+1,FIND("-",KC6)-FIND("|",KC6)-1))-VALUE(MID(KC6,FIND("-",KC6)+1,10)))))*$D$50)))))*$I6,0)),0)</f>
        <v>0</v>
      </c>
      <c r="KE6" s="111"/>
      <c r="KF6" s="72" t="str">
        <f>Idiomas!$D$364</f>
        <v>Paste Values (R1)</v>
      </c>
      <c r="KG6" s="73">
        <f t="shared" ref="KG6" si="188">IFERROR(IF($M6=KF6,($D$8+$D$9+$D$10)*$I6,IF($N6=LEFT(KF6,1),($D$8+MAX(0,IF($D$50=1,$D$9*(1-(ABS($Q6-ABS(VALUE(MID(KF6,FIND("|",KF6)+1,FIND("-",KF6)-FIND("|",KF6)-1))-VALUE(MID(KF6,FIND("-",KF6)+1,10)))))*$D$50),$D$9*(1-(IF($N6="X",ABS($O6-VALUE(MID(KF6,FIND("|",KF6)+1,FIND("-",KF6)-FIND("|",KF6)-1))),ABS($Q6-ABS(VALUE(MID(KF6,FIND("|",KF6)+1,FIND("-",KF6)-FIND("|",KF6)-1))-VALUE(MID(KF6,FIND("-",KF6)+1,10)))))*$D$50)))))*$I6,0)),0)</f>
        <v>0</v>
      </c>
      <c r="KH6" s="111"/>
      <c r="KI6" s="72" t="str">
        <f>Idiomas!$D$364</f>
        <v>Paste Values (R1)</v>
      </c>
      <c r="KJ6" s="73">
        <f t="shared" ref="KJ6" si="189">IFERROR(IF($M6=KI6,($D$8+$D$9+$D$10)*$I6,IF($N6=LEFT(KI6,1),($D$8+MAX(0,IF($D$50=1,$D$9*(1-(ABS($Q6-ABS(VALUE(MID(KI6,FIND("|",KI6)+1,FIND("-",KI6)-FIND("|",KI6)-1))-VALUE(MID(KI6,FIND("-",KI6)+1,10)))))*$D$50),$D$9*(1-(IF($N6="X",ABS($O6-VALUE(MID(KI6,FIND("|",KI6)+1,FIND("-",KI6)-FIND("|",KI6)-1))),ABS($Q6-ABS(VALUE(MID(KI6,FIND("|",KI6)+1,FIND("-",KI6)-FIND("|",KI6)-1))-VALUE(MID(KI6,FIND("-",KI6)+1,10)))))*$D$50)))))*$I6,0)),0)</f>
        <v>0</v>
      </c>
      <c r="KK6" s="111"/>
      <c r="KL6" s="72" t="str">
        <f>Idiomas!$D$364</f>
        <v>Paste Values (R1)</v>
      </c>
      <c r="KM6" s="73">
        <f t="shared" ref="KM6" si="190">IFERROR(IF($M6=KL6,($D$8+$D$9+$D$10)*$I6,IF($N6=LEFT(KL6,1),($D$8+MAX(0,IF($D$50=1,$D$9*(1-(ABS($Q6-ABS(VALUE(MID(KL6,FIND("|",KL6)+1,FIND("-",KL6)-FIND("|",KL6)-1))-VALUE(MID(KL6,FIND("-",KL6)+1,10)))))*$D$50),$D$9*(1-(IF($N6="X",ABS($O6-VALUE(MID(KL6,FIND("|",KL6)+1,FIND("-",KL6)-FIND("|",KL6)-1))),ABS($Q6-ABS(VALUE(MID(KL6,FIND("|",KL6)+1,FIND("-",KL6)-FIND("|",KL6)-1))-VALUE(MID(KL6,FIND("-",KL6)+1,10)))))*$D$50)))))*$I6,0)),0)</f>
        <v>0</v>
      </c>
      <c r="KN6" s="111"/>
      <c r="KO6" s="72" t="str">
        <f>Idiomas!$D$364</f>
        <v>Paste Values (R1)</v>
      </c>
      <c r="KP6" s="73">
        <f t="shared" ref="KP6" si="191">IFERROR(IF($M6=KO6,($D$8+$D$9+$D$10)*$I6,IF($N6=LEFT(KO6,1),($D$8+MAX(0,IF($D$50=1,$D$9*(1-(ABS($Q6-ABS(VALUE(MID(KO6,FIND("|",KO6)+1,FIND("-",KO6)-FIND("|",KO6)-1))-VALUE(MID(KO6,FIND("-",KO6)+1,10)))))*$D$50),$D$9*(1-(IF($N6="X",ABS($O6-VALUE(MID(KO6,FIND("|",KO6)+1,FIND("-",KO6)-FIND("|",KO6)-1))),ABS($Q6-ABS(VALUE(MID(KO6,FIND("|",KO6)+1,FIND("-",KO6)-FIND("|",KO6)-1))-VALUE(MID(KO6,FIND("-",KO6)+1,10)))))*$D$50)))))*$I6,0)),0)</f>
        <v>0</v>
      </c>
      <c r="KQ6" s="111"/>
      <c r="KR6" s="72" t="str">
        <f>Idiomas!$D$364</f>
        <v>Paste Values (R1)</v>
      </c>
      <c r="KS6" s="73">
        <f t="shared" ref="KS6" si="192">IFERROR(IF($M6=KR6,($D$8+$D$9+$D$10)*$I6,IF($N6=LEFT(KR6,1),($D$8+MAX(0,IF($D$50=1,$D$9*(1-(ABS($Q6-ABS(VALUE(MID(KR6,FIND("|",KR6)+1,FIND("-",KR6)-FIND("|",KR6)-1))-VALUE(MID(KR6,FIND("-",KR6)+1,10)))))*$D$50),$D$9*(1-(IF($N6="X",ABS($O6-VALUE(MID(KR6,FIND("|",KR6)+1,FIND("-",KR6)-FIND("|",KR6)-1))),ABS($Q6-ABS(VALUE(MID(KR6,FIND("|",KR6)+1,FIND("-",KR6)-FIND("|",KR6)-1))-VALUE(MID(KR6,FIND("-",KR6)+1,10)))))*$D$50)))))*$I6,0)),0)</f>
        <v>0</v>
      </c>
      <c r="KT6" s="111"/>
      <c r="KU6" s="72" t="str">
        <f>Idiomas!$D$364</f>
        <v>Paste Values (R1)</v>
      </c>
      <c r="KV6" s="73">
        <f t="shared" ref="KV6" si="193">IFERROR(IF($M6=KU6,($D$8+$D$9+$D$10)*$I6,IF($N6=LEFT(KU6,1),($D$8+MAX(0,IF($D$50=1,$D$9*(1-(ABS($Q6-ABS(VALUE(MID(KU6,FIND("|",KU6)+1,FIND("-",KU6)-FIND("|",KU6)-1))-VALUE(MID(KU6,FIND("-",KU6)+1,10)))))*$D$50),$D$9*(1-(IF($N6="X",ABS($O6-VALUE(MID(KU6,FIND("|",KU6)+1,FIND("-",KU6)-FIND("|",KU6)-1))),ABS($Q6-ABS(VALUE(MID(KU6,FIND("|",KU6)+1,FIND("-",KU6)-FIND("|",KU6)-1))-VALUE(MID(KU6,FIND("-",KU6)+1,10)))))*$D$50)))))*$I6,0)),0)</f>
        <v>0</v>
      </c>
      <c r="KW6" s="111"/>
      <c r="KX6" s="72" t="str">
        <f>Idiomas!$D$364</f>
        <v>Paste Values (R1)</v>
      </c>
      <c r="KY6" s="73">
        <f t="shared" ref="KY6" si="194">IFERROR(IF($M6=KX6,($D$8+$D$9+$D$10)*$I6,IF($N6=LEFT(KX6,1),($D$8+MAX(0,IF($D$50=1,$D$9*(1-(ABS($Q6-ABS(VALUE(MID(KX6,FIND("|",KX6)+1,FIND("-",KX6)-FIND("|",KX6)-1))-VALUE(MID(KX6,FIND("-",KX6)+1,10)))))*$D$50),$D$9*(1-(IF($N6="X",ABS($O6-VALUE(MID(KX6,FIND("|",KX6)+1,FIND("-",KX6)-FIND("|",KX6)-1))),ABS($Q6-ABS(VALUE(MID(KX6,FIND("|",KX6)+1,FIND("-",KX6)-FIND("|",KX6)-1))-VALUE(MID(KX6,FIND("-",KX6)+1,10)))))*$D$50)))))*$I6,0)),0)</f>
        <v>0</v>
      </c>
      <c r="KZ6" s="111"/>
      <c r="LA6" s="72" t="str">
        <f>Idiomas!$D$364</f>
        <v>Paste Values (R1)</v>
      </c>
      <c r="LB6" s="73">
        <f t="shared" ref="LB6" si="195">IFERROR(IF($M6=LA6,($D$8+$D$9+$D$10)*$I6,IF($N6=LEFT(LA6,1),($D$8+MAX(0,IF($D$50=1,$D$9*(1-(ABS($Q6-ABS(VALUE(MID(LA6,FIND("|",LA6)+1,FIND("-",LA6)-FIND("|",LA6)-1))-VALUE(MID(LA6,FIND("-",LA6)+1,10)))))*$D$50),$D$9*(1-(IF($N6="X",ABS($O6-VALUE(MID(LA6,FIND("|",LA6)+1,FIND("-",LA6)-FIND("|",LA6)-1))),ABS($Q6-ABS(VALUE(MID(LA6,FIND("|",LA6)+1,FIND("-",LA6)-FIND("|",LA6)-1))-VALUE(MID(LA6,FIND("-",LA6)+1,10)))))*$D$50)))))*$I6,0)),0)</f>
        <v>0</v>
      </c>
      <c r="LC6" s="111"/>
      <c r="LD6" s="72" t="str">
        <f>Idiomas!$D$364</f>
        <v>Paste Values (R1)</v>
      </c>
      <c r="LE6" s="73">
        <f t="shared" ref="LE6" si="196">IFERROR(IF($M6=LD6,($D$8+$D$9+$D$10)*$I6,IF($N6=LEFT(LD6,1),($D$8+MAX(0,IF($D$50=1,$D$9*(1-(ABS($Q6-ABS(VALUE(MID(LD6,FIND("|",LD6)+1,FIND("-",LD6)-FIND("|",LD6)-1))-VALUE(MID(LD6,FIND("-",LD6)+1,10)))))*$D$50),$D$9*(1-(IF($N6="X",ABS($O6-VALUE(MID(LD6,FIND("|",LD6)+1,FIND("-",LD6)-FIND("|",LD6)-1))),ABS($Q6-ABS(VALUE(MID(LD6,FIND("|",LD6)+1,FIND("-",LD6)-FIND("|",LD6)-1))-VALUE(MID(LD6,FIND("-",LD6)+1,10)))))*$D$50)))))*$I6,0)),0)</f>
        <v>0</v>
      </c>
      <c r="LF6" s="111"/>
      <c r="LG6" s="111"/>
    </row>
    <row r="7" spans="1:319">
      <c r="A7" s="49"/>
      <c r="B7" s="49"/>
      <c r="C7" s="771" t="str">
        <f>HYPERLINK(Idiomas!D302,Idiomas!D301)</f>
        <v>Rule* (Click for explanation)</v>
      </c>
      <c r="D7" s="54" t="str">
        <f>Idiomas!D303</f>
        <v>Points</v>
      </c>
      <c r="E7" s="111"/>
      <c r="F7" s="445">
        <f t="shared" ref="F7:F70" si="197">SUM($D$8:$D$10)*I7</f>
        <v>20</v>
      </c>
      <c r="G7" s="445">
        <f ca="1">VLOOKUP(H7,Equipos!$Q$1:$R$25,2,0)</f>
        <v>2</v>
      </c>
      <c r="H7" s="446">
        <f ca="1">TRUNC(INDEX(WORLDCUP!$X$4:$X$147,MATCH(ADMIN!K7,WORLDCUP!$DT$4:$DT$147,0))+INDEX(Horarios!$R$3:$R$86,MATCH(Horarios!$C$3,Horarios!$P$3:$P$86,0))/24)</f>
        <v>46185</v>
      </c>
      <c r="I7" s="48">
        <v>1</v>
      </c>
      <c r="J7" s="95" t="s">
        <v>112</v>
      </c>
      <c r="K7" s="53" t="str">
        <f ca="1">CONCATENATE(WORLDCUP!AA5,"-",WORLDCUP!AF5)</f>
        <v>South Korea-Czech Republic</v>
      </c>
      <c r="L7" s="53"/>
      <c r="M7" s="55" t="str">
        <f>IF(OR(WORLDCUP!AC5="",WORLDCUP!AD5=""),"-",N7&amp;"|"&amp;O7&amp;"-"&amp;P7)</f>
        <v>1|2-1</v>
      </c>
      <c r="N7" s="25" t="str">
        <f>IF(OR(WORLDCUP!AC5="",WORLDCUP!AD5=""),"",IF(WORLDCUP!AC5&gt;WORLDCUP!AD5,"1",IF(WORLDCUP!AC5&lt;WORLDCUP!AD5,"2","X")))</f>
        <v>1</v>
      </c>
      <c r="O7" s="25">
        <f>WORLDCUP!AC5</f>
        <v>2</v>
      </c>
      <c r="P7" s="25">
        <f>WORLDCUP!AD5</f>
        <v>1</v>
      </c>
      <c r="Q7" s="25">
        <f>ABS(O7-P7)</f>
        <v>1</v>
      </c>
      <c r="R7" s="49"/>
      <c r="S7" s="72" t="s">
        <v>1944</v>
      </c>
      <c r="T7" s="73">
        <f t="shared" ref="T7:T70" si="198">IFERROR(IF($M7=S7,($D$8+$D$9+$D$10)*$I7,IF($N7=LEFT(S7,1),($D$8+MAX(0,IF($D$50=1,$D$9*(1-(ABS($Q7-ABS(VALUE(MID(S7,FIND("|",S7)+1,FIND("-",S7)-FIND("|",S7)-1))-VALUE(MID(S7,FIND("-",S7)+1,10)))))*$D$50),$D$9*(1-(IF($N7="X",ABS($O7-VALUE(MID(S7,FIND("|",S7)+1,FIND("-",S7)-FIND("|",S7)-1))),ABS($Q7-ABS(VALUE(MID(S7,FIND("|",S7)+1,FIND("-",S7)-FIND("|",S7)-1))-VALUE(MID(S7,FIND("-",S7)+1,10)))))*$D$50)))))*$I7,0)),0)</f>
        <v>0</v>
      </c>
      <c r="U7" s="111"/>
      <c r="V7" s="72" t="s">
        <v>1957</v>
      </c>
      <c r="W7" s="73">
        <f t="shared" ref="W7:W41" si="199">IFERROR(IF($M7=V7,($D$8+$D$9+$D$10)*$I7,IF($N7=LEFT(V7,1),($D$8+MAX(0,IF($D$50=1,$D$9*(1-(ABS($Q7-ABS(VALUE(MID(V7,FIND("|",V7)+1,FIND("-",V7)-FIND("|",V7)-1))-VALUE(MID(V7,FIND("-",V7)+1,10)))))*$D$50),$D$9*(1-(IF($N7="X",ABS($O7-VALUE(MID(V7,FIND("|",V7)+1,FIND("-",V7)-FIND("|",V7)-1))),ABS($Q7-ABS(VALUE(MID(V7,FIND("|",V7)+1,FIND("-",V7)-FIND("|",V7)-1))-VALUE(MID(V7,FIND("-",V7)+1,10)))))*$D$50)))))*$I7,0)),0)</f>
        <v>0</v>
      </c>
      <c r="X7" s="111"/>
      <c r="Y7" s="72" t="s">
        <v>1953</v>
      </c>
      <c r="Z7" s="73">
        <f t="shared" ref="Z7:CH18" si="200">IFERROR(IF($M7=Y7,($D$8+$D$9+$D$10)*$I7,IF($N7=LEFT(Y7,1),($D$8+MAX(0,IF($D$50=1,$D$9*(1-(ABS($Q7-ABS(VALUE(MID(Y7,FIND("|",Y7)+1,FIND("-",Y7)-FIND("|",Y7)-1))-VALUE(MID(Y7,FIND("-",Y7)+1,10)))))*$D$50),$D$9*(1-(IF($N7="X",ABS($O7-VALUE(MID(Y7,FIND("|",Y7)+1,FIND("-",Y7)-FIND("|",Y7)-1))),ABS($Q7-ABS(VALUE(MID(Y7,FIND("|",Y7)+1,FIND("-",Y7)-FIND("|",Y7)-1))-VALUE(MID(Y7,FIND("-",Y7)+1,10)))))*$D$50)))))*$I7,0)),0)</f>
        <v>0</v>
      </c>
      <c r="AA7" s="111"/>
      <c r="AB7" s="72" t="s">
        <v>1957</v>
      </c>
      <c r="AC7" s="73">
        <f t="shared" si="200"/>
        <v>0</v>
      </c>
      <c r="AD7" s="111"/>
      <c r="AE7" s="72" t="s">
        <v>1959</v>
      </c>
      <c r="AF7" s="73">
        <f t="shared" si="200"/>
        <v>12</v>
      </c>
      <c r="AG7" s="111"/>
      <c r="AH7" s="72" t="s">
        <v>1957</v>
      </c>
      <c r="AI7" s="73">
        <f t="shared" si="200"/>
        <v>0</v>
      </c>
      <c r="AJ7" s="111"/>
      <c r="AK7" s="72" t="s">
        <v>1949</v>
      </c>
      <c r="AL7" s="73">
        <f t="shared" si="200"/>
        <v>10</v>
      </c>
      <c r="AM7" s="111"/>
      <c r="AN7" s="72" t="s">
        <v>1957</v>
      </c>
      <c r="AO7" s="73">
        <f t="shared" si="200"/>
        <v>0</v>
      </c>
      <c r="AP7" s="111"/>
      <c r="AQ7" s="72" t="s">
        <v>1953</v>
      </c>
      <c r="AR7" s="73">
        <f t="shared" si="200"/>
        <v>0</v>
      </c>
      <c r="AS7" s="111"/>
      <c r="AT7" s="72" t="s">
        <v>1953</v>
      </c>
      <c r="AU7" s="73">
        <f t="shared" si="200"/>
        <v>0</v>
      </c>
      <c r="AV7" s="111"/>
      <c r="AW7" s="72" t="s">
        <v>2000</v>
      </c>
      <c r="AX7" s="73">
        <f t="shared" si="200"/>
        <v>0</v>
      </c>
      <c r="AY7" s="111"/>
      <c r="AZ7" s="72" t="s">
        <v>1957</v>
      </c>
      <c r="BA7" s="73">
        <f t="shared" si="200"/>
        <v>0</v>
      </c>
      <c r="BB7" s="111"/>
      <c r="BC7" s="72" t="s">
        <v>1944</v>
      </c>
      <c r="BD7" s="73">
        <f t="shared" si="200"/>
        <v>0</v>
      </c>
      <c r="BE7" s="111"/>
      <c r="BF7" s="72" t="s">
        <v>2000</v>
      </c>
      <c r="BG7" s="73">
        <f t="shared" si="200"/>
        <v>0</v>
      </c>
      <c r="BH7" s="111"/>
      <c r="BI7" s="72" t="s">
        <v>1950</v>
      </c>
      <c r="BJ7" s="73">
        <f t="shared" si="200"/>
        <v>10</v>
      </c>
      <c r="BK7" s="111"/>
      <c r="BL7" s="72" t="s">
        <v>1957</v>
      </c>
      <c r="BM7" s="73">
        <f t="shared" si="200"/>
        <v>0</v>
      </c>
      <c r="BN7" s="111"/>
      <c r="BO7" s="72" t="s">
        <v>1957</v>
      </c>
      <c r="BP7" s="73">
        <f t="shared" si="200"/>
        <v>0</v>
      </c>
      <c r="BQ7" s="111"/>
      <c r="BR7" s="72" t="s">
        <v>2000</v>
      </c>
      <c r="BS7" s="73">
        <f t="shared" si="200"/>
        <v>0</v>
      </c>
      <c r="BT7" s="111"/>
      <c r="BU7" s="72" t="s">
        <v>2000</v>
      </c>
      <c r="BV7" s="73">
        <f t="shared" si="200"/>
        <v>0</v>
      </c>
      <c r="BW7" s="111"/>
      <c r="BX7" s="72" t="s">
        <v>1957</v>
      </c>
      <c r="BY7" s="73">
        <f t="shared" si="200"/>
        <v>0</v>
      </c>
      <c r="BZ7" s="111"/>
      <c r="CA7" s="72" t="s">
        <v>1959</v>
      </c>
      <c r="CB7" s="73">
        <f t="shared" si="200"/>
        <v>12</v>
      </c>
      <c r="CC7" s="111"/>
      <c r="CD7" s="72" t="s">
        <v>1959</v>
      </c>
      <c r="CE7" s="73">
        <f t="shared" si="200"/>
        <v>12</v>
      </c>
      <c r="CF7" s="111"/>
      <c r="CG7" s="72" t="s">
        <v>1957</v>
      </c>
      <c r="CH7" s="73">
        <f t="shared" si="200"/>
        <v>0</v>
      </c>
      <c r="CI7" s="111"/>
      <c r="CJ7" s="72" t="s">
        <v>1957</v>
      </c>
      <c r="CK7" s="73">
        <f t="shared" si="120"/>
        <v>0</v>
      </c>
      <c r="CL7" s="111"/>
      <c r="CM7" s="72" t="s">
        <v>1954</v>
      </c>
      <c r="CN7" s="73">
        <f t="shared" si="120"/>
        <v>20</v>
      </c>
      <c r="CO7" s="111"/>
      <c r="CP7" s="72" t="s">
        <v>1957</v>
      </c>
      <c r="CQ7" s="73">
        <f t="shared" si="120"/>
        <v>0</v>
      </c>
      <c r="CR7" s="111"/>
      <c r="CS7" s="72" t="s">
        <v>1955</v>
      </c>
      <c r="CT7" s="73">
        <f t="shared" si="120"/>
        <v>0</v>
      </c>
      <c r="CU7" s="111"/>
      <c r="CV7" s="72" t="s">
        <v>1955</v>
      </c>
      <c r="CW7" s="73">
        <f t="shared" si="120"/>
        <v>0</v>
      </c>
      <c r="CX7" s="111"/>
      <c r="CY7" s="72" t="s">
        <v>1950</v>
      </c>
      <c r="CZ7" s="73">
        <f t="shared" si="120"/>
        <v>10</v>
      </c>
      <c r="DA7" s="111"/>
      <c r="DB7" s="72" t="s">
        <v>1960</v>
      </c>
      <c r="DC7" s="73">
        <f t="shared" si="120"/>
        <v>0</v>
      </c>
      <c r="DD7" s="111"/>
      <c r="DE7" s="72" t="s">
        <v>1953</v>
      </c>
      <c r="DF7" s="73">
        <f t="shared" si="120"/>
        <v>0</v>
      </c>
      <c r="DG7" s="111"/>
      <c r="DH7" s="72" t="s">
        <v>1948</v>
      </c>
      <c r="DI7" s="73">
        <f t="shared" si="120"/>
        <v>0</v>
      </c>
      <c r="DJ7" s="111"/>
      <c r="DK7" s="72" t="s">
        <v>1957</v>
      </c>
      <c r="DL7" s="73">
        <f t="shared" si="120"/>
        <v>0</v>
      </c>
      <c r="DM7" s="111"/>
      <c r="DN7" s="72" t="s">
        <v>1957</v>
      </c>
      <c r="DO7" s="73">
        <f t="shared" si="120"/>
        <v>0</v>
      </c>
      <c r="DP7" s="111"/>
      <c r="DQ7" s="72" t="s">
        <v>1957</v>
      </c>
      <c r="DR7" s="73">
        <f t="shared" si="120"/>
        <v>0</v>
      </c>
      <c r="DS7" s="111"/>
      <c r="DT7" s="72" t="s">
        <v>1957</v>
      </c>
      <c r="DU7" s="73">
        <f t="shared" si="120"/>
        <v>0</v>
      </c>
      <c r="DV7" s="111"/>
      <c r="DW7" s="72" t="s">
        <v>2000</v>
      </c>
      <c r="DX7" s="73">
        <f t="shared" si="120"/>
        <v>0</v>
      </c>
      <c r="DY7" s="111"/>
      <c r="DZ7" s="72" t="s">
        <v>1957</v>
      </c>
      <c r="EA7" s="73">
        <f t="shared" si="120"/>
        <v>0</v>
      </c>
      <c r="EB7" s="111"/>
      <c r="EC7" s="72" t="s">
        <v>1957</v>
      </c>
      <c r="ED7" s="73">
        <f t="shared" si="120"/>
        <v>0</v>
      </c>
      <c r="EE7" s="111"/>
      <c r="EF7" s="72" t="s">
        <v>1957</v>
      </c>
      <c r="EG7" s="73">
        <f t="shared" si="120"/>
        <v>0</v>
      </c>
      <c r="EH7" s="111"/>
      <c r="EI7" s="72" t="s">
        <v>1957</v>
      </c>
      <c r="EJ7" s="73">
        <f t="shared" si="120"/>
        <v>0</v>
      </c>
      <c r="EK7" s="111"/>
      <c r="EL7" s="72" t="s">
        <v>1957</v>
      </c>
      <c r="EM7" s="73">
        <f t="shared" si="120"/>
        <v>0</v>
      </c>
      <c r="EN7" s="111"/>
      <c r="EO7" s="72" t="s">
        <v>1957</v>
      </c>
      <c r="EP7" s="73">
        <f t="shared" si="120"/>
        <v>0</v>
      </c>
      <c r="EQ7" s="111"/>
      <c r="ER7" s="72" t="s">
        <v>1954</v>
      </c>
      <c r="ES7" s="73">
        <f t="shared" si="120"/>
        <v>20</v>
      </c>
      <c r="ET7" s="111"/>
      <c r="EU7" s="72" t="s">
        <v>1957</v>
      </c>
      <c r="EV7" s="73">
        <f t="shared" si="120"/>
        <v>0</v>
      </c>
      <c r="EW7" s="111"/>
      <c r="EX7" s="72" t="s">
        <v>1957</v>
      </c>
      <c r="EY7" s="73">
        <f t="shared" si="142"/>
        <v>0</v>
      </c>
      <c r="EZ7" s="111"/>
      <c r="FA7" s="72" t="s">
        <v>1957</v>
      </c>
      <c r="FB7" s="73">
        <f t="shared" si="142"/>
        <v>0</v>
      </c>
      <c r="FC7" s="111"/>
      <c r="FD7" s="72" t="s">
        <v>1959</v>
      </c>
      <c r="FE7" s="73">
        <f t="shared" si="142"/>
        <v>12</v>
      </c>
      <c r="FF7" s="111"/>
      <c r="FG7" s="72" t="s">
        <v>1958</v>
      </c>
      <c r="FH7" s="73">
        <f t="shared" si="142"/>
        <v>10</v>
      </c>
      <c r="FI7" s="111"/>
      <c r="FJ7" s="72" t="s">
        <v>1957</v>
      </c>
      <c r="FK7" s="73">
        <f t="shared" si="142"/>
        <v>0</v>
      </c>
      <c r="FL7" s="111"/>
      <c r="FM7" s="72" t="s">
        <v>1953</v>
      </c>
      <c r="FN7" s="73">
        <f t="shared" si="142"/>
        <v>0</v>
      </c>
      <c r="FO7" s="111"/>
      <c r="FP7" s="72" t="s">
        <v>1957</v>
      </c>
      <c r="FQ7" s="73">
        <f t="shared" si="142"/>
        <v>0</v>
      </c>
      <c r="FR7" s="111"/>
      <c r="FS7" s="72" t="s">
        <v>1953</v>
      </c>
      <c r="FT7" s="73">
        <f t="shared" si="142"/>
        <v>0</v>
      </c>
      <c r="FU7" s="111"/>
      <c r="FV7" s="72" t="s">
        <v>1957</v>
      </c>
      <c r="FW7" s="73">
        <f t="shared" si="142"/>
        <v>0</v>
      </c>
      <c r="FX7" s="111"/>
      <c r="FY7" s="72" t="s">
        <v>2000</v>
      </c>
      <c r="FZ7" s="73">
        <f t="shared" si="142"/>
        <v>0</v>
      </c>
      <c r="GA7" s="111"/>
      <c r="GB7" s="72" t="s">
        <v>1957</v>
      </c>
      <c r="GC7" s="73">
        <f t="shared" si="142"/>
        <v>0</v>
      </c>
      <c r="GD7" s="111"/>
      <c r="GE7" s="72" t="s">
        <v>1944</v>
      </c>
      <c r="GF7" s="73">
        <f t="shared" si="142"/>
        <v>0</v>
      </c>
      <c r="GG7" s="111"/>
      <c r="GH7" s="72" t="s">
        <v>1957</v>
      </c>
      <c r="GI7" s="73">
        <f t="shared" si="142"/>
        <v>0</v>
      </c>
      <c r="GJ7" s="111"/>
      <c r="GK7" s="72" t="s">
        <v>1959</v>
      </c>
      <c r="GL7" s="73">
        <f t="shared" si="142"/>
        <v>12</v>
      </c>
      <c r="GM7" s="111"/>
      <c r="GN7" s="72"/>
      <c r="GO7" s="73">
        <f t="shared" si="142"/>
        <v>0</v>
      </c>
      <c r="GP7" s="111"/>
      <c r="GQ7" s="72"/>
      <c r="GR7" s="73">
        <f t="shared" si="142"/>
        <v>0</v>
      </c>
      <c r="GS7" s="111"/>
      <c r="GT7" s="72"/>
      <c r="GU7" s="73">
        <f t="shared" si="142"/>
        <v>0</v>
      </c>
      <c r="GV7" s="111"/>
      <c r="GW7" s="72"/>
      <c r="GX7" s="73">
        <f t="shared" si="142"/>
        <v>0</v>
      </c>
      <c r="GY7" s="111"/>
      <c r="GZ7" s="72"/>
      <c r="HA7" s="73">
        <f t="shared" si="142"/>
        <v>0</v>
      </c>
      <c r="HB7" s="111"/>
      <c r="HC7" s="72"/>
      <c r="HD7" s="73">
        <f t="shared" si="142"/>
        <v>0</v>
      </c>
      <c r="HE7" s="111"/>
      <c r="HF7" s="72"/>
      <c r="HG7" s="73">
        <f t="shared" si="142"/>
        <v>0</v>
      </c>
      <c r="HH7" s="111"/>
      <c r="HI7" s="72"/>
      <c r="HJ7" s="73">
        <f t="shared" si="142"/>
        <v>0</v>
      </c>
      <c r="HK7" s="111"/>
      <c r="HL7" s="72"/>
      <c r="HM7" s="73">
        <f t="shared" si="164"/>
        <v>0</v>
      </c>
      <c r="HN7" s="111"/>
      <c r="HO7" s="72"/>
      <c r="HP7" s="73">
        <f t="shared" si="164"/>
        <v>0</v>
      </c>
      <c r="HQ7" s="111"/>
      <c r="HR7" s="72"/>
      <c r="HS7" s="73">
        <f t="shared" si="164"/>
        <v>0</v>
      </c>
      <c r="HT7" s="111"/>
      <c r="HU7" s="72"/>
      <c r="HV7" s="73">
        <f t="shared" si="164"/>
        <v>0</v>
      </c>
      <c r="HW7" s="111"/>
      <c r="HX7" s="72"/>
      <c r="HY7" s="73">
        <f t="shared" si="164"/>
        <v>0</v>
      </c>
      <c r="HZ7" s="111"/>
      <c r="IA7" s="72"/>
      <c r="IB7" s="73">
        <f t="shared" si="164"/>
        <v>0</v>
      </c>
      <c r="IC7" s="111"/>
      <c r="ID7" s="72"/>
      <c r="IE7" s="73">
        <f t="shared" si="164"/>
        <v>0</v>
      </c>
      <c r="IF7" s="111"/>
      <c r="IG7" s="72"/>
      <c r="IH7" s="73">
        <f t="shared" si="164"/>
        <v>0</v>
      </c>
      <c r="II7" s="111"/>
      <c r="IJ7" s="72"/>
      <c r="IK7" s="73">
        <f t="shared" si="164"/>
        <v>0</v>
      </c>
      <c r="IL7" s="111"/>
      <c r="IM7" s="72"/>
      <c r="IN7" s="73">
        <f t="shared" si="164"/>
        <v>0</v>
      </c>
      <c r="IO7" s="111"/>
      <c r="IP7" s="72"/>
      <c r="IQ7" s="73">
        <f t="shared" si="164"/>
        <v>0</v>
      </c>
      <c r="IR7" s="111"/>
      <c r="IS7" s="72"/>
      <c r="IT7" s="73">
        <f t="shared" si="164"/>
        <v>0</v>
      </c>
      <c r="IU7" s="111"/>
      <c r="IV7" s="72"/>
      <c r="IW7" s="73">
        <f t="shared" si="164"/>
        <v>0</v>
      </c>
      <c r="IX7" s="111"/>
      <c r="IY7" s="72"/>
      <c r="IZ7" s="73">
        <f t="shared" si="164"/>
        <v>0</v>
      </c>
      <c r="JA7" s="111"/>
      <c r="JB7" s="72"/>
      <c r="JC7" s="73">
        <f t="shared" si="164"/>
        <v>0</v>
      </c>
      <c r="JD7" s="111"/>
      <c r="JE7" s="72"/>
      <c r="JF7" s="73">
        <f t="shared" si="164"/>
        <v>0</v>
      </c>
      <c r="JG7" s="111"/>
      <c r="JH7" s="72"/>
      <c r="JI7" s="73">
        <f t="shared" si="164"/>
        <v>0</v>
      </c>
      <c r="JJ7" s="111"/>
      <c r="JK7" s="72"/>
      <c r="JL7" s="73">
        <f t="shared" si="164"/>
        <v>0</v>
      </c>
      <c r="JM7" s="111"/>
      <c r="JN7" s="72"/>
      <c r="JO7" s="73">
        <f t="shared" si="164"/>
        <v>0</v>
      </c>
      <c r="JP7" s="111"/>
      <c r="JQ7" s="72"/>
      <c r="JR7" s="73">
        <f t="shared" si="164"/>
        <v>0</v>
      </c>
      <c r="JS7" s="111"/>
      <c r="JT7" s="72"/>
      <c r="JU7" s="73">
        <f t="shared" si="164"/>
        <v>0</v>
      </c>
      <c r="JV7" s="111"/>
      <c r="JW7" s="72"/>
      <c r="JX7" s="73">
        <f t="shared" si="164"/>
        <v>0</v>
      </c>
      <c r="JY7" s="111"/>
      <c r="JZ7" s="72"/>
      <c r="KA7" s="73">
        <f t="shared" si="186"/>
        <v>0</v>
      </c>
      <c r="KB7" s="111"/>
      <c r="KC7" s="72"/>
      <c r="KD7" s="73">
        <f t="shared" si="186"/>
        <v>0</v>
      </c>
      <c r="KE7" s="111"/>
      <c r="KF7" s="72"/>
      <c r="KG7" s="73">
        <f t="shared" si="186"/>
        <v>0</v>
      </c>
      <c r="KH7" s="111"/>
      <c r="KI7" s="72"/>
      <c r="KJ7" s="73">
        <f t="shared" si="186"/>
        <v>0</v>
      </c>
      <c r="KK7" s="111"/>
      <c r="KL7" s="72"/>
      <c r="KM7" s="73">
        <f t="shared" si="186"/>
        <v>0</v>
      </c>
      <c r="KN7" s="111"/>
      <c r="KO7" s="72"/>
      <c r="KP7" s="73">
        <f t="shared" si="186"/>
        <v>0</v>
      </c>
      <c r="KQ7" s="111"/>
      <c r="KR7" s="72"/>
      <c r="KS7" s="73">
        <f t="shared" si="186"/>
        <v>0</v>
      </c>
      <c r="KT7" s="111"/>
      <c r="KU7" s="72"/>
      <c r="KV7" s="73">
        <f t="shared" si="186"/>
        <v>0</v>
      </c>
      <c r="KW7" s="111"/>
      <c r="KX7" s="72"/>
      <c r="KY7" s="73">
        <f t="shared" si="186"/>
        <v>0</v>
      </c>
      <c r="KZ7" s="111"/>
      <c r="LA7" s="72"/>
      <c r="LB7" s="73">
        <f t="shared" si="186"/>
        <v>0</v>
      </c>
      <c r="LC7" s="111"/>
      <c r="LD7" s="72"/>
      <c r="LE7" s="73">
        <f t="shared" si="186"/>
        <v>0</v>
      </c>
      <c r="LF7" s="111"/>
      <c r="LG7" s="111"/>
    </row>
    <row r="8" spans="1:319">
      <c r="A8" s="49"/>
      <c r="B8" s="49"/>
      <c r="C8" s="437" t="str">
        <f>Idiomas!D304</f>
        <v>GROUP STAGE- 1X2 (home, draw, away)</v>
      </c>
      <c r="D8" s="62">
        <v>10</v>
      </c>
      <c r="E8" s="111"/>
      <c r="F8" s="445">
        <f t="shared" si="197"/>
        <v>20</v>
      </c>
      <c r="G8" s="445">
        <f ca="1">VLOOKUP(H8,Equipos!$Q$1:$R$25,2,0)</f>
        <v>2</v>
      </c>
      <c r="H8" s="446">
        <f ca="1">TRUNC(INDEX(WORLDCUP!$X$4:$X$147,MATCH(ADMIN!K8,WORLDCUP!$DT$4:$DT$147,0))+INDEX(Horarios!$R$3:$R$86,MATCH(Horarios!$C$3,Horarios!$P$3:$P$86,0))/24)</f>
        <v>46185</v>
      </c>
      <c r="I8" s="48">
        <v>1</v>
      </c>
      <c r="J8" s="96" t="s">
        <v>113</v>
      </c>
      <c r="K8" s="53" t="str">
        <f ca="1">CONCATENATE(WORLDCUP!AA12,"-",WORLDCUP!AF12)</f>
        <v>Canada-Bosnia and Herzegovina</v>
      </c>
      <c r="L8" s="53"/>
      <c r="M8" s="55" t="str">
        <f>IF(OR(WORLDCUP!AC12="",WORLDCUP!AD12=""),"-",N8&amp;"|"&amp;O8&amp;"-"&amp;P8)</f>
        <v>X|1-1</v>
      </c>
      <c r="N8" s="25" t="str">
        <f>IF(OR(WORLDCUP!AC12="",WORLDCUP!AD12=""),"",IF(WORLDCUP!AC12&gt;WORLDCUP!AD12,"1",IF(WORLDCUP!AC12&lt;WORLDCUP!AD12,"2","X")))</f>
        <v>X</v>
      </c>
      <c r="O8" s="25">
        <f>WORLDCUP!AC12</f>
        <v>1</v>
      </c>
      <c r="P8" s="25">
        <f>WORLDCUP!AD12</f>
        <v>1</v>
      </c>
      <c r="Q8" s="25">
        <f t="shared" ref="Q8:Q70" si="201">ABS(O8-P8)</f>
        <v>0</v>
      </c>
      <c r="R8" s="49"/>
      <c r="S8" s="74" t="s">
        <v>1945</v>
      </c>
      <c r="T8" s="73">
        <f t="shared" si="198"/>
        <v>0</v>
      </c>
      <c r="U8" s="65"/>
      <c r="V8" s="74" t="s">
        <v>2000</v>
      </c>
      <c r="W8" s="73">
        <f t="shared" si="199"/>
        <v>0</v>
      </c>
      <c r="X8" s="65"/>
      <c r="Y8" s="74" t="s">
        <v>1954</v>
      </c>
      <c r="Z8" s="73">
        <f t="shared" si="200"/>
        <v>0</v>
      </c>
      <c r="AA8" s="65"/>
      <c r="AB8" s="74" t="s">
        <v>1957</v>
      </c>
      <c r="AC8" s="73">
        <f t="shared" si="200"/>
        <v>20</v>
      </c>
      <c r="AD8" s="65"/>
      <c r="AE8" s="74" t="s">
        <v>1950</v>
      </c>
      <c r="AF8" s="73">
        <f t="shared" si="200"/>
        <v>0</v>
      </c>
      <c r="AG8" s="65"/>
      <c r="AH8" s="74" t="s">
        <v>1960</v>
      </c>
      <c r="AI8" s="73">
        <f t="shared" si="200"/>
        <v>0</v>
      </c>
      <c r="AJ8" s="65"/>
      <c r="AK8" s="74" t="s">
        <v>1950</v>
      </c>
      <c r="AL8" s="73">
        <f t="shared" si="200"/>
        <v>0</v>
      </c>
      <c r="AM8" s="65"/>
      <c r="AN8" s="74" t="s">
        <v>1944</v>
      </c>
      <c r="AO8" s="73">
        <f t="shared" si="200"/>
        <v>12</v>
      </c>
      <c r="AP8" s="65"/>
      <c r="AQ8" s="74" t="s">
        <v>1953</v>
      </c>
      <c r="AR8" s="73">
        <f t="shared" si="200"/>
        <v>0</v>
      </c>
      <c r="AS8" s="65"/>
      <c r="AT8" s="74" t="s">
        <v>1944</v>
      </c>
      <c r="AU8" s="73">
        <f t="shared" si="200"/>
        <v>12</v>
      </c>
      <c r="AV8" s="65"/>
      <c r="AW8" s="74" t="s">
        <v>1954</v>
      </c>
      <c r="AX8" s="73">
        <f t="shared" si="200"/>
        <v>0</v>
      </c>
      <c r="AY8" s="65"/>
      <c r="AZ8" s="74" t="s">
        <v>1957</v>
      </c>
      <c r="BA8" s="73">
        <f t="shared" si="200"/>
        <v>20</v>
      </c>
      <c r="BB8" s="65"/>
      <c r="BC8" s="74" t="s">
        <v>1953</v>
      </c>
      <c r="BD8" s="73">
        <f t="shared" si="200"/>
        <v>0</v>
      </c>
      <c r="BE8" s="65"/>
      <c r="BF8" s="74" t="s">
        <v>1954</v>
      </c>
      <c r="BG8" s="73">
        <f t="shared" si="200"/>
        <v>0</v>
      </c>
      <c r="BH8" s="65"/>
      <c r="BI8" s="74" t="s">
        <v>1957</v>
      </c>
      <c r="BJ8" s="73">
        <f t="shared" si="200"/>
        <v>20</v>
      </c>
      <c r="BK8" s="65"/>
      <c r="BL8" s="74" t="s">
        <v>1957</v>
      </c>
      <c r="BM8" s="73">
        <f t="shared" si="200"/>
        <v>20</v>
      </c>
      <c r="BN8" s="65"/>
      <c r="BO8" s="74" t="s">
        <v>1957</v>
      </c>
      <c r="BP8" s="73">
        <f t="shared" si="200"/>
        <v>20</v>
      </c>
      <c r="BQ8" s="65"/>
      <c r="BR8" s="74" t="s">
        <v>2133</v>
      </c>
      <c r="BS8" s="73">
        <f t="shared" si="200"/>
        <v>12</v>
      </c>
      <c r="BT8" s="65"/>
      <c r="BU8" s="74" t="s">
        <v>1959</v>
      </c>
      <c r="BV8" s="73">
        <f t="shared" si="200"/>
        <v>0</v>
      </c>
      <c r="BW8" s="65"/>
      <c r="BX8" s="74" t="s">
        <v>1950</v>
      </c>
      <c r="BY8" s="73">
        <f t="shared" si="200"/>
        <v>0</v>
      </c>
      <c r="BZ8" s="65"/>
      <c r="CA8" s="74" t="s">
        <v>2000</v>
      </c>
      <c r="CB8" s="73">
        <f t="shared" si="200"/>
        <v>0</v>
      </c>
      <c r="CC8" s="65"/>
      <c r="CD8" s="74" t="s">
        <v>1959</v>
      </c>
      <c r="CE8" s="73">
        <f t="shared" si="200"/>
        <v>0</v>
      </c>
      <c r="CF8" s="65"/>
      <c r="CG8" s="74" t="s">
        <v>1954</v>
      </c>
      <c r="CH8" s="73">
        <f t="shared" si="200"/>
        <v>0</v>
      </c>
      <c r="CI8" s="65"/>
      <c r="CJ8" s="74" t="s">
        <v>1954</v>
      </c>
      <c r="CK8" s="73">
        <f t="shared" si="120"/>
        <v>0</v>
      </c>
      <c r="CL8" s="65"/>
      <c r="CM8" s="74" t="s">
        <v>1954</v>
      </c>
      <c r="CN8" s="73">
        <f t="shared" si="120"/>
        <v>0</v>
      </c>
      <c r="CO8" s="65"/>
      <c r="CP8" s="74" t="s">
        <v>1953</v>
      </c>
      <c r="CQ8" s="73">
        <f t="shared" si="120"/>
        <v>0</v>
      </c>
      <c r="CR8" s="65"/>
      <c r="CS8" s="74" t="s">
        <v>1957</v>
      </c>
      <c r="CT8" s="73">
        <f t="shared" si="120"/>
        <v>20</v>
      </c>
      <c r="CU8" s="65"/>
      <c r="CV8" s="74" t="s">
        <v>1949</v>
      </c>
      <c r="CW8" s="73">
        <f t="shared" si="120"/>
        <v>0</v>
      </c>
      <c r="CX8" s="65"/>
      <c r="CY8" s="74" t="s">
        <v>1944</v>
      </c>
      <c r="CZ8" s="73">
        <f t="shared" si="120"/>
        <v>12</v>
      </c>
      <c r="DA8" s="65"/>
      <c r="DB8" s="74" t="s">
        <v>2133</v>
      </c>
      <c r="DC8" s="73">
        <f t="shared" si="120"/>
        <v>12</v>
      </c>
      <c r="DD8" s="65"/>
      <c r="DE8" s="74" t="s">
        <v>1954</v>
      </c>
      <c r="DF8" s="73">
        <f t="shared" si="120"/>
        <v>0</v>
      </c>
      <c r="DG8" s="65"/>
      <c r="DH8" s="74" t="s">
        <v>1950</v>
      </c>
      <c r="DI8" s="73">
        <f t="shared" si="120"/>
        <v>0</v>
      </c>
      <c r="DJ8" s="65"/>
      <c r="DK8" s="74" t="s">
        <v>1957</v>
      </c>
      <c r="DL8" s="73">
        <f t="shared" si="120"/>
        <v>20</v>
      </c>
      <c r="DM8" s="65"/>
      <c r="DN8" s="74" t="s">
        <v>1959</v>
      </c>
      <c r="DO8" s="73">
        <f t="shared" si="120"/>
        <v>0</v>
      </c>
      <c r="DP8" s="65"/>
      <c r="DQ8" s="74" t="s">
        <v>1957</v>
      </c>
      <c r="DR8" s="73">
        <f t="shared" si="120"/>
        <v>20</v>
      </c>
      <c r="DS8" s="65"/>
      <c r="DT8" s="74" t="s">
        <v>1954</v>
      </c>
      <c r="DU8" s="73">
        <f t="shared" si="120"/>
        <v>0</v>
      </c>
      <c r="DV8" s="65"/>
      <c r="DW8" s="74" t="s">
        <v>1950</v>
      </c>
      <c r="DX8" s="73">
        <f t="shared" si="120"/>
        <v>0</v>
      </c>
      <c r="DY8" s="65"/>
      <c r="DZ8" s="74" t="s">
        <v>1954</v>
      </c>
      <c r="EA8" s="73">
        <f t="shared" si="120"/>
        <v>0</v>
      </c>
      <c r="EB8" s="65"/>
      <c r="EC8" s="74" t="s">
        <v>1957</v>
      </c>
      <c r="ED8" s="73">
        <f t="shared" si="120"/>
        <v>20</v>
      </c>
      <c r="EE8" s="65"/>
      <c r="EF8" s="74" t="s">
        <v>1953</v>
      </c>
      <c r="EG8" s="73">
        <f t="shared" si="120"/>
        <v>0</v>
      </c>
      <c r="EH8" s="65"/>
      <c r="EI8" s="74" t="s">
        <v>1950</v>
      </c>
      <c r="EJ8" s="73">
        <f t="shared" si="120"/>
        <v>0</v>
      </c>
      <c r="EK8" s="65"/>
      <c r="EL8" s="74" t="s">
        <v>1957</v>
      </c>
      <c r="EM8" s="73">
        <f t="shared" si="120"/>
        <v>20</v>
      </c>
      <c r="EN8" s="65"/>
      <c r="EO8" s="74" t="s">
        <v>1959</v>
      </c>
      <c r="EP8" s="73">
        <f t="shared" si="120"/>
        <v>0</v>
      </c>
      <c r="EQ8" s="65"/>
      <c r="ER8" s="74" t="s">
        <v>1954</v>
      </c>
      <c r="ES8" s="73">
        <f t="shared" si="120"/>
        <v>0</v>
      </c>
      <c r="ET8" s="65"/>
      <c r="EU8" s="74" t="s">
        <v>1954</v>
      </c>
      <c r="EV8" s="73">
        <f t="shared" si="120"/>
        <v>0</v>
      </c>
      <c r="EW8" s="65"/>
      <c r="EX8" s="74" t="s">
        <v>1957</v>
      </c>
      <c r="EY8" s="73">
        <f t="shared" si="142"/>
        <v>20</v>
      </c>
      <c r="EZ8" s="65"/>
      <c r="FA8" s="74" t="s">
        <v>1954</v>
      </c>
      <c r="FB8" s="73">
        <f t="shared" si="142"/>
        <v>0</v>
      </c>
      <c r="FC8" s="65"/>
      <c r="FD8" s="74" t="s">
        <v>1959</v>
      </c>
      <c r="FE8" s="73">
        <f t="shared" si="142"/>
        <v>0</v>
      </c>
      <c r="FF8" s="65"/>
      <c r="FG8" s="74" t="s">
        <v>1959</v>
      </c>
      <c r="FH8" s="73">
        <f t="shared" si="142"/>
        <v>0</v>
      </c>
      <c r="FI8" s="65"/>
      <c r="FJ8" s="74" t="s">
        <v>1954</v>
      </c>
      <c r="FK8" s="73">
        <f t="shared" si="142"/>
        <v>0</v>
      </c>
      <c r="FL8" s="65"/>
      <c r="FM8" s="74" t="s">
        <v>1957</v>
      </c>
      <c r="FN8" s="73">
        <f t="shared" si="142"/>
        <v>20</v>
      </c>
      <c r="FO8" s="65"/>
      <c r="FP8" s="74" t="s">
        <v>1957</v>
      </c>
      <c r="FQ8" s="73">
        <f t="shared" si="142"/>
        <v>20</v>
      </c>
      <c r="FR8" s="65"/>
      <c r="FS8" s="74" t="s">
        <v>1957</v>
      </c>
      <c r="FT8" s="73">
        <f t="shared" si="142"/>
        <v>20</v>
      </c>
      <c r="FU8" s="65"/>
      <c r="FV8" s="74" t="s">
        <v>1959</v>
      </c>
      <c r="FW8" s="73">
        <f t="shared" si="142"/>
        <v>0</v>
      </c>
      <c r="FX8" s="65"/>
      <c r="FY8" s="74" t="s">
        <v>1957</v>
      </c>
      <c r="FZ8" s="73">
        <f t="shared" si="142"/>
        <v>20</v>
      </c>
      <c r="GA8" s="65"/>
      <c r="GB8" s="74" t="s">
        <v>1957</v>
      </c>
      <c r="GC8" s="73">
        <f t="shared" si="142"/>
        <v>20</v>
      </c>
      <c r="GD8" s="65"/>
      <c r="GE8" s="74" t="s">
        <v>1957</v>
      </c>
      <c r="GF8" s="73">
        <f t="shared" si="142"/>
        <v>20</v>
      </c>
      <c r="GG8" s="65"/>
      <c r="GH8" s="74" t="s">
        <v>1959</v>
      </c>
      <c r="GI8" s="73">
        <f t="shared" si="142"/>
        <v>0</v>
      </c>
      <c r="GJ8" s="65"/>
      <c r="GK8" s="74" t="s">
        <v>2133</v>
      </c>
      <c r="GL8" s="73">
        <f t="shared" si="142"/>
        <v>12</v>
      </c>
      <c r="GM8" s="65"/>
      <c r="GN8" s="74"/>
      <c r="GO8" s="73">
        <f t="shared" si="142"/>
        <v>0</v>
      </c>
      <c r="GP8" s="65"/>
      <c r="GQ8" s="74"/>
      <c r="GR8" s="73">
        <f t="shared" si="142"/>
        <v>0</v>
      </c>
      <c r="GS8" s="65"/>
      <c r="GT8" s="74"/>
      <c r="GU8" s="73">
        <f t="shared" si="142"/>
        <v>0</v>
      </c>
      <c r="GV8" s="65"/>
      <c r="GW8" s="74"/>
      <c r="GX8" s="73">
        <f t="shared" si="142"/>
        <v>0</v>
      </c>
      <c r="GY8" s="65"/>
      <c r="GZ8" s="74"/>
      <c r="HA8" s="73">
        <f t="shared" si="142"/>
        <v>0</v>
      </c>
      <c r="HB8" s="65"/>
      <c r="HC8" s="74"/>
      <c r="HD8" s="73">
        <f t="shared" si="142"/>
        <v>0</v>
      </c>
      <c r="HE8" s="65"/>
      <c r="HF8" s="74"/>
      <c r="HG8" s="73">
        <f t="shared" si="142"/>
        <v>0</v>
      </c>
      <c r="HH8" s="65"/>
      <c r="HI8" s="74"/>
      <c r="HJ8" s="73">
        <f t="shared" si="142"/>
        <v>0</v>
      </c>
      <c r="HK8" s="65"/>
      <c r="HL8" s="74"/>
      <c r="HM8" s="73">
        <f t="shared" si="164"/>
        <v>0</v>
      </c>
      <c r="HN8" s="65"/>
      <c r="HO8" s="74"/>
      <c r="HP8" s="73">
        <f t="shared" si="164"/>
        <v>0</v>
      </c>
      <c r="HQ8" s="65"/>
      <c r="HR8" s="74"/>
      <c r="HS8" s="73">
        <f t="shared" si="164"/>
        <v>0</v>
      </c>
      <c r="HT8" s="65"/>
      <c r="HU8" s="74"/>
      <c r="HV8" s="73">
        <f t="shared" si="164"/>
        <v>0</v>
      </c>
      <c r="HW8" s="65"/>
      <c r="HX8" s="74"/>
      <c r="HY8" s="73">
        <f t="shared" si="164"/>
        <v>0</v>
      </c>
      <c r="HZ8" s="65"/>
      <c r="IA8" s="74"/>
      <c r="IB8" s="73">
        <f t="shared" si="164"/>
        <v>0</v>
      </c>
      <c r="IC8" s="65"/>
      <c r="ID8" s="74"/>
      <c r="IE8" s="73">
        <f t="shared" si="164"/>
        <v>0</v>
      </c>
      <c r="IF8" s="65"/>
      <c r="IG8" s="74"/>
      <c r="IH8" s="73">
        <f t="shared" si="164"/>
        <v>0</v>
      </c>
      <c r="II8" s="65"/>
      <c r="IJ8" s="74"/>
      <c r="IK8" s="73">
        <f t="shared" si="164"/>
        <v>0</v>
      </c>
      <c r="IL8" s="65"/>
      <c r="IM8" s="74"/>
      <c r="IN8" s="73">
        <f t="shared" si="164"/>
        <v>0</v>
      </c>
      <c r="IO8" s="65"/>
      <c r="IP8" s="74"/>
      <c r="IQ8" s="73">
        <f t="shared" si="164"/>
        <v>0</v>
      </c>
      <c r="IR8" s="65"/>
      <c r="IS8" s="74"/>
      <c r="IT8" s="73">
        <f t="shared" si="164"/>
        <v>0</v>
      </c>
      <c r="IU8" s="65"/>
      <c r="IV8" s="74"/>
      <c r="IW8" s="73">
        <f t="shared" si="164"/>
        <v>0</v>
      </c>
      <c r="IX8" s="65"/>
      <c r="IY8" s="74"/>
      <c r="IZ8" s="73">
        <f t="shared" si="164"/>
        <v>0</v>
      </c>
      <c r="JA8" s="65"/>
      <c r="JB8" s="74"/>
      <c r="JC8" s="73">
        <f t="shared" si="164"/>
        <v>0</v>
      </c>
      <c r="JD8" s="65"/>
      <c r="JE8" s="74"/>
      <c r="JF8" s="73">
        <f t="shared" si="164"/>
        <v>0</v>
      </c>
      <c r="JG8" s="65"/>
      <c r="JH8" s="74"/>
      <c r="JI8" s="73">
        <f t="shared" si="164"/>
        <v>0</v>
      </c>
      <c r="JJ8" s="65"/>
      <c r="JK8" s="74"/>
      <c r="JL8" s="73">
        <f t="shared" si="164"/>
        <v>0</v>
      </c>
      <c r="JM8" s="65"/>
      <c r="JN8" s="74"/>
      <c r="JO8" s="73">
        <f t="shared" si="164"/>
        <v>0</v>
      </c>
      <c r="JP8" s="65"/>
      <c r="JQ8" s="74"/>
      <c r="JR8" s="73">
        <f t="shared" si="164"/>
        <v>0</v>
      </c>
      <c r="JS8" s="65"/>
      <c r="JT8" s="74"/>
      <c r="JU8" s="73">
        <f t="shared" si="164"/>
        <v>0</v>
      </c>
      <c r="JV8" s="65"/>
      <c r="JW8" s="74"/>
      <c r="JX8" s="73">
        <f t="shared" si="164"/>
        <v>0</v>
      </c>
      <c r="JY8" s="65"/>
      <c r="JZ8" s="74"/>
      <c r="KA8" s="73">
        <f t="shared" si="186"/>
        <v>0</v>
      </c>
      <c r="KB8" s="65"/>
      <c r="KC8" s="74"/>
      <c r="KD8" s="73">
        <f t="shared" si="186"/>
        <v>0</v>
      </c>
      <c r="KE8" s="65"/>
      <c r="KF8" s="74"/>
      <c r="KG8" s="73">
        <f t="shared" si="186"/>
        <v>0</v>
      </c>
      <c r="KH8" s="65"/>
      <c r="KI8" s="74"/>
      <c r="KJ8" s="73">
        <f t="shared" si="186"/>
        <v>0</v>
      </c>
      <c r="KK8" s="65"/>
      <c r="KL8" s="74"/>
      <c r="KM8" s="73">
        <f t="shared" si="186"/>
        <v>0</v>
      </c>
      <c r="KN8" s="65"/>
      <c r="KO8" s="74"/>
      <c r="KP8" s="73">
        <f t="shared" si="186"/>
        <v>0</v>
      </c>
      <c r="KQ8" s="65"/>
      <c r="KR8" s="74"/>
      <c r="KS8" s="73">
        <f t="shared" si="186"/>
        <v>0</v>
      </c>
      <c r="KT8" s="65"/>
      <c r="KU8" s="74"/>
      <c r="KV8" s="73">
        <f t="shared" si="186"/>
        <v>0</v>
      </c>
      <c r="KW8" s="65"/>
      <c r="KX8" s="74"/>
      <c r="KY8" s="73">
        <f t="shared" si="186"/>
        <v>0</v>
      </c>
      <c r="KZ8" s="65"/>
      <c r="LA8" s="74"/>
      <c r="LB8" s="73">
        <f t="shared" si="186"/>
        <v>0</v>
      </c>
      <c r="LC8" s="65"/>
      <c r="LD8" s="74"/>
      <c r="LE8" s="73">
        <f t="shared" si="186"/>
        <v>0</v>
      </c>
      <c r="LF8" s="65"/>
      <c r="LG8" s="65"/>
    </row>
    <row r="9" spans="1:319">
      <c r="A9" s="49"/>
      <c r="B9" s="49"/>
      <c r="C9" s="438" t="str">
        <f>Idiomas!D305&amp;"**"</f>
        <v>GROUP STAGE - Goal Difference (with 1X2 correct)**</v>
      </c>
      <c r="D9" s="44">
        <v>2</v>
      </c>
      <c r="E9" s="111"/>
      <c r="F9" s="445">
        <f t="shared" si="197"/>
        <v>20</v>
      </c>
      <c r="G9" s="445">
        <f ca="1">VLOOKUP(H9,Equipos!$Q$1:$R$25,2,0)</f>
        <v>3</v>
      </c>
      <c r="H9" s="446">
        <f ca="1">TRUNC(INDEX(WORLDCUP!$X$4:$X$147,MATCH(ADMIN!K9,WORLDCUP!$DT$4:$DT$147,0))+INDEX(Horarios!$R$3:$R$86,MATCH(Horarios!$C$3,Horarios!$P$3:$P$86,0))/24)</f>
        <v>46186</v>
      </c>
      <c r="I9" s="48">
        <v>1</v>
      </c>
      <c r="J9" s="96" t="s">
        <v>113</v>
      </c>
      <c r="K9" s="53" t="str">
        <f ca="1">CONCATENATE(WORLDCUP!AA13,"-",WORLDCUP!AF13)</f>
        <v>Qatar-Switzerland</v>
      </c>
      <c r="L9" s="53"/>
      <c r="M9" s="55" t="str">
        <f>IF(OR(WORLDCUP!AC13="",WORLDCUP!AD13=""),"-",N9&amp;"|"&amp;O9&amp;"-"&amp;P9)</f>
        <v>X|1-1</v>
      </c>
      <c r="N9" s="25" t="str">
        <f>IF(OR(WORLDCUP!AC13="",WORLDCUP!AD13=""),"",IF(WORLDCUP!AC13&gt;WORLDCUP!AD13,"1",IF(WORLDCUP!AC13&lt;WORLDCUP!AD13,"2","X")))</f>
        <v>X</v>
      </c>
      <c r="O9" s="25">
        <f>WORLDCUP!AC13</f>
        <v>1</v>
      </c>
      <c r="P9" s="25">
        <f>WORLDCUP!AD13</f>
        <v>1</v>
      </c>
      <c r="Q9" s="25">
        <f t="shared" si="201"/>
        <v>0</v>
      </c>
      <c r="R9" s="49"/>
      <c r="S9" s="75" t="s">
        <v>1946</v>
      </c>
      <c r="T9" s="73">
        <f t="shared" si="198"/>
        <v>0</v>
      </c>
      <c r="U9" s="65"/>
      <c r="V9" s="75" t="s">
        <v>1948</v>
      </c>
      <c r="W9" s="73">
        <f t="shared" si="199"/>
        <v>0</v>
      </c>
      <c r="X9" s="65"/>
      <c r="Y9" s="75" t="s">
        <v>1948</v>
      </c>
      <c r="Z9" s="73">
        <f t="shared" si="200"/>
        <v>0</v>
      </c>
      <c r="AA9" s="65"/>
      <c r="AB9" s="75" t="s">
        <v>1960</v>
      </c>
      <c r="AC9" s="73">
        <f t="shared" si="200"/>
        <v>0</v>
      </c>
      <c r="AD9" s="65"/>
      <c r="AE9" s="75" t="s">
        <v>1960</v>
      </c>
      <c r="AF9" s="73">
        <f t="shared" si="200"/>
        <v>0</v>
      </c>
      <c r="AG9" s="65"/>
      <c r="AH9" s="75" t="s">
        <v>1948</v>
      </c>
      <c r="AI9" s="73">
        <f t="shared" si="200"/>
        <v>0</v>
      </c>
      <c r="AJ9" s="65"/>
      <c r="AK9" s="75" t="s">
        <v>1953</v>
      </c>
      <c r="AL9" s="73">
        <f t="shared" si="200"/>
        <v>0</v>
      </c>
      <c r="AM9" s="65"/>
      <c r="AN9" s="75" t="s">
        <v>2000</v>
      </c>
      <c r="AO9" s="73">
        <f t="shared" si="200"/>
        <v>0</v>
      </c>
      <c r="AP9" s="65"/>
      <c r="AQ9" s="75" t="s">
        <v>1960</v>
      </c>
      <c r="AR9" s="73">
        <f t="shared" si="200"/>
        <v>0</v>
      </c>
      <c r="AS9" s="65"/>
      <c r="AT9" s="75" t="s">
        <v>1955</v>
      </c>
      <c r="AU9" s="73">
        <f t="shared" si="200"/>
        <v>0</v>
      </c>
      <c r="AV9" s="65"/>
      <c r="AW9" s="75" t="s">
        <v>1957</v>
      </c>
      <c r="AX9" s="73">
        <f t="shared" si="200"/>
        <v>20</v>
      </c>
      <c r="AY9" s="65"/>
      <c r="AZ9" s="75" t="s">
        <v>1960</v>
      </c>
      <c r="BA9" s="73">
        <f t="shared" si="200"/>
        <v>0</v>
      </c>
      <c r="BB9" s="65"/>
      <c r="BC9" s="75" t="s">
        <v>2106</v>
      </c>
      <c r="BD9" s="73">
        <f t="shared" si="200"/>
        <v>0</v>
      </c>
      <c r="BE9" s="65"/>
      <c r="BF9" s="75" t="s">
        <v>1960</v>
      </c>
      <c r="BG9" s="73">
        <f t="shared" si="200"/>
        <v>0</v>
      </c>
      <c r="BH9" s="65"/>
      <c r="BI9" s="75" t="s">
        <v>1948</v>
      </c>
      <c r="BJ9" s="73">
        <f t="shared" si="200"/>
        <v>0</v>
      </c>
      <c r="BK9" s="65"/>
      <c r="BL9" s="75" t="s">
        <v>1960</v>
      </c>
      <c r="BM9" s="73">
        <f t="shared" si="200"/>
        <v>0</v>
      </c>
      <c r="BN9" s="65"/>
      <c r="BO9" s="75" t="s">
        <v>1953</v>
      </c>
      <c r="BP9" s="73">
        <f t="shared" si="200"/>
        <v>0</v>
      </c>
      <c r="BQ9" s="65"/>
      <c r="BR9" s="75" t="s">
        <v>2106</v>
      </c>
      <c r="BS9" s="73">
        <f t="shared" si="200"/>
        <v>0</v>
      </c>
      <c r="BT9" s="65"/>
      <c r="BU9" s="75" t="s">
        <v>1960</v>
      </c>
      <c r="BV9" s="73">
        <f t="shared" si="200"/>
        <v>0</v>
      </c>
      <c r="BW9" s="65"/>
      <c r="BX9" s="75" t="s">
        <v>2000</v>
      </c>
      <c r="BY9" s="73">
        <f t="shared" si="200"/>
        <v>0</v>
      </c>
      <c r="BZ9" s="65"/>
      <c r="CA9" s="75" t="s">
        <v>1960</v>
      </c>
      <c r="CB9" s="73">
        <f t="shared" si="200"/>
        <v>0</v>
      </c>
      <c r="CC9" s="65"/>
      <c r="CD9" s="75" t="s">
        <v>1955</v>
      </c>
      <c r="CE9" s="73">
        <f t="shared" si="200"/>
        <v>0</v>
      </c>
      <c r="CF9" s="65"/>
      <c r="CG9" s="75" t="s">
        <v>1960</v>
      </c>
      <c r="CH9" s="73">
        <f t="shared" si="200"/>
        <v>0</v>
      </c>
      <c r="CI9" s="65"/>
      <c r="CJ9" s="75" t="s">
        <v>1953</v>
      </c>
      <c r="CK9" s="73">
        <f t="shared" si="120"/>
        <v>0</v>
      </c>
      <c r="CL9" s="65"/>
      <c r="CM9" s="75" t="s">
        <v>1955</v>
      </c>
      <c r="CN9" s="73">
        <f t="shared" si="120"/>
        <v>0</v>
      </c>
      <c r="CO9" s="65"/>
      <c r="CP9" s="75" t="s">
        <v>1960</v>
      </c>
      <c r="CQ9" s="73">
        <f t="shared" si="120"/>
        <v>0</v>
      </c>
      <c r="CR9" s="65"/>
      <c r="CS9" s="75" t="s">
        <v>1955</v>
      </c>
      <c r="CT9" s="73">
        <f t="shared" si="120"/>
        <v>0</v>
      </c>
      <c r="CU9" s="65"/>
      <c r="CV9" s="75" t="s">
        <v>1955</v>
      </c>
      <c r="CW9" s="73">
        <f t="shared" si="120"/>
        <v>0</v>
      </c>
      <c r="CX9" s="65"/>
      <c r="CY9" s="75" t="s">
        <v>1959</v>
      </c>
      <c r="CZ9" s="73">
        <f t="shared" si="120"/>
        <v>0</v>
      </c>
      <c r="DA9" s="65"/>
      <c r="DB9" s="75" t="s">
        <v>1960</v>
      </c>
      <c r="DC9" s="73">
        <f t="shared" si="120"/>
        <v>0</v>
      </c>
      <c r="DD9" s="65"/>
      <c r="DE9" s="75" t="s">
        <v>1960</v>
      </c>
      <c r="DF9" s="73">
        <f t="shared" si="120"/>
        <v>0</v>
      </c>
      <c r="DG9" s="65"/>
      <c r="DH9" s="75" t="s">
        <v>1951</v>
      </c>
      <c r="DI9" s="73">
        <f t="shared" si="120"/>
        <v>0</v>
      </c>
      <c r="DJ9" s="65"/>
      <c r="DK9" s="75" t="s">
        <v>1960</v>
      </c>
      <c r="DL9" s="73">
        <f t="shared" si="120"/>
        <v>0</v>
      </c>
      <c r="DM9" s="65"/>
      <c r="DN9" s="75" t="s">
        <v>1960</v>
      </c>
      <c r="DO9" s="73">
        <f t="shared" si="120"/>
        <v>0</v>
      </c>
      <c r="DP9" s="65"/>
      <c r="DQ9" s="75" t="s">
        <v>1960</v>
      </c>
      <c r="DR9" s="73">
        <f t="shared" si="120"/>
        <v>0</v>
      </c>
      <c r="DS9" s="65"/>
      <c r="DT9" s="75" t="s">
        <v>1955</v>
      </c>
      <c r="DU9" s="73">
        <f t="shared" si="120"/>
        <v>0</v>
      </c>
      <c r="DV9" s="65"/>
      <c r="DW9" s="75" t="s">
        <v>1948</v>
      </c>
      <c r="DX9" s="73">
        <f t="shared" si="120"/>
        <v>0</v>
      </c>
      <c r="DY9" s="65"/>
      <c r="DZ9" s="75" t="s">
        <v>1960</v>
      </c>
      <c r="EA9" s="73">
        <f t="shared" si="120"/>
        <v>0</v>
      </c>
      <c r="EB9" s="65"/>
      <c r="EC9" s="75" t="s">
        <v>1948</v>
      </c>
      <c r="ED9" s="73">
        <f t="shared" si="120"/>
        <v>0</v>
      </c>
      <c r="EE9" s="65"/>
      <c r="EF9" s="75" t="s">
        <v>1953</v>
      </c>
      <c r="EG9" s="73">
        <f t="shared" si="120"/>
        <v>0</v>
      </c>
      <c r="EH9" s="65"/>
      <c r="EI9" s="75" t="s">
        <v>1948</v>
      </c>
      <c r="EJ9" s="73">
        <f t="shared" si="120"/>
        <v>0</v>
      </c>
      <c r="EK9" s="65"/>
      <c r="EL9" s="75" t="s">
        <v>1960</v>
      </c>
      <c r="EM9" s="73">
        <f t="shared" si="120"/>
        <v>0</v>
      </c>
      <c r="EN9" s="65"/>
      <c r="EO9" s="75" t="s">
        <v>1960</v>
      </c>
      <c r="EP9" s="73">
        <f t="shared" si="120"/>
        <v>0</v>
      </c>
      <c r="EQ9" s="65"/>
      <c r="ER9" s="75" t="s">
        <v>1960</v>
      </c>
      <c r="ES9" s="73">
        <f t="shared" si="120"/>
        <v>0</v>
      </c>
      <c r="ET9" s="65"/>
      <c r="EU9" s="75" t="s">
        <v>1960</v>
      </c>
      <c r="EV9" s="73">
        <f t="shared" si="120"/>
        <v>0</v>
      </c>
      <c r="EW9" s="65"/>
      <c r="EX9" s="75" t="s">
        <v>1960</v>
      </c>
      <c r="EY9" s="73">
        <f t="shared" si="142"/>
        <v>0</v>
      </c>
      <c r="EZ9" s="65"/>
      <c r="FA9" s="75" t="s">
        <v>1960</v>
      </c>
      <c r="FB9" s="73">
        <f t="shared" si="142"/>
        <v>0</v>
      </c>
      <c r="FC9" s="65"/>
      <c r="FD9" s="75" t="s">
        <v>2000</v>
      </c>
      <c r="FE9" s="73">
        <f t="shared" si="142"/>
        <v>0</v>
      </c>
      <c r="FF9" s="65"/>
      <c r="FG9" s="75" t="s">
        <v>1960</v>
      </c>
      <c r="FH9" s="73">
        <f t="shared" si="142"/>
        <v>0</v>
      </c>
      <c r="FI9" s="65"/>
      <c r="FJ9" s="75" t="s">
        <v>1960</v>
      </c>
      <c r="FK9" s="73">
        <f t="shared" si="142"/>
        <v>0</v>
      </c>
      <c r="FL9" s="65"/>
      <c r="FM9" s="75" t="s">
        <v>1948</v>
      </c>
      <c r="FN9" s="73">
        <f t="shared" si="142"/>
        <v>0</v>
      </c>
      <c r="FO9" s="65"/>
      <c r="FP9" s="75" t="s">
        <v>1960</v>
      </c>
      <c r="FQ9" s="73">
        <f t="shared" si="142"/>
        <v>0</v>
      </c>
      <c r="FR9" s="65"/>
      <c r="FS9" s="75" t="s">
        <v>1960</v>
      </c>
      <c r="FT9" s="73">
        <f t="shared" si="142"/>
        <v>0</v>
      </c>
      <c r="FU9" s="65"/>
      <c r="FV9" s="75" t="s">
        <v>1960</v>
      </c>
      <c r="FW9" s="73">
        <f t="shared" si="142"/>
        <v>0</v>
      </c>
      <c r="FX9" s="65"/>
      <c r="FY9" s="75" t="s">
        <v>1960</v>
      </c>
      <c r="FZ9" s="73">
        <f t="shared" si="142"/>
        <v>0</v>
      </c>
      <c r="GA9" s="65"/>
      <c r="GB9" s="75" t="s">
        <v>1960</v>
      </c>
      <c r="GC9" s="73">
        <f t="shared" si="142"/>
        <v>0</v>
      </c>
      <c r="GD9" s="65"/>
      <c r="GE9" s="75" t="s">
        <v>1948</v>
      </c>
      <c r="GF9" s="73">
        <f t="shared" si="142"/>
        <v>0</v>
      </c>
      <c r="GG9" s="65"/>
      <c r="GH9" s="75" t="s">
        <v>1948</v>
      </c>
      <c r="GI9" s="73">
        <f t="shared" si="142"/>
        <v>0</v>
      </c>
      <c r="GJ9" s="65"/>
      <c r="GK9" s="75" t="s">
        <v>1948</v>
      </c>
      <c r="GL9" s="73">
        <f t="shared" si="142"/>
        <v>0</v>
      </c>
      <c r="GM9" s="65"/>
      <c r="GN9" s="75"/>
      <c r="GO9" s="73">
        <f t="shared" si="142"/>
        <v>0</v>
      </c>
      <c r="GP9" s="65"/>
      <c r="GQ9" s="75"/>
      <c r="GR9" s="73">
        <f t="shared" si="142"/>
        <v>0</v>
      </c>
      <c r="GS9" s="65"/>
      <c r="GT9" s="75"/>
      <c r="GU9" s="73">
        <f t="shared" si="142"/>
        <v>0</v>
      </c>
      <c r="GV9" s="65"/>
      <c r="GW9" s="75"/>
      <c r="GX9" s="73">
        <f t="shared" si="142"/>
        <v>0</v>
      </c>
      <c r="GY9" s="65"/>
      <c r="GZ9" s="75"/>
      <c r="HA9" s="73">
        <f t="shared" si="142"/>
        <v>0</v>
      </c>
      <c r="HB9" s="65"/>
      <c r="HC9" s="75"/>
      <c r="HD9" s="73">
        <f t="shared" si="142"/>
        <v>0</v>
      </c>
      <c r="HE9" s="65"/>
      <c r="HF9" s="75"/>
      <c r="HG9" s="73">
        <f t="shared" si="142"/>
        <v>0</v>
      </c>
      <c r="HH9" s="65"/>
      <c r="HI9" s="75"/>
      <c r="HJ9" s="73">
        <f t="shared" si="142"/>
        <v>0</v>
      </c>
      <c r="HK9" s="65"/>
      <c r="HL9" s="75"/>
      <c r="HM9" s="73">
        <f t="shared" si="164"/>
        <v>0</v>
      </c>
      <c r="HN9" s="65"/>
      <c r="HO9" s="75"/>
      <c r="HP9" s="73">
        <f t="shared" si="164"/>
        <v>0</v>
      </c>
      <c r="HQ9" s="65"/>
      <c r="HR9" s="75"/>
      <c r="HS9" s="73">
        <f t="shared" si="164"/>
        <v>0</v>
      </c>
      <c r="HT9" s="65"/>
      <c r="HU9" s="75"/>
      <c r="HV9" s="73">
        <f t="shared" si="164"/>
        <v>0</v>
      </c>
      <c r="HW9" s="65"/>
      <c r="HX9" s="75"/>
      <c r="HY9" s="73">
        <f t="shared" si="164"/>
        <v>0</v>
      </c>
      <c r="HZ9" s="65"/>
      <c r="IA9" s="75"/>
      <c r="IB9" s="73">
        <f t="shared" si="164"/>
        <v>0</v>
      </c>
      <c r="IC9" s="65"/>
      <c r="ID9" s="75"/>
      <c r="IE9" s="73">
        <f t="shared" si="164"/>
        <v>0</v>
      </c>
      <c r="IF9" s="65"/>
      <c r="IG9" s="75"/>
      <c r="IH9" s="73">
        <f t="shared" si="164"/>
        <v>0</v>
      </c>
      <c r="II9" s="65"/>
      <c r="IJ9" s="75"/>
      <c r="IK9" s="73">
        <f t="shared" si="164"/>
        <v>0</v>
      </c>
      <c r="IL9" s="65"/>
      <c r="IM9" s="75"/>
      <c r="IN9" s="73">
        <f t="shared" si="164"/>
        <v>0</v>
      </c>
      <c r="IO9" s="65"/>
      <c r="IP9" s="75"/>
      <c r="IQ9" s="73">
        <f t="shared" si="164"/>
        <v>0</v>
      </c>
      <c r="IR9" s="65"/>
      <c r="IS9" s="75"/>
      <c r="IT9" s="73">
        <f t="shared" si="164"/>
        <v>0</v>
      </c>
      <c r="IU9" s="65"/>
      <c r="IV9" s="75"/>
      <c r="IW9" s="73">
        <f t="shared" si="164"/>
        <v>0</v>
      </c>
      <c r="IX9" s="65"/>
      <c r="IY9" s="75"/>
      <c r="IZ9" s="73">
        <f t="shared" si="164"/>
        <v>0</v>
      </c>
      <c r="JA9" s="65"/>
      <c r="JB9" s="75"/>
      <c r="JC9" s="73">
        <f t="shared" si="164"/>
        <v>0</v>
      </c>
      <c r="JD9" s="65"/>
      <c r="JE9" s="75"/>
      <c r="JF9" s="73">
        <f t="shared" si="164"/>
        <v>0</v>
      </c>
      <c r="JG9" s="65"/>
      <c r="JH9" s="75"/>
      <c r="JI9" s="73">
        <f t="shared" si="164"/>
        <v>0</v>
      </c>
      <c r="JJ9" s="65"/>
      <c r="JK9" s="75"/>
      <c r="JL9" s="73">
        <f t="shared" si="164"/>
        <v>0</v>
      </c>
      <c r="JM9" s="65"/>
      <c r="JN9" s="75"/>
      <c r="JO9" s="73">
        <f t="shared" si="164"/>
        <v>0</v>
      </c>
      <c r="JP9" s="65"/>
      <c r="JQ9" s="75"/>
      <c r="JR9" s="73">
        <f t="shared" si="164"/>
        <v>0</v>
      </c>
      <c r="JS9" s="65"/>
      <c r="JT9" s="75"/>
      <c r="JU9" s="73">
        <f t="shared" si="164"/>
        <v>0</v>
      </c>
      <c r="JV9" s="65"/>
      <c r="JW9" s="75"/>
      <c r="JX9" s="73">
        <f t="shared" si="164"/>
        <v>0</v>
      </c>
      <c r="JY9" s="65"/>
      <c r="JZ9" s="75"/>
      <c r="KA9" s="73">
        <f t="shared" si="186"/>
        <v>0</v>
      </c>
      <c r="KB9" s="65"/>
      <c r="KC9" s="75"/>
      <c r="KD9" s="73">
        <f t="shared" si="186"/>
        <v>0</v>
      </c>
      <c r="KE9" s="65"/>
      <c r="KF9" s="75"/>
      <c r="KG9" s="73">
        <f t="shared" si="186"/>
        <v>0</v>
      </c>
      <c r="KH9" s="65"/>
      <c r="KI9" s="75"/>
      <c r="KJ9" s="73">
        <f t="shared" si="186"/>
        <v>0</v>
      </c>
      <c r="KK9" s="65"/>
      <c r="KL9" s="75"/>
      <c r="KM9" s="73">
        <f t="shared" si="186"/>
        <v>0</v>
      </c>
      <c r="KN9" s="65"/>
      <c r="KO9" s="75"/>
      <c r="KP9" s="73">
        <f t="shared" si="186"/>
        <v>0</v>
      </c>
      <c r="KQ9" s="65"/>
      <c r="KR9" s="75"/>
      <c r="KS9" s="73">
        <f t="shared" si="186"/>
        <v>0</v>
      </c>
      <c r="KT9" s="65"/>
      <c r="KU9" s="75"/>
      <c r="KV9" s="73">
        <f t="shared" si="186"/>
        <v>0</v>
      </c>
      <c r="KW9" s="65"/>
      <c r="KX9" s="75"/>
      <c r="KY9" s="73">
        <f t="shared" si="186"/>
        <v>0</v>
      </c>
      <c r="KZ9" s="65"/>
      <c r="LA9" s="75"/>
      <c r="LB9" s="73">
        <f t="shared" si="186"/>
        <v>0</v>
      </c>
      <c r="LC9" s="65"/>
      <c r="LD9" s="75"/>
      <c r="LE9" s="73">
        <f t="shared" si="186"/>
        <v>0</v>
      </c>
      <c r="LF9" s="65"/>
      <c r="LG9" s="65"/>
    </row>
    <row r="10" spans="1:319">
      <c r="A10" s="49"/>
      <c r="B10" s="49"/>
      <c r="C10" s="437" t="str">
        <f>Idiomas!D306</f>
        <v>GROUP STAGE - Exact result</v>
      </c>
      <c r="D10" s="62">
        <v>8</v>
      </c>
      <c r="E10" s="111"/>
      <c r="F10" s="445">
        <f t="shared" si="197"/>
        <v>20</v>
      </c>
      <c r="G10" s="445">
        <f ca="1">VLOOKUP(H10,Equipos!$Q$1:$R$25,2,0)</f>
        <v>4</v>
      </c>
      <c r="H10" s="446">
        <f ca="1">TRUNC(INDEX(WORLDCUP!$X$4:$X$147,MATCH(ADMIN!K10,WORLDCUP!$DT$4:$DT$147,0))+INDEX(Horarios!$R$3:$R$86,MATCH(Horarios!$C$3,Horarios!$P$3:$P$86,0))/24)</f>
        <v>46187</v>
      </c>
      <c r="I10" s="48">
        <v>1</v>
      </c>
      <c r="J10" s="95" t="s">
        <v>114</v>
      </c>
      <c r="K10" s="56" t="str">
        <f ca="1">CONCATENATE(WORLDCUP!AA20,"-",WORLDCUP!AF20)</f>
        <v>Brazil-Morocco</v>
      </c>
      <c r="L10" s="53"/>
      <c r="M10" s="55" t="str">
        <f>IF(OR(WORLDCUP!AC20="",WORLDCUP!AD20=""),"-",N10&amp;"|"&amp;O10&amp;"-"&amp;P10)</f>
        <v>X|1-1</v>
      </c>
      <c r="N10" s="25" t="str">
        <f>IF(OR(WORLDCUP!AC20="",WORLDCUP!AD20=""),"",IF(WORLDCUP!AC20&gt;WORLDCUP!AD20,"1",IF(WORLDCUP!AC20&lt;WORLDCUP!AD20,"2","X")))</f>
        <v>X</v>
      </c>
      <c r="O10" s="25">
        <f>WORLDCUP!AC20</f>
        <v>1</v>
      </c>
      <c r="P10" s="25">
        <f>WORLDCUP!AD20</f>
        <v>1</v>
      </c>
      <c r="Q10" s="25">
        <f t="shared" si="201"/>
        <v>0</v>
      </c>
      <c r="R10" s="49"/>
      <c r="S10" s="74" t="s">
        <v>1947</v>
      </c>
      <c r="T10" s="73">
        <f t="shared" si="198"/>
        <v>0</v>
      </c>
      <c r="U10" s="65"/>
      <c r="V10" s="74" t="s">
        <v>1943</v>
      </c>
      <c r="W10" s="73">
        <f t="shared" si="199"/>
        <v>0</v>
      </c>
      <c r="X10" s="65"/>
      <c r="Y10" s="74" t="s">
        <v>1954</v>
      </c>
      <c r="Z10" s="73">
        <f t="shared" si="200"/>
        <v>0</v>
      </c>
      <c r="AA10" s="65"/>
      <c r="AB10" s="74" t="s">
        <v>1957</v>
      </c>
      <c r="AC10" s="73">
        <f t="shared" si="200"/>
        <v>20</v>
      </c>
      <c r="AD10" s="65"/>
      <c r="AE10" s="74" t="s">
        <v>1954</v>
      </c>
      <c r="AF10" s="73">
        <f t="shared" si="200"/>
        <v>0</v>
      </c>
      <c r="AG10" s="65"/>
      <c r="AH10" s="74" t="s">
        <v>1954</v>
      </c>
      <c r="AI10" s="73">
        <f t="shared" si="200"/>
        <v>0</v>
      </c>
      <c r="AJ10" s="65"/>
      <c r="AK10" s="74" t="s">
        <v>1949</v>
      </c>
      <c r="AL10" s="73">
        <f t="shared" si="200"/>
        <v>0</v>
      </c>
      <c r="AM10" s="65"/>
      <c r="AN10" s="74" t="s">
        <v>1957</v>
      </c>
      <c r="AO10" s="73">
        <f t="shared" si="200"/>
        <v>20</v>
      </c>
      <c r="AP10" s="65"/>
      <c r="AQ10" s="74" t="s">
        <v>1954</v>
      </c>
      <c r="AR10" s="73">
        <f t="shared" si="200"/>
        <v>0</v>
      </c>
      <c r="AS10" s="65"/>
      <c r="AT10" s="74" t="s">
        <v>1958</v>
      </c>
      <c r="AU10" s="73">
        <f t="shared" si="200"/>
        <v>0</v>
      </c>
      <c r="AV10" s="65"/>
      <c r="AW10" s="74" t="s">
        <v>1949</v>
      </c>
      <c r="AX10" s="73">
        <f t="shared" si="200"/>
        <v>0</v>
      </c>
      <c r="AY10" s="65"/>
      <c r="AZ10" s="74" t="s">
        <v>1950</v>
      </c>
      <c r="BA10" s="73">
        <f t="shared" si="200"/>
        <v>0</v>
      </c>
      <c r="BB10" s="65"/>
      <c r="BC10" s="74" t="s">
        <v>1944</v>
      </c>
      <c r="BD10" s="73">
        <f t="shared" si="200"/>
        <v>12</v>
      </c>
      <c r="BE10" s="65"/>
      <c r="BF10" s="74" t="s">
        <v>1950</v>
      </c>
      <c r="BG10" s="73">
        <f t="shared" si="200"/>
        <v>0</v>
      </c>
      <c r="BH10" s="65"/>
      <c r="BI10" s="74" t="s">
        <v>1954</v>
      </c>
      <c r="BJ10" s="73">
        <f t="shared" si="200"/>
        <v>0</v>
      </c>
      <c r="BK10" s="65"/>
      <c r="BL10" s="74" t="s">
        <v>1954</v>
      </c>
      <c r="BM10" s="73">
        <f t="shared" si="200"/>
        <v>0</v>
      </c>
      <c r="BN10" s="65"/>
      <c r="BO10" s="74" t="s">
        <v>1957</v>
      </c>
      <c r="BP10" s="73">
        <f t="shared" si="200"/>
        <v>20</v>
      </c>
      <c r="BQ10" s="65"/>
      <c r="BR10" s="74" t="s">
        <v>1953</v>
      </c>
      <c r="BS10" s="73">
        <f t="shared" si="200"/>
        <v>0</v>
      </c>
      <c r="BT10" s="65"/>
      <c r="BU10" s="74" t="s">
        <v>1954</v>
      </c>
      <c r="BV10" s="73">
        <f t="shared" si="200"/>
        <v>0</v>
      </c>
      <c r="BW10" s="65"/>
      <c r="BX10" s="74" t="s">
        <v>1949</v>
      </c>
      <c r="BY10" s="73">
        <f t="shared" si="200"/>
        <v>0</v>
      </c>
      <c r="BZ10" s="65"/>
      <c r="CA10" s="74" t="s">
        <v>1950</v>
      </c>
      <c r="CB10" s="73">
        <f t="shared" si="200"/>
        <v>0</v>
      </c>
      <c r="CC10" s="65"/>
      <c r="CD10" s="74" t="s">
        <v>1945</v>
      </c>
      <c r="CE10" s="73">
        <f t="shared" si="200"/>
        <v>0</v>
      </c>
      <c r="CF10" s="65"/>
      <c r="CG10" s="74" t="s">
        <v>1957</v>
      </c>
      <c r="CH10" s="73">
        <f t="shared" si="200"/>
        <v>20</v>
      </c>
      <c r="CI10" s="65"/>
      <c r="CJ10" s="74" t="s">
        <v>1954</v>
      </c>
      <c r="CK10" s="73">
        <f t="shared" si="120"/>
        <v>0</v>
      </c>
      <c r="CL10" s="65"/>
      <c r="CM10" s="74" t="s">
        <v>1957</v>
      </c>
      <c r="CN10" s="73">
        <f t="shared" si="120"/>
        <v>20</v>
      </c>
      <c r="CO10" s="65"/>
      <c r="CP10" s="74" t="s">
        <v>1957</v>
      </c>
      <c r="CQ10" s="73">
        <f t="shared" si="120"/>
        <v>20</v>
      </c>
      <c r="CR10" s="65"/>
      <c r="CS10" s="74" t="s">
        <v>1944</v>
      </c>
      <c r="CT10" s="73">
        <f t="shared" si="120"/>
        <v>12</v>
      </c>
      <c r="CU10" s="65"/>
      <c r="CV10" s="74" t="s">
        <v>2633</v>
      </c>
      <c r="CW10" s="73">
        <f t="shared" si="120"/>
        <v>0</v>
      </c>
      <c r="CX10" s="65"/>
      <c r="CY10" s="74" t="s">
        <v>1953</v>
      </c>
      <c r="CZ10" s="73">
        <f t="shared" si="120"/>
        <v>0</v>
      </c>
      <c r="DA10" s="65"/>
      <c r="DB10" s="74" t="s">
        <v>1949</v>
      </c>
      <c r="DC10" s="73">
        <f t="shared" si="120"/>
        <v>0</v>
      </c>
      <c r="DD10" s="65"/>
      <c r="DE10" s="74" t="s">
        <v>1949</v>
      </c>
      <c r="DF10" s="73">
        <f t="shared" si="120"/>
        <v>0</v>
      </c>
      <c r="DG10" s="65"/>
      <c r="DH10" s="74" t="s">
        <v>1957</v>
      </c>
      <c r="DI10" s="73">
        <f t="shared" si="120"/>
        <v>20</v>
      </c>
      <c r="DJ10" s="65"/>
      <c r="DK10" s="74" t="s">
        <v>1950</v>
      </c>
      <c r="DL10" s="73">
        <f t="shared" si="120"/>
        <v>0</v>
      </c>
      <c r="DM10" s="65"/>
      <c r="DN10" s="74" t="s">
        <v>1954</v>
      </c>
      <c r="DO10" s="73">
        <f t="shared" si="120"/>
        <v>0</v>
      </c>
      <c r="DP10" s="65"/>
      <c r="DQ10" s="74" t="s">
        <v>1957</v>
      </c>
      <c r="DR10" s="73">
        <f t="shared" si="120"/>
        <v>20</v>
      </c>
      <c r="DS10" s="65"/>
      <c r="DT10" s="74" t="s">
        <v>1954</v>
      </c>
      <c r="DU10" s="73">
        <f t="shared" si="120"/>
        <v>0</v>
      </c>
      <c r="DV10" s="65"/>
      <c r="DW10" s="74" t="s">
        <v>1953</v>
      </c>
      <c r="DX10" s="73">
        <f t="shared" si="120"/>
        <v>0</v>
      </c>
      <c r="DY10" s="65"/>
      <c r="DZ10" s="74" t="s">
        <v>1950</v>
      </c>
      <c r="EA10" s="73">
        <f t="shared" si="120"/>
        <v>0</v>
      </c>
      <c r="EB10" s="65"/>
      <c r="EC10" s="74" t="s">
        <v>1957</v>
      </c>
      <c r="ED10" s="73">
        <f t="shared" si="120"/>
        <v>20</v>
      </c>
      <c r="EE10" s="65"/>
      <c r="EF10" s="74" t="s">
        <v>1949</v>
      </c>
      <c r="EG10" s="73">
        <f t="shared" si="120"/>
        <v>0</v>
      </c>
      <c r="EH10" s="65"/>
      <c r="EI10" s="74" t="s">
        <v>1954</v>
      </c>
      <c r="EJ10" s="73">
        <f t="shared" si="120"/>
        <v>0</v>
      </c>
      <c r="EK10" s="65"/>
      <c r="EL10" s="74" t="s">
        <v>1950</v>
      </c>
      <c r="EM10" s="73">
        <f t="shared" si="120"/>
        <v>0</v>
      </c>
      <c r="EN10" s="65"/>
      <c r="EO10" s="74" t="s">
        <v>1950</v>
      </c>
      <c r="EP10" s="73">
        <f t="shared" si="120"/>
        <v>0</v>
      </c>
      <c r="EQ10" s="65"/>
      <c r="ER10" s="74" t="s">
        <v>1950</v>
      </c>
      <c r="ES10" s="73">
        <f t="shared" si="120"/>
        <v>0</v>
      </c>
      <c r="ET10" s="65"/>
      <c r="EU10" s="74" t="s">
        <v>1954</v>
      </c>
      <c r="EV10" s="73">
        <f t="shared" si="120"/>
        <v>0</v>
      </c>
      <c r="EW10" s="65"/>
      <c r="EX10" s="74" t="s">
        <v>1949</v>
      </c>
      <c r="EY10" s="73">
        <f t="shared" si="142"/>
        <v>0</v>
      </c>
      <c r="EZ10" s="65"/>
      <c r="FA10" s="74" t="s">
        <v>1954</v>
      </c>
      <c r="FB10" s="73">
        <f t="shared" si="142"/>
        <v>0</v>
      </c>
      <c r="FC10" s="65"/>
      <c r="FD10" s="74" t="s">
        <v>1950</v>
      </c>
      <c r="FE10" s="73">
        <f t="shared" si="142"/>
        <v>0</v>
      </c>
      <c r="FF10" s="65"/>
      <c r="FG10" s="74" t="s">
        <v>1943</v>
      </c>
      <c r="FH10" s="73">
        <f t="shared" si="142"/>
        <v>0</v>
      </c>
      <c r="FI10" s="65"/>
      <c r="FJ10" s="74" t="s">
        <v>1954</v>
      </c>
      <c r="FK10" s="73">
        <f t="shared" si="142"/>
        <v>0</v>
      </c>
      <c r="FL10" s="65"/>
      <c r="FM10" s="74" t="s">
        <v>1943</v>
      </c>
      <c r="FN10" s="73">
        <f t="shared" si="142"/>
        <v>0</v>
      </c>
      <c r="FO10" s="65"/>
      <c r="FP10" s="74" t="s">
        <v>1954</v>
      </c>
      <c r="FQ10" s="73">
        <f t="shared" si="142"/>
        <v>0</v>
      </c>
      <c r="FR10" s="65"/>
      <c r="FS10" s="74" t="s">
        <v>1954</v>
      </c>
      <c r="FT10" s="73">
        <f t="shared" si="142"/>
        <v>0</v>
      </c>
      <c r="FU10" s="65"/>
      <c r="FV10" s="74" t="s">
        <v>1954</v>
      </c>
      <c r="FW10" s="73">
        <f t="shared" si="142"/>
        <v>0</v>
      </c>
      <c r="FX10" s="65"/>
      <c r="FY10" s="74" t="s">
        <v>1954</v>
      </c>
      <c r="FZ10" s="73">
        <f t="shared" si="142"/>
        <v>0</v>
      </c>
      <c r="GA10" s="65"/>
      <c r="GB10" s="74" t="s">
        <v>1949</v>
      </c>
      <c r="GC10" s="73">
        <f t="shared" si="142"/>
        <v>0</v>
      </c>
      <c r="GD10" s="65"/>
      <c r="GE10" s="74" t="s">
        <v>1957</v>
      </c>
      <c r="GF10" s="73">
        <f t="shared" si="142"/>
        <v>20</v>
      </c>
      <c r="GG10" s="65"/>
      <c r="GH10" s="74" t="s">
        <v>1954</v>
      </c>
      <c r="GI10" s="73">
        <f t="shared" si="142"/>
        <v>0</v>
      </c>
      <c r="GJ10" s="65"/>
      <c r="GK10" s="74" t="s">
        <v>1949</v>
      </c>
      <c r="GL10" s="73">
        <f t="shared" si="142"/>
        <v>0</v>
      </c>
      <c r="GM10" s="65"/>
      <c r="GN10" s="74"/>
      <c r="GO10" s="73">
        <f t="shared" si="142"/>
        <v>0</v>
      </c>
      <c r="GP10" s="65"/>
      <c r="GQ10" s="74"/>
      <c r="GR10" s="73">
        <f t="shared" si="142"/>
        <v>0</v>
      </c>
      <c r="GS10" s="65"/>
      <c r="GT10" s="74"/>
      <c r="GU10" s="73">
        <f t="shared" si="142"/>
        <v>0</v>
      </c>
      <c r="GV10" s="65"/>
      <c r="GW10" s="74"/>
      <c r="GX10" s="73">
        <f t="shared" si="142"/>
        <v>0</v>
      </c>
      <c r="GY10" s="65"/>
      <c r="GZ10" s="74"/>
      <c r="HA10" s="73">
        <f t="shared" si="142"/>
        <v>0</v>
      </c>
      <c r="HB10" s="65"/>
      <c r="HC10" s="74"/>
      <c r="HD10" s="73">
        <f t="shared" si="142"/>
        <v>0</v>
      </c>
      <c r="HE10" s="65"/>
      <c r="HF10" s="74"/>
      <c r="HG10" s="73">
        <f t="shared" si="142"/>
        <v>0</v>
      </c>
      <c r="HH10" s="65"/>
      <c r="HI10" s="74"/>
      <c r="HJ10" s="73">
        <f t="shared" si="142"/>
        <v>0</v>
      </c>
      <c r="HK10" s="65"/>
      <c r="HL10" s="74"/>
      <c r="HM10" s="73">
        <f t="shared" si="164"/>
        <v>0</v>
      </c>
      <c r="HN10" s="65"/>
      <c r="HO10" s="74"/>
      <c r="HP10" s="73">
        <f t="shared" si="164"/>
        <v>0</v>
      </c>
      <c r="HQ10" s="65"/>
      <c r="HR10" s="74"/>
      <c r="HS10" s="73">
        <f t="shared" si="164"/>
        <v>0</v>
      </c>
      <c r="HT10" s="65"/>
      <c r="HU10" s="74"/>
      <c r="HV10" s="73">
        <f t="shared" si="164"/>
        <v>0</v>
      </c>
      <c r="HW10" s="65"/>
      <c r="HX10" s="74"/>
      <c r="HY10" s="73">
        <f t="shared" si="164"/>
        <v>0</v>
      </c>
      <c r="HZ10" s="65"/>
      <c r="IA10" s="74"/>
      <c r="IB10" s="73">
        <f t="shared" si="164"/>
        <v>0</v>
      </c>
      <c r="IC10" s="65"/>
      <c r="ID10" s="74"/>
      <c r="IE10" s="73">
        <f t="shared" si="164"/>
        <v>0</v>
      </c>
      <c r="IF10" s="65"/>
      <c r="IG10" s="74"/>
      <c r="IH10" s="73">
        <f t="shared" si="164"/>
        <v>0</v>
      </c>
      <c r="II10" s="65"/>
      <c r="IJ10" s="74"/>
      <c r="IK10" s="73">
        <f t="shared" si="164"/>
        <v>0</v>
      </c>
      <c r="IL10" s="65"/>
      <c r="IM10" s="74"/>
      <c r="IN10" s="73">
        <f t="shared" si="164"/>
        <v>0</v>
      </c>
      <c r="IO10" s="65"/>
      <c r="IP10" s="74"/>
      <c r="IQ10" s="73">
        <f t="shared" si="164"/>
        <v>0</v>
      </c>
      <c r="IR10" s="65"/>
      <c r="IS10" s="74"/>
      <c r="IT10" s="73">
        <f t="shared" si="164"/>
        <v>0</v>
      </c>
      <c r="IU10" s="65"/>
      <c r="IV10" s="74"/>
      <c r="IW10" s="73">
        <f t="shared" si="164"/>
        <v>0</v>
      </c>
      <c r="IX10" s="65"/>
      <c r="IY10" s="74"/>
      <c r="IZ10" s="73">
        <f t="shared" si="164"/>
        <v>0</v>
      </c>
      <c r="JA10" s="65"/>
      <c r="JB10" s="74"/>
      <c r="JC10" s="73">
        <f t="shared" si="164"/>
        <v>0</v>
      </c>
      <c r="JD10" s="65"/>
      <c r="JE10" s="74"/>
      <c r="JF10" s="73">
        <f t="shared" si="164"/>
        <v>0</v>
      </c>
      <c r="JG10" s="65"/>
      <c r="JH10" s="74"/>
      <c r="JI10" s="73">
        <f t="shared" si="164"/>
        <v>0</v>
      </c>
      <c r="JJ10" s="65"/>
      <c r="JK10" s="74"/>
      <c r="JL10" s="73">
        <f t="shared" si="164"/>
        <v>0</v>
      </c>
      <c r="JM10" s="65"/>
      <c r="JN10" s="74"/>
      <c r="JO10" s="73">
        <f t="shared" si="164"/>
        <v>0</v>
      </c>
      <c r="JP10" s="65"/>
      <c r="JQ10" s="74"/>
      <c r="JR10" s="73">
        <f t="shared" si="164"/>
        <v>0</v>
      </c>
      <c r="JS10" s="65"/>
      <c r="JT10" s="74"/>
      <c r="JU10" s="73">
        <f t="shared" si="164"/>
        <v>0</v>
      </c>
      <c r="JV10" s="65"/>
      <c r="JW10" s="74"/>
      <c r="JX10" s="73">
        <f t="shared" si="164"/>
        <v>0</v>
      </c>
      <c r="JY10" s="65"/>
      <c r="JZ10" s="74"/>
      <c r="KA10" s="73">
        <f t="shared" si="186"/>
        <v>0</v>
      </c>
      <c r="KB10" s="65"/>
      <c r="KC10" s="74"/>
      <c r="KD10" s="73">
        <f t="shared" si="186"/>
        <v>0</v>
      </c>
      <c r="KE10" s="65"/>
      <c r="KF10" s="74"/>
      <c r="KG10" s="73">
        <f t="shared" si="186"/>
        <v>0</v>
      </c>
      <c r="KH10" s="65"/>
      <c r="KI10" s="74"/>
      <c r="KJ10" s="73">
        <f t="shared" si="186"/>
        <v>0</v>
      </c>
      <c r="KK10" s="65"/>
      <c r="KL10" s="74"/>
      <c r="KM10" s="73">
        <f t="shared" si="186"/>
        <v>0</v>
      </c>
      <c r="KN10" s="65"/>
      <c r="KO10" s="74"/>
      <c r="KP10" s="73">
        <f t="shared" si="186"/>
        <v>0</v>
      </c>
      <c r="KQ10" s="65"/>
      <c r="KR10" s="74"/>
      <c r="KS10" s="73">
        <f t="shared" si="186"/>
        <v>0</v>
      </c>
      <c r="KT10" s="65"/>
      <c r="KU10" s="74"/>
      <c r="KV10" s="73">
        <f t="shared" si="186"/>
        <v>0</v>
      </c>
      <c r="KW10" s="65"/>
      <c r="KX10" s="74"/>
      <c r="KY10" s="73">
        <f t="shared" si="186"/>
        <v>0</v>
      </c>
      <c r="KZ10" s="65"/>
      <c r="LA10" s="74"/>
      <c r="LB10" s="73">
        <f t="shared" si="186"/>
        <v>0</v>
      </c>
      <c r="LC10" s="65"/>
      <c r="LD10" s="74"/>
      <c r="LE10" s="73">
        <f t="shared" si="186"/>
        <v>0</v>
      </c>
      <c r="LF10" s="65"/>
      <c r="LG10" s="65"/>
    </row>
    <row r="11" spans="1:319">
      <c r="A11" s="49"/>
      <c r="B11" s="49"/>
      <c r="C11" s="438" t="str">
        <f>Idiomas!D307</f>
        <v>GROUP STAGE - Exact position  (1º)</v>
      </c>
      <c r="D11" s="44">
        <v>20</v>
      </c>
      <c r="E11" s="111"/>
      <c r="F11" s="445">
        <f t="shared" si="197"/>
        <v>20</v>
      </c>
      <c r="G11" s="445">
        <f ca="1">VLOOKUP(H11,Equipos!$Q$1:$R$25,2,0)</f>
        <v>4</v>
      </c>
      <c r="H11" s="446">
        <f ca="1">TRUNC(INDEX(WORLDCUP!$X$4:$X$147,MATCH(ADMIN!K11,WORLDCUP!$DT$4:$DT$147,0))+INDEX(Horarios!$R$3:$R$86,MATCH(Horarios!$C$3,Horarios!$P$3:$P$86,0))/24)</f>
        <v>46187</v>
      </c>
      <c r="I11" s="48">
        <v>1</v>
      </c>
      <c r="J11" s="95" t="s">
        <v>114</v>
      </c>
      <c r="K11" s="53" t="str">
        <f ca="1">CONCATENATE(WORLDCUP!AA21,"-",WORLDCUP!AF21)</f>
        <v>Haiti-Scotland</v>
      </c>
      <c r="L11" s="53"/>
      <c r="M11" s="55" t="str">
        <f>IF(OR(WORLDCUP!AC21="",WORLDCUP!AD21=""),"-",N11&amp;"|"&amp;O11&amp;"-"&amp;P11)</f>
        <v>2|0-1</v>
      </c>
      <c r="N11" s="25" t="str">
        <f>IF(OR(WORLDCUP!AC21="",WORLDCUP!AD21=""),"",IF(WORLDCUP!AC21&gt;WORLDCUP!AD21,"1",IF(WORLDCUP!AC21&lt;WORLDCUP!AD21,"2","X")))</f>
        <v>2</v>
      </c>
      <c r="O11" s="25">
        <f>WORLDCUP!AC21</f>
        <v>0</v>
      </c>
      <c r="P11" s="25">
        <f>WORLDCUP!AD21</f>
        <v>1</v>
      </c>
      <c r="Q11" s="25">
        <f t="shared" si="201"/>
        <v>1</v>
      </c>
      <c r="R11" s="49"/>
      <c r="S11" s="74" t="s">
        <v>1948</v>
      </c>
      <c r="T11" s="73">
        <f t="shared" si="198"/>
        <v>10</v>
      </c>
      <c r="U11" s="65"/>
      <c r="V11" s="74" t="s">
        <v>1948</v>
      </c>
      <c r="W11" s="73">
        <f t="shared" si="199"/>
        <v>10</v>
      </c>
      <c r="X11" s="65"/>
      <c r="Y11" s="74" t="s">
        <v>2000</v>
      </c>
      <c r="Z11" s="73">
        <f t="shared" si="200"/>
        <v>20</v>
      </c>
      <c r="AA11" s="65"/>
      <c r="AB11" s="74" t="s">
        <v>1960</v>
      </c>
      <c r="AC11" s="73">
        <f t="shared" si="200"/>
        <v>10</v>
      </c>
      <c r="AD11" s="65"/>
      <c r="AE11" s="74" t="s">
        <v>1960</v>
      </c>
      <c r="AF11" s="73">
        <f t="shared" si="200"/>
        <v>10</v>
      </c>
      <c r="AG11" s="65"/>
      <c r="AH11" s="74" t="s">
        <v>1948</v>
      </c>
      <c r="AI11" s="73">
        <f t="shared" si="200"/>
        <v>10</v>
      </c>
      <c r="AJ11" s="65"/>
      <c r="AK11" s="74" t="s">
        <v>2133</v>
      </c>
      <c r="AL11" s="73">
        <f t="shared" si="200"/>
        <v>0</v>
      </c>
      <c r="AM11" s="65"/>
      <c r="AN11" s="74" t="s">
        <v>1957</v>
      </c>
      <c r="AO11" s="73">
        <f t="shared" si="200"/>
        <v>0</v>
      </c>
      <c r="AP11" s="65"/>
      <c r="AQ11" s="74" t="s">
        <v>1960</v>
      </c>
      <c r="AR11" s="73">
        <f t="shared" si="200"/>
        <v>10</v>
      </c>
      <c r="AS11" s="65"/>
      <c r="AT11" s="74" t="s">
        <v>1960</v>
      </c>
      <c r="AU11" s="73">
        <f t="shared" si="200"/>
        <v>10</v>
      </c>
      <c r="AV11" s="65"/>
      <c r="AW11" s="74" t="s">
        <v>2000</v>
      </c>
      <c r="AX11" s="73">
        <f t="shared" si="200"/>
        <v>20</v>
      </c>
      <c r="AY11" s="65"/>
      <c r="AZ11" s="74" t="s">
        <v>1953</v>
      </c>
      <c r="BA11" s="73">
        <f t="shared" si="200"/>
        <v>12</v>
      </c>
      <c r="BB11" s="65"/>
      <c r="BC11" s="74" t="s">
        <v>1953</v>
      </c>
      <c r="BD11" s="73">
        <f t="shared" si="200"/>
        <v>12</v>
      </c>
      <c r="BE11" s="65"/>
      <c r="BF11" s="74" t="s">
        <v>2000</v>
      </c>
      <c r="BG11" s="73">
        <f t="shared" si="200"/>
        <v>20</v>
      </c>
      <c r="BH11" s="65"/>
      <c r="BI11" s="74" t="s">
        <v>2000</v>
      </c>
      <c r="BJ11" s="73">
        <f t="shared" si="200"/>
        <v>20</v>
      </c>
      <c r="BK11" s="65"/>
      <c r="BL11" s="74" t="s">
        <v>1960</v>
      </c>
      <c r="BM11" s="73">
        <f t="shared" si="200"/>
        <v>10</v>
      </c>
      <c r="BN11" s="65"/>
      <c r="BO11" s="74" t="s">
        <v>1960</v>
      </c>
      <c r="BP11" s="73">
        <f t="shared" si="200"/>
        <v>10</v>
      </c>
      <c r="BQ11" s="65"/>
      <c r="BR11" s="74" t="s">
        <v>1948</v>
      </c>
      <c r="BS11" s="73">
        <f t="shared" si="200"/>
        <v>10</v>
      </c>
      <c r="BT11" s="65"/>
      <c r="BU11" s="74" t="s">
        <v>1960</v>
      </c>
      <c r="BV11" s="73">
        <f t="shared" si="200"/>
        <v>10</v>
      </c>
      <c r="BW11" s="65"/>
      <c r="BX11" s="74" t="s">
        <v>2000</v>
      </c>
      <c r="BY11" s="73">
        <f t="shared" si="200"/>
        <v>20</v>
      </c>
      <c r="BZ11" s="65"/>
      <c r="CA11" s="74" t="s">
        <v>1953</v>
      </c>
      <c r="CB11" s="73">
        <f t="shared" si="200"/>
        <v>12</v>
      </c>
      <c r="CC11" s="65"/>
      <c r="CD11" s="74" t="s">
        <v>1957</v>
      </c>
      <c r="CE11" s="73">
        <f t="shared" si="200"/>
        <v>0</v>
      </c>
      <c r="CF11" s="65"/>
      <c r="CG11" s="74" t="s">
        <v>1960</v>
      </c>
      <c r="CH11" s="73">
        <f t="shared" si="200"/>
        <v>10</v>
      </c>
      <c r="CI11" s="65"/>
      <c r="CJ11" s="74" t="s">
        <v>1953</v>
      </c>
      <c r="CK11" s="73">
        <f t="shared" si="120"/>
        <v>12</v>
      </c>
      <c r="CL11" s="65"/>
      <c r="CM11" s="74" t="s">
        <v>1948</v>
      </c>
      <c r="CN11" s="73">
        <f t="shared" si="120"/>
        <v>10</v>
      </c>
      <c r="CO11" s="65"/>
      <c r="CP11" s="74" t="s">
        <v>2000</v>
      </c>
      <c r="CQ11" s="73">
        <f t="shared" si="120"/>
        <v>20</v>
      </c>
      <c r="CR11" s="65"/>
      <c r="CS11" s="74" t="s">
        <v>1960</v>
      </c>
      <c r="CT11" s="73">
        <f t="shared" si="120"/>
        <v>10</v>
      </c>
      <c r="CU11" s="65"/>
      <c r="CV11" s="74" t="s">
        <v>1948</v>
      </c>
      <c r="CW11" s="73">
        <f t="shared" si="120"/>
        <v>10</v>
      </c>
      <c r="CX11" s="65"/>
      <c r="CY11" s="74" t="s">
        <v>1958</v>
      </c>
      <c r="CZ11" s="73">
        <f t="shared" si="120"/>
        <v>0</v>
      </c>
      <c r="DA11" s="65"/>
      <c r="DB11" s="74" t="s">
        <v>1960</v>
      </c>
      <c r="DC11" s="73">
        <f t="shared" si="120"/>
        <v>10</v>
      </c>
      <c r="DD11" s="65"/>
      <c r="DE11" s="74" t="s">
        <v>1960</v>
      </c>
      <c r="DF11" s="73">
        <f t="shared" si="120"/>
        <v>10</v>
      </c>
      <c r="DG11" s="65"/>
      <c r="DH11" s="74" t="s">
        <v>1955</v>
      </c>
      <c r="DI11" s="73">
        <f t="shared" si="120"/>
        <v>10</v>
      </c>
      <c r="DJ11" s="65"/>
      <c r="DK11" s="74" t="s">
        <v>1960</v>
      </c>
      <c r="DL11" s="73">
        <f t="shared" si="120"/>
        <v>10</v>
      </c>
      <c r="DM11" s="65"/>
      <c r="DN11" s="74" t="s">
        <v>1948</v>
      </c>
      <c r="DO11" s="73">
        <f t="shared" si="120"/>
        <v>10</v>
      </c>
      <c r="DP11" s="65"/>
      <c r="DQ11" s="74" t="s">
        <v>2000</v>
      </c>
      <c r="DR11" s="73">
        <f t="shared" si="120"/>
        <v>20</v>
      </c>
      <c r="DS11" s="65"/>
      <c r="DT11" s="74" t="s">
        <v>1960</v>
      </c>
      <c r="DU11" s="73">
        <f t="shared" si="120"/>
        <v>10</v>
      </c>
      <c r="DV11" s="65"/>
      <c r="DW11" s="74" t="s">
        <v>1960</v>
      </c>
      <c r="DX11" s="73">
        <f t="shared" si="120"/>
        <v>10</v>
      </c>
      <c r="DY11" s="65"/>
      <c r="DZ11" s="74" t="s">
        <v>1960</v>
      </c>
      <c r="EA11" s="73">
        <f t="shared" si="120"/>
        <v>10</v>
      </c>
      <c r="EB11" s="65"/>
      <c r="EC11" s="74" t="s">
        <v>1960</v>
      </c>
      <c r="ED11" s="73">
        <f t="shared" si="120"/>
        <v>10</v>
      </c>
      <c r="EE11" s="65"/>
      <c r="EF11" s="74" t="s">
        <v>2000</v>
      </c>
      <c r="EG11" s="73">
        <f t="shared" si="120"/>
        <v>20</v>
      </c>
      <c r="EH11" s="65"/>
      <c r="EI11" s="74" t="s">
        <v>1953</v>
      </c>
      <c r="EJ11" s="73">
        <f t="shared" si="120"/>
        <v>12</v>
      </c>
      <c r="EK11" s="65"/>
      <c r="EL11" s="74" t="s">
        <v>1957</v>
      </c>
      <c r="EM11" s="73">
        <f t="shared" si="120"/>
        <v>0</v>
      </c>
      <c r="EN11" s="65"/>
      <c r="EO11" s="74" t="s">
        <v>1960</v>
      </c>
      <c r="EP11" s="73">
        <f t="shared" si="120"/>
        <v>10</v>
      </c>
      <c r="EQ11" s="65"/>
      <c r="ER11" s="74" t="s">
        <v>1960</v>
      </c>
      <c r="ES11" s="73">
        <f t="shared" si="120"/>
        <v>10</v>
      </c>
      <c r="ET11" s="65"/>
      <c r="EU11" s="74" t="s">
        <v>1960</v>
      </c>
      <c r="EV11" s="73">
        <f t="shared" si="120"/>
        <v>10</v>
      </c>
      <c r="EW11" s="65"/>
      <c r="EX11" s="74" t="s">
        <v>1960</v>
      </c>
      <c r="EY11" s="73">
        <f t="shared" si="142"/>
        <v>10</v>
      </c>
      <c r="EZ11" s="65"/>
      <c r="FA11" s="74" t="s">
        <v>1960</v>
      </c>
      <c r="FB11" s="73">
        <f t="shared" si="142"/>
        <v>10</v>
      </c>
      <c r="FC11" s="65"/>
      <c r="FD11" s="74" t="s">
        <v>2000</v>
      </c>
      <c r="FE11" s="73">
        <f t="shared" si="142"/>
        <v>20</v>
      </c>
      <c r="FF11" s="65"/>
      <c r="FG11" s="74" t="s">
        <v>1960</v>
      </c>
      <c r="FH11" s="73">
        <f t="shared" si="142"/>
        <v>10</v>
      </c>
      <c r="FI11" s="65"/>
      <c r="FJ11" s="74" t="s">
        <v>1960</v>
      </c>
      <c r="FK11" s="73">
        <f t="shared" si="142"/>
        <v>10</v>
      </c>
      <c r="FL11" s="65"/>
      <c r="FM11" s="74" t="s">
        <v>1948</v>
      </c>
      <c r="FN11" s="73">
        <f t="shared" si="142"/>
        <v>10</v>
      </c>
      <c r="FO11" s="65"/>
      <c r="FP11" s="74" t="s">
        <v>1960</v>
      </c>
      <c r="FQ11" s="73">
        <f t="shared" si="142"/>
        <v>10</v>
      </c>
      <c r="FR11" s="65"/>
      <c r="FS11" s="74" t="s">
        <v>1960</v>
      </c>
      <c r="FT11" s="73">
        <f t="shared" si="142"/>
        <v>10</v>
      </c>
      <c r="FU11" s="65"/>
      <c r="FV11" s="74" t="s">
        <v>1960</v>
      </c>
      <c r="FW11" s="73">
        <f t="shared" si="142"/>
        <v>10</v>
      </c>
      <c r="FX11" s="65"/>
      <c r="FY11" s="74" t="s">
        <v>1960</v>
      </c>
      <c r="FZ11" s="73">
        <f t="shared" si="142"/>
        <v>10</v>
      </c>
      <c r="GA11" s="65"/>
      <c r="GB11" s="74" t="s">
        <v>1960</v>
      </c>
      <c r="GC11" s="73">
        <f t="shared" si="142"/>
        <v>10</v>
      </c>
      <c r="GD11" s="65"/>
      <c r="GE11" s="74" t="s">
        <v>1960</v>
      </c>
      <c r="GF11" s="73">
        <f t="shared" si="142"/>
        <v>10</v>
      </c>
      <c r="GG11" s="65"/>
      <c r="GH11" s="74" t="s">
        <v>1960</v>
      </c>
      <c r="GI11" s="73">
        <f t="shared" si="142"/>
        <v>10</v>
      </c>
      <c r="GJ11" s="65"/>
      <c r="GK11" s="74" t="s">
        <v>1953</v>
      </c>
      <c r="GL11" s="73">
        <f t="shared" si="142"/>
        <v>12</v>
      </c>
      <c r="GM11" s="65"/>
      <c r="GN11" s="74"/>
      <c r="GO11" s="73">
        <f t="shared" si="142"/>
        <v>0</v>
      </c>
      <c r="GP11" s="65"/>
      <c r="GQ11" s="74"/>
      <c r="GR11" s="73">
        <f t="shared" si="142"/>
        <v>0</v>
      </c>
      <c r="GS11" s="65"/>
      <c r="GT11" s="74"/>
      <c r="GU11" s="73">
        <f t="shared" si="142"/>
        <v>0</v>
      </c>
      <c r="GV11" s="65"/>
      <c r="GW11" s="74"/>
      <c r="GX11" s="73">
        <f t="shared" si="142"/>
        <v>0</v>
      </c>
      <c r="GY11" s="65"/>
      <c r="GZ11" s="74"/>
      <c r="HA11" s="73">
        <f t="shared" si="142"/>
        <v>0</v>
      </c>
      <c r="HB11" s="65"/>
      <c r="HC11" s="74"/>
      <c r="HD11" s="73">
        <f t="shared" si="142"/>
        <v>0</v>
      </c>
      <c r="HE11" s="65"/>
      <c r="HF11" s="74"/>
      <c r="HG11" s="73">
        <f t="shared" si="142"/>
        <v>0</v>
      </c>
      <c r="HH11" s="65"/>
      <c r="HI11" s="74"/>
      <c r="HJ11" s="73">
        <f t="shared" si="142"/>
        <v>0</v>
      </c>
      <c r="HK11" s="65"/>
      <c r="HL11" s="74"/>
      <c r="HM11" s="73">
        <f t="shared" si="164"/>
        <v>0</v>
      </c>
      <c r="HN11" s="65"/>
      <c r="HO11" s="74"/>
      <c r="HP11" s="73">
        <f t="shared" si="164"/>
        <v>0</v>
      </c>
      <c r="HQ11" s="65"/>
      <c r="HR11" s="74"/>
      <c r="HS11" s="73">
        <f t="shared" si="164"/>
        <v>0</v>
      </c>
      <c r="HT11" s="65"/>
      <c r="HU11" s="74"/>
      <c r="HV11" s="73">
        <f t="shared" si="164"/>
        <v>0</v>
      </c>
      <c r="HW11" s="65"/>
      <c r="HX11" s="74"/>
      <c r="HY11" s="73">
        <f t="shared" si="164"/>
        <v>0</v>
      </c>
      <c r="HZ11" s="65"/>
      <c r="IA11" s="74"/>
      <c r="IB11" s="73">
        <f t="shared" si="164"/>
        <v>0</v>
      </c>
      <c r="IC11" s="65"/>
      <c r="ID11" s="74"/>
      <c r="IE11" s="73">
        <f t="shared" si="164"/>
        <v>0</v>
      </c>
      <c r="IF11" s="65"/>
      <c r="IG11" s="74"/>
      <c r="IH11" s="73">
        <f t="shared" si="164"/>
        <v>0</v>
      </c>
      <c r="II11" s="65"/>
      <c r="IJ11" s="74"/>
      <c r="IK11" s="73">
        <f t="shared" si="164"/>
        <v>0</v>
      </c>
      <c r="IL11" s="65"/>
      <c r="IM11" s="74"/>
      <c r="IN11" s="73">
        <f t="shared" si="164"/>
        <v>0</v>
      </c>
      <c r="IO11" s="65"/>
      <c r="IP11" s="74"/>
      <c r="IQ11" s="73">
        <f t="shared" si="164"/>
        <v>0</v>
      </c>
      <c r="IR11" s="65"/>
      <c r="IS11" s="74"/>
      <c r="IT11" s="73">
        <f t="shared" si="164"/>
        <v>0</v>
      </c>
      <c r="IU11" s="65"/>
      <c r="IV11" s="74"/>
      <c r="IW11" s="73">
        <f t="shared" si="164"/>
        <v>0</v>
      </c>
      <c r="IX11" s="65"/>
      <c r="IY11" s="74"/>
      <c r="IZ11" s="73">
        <f t="shared" si="164"/>
        <v>0</v>
      </c>
      <c r="JA11" s="65"/>
      <c r="JB11" s="74"/>
      <c r="JC11" s="73">
        <f t="shared" si="164"/>
        <v>0</v>
      </c>
      <c r="JD11" s="65"/>
      <c r="JE11" s="74"/>
      <c r="JF11" s="73">
        <f t="shared" si="164"/>
        <v>0</v>
      </c>
      <c r="JG11" s="65"/>
      <c r="JH11" s="74"/>
      <c r="JI11" s="73">
        <f t="shared" si="164"/>
        <v>0</v>
      </c>
      <c r="JJ11" s="65"/>
      <c r="JK11" s="74"/>
      <c r="JL11" s="73">
        <f t="shared" si="164"/>
        <v>0</v>
      </c>
      <c r="JM11" s="65"/>
      <c r="JN11" s="74"/>
      <c r="JO11" s="73">
        <f t="shared" si="164"/>
        <v>0</v>
      </c>
      <c r="JP11" s="65"/>
      <c r="JQ11" s="74"/>
      <c r="JR11" s="73">
        <f t="shared" si="164"/>
        <v>0</v>
      </c>
      <c r="JS11" s="65"/>
      <c r="JT11" s="74"/>
      <c r="JU11" s="73">
        <f t="shared" si="164"/>
        <v>0</v>
      </c>
      <c r="JV11" s="65"/>
      <c r="JW11" s="74"/>
      <c r="JX11" s="73">
        <f t="shared" si="164"/>
        <v>0</v>
      </c>
      <c r="JY11" s="65"/>
      <c r="JZ11" s="74"/>
      <c r="KA11" s="73">
        <f t="shared" si="186"/>
        <v>0</v>
      </c>
      <c r="KB11" s="65"/>
      <c r="KC11" s="74"/>
      <c r="KD11" s="73">
        <f t="shared" si="186"/>
        <v>0</v>
      </c>
      <c r="KE11" s="65"/>
      <c r="KF11" s="74"/>
      <c r="KG11" s="73">
        <f t="shared" si="186"/>
        <v>0</v>
      </c>
      <c r="KH11" s="65"/>
      <c r="KI11" s="74"/>
      <c r="KJ11" s="73">
        <f t="shared" si="186"/>
        <v>0</v>
      </c>
      <c r="KK11" s="65"/>
      <c r="KL11" s="74"/>
      <c r="KM11" s="73">
        <f t="shared" si="186"/>
        <v>0</v>
      </c>
      <c r="KN11" s="65"/>
      <c r="KO11" s="74"/>
      <c r="KP11" s="73">
        <f t="shared" si="186"/>
        <v>0</v>
      </c>
      <c r="KQ11" s="65"/>
      <c r="KR11" s="74"/>
      <c r="KS11" s="73">
        <f t="shared" si="186"/>
        <v>0</v>
      </c>
      <c r="KT11" s="65"/>
      <c r="KU11" s="74"/>
      <c r="KV11" s="73">
        <f t="shared" si="186"/>
        <v>0</v>
      </c>
      <c r="KW11" s="65"/>
      <c r="KX11" s="74"/>
      <c r="KY11" s="73">
        <f t="shared" si="186"/>
        <v>0</v>
      </c>
      <c r="KZ11" s="65"/>
      <c r="LA11" s="74"/>
      <c r="LB11" s="73">
        <f t="shared" si="186"/>
        <v>0</v>
      </c>
      <c r="LC11" s="65"/>
      <c r="LD11" s="74"/>
      <c r="LE11" s="73">
        <f t="shared" si="186"/>
        <v>0</v>
      </c>
      <c r="LF11" s="65"/>
      <c r="LG11" s="65"/>
    </row>
    <row r="12" spans="1:319">
      <c r="A12" s="49"/>
      <c r="B12" s="49"/>
      <c r="C12" s="437" t="str">
        <f>Idiomas!D308</f>
        <v>GROUP STAGE - Exact position  (2º)</v>
      </c>
      <c r="D12" s="62">
        <v>10</v>
      </c>
      <c r="E12" s="111"/>
      <c r="F12" s="445">
        <f t="shared" si="197"/>
        <v>20</v>
      </c>
      <c r="G12" s="445">
        <f ca="1">VLOOKUP(H12,Equipos!$Q$1:$R$25,2,0)</f>
        <v>3</v>
      </c>
      <c r="H12" s="446">
        <f ca="1">TRUNC(INDEX(WORLDCUP!$X$4:$X$147,MATCH(ADMIN!K12,WORLDCUP!$DT$4:$DT$147,0))+INDEX(Horarios!$R$3:$R$86,MATCH(Horarios!$C$3,Horarios!$P$3:$P$86,0))/24)</f>
        <v>46186</v>
      </c>
      <c r="I12" s="48">
        <v>1</v>
      </c>
      <c r="J12" s="96" t="s">
        <v>115</v>
      </c>
      <c r="K12" s="56" t="str">
        <f ca="1">CONCATENATE(WORLDCUP!AA28,"-",WORLDCUP!AF28)</f>
        <v>United States-Paraguay</v>
      </c>
      <c r="L12" s="53"/>
      <c r="M12" s="55" t="str">
        <f>IF(OR(WORLDCUP!AC28="",WORLDCUP!AD28=""),"-",N12&amp;"|"&amp;O12&amp;"-"&amp;P12)</f>
        <v>1|4-1</v>
      </c>
      <c r="N12" s="25" t="str">
        <f>IF(OR(WORLDCUP!AC28="",WORLDCUP!AD28=""),"",IF(WORLDCUP!AC28&gt;WORLDCUP!AD28,"1",IF(WORLDCUP!AC28&lt;WORLDCUP!AD28,"2","X")))</f>
        <v>1</v>
      </c>
      <c r="O12" s="25">
        <f>WORLDCUP!AC28</f>
        <v>4</v>
      </c>
      <c r="P12" s="25">
        <f>WORLDCUP!AD28</f>
        <v>1</v>
      </c>
      <c r="Q12" s="25">
        <f t="shared" si="201"/>
        <v>3</v>
      </c>
      <c r="R12" s="49"/>
      <c r="S12" s="74" t="s">
        <v>1949</v>
      </c>
      <c r="T12" s="73">
        <f t="shared" si="198"/>
        <v>10</v>
      </c>
      <c r="U12" s="65"/>
      <c r="V12" s="74" t="s">
        <v>1954</v>
      </c>
      <c r="W12" s="73">
        <f t="shared" si="199"/>
        <v>10</v>
      </c>
      <c r="X12" s="65"/>
      <c r="Y12" s="74" t="s">
        <v>1950</v>
      </c>
      <c r="Z12" s="73">
        <f t="shared" si="200"/>
        <v>10</v>
      </c>
      <c r="AA12" s="65"/>
      <c r="AB12" s="74" t="s">
        <v>1954</v>
      </c>
      <c r="AC12" s="73">
        <f t="shared" si="200"/>
        <v>10</v>
      </c>
      <c r="AD12" s="65"/>
      <c r="AE12" s="74" t="s">
        <v>1959</v>
      </c>
      <c r="AF12" s="73">
        <f t="shared" si="200"/>
        <v>10</v>
      </c>
      <c r="AG12" s="65"/>
      <c r="AH12" s="74" t="s">
        <v>1959</v>
      </c>
      <c r="AI12" s="73">
        <f t="shared" si="200"/>
        <v>10</v>
      </c>
      <c r="AJ12" s="65"/>
      <c r="AK12" s="74" t="s">
        <v>1950</v>
      </c>
      <c r="AL12" s="73">
        <f t="shared" si="200"/>
        <v>10</v>
      </c>
      <c r="AM12" s="65"/>
      <c r="AN12" s="74" t="s">
        <v>1957</v>
      </c>
      <c r="AO12" s="73">
        <f t="shared" si="200"/>
        <v>0</v>
      </c>
      <c r="AP12" s="65"/>
      <c r="AQ12" s="74" t="s">
        <v>1949</v>
      </c>
      <c r="AR12" s="73">
        <f t="shared" si="200"/>
        <v>10</v>
      </c>
      <c r="AS12" s="65"/>
      <c r="AT12" s="74" t="s">
        <v>1960</v>
      </c>
      <c r="AU12" s="73">
        <f t="shared" si="200"/>
        <v>0</v>
      </c>
      <c r="AV12" s="65"/>
      <c r="AW12" s="74" t="s">
        <v>1949</v>
      </c>
      <c r="AX12" s="73">
        <f t="shared" si="200"/>
        <v>10</v>
      </c>
      <c r="AY12" s="65"/>
      <c r="AZ12" s="74" t="s">
        <v>1954</v>
      </c>
      <c r="BA12" s="73">
        <f t="shared" si="200"/>
        <v>10</v>
      </c>
      <c r="BB12" s="65"/>
      <c r="BC12" s="74" t="s">
        <v>1954</v>
      </c>
      <c r="BD12" s="73">
        <f t="shared" si="200"/>
        <v>10</v>
      </c>
      <c r="BE12" s="65"/>
      <c r="BF12" s="74" t="s">
        <v>1950</v>
      </c>
      <c r="BG12" s="73">
        <f t="shared" si="200"/>
        <v>10</v>
      </c>
      <c r="BH12" s="65"/>
      <c r="BI12" s="74" t="s">
        <v>1959</v>
      </c>
      <c r="BJ12" s="73">
        <f t="shared" si="200"/>
        <v>10</v>
      </c>
      <c r="BK12" s="65"/>
      <c r="BL12" s="74" t="s">
        <v>1954</v>
      </c>
      <c r="BM12" s="73">
        <f t="shared" si="200"/>
        <v>10</v>
      </c>
      <c r="BN12" s="65"/>
      <c r="BO12" s="74" t="s">
        <v>1950</v>
      </c>
      <c r="BP12" s="73">
        <f t="shared" si="200"/>
        <v>10</v>
      </c>
      <c r="BQ12" s="65"/>
      <c r="BR12" s="74" t="s">
        <v>1957</v>
      </c>
      <c r="BS12" s="73">
        <f t="shared" si="200"/>
        <v>0</v>
      </c>
      <c r="BT12" s="65"/>
      <c r="BU12" s="74" t="s">
        <v>1954</v>
      </c>
      <c r="BV12" s="73">
        <f t="shared" si="200"/>
        <v>10</v>
      </c>
      <c r="BW12" s="65"/>
      <c r="BX12" s="74" t="s">
        <v>1959</v>
      </c>
      <c r="BY12" s="73">
        <f t="shared" si="200"/>
        <v>10</v>
      </c>
      <c r="BZ12" s="65"/>
      <c r="CA12" s="74" t="s">
        <v>1953</v>
      </c>
      <c r="CB12" s="73">
        <f t="shared" si="200"/>
        <v>0</v>
      </c>
      <c r="CC12" s="65"/>
      <c r="CD12" s="74" t="s">
        <v>1950</v>
      </c>
      <c r="CE12" s="73">
        <f t="shared" si="200"/>
        <v>10</v>
      </c>
      <c r="CF12" s="65"/>
      <c r="CG12" s="74" t="s">
        <v>1959</v>
      </c>
      <c r="CH12" s="73">
        <f t="shared" si="200"/>
        <v>10</v>
      </c>
      <c r="CI12" s="65"/>
      <c r="CJ12" s="74" t="s">
        <v>1953</v>
      </c>
      <c r="CK12" s="73">
        <f t="shared" si="120"/>
        <v>0</v>
      </c>
      <c r="CL12" s="65"/>
      <c r="CM12" s="74" t="s">
        <v>1954</v>
      </c>
      <c r="CN12" s="73">
        <f t="shared" si="120"/>
        <v>10</v>
      </c>
      <c r="CO12" s="65"/>
      <c r="CP12" s="74" t="s">
        <v>1957</v>
      </c>
      <c r="CQ12" s="73">
        <f t="shared" si="120"/>
        <v>0</v>
      </c>
      <c r="CR12" s="65"/>
      <c r="CS12" s="74" t="s">
        <v>1944</v>
      </c>
      <c r="CT12" s="73">
        <f t="shared" si="120"/>
        <v>0</v>
      </c>
      <c r="CU12" s="65"/>
      <c r="CV12" s="74" t="s">
        <v>1960</v>
      </c>
      <c r="CW12" s="73">
        <f t="shared" si="120"/>
        <v>0</v>
      </c>
      <c r="CX12" s="65"/>
      <c r="CY12" s="74" t="s">
        <v>1957</v>
      </c>
      <c r="CZ12" s="73">
        <f t="shared" si="120"/>
        <v>0</v>
      </c>
      <c r="DA12" s="65"/>
      <c r="DB12" s="74" t="s">
        <v>1953</v>
      </c>
      <c r="DC12" s="73">
        <f t="shared" si="120"/>
        <v>0</v>
      </c>
      <c r="DD12" s="65"/>
      <c r="DE12" s="74" t="s">
        <v>1954</v>
      </c>
      <c r="DF12" s="73">
        <f t="shared" si="120"/>
        <v>10</v>
      </c>
      <c r="DG12" s="65"/>
      <c r="DH12" s="74" t="s">
        <v>1954</v>
      </c>
      <c r="DI12" s="73">
        <f t="shared" si="120"/>
        <v>10</v>
      </c>
      <c r="DJ12" s="65"/>
      <c r="DK12" s="74" t="s">
        <v>1954</v>
      </c>
      <c r="DL12" s="73">
        <f t="shared" si="120"/>
        <v>10</v>
      </c>
      <c r="DM12" s="65"/>
      <c r="DN12" s="74" t="s">
        <v>1954</v>
      </c>
      <c r="DO12" s="73">
        <f t="shared" si="120"/>
        <v>10</v>
      </c>
      <c r="DP12" s="65"/>
      <c r="DQ12" s="74" t="s">
        <v>1957</v>
      </c>
      <c r="DR12" s="73">
        <f t="shared" si="120"/>
        <v>0</v>
      </c>
      <c r="DS12" s="65"/>
      <c r="DT12" s="74" t="s">
        <v>1957</v>
      </c>
      <c r="DU12" s="73">
        <f t="shared" si="120"/>
        <v>0</v>
      </c>
      <c r="DV12" s="65"/>
      <c r="DW12" s="74" t="s">
        <v>1950</v>
      </c>
      <c r="DX12" s="73">
        <f t="shared" si="120"/>
        <v>10</v>
      </c>
      <c r="DY12" s="65"/>
      <c r="DZ12" s="74" t="s">
        <v>1954</v>
      </c>
      <c r="EA12" s="73">
        <f t="shared" si="120"/>
        <v>10</v>
      </c>
      <c r="EB12" s="65"/>
      <c r="EC12" s="74" t="s">
        <v>1954</v>
      </c>
      <c r="ED12" s="73">
        <f t="shared" si="120"/>
        <v>10</v>
      </c>
      <c r="EE12" s="65"/>
      <c r="EF12" s="74" t="s">
        <v>1954</v>
      </c>
      <c r="EG12" s="73">
        <f t="shared" si="120"/>
        <v>10</v>
      </c>
      <c r="EH12" s="65"/>
      <c r="EI12" s="74" t="s">
        <v>1954</v>
      </c>
      <c r="EJ12" s="73">
        <f t="shared" si="120"/>
        <v>10</v>
      </c>
      <c r="EK12" s="65"/>
      <c r="EL12" s="74" t="s">
        <v>1950</v>
      </c>
      <c r="EM12" s="73">
        <f t="shared" si="120"/>
        <v>10</v>
      </c>
      <c r="EN12" s="65"/>
      <c r="EO12" s="74" t="s">
        <v>1950</v>
      </c>
      <c r="EP12" s="73">
        <f t="shared" si="120"/>
        <v>10</v>
      </c>
      <c r="EQ12" s="65"/>
      <c r="ER12" s="74" t="s">
        <v>1954</v>
      </c>
      <c r="ES12" s="73">
        <f t="shared" si="120"/>
        <v>10</v>
      </c>
      <c r="ET12" s="65"/>
      <c r="EU12" s="74" t="s">
        <v>1954</v>
      </c>
      <c r="EV12" s="73">
        <f t="shared" si="120"/>
        <v>10</v>
      </c>
      <c r="EW12" s="65"/>
      <c r="EX12" s="74" t="s">
        <v>1959</v>
      </c>
      <c r="EY12" s="73">
        <f t="shared" si="142"/>
        <v>10</v>
      </c>
      <c r="EZ12" s="65"/>
      <c r="FA12" s="74" t="s">
        <v>1954</v>
      </c>
      <c r="FB12" s="73">
        <f t="shared" si="142"/>
        <v>10</v>
      </c>
      <c r="FC12" s="65"/>
      <c r="FD12" s="74" t="s">
        <v>1950</v>
      </c>
      <c r="FE12" s="73">
        <f t="shared" si="142"/>
        <v>10</v>
      </c>
      <c r="FF12" s="65"/>
      <c r="FG12" s="74" t="s">
        <v>1950</v>
      </c>
      <c r="FH12" s="73">
        <f t="shared" si="142"/>
        <v>10</v>
      </c>
      <c r="FI12" s="65"/>
      <c r="FJ12" s="74" t="s">
        <v>1954</v>
      </c>
      <c r="FK12" s="73">
        <f t="shared" si="142"/>
        <v>10</v>
      </c>
      <c r="FL12" s="65"/>
      <c r="FM12" s="74" t="s">
        <v>2000</v>
      </c>
      <c r="FN12" s="73">
        <f t="shared" si="142"/>
        <v>0</v>
      </c>
      <c r="FO12" s="65"/>
      <c r="FP12" s="74" t="s">
        <v>1959</v>
      </c>
      <c r="FQ12" s="73">
        <f t="shared" si="142"/>
        <v>10</v>
      </c>
      <c r="FR12" s="65"/>
      <c r="FS12" s="74" t="s">
        <v>1957</v>
      </c>
      <c r="FT12" s="73">
        <f t="shared" si="142"/>
        <v>0</v>
      </c>
      <c r="FU12" s="65"/>
      <c r="FV12" s="74" t="s">
        <v>1959</v>
      </c>
      <c r="FW12" s="73">
        <f t="shared" si="142"/>
        <v>10</v>
      </c>
      <c r="FX12" s="65"/>
      <c r="FY12" s="74" t="s">
        <v>1957</v>
      </c>
      <c r="FZ12" s="73">
        <f t="shared" si="142"/>
        <v>0</v>
      </c>
      <c r="GA12" s="65"/>
      <c r="GB12" s="74" t="s">
        <v>1957</v>
      </c>
      <c r="GC12" s="73">
        <f t="shared" si="142"/>
        <v>0</v>
      </c>
      <c r="GD12" s="65"/>
      <c r="GE12" s="74" t="s">
        <v>1957</v>
      </c>
      <c r="GF12" s="73">
        <f t="shared" si="142"/>
        <v>0</v>
      </c>
      <c r="GG12" s="65"/>
      <c r="GH12" s="74" t="s">
        <v>1954</v>
      </c>
      <c r="GI12" s="73">
        <f t="shared" si="142"/>
        <v>10</v>
      </c>
      <c r="GJ12" s="65"/>
      <c r="GK12" s="74" t="s">
        <v>1953</v>
      </c>
      <c r="GL12" s="73">
        <f t="shared" si="142"/>
        <v>0</v>
      </c>
      <c r="GM12" s="65"/>
      <c r="GN12" s="74"/>
      <c r="GO12" s="73">
        <f t="shared" si="142"/>
        <v>0</v>
      </c>
      <c r="GP12" s="65"/>
      <c r="GQ12" s="74"/>
      <c r="GR12" s="73">
        <f t="shared" si="142"/>
        <v>0</v>
      </c>
      <c r="GS12" s="65"/>
      <c r="GT12" s="74"/>
      <c r="GU12" s="73">
        <f t="shared" si="142"/>
        <v>0</v>
      </c>
      <c r="GV12" s="65"/>
      <c r="GW12" s="74"/>
      <c r="GX12" s="73">
        <f t="shared" si="142"/>
        <v>0</v>
      </c>
      <c r="GY12" s="65"/>
      <c r="GZ12" s="74"/>
      <c r="HA12" s="73">
        <f t="shared" si="142"/>
        <v>0</v>
      </c>
      <c r="HB12" s="65"/>
      <c r="HC12" s="74"/>
      <c r="HD12" s="73">
        <f t="shared" si="142"/>
        <v>0</v>
      </c>
      <c r="HE12" s="65"/>
      <c r="HF12" s="74"/>
      <c r="HG12" s="73">
        <f t="shared" si="142"/>
        <v>0</v>
      </c>
      <c r="HH12" s="65"/>
      <c r="HI12" s="74"/>
      <c r="HJ12" s="73">
        <f t="shared" si="142"/>
        <v>0</v>
      </c>
      <c r="HK12" s="65"/>
      <c r="HL12" s="74"/>
      <c r="HM12" s="73">
        <f t="shared" si="164"/>
        <v>0</v>
      </c>
      <c r="HN12" s="65"/>
      <c r="HO12" s="74"/>
      <c r="HP12" s="73">
        <f t="shared" si="164"/>
        <v>0</v>
      </c>
      <c r="HQ12" s="65"/>
      <c r="HR12" s="74"/>
      <c r="HS12" s="73">
        <f t="shared" si="164"/>
        <v>0</v>
      </c>
      <c r="HT12" s="65"/>
      <c r="HU12" s="74"/>
      <c r="HV12" s="73">
        <f t="shared" si="164"/>
        <v>0</v>
      </c>
      <c r="HW12" s="65"/>
      <c r="HX12" s="74"/>
      <c r="HY12" s="73">
        <f t="shared" si="164"/>
        <v>0</v>
      </c>
      <c r="HZ12" s="65"/>
      <c r="IA12" s="74"/>
      <c r="IB12" s="73">
        <f t="shared" si="164"/>
        <v>0</v>
      </c>
      <c r="IC12" s="65"/>
      <c r="ID12" s="74"/>
      <c r="IE12" s="73">
        <f t="shared" si="164"/>
        <v>0</v>
      </c>
      <c r="IF12" s="65"/>
      <c r="IG12" s="74"/>
      <c r="IH12" s="73">
        <f t="shared" si="164"/>
        <v>0</v>
      </c>
      <c r="II12" s="65"/>
      <c r="IJ12" s="74"/>
      <c r="IK12" s="73">
        <f t="shared" si="164"/>
        <v>0</v>
      </c>
      <c r="IL12" s="65"/>
      <c r="IM12" s="74"/>
      <c r="IN12" s="73">
        <f t="shared" si="164"/>
        <v>0</v>
      </c>
      <c r="IO12" s="65"/>
      <c r="IP12" s="74"/>
      <c r="IQ12" s="73">
        <f t="shared" si="164"/>
        <v>0</v>
      </c>
      <c r="IR12" s="65"/>
      <c r="IS12" s="74"/>
      <c r="IT12" s="73">
        <f t="shared" si="164"/>
        <v>0</v>
      </c>
      <c r="IU12" s="65"/>
      <c r="IV12" s="74"/>
      <c r="IW12" s="73">
        <f t="shared" si="164"/>
        <v>0</v>
      </c>
      <c r="IX12" s="65"/>
      <c r="IY12" s="74"/>
      <c r="IZ12" s="73">
        <f t="shared" si="164"/>
        <v>0</v>
      </c>
      <c r="JA12" s="65"/>
      <c r="JB12" s="74"/>
      <c r="JC12" s="73">
        <f t="shared" si="164"/>
        <v>0</v>
      </c>
      <c r="JD12" s="65"/>
      <c r="JE12" s="74"/>
      <c r="JF12" s="73">
        <f t="shared" si="164"/>
        <v>0</v>
      </c>
      <c r="JG12" s="65"/>
      <c r="JH12" s="74"/>
      <c r="JI12" s="73">
        <f t="shared" si="164"/>
        <v>0</v>
      </c>
      <c r="JJ12" s="65"/>
      <c r="JK12" s="74"/>
      <c r="JL12" s="73">
        <f t="shared" si="164"/>
        <v>0</v>
      </c>
      <c r="JM12" s="65"/>
      <c r="JN12" s="74"/>
      <c r="JO12" s="73">
        <f t="shared" si="164"/>
        <v>0</v>
      </c>
      <c r="JP12" s="65"/>
      <c r="JQ12" s="74"/>
      <c r="JR12" s="73">
        <f t="shared" si="164"/>
        <v>0</v>
      </c>
      <c r="JS12" s="65"/>
      <c r="JT12" s="74"/>
      <c r="JU12" s="73">
        <f t="shared" si="164"/>
        <v>0</v>
      </c>
      <c r="JV12" s="65"/>
      <c r="JW12" s="74"/>
      <c r="JX12" s="73">
        <f t="shared" si="164"/>
        <v>0</v>
      </c>
      <c r="JY12" s="65"/>
      <c r="JZ12" s="74"/>
      <c r="KA12" s="73">
        <f t="shared" si="186"/>
        <v>0</v>
      </c>
      <c r="KB12" s="65"/>
      <c r="KC12" s="74"/>
      <c r="KD12" s="73">
        <f t="shared" si="186"/>
        <v>0</v>
      </c>
      <c r="KE12" s="65"/>
      <c r="KF12" s="74"/>
      <c r="KG12" s="73">
        <f t="shared" si="186"/>
        <v>0</v>
      </c>
      <c r="KH12" s="65"/>
      <c r="KI12" s="74"/>
      <c r="KJ12" s="73">
        <f t="shared" si="186"/>
        <v>0</v>
      </c>
      <c r="KK12" s="65"/>
      <c r="KL12" s="74"/>
      <c r="KM12" s="73">
        <f t="shared" si="186"/>
        <v>0</v>
      </c>
      <c r="KN12" s="65"/>
      <c r="KO12" s="74"/>
      <c r="KP12" s="73">
        <f t="shared" si="186"/>
        <v>0</v>
      </c>
      <c r="KQ12" s="65"/>
      <c r="KR12" s="74"/>
      <c r="KS12" s="73">
        <f t="shared" si="186"/>
        <v>0</v>
      </c>
      <c r="KT12" s="65"/>
      <c r="KU12" s="74"/>
      <c r="KV12" s="73">
        <f t="shared" si="186"/>
        <v>0</v>
      </c>
      <c r="KW12" s="65"/>
      <c r="KX12" s="74"/>
      <c r="KY12" s="73">
        <f t="shared" si="186"/>
        <v>0</v>
      </c>
      <c r="KZ12" s="65"/>
      <c r="LA12" s="74"/>
      <c r="LB12" s="73">
        <f t="shared" si="186"/>
        <v>0</v>
      </c>
      <c r="LC12" s="65"/>
      <c r="LD12" s="74"/>
      <c r="LE12" s="73">
        <f t="shared" si="186"/>
        <v>0</v>
      </c>
      <c r="LF12" s="65"/>
      <c r="LG12" s="65"/>
    </row>
    <row r="13" spans="1:319">
      <c r="A13" s="49"/>
      <c r="B13" s="49"/>
      <c r="C13" s="438" t="str">
        <f>Idiomas!D309</f>
        <v>GROUP STAGE - Exact position  (3º)</v>
      </c>
      <c r="D13" s="44">
        <v>5</v>
      </c>
      <c r="E13" s="111"/>
      <c r="F13" s="445">
        <f t="shared" si="197"/>
        <v>20</v>
      </c>
      <c r="G13" s="445">
        <f ca="1">VLOOKUP(H13,Equipos!$Q$1:$R$25,2,0)</f>
        <v>4</v>
      </c>
      <c r="H13" s="446">
        <f ca="1">TRUNC(INDEX(WORLDCUP!$X$4:$X$147,MATCH(ADMIN!K13,WORLDCUP!$DT$4:$DT$147,0))+INDEX(Horarios!$R$3:$R$86,MATCH(Horarios!$C$3,Horarios!$P$3:$P$86,0))/24)</f>
        <v>46187</v>
      </c>
      <c r="I13" s="48">
        <v>1</v>
      </c>
      <c r="J13" s="96" t="s">
        <v>115</v>
      </c>
      <c r="K13" s="53" t="str">
        <f ca="1">CONCATENATE(WORLDCUP!AA29,"-",WORLDCUP!AF29)</f>
        <v>Australia-Turkey</v>
      </c>
      <c r="L13" s="53"/>
      <c r="M13" s="55" t="str">
        <f>IF(OR(WORLDCUP!AC29="",WORLDCUP!AD29=""),"-",N13&amp;"|"&amp;O13&amp;"-"&amp;P13)</f>
        <v>1|2-0</v>
      </c>
      <c r="N13" s="25" t="str">
        <f>IF(OR(WORLDCUP!AC29="",WORLDCUP!AD29=""),"",IF(WORLDCUP!AC29&gt;WORLDCUP!AD29,"1",IF(WORLDCUP!AC29&lt;WORLDCUP!AD29,"2","X")))</f>
        <v>1</v>
      </c>
      <c r="O13" s="25">
        <f>WORLDCUP!AC29</f>
        <v>2</v>
      </c>
      <c r="P13" s="25">
        <f>WORLDCUP!AD29</f>
        <v>0</v>
      </c>
      <c r="Q13" s="25">
        <f t="shared" si="201"/>
        <v>2</v>
      </c>
      <c r="R13" s="49"/>
      <c r="S13" s="74" t="s">
        <v>1944</v>
      </c>
      <c r="T13" s="73">
        <f t="shared" si="198"/>
        <v>0</v>
      </c>
      <c r="U13" s="65"/>
      <c r="V13" s="74" t="s">
        <v>1944</v>
      </c>
      <c r="W13" s="73">
        <f t="shared" si="199"/>
        <v>0</v>
      </c>
      <c r="X13" s="65"/>
      <c r="Y13" s="74" t="s">
        <v>1960</v>
      </c>
      <c r="Z13" s="73">
        <f t="shared" si="200"/>
        <v>0</v>
      </c>
      <c r="AA13" s="65"/>
      <c r="AB13" s="74" t="s">
        <v>1953</v>
      </c>
      <c r="AC13" s="73">
        <f t="shared" si="200"/>
        <v>0</v>
      </c>
      <c r="AD13" s="65"/>
      <c r="AE13" s="74" t="s">
        <v>1960</v>
      </c>
      <c r="AF13" s="73">
        <f t="shared" si="200"/>
        <v>0</v>
      </c>
      <c r="AG13" s="65"/>
      <c r="AH13" s="74" t="s">
        <v>1948</v>
      </c>
      <c r="AI13" s="73">
        <f t="shared" si="200"/>
        <v>0</v>
      </c>
      <c r="AJ13" s="65"/>
      <c r="AK13" s="74" t="s">
        <v>1959</v>
      </c>
      <c r="AL13" s="73">
        <f t="shared" si="200"/>
        <v>10</v>
      </c>
      <c r="AM13" s="65"/>
      <c r="AN13" s="74" t="s">
        <v>1957</v>
      </c>
      <c r="AO13" s="73">
        <f t="shared" si="200"/>
        <v>0</v>
      </c>
      <c r="AP13" s="65"/>
      <c r="AQ13" s="74" t="s">
        <v>1957</v>
      </c>
      <c r="AR13" s="73">
        <f t="shared" si="200"/>
        <v>0</v>
      </c>
      <c r="AS13" s="65"/>
      <c r="AT13" s="74" t="s">
        <v>1953</v>
      </c>
      <c r="AU13" s="73">
        <f t="shared" si="200"/>
        <v>0</v>
      </c>
      <c r="AV13" s="65"/>
      <c r="AW13" s="74" t="s">
        <v>1960</v>
      </c>
      <c r="AX13" s="73">
        <f t="shared" si="200"/>
        <v>0</v>
      </c>
      <c r="AY13" s="65"/>
      <c r="AZ13" s="74" t="s">
        <v>1960</v>
      </c>
      <c r="BA13" s="73">
        <f t="shared" si="200"/>
        <v>0</v>
      </c>
      <c r="BB13" s="65"/>
      <c r="BC13" s="74" t="s">
        <v>1944</v>
      </c>
      <c r="BD13" s="73">
        <f t="shared" si="200"/>
        <v>0</v>
      </c>
      <c r="BE13" s="65"/>
      <c r="BF13" s="74" t="s">
        <v>2000</v>
      </c>
      <c r="BG13" s="73">
        <f t="shared" si="200"/>
        <v>0</v>
      </c>
      <c r="BH13" s="65"/>
      <c r="BI13" s="74" t="s">
        <v>1944</v>
      </c>
      <c r="BJ13" s="73">
        <f t="shared" si="200"/>
        <v>0</v>
      </c>
      <c r="BK13" s="65"/>
      <c r="BL13" s="74" t="s">
        <v>1953</v>
      </c>
      <c r="BM13" s="73">
        <f t="shared" si="200"/>
        <v>0</v>
      </c>
      <c r="BN13" s="65"/>
      <c r="BO13" s="74" t="s">
        <v>2000</v>
      </c>
      <c r="BP13" s="73">
        <f t="shared" si="200"/>
        <v>0</v>
      </c>
      <c r="BQ13" s="65"/>
      <c r="BR13" s="74" t="s">
        <v>1960</v>
      </c>
      <c r="BS13" s="73">
        <f t="shared" si="200"/>
        <v>0</v>
      </c>
      <c r="BT13" s="65"/>
      <c r="BU13" s="74" t="s">
        <v>1960</v>
      </c>
      <c r="BV13" s="73">
        <f t="shared" si="200"/>
        <v>0</v>
      </c>
      <c r="BW13" s="65"/>
      <c r="BX13" s="74" t="s">
        <v>1953</v>
      </c>
      <c r="BY13" s="73">
        <f t="shared" si="200"/>
        <v>0</v>
      </c>
      <c r="BZ13" s="65"/>
      <c r="CA13" s="74" t="s">
        <v>1953</v>
      </c>
      <c r="CB13" s="73">
        <f t="shared" si="200"/>
        <v>0</v>
      </c>
      <c r="CC13" s="65"/>
      <c r="CD13" s="74" t="s">
        <v>2000</v>
      </c>
      <c r="CE13" s="73">
        <f t="shared" si="200"/>
        <v>0</v>
      </c>
      <c r="CF13" s="65"/>
      <c r="CG13" s="74" t="s">
        <v>1953</v>
      </c>
      <c r="CH13" s="73">
        <f t="shared" si="200"/>
        <v>0</v>
      </c>
      <c r="CI13" s="65"/>
      <c r="CJ13" s="74" t="s">
        <v>1957</v>
      </c>
      <c r="CK13" s="73">
        <f t="shared" si="120"/>
        <v>0</v>
      </c>
      <c r="CL13" s="65"/>
      <c r="CM13" s="74" t="s">
        <v>2000</v>
      </c>
      <c r="CN13" s="73">
        <f t="shared" si="120"/>
        <v>0</v>
      </c>
      <c r="CO13" s="65"/>
      <c r="CP13" s="74" t="s">
        <v>1960</v>
      </c>
      <c r="CQ13" s="73">
        <f t="shared" si="120"/>
        <v>0</v>
      </c>
      <c r="CR13" s="65"/>
      <c r="CS13" s="74" t="s">
        <v>1955</v>
      </c>
      <c r="CT13" s="73">
        <f t="shared" si="120"/>
        <v>0</v>
      </c>
      <c r="CU13" s="65"/>
      <c r="CV13" s="74" t="s">
        <v>1960</v>
      </c>
      <c r="CW13" s="73">
        <f t="shared" si="120"/>
        <v>0</v>
      </c>
      <c r="CX13" s="65"/>
      <c r="CY13" s="74" t="s">
        <v>1956</v>
      </c>
      <c r="CZ13" s="73">
        <f t="shared" si="120"/>
        <v>12</v>
      </c>
      <c r="DA13" s="65"/>
      <c r="DB13" s="74" t="s">
        <v>1957</v>
      </c>
      <c r="DC13" s="73">
        <f t="shared" si="120"/>
        <v>0</v>
      </c>
      <c r="DD13" s="65"/>
      <c r="DE13" s="74" t="s">
        <v>1957</v>
      </c>
      <c r="DF13" s="73">
        <f t="shared" si="120"/>
        <v>0</v>
      </c>
      <c r="DG13" s="65"/>
      <c r="DH13" s="74" t="s">
        <v>1957</v>
      </c>
      <c r="DI13" s="73">
        <f t="shared" si="120"/>
        <v>0</v>
      </c>
      <c r="DJ13" s="65"/>
      <c r="DK13" s="74" t="s">
        <v>1957</v>
      </c>
      <c r="DL13" s="73">
        <f t="shared" si="120"/>
        <v>0</v>
      </c>
      <c r="DM13" s="65"/>
      <c r="DN13" s="74" t="s">
        <v>1957</v>
      </c>
      <c r="DO13" s="73">
        <f t="shared" si="120"/>
        <v>0</v>
      </c>
      <c r="DP13" s="65"/>
      <c r="DQ13" s="74" t="s">
        <v>1957</v>
      </c>
      <c r="DR13" s="73">
        <f t="shared" si="120"/>
        <v>0</v>
      </c>
      <c r="DS13" s="65"/>
      <c r="DT13" s="74" t="s">
        <v>1953</v>
      </c>
      <c r="DU13" s="73">
        <f t="shared" si="120"/>
        <v>0</v>
      </c>
      <c r="DV13" s="65"/>
      <c r="DW13" s="74" t="s">
        <v>2000</v>
      </c>
      <c r="DX13" s="73">
        <f t="shared" si="120"/>
        <v>0</v>
      </c>
      <c r="DY13" s="65"/>
      <c r="DZ13" s="74" t="s">
        <v>1957</v>
      </c>
      <c r="EA13" s="73">
        <f t="shared" si="120"/>
        <v>0</v>
      </c>
      <c r="EB13" s="65"/>
      <c r="EC13" s="74" t="s">
        <v>1957</v>
      </c>
      <c r="ED13" s="73">
        <f t="shared" si="120"/>
        <v>0</v>
      </c>
      <c r="EE13" s="65"/>
      <c r="EF13" s="74" t="s">
        <v>1957</v>
      </c>
      <c r="EG13" s="73">
        <f t="shared" si="120"/>
        <v>0</v>
      </c>
      <c r="EH13" s="65"/>
      <c r="EI13" s="74" t="s">
        <v>1960</v>
      </c>
      <c r="EJ13" s="73">
        <f t="shared" si="120"/>
        <v>0</v>
      </c>
      <c r="EK13" s="65"/>
      <c r="EL13" s="74" t="s">
        <v>1960</v>
      </c>
      <c r="EM13" s="73">
        <f t="shared" si="120"/>
        <v>0</v>
      </c>
      <c r="EN13" s="65"/>
      <c r="EO13" s="74" t="s">
        <v>1960</v>
      </c>
      <c r="EP13" s="73">
        <f t="shared" si="120"/>
        <v>0</v>
      </c>
      <c r="EQ13" s="65"/>
      <c r="ER13" s="74" t="s">
        <v>1957</v>
      </c>
      <c r="ES13" s="73">
        <f t="shared" si="120"/>
        <v>0</v>
      </c>
      <c r="ET13" s="65"/>
      <c r="EU13" s="74" t="s">
        <v>2000</v>
      </c>
      <c r="EV13" s="73">
        <f t="shared" si="120"/>
        <v>0</v>
      </c>
      <c r="EW13" s="65"/>
      <c r="EX13" s="74" t="s">
        <v>1953</v>
      </c>
      <c r="EY13" s="73">
        <f t="shared" si="142"/>
        <v>0</v>
      </c>
      <c r="EZ13" s="65"/>
      <c r="FA13" s="74" t="s">
        <v>1953</v>
      </c>
      <c r="FB13" s="73">
        <f t="shared" si="142"/>
        <v>0</v>
      </c>
      <c r="FC13" s="65"/>
      <c r="FD13" s="74" t="s">
        <v>1960</v>
      </c>
      <c r="FE13" s="73">
        <f t="shared" si="142"/>
        <v>0</v>
      </c>
      <c r="FF13" s="65"/>
      <c r="FG13" s="74" t="s">
        <v>1948</v>
      </c>
      <c r="FH13" s="73">
        <f t="shared" si="142"/>
        <v>0</v>
      </c>
      <c r="FI13" s="65"/>
      <c r="FJ13" s="74" t="s">
        <v>1953</v>
      </c>
      <c r="FK13" s="73">
        <f t="shared" si="142"/>
        <v>0</v>
      </c>
      <c r="FL13" s="65"/>
      <c r="FM13" s="74" t="s">
        <v>1957</v>
      </c>
      <c r="FN13" s="73">
        <f t="shared" si="142"/>
        <v>0</v>
      </c>
      <c r="FO13" s="65"/>
      <c r="FP13" s="74" t="s">
        <v>1960</v>
      </c>
      <c r="FQ13" s="73">
        <f t="shared" si="142"/>
        <v>0</v>
      </c>
      <c r="FR13" s="65"/>
      <c r="FS13" s="74" t="s">
        <v>1953</v>
      </c>
      <c r="FT13" s="73">
        <f t="shared" si="142"/>
        <v>0</v>
      </c>
      <c r="FU13" s="65"/>
      <c r="FV13" s="74" t="s">
        <v>1960</v>
      </c>
      <c r="FW13" s="73">
        <f t="shared" si="142"/>
        <v>0</v>
      </c>
      <c r="FX13" s="65"/>
      <c r="FY13" s="74" t="s">
        <v>1953</v>
      </c>
      <c r="FZ13" s="73">
        <f t="shared" si="142"/>
        <v>0</v>
      </c>
      <c r="GA13" s="65"/>
      <c r="GB13" s="74" t="s">
        <v>1953</v>
      </c>
      <c r="GC13" s="73">
        <f t="shared" si="142"/>
        <v>0</v>
      </c>
      <c r="GD13" s="65"/>
      <c r="GE13" s="74" t="s">
        <v>1953</v>
      </c>
      <c r="GF13" s="73">
        <f t="shared" si="142"/>
        <v>0</v>
      </c>
      <c r="GG13" s="65"/>
      <c r="GH13" s="74" t="s">
        <v>1957</v>
      </c>
      <c r="GI13" s="73">
        <f t="shared" si="142"/>
        <v>0</v>
      </c>
      <c r="GJ13" s="65"/>
      <c r="GK13" s="74" t="s">
        <v>1960</v>
      </c>
      <c r="GL13" s="73">
        <f t="shared" si="142"/>
        <v>0</v>
      </c>
      <c r="GM13" s="65"/>
      <c r="GN13" s="74"/>
      <c r="GO13" s="73">
        <f t="shared" si="142"/>
        <v>0</v>
      </c>
      <c r="GP13" s="65"/>
      <c r="GQ13" s="74"/>
      <c r="GR13" s="73">
        <f t="shared" si="142"/>
        <v>0</v>
      </c>
      <c r="GS13" s="65"/>
      <c r="GT13" s="74"/>
      <c r="GU13" s="73">
        <f t="shared" si="142"/>
        <v>0</v>
      </c>
      <c r="GV13" s="65"/>
      <c r="GW13" s="74"/>
      <c r="GX13" s="73">
        <f t="shared" si="142"/>
        <v>0</v>
      </c>
      <c r="GY13" s="65"/>
      <c r="GZ13" s="74"/>
      <c r="HA13" s="73">
        <f t="shared" si="142"/>
        <v>0</v>
      </c>
      <c r="HB13" s="65"/>
      <c r="HC13" s="74"/>
      <c r="HD13" s="73">
        <f t="shared" si="142"/>
        <v>0</v>
      </c>
      <c r="HE13" s="65"/>
      <c r="HF13" s="74"/>
      <c r="HG13" s="73">
        <f t="shared" si="142"/>
        <v>0</v>
      </c>
      <c r="HH13" s="65"/>
      <c r="HI13" s="74"/>
      <c r="HJ13" s="73">
        <f t="shared" si="142"/>
        <v>0</v>
      </c>
      <c r="HK13" s="65"/>
      <c r="HL13" s="74"/>
      <c r="HM13" s="73">
        <f t="shared" si="164"/>
        <v>0</v>
      </c>
      <c r="HN13" s="65"/>
      <c r="HO13" s="74"/>
      <c r="HP13" s="73">
        <f t="shared" si="164"/>
        <v>0</v>
      </c>
      <c r="HQ13" s="65"/>
      <c r="HR13" s="74"/>
      <c r="HS13" s="73">
        <f t="shared" si="164"/>
        <v>0</v>
      </c>
      <c r="HT13" s="65"/>
      <c r="HU13" s="74"/>
      <c r="HV13" s="73">
        <f t="shared" si="164"/>
        <v>0</v>
      </c>
      <c r="HW13" s="65"/>
      <c r="HX13" s="74"/>
      <c r="HY13" s="73">
        <f t="shared" si="164"/>
        <v>0</v>
      </c>
      <c r="HZ13" s="65"/>
      <c r="IA13" s="74"/>
      <c r="IB13" s="73">
        <f t="shared" si="164"/>
        <v>0</v>
      </c>
      <c r="IC13" s="65"/>
      <c r="ID13" s="74"/>
      <c r="IE13" s="73">
        <f t="shared" si="164"/>
        <v>0</v>
      </c>
      <c r="IF13" s="65"/>
      <c r="IG13" s="74"/>
      <c r="IH13" s="73">
        <f t="shared" si="164"/>
        <v>0</v>
      </c>
      <c r="II13" s="65"/>
      <c r="IJ13" s="74"/>
      <c r="IK13" s="73">
        <f t="shared" si="164"/>
        <v>0</v>
      </c>
      <c r="IL13" s="65"/>
      <c r="IM13" s="74"/>
      <c r="IN13" s="73">
        <f t="shared" si="164"/>
        <v>0</v>
      </c>
      <c r="IO13" s="65"/>
      <c r="IP13" s="74"/>
      <c r="IQ13" s="73">
        <f t="shared" si="164"/>
        <v>0</v>
      </c>
      <c r="IR13" s="65"/>
      <c r="IS13" s="74"/>
      <c r="IT13" s="73">
        <f t="shared" si="164"/>
        <v>0</v>
      </c>
      <c r="IU13" s="65"/>
      <c r="IV13" s="74"/>
      <c r="IW13" s="73">
        <f t="shared" si="164"/>
        <v>0</v>
      </c>
      <c r="IX13" s="65"/>
      <c r="IY13" s="74"/>
      <c r="IZ13" s="73">
        <f t="shared" si="164"/>
        <v>0</v>
      </c>
      <c r="JA13" s="65"/>
      <c r="JB13" s="74"/>
      <c r="JC13" s="73">
        <f t="shared" si="164"/>
        <v>0</v>
      </c>
      <c r="JD13" s="65"/>
      <c r="JE13" s="74"/>
      <c r="JF13" s="73">
        <f t="shared" si="164"/>
        <v>0</v>
      </c>
      <c r="JG13" s="65"/>
      <c r="JH13" s="74"/>
      <c r="JI13" s="73">
        <f t="shared" si="164"/>
        <v>0</v>
      </c>
      <c r="JJ13" s="65"/>
      <c r="JK13" s="74"/>
      <c r="JL13" s="73">
        <f t="shared" si="164"/>
        <v>0</v>
      </c>
      <c r="JM13" s="65"/>
      <c r="JN13" s="74"/>
      <c r="JO13" s="73">
        <f t="shared" si="164"/>
        <v>0</v>
      </c>
      <c r="JP13" s="65"/>
      <c r="JQ13" s="74"/>
      <c r="JR13" s="73">
        <f t="shared" si="164"/>
        <v>0</v>
      </c>
      <c r="JS13" s="65"/>
      <c r="JT13" s="74"/>
      <c r="JU13" s="73">
        <f t="shared" si="164"/>
        <v>0</v>
      </c>
      <c r="JV13" s="65"/>
      <c r="JW13" s="74"/>
      <c r="JX13" s="73">
        <f t="shared" si="164"/>
        <v>0</v>
      </c>
      <c r="JY13" s="65"/>
      <c r="JZ13" s="74"/>
      <c r="KA13" s="73">
        <f t="shared" si="186"/>
        <v>0</v>
      </c>
      <c r="KB13" s="65"/>
      <c r="KC13" s="74"/>
      <c r="KD13" s="73">
        <f t="shared" si="186"/>
        <v>0</v>
      </c>
      <c r="KE13" s="65"/>
      <c r="KF13" s="74"/>
      <c r="KG13" s="73">
        <f t="shared" si="186"/>
        <v>0</v>
      </c>
      <c r="KH13" s="65"/>
      <c r="KI13" s="74"/>
      <c r="KJ13" s="73">
        <f t="shared" si="186"/>
        <v>0</v>
      </c>
      <c r="KK13" s="65"/>
      <c r="KL13" s="74"/>
      <c r="KM13" s="73">
        <f t="shared" si="186"/>
        <v>0</v>
      </c>
      <c r="KN13" s="65"/>
      <c r="KO13" s="74"/>
      <c r="KP13" s="73">
        <f t="shared" si="186"/>
        <v>0</v>
      </c>
      <c r="KQ13" s="65"/>
      <c r="KR13" s="74"/>
      <c r="KS13" s="73">
        <f t="shared" si="186"/>
        <v>0</v>
      </c>
      <c r="KT13" s="65"/>
      <c r="KU13" s="74"/>
      <c r="KV13" s="73">
        <f t="shared" si="186"/>
        <v>0</v>
      </c>
      <c r="KW13" s="65"/>
      <c r="KX13" s="74"/>
      <c r="KY13" s="73">
        <f t="shared" si="186"/>
        <v>0</v>
      </c>
      <c r="KZ13" s="65"/>
      <c r="LA13" s="74"/>
      <c r="LB13" s="73">
        <f t="shared" si="186"/>
        <v>0</v>
      </c>
      <c r="LC13" s="65"/>
      <c r="LD13" s="74"/>
      <c r="LE13" s="73">
        <f t="shared" si="186"/>
        <v>0</v>
      </c>
      <c r="LF13" s="65"/>
      <c r="LG13" s="65"/>
    </row>
    <row r="14" spans="1:319">
      <c r="A14" s="49"/>
      <c r="B14" s="49"/>
      <c r="C14" s="437" t="str">
        <f>Idiomas!D310</f>
        <v>GROUP STAGE - Exact position  (4º)</v>
      </c>
      <c r="D14" s="62">
        <v>3</v>
      </c>
      <c r="E14" s="111"/>
      <c r="F14" s="445">
        <f t="shared" si="197"/>
        <v>20</v>
      </c>
      <c r="G14" s="445">
        <f ca="1">VLOOKUP(H14,Equipos!$Q$1:$R$25,2,0)</f>
        <v>4</v>
      </c>
      <c r="H14" s="446">
        <f ca="1">TRUNC(INDEX(WORLDCUP!$X$4:$X$147,MATCH(ADMIN!K14,WORLDCUP!$DT$4:$DT$147,0))+INDEX(Horarios!$R$3:$R$86,MATCH(Horarios!$C$3,Horarios!$P$3:$P$86,0))/24)</f>
        <v>46187</v>
      </c>
      <c r="I14" s="48">
        <v>1</v>
      </c>
      <c r="J14" s="95" t="s">
        <v>116</v>
      </c>
      <c r="K14" s="56" t="str">
        <f ca="1">CONCATENATE(WORLDCUP!AA36,"-",WORLDCUP!AF36)</f>
        <v>Germany-Curaçao</v>
      </c>
      <c r="L14" s="53"/>
      <c r="M14" s="55" t="str">
        <f>IF(OR(WORLDCUP!AC36="",WORLDCUP!AD36=""),"-",N14&amp;"|"&amp;O14&amp;"-"&amp;P14)</f>
        <v>1|7-1</v>
      </c>
      <c r="N14" s="25" t="str">
        <f>IF(OR(WORLDCUP!AC36="",WORLDCUP!AD36=""),"",IF(WORLDCUP!AC36&gt;WORLDCUP!AD36,"1",IF(WORLDCUP!AC36&lt;WORLDCUP!AD36,"2","X")))</f>
        <v>1</v>
      </c>
      <c r="O14" s="25">
        <f>WORLDCUP!AC36</f>
        <v>7</v>
      </c>
      <c r="P14" s="25">
        <f>WORLDCUP!AD36</f>
        <v>1</v>
      </c>
      <c r="Q14" s="25">
        <f t="shared" si="201"/>
        <v>6</v>
      </c>
      <c r="R14" s="49"/>
      <c r="S14" s="74" t="s">
        <v>1945</v>
      </c>
      <c r="T14" s="73">
        <f t="shared" si="198"/>
        <v>10</v>
      </c>
      <c r="U14" s="65"/>
      <c r="V14" s="74" t="s">
        <v>1947</v>
      </c>
      <c r="W14" s="73">
        <f t="shared" si="199"/>
        <v>10</v>
      </c>
      <c r="X14" s="65"/>
      <c r="Y14" s="74" t="s">
        <v>1958</v>
      </c>
      <c r="Z14" s="73">
        <f t="shared" si="200"/>
        <v>10</v>
      </c>
      <c r="AA14" s="65"/>
      <c r="AB14" s="74" t="s">
        <v>1945</v>
      </c>
      <c r="AC14" s="73">
        <f t="shared" si="200"/>
        <v>10</v>
      </c>
      <c r="AD14" s="65"/>
      <c r="AE14" s="74" t="s">
        <v>1947</v>
      </c>
      <c r="AF14" s="73">
        <f t="shared" si="200"/>
        <v>10</v>
      </c>
      <c r="AG14" s="65"/>
      <c r="AH14" s="74" t="s">
        <v>2129</v>
      </c>
      <c r="AI14" s="73">
        <f t="shared" si="200"/>
        <v>10</v>
      </c>
      <c r="AJ14" s="65"/>
      <c r="AK14" s="74" t="s">
        <v>1945</v>
      </c>
      <c r="AL14" s="73">
        <f t="shared" si="200"/>
        <v>10</v>
      </c>
      <c r="AM14" s="65"/>
      <c r="AN14" s="74" t="s">
        <v>1958</v>
      </c>
      <c r="AO14" s="73">
        <f t="shared" si="200"/>
        <v>10</v>
      </c>
      <c r="AP14" s="65"/>
      <c r="AQ14" s="74" t="s">
        <v>1958</v>
      </c>
      <c r="AR14" s="73">
        <f t="shared" si="200"/>
        <v>10</v>
      </c>
      <c r="AS14" s="65"/>
      <c r="AT14" s="74" t="s">
        <v>1953</v>
      </c>
      <c r="AU14" s="73">
        <f t="shared" si="200"/>
        <v>0</v>
      </c>
      <c r="AV14" s="65"/>
      <c r="AW14" s="74" t="s">
        <v>1947</v>
      </c>
      <c r="AX14" s="73">
        <f t="shared" si="200"/>
        <v>10</v>
      </c>
      <c r="AY14" s="65"/>
      <c r="AZ14" s="74" t="s">
        <v>1958</v>
      </c>
      <c r="BA14" s="73">
        <f t="shared" si="200"/>
        <v>10</v>
      </c>
      <c r="BB14" s="65"/>
      <c r="BC14" s="74" t="s">
        <v>1947</v>
      </c>
      <c r="BD14" s="73">
        <f t="shared" si="200"/>
        <v>10</v>
      </c>
      <c r="BE14" s="65"/>
      <c r="BF14" s="74" t="s">
        <v>1947</v>
      </c>
      <c r="BG14" s="73">
        <f t="shared" si="200"/>
        <v>10</v>
      </c>
      <c r="BH14" s="65"/>
      <c r="BI14" s="74" t="s">
        <v>2132</v>
      </c>
      <c r="BJ14" s="73">
        <f t="shared" si="200"/>
        <v>10</v>
      </c>
      <c r="BK14" s="65"/>
      <c r="BL14" s="74" t="s">
        <v>1947</v>
      </c>
      <c r="BM14" s="73">
        <f t="shared" si="200"/>
        <v>10</v>
      </c>
      <c r="BN14" s="65"/>
      <c r="BO14" s="74" t="s">
        <v>1947</v>
      </c>
      <c r="BP14" s="73">
        <f t="shared" si="200"/>
        <v>10</v>
      </c>
      <c r="BQ14" s="65"/>
      <c r="BR14" s="74" t="s">
        <v>2132</v>
      </c>
      <c r="BS14" s="73">
        <f t="shared" si="200"/>
        <v>10</v>
      </c>
      <c r="BT14" s="65"/>
      <c r="BU14" s="74" t="s">
        <v>1958</v>
      </c>
      <c r="BV14" s="73">
        <f t="shared" si="200"/>
        <v>10</v>
      </c>
      <c r="BW14" s="65"/>
      <c r="BX14" s="74" t="s">
        <v>1958</v>
      </c>
      <c r="BY14" s="73">
        <f t="shared" si="200"/>
        <v>10</v>
      </c>
      <c r="BZ14" s="65"/>
      <c r="CA14" s="74" t="s">
        <v>1947</v>
      </c>
      <c r="CB14" s="73">
        <f t="shared" si="200"/>
        <v>10</v>
      </c>
      <c r="CC14" s="65"/>
      <c r="CD14" s="74" t="s">
        <v>1943</v>
      </c>
      <c r="CE14" s="73">
        <f t="shared" si="200"/>
        <v>10</v>
      </c>
      <c r="CF14" s="65"/>
      <c r="CG14" s="74" t="s">
        <v>2132</v>
      </c>
      <c r="CH14" s="73">
        <f t="shared" si="200"/>
        <v>10</v>
      </c>
      <c r="CI14" s="65"/>
      <c r="CJ14" s="74" t="s">
        <v>1949</v>
      </c>
      <c r="CK14" s="73">
        <f t="shared" si="120"/>
        <v>10</v>
      </c>
      <c r="CL14" s="65"/>
      <c r="CM14" s="74" t="s">
        <v>2132</v>
      </c>
      <c r="CN14" s="73">
        <f t="shared" si="120"/>
        <v>10</v>
      </c>
      <c r="CO14" s="65"/>
      <c r="CP14" s="74" t="s">
        <v>1947</v>
      </c>
      <c r="CQ14" s="73">
        <f t="shared" si="120"/>
        <v>10</v>
      </c>
      <c r="CR14" s="65"/>
      <c r="CS14" s="74" t="s">
        <v>1947</v>
      </c>
      <c r="CT14" s="73">
        <f t="shared" si="120"/>
        <v>10</v>
      </c>
      <c r="CU14" s="65"/>
      <c r="CV14" s="74" t="s">
        <v>1958</v>
      </c>
      <c r="CW14" s="73">
        <f t="shared" si="120"/>
        <v>10</v>
      </c>
      <c r="CX14" s="65"/>
      <c r="CY14" s="74" t="s">
        <v>2369</v>
      </c>
      <c r="CZ14" s="73">
        <f t="shared" si="120"/>
        <v>0</v>
      </c>
      <c r="DA14" s="65"/>
      <c r="DB14" s="74" t="s">
        <v>2696</v>
      </c>
      <c r="DC14" s="73">
        <f t="shared" si="120"/>
        <v>10</v>
      </c>
      <c r="DD14" s="65"/>
      <c r="DE14" s="74" t="s">
        <v>2278</v>
      </c>
      <c r="DF14" s="73">
        <f t="shared" si="120"/>
        <v>12</v>
      </c>
      <c r="DG14" s="65"/>
      <c r="DH14" s="74" t="s">
        <v>1949</v>
      </c>
      <c r="DI14" s="73">
        <f t="shared" si="120"/>
        <v>10</v>
      </c>
      <c r="DJ14" s="65"/>
      <c r="DK14" s="74" t="s">
        <v>1947</v>
      </c>
      <c r="DL14" s="73">
        <f t="shared" si="120"/>
        <v>10</v>
      </c>
      <c r="DM14" s="65"/>
      <c r="DN14" s="74" t="s">
        <v>1958</v>
      </c>
      <c r="DO14" s="73">
        <f t="shared" si="120"/>
        <v>10</v>
      </c>
      <c r="DP14" s="65"/>
      <c r="DQ14" s="74" t="s">
        <v>1947</v>
      </c>
      <c r="DR14" s="73">
        <f t="shared" si="120"/>
        <v>10</v>
      </c>
      <c r="DS14" s="65"/>
      <c r="DT14" s="74" t="s">
        <v>1947</v>
      </c>
      <c r="DU14" s="73">
        <f t="shared" si="120"/>
        <v>10</v>
      </c>
      <c r="DV14" s="65"/>
      <c r="DW14" s="74" t="s">
        <v>1954</v>
      </c>
      <c r="DX14" s="73">
        <f t="shared" si="120"/>
        <v>10</v>
      </c>
      <c r="DY14" s="65"/>
      <c r="DZ14" s="74" t="s">
        <v>1947</v>
      </c>
      <c r="EA14" s="73">
        <f t="shared" si="120"/>
        <v>10</v>
      </c>
      <c r="EB14" s="65"/>
      <c r="EC14" s="74" t="s">
        <v>1952</v>
      </c>
      <c r="ED14" s="73">
        <f t="shared" si="120"/>
        <v>10</v>
      </c>
      <c r="EE14" s="65"/>
      <c r="EF14" s="74" t="s">
        <v>2633</v>
      </c>
      <c r="EG14" s="73">
        <f t="shared" si="120"/>
        <v>10</v>
      </c>
      <c r="EH14" s="65"/>
      <c r="EI14" s="74" t="s">
        <v>1947</v>
      </c>
      <c r="EJ14" s="73">
        <f t="shared" si="120"/>
        <v>10</v>
      </c>
      <c r="EK14" s="65"/>
      <c r="EL14" s="74" t="s">
        <v>2132</v>
      </c>
      <c r="EM14" s="73">
        <f t="shared" si="120"/>
        <v>10</v>
      </c>
      <c r="EN14" s="65"/>
      <c r="EO14" s="74" t="s">
        <v>1947</v>
      </c>
      <c r="EP14" s="73">
        <f t="shared" si="120"/>
        <v>10</v>
      </c>
      <c r="EQ14" s="65"/>
      <c r="ER14" s="74" t="s">
        <v>1958</v>
      </c>
      <c r="ES14" s="73">
        <f t="shared" si="120"/>
        <v>10</v>
      </c>
      <c r="ET14" s="65"/>
      <c r="EU14" s="74" t="s">
        <v>1950</v>
      </c>
      <c r="EV14" s="73">
        <f t="shared" si="120"/>
        <v>10</v>
      </c>
      <c r="EW14" s="65"/>
      <c r="EX14" s="74" t="s">
        <v>1958</v>
      </c>
      <c r="EY14" s="73">
        <f t="shared" si="142"/>
        <v>10</v>
      </c>
      <c r="EZ14" s="65"/>
      <c r="FA14" s="74" t="s">
        <v>1947</v>
      </c>
      <c r="FB14" s="73">
        <f t="shared" si="142"/>
        <v>10</v>
      </c>
      <c r="FC14" s="65"/>
      <c r="FD14" s="74" t="s">
        <v>1954</v>
      </c>
      <c r="FE14" s="73">
        <f t="shared" si="142"/>
        <v>10</v>
      </c>
      <c r="FF14" s="65"/>
      <c r="FG14" s="74" t="s">
        <v>2000</v>
      </c>
      <c r="FH14" s="73">
        <f t="shared" si="142"/>
        <v>0</v>
      </c>
      <c r="FI14" s="65"/>
      <c r="FJ14" s="74" t="s">
        <v>1958</v>
      </c>
      <c r="FK14" s="73">
        <f t="shared" si="142"/>
        <v>10</v>
      </c>
      <c r="FL14" s="65"/>
      <c r="FM14" s="74" t="s">
        <v>1952</v>
      </c>
      <c r="FN14" s="73">
        <f t="shared" si="142"/>
        <v>10</v>
      </c>
      <c r="FO14" s="65"/>
      <c r="FP14" s="74" t="s">
        <v>1947</v>
      </c>
      <c r="FQ14" s="73">
        <f t="shared" si="142"/>
        <v>10</v>
      </c>
      <c r="FR14" s="65"/>
      <c r="FS14" s="74" t="s">
        <v>1958</v>
      </c>
      <c r="FT14" s="73">
        <f t="shared" si="142"/>
        <v>10</v>
      </c>
      <c r="FU14" s="65"/>
      <c r="FV14" s="74" t="s">
        <v>1947</v>
      </c>
      <c r="FW14" s="73">
        <f t="shared" si="142"/>
        <v>10</v>
      </c>
      <c r="FX14" s="65"/>
      <c r="FY14" s="74" t="s">
        <v>1958</v>
      </c>
      <c r="FZ14" s="73">
        <f t="shared" si="142"/>
        <v>10</v>
      </c>
      <c r="GA14" s="65"/>
      <c r="GB14" s="74" t="s">
        <v>1958</v>
      </c>
      <c r="GC14" s="73">
        <f t="shared" si="142"/>
        <v>10</v>
      </c>
      <c r="GD14" s="65"/>
      <c r="GE14" s="74" t="s">
        <v>2278</v>
      </c>
      <c r="GF14" s="73">
        <f t="shared" si="142"/>
        <v>12</v>
      </c>
      <c r="GG14" s="65"/>
      <c r="GH14" s="74" t="s">
        <v>2132</v>
      </c>
      <c r="GI14" s="73">
        <f t="shared" si="142"/>
        <v>10</v>
      </c>
      <c r="GJ14" s="65"/>
      <c r="GK14" s="74" t="s">
        <v>2132</v>
      </c>
      <c r="GL14" s="73">
        <f t="shared" si="142"/>
        <v>10</v>
      </c>
      <c r="GM14" s="65"/>
      <c r="GN14" s="74"/>
      <c r="GO14" s="73">
        <f t="shared" si="142"/>
        <v>0</v>
      </c>
      <c r="GP14" s="65"/>
      <c r="GQ14" s="74"/>
      <c r="GR14" s="73">
        <f t="shared" si="142"/>
        <v>0</v>
      </c>
      <c r="GS14" s="65"/>
      <c r="GT14" s="74"/>
      <c r="GU14" s="73">
        <f t="shared" si="142"/>
        <v>0</v>
      </c>
      <c r="GV14" s="65"/>
      <c r="GW14" s="74"/>
      <c r="GX14" s="73">
        <f t="shared" si="142"/>
        <v>0</v>
      </c>
      <c r="GY14" s="65"/>
      <c r="GZ14" s="74"/>
      <c r="HA14" s="73">
        <f t="shared" si="142"/>
        <v>0</v>
      </c>
      <c r="HB14" s="65"/>
      <c r="HC14" s="74"/>
      <c r="HD14" s="73">
        <f t="shared" si="142"/>
        <v>0</v>
      </c>
      <c r="HE14" s="65"/>
      <c r="HF14" s="74"/>
      <c r="HG14" s="73">
        <f t="shared" si="142"/>
        <v>0</v>
      </c>
      <c r="HH14" s="65"/>
      <c r="HI14" s="74"/>
      <c r="HJ14" s="73">
        <f t="shared" si="142"/>
        <v>0</v>
      </c>
      <c r="HK14" s="65"/>
      <c r="HL14" s="74"/>
      <c r="HM14" s="73">
        <f t="shared" si="164"/>
        <v>0</v>
      </c>
      <c r="HN14" s="65"/>
      <c r="HO14" s="74"/>
      <c r="HP14" s="73">
        <f t="shared" si="164"/>
        <v>0</v>
      </c>
      <c r="HQ14" s="65"/>
      <c r="HR14" s="74"/>
      <c r="HS14" s="73">
        <f t="shared" si="164"/>
        <v>0</v>
      </c>
      <c r="HT14" s="65"/>
      <c r="HU14" s="74"/>
      <c r="HV14" s="73">
        <f t="shared" si="164"/>
        <v>0</v>
      </c>
      <c r="HW14" s="65"/>
      <c r="HX14" s="74"/>
      <c r="HY14" s="73">
        <f t="shared" si="164"/>
        <v>0</v>
      </c>
      <c r="HZ14" s="65"/>
      <c r="IA14" s="74"/>
      <c r="IB14" s="73">
        <f t="shared" si="164"/>
        <v>0</v>
      </c>
      <c r="IC14" s="65"/>
      <c r="ID14" s="74"/>
      <c r="IE14" s="73">
        <f t="shared" si="164"/>
        <v>0</v>
      </c>
      <c r="IF14" s="65"/>
      <c r="IG14" s="74"/>
      <c r="IH14" s="73">
        <f t="shared" si="164"/>
        <v>0</v>
      </c>
      <c r="II14" s="65"/>
      <c r="IJ14" s="74"/>
      <c r="IK14" s="73">
        <f t="shared" si="164"/>
        <v>0</v>
      </c>
      <c r="IL14" s="65"/>
      <c r="IM14" s="74"/>
      <c r="IN14" s="73">
        <f t="shared" si="164"/>
        <v>0</v>
      </c>
      <c r="IO14" s="65"/>
      <c r="IP14" s="74"/>
      <c r="IQ14" s="73">
        <f t="shared" si="164"/>
        <v>0</v>
      </c>
      <c r="IR14" s="65"/>
      <c r="IS14" s="74"/>
      <c r="IT14" s="73">
        <f t="shared" si="164"/>
        <v>0</v>
      </c>
      <c r="IU14" s="65"/>
      <c r="IV14" s="74"/>
      <c r="IW14" s="73">
        <f t="shared" si="164"/>
        <v>0</v>
      </c>
      <c r="IX14" s="65"/>
      <c r="IY14" s="74"/>
      <c r="IZ14" s="73">
        <f t="shared" si="164"/>
        <v>0</v>
      </c>
      <c r="JA14" s="65"/>
      <c r="JB14" s="74"/>
      <c r="JC14" s="73">
        <f t="shared" si="164"/>
        <v>0</v>
      </c>
      <c r="JD14" s="65"/>
      <c r="JE14" s="74"/>
      <c r="JF14" s="73">
        <f t="shared" si="164"/>
        <v>0</v>
      </c>
      <c r="JG14" s="65"/>
      <c r="JH14" s="74"/>
      <c r="JI14" s="73">
        <f t="shared" si="164"/>
        <v>0</v>
      </c>
      <c r="JJ14" s="65"/>
      <c r="JK14" s="74"/>
      <c r="JL14" s="73">
        <f t="shared" si="164"/>
        <v>0</v>
      </c>
      <c r="JM14" s="65"/>
      <c r="JN14" s="74"/>
      <c r="JO14" s="73">
        <f t="shared" si="164"/>
        <v>0</v>
      </c>
      <c r="JP14" s="65"/>
      <c r="JQ14" s="74"/>
      <c r="JR14" s="73">
        <f t="shared" si="164"/>
        <v>0</v>
      </c>
      <c r="JS14" s="65"/>
      <c r="JT14" s="74"/>
      <c r="JU14" s="73">
        <f t="shared" si="164"/>
        <v>0</v>
      </c>
      <c r="JV14" s="65"/>
      <c r="JW14" s="74"/>
      <c r="JX14" s="73">
        <f t="shared" si="164"/>
        <v>0</v>
      </c>
      <c r="JY14" s="65"/>
      <c r="JZ14" s="74"/>
      <c r="KA14" s="73">
        <f t="shared" si="186"/>
        <v>0</v>
      </c>
      <c r="KB14" s="65"/>
      <c r="KC14" s="74"/>
      <c r="KD14" s="73">
        <f t="shared" si="186"/>
        <v>0</v>
      </c>
      <c r="KE14" s="65"/>
      <c r="KF14" s="74"/>
      <c r="KG14" s="73">
        <f t="shared" si="186"/>
        <v>0</v>
      </c>
      <c r="KH14" s="65"/>
      <c r="KI14" s="74"/>
      <c r="KJ14" s="73">
        <f t="shared" si="186"/>
        <v>0</v>
      </c>
      <c r="KK14" s="65"/>
      <c r="KL14" s="74"/>
      <c r="KM14" s="73">
        <f t="shared" si="186"/>
        <v>0</v>
      </c>
      <c r="KN14" s="65"/>
      <c r="KO14" s="74"/>
      <c r="KP14" s="73">
        <f t="shared" si="186"/>
        <v>0</v>
      </c>
      <c r="KQ14" s="65"/>
      <c r="KR14" s="74"/>
      <c r="KS14" s="73">
        <f t="shared" si="186"/>
        <v>0</v>
      </c>
      <c r="KT14" s="65"/>
      <c r="KU14" s="74"/>
      <c r="KV14" s="73">
        <f t="shared" si="186"/>
        <v>0</v>
      </c>
      <c r="KW14" s="65"/>
      <c r="KX14" s="74"/>
      <c r="KY14" s="73">
        <f t="shared" si="186"/>
        <v>0</v>
      </c>
      <c r="KZ14" s="65"/>
      <c r="LA14" s="74"/>
      <c r="LB14" s="73">
        <f t="shared" si="186"/>
        <v>0</v>
      </c>
      <c r="LC14" s="65"/>
      <c r="LD14" s="74"/>
      <c r="LE14" s="73">
        <f t="shared" si="186"/>
        <v>0</v>
      </c>
      <c r="LF14" s="65"/>
      <c r="LG14" s="65"/>
    </row>
    <row r="15" spans="1:319">
      <c r="A15" s="49"/>
      <c r="B15" s="49"/>
      <c r="C15" s="439" t="str">
        <f>Idiomas!D311</f>
        <v>Nation Qualified for ROUND OF 32</v>
      </c>
      <c r="D15" s="45">
        <v>5</v>
      </c>
      <c r="E15" s="111"/>
      <c r="F15" s="445">
        <f t="shared" si="197"/>
        <v>20</v>
      </c>
      <c r="G15" s="445">
        <f ca="1">VLOOKUP(H15,Equipos!$Q$1:$R$25,2,0)</f>
        <v>5</v>
      </c>
      <c r="H15" s="446">
        <f ca="1">TRUNC(INDEX(WORLDCUP!$X$4:$X$147,MATCH(ADMIN!K15,WORLDCUP!$DT$4:$DT$147,0))+INDEX(Horarios!$R$3:$R$86,MATCH(Horarios!$C$3,Horarios!$P$3:$P$86,0))/24)</f>
        <v>46188</v>
      </c>
      <c r="I15" s="48">
        <v>1</v>
      </c>
      <c r="J15" s="95" t="s">
        <v>116</v>
      </c>
      <c r="K15" s="53" t="str">
        <f ca="1">CONCATENATE(WORLDCUP!AA37,"-",WORLDCUP!AF37)</f>
        <v>Ivory Coast-Ecuador</v>
      </c>
      <c r="L15" s="53"/>
      <c r="M15" s="55" t="str">
        <f>IF(OR(WORLDCUP!AC37="",WORLDCUP!AD37=""),"-",N15&amp;"|"&amp;O15&amp;"-"&amp;P15)</f>
        <v>1|1-0</v>
      </c>
      <c r="N15" s="25" t="str">
        <f>IF(OR(WORLDCUP!AC37="",WORLDCUP!AD37=""),"",IF(WORLDCUP!AC37&gt;WORLDCUP!AD37,"1",IF(WORLDCUP!AC37&lt;WORLDCUP!AD37,"2","X")))</f>
        <v>1</v>
      </c>
      <c r="O15" s="25">
        <f>WORLDCUP!AC37</f>
        <v>1</v>
      </c>
      <c r="P15" s="25">
        <f>WORLDCUP!AD37</f>
        <v>0</v>
      </c>
      <c r="Q15" s="25">
        <f t="shared" si="201"/>
        <v>1</v>
      </c>
      <c r="R15" s="49"/>
      <c r="S15" s="74" t="s">
        <v>1946</v>
      </c>
      <c r="T15" s="73">
        <f t="shared" si="198"/>
        <v>0</v>
      </c>
      <c r="U15" s="65"/>
      <c r="V15" s="74" t="s">
        <v>1953</v>
      </c>
      <c r="W15" s="73">
        <f t="shared" si="199"/>
        <v>0</v>
      </c>
      <c r="X15" s="65"/>
      <c r="Y15" s="74" t="s">
        <v>1953</v>
      </c>
      <c r="Z15" s="73">
        <f t="shared" si="200"/>
        <v>0</v>
      </c>
      <c r="AA15" s="65"/>
      <c r="AB15" s="74" t="s">
        <v>1957</v>
      </c>
      <c r="AC15" s="73">
        <f t="shared" si="200"/>
        <v>0</v>
      </c>
      <c r="AD15" s="65"/>
      <c r="AE15" s="74" t="s">
        <v>2000</v>
      </c>
      <c r="AF15" s="73">
        <f t="shared" si="200"/>
        <v>0</v>
      </c>
      <c r="AG15" s="65"/>
      <c r="AH15" s="74" t="s">
        <v>1953</v>
      </c>
      <c r="AI15" s="73">
        <f t="shared" si="200"/>
        <v>0</v>
      </c>
      <c r="AJ15" s="65"/>
      <c r="AK15" s="74" t="s">
        <v>1944</v>
      </c>
      <c r="AL15" s="73">
        <f t="shared" si="200"/>
        <v>0</v>
      </c>
      <c r="AM15" s="65"/>
      <c r="AN15" s="74" t="s">
        <v>1957</v>
      </c>
      <c r="AO15" s="73">
        <f t="shared" si="200"/>
        <v>0</v>
      </c>
      <c r="AP15" s="65"/>
      <c r="AQ15" s="74" t="s">
        <v>1953</v>
      </c>
      <c r="AR15" s="73">
        <f t="shared" si="200"/>
        <v>0</v>
      </c>
      <c r="AS15" s="65"/>
      <c r="AT15" s="74" t="s">
        <v>1946</v>
      </c>
      <c r="AU15" s="73">
        <f t="shared" si="200"/>
        <v>0</v>
      </c>
      <c r="AV15" s="65"/>
      <c r="AW15" s="74" t="s">
        <v>1944</v>
      </c>
      <c r="AX15" s="73">
        <f t="shared" si="200"/>
        <v>0</v>
      </c>
      <c r="AY15" s="65"/>
      <c r="AZ15" s="74" t="s">
        <v>1957</v>
      </c>
      <c r="BA15" s="73">
        <f t="shared" si="200"/>
        <v>0</v>
      </c>
      <c r="BB15" s="65"/>
      <c r="BC15" s="74" t="s">
        <v>1957</v>
      </c>
      <c r="BD15" s="73">
        <f t="shared" si="200"/>
        <v>0</v>
      </c>
      <c r="BE15" s="65"/>
      <c r="BF15" s="74" t="s">
        <v>1957</v>
      </c>
      <c r="BG15" s="73">
        <f t="shared" si="200"/>
        <v>0</v>
      </c>
      <c r="BH15" s="65"/>
      <c r="BI15" s="74" t="s">
        <v>1944</v>
      </c>
      <c r="BJ15" s="73">
        <f t="shared" si="200"/>
        <v>0</v>
      </c>
      <c r="BK15" s="65"/>
      <c r="BL15" s="74" t="s">
        <v>1957</v>
      </c>
      <c r="BM15" s="73">
        <f t="shared" si="200"/>
        <v>0</v>
      </c>
      <c r="BN15" s="65"/>
      <c r="BO15" s="74" t="s">
        <v>1957</v>
      </c>
      <c r="BP15" s="73">
        <f t="shared" si="200"/>
        <v>0</v>
      </c>
      <c r="BQ15" s="65"/>
      <c r="BR15" s="74" t="s">
        <v>2133</v>
      </c>
      <c r="BS15" s="73">
        <f t="shared" si="200"/>
        <v>0</v>
      </c>
      <c r="BT15" s="65"/>
      <c r="BU15" s="74" t="s">
        <v>1957</v>
      </c>
      <c r="BV15" s="73">
        <f t="shared" si="200"/>
        <v>0</v>
      </c>
      <c r="BW15" s="65"/>
      <c r="BX15" s="74" t="s">
        <v>1959</v>
      </c>
      <c r="BY15" s="73">
        <f t="shared" si="200"/>
        <v>20</v>
      </c>
      <c r="BZ15" s="65"/>
      <c r="CA15" s="74" t="s">
        <v>1954</v>
      </c>
      <c r="CB15" s="73">
        <f t="shared" si="200"/>
        <v>12</v>
      </c>
      <c r="CC15" s="65"/>
      <c r="CD15" s="74" t="s">
        <v>1960</v>
      </c>
      <c r="CE15" s="73">
        <f t="shared" si="200"/>
        <v>0</v>
      </c>
      <c r="CF15" s="65"/>
      <c r="CG15" s="74" t="s">
        <v>1957</v>
      </c>
      <c r="CH15" s="73">
        <f t="shared" si="200"/>
        <v>0</v>
      </c>
      <c r="CI15" s="65"/>
      <c r="CJ15" s="74" t="s">
        <v>1957</v>
      </c>
      <c r="CK15" s="73">
        <f t="shared" si="120"/>
        <v>0</v>
      </c>
      <c r="CL15" s="65"/>
      <c r="CM15" s="74" t="s">
        <v>1959</v>
      </c>
      <c r="CN15" s="73">
        <f t="shared" si="120"/>
        <v>20</v>
      </c>
      <c r="CO15" s="65"/>
      <c r="CP15" s="74" t="s">
        <v>1950</v>
      </c>
      <c r="CQ15" s="73">
        <f t="shared" si="120"/>
        <v>10</v>
      </c>
      <c r="CR15" s="65"/>
      <c r="CS15" s="74" t="s">
        <v>1944</v>
      </c>
      <c r="CT15" s="73">
        <f t="shared" si="120"/>
        <v>0</v>
      </c>
      <c r="CU15" s="65"/>
      <c r="CV15" s="74" t="s">
        <v>1944</v>
      </c>
      <c r="CW15" s="73">
        <f t="shared" si="120"/>
        <v>0</v>
      </c>
      <c r="CX15" s="65"/>
      <c r="CY15" s="74" t="s">
        <v>2000</v>
      </c>
      <c r="CZ15" s="73">
        <f t="shared" si="120"/>
        <v>0</v>
      </c>
      <c r="DA15" s="65"/>
      <c r="DB15" s="74" t="s">
        <v>1949</v>
      </c>
      <c r="DC15" s="73">
        <f t="shared" si="120"/>
        <v>10</v>
      </c>
      <c r="DD15" s="65"/>
      <c r="DE15" s="74" t="s">
        <v>1953</v>
      </c>
      <c r="DF15" s="73">
        <f t="shared" si="120"/>
        <v>0</v>
      </c>
      <c r="DG15" s="65"/>
      <c r="DH15" s="74" t="s">
        <v>1957</v>
      </c>
      <c r="DI15" s="73">
        <f t="shared" si="120"/>
        <v>0</v>
      </c>
      <c r="DJ15" s="65"/>
      <c r="DK15" s="74" t="s">
        <v>1957</v>
      </c>
      <c r="DL15" s="73">
        <f t="shared" si="120"/>
        <v>0</v>
      </c>
      <c r="DM15" s="65"/>
      <c r="DN15" s="74" t="s">
        <v>1953</v>
      </c>
      <c r="DO15" s="73">
        <f t="shared" si="120"/>
        <v>0</v>
      </c>
      <c r="DP15" s="65"/>
      <c r="DQ15" s="74" t="s">
        <v>1953</v>
      </c>
      <c r="DR15" s="73">
        <f t="shared" si="120"/>
        <v>0</v>
      </c>
      <c r="DS15" s="65"/>
      <c r="DT15" s="74" t="s">
        <v>1957</v>
      </c>
      <c r="DU15" s="73">
        <f t="shared" si="120"/>
        <v>0</v>
      </c>
      <c r="DV15" s="65"/>
      <c r="DW15" s="74" t="s">
        <v>1953</v>
      </c>
      <c r="DX15" s="73">
        <f t="shared" si="120"/>
        <v>0</v>
      </c>
      <c r="DY15" s="65"/>
      <c r="DZ15" s="74" t="s">
        <v>1957</v>
      </c>
      <c r="EA15" s="73">
        <f t="shared" si="120"/>
        <v>0</v>
      </c>
      <c r="EB15" s="65"/>
      <c r="EC15" s="74" t="s">
        <v>1957</v>
      </c>
      <c r="ED15" s="73">
        <f t="shared" si="120"/>
        <v>0</v>
      </c>
      <c r="EE15" s="65"/>
      <c r="EF15" s="74" t="s">
        <v>1954</v>
      </c>
      <c r="EG15" s="73">
        <f t="shared" si="120"/>
        <v>12</v>
      </c>
      <c r="EH15" s="65"/>
      <c r="EI15" s="74" t="s">
        <v>2000</v>
      </c>
      <c r="EJ15" s="73">
        <f t="shared" si="120"/>
        <v>0</v>
      </c>
      <c r="EK15" s="65"/>
      <c r="EL15" s="74" t="s">
        <v>1957</v>
      </c>
      <c r="EM15" s="73">
        <f t="shared" si="120"/>
        <v>0</v>
      </c>
      <c r="EN15" s="65"/>
      <c r="EO15" s="74" t="s">
        <v>2000</v>
      </c>
      <c r="EP15" s="73">
        <f t="shared" si="120"/>
        <v>0</v>
      </c>
      <c r="EQ15" s="65"/>
      <c r="ER15" s="74" t="s">
        <v>1957</v>
      </c>
      <c r="ES15" s="73">
        <f t="shared" si="120"/>
        <v>0</v>
      </c>
      <c r="ET15" s="65"/>
      <c r="EU15" s="74" t="s">
        <v>1957</v>
      </c>
      <c r="EV15" s="73">
        <f t="shared" si="120"/>
        <v>0</v>
      </c>
      <c r="EW15" s="65"/>
      <c r="EX15" s="74" t="s">
        <v>1954</v>
      </c>
      <c r="EY15" s="73">
        <f t="shared" si="142"/>
        <v>12</v>
      </c>
      <c r="EZ15" s="65"/>
      <c r="FA15" s="74" t="s">
        <v>1957</v>
      </c>
      <c r="FB15" s="73">
        <f t="shared" si="142"/>
        <v>0</v>
      </c>
      <c r="FC15" s="65"/>
      <c r="FD15" s="74" t="s">
        <v>1953</v>
      </c>
      <c r="FE15" s="73">
        <f t="shared" si="142"/>
        <v>0</v>
      </c>
      <c r="FF15" s="65"/>
      <c r="FG15" s="74" t="s">
        <v>1944</v>
      </c>
      <c r="FH15" s="73">
        <f t="shared" si="142"/>
        <v>0</v>
      </c>
      <c r="FI15" s="65"/>
      <c r="FJ15" s="74" t="s">
        <v>1957</v>
      </c>
      <c r="FK15" s="73">
        <f t="shared" si="142"/>
        <v>0</v>
      </c>
      <c r="FL15" s="65"/>
      <c r="FM15" s="74" t="s">
        <v>1957</v>
      </c>
      <c r="FN15" s="73">
        <f t="shared" si="142"/>
        <v>0</v>
      </c>
      <c r="FO15" s="65"/>
      <c r="FP15" s="74" t="s">
        <v>2133</v>
      </c>
      <c r="FQ15" s="73">
        <f t="shared" si="142"/>
        <v>0</v>
      </c>
      <c r="FR15" s="65"/>
      <c r="FS15" s="74" t="s">
        <v>1957</v>
      </c>
      <c r="FT15" s="73">
        <f t="shared" si="142"/>
        <v>0</v>
      </c>
      <c r="FU15" s="65"/>
      <c r="FV15" s="74" t="s">
        <v>1957</v>
      </c>
      <c r="FW15" s="73">
        <f t="shared" si="142"/>
        <v>0</v>
      </c>
      <c r="FX15" s="65"/>
      <c r="FY15" s="74" t="s">
        <v>1957</v>
      </c>
      <c r="FZ15" s="73">
        <f t="shared" si="142"/>
        <v>0</v>
      </c>
      <c r="GA15" s="65"/>
      <c r="GB15" s="74" t="s">
        <v>1955</v>
      </c>
      <c r="GC15" s="73">
        <f t="shared" si="142"/>
        <v>0</v>
      </c>
      <c r="GD15" s="65"/>
      <c r="GE15" s="74" t="s">
        <v>2000</v>
      </c>
      <c r="GF15" s="73">
        <f t="shared" si="142"/>
        <v>0</v>
      </c>
      <c r="GG15" s="65"/>
      <c r="GH15" s="74" t="s">
        <v>2000</v>
      </c>
      <c r="GI15" s="73">
        <f t="shared" si="142"/>
        <v>0</v>
      </c>
      <c r="GJ15" s="65"/>
      <c r="GK15" s="74" t="s">
        <v>1957</v>
      </c>
      <c r="GL15" s="73">
        <f t="shared" si="142"/>
        <v>0</v>
      </c>
      <c r="GM15" s="65"/>
      <c r="GN15" s="74"/>
      <c r="GO15" s="73">
        <f t="shared" si="142"/>
        <v>0</v>
      </c>
      <c r="GP15" s="65"/>
      <c r="GQ15" s="74"/>
      <c r="GR15" s="73">
        <f t="shared" si="142"/>
        <v>0</v>
      </c>
      <c r="GS15" s="65"/>
      <c r="GT15" s="74"/>
      <c r="GU15" s="73">
        <f t="shared" si="142"/>
        <v>0</v>
      </c>
      <c r="GV15" s="65"/>
      <c r="GW15" s="74"/>
      <c r="GX15" s="73">
        <f t="shared" si="142"/>
        <v>0</v>
      </c>
      <c r="GY15" s="65"/>
      <c r="GZ15" s="74"/>
      <c r="HA15" s="73">
        <f t="shared" si="142"/>
        <v>0</v>
      </c>
      <c r="HB15" s="65"/>
      <c r="HC15" s="74"/>
      <c r="HD15" s="73">
        <f t="shared" si="142"/>
        <v>0</v>
      </c>
      <c r="HE15" s="65"/>
      <c r="HF15" s="74"/>
      <c r="HG15" s="73">
        <f t="shared" si="142"/>
        <v>0</v>
      </c>
      <c r="HH15" s="65"/>
      <c r="HI15" s="74"/>
      <c r="HJ15" s="73">
        <f t="shared" si="142"/>
        <v>0</v>
      </c>
      <c r="HK15" s="65"/>
      <c r="HL15" s="74"/>
      <c r="HM15" s="73">
        <f t="shared" si="164"/>
        <v>0</v>
      </c>
      <c r="HN15" s="65"/>
      <c r="HO15" s="74"/>
      <c r="HP15" s="73">
        <f t="shared" si="164"/>
        <v>0</v>
      </c>
      <c r="HQ15" s="65"/>
      <c r="HR15" s="74"/>
      <c r="HS15" s="73">
        <f t="shared" si="164"/>
        <v>0</v>
      </c>
      <c r="HT15" s="65"/>
      <c r="HU15" s="74"/>
      <c r="HV15" s="73">
        <f t="shared" si="164"/>
        <v>0</v>
      </c>
      <c r="HW15" s="65"/>
      <c r="HX15" s="74"/>
      <c r="HY15" s="73">
        <f t="shared" si="164"/>
        <v>0</v>
      </c>
      <c r="HZ15" s="65"/>
      <c r="IA15" s="74"/>
      <c r="IB15" s="73">
        <f t="shared" si="164"/>
        <v>0</v>
      </c>
      <c r="IC15" s="65"/>
      <c r="ID15" s="74"/>
      <c r="IE15" s="73">
        <f t="shared" si="164"/>
        <v>0</v>
      </c>
      <c r="IF15" s="65"/>
      <c r="IG15" s="74"/>
      <c r="IH15" s="73">
        <f t="shared" si="164"/>
        <v>0</v>
      </c>
      <c r="II15" s="65"/>
      <c r="IJ15" s="74"/>
      <c r="IK15" s="73">
        <f t="shared" si="164"/>
        <v>0</v>
      </c>
      <c r="IL15" s="65"/>
      <c r="IM15" s="74"/>
      <c r="IN15" s="73">
        <f t="shared" si="164"/>
        <v>0</v>
      </c>
      <c r="IO15" s="65"/>
      <c r="IP15" s="74"/>
      <c r="IQ15" s="73">
        <f t="shared" si="164"/>
        <v>0</v>
      </c>
      <c r="IR15" s="65"/>
      <c r="IS15" s="74"/>
      <c r="IT15" s="73">
        <f t="shared" si="164"/>
        <v>0</v>
      </c>
      <c r="IU15" s="65"/>
      <c r="IV15" s="74"/>
      <c r="IW15" s="73">
        <f t="shared" si="164"/>
        <v>0</v>
      </c>
      <c r="IX15" s="65"/>
      <c r="IY15" s="74"/>
      <c r="IZ15" s="73">
        <f t="shared" si="164"/>
        <v>0</v>
      </c>
      <c r="JA15" s="65"/>
      <c r="JB15" s="74"/>
      <c r="JC15" s="73">
        <f t="shared" si="164"/>
        <v>0</v>
      </c>
      <c r="JD15" s="65"/>
      <c r="JE15" s="74"/>
      <c r="JF15" s="73">
        <f t="shared" si="164"/>
        <v>0</v>
      </c>
      <c r="JG15" s="65"/>
      <c r="JH15" s="74"/>
      <c r="JI15" s="73">
        <f t="shared" si="164"/>
        <v>0</v>
      </c>
      <c r="JJ15" s="65"/>
      <c r="JK15" s="74"/>
      <c r="JL15" s="73">
        <f t="shared" si="164"/>
        <v>0</v>
      </c>
      <c r="JM15" s="65"/>
      <c r="JN15" s="74"/>
      <c r="JO15" s="73">
        <f t="shared" si="164"/>
        <v>0</v>
      </c>
      <c r="JP15" s="65"/>
      <c r="JQ15" s="74"/>
      <c r="JR15" s="73">
        <f t="shared" si="164"/>
        <v>0</v>
      </c>
      <c r="JS15" s="65"/>
      <c r="JT15" s="74"/>
      <c r="JU15" s="73">
        <f t="shared" si="164"/>
        <v>0</v>
      </c>
      <c r="JV15" s="65"/>
      <c r="JW15" s="74"/>
      <c r="JX15" s="73">
        <f t="shared" si="164"/>
        <v>0</v>
      </c>
      <c r="JY15" s="65"/>
      <c r="JZ15" s="74"/>
      <c r="KA15" s="73">
        <f t="shared" si="186"/>
        <v>0</v>
      </c>
      <c r="KB15" s="65"/>
      <c r="KC15" s="74"/>
      <c r="KD15" s="73">
        <f t="shared" si="186"/>
        <v>0</v>
      </c>
      <c r="KE15" s="65"/>
      <c r="KF15" s="74"/>
      <c r="KG15" s="73">
        <f t="shared" si="186"/>
        <v>0</v>
      </c>
      <c r="KH15" s="65"/>
      <c r="KI15" s="74"/>
      <c r="KJ15" s="73">
        <f t="shared" si="186"/>
        <v>0</v>
      </c>
      <c r="KK15" s="65"/>
      <c r="KL15" s="74"/>
      <c r="KM15" s="73">
        <f t="shared" si="186"/>
        <v>0</v>
      </c>
      <c r="KN15" s="65"/>
      <c r="KO15" s="74"/>
      <c r="KP15" s="73">
        <f t="shared" si="186"/>
        <v>0</v>
      </c>
      <c r="KQ15" s="65"/>
      <c r="KR15" s="74"/>
      <c r="KS15" s="73">
        <f t="shared" si="186"/>
        <v>0</v>
      </c>
      <c r="KT15" s="65"/>
      <c r="KU15" s="74"/>
      <c r="KV15" s="73">
        <f t="shared" si="186"/>
        <v>0</v>
      </c>
      <c r="KW15" s="65"/>
      <c r="KX15" s="74"/>
      <c r="KY15" s="73">
        <f t="shared" si="186"/>
        <v>0</v>
      </c>
      <c r="KZ15" s="65"/>
      <c r="LA15" s="74"/>
      <c r="LB15" s="73">
        <f t="shared" si="186"/>
        <v>0</v>
      </c>
      <c r="LC15" s="65"/>
      <c r="LD15" s="74"/>
      <c r="LE15" s="73">
        <f t="shared" si="186"/>
        <v>0</v>
      </c>
      <c r="LF15" s="65"/>
      <c r="LG15" s="65"/>
    </row>
    <row r="16" spans="1:319">
      <c r="A16" s="49"/>
      <c r="B16" s="49"/>
      <c r="C16" s="437" t="str">
        <f>Idiomas!D312</f>
        <v>ROUND OF 32 - 1X2* (home, draw, away)</v>
      </c>
      <c r="D16" s="62">
        <v>10</v>
      </c>
      <c r="E16" s="111"/>
      <c r="F16" s="445">
        <f t="shared" si="197"/>
        <v>20</v>
      </c>
      <c r="G16" s="445">
        <f ca="1">VLOOKUP(H16,Equipos!$Q$1:$R$25,2,0)</f>
        <v>5</v>
      </c>
      <c r="H16" s="446">
        <f ca="1">TRUNC(INDEX(WORLDCUP!$X$4:$X$147,MATCH(ADMIN!K16,WORLDCUP!$DT$4:$DT$147,0))+INDEX(Horarios!$R$3:$R$86,MATCH(Horarios!$C$3,Horarios!$P$3:$P$86,0))/24)</f>
        <v>46188</v>
      </c>
      <c r="I16" s="48">
        <v>1</v>
      </c>
      <c r="J16" s="96" t="s">
        <v>117</v>
      </c>
      <c r="K16" s="56" t="str">
        <f ca="1">CONCATENATE(WORLDCUP!AA44,"-",WORLDCUP!AF44)</f>
        <v>Netherlands-Japan</v>
      </c>
      <c r="L16" s="53"/>
      <c r="M16" s="55" t="str">
        <f>IF(OR(WORLDCUP!AC44="",WORLDCUP!AD44=""),"-",N16&amp;"|"&amp;O16&amp;"-"&amp;P16)</f>
        <v>X|2-2</v>
      </c>
      <c r="N16" s="25" t="str">
        <f>IF(OR(WORLDCUP!AC44="",WORLDCUP!AD44=""),"",IF(WORLDCUP!AC44&gt;WORLDCUP!AD44,"1",IF(WORLDCUP!AC44&lt;WORLDCUP!AD44,"2","X")))</f>
        <v>X</v>
      </c>
      <c r="O16" s="25">
        <f>WORLDCUP!AC44</f>
        <v>2</v>
      </c>
      <c r="P16" s="25">
        <f>WORLDCUP!AD44</f>
        <v>2</v>
      </c>
      <c r="Q16" s="25">
        <f t="shared" si="201"/>
        <v>0</v>
      </c>
      <c r="R16" s="49"/>
      <c r="S16" s="74" t="s">
        <v>1949</v>
      </c>
      <c r="T16" s="73">
        <f t="shared" si="198"/>
        <v>0</v>
      </c>
      <c r="U16" s="65"/>
      <c r="V16" s="74" t="s">
        <v>1954</v>
      </c>
      <c r="W16" s="73">
        <f t="shared" si="199"/>
        <v>0</v>
      </c>
      <c r="X16" s="65"/>
      <c r="Y16" s="74" t="s">
        <v>1954</v>
      </c>
      <c r="Z16" s="73">
        <f t="shared" si="200"/>
        <v>0</v>
      </c>
      <c r="AA16" s="65"/>
      <c r="AB16" s="74" t="s">
        <v>1954</v>
      </c>
      <c r="AC16" s="73">
        <f t="shared" si="200"/>
        <v>0</v>
      </c>
      <c r="AD16" s="65"/>
      <c r="AE16" s="74" t="s">
        <v>1954</v>
      </c>
      <c r="AF16" s="73">
        <f t="shared" si="200"/>
        <v>0</v>
      </c>
      <c r="AG16" s="65"/>
      <c r="AH16" s="74" t="s">
        <v>1950</v>
      </c>
      <c r="AI16" s="73">
        <f t="shared" si="200"/>
        <v>0</v>
      </c>
      <c r="AJ16" s="65"/>
      <c r="AK16" s="74" t="s">
        <v>1954</v>
      </c>
      <c r="AL16" s="73">
        <f t="shared" si="200"/>
        <v>0</v>
      </c>
      <c r="AM16" s="65"/>
      <c r="AN16" s="74" t="s">
        <v>1957</v>
      </c>
      <c r="AO16" s="73">
        <f t="shared" si="200"/>
        <v>12</v>
      </c>
      <c r="AP16" s="65"/>
      <c r="AQ16" s="74" t="s">
        <v>1949</v>
      </c>
      <c r="AR16" s="73">
        <f t="shared" si="200"/>
        <v>0</v>
      </c>
      <c r="AS16" s="65"/>
      <c r="AT16" s="74" t="s">
        <v>1950</v>
      </c>
      <c r="AU16" s="73">
        <f t="shared" si="200"/>
        <v>0</v>
      </c>
      <c r="AV16" s="65"/>
      <c r="AW16" s="74" t="s">
        <v>1950</v>
      </c>
      <c r="AX16" s="73">
        <f t="shared" si="200"/>
        <v>0</v>
      </c>
      <c r="AY16" s="65"/>
      <c r="AZ16" s="74" t="s">
        <v>1957</v>
      </c>
      <c r="BA16" s="73">
        <f t="shared" si="200"/>
        <v>12</v>
      </c>
      <c r="BB16" s="65"/>
      <c r="BC16" s="74" t="s">
        <v>1944</v>
      </c>
      <c r="BD16" s="73">
        <f t="shared" si="200"/>
        <v>20</v>
      </c>
      <c r="BE16" s="65"/>
      <c r="BF16" s="74" t="s">
        <v>1959</v>
      </c>
      <c r="BG16" s="73">
        <f t="shared" si="200"/>
        <v>0</v>
      </c>
      <c r="BH16" s="65"/>
      <c r="BI16" s="74" t="s">
        <v>2369</v>
      </c>
      <c r="BJ16" s="73">
        <f t="shared" si="200"/>
        <v>12</v>
      </c>
      <c r="BK16" s="65"/>
      <c r="BL16" s="74" t="s">
        <v>1954</v>
      </c>
      <c r="BM16" s="73">
        <f t="shared" si="200"/>
        <v>0</v>
      </c>
      <c r="BN16" s="65"/>
      <c r="BO16" s="74" t="s">
        <v>1950</v>
      </c>
      <c r="BP16" s="73">
        <f t="shared" si="200"/>
        <v>0</v>
      </c>
      <c r="BQ16" s="65"/>
      <c r="BR16" s="74" t="s">
        <v>1959</v>
      </c>
      <c r="BS16" s="73">
        <f t="shared" si="200"/>
        <v>0</v>
      </c>
      <c r="BT16" s="65"/>
      <c r="BU16" s="74" t="s">
        <v>1957</v>
      </c>
      <c r="BV16" s="73">
        <f t="shared" si="200"/>
        <v>12</v>
      </c>
      <c r="BW16" s="65"/>
      <c r="BX16" s="74" t="s">
        <v>1950</v>
      </c>
      <c r="BY16" s="73">
        <f t="shared" si="200"/>
        <v>0</v>
      </c>
      <c r="BZ16" s="65"/>
      <c r="CA16" s="74" t="s">
        <v>1954</v>
      </c>
      <c r="CB16" s="73">
        <f t="shared" si="200"/>
        <v>0</v>
      </c>
      <c r="CC16" s="65"/>
      <c r="CD16" s="74" t="s">
        <v>1950</v>
      </c>
      <c r="CE16" s="73">
        <f t="shared" si="200"/>
        <v>0</v>
      </c>
      <c r="CF16" s="65"/>
      <c r="CG16" s="74" t="s">
        <v>1954</v>
      </c>
      <c r="CH16" s="73">
        <f t="shared" si="200"/>
        <v>0</v>
      </c>
      <c r="CI16" s="65"/>
      <c r="CJ16" s="74" t="s">
        <v>1943</v>
      </c>
      <c r="CK16" s="73">
        <f t="shared" si="120"/>
        <v>0</v>
      </c>
      <c r="CL16" s="65"/>
      <c r="CM16" s="74" t="s">
        <v>1957</v>
      </c>
      <c r="CN16" s="73">
        <f t="shared" si="120"/>
        <v>12</v>
      </c>
      <c r="CO16" s="65"/>
      <c r="CP16" s="74" t="s">
        <v>1957</v>
      </c>
      <c r="CQ16" s="73">
        <f t="shared" si="120"/>
        <v>12</v>
      </c>
      <c r="CR16" s="65"/>
      <c r="CS16" s="74" t="s">
        <v>1953</v>
      </c>
      <c r="CT16" s="73">
        <f t="shared" si="120"/>
        <v>0</v>
      </c>
      <c r="CU16" s="65"/>
      <c r="CV16" s="74" t="s">
        <v>1954</v>
      </c>
      <c r="CW16" s="73">
        <f t="shared" si="120"/>
        <v>0</v>
      </c>
      <c r="CX16" s="65"/>
      <c r="CY16" s="74" t="s">
        <v>1946</v>
      </c>
      <c r="CZ16" s="73">
        <f t="shared" si="120"/>
        <v>0</v>
      </c>
      <c r="DA16" s="65"/>
      <c r="DB16" s="74" t="s">
        <v>1954</v>
      </c>
      <c r="DC16" s="73">
        <f t="shared" si="120"/>
        <v>0</v>
      </c>
      <c r="DD16" s="65"/>
      <c r="DE16" s="74" t="s">
        <v>1954</v>
      </c>
      <c r="DF16" s="73">
        <f t="shared" si="120"/>
        <v>0</v>
      </c>
      <c r="DG16" s="65"/>
      <c r="DH16" s="74" t="s">
        <v>1957</v>
      </c>
      <c r="DI16" s="73">
        <f t="shared" si="120"/>
        <v>12</v>
      </c>
      <c r="DJ16" s="65"/>
      <c r="DK16" s="74" t="s">
        <v>1954</v>
      </c>
      <c r="DL16" s="73">
        <f t="shared" si="120"/>
        <v>0</v>
      </c>
      <c r="DM16" s="65"/>
      <c r="DN16" s="74" t="s">
        <v>1954</v>
      </c>
      <c r="DO16" s="73">
        <f t="shared" si="120"/>
        <v>0</v>
      </c>
      <c r="DP16" s="65"/>
      <c r="DQ16" s="74" t="s">
        <v>1954</v>
      </c>
      <c r="DR16" s="73">
        <f t="shared" si="120"/>
        <v>0</v>
      </c>
      <c r="DS16" s="65"/>
      <c r="DT16" s="74" t="s">
        <v>1957</v>
      </c>
      <c r="DU16" s="73">
        <f t="shared" si="120"/>
        <v>12</v>
      </c>
      <c r="DV16" s="65"/>
      <c r="DW16" s="74" t="s">
        <v>1954</v>
      </c>
      <c r="DX16" s="73">
        <f t="shared" si="120"/>
        <v>0</v>
      </c>
      <c r="DY16" s="65"/>
      <c r="DZ16" s="74" t="s">
        <v>1954</v>
      </c>
      <c r="EA16" s="73">
        <f t="shared" si="120"/>
        <v>0</v>
      </c>
      <c r="EB16" s="65"/>
      <c r="EC16" s="74" t="s">
        <v>1957</v>
      </c>
      <c r="ED16" s="73">
        <f t="shared" si="120"/>
        <v>12</v>
      </c>
      <c r="EE16" s="65"/>
      <c r="EF16" s="74" t="s">
        <v>1954</v>
      </c>
      <c r="EG16" s="73">
        <f t="shared" si="120"/>
        <v>0</v>
      </c>
      <c r="EH16" s="65"/>
      <c r="EI16" s="74" t="s">
        <v>1954</v>
      </c>
      <c r="EJ16" s="73">
        <f t="shared" si="120"/>
        <v>0</v>
      </c>
      <c r="EK16" s="65"/>
      <c r="EL16" s="74" t="s">
        <v>1944</v>
      </c>
      <c r="EM16" s="73">
        <f t="shared" si="120"/>
        <v>20</v>
      </c>
      <c r="EN16" s="65"/>
      <c r="EO16" s="74" t="s">
        <v>1954</v>
      </c>
      <c r="EP16" s="73">
        <f t="shared" si="120"/>
        <v>0</v>
      </c>
      <c r="EQ16" s="65"/>
      <c r="ER16" s="74" t="s">
        <v>1954</v>
      </c>
      <c r="ES16" s="73">
        <f t="shared" si="120"/>
        <v>0</v>
      </c>
      <c r="ET16" s="65"/>
      <c r="EU16" s="74" t="s">
        <v>1954</v>
      </c>
      <c r="EV16" s="73">
        <f t="shared" si="120"/>
        <v>0</v>
      </c>
      <c r="EW16" s="65"/>
      <c r="EX16" s="74" t="s">
        <v>1957</v>
      </c>
      <c r="EY16" s="73">
        <f t="shared" si="142"/>
        <v>12</v>
      </c>
      <c r="EZ16" s="65"/>
      <c r="FA16" s="74" t="s">
        <v>1954</v>
      </c>
      <c r="FB16" s="73">
        <f t="shared" si="142"/>
        <v>0</v>
      </c>
      <c r="FC16" s="65"/>
      <c r="FD16" s="74" t="s">
        <v>1954</v>
      </c>
      <c r="FE16" s="73">
        <f t="shared" si="142"/>
        <v>0</v>
      </c>
      <c r="FF16" s="65"/>
      <c r="FG16" s="74" t="s">
        <v>1954</v>
      </c>
      <c r="FH16" s="73">
        <f t="shared" si="142"/>
        <v>0</v>
      </c>
      <c r="FI16" s="65"/>
      <c r="FJ16" s="74" t="s">
        <v>1954</v>
      </c>
      <c r="FK16" s="73">
        <f t="shared" si="142"/>
        <v>0</v>
      </c>
      <c r="FL16" s="65"/>
      <c r="FM16" s="74" t="s">
        <v>1954</v>
      </c>
      <c r="FN16" s="73">
        <f t="shared" si="142"/>
        <v>0</v>
      </c>
      <c r="FO16" s="65"/>
      <c r="FP16" s="74" t="s">
        <v>1959</v>
      </c>
      <c r="FQ16" s="73">
        <f t="shared" si="142"/>
        <v>0</v>
      </c>
      <c r="FR16" s="65"/>
      <c r="FS16" s="74" t="s">
        <v>1954</v>
      </c>
      <c r="FT16" s="73">
        <f t="shared" si="142"/>
        <v>0</v>
      </c>
      <c r="FU16" s="65"/>
      <c r="FV16" s="74" t="s">
        <v>1949</v>
      </c>
      <c r="FW16" s="73">
        <f t="shared" si="142"/>
        <v>0</v>
      </c>
      <c r="FX16" s="65"/>
      <c r="FY16" s="74" t="s">
        <v>1959</v>
      </c>
      <c r="FZ16" s="73">
        <f t="shared" si="142"/>
        <v>0</v>
      </c>
      <c r="GA16" s="65"/>
      <c r="GB16" s="74" t="s">
        <v>1954</v>
      </c>
      <c r="GC16" s="73">
        <f t="shared" si="142"/>
        <v>0</v>
      </c>
      <c r="GD16" s="65"/>
      <c r="GE16" s="74" t="s">
        <v>1954</v>
      </c>
      <c r="GF16" s="73">
        <f t="shared" si="142"/>
        <v>0</v>
      </c>
      <c r="GG16" s="65"/>
      <c r="GH16" s="74" t="s">
        <v>1949</v>
      </c>
      <c r="GI16" s="73">
        <f t="shared" si="142"/>
        <v>0</v>
      </c>
      <c r="GJ16" s="65"/>
      <c r="GK16" s="74" t="s">
        <v>1959</v>
      </c>
      <c r="GL16" s="73">
        <f t="shared" si="142"/>
        <v>0</v>
      </c>
      <c r="GM16" s="65"/>
      <c r="GN16" s="74"/>
      <c r="GO16" s="73">
        <f t="shared" si="142"/>
        <v>0</v>
      </c>
      <c r="GP16" s="65"/>
      <c r="GQ16" s="74"/>
      <c r="GR16" s="73">
        <f t="shared" si="142"/>
        <v>0</v>
      </c>
      <c r="GS16" s="65"/>
      <c r="GT16" s="74"/>
      <c r="GU16" s="73">
        <f t="shared" si="142"/>
        <v>0</v>
      </c>
      <c r="GV16" s="65"/>
      <c r="GW16" s="74"/>
      <c r="GX16" s="73">
        <f t="shared" si="142"/>
        <v>0</v>
      </c>
      <c r="GY16" s="65"/>
      <c r="GZ16" s="74"/>
      <c r="HA16" s="73">
        <f t="shared" si="142"/>
        <v>0</v>
      </c>
      <c r="HB16" s="65"/>
      <c r="HC16" s="74"/>
      <c r="HD16" s="73">
        <f t="shared" si="142"/>
        <v>0</v>
      </c>
      <c r="HE16" s="65"/>
      <c r="HF16" s="74"/>
      <c r="HG16" s="73">
        <f t="shared" si="142"/>
        <v>0</v>
      </c>
      <c r="HH16" s="65"/>
      <c r="HI16" s="74"/>
      <c r="HJ16" s="73">
        <f t="shared" si="142"/>
        <v>0</v>
      </c>
      <c r="HK16" s="65"/>
      <c r="HL16" s="74"/>
      <c r="HM16" s="73">
        <f t="shared" si="164"/>
        <v>0</v>
      </c>
      <c r="HN16" s="65"/>
      <c r="HO16" s="74"/>
      <c r="HP16" s="73">
        <f t="shared" si="164"/>
        <v>0</v>
      </c>
      <c r="HQ16" s="65"/>
      <c r="HR16" s="74"/>
      <c r="HS16" s="73">
        <f t="shared" si="164"/>
        <v>0</v>
      </c>
      <c r="HT16" s="65"/>
      <c r="HU16" s="74"/>
      <c r="HV16" s="73">
        <f t="shared" si="164"/>
        <v>0</v>
      </c>
      <c r="HW16" s="65"/>
      <c r="HX16" s="74"/>
      <c r="HY16" s="73">
        <f t="shared" si="164"/>
        <v>0</v>
      </c>
      <c r="HZ16" s="65"/>
      <c r="IA16" s="74"/>
      <c r="IB16" s="73">
        <f t="shared" si="164"/>
        <v>0</v>
      </c>
      <c r="IC16" s="65"/>
      <c r="ID16" s="74"/>
      <c r="IE16" s="73">
        <f t="shared" si="164"/>
        <v>0</v>
      </c>
      <c r="IF16" s="65"/>
      <c r="IG16" s="74"/>
      <c r="IH16" s="73">
        <f t="shared" si="164"/>
        <v>0</v>
      </c>
      <c r="II16" s="65"/>
      <c r="IJ16" s="74"/>
      <c r="IK16" s="73">
        <f t="shared" si="164"/>
        <v>0</v>
      </c>
      <c r="IL16" s="65"/>
      <c r="IM16" s="74"/>
      <c r="IN16" s="73">
        <f t="shared" si="164"/>
        <v>0</v>
      </c>
      <c r="IO16" s="65"/>
      <c r="IP16" s="74"/>
      <c r="IQ16" s="73">
        <f t="shared" si="164"/>
        <v>0</v>
      </c>
      <c r="IR16" s="65"/>
      <c r="IS16" s="74"/>
      <c r="IT16" s="73">
        <f t="shared" si="164"/>
        <v>0</v>
      </c>
      <c r="IU16" s="65"/>
      <c r="IV16" s="74"/>
      <c r="IW16" s="73">
        <f t="shared" si="164"/>
        <v>0</v>
      </c>
      <c r="IX16" s="65"/>
      <c r="IY16" s="74"/>
      <c r="IZ16" s="73">
        <f t="shared" si="164"/>
        <v>0</v>
      </c>
      <c r="JA16" s="65"/>
      <c r="JB16" s="74"/>
      <c r="JC16" s="73">
        <f t="shared" si="164"/>
        <v>0</v>
      </c>
      <c r="JD16" s="65"/>
      <c r="JE16" s="74"/>
      <c r="JF16" s="73">
        <f t="shared" si="164"/>
        <v>0</v>
      </c>
      <c r="JG16" s="65"/>
      <c r="JH16" s="74"/>
      <c r="JI16" s="73">
        <f t="shared" si="164"/>
        <v>0</v>
      </c>
      <c r="JJ16" s="65"/>
      <c r="JK16" s="74"/>
      <c r="JL16" s="73">
        <f t="shared" si="164"/>
        <v>0</v>
      </c>
      <c r="JM16" s="65"/>
      <c r="JN16" s="74"/>
      <c r="JO16" s="73">
        <f t="shared" si="164"/>
        <v>0</v>
      </c>
      <c r="JP16" s="65"/>
      <c r="JQ16" s="74"/>
      <c r="JR16" s="73">
        <f t="shared" si="164"/>
        <v>0</v>
      </c>
      <c r="JS16" s="65"/>
      <c r="JT16" s="74"/>
      <c r="JU16" s="73">
        <f t="shared" si="164"/>
        <v>0</v>
      </c>
      <c r="JV16" s="65"/>
      <c r="JW16" s="74"/>
      <c r="JX16" s="73">
        <f t="shared" si="164"/>
        <v>0</v>
      </c>
      <c r="JY16" s="65"/>
      <c r="JZ16" s="74"/>
      <c r="KA16" s="73">
        <f t="shared" si="186"/>
        <v>0</v>
      </c>
      <c r="KB16" s="65"/>
      <c r="KC16" s="74"/>
      <c r="KD16" s="73">
        <f t="shared" si="186"/>
        <v>0</v>
      </c>
      <c r="KE16" s="65"/>
      <c r="KF16" s="74"/>
      <c r="KG16" s="73">
        <f t="shared" si="186"/>
        <v>0</v>
      </c>
      <c r="KH16" s="65"/>
      <c r="KI16" s="74"/>
      <c r="KJ16" s="73">
        <f t="shared" si="186"/>
        <v>0</v>
      </c>
      <c r="KK16" s="65"/>
      <c r="KL16" s="74"/>
      <c r="KM16" s="73">
        <f t="shared" si="186"/>
        <v>0</v>
      </c>
      <c r="KN16" s="65"/>
      <c r="KO16" s="74"/>
      <c r="KP16" s="73">
        <f t="shared" si="186"/>
        <v>0</v>
      </c>
      <c r="KQ16" s="65"/>
      <c r="KR16" s="74"/>
      <c r="KS16" s="73">
        <f t="shared" si="186"/>
        <v>0</v>
      </c>
      <c r="KT16" s="65"/>
      <c r="KU16" s="74"/>
      <c r="KV16" s="73">
        <f t="shared" si="186"/>
        <v>0</v>
      </c>
      <c r="KW16" s="65"/>
      <c r="KX16" s="74"/>
      <c r="KY16" s="73">
        <f t="shared" si="186"/>
        <v>0</v>
      </c>
      <c r="KZ16" s="65"/>
      <c r="LA16" s="74"/>
      <c r="LB16" s="73">
        <f t="shared" si="186"/>
        <v>0</v>
      </c>
      <c r="LC16" s="65"/>
      <c r="LD16" s="74"/>
      <c r="LE16" s="73">
        <f t="shared" si="186"/>
        <v>0</v>
      </c>
      <c r="LF16" s="65"/>
      <c r="LG16" s="65"/>
    </row>
    <row r="17" spans="1:319">
      <c r="A17" s="49"/>
      <c r="B17" s="49"/>
      <c r="C17" s="438" t="str">
        <f>Idiomas!D313&amp;"**"</f>
        <v>ROUND OF 32 - Goal Difference (with 1X2 correct)**</v>
      </c>
      <c r="D17" s="44">
        <v>2</v>
      </c>
      <c r="E17" s="111"/>
      <c r="F17" s="445">
        <f t="shared" si="197"/>
        <v>20</v>
      </c>
      <c r="G17" s="445">
        <f ca="1">VLOOKUP(H17,Equipos!$Q$1:$R$25,2,0)</f>
        <v>5</v>
      </c>
      <c r="H17" s="446">
        <f ca="1">TRUNC(INDEX(WORLDCUP!$X$4:$X$147,MATCH(ADMIN!K17,WORLDCUP!$DT$4:$DT$147,0))+INDEX(Horarios!$R$3:$R$86,MATCH(Horarios!$C$3,Horarios!$P$3:$P$86,0))/24)</f>
        <v>46188</v>
      </c>
      <c r="I17" s="48">
        <v>1</v>
      </c>
      <c r="J17" s="96" t="s">
        <v>117</v>
      </c>
      <c r="K17" s="53" t="str">
        <f ca="1">CONCATENATE(WORLDCUP!AA45,"-",WORLDCUP!AF45)</f>
        <v>Sweden-Tunisia</v>
      </c>
      <c r="L17" s="53"/>
      <c r="M17" s="55" t="str">
        <f>IF(OR(WORLDCUP!AC45="",WORLDCUP!AD45=""),"-",N17&amp;"|"&amp;O17&amp;"-"&amp;P17)</f>
        <v>1|5-1</v>
      </c>
      <c r="N17" s="25" t="str">
        <f>IF(OR(WORLDCUP!AC45="",WORLDCUP!AD45=""),"",IF(WORLDCUP!AC45&gt;WORLDCUP!AD45,"1",IF(WORLDCUP!AC45&lt;WORLDCUP!AD45,"2","X")))</f>
        <v>1</v>
      </c>
      <c r="O17" s="25">
        <f>WORLDCUP!AC45</f>
        <v>5</v>
      </c>
      <c r="P17" s="25">
        <f>WORLDCUP!AD45</f>
        <v>1</v>
      </c>
      <c r="Q17" s="25">
        <f t="shared" si="201"/>
        <v>4</v>
      </c>
      <c r="R17" s="49"/>
      <c r="S17" s="74" t="s">
        <v>1950</v>
      </c>
      <c r="T17" s="73">
        <f t="shared" si="198"/>
        <v>10</v>
      </c>
      <c r="U17" s="65"/>
      <c r="V17" s="74" t="s">
        <v>1958</v>
      </c>
      <c r="W17" s="73">
        <f t="shared" si="199"/>
        <v>10</v>
      </c>
      <c r="X17" s="65"/>
      <c r="Y17" s="74" t="s">
        <v>1959</v>
      </c>
      <c r="Z17" s="73">
        <f t="shared" si="200"/>
        <v>10</v>
      </c>
      <c r="AA17" s="65"/>
      <c r="AB17" s="74" t="s">
        <v>1959</v>
      </c>
      <c r="AC17" s="73">
        <f t="shared" si="200"/>
        <v>10</v>
      </c>
      <c r="AD17" s="65"/>
      <c r="AE17" s="74" t="s">
        <v>1950</v>
      </c>
      <c r="AF17" s="73">
        <f t="shared" si="200"/>
        <v>10</v>
      </c>
      <c r="AG17" s="65"/>
      <c r="AH17" s="74" t="s">
        <v>1950</v>
      </c>
      <c r="AI17" s="73">
        <f t="shared" si="200"/>
        <v>10</v>
      </c>
      <c r="AJ17" s="65"/>
      <c r="AK17" s="74" t="s">
        <v>1950</v>
      </c>
      <c r="AL17" s="73">
        <f t="shared" si="200"/>
        <v>10</v>
      </c>
      <c r="AM17" s="65"/>
      <c r="AN17" s="74" t="s">
        <v>2133</v>
      </c>
      <c r="AO17" s="73">
        <f t="shared" si="200"/>
        <v>0</v>
      </c>
      <c r="AP17" s="65"/>
      <c r="AQ17" s="74" t="s">
        <v>1958</v>
      </c>
      <c r="AR17" s="73">
        <f t="shared" si="200"/>
        <v>10</v>
      </c>
      <c r="AS17" s="65"/>
      <c r="AT17" s="74" t="s">
        <v>1954</v>
      </c>
      <c r="AU17" s="73">
        <f t="shared" si="200"/>
        <v>10</v>
      </c>
      <c r="AV17" s="65"/>
      <c r="AW17" s="74" t="s">
        <v>1954</v>
      </c>
      <c r="AX17" s="73">
        <f t="shared" si="200"/>
        <v>10</v>
      </c>
      <c r="AY17" s="65"/>
      <c r="AZ17" s="74" t="s">
        <v>1954</v>
      </c>
      <c r="BA17" s="73">
        <f t="shared" si="200"/>
        <v>10</v>
      </c>
      <c r="BB17" s="65"/>
      <c r="BC17" s="74" t="s">
        <v>1957</v>
      </c>
      <c r="BD17" s="73">
        <f t="shared" si="200"/>
        <v>0</v>
      </c>
      <c r="BE17" s="65"/>
      <c r="BF17" s="74" t="s">
        <v>1950</v>
      </c>
      <c r="BG17" s="73">
        <f t="shared" si="200"/>
        <v>10</v>
      </c>
      <c r="BH17" s="65"/>
      <c r="BI17" s="74" t="s">
        <v>2133</v>
      </c>
      <c r="BJ17" s="73">
        <f t="shared" si="200"/>
        <v>0</v>
      </c>
      <c r="BK17" s="65"/>
      <c r="BL17" s="74" t="s">
        <v>1959</v>
      </c>
      <c r="BM17" s="73">
        <f t="shared" si="200"/>
        <v>10</v>
      </c>
      <c r="BN17" s="65"/>
      <c r="BO17" s="74" t="s">
        <v>1950</v>
      </c>
      <c r="BP17" s="73">
        <f t="shared" si="200"/>
        <v>10</v>
      </c>
      <c r="BQ17" s="65"/>
      <c r="BR17" s="74" t="s">
        <v>1950</v>
      </c>
      <c r="BS17" s="73">
        <f t="shared" si="200"/>
        <v>10</v>
      </c>
      <c r="BT17" s="65"/>
      <c r="BU17" s="74" t="s">
        <v>1954</v>
      </c>
      <c r="BV17" s="73">
        <f t="shared" si="200"/>
        <v>10</v>
      </c>
      <c r="BW17" s="65"/>
      <c r="BX17" s="74" t="s">
        <v>1959</v>
      </c>
      <c r="BY17" s="73">
        <f t="shared" si="200"/>
        <v>10</v>
      </c>
      <c r="BZ17" s="65"/>
      <c r="CA17" s="74" t="s">
        <v>1950</v>
      </c>
      <c r="CB17" s="73">
        <f t="shared" si="200"/>
        <v>10</v>
      </c>
      <c r="CC17" s="65"/>
      <c r="CD17" s="74" t="s">
        <v>1959</v>
      </c>
      <c r="CE17" s="73">
        <f t="shared" si="200"/>
        <v>10</v>
      </c>
      <c r="CF17" s="65"/>
      <c r="CG17" s="74" t="s">
        <v>1950</v>
      </c>
      <c r="CH17" s="73">
        <f t="shared" si="200"/>
        <v>10</v>
      </c>
      <c r="CI17" s="65"/>
      <c r="CJ17" s="74" t="s">
        <v>1954</v>
      </c>
      <c r="CK17" s="73">
        <f t="shared" si="120"/>
        <v>10</v>
      </c>
      <c r="CL17" s="65"/>
      <c r="CM17" s="74" t="s">
        <v>1950</v>
      </c>
      <c r="CN17" s="73">
        <f t="shared" si="120"/>
        <v>10</v>
      </c>
      <c r="CO17" s="65"/>
      <c r="CP17" s="74" t="s">
        <v>1950</v>
      </c>
      <c r="CQ17" s="73">
        <f t="shared" si="120"/>
        <v>10</v>
      </c>
      <c r="CR17" s="65"/>
      <c r="CS17" s="74" t="s">
        <v>1949</v>
      </c>
      <c r="CT17" s="73">
        <f t="shared" si="120"/>
        <v>10</v>
      </c>
      <c r="CU17" s="65"/>
      <c r="CV17" s="74" t="s">
        <v>1944</v>
      </c>
      <c r="CW17" s="73">
        <f t="shared" si="120"/>
        <v>0</v>
      </c>
      <c r="CX17" s="65"/>
      <c r="CY17" s="74" t="s">
        <v>2633</v>
      </c>
      <c r="CZ17" s="73">
        <f t="shared" si="120"/>
        <v>10</v>
      </c>
      <c r="DA17" s="65"/>
      <c r="DB17" s="74" t="s">
        <v>1959</v>
      </c>
      <c r="DC17" s="73">
        <f t="shared" si="120"/>
        <v>10</v>
      </c>
      <c r="DD17" s="65"/>
      <c r="DE17" s="74" t="s">
        <v>1949</v>
      </c>
      <c r="DF17" s="73">
        <f t="shared" si="120"/>
        <v>10</v>
      </c>
      <c r="DG17" s="65"/>
      <c r="DH17" s="74" t="s">
        <v>1950</v>
      </c>
      <c r="DI17" s="73">
        <f t="shared" si="120"/>
        <v>10</v>
      </c>
      <c r="DJ17" s="65"/>
      <c r="DK17" s="74" t="s">
        <v>1950</v>
      </c>
      <c r="DL17" s="73">
        <f t="shared" si="120"/>
        <v>10</v>
      </c>
      <c r="DM17" s="65"/>
      <c r="DN17" s="74" t="s">
        <v>1949</v>
      </c>
      <c r="DO17" s="73">
        <f t="shared" si="120"/>
        <v>10</v>
      </c>
      <c r="DP17" s="65"/>
      <c r="DQ17" s="74" t="s">
        <v>1957</v>
      </c>
      <c r="DR17" s="73">
        <f t="shared" si="120"/>
        <v>0</v>
      </c>
      <c r="DS17" s="65"/>
      <c r="DT17" s="74" t="s">
        <v>1950</v>
      </c>
      <c r="DU17" s="73">
        <f t="shared" si="120"/>
        <v>10</v>
      </c>
      <c r="DV17" s="65"/>
      <c r="DW17" s="74" t="s">
        <v>1950</v>
      </c>
      <c r="DX17" s="73">
        <f t="shared" si="120"/>
        <v>10</v>
      </c>
      <c r="DY17" s="65"/>
      <c r="DZ17" s="74" t="s">
        <v>1950</v>
      </c>
      <c r="EA17" s="73">
        <f t="shared" si="120"/>
        <v>10</v>
      </c>
      <c r="EB17" s="65"/>
      <c r="EC17" s="74" t="s">
        <v>1950</v>
      </c>
      <c r="ED17" s="73">
        <f t="shared" si="120"/>
        <v>10</v>
      </c>
      <c r="EE17" s="65"/>
      <c r="EF17" s="74" t="s">
        <v>1959</v>
      </c>
      <c r="EG17" s="73">
        <f t="shared" si="120"/>
        <v>10</v>
      </c>
      <c r="EH17" s="65"/>
      <c r="EI17" s="74" t="s">
        <v>1959</v>
      </c>
      <c r="EJ17" s="73">
        <f t="shared" si="120"/>
        <v>10</v>
      </c>
      <c r="EK17" s="65"/>
      <c r="EL17" s="74" t="s">
        <v>1954</v>
      </c>
      <c r="EM17" s="73">
        <f t="shared" si="120"/>
        <v>10</v>
      </c>
      <c r="EN17" s="65"/>
      <c r="EO17" s="74" t="s">
        <v>1950</v>
      </c>
      <c r="EP17" s="73">
        <f t="shared" si="120"/>
        <v>10</v>
      </c>
      <c r="EQ17" s="65"/>
      <c r="ER17" s="74" t="s">
        <v>1959</v>
      </c>
      <c r="ES17" s="73">
        <f t="shared" si="120"/>
        <v>10</v>
      </c>
      <c r="ET17" s="65"/>
      <c r="EU17" s="74" t="s">
        <v>1950</v>
      </c>
      <c r="EV17" s="73">
        <f t="shared" si="120"/>
        <v>10</v>
      </c>
      <c r="EW17" s="65"/>
      <c r="EX17" s="74" t="s">
        <v>1954</v>
      </c>
      <c r="EY17" s="73">
        <f t="shared" si="142"/>
        <v>10</v>
      </c>
      <c r="EZ17" s="65"/>
      <c r="FA17" s="74" t="s">
        <v>1959</v>
      </c>
      <c r="FB17" s="73">
        <f t="shared" si="142"/>
        <v>10</v>
      </c>
      <c r="FC17" s="65"/>
      <c r="FD17" s="74" t="s">
        <v>1954</v>
      </c>
      <c r="FE17" s="73">
        <f t="shared" si="142"/>
        <v>10</v>
      </c>
      <c r="FF17" s="65"/>
      <c r="FG17" s="74" t="s">
        <v>1958</v>
      </c>
      <c r="FH17" s="73">
        <f t="shared" si="142"/>
        <v>10</v>
      </c>
      <c r="FI17" s="65"/>
      <c r="FJ17" s="74" t="s">
        <v>1959</v>
      </c>
      <c r="FK17" s="73">
        <f t="shared" si="142"/>
        <v>10</v>
      </c>
      <c r="FL17" s="65"/>
      <c r="FM17" s="74" t="s">
        <v>1950</v>
      </c>
      <c r="FN17" s="73">
        <f t="shared" si="142"/>
        <v>10</v>
      </c>
      <c r="FO17" s="65"/>
      <c r="FP17" s="74" t="s">
        <v>1950</v>
      </c>
      <c r="FQ17" s="73">
        <f t="shared" si="142"/>
        <v>10</v>
      </c>
      <c r="FR17" s="65"/>
      <c r="FS17" s="74" t="s">
        <v>1959</v>
      </c>
      <c r="FT17" s="73">
        <f t="shared" si="142"/>
        <v>10</v>
      </c>
      <c r="FU17" s="65"/>
      <c r="FV17" s="74" t="s">
        <v>1957</v>
      </c>
      <c r="FW17" s="73">
        <f t="shared" si="142"/>
        <v>0</v>
      </c>
      <c r="FX17" s="65"/>
      <c r="FY17" s="74" t="s">
        <v>1959</v>
      </c>
      <c r="FZ17" s="73">
        <f t="shared" si="142"/>
        <v>10</v>
      </c>
      <c r="GA17" s="65"/>
      <c r="GB17" s="74" t="s">
        <v>1950</v>
      </c>
      <c r="GC17" s="73">
        <f t="shared" si="142"/>
        <v>10</v>
      </c>
      <c r="GD17" s="65"/>
      <c r="GE17" s="74" t="s">
        <v>1959</v>
      </c>
      <c r="GF17" s="73">
        <f t="shared" si="142"/>
        <v>10</v>
      </c>
      <c r="GG17" s="65"/>
      <c r="GH17" s="74" t="s">
        <v>1950</v>
      </c>
      <c r="GI17" s="73">
        <f t="shared" si="142"/>
        <v>10</v>
      </c>
      <c r="GJ17" s="65"/>
      <c r="GK17" s="74" t="s">
        <v>1959</v>
      </c>
      <c r="GL17" s="73">
        <f t="shared" si="142"/>
        <v>10</v>
      </c>
      <c r="GM17" s="65"/>
      <c r="GN17" s="74"/>
      <c r="GO17" s="73">
        <f t="shared" si="142"/>
        <v>0</v>
      </c>
      <c r="GP17" s="65"/>
      <c r="GQ17" s="74"/>
      <c r="GR17" s="73">
        <f t="shared" si="142"/>
        <v>0</v>
      </c>
      <c r="GS17" s="65"/>
      <c r="GT17" s="74"/>
      <c r="GU17" s="73">
        <f t="shared" si="142"/>
        <v>0</v>
      </c>
      <c r="GV17" s="65"/>
      <c r="GW17" s="74"/>
      <c r="GX17" s="73">
        <f t="shared" si="142"/>
        <v>0</v>
      </c>
      <c r="GY17" s="65"/>
      <c r="GZ17" s="74"/>
      <c r="HA17" s="73">
        <f t="shared" si="142"/>
        <v>0</v>
      </c>
      <c r="HB17" s="65"/>
      <c r="HC17" s="74"/>
      <c r="HD17" s="73">
        <f t="shared" si="142"/>
        <v>0</v>
      </c>
      <c r="HE17" s="65"/>
      <c r="HF17" s="74"/>
      <c r="HG17" s="73">
        <f t="shared" si="142"/>
        <v>0</v>
      </c>
      <c r="HH17" s="65"/>
      <c r="HI17" s="74"/>
      <c r="HJ17" s="73">
        <f t="shared" si="142"/>
        <v>0</v>
      </c>
      <c r="HK17" s="65"/>
      <c r="HL17" s="74"/>
      <c r="HM17" s="73">
        <f t="shared" si="164"/>
        <v>0</v>
      </c>
      <c r="HN17" s="65"/>
      <c r="HO17" s="74"/>
      <c r="HP17" s="73">
        <f t="shared" si="164"/>
        <v>0</v>
      </c>
      <c r="HQ17" s="65"/>
      <c r="HR17" s="74"/>
      <c r="HS17" s="73">
        <f t="shared" si="164"/>
        <v>0</v>
      </c>
      <c r="HT17" s="65"/>
      <c r="HU17" s="74"/>
      <c r="HV17" s="73">
        <f t="shared" si="164"/>
        <v>0</v>
      </c>
      <c r="HW17" s="65"/>
      <c r="HX17" s="74"/>
      <c r="HY17" s="73">
        <f t="shared" si="164"/>
        <v>0</v>
      </c>
      <c r="HZ17" s="65"/>
      <c r="IA17" s="74"/>
      <c r="IB17" s="73">
        <f t="shared" si="164"/>
        <v>0</v>
      </c>
      <c r="IC17" s="65"/>
      <c r="ID17" s="74"/>
      <c r="IE17" s="73">
        <f t="shared" si="164"/>
        <v>0</v>
      </c>
      <c r="IF17" s="65"/>
      <c r="IG17" s="74"/>
      <c r="IH17" s="73">
        <f t="shared" si="164"/>
        <v>0</v>
      </c>
      <c r="II17" s="65"/>
      <c r="IJ17" s="74"/>
      <c r="IK17" s="73">
        <f t="shared" si="164"/>
        <v>0</v>
      </c>
      <c r="IL17" s="65"/>
      <c r="IM17" s="74"/>
      <c r="IN17" s="73">
        <f t="shared" si="164"/>
        <v>0</v>
      </c>
      <c r="IO17" s="65"/>
      <c r="IP17" s="74"/>
      <c r="IQ17" s="73">
        <f t="shared" si="164"/>
        <v>0</v>
      </c>
      <c r="IR17" s="65"/>
      <c r="IS17" s="74"/>
      <c r="IT17" s="73">
        <f t="shared" si="164"/>
        <v>0</v>
      </c>
      <c r="IU17" s="65"/>
      <c r="IV17" s="74"/>
      <c r="IW17" s="73">
        <f t="shared" si="164"/>
        <v>0</v>
      </c>
      <c r="IX17" s="65"/>
      <c r="IY17" s="74"/>
      <c r="IZ17" s="73">
        <f t="shared" si="164"/>
        <v>0</v>
      </c>
      <c r="JA17" s="65"/>
      <c r="JB17" s="74"/>
      <c r="JC17" s="73">
        <f t="shared" si="164"/>
        <v>0</v>
      </c>
      <c r="JD17" s="65"/>
      <c r="JE17" s="74"/>
      <c r="JF17" s="73">
        <f t="shared" si="164"/>
        <v>0</v>
      </c>
      <c r="JG17" s="65"/>
      <c r="JH17" s="74"/>
      <c r="JI17" s="73">
        <f t="shared" si="164"/>
        <v>0</v>
      </c>
      <c r="JJ17" s="65"/>
      <c r="JK17" s="74"/>
      <c r="JL17" s="73">
        <f t="shared" si="164"/>
        <v>0</v>
      </c>
      <c r="JM17" s="65"/>
      <c r="JN17" s="74"/>
      <c r="JO17" s="73">
        <f t="shared" si="164"/>
        <v>0</v>
      </c>
      <c r="JP17" s="65"/>
      <c r="JQ17" s="74"/>
      <c r="JR17" s="73">
        <f t="shared" si="164"/>
        <v>0</v>
      </c>
      <c r="JS17" s="65"/>
      <c r="JT17" s="74"/>
      <c r="JU17" s="73">
        <f t="shared" si="164"/>
        <v>0</v>
      </c>
      <c r="JV17" s="65"/>
      <c r="JW17" s="74"/>
      <c r="JX17" s="73">
        <f t="shared" si="164"/>
        <v>0</v>
      </c>
      <c r="JY17" s="65"/>
      <c r="JZ17" s="74"/>
      <c r="KA17" s="73">
        <f t="shared" si="186"/>
        <v>0</v>
      </c>
      <c r="KB17" s="65"/>
      <c r="KC17" s="74"/>
      <c r="KD17" s="73">
        <f t="shared" si="186"/>
        <v>0</v>
      </c>
      <c r="KE17" s="65"/>
      <c r="KF17" s="74"/>
      <c r="KG17" s="73">
        <f t="shared" si="186"/>
        <v>0</v>
      </c>
      <c r="KH17" s="65"/>
      <c r="KI17" s="74"/>
      <c r="KJ17" s="73">
        <f t="shared" si="186"/>
        <v>0</v>
      </c>
      <c r="KK17" s="65"/>
      <c r="KL17" s="74"/>
      <c r="KM17" s="73">
        <f t="shared" si="186"/>
        <v>0</v>
      </c>
      <c r="KN17" s="65"/>
      <c r="KO17" s="74"/>
      <c r="KP17" s="73">
        <f t="shared" si="186"/>
        <v>0</v>
      </c>
      <c r="KQ17" s="65"/>
      <c r="KR17" s="74"/>
      <c r="KS17" s="73">
        <f t="shared" si="186"/>
        <v>0</v>
      </c>
      <c r="KT17" s="65"/>
      <c r="KU17" s="74"/>
      <c r="KV17" s="73">
        <f t="shared" si="186"/>
        <v>0</v>
      </c>
      <c r="KW17" s="65"/>
      <c r="KX17" s="74"/>
      <c r="KY17" s="73">
        <f t="shared" si="186"/>
        <v>0</v>
      </c>
      <c r="KZ17" s="65"/>
      <c r="LA17" s="74"/>
      <c r="LB17" s="73">
        <f t="shared" si="186"/>
        <v>0</v>
      </c>
      <c r="LC17" s="65"/>
      <c r="LD17" s="74"/>
      <c r="LE17" s="73">
        <f t="shared" si="186"/>
        <v>0</v>
      </c>
      <c r="LF17" s="65"/>
      <c r="LG17" s="65"/>
    </row>
    <row r="18" spans="1:319">
      <c r="A18" s="49"/>
      <c r="B18" s="49"/>
      <c r="C18" s="437" t="str">
        <f>Idiomas!D314</f>
        <v>ROUND OF 32 - Exact Result</v>
      </c>
      <c r="D18" s="62">
        <v>8</v>
      </c>
      <c r="E18" s="111"/>
      <c r="F18" s="445">
        <f t="shared" si="197"/>
        <v>20</v>
      </c>
      <c r="G18" s="445">
        <f ca="1">VLOOKUP(H18,Equipos!$Q$1:$R$25,2,0)</f>
        <v>5</v>
      </c>
      <c r="H18" s="446">
        <f ca="1">TRUNC(INDEX(WORLDCUP!$X$4:$X$147,MATCH(ADMIN!K18,WORLDCUP!$DT$4:$DT$147,0))+INDEX(Horarios!$R$3:$R$86,MATCH(Horarios!$C$3,Horarios!$P$3:$P$86,0))/24)</f>
        <v>46188</v>
      </c>
      <c r="I18" s="48">
        <v>1</v>
      </c>
      <c r="J18" s="95" t="s">
        <v>510</v>
      </c>
      <c r="K18" s="56" t="str">
        <f ca="1">CONCATENATE(WORLDCUP!AA52,"-",WORLDCUP!AF52)</f>
        <v>Belgium-Egypt</v>
      </c>
      <c r="L18" s="53"/>
      <c r="M18" s="55" t="str">
        <f>IF(OR(WORLDCUP!AC52="",WORLDCUP!AD52=""),"-",N18&amp;"|"&amp;O18&amp;"-"&amp;P18)</f>
        <v>X|1-1</v>
      </c>
      <c r="N18" s="25" t="str">
        <f>IF(OR(WORLDCUP!AC52="",WORLDCUP!AD52=""),"",IF(WORLDCUP!AC52&gt;WORLDCUP!AD52,"1",IF(WORLDCUP!AC52&lt;WORLDCUP!AD52,"2","X")))</f>
        <v>X</v>
      </c>
      <c r="O18" s="25">
        <f>WORLDCUP!AC52</f>
        <v>1</v>
      </c>
      <c r="P18" s="25">
        <f>WORLDCUP!AD52</f>
        <v>1</v>
      </c>
      <c r="Q18" s="25">
        <f t="shared" si="201"/>
        <v>0</v>
      </c>
      <c r="R18" s="49"/>
      <c r="S18" s="74" t="s">
        <v>1949</v>
      </c>
      <c r="T18" s="73">
        <f t="shared" si="198"/>
        <v>0</v>
      </c>
      <c r="U18" s="65"/>
      <c r="V18" s="74" t="s">
        <v>1950</v>
      </c>
      <c r="W18" s="73">
        <f t="shared" si="199"/>
        <v>0</v>
      </c>
      <c r="X18" s="65"/>
      <c r="Y18" s="74" t="s">
        <v>1954</v>
      </c>
      <c r="Z18" s="73">
        <f t="shared" si="200"/>
        <v>0</v>
      </c>
      <c r="AA18" s="65"/>
      <c r="AB18" s="74" t="s">
        <v>1957</v>
      </c>
      <c r="AC18" s="73">
        <f t="shared" si="200"/>
        <v>20</v>
      </c>
      <c r="AD18" s="65"/>
      <c r="AE18" s="74" t="s">
        <v>1954</v>
      </c>
      <c r="AF18" s="73">
        <f t="shared" si="200"/>
        <v>0</v>
      </c>
      <c r="AG18" s="65"/>
      <c r="AH18" s="74" t="s">
        <v>1943</v>
      </c>
      <c r="AI18" s="73">
        <f t="shared" si="200"/>
        <v>0</v>
      </c>
      <c r="AJ18" s="65"/>
      <c r="AK18" s="74" t="s">
        <v>1950</v>
      </c>
      <c r="AL18" s="73">
        <f t="shared" si="200"/>
        <v>0</v>
      </c>
      <c r="AM18" s="65"/>
      <c r="AN18" s="74" t="s">
        <v>1944</v>
      </c>
      <c r="AO18" s="73">
        <f t="shared" si="200"/>
        <v>12</v>
      </c>
      <c r="AP18" s="65"/>
      <c r="AQ18" s="74" t="s">
        <v>1954</v>
      </c>
      <c r="AR18" s="73">
        <f t="shared" si="200"/>
        <v>0</v>
      </c>
      <c r="AS18" s="65"/>
      <c r="AT18" s="74" t="s">
        <v>1954</v>
      </c>
      <c r="AU18" s="73">
        <f t="shared" si="200"/>
        <v>0</v>
      </c>
      <c r="AV18" s="65"/>
      <c r="AW18" s="74" t="s">
        <v>1954</v>
      </c>
      <c r="AX18" s="73">
        <f t="shared" si="200"/>
        <v>0</v>
      </c>
      <c r="AY18" s="65"/>
      <c r="AZ18" s="74" t="s">
        <v>1950</v>
      </c>
      <c r="BA18" s="73">
        <f t="shared" si="200"/>
        <v>0</v>
      </c>
      <c r="BB18" s="65"/>
      <c r="BC18" s="74" t="s">
        <v>1954</v>
      </c>
      <c r="BD18" s="73">
        <f t="shared" si="200"/>
        <v>0</v>
      </c>
      <c r="BE18" s="65"/>
      <c r="BF18" s="74" t="s">
        <v>1959</v>
      </c>
      <c r="BG18" s="73">
        <f t="shared" ref="BG18:DR29" si="202">IFERROR(IF($M18=BF18,($D$8+$D$9+$D$10)*$I18,IF($N18=LEFT(BF18,1),($D$8+MAX(0,IF($D$50=1,$D$9*(1-(ABS($Q18-ABS(VALUE(MID(BF18,FIND("|",BF18)+1,FIND("-",BF18)-FIND("|",BF18)-1))-VALUE(MID(BF18,FIND("-",BF18)+1,10)))))*$D$50),$D$9*(1-(IF($N18="X",ABS($O18-VALUE(MID(BF18,FIND("|",BF18)+1,FIND("-",BF18)-FIND("|",BF18)-1))),ABS($Q18-ABS(VALUE(MID(BF18,FIND("|",BF18)+1,FIND("-",BF18)-FIND("|",BF18)-1))-VALUE(MID(BF18,FIND("-",BF18)+1,10)))))*$D$50)))))*$I18,0)),0)</f>
        <v>0</v>
      </c>
      <c r="BH18" s="65"/>
      <c r="BI18" s="74" t="s">
        <v>1955</v>
      </c>
      <c r="BJ18" s="73">
        <f t="shared" si="202"/>
        <v>0</v>
      </c>
      <c r="BK18" s="65"/>
      <c r="BL18" s="74" t="s">
        <v>1954</v>
      </c>
      <c r="BM18" s="73">
        <f t="shared" si="202"/>
        <v>0</v>
      </c>
      <c r="BN18" s="65"/>
      <c r="BO18" s="74" t="s">
        <v>1944</v>
      </c>
      <c r="BP18" s="73">
        <f t="shared" si="202"/>
        <v>12</v>
      </c>
      <c r="BQ18" s="65"/>
      <c r="BR18" s="74" t="s">
        <v>1960</v>
      </c>
      <c r="BS18" s="73">
        <f t="shared" si="202"/>
        <v>0</v>
      </c>
      <c r="BT18" s="65"/>
      <c r="BU18" s="74" t="s">
        <v>1950</v>
      </c>
      <c r="BV18" s="73">
        <f t="shared" si="202"/>
        <v>0</v>
      </c>
      <c r="BW18" s="65"/>
      <c r="BX18" s="74" t="s">
        <v>1959</v>
      </c>
      <c r="BY18" s="73">
        <f t="shared" si="202"/>
        <v>0</v>
      </c>
      <c r="BZ18" s="65"/>
      <c r="CA18" s="74" t="s">
        <v>1950</v>
      </c>
      <c r="CB18" s="73">
        <f t="shared" si="202"/>
        <v>0</v>
      </c>
      <c r="CC18" s="65"/>
      <c r="CD18" s="74" t="s">
        <v>1957</v>
      </c>
      <c r="CE18" s="73">
        <f t="shared" si="202"/>
        <v>20</v>
      </c>
      <c r="CF18" s="65"/>
      <c r="CG18" s="74" t="s">
        <v>1954</v>
      </c>
      <c r="CH18" s="73">
        <f t="shared" si="202"/>
        <v>0</v>
      </c>
      <c r="CI18" s="65"/>
      <c r="CJ18" s="74" t="s">
        <v>1954</v>
      </c>
      <c r="CK18" s="73">
        <f t="shared" si="202"/>
        <v>0</v>
      </c>
      <c r="CL18" s="65"/>
      <c r="CM18" s="74" t="s">
        <v>1957</v>
      </c>
      <c r="CN18" s="73">
        <f t="shared" si="202"/>
        <v>20</v>
      </c>
      <c r="CO18" s="65"/>
      <c r="CP18" s="74" t="s">
        <v>1954</v>
      </c>
      <c r="CQ18" s="73">
        <f t="shared" si="202"/>
        <v>0</v>
      </c>
      <c r="CR18" s="65"/>
      <c r="CS18" s="74" t="s">
        <v>1944</v>
      </c>
      <c r="CT18" s="73">
        <f t="shared" si="202"/>
        <v>12</v>
      </c>
      <c r="CU18" s="65"/>
      <c r="CV18" s="74" t="s">
        <v>1949</v>
      </c>
      <c r="CW18" s="73">
        <f t="shared" si="202"/>
        <v>0</v>
      </c>
      <c r="CX18" s="65"/>
      <c r="CY18" s="74" t="s">
        <v>1949</v>
      </c>
      <c r="CZ18" s="73">
        <f t="shared" si="202"/>
        <v>0</v>
      </c>
      <c r="DA18" s="65"/>
      <c r="DB18" s="74" t="s">
        <v>1949</v>
      </c>
      <c r="DC18" s="73">
        <f t="shared" si="202"/>
        <v>0</v>
      </c>
      <c r="DD18" s="65"/>
      <c r="DE18" s="74" t="s">
        <v>1954</v>
      </c>
      <c r="DF18" s="73">
        <f t="shared" si="202"/>
        <v>0</v>
      </c>
      <c r="DG18" s="65"/>
      <c r="DH18" s="74" t="s">
        <v>1950</v>
      </c>
      <c r="DI18" s="73">
        <f t="shared" si="202"/>
        <v>0</v>
      </c>
      <c r="DJ18" s="65"/>
      <c r="DK18" s="74" t="s">
        <v>1950</v>
      </c>
      <c r="DL18" s="73">
        <f t="shared" si="202"/>
        <v>0</v>
      </c>
      <c r="DM18" s="65"/>
      <c r="DN18" s="74" t="s">
        <v>1954</v>
      </c>
      <c r="DO18" s="73">
        <f t="shared" si="202"/>
        <v>0</v>
      </c>
      <c r="DP18" s="65"/>
      <c r="DQ18" s="74" t="s">
        <v>1950</v>
      </c>
      <c r="DR18" s="73">
        <f t="shared" si="202"/>
        <v>0</v>
      </c>
      <c r="DS18" s="65"/>
      <c r="DT18" s="74" t="s">
        <v>1954</v>
      </c>
      <c r="DU18" s="73">
        <f t="shared" si="120"/>
        <v>0</v>
      </c>
      <c r="DV18" s="65"/>
      <c r="DW18" s="74" t="s">
        <v>1954</v>
      </c>
      <c r="DX18" s="73">
        <f t="shared" si="120"/>
        <v>0</v>
      </c>
      <c r="DY18" s="65"/>
      <c r="DZ18" s="74" t="s">
        <v>1950</v>
      </c>
      <c r="EA18" s="73">
        <f t="shared" si="120"/>
        <v>0</v>
      </c>
      <c r="EB18" s="65"/>
      <c r="EC18" s="74" t="s">
        <v>1957</v>
      </c>
      <c r="ED18" s="73">
        <f t="shared" si="120"/>
        <v>20</v>
      </c>
      <c r="EE18" s="65"/>
      <c r="EF18" s="74" t="s">
        <v>1955</v>
      </c>
      <c r="EG18" s="73">
        <f t="shared" si="120"/>
        <v>0</v>
      </c>
      <c r="EH18" s="65"/>
      <c r="EI18" s="74" t="s">
        <v>1949</v>
      </c>
      <c r="EJ18" s="73">
        <f t="shared" si="120"/>
        <v>0</v>
      </c>
      <c r="EK18" s="65"/>
      <c r="EL18" s="74" t="s">
        <v>1954</v>
      </c>
      <c r="EM18" s="73">
        <f t="shared" si="120"/>
        <v>0</v>
      </c>
      <c r="EN18" s="65"/>
      <c r="EO18" s="74" t="s">
        <v>1950</v>
      </c>
      <c r="EP18" s="73">
        <f t="shared" si="120"/>
        <v>0</v>
      </c>
      <c r="EQ18" s="65"/>
      <c r="ER18" s="74" t="s">
        <v>1954</v>
      </c>
      <c r="ES18" s="73">
        <f t="shared" si="120"/>
        <v>0</v>
      </c>
      <c r="ET18" s="65"/>
      <c r="EU18" s="74" t="s">
        <v>1950</v>
      </c>
      <c r="EV18" s="73">
        <f t="shared" si="120"/>
        <v>0</v>
      </c>
      <c r="EW18" s="65"/>
      <c r="EX18" s="74" t="s">
        <v>1954</v>
      </c>
      <c r="EY18" s="73">
        <f t="shared" si="142"/>
        <v>0</v>
      </c>
      <c r="EZ18" s="65"/>
      <c r="FA18" s="74" t="s">
        <v>1954</v>
      </c>
      <c r="FB18" s="73">
        <f t="shared" si="142"/>
        <v>0</v>
      </c>
      <c r="FC18" s="65"/>
      <c r="FD18" s="74" t="s">
        <v>1950</v>
      </c>
      <c r="FE18" s="73">
        <f t="shared" si="142"/>
        <v>0</v>
      </c>
      <c r="FF18" s="65"/>
      <c r="FG18" s="74" t="s">
        <v>1954</v>
      </c>
      <c r="FH18" s="73">
        <f t="shared" si="142"/>
        <v>0</v>
      </c>
      <c r="FI18" s="65"/>
      <c r="FJ18" s="74" t="s">
        <v>1950</v>
      </c>
      <c r="FK18" s="73">
        <f t="shared" si="142"/>
        <v>0</v>
      </c>
      <c r="FL18" s="65"/>
      <c r="FM18" s="74" t="s">
        <v>1945</v>
      </c>
      <c r="FN18" s="73">
        <f t="shared" si="142"/>
        <v>0</v>
      </c>
      <c r="FO18" s="65"/>
      <c r="FP18" s="74" t="s">
        <v>1954</v>
      </c>
      <c r="FQ18" s="73">
        <f t="shared" si="142"/>
        <v>0</v>
      </c>
      <c r="FR18" s="65"/>
      <c r="FS18" s="74" t="s">
        <v>1954</v>
      </c>
      <c r="FT18" s="73">
        <f t="shared" si="142"/>
        <v>0</v>
      </c>
      <c r="FU18" s="65"/>
      <c r="FV18" s="74" t="s">
        <v>1958</v>
      </c>
      <c r="FW18" s="73">
        <f t="shared" si="142"/>
        <v>0</v>
      </c>
      <c r="FX18" s="65"/>
      <c r="FY18" s="74" t="s">
        <v>1954</v>
      </c>
      <c r="FZ18" s="73">
        <f t="shared" si="142"/>
        <v>0</v>
      </c>
      <c r="GA18" s="65"/>
      <c r="GB18" s="74" t="s">
        <v>1954</v>
      </c>
      <c r="GC18" s="73">
        <f t="shared" si="142"/>
        <v>0</v>
      </c>
      <c r="GD18" s="65"/>
      <c r="GE18" s="74" t="s">
        <v>1950</v>
      </c>
      <c r="GF18" s="73">
        <f t="shared" si="142"/>
        <v>0</v>
      </c>
      <c r="GG18" s="65"/>
      <c r="GH18" s="74" t="s">
        <v>1950</v>
      </c>
      <c r="GI18" s="73">
        <f t="shared" ref="GI18:IT30" si="203">IFERROR(IF($M18=GH18,($D$8+$D$9+$D$10)*$I18,IF($N18=LEFT(GH18,1),($D$8+MAX(0,IF($D$50=1,$D$9*(1-(ABS($Q18-ABS(VALUE(MID(GH18,FIND("|",GH18)+1,FIND("-",GH18)-FIND("|",GH18)-1))-VALUE(MID(GH18,FIND("-",GH18)+1,10)))))*$D$50),$D$9*(1-(IF($N18="X",ABS($O18-VALUE(MID(GH18,FIND("|",GH18)+1,FIND("-",GH18)-FIND("|",GH18)-1))),ABS($Q18-ABS(VALUE(MID(GH18,FIND("|",GH18)+1,FIND("-",GH18)-FIND("|",GH18)-1))-VALUE(MID(GH18,FIND("-",GH18)+1,10)))))*$D$50)))))*$I18,0)),0)</f>
        <v>0</v>
      </c>
      <c r="GJ18" s="65"/>
      <c r="GK18" s="74" t="s">
        <v>1957</v>
      </c>
      <c r="GL18" s="73">
        <f t="shared" si="203"/>
        <v>20</v>
      </c>
      <c r="GM18" s="65"/>
      <c r="GN18" s="74"/>
      <c r="GO18" s="73">
        <f t="shared" si="203"/>
        <v>0</v>
      </c>
      <c r="GP18" s="65"/>
      <c r="GQ18" s="74"/>
      <c r="GR18" s="73">
        <f t="shared" si="203"/>
        <v>0</v>
      </c>
      <c r="GS18" s="65"/>
      <c r="GT18" s="74"/>
      <c r="GU18" s="73">
        <f t="shared" si="203"/>
        <v>0</v>
      </c>
      <c r="GV18" s="65"/>
      <c r="GW18" s="74"/>
      <c r="GX18" s="73">
        <f t="shared" si="203"/>
        <v>0</v>
      </c>
      <c r="GY18" s="65"/>
      <c r="GZ18" s="74"/>
      <c r="HA18" s="73">
        <f t="shared" si="203"/>
        <v>0</v>
      </c>
      <c r="HB18" s="65"/>
      <c r="HC18" s="74"/>
      <c r="HD18" s="73">
        <f t="shared" si="203"/>
        <v>0</v>
      </c>
      <c r="HE18" s="65"/>
      <c r="HF18" s="74"/>
      <c r="HG18" s="73">
        <f t="shared" si="203"/>
        <v>0</v>
      </c>
      <c r="HH18" s="65"/>
      <c r="HI18" s="74"/>
      <c r="HJ18" s="73">
        <f t="shared" si="203"/>
        <v>0</v>
      </c>
      <c r="HK18" s="65"/>
      <c r="HL18" s="74"/>
      <c r="HM18" s="73">
        <f t="shared" si="203"/>
        <v>0</v>
      </c>
      <c r="HN18" s="65"/>
      <c r="HO18" s="74"/>
      <c r="HP18" s="73">
        <f t="shared" si="203"/>
        <v>0</v>
      </c>
      <c r="HQ18" s="65"/>
      <c r="HR18" s="74"/>
      <c r="HS18" s="73">
        <f t="shared" si="203"/>
        <v>0</v>
      </c>
      <c r="HT18" s="65"/>
      <c r="HU18" s="74"/>
      <c r="HV18" s="73">
        <f t="shared" si="203"/>
        <v>0</v>
      </c>
      <c r="HW18" s="65"/>
      <c r="HX18" s="74"/>
      <c r="HY18" s="73">
        <f t="shared" si="203"/>
        <v>0</v>
      </c>
      <c r="HZ18" s="65"/>
      <c r="IA18" s="74"/>
      <c r="IB18" s="73">
        <f t="shared" si="203"/>
        <v>0</v>
      </c>
      <c r="IC18" s="65"/>
      <c r="ID18" s="74"/>
      <c r="IE18" s="73">
        <f t="shared" si="203"/>
        <v>0</v>
      </c>
      <c r="IF18" s="65"/>
      <c r="IG18" s="74"/>
      <c r="IH18" s="73">
        <f t="shared" si="203"/>
        <v>0</v>
      </c>
      <c r="II18" s="65"/>
      <c r="IJ18" s="74"/>
      <c r="IK18" s="73">
        <f t="shared" si="203"/>
        <v>0</v>
      </c>
      <c r="IL18" s="65"/>
      <c r="IM18" s="74"/>
      <c r="IN18" s="73">
        <f t="shared" si="203"/>
        <v>0</v>
      </c>
      <c r="IO18" s="65"/>
      <c r="IP18" s="74"/>
      <c r="IQ18" s="73">
        <f t="shared" si="203"/>
        <v>0</v>
      </c>
      <c r="IR18" s="65"/>
      <c r="IS18" s="74"/>
      <c r="IT18" s="73">
        <f t="shared" si="203"/>
        <v>0</v>
      </c>
      <c r="IU18" s="65"/>
      <c r="IV18" s="74"/>
      <c r="IW18" s="73">
        <f t="shared" si="164"/>
        <v>0</v>
      </c>
      <c r="IX18" s="65"/>
      <c r="IY18" s="74"/>
      <c r="IZ18" s="73">
        <f t="shared" si="164"/>
        <v>0</v>
      </c>
      <c r="JA18" s="65"/>
      <c r="JB18" s="74"/>
      <c r="JC18" s="73">
        <f t="shared" si="164"/>
        <v>0</v>
      </c>
      <c r="JD18" s="65"/>
      <c r="JE18" s="74"/>
      <c r="JF18" s="73">
        <f t="shared" si="164"/>
        <v>0</v>
      </c>
      <c r="JG18" s="65"/>
      <c r="JH18" s="74"/>
      <c r="JI18" s="73">
        <f t="shared" si="164"/>
        <v>0</v>
      </c>
      <c r="JJ18" s="65"/>
      <c r="JK18" s="74"/>
      <c r="JL18" s="73">
        <f t="shared" si="164"/>
        <v>0</v>
      </c>
      <c r="JM18" s="65"/>
      <c r="JN18" s="74"/>
      <c r="JO18" s="73">
        <f t="shared" si="164"/>
        <v>0</v>
      </c>
      <c r="JP18" s="65"/>
      <c r="JQ18" s="74"/>
      <c r="JR18" s="73">
        <f t="shared" si="164"/>
        <v>0</v>
      </c>
      <c r="JS18" s="65"/>
      <c r="JT18" s="74"/>
      <c r="JU18" s="73">
        <f t="shared" si="164"/>
        <v>0</v>
      </c>
      <c r="JV18" s="65"/>
      <c r="JW18" s="74"/>
      <c r="JX18" s="73">
        <f t="shared" si="164"/>
        <v>0</v>
      </c>
      <c r="JY18" s="65"/>
      <c r="JZ18" s="74"/>
      <c r="KA18" s="73">
        <f t="shared" si="186"/>
        <v>0</v>
      </c>
      <c r="KB18" s="65"/>
      <c r="KC18" s="74"/>
      <c r="KD18" s="73">
        <f t="shared" si="186"/>
        <v>0</v>
      </c>
      <c r="KE18" s="65"/>
      <c r="KF18" s="74"/>
      <c r="KG18" s="73">
        <f t="shared" si="186"/>
        <v>0</v>
      </c>
      <c r="KH18" s="65"/>
      <c r="KI18" s="74"/>
      <c r="KJ18" s="73">
        <f t="shared" si="186"/>
        <v>0</v>
      </c>
      <c r="KK18" s="65"/>
      <c r="KL18" s="74"/>
      <c r="KM18" s="73">
        <f t="shared" si="186"/>
        <v>0</v>
      </c>
      <c r="KN18" s="65"/>
      <c r="KO18" s="74"/>
      <c r="KP18" s="73">
        <f t="shared" si="186"/>
        <v>0</v>
      </c>
      <c r="KQ18" s="65"/>
      <c r="KR18" s="74"/>
      <c r="KS18" s="73">
        <f t="shared" si="186"/>
        <v>0</v>
      </c>
      <c r="KT18" s="65"/>
      <c r="KU18" s="74"/>
      <c r="KV18" s="73">
        <f t="shared" si="186"/>
        <v>0</v>
      </c>
      <c r="KW18" s="65"/>
      <c r="KX18" s="74"/>
      <c r="KY18" s="73">
        <f t="shared" si="186"/>
        <v>0</v>
      </c>
      <c r="KZ18" s="65"/>
      <c r="LA18" s="74"/>
      <c r="LB18" s="73">
        <f t="shared" si="186"/>
        <v>0</v>
      </c>
      <c r="LC18" s="65"/>
      <c r="LD18" s="74"/>
      <c r="LE18" s="73">
        <f t="shared" si="186"/>
        <v>0</v>
      </c>
      <c r="LF18" s="65"/>
      <c r="LG18" s="65"/>
    </row>
    <row r="19" spans="1:319">
      <c r="A19" s="49"/>
      <c r="B19" s="49"/>
      <c r="C19" s="439" t="str">
        <f>Idiomas!D315</f>
        <v>Nation Qualified for ROUND OF 16</v>
      </c>
      <c r="D19" s="45">
        <v>10</v>
      </c>
      <c r="E19" s="111"/>
      <c r="F19" s="445">
        <f t="shared" si="197"/>
        <v>20</v>
      </c>
      <c r="G19" s="445">
        <f ca="1">VLOOKUP(H19,Equipos!$Q$1:$R$25,2,0)</f>
        <v>6</v>
      </c>
      <c r="H19" s="446">
        <f ca="1">TRUNC(INDEX(WORLDCUP!$X$4:$X$147,MATCH(ADMIN!K19,WORLDCUP!$DT$4:$DT$147,0))+INDEX(Horarios!$R$3:$R$86,MATCH(Horarios!$C$3,Horarios!$P$3:$P$86,0))/24)</f>
        <v>46189</v>
      </c>
      <c r="I19" s="48">
        <v>1</v>
      </c>
      <c r="J19" s="95" t="s">
        <v>510</v>
      </c>
      <c r="K19" s="53" t="str">
        <f ca="1">CONCATENATE(WORLDCUP!AA53,"-",WORLDCUP!AF53)</f>
        <v>Iran-New Zealand</v>
      </c>
      <c r="L19" s="53"/>
      <c r="M19" s="55" t="str">
        <f>IF(OR(WORLDCUP!AC53="",WORLDCUP!AD53=""),"-",N19&amp;"|"&amp;O19&amp;"-"&amp;P19)</f>
        <v>X|2-2</v>
      </c>
      <c r="N19" s="25" t="str">
        <f>IF(OR(WORLDCUP!AC53="",WORLDCUP!AD53=""),"",IF(WORLDCUP!AC53&gt;WORLDCUP!AD53,"1",IF(WORLDCUP!AC53&lt;WORLDCUP!AD53,"2","X")))</f>
        <v>X</v>
      </c>
      <c r="O19" s="25">
        <f>WORLDCUP!AC53</f>
        <v>2</v>
      </c>
      <c r="P19" s="25">
        <f>WORLDCUP!AD53</f>
        <v>2</v>
      </c>
      <c r="Q19" s="25">
        <f t="shared" si="201"/>
        <v>0</v>
      </c>
      <c r="R19" s="49"/>
      <c r="S19" s="74" t="s">
        <v>1951</v>
      </c>
      <c r="T19" s="73">
        <f t="shared" si="198"/>
        <v>0</v>
      </c>
      <c r="U19" s="65"/>
      <c r="V19" s="74" t="s">
        <v>1960</v>
      </c>
      <c r="W19" s="73">
        <f t="shared" si="199"/>
        <v>0</v>
      </c>
      <c r="X19" s="65"/>
      <c r="Y19" s="74" t="s">
        <v>1959</v>
      </c>
      <c r="Z19" s="73">
        <f t="shared" ref="Z19:CH30" si="204">IFERROR(IF($M19=Y19,($D$8+$D$9+$D$10)*$I19,IF($N19=LEFT(Y19,1),($D$8+MAX(0,IF($D$50=1,$D$9*(1-(ABS($Q19-ABS(VALUE(MID(Y19,FIND("|",Y19)+1,FIND("-",Y19)-FIND("|",Y19)-1))-VALUE(MID(Y19,FIND("-",Y19)+1,10)))))*$D$50),$D$9*(1-(IF($N19="X",ABS($O19-VALUE(MID(Y19,FIND("|",Y19)+1,FIND("-",Y19)-FIND("|",Y19)-1))),ABS($Q19-ABS(VALUE(MID(Y19,FIND("|",Y19)+1,FIND("-",Y19)-FIND("|",Y19)-1))-VALUE(MID(Y19,FIND("-",Y19)+1,10)))))*$D$50)))))*$I19,0)),0)</f>
        <v>0</v>
      </c>
      <c r="AA19" s="65"/>
      <c r="AB19" s="74" t="s">
        <v>1959</v>
      </c>
      <c r="AC19" s="73">
        <f t="shared" si="204"/>
        <v>0</v>
      </c>
      <c r="AD19" s="65"/>
      <c r="AE19" s="74" t="s">
        <v>1959</v>
      </c>
      <c r="AF19" s="73">
        <f t="shared" si="204"/>
        <v>0</v>
      </c>
      <c r="AG19" s="65"/>
      <c r="AH19" s="74" t="s">
        <v>2000</v>
      </c>
      <c r="AI19" s="73">
        <f t="shared" si="204"/>
        <v>0</v>
      </c>
      <c r="AJ19" s="65"/>
      <c r="AK19" s="74" t="s">
        <v>1957</v>
      </c>
      <c r="AL19" s="73">
        <f t="shared" si="204"/>
        <v>12</v>
      </c>
      <c r="AM19" s="65"/>
      <c r="AN19" s="74" t="s">
        <v>1959</v>
      </c>
      <c r="AO19" s="73">
        <f t="shared" si="204"/>
        <v>0</v>
      </c>
      <c r="AP19" s="65"/>
      <c r="AQ19" s="74" t="s">
        <v>1953</v>
      </c>
      <c r="AR19" s="73">
        <f t="shared" si="204"/>
        <v>0</v>
      </c>
      <c r="AS19" s="65"/>
      <c r="AT19" s="74" t="s">
        <v>2000</v>
      </c>
      <c r="AU19" s="73">
        <f t="shared" si="204"/>
        <v>0</v>
      </c>
      <c r="AV19" s="65"/>
      <c r="AW19" s="74" t="s">
        <v>1948</v>
      </c>
      <c r="AX19" s="73">
        <f t="shared" si="204"/>
        <v>0</v>
      </c>
      <c r="AY19" s="65"/>
      <c r="AZ19" s="74" t="s">
        <v>1959</v>
      </c>
      <c r="BA19" s="73">
        <f t="shared" si="204"/>
        <v>0</v>
      </c>
      <c r="BB19" s="65"/>
      <c r="BC19" s="74" t="s">
        <v>1957</v>
      </c>
      <c r="BD19" s="73">
        <f t="shared" si="204"/>
        <v>12</v>
      </c>
      <c r="BE19" s="65"/>
      <c r="BF19" s="74" t="s">
        <v>1959</v>
      </c>
      <c r="BG19" s="73">
        <f t="shared" si="204"/>
        <v>0</v>
      </c>
      <c r="BH19" s="65"/>
      <c r="BI19" s="74" t="s">
        <v>1959</v>
      </c>
      <c r="BJ19" s="73">
        <f t="shared" si="204"/>
        <v>0</v>
      </c>
      <c r="BK19" s="65"/>
      <c r="BL19" s="74" t="s">
        <v>1959</v>
      </c>
      <c r="BM19" s="73">
        <f t="shared" si="204"/>
        <v>0</v>
      </c>
      <c r="BN19" s="65"/>
      <c r="BO19" s="74" t="s">
        <v>2133</v>
      </c>
      <c r="BP19" s="73">
        <f t="shared" si="204"/>
        <v>12</v>
      </c>
      <c r="BQ19" s="65"/>
      <c r="BR19" s="74" t="s">
        <v>2000</v>
      </c>
      <c r="BS19" s="73">
        <f t="shared" si="204"/>
        <v>0</v>
      </c>
      <c r="BT19" s="65"/>
      <c r="BU19" s="74" t="s">
        <v>1959</v>
      </c>
      <c r="BV19" s="73">
        <f t="shared" si="204"/>
        <v>0</v>
      </c>
      <c r="BW19" s="65"/>
      <c r="BX19" s="74" t="s">
        <v>2000</v>
      </c>
      <c r="BY19" s="73">
        <f t="shared" si="204"/>
        <v>0</v>
      </c>
      <c r="BZ19" s="65"/>
      <c r="CA19" s="74" t="s">
        <v>1960</v>
      </c>
      <c r="CB19" s="73">
        <f t="shared" si="204"/>
        <v>0</v>
      </c>
      <c r="CC19" s="65"/>
      <c r="CD19" s="74" t="s">
        <v>2133</v>
      </c>
      <c r="CE19" s="73">
        <f t="shared" si="204"/>
        <v>12</v>
      </c>
      <c r="CF19" s="65"/>
      <c r="CG19" s="74" t="s">
        <v>1950</v>
      </c>
      <c r="CH19" s="73">
        <f t="shared" si="204"/>
        <v>0</v>
      </c>
      <c r="CI19" s="65"/>
      <c r="CJ19" s="74" t="s">
        <v>1957</v>
      </c>
      <c r="CK19" s="73">
        <f t="shared" si="202"/>
        <v>12</v>
      </c>
      <c r="CL19" s="65"/>
      <c r="CM19" s="74" t="s">
        <v>1959</v>
      </c>
      <c r="CN19" s="73">
        <f t="shared" si="202"/>
        <v>0</v>
      </c>
      <c r="CO19" s="65"/>
      <c r="CP19" s="74" t="s">
        <v>1950</v>
      </c>
      <c r="CQ19" s="73">
        <f t="shared" si="202"/>
        <v>0</v>
      </c>
      <c r="CR19" s="65"/>
      <c r="CS19" s="74" t="s">
        <v>1957</v>
      </c>
      <c r="CT19" s="73">
        <f t="shared" si="202"/>
        <v>12</v>
      </c>
      <c r="CU19" s="65"/>
      <c r="CV19" s="74" t="s">
        <v>1944</v>
      </c>
      <c r="CW19" s="73">
        <f t="shared" si="202"/>
        <v>20</v>
      </c>
      <c r="CX19" s="65"/>
      <c r="CY19" s="74" t="s">
        <v>1950</v>
      </c>
      <c r="CZ19" s="73">
        <f t="shared" si="202"/>
        <v>0</v>
      </c>
      <c r="DA19" s="65"/>
      <c r="DB19" s="74" t="s">
        <v>1960</v>
      </c>
      <c r="DC19" s="73">
        <f t="shared" si="202"/>
        <v>0</v>
      </c>
      <c r="DD19" s="65"/>
      <c r="DE19" s="74" t="s">
        <v>1954</v>
      </c>
      <c r="DF19" s="73">
        <f t="shared" si="202"/>
        <v>0</v>
      </c>
      <c r="DG19" s="65"/>
      <c r="DH19" s="74" t="s">
        <v>1955</v>
      </c>
      <c r="DI19" s="73">
        <f t="shared" si="202"/>
        <v>0</v>
      </c>
      <c r="DJ19" s="65"/>
      <c r="DK19" s="74" t="s">
        <v>1957</v>
      </c>
      <c r="DL19" s="73">
        <f t="shared" si="202"/>
        <v>12</v>
      </c>
      <c r="DM19" s="65"/>
      <c r="DN19" s="74" t="s">
        <v>1950</v>
      </c>
      <c r="DO19" s="73">
        <f t="shared" si="202"/>
        <v>0</v>
      </c>
      <c r="DP19" s="65"/>
      <c r="DQ19" s="74" t="s">
        <v>1957</v>
      </c>
      <c r="DR19" s="73">
        <f t="shared" si="202"/>
        <v>12</v>
      </c>
      <c r="DS19" s="65"/>
      <c r="DT19" s="74" t="s">
        <v>1950</v>
      </c>
      <c r="DU19" s="73">
        <f t="shared" si="120"/>
        <v>0</v>
      </c>
      <c r="DV19" s="65"/>
      <c r="DW19" s="74" t="s">
        <v>1950</v>
      </c>
      <c r="DX19" s="73">
        <f t="shared" si="120"/>
        <v>0</v>
      </c>
      <c r="DY19" s="65"/>
      <c r="DZ19" s="74" t="s">
        <v>1954</v>
      </c>
      <c r="EA19" s="73">
        <f t="shared" ref="EA19:GL30" si="205">IFERROR(IF($M19=DZ19,($D$8+$D$9+$D$10)*$I19,IF($N19=LEFT(DZ19,1),($D$8+MAX(0,IF($D$50=1,$D$9*(1-(ABS($Q19-ABS(VALUE(MID(DZ19,FIND("|",DZ19)+1,FIND("-",DZ19)-FIND("|",DZ19)-1))-VALUE(MID(DZ19,FIND("-",DZ19)+1,10)))))*$D$50),$D$9*(1-(IF($N19="X",ABS($O19-VALUE(MID(DZ19,FIND("|",DZ19)+1,FIND("-",DZ19)-FIND("|",DZ19)-1))),ABS($Q19-ABS(VALUE(MID(DZ19,FIND("|",DZ19)+1,FIND("-",DZ19)-FIND("|",DZ19)-1))-VALUE(MID(DZ19,FIND("-",DZ19)+1,10)))))*$D$50)))))*$I19,0)),0)</f>
        <v>0</v>
      </c>
      <c r="EB19" s="65"/>
      <c r="EC19" s="74" t="s">
        <v>1950</v>
      </c>
      <c r="ED19" s="73">
        <f t="shared" si="205"/>
        <v>0</v>
      </c>
      <c r="EE19" s="65"/>
      <c r="EF19" s="74" t="s">
        <v>1954</v>
      </c>
      <c r="EG19" s="73">
        <f t="shared" si="205"/>
        <v>0</v>
      </c>
      <c r="EH19" s="65"/>
      <c r="EI19" s="74" t="s">
        <v>1959</v>
      </c>
      <c r="EJ19" s="73">
        <f t="shared" si="205"/>
        <v>0</v>
      </c>
      <c r="EK19" s="65"/>
      <c r="EL19" s="74" t="s">
        <v>1957</v>
      </c>
      <c r="EM19" s="73">
        <f t="shared" si="205"/>
        <v>12</v>
      </c>
      <c r="EN19" s="65"/>
      <c r="EO19" s="74" t="s">
        <v>1950</v>
      </c>
      <c r="EP19" s="73">
        <f t="shared" si="205"/>
        <v>0</v>
      </c>
      <c r="EQ19" s="65"/>
      <c r="ER19" s="74" t="s">
        <v>1959</v>
      </c>
      <c r="ES19" s="73">
        <f t="shared" si="205"/>
        <v>0</v>
      </c>
      <c r="ET19" s="65"/>
      <c r="EU19" s="74" t="s">
        <v>1959</v>
      </c>
      <c r="EV19" s="73">
        <f t="shared" si="205"/>
        <v>0</v>
      </c>
      <c r="EW19" s="65"/>
      <c r="EX19" s="74" t="s">
        <v>2133</v>
      </c>
      <c r="EY19" s="73">
        <f t="shared" si="205"/>
        <v>12</v>
      </c>
      <c r="EZ19" s="65"/>
      <c r="FA19" s="74" t="s">
        <v>1950</v>
      </c>
      <c r="FB19" s="73">
        <f t="shared" si="205"/>
        <v>0</v>
      </c>
      <c r="FC19" s="65"/>
      <c r="FD19" s="74" t="s">
        <v>2000</v>
      </c>
      <c r="FE19" s="73">
        <f t="shared" si="205"/>
        <v>0</v>
      </c>
      <c r="FF19" s="65"/>
      <c r="FG19" s="74" t="s">
        <v>1957</v>
      </c>
      <c r="FH19" s="73">
        <f t="shared" si="205"/>
        <v>12</v>
      </c>
      <c r="FI19" s="65"/>
      <c r="FJ19" s="74" t="s">
        <v>1959</v>
      </c>
      <c r="FK19" s="73">
        <f t="shared" si="205"/>
        <v>0</v>
      </c>
      <c r="FL19" s="65"/>
      <c r="FM19" s="74" t="s">
        <v>1957</v>
      </c>
      <c r="FN19" s="73">
        <f t="shared" si="205"/>
        <v>12</v>
      </c>
      <c r="FO19" s="65"/>
      <c r="FP19" s="74" t="s">
        <v>1959</v>
      </c>
      <c r="FQ19" s="73">
        <f t="shared" si="205"/>
        <v>0</v>
      </c>
      <c r="FR19" s="65"/>
      <c r="FS19" s="74" t="s">
        <v>1950</v>
      </c>
      <c r="FT19" s="73">
        <f t="shared" si="205"/>
        <v>0</v>
      </c>
      <c r="FU19" s="65"/>
      <c r="FV19" s="74" t="s">
        <v>1957</v>
      </c>
      <c r="FW19" s="73">
        <f t="shared" si="205"/>
        <v>12</v>
      </c>
      <c r="FX19" s="65"/>
      <c r="FY19" s="74" t="s">
        <v>1959</v>
      </c>
      <c r="FZ19" s="73">
        <f t="shared" si="205"/>
        <v>0</v>
      </c>
      <c r="GA19" s="65"/>
      <c r="GB19" s="74" t="s">
        <v>2133</v>
      </c>
      <c r="GC19" s="73">
        <f t="shared" si="205"/>
        <v>12</v>
      </c>
      <c r="GD19" s="65"/>
      <c r="GE19" s="74" t="s">
        <v>1960</v>
      </c>
      <c r="GF19" s="73">
        <f t="shared" si="205"/>
        <v>0</v>
      </c>
      <c r="GG19" s="65"/>
      <c r="GH19" s="74" t="s">
        <v>2133</v>
      </c>
      <c r="GI19" s="73">
        <f t="shared" si="205"/>
        <v>12</v>
      </c>
      <c r="GJ19" s="65"/>
      <c r="GK19" s="74" t="s">
        <v>1960</v>
      </c>
      <c r="GL19" s="73">
        <f t="shared" si="205"/>
        <v>0</v>
      </c>
      <c r="GM19" s="65"/>
      <c r="GN19" s="74"/>
      <c r="GO19" s="73">
        <f t="shared" si="203"/>
        <v>0</v>
      </c>
      <c r="GP19" s="65"/>
      <c r="GQ19" s="74"/>
      <c r="GR19" s="73">
        <f t="shared" si="203"/>
        <v>0</v>
      </c>
      <c r="GS19" s="65"/>
      <c r="GT19" s="74"/>
      <c r="GU19" s="73">
        <f t="shared" si="203"/>
        <v>0</v>
      </c>
      <c r="GV19" s="65"/>
      <c r="GW19" s="74"/>
      <c r="GX19" s="73">
        <f t="shared" si="203"/>
        <v>0</v>
      </c>
      <c r="GY19" s="65"/>
      <c r="GZ19" s="74"/>
      <c r="HA19" s="73">
        <f t="shared" si="203"/>
        <v>0</v>
      </c>
      <c r="HB19" s="65"/>
      <c r="HC19" s="74"/>
      <c r="HD19" s="73">
        <f t="shared" si="203"/>
        <v>0</v>
      </c>
      <c r="HE19" s="65"/>
      <c r="HF19" s="74"/>
      <c r="HG19" s="73">
        <f t="shared" si="203"/>
        <v>0</v>
      </c>
      <c r="HH19" s="65"/>
      <c r="HI19" s="74"/>
      <c r="HJ19" s="73">
        <f t="shared" si="203"/>
        <v>0</v>
      </c>
      <c r="HK19" s="65"/>
      <c r="HL19" s="74"/>
      <c r="HM19" s="73">
        <f t="shared" si="203"/>
        <v>0</v>
      </c>
      <c r="HN19" s="65"/>
      <c r="HO19" s="74"/>
      <c r="HP19" s="73">
        <f t="shared" si="203"/>
        <v>0</v>
      </c>
      <c r="HQ19" s="65"/>
      <c r="HR19" s="74"/>
      <c r="HS19" s="73">
        <f t="shared" si="203"/>
        <v>0</v>
      </c>
      <c r="HT19" s="65"/>
      <c r="HU19" s="74"/>
      <c r="HV19" s="73">
        <f t="shared" si="203"/>
        <v>0</v>
      </c>
      <c r="HW19" s="65"/>
      <c r="HX19" s="74"/>
      <c r="HY19" s="73">
        <f t="shared" si="203"/>
        <v>0</v>
      </c>
      <c r="HZ19" s="65"/>
      <c r="IA19" s="74"/>
      <c r="IB19" s="73">
        <f t="shared" si="203"/>
        <v>0</v>
      </c>
      <c r="IC19" s="65"/>
      <c r="ID19" s="74"/>
      <c r="IE19" s="73">
        <f t="shared" si="203"/>
        <v>0</v>
      </c>
      <c r="IF19" s="65"/>
      <c r="IG19" s="74"/>
      <c r="IH19" s="73">
        <f t="shared" si="203"/>
        <v>0</v>
      </c>
      <c r="II19" s="65"/>
      <c r="IJ19" s="74"/>
      <c r="IK19" s="73">
        <f t="shared" si="203"/>
        <v>0</v>
      </c>
      <c r="IL19" s="65"/>
      <c r="IM19" s="74"/>
      <c r="IN19" s="73">
        <f t="shared" si="203"/>
        <v>0</v>
      </c>
      <c r="IO19" s="65"/>
      <c r="IP19" s="74"/>
      <c r="IQ19" s="73">
        <f t="shared" si="203"/>
        <v>0</v>
      </c>
      <c r="IR19" s="65"/>
      <c r="IS19" s="74"/>
      <c r="IT19" s="73">
        <f t="shared" si="203"/>
        <v>0</v>
      </c>
      <c r="IU19" s="65"/>
      <c r="IV19" s="74"/>
      <c r="IW19" s="73">
        <f t="shared" si="164"/>
        <v>0</v>
      </c>
      <c r="IX19" s="65"/>
      <c r="IY19" s="74"/>
      <c r="IZ19" s="73">
        <f t="shared" si="164"/>
        <v>0</v>
      </c>
      <c r="JA19" s="65"/>
      <c r="JB19" s="74"/>
      <c r="JC19" s="73">
        <f t="shared" ref="JC19:LE19" si="206">IFERROR(IF($M19=JB19,($D$8+$D$9+$D$10)*$I19,IF($N19=LEFT(JB19,1),($D$8+MAX(0,IF($D$50=1,$D$9*(1-(ABS($Q19-ABS(VALUE(MID(JB19,FIND("|",JB19)+1,FIND("-",JB19)-FIND("|",JB19)-1))-VALUE(MID(JB19,FIND("-",JB19)+1,10)))))*$D$50),$D$9*(1-(IF($N19="X",ABS($O19-VALUE(MID(JB19,FIND("|",JB19)+1,FIND("-",JB19)-FIND("|",JB19)-1))),ABS($Q19-ABS(VALUE(MID(JB19,FIND("|",JB19)+1,FIND("-",JB19)-FIND("|",JB19)-1))-VALUE(MID(JB19,FIND("-",JB19)+1,10)))))*$D$50)))))*$I19,0)),0)</f>
        <v>0</v>
      </c>
      <c r="JD19" s="65"/>
      <c r="JE19" s="74"/>
      <c r="JF19" s="73">
        <f t="shared" si="206"/>
        <v>0</v>
      </c>
      <c r="JG19" s="65"/>
      <c r="JH19" s="74"/>
      <c r="JI19" s="73">
        <f t="shared" si="206"/>
        <v>0</v>
      </c>
      <c r="JJ19" s="65"/>
      <c r="JK19" s="74"/>
      <c r="JL19" s="73">
        <f t="shared" si="206"/>
        <v>0</v>
      </c>
      <c r="JM19" s="65"/>
      <c r="JN19" s="74"/>
      <c r="JO19" s="73">
        <f t="shared" si="206"/>
        <v>0</v>
      </c>
      <c r="JP19" s="65"/>
      <c r="JQ19" s="74"/>
      <c r="JR19" s="73">
        <f t="shared" si="206"/>
        <v>0</v>
      </c>
      <c r="JS19" s="65"/>
      <c r="JT19" s="74"/>
      <c r="JU19" s="73">
        <f t="shared" si="206"/>
        <v>0</v>
      </c>
      <c r="JV19" s="65"/>
      <c r="JW19" s="74"/>
      <c r="JX19" s="73">
        <f t="shared" si="206"/>
        <v>0</v>
      </c>
      <c r="JY19" s="65"/>
      <c r="JZ19" s="74"/>
      <c r="KA19" s="73">
        <f t="shared" si="206"/>
        <v>0</v>
      </c>
      <c r="KB19" s="65"/>
      <c r="KC19" s="74"/>
      <c r="KD19" s="73">
        <f t="shared" si="206"/>
        <v>0</v>
      </c>
      <c r="KE19" s="65"/>
      <c r="KF19" s="74"/>
      <c r="KG19" s="73">
        <f t="shared" si="206"/>
        <v>0</v>
      </c>
      <c r="KH19" s="65"/>
      <c r="KI19" s="74"/>
      <c r="KJ19" s="73">
        <f t="shared" si="206"/>
        <v>0</v>
      </c>
      <c r="KK19" s="65"/>
      <c r="KL19" s="74"/>
      <c r="KM19" s="73">
        <f t="shared" si="206"/>
        <v>0</v>
      </c>
      <c r="KN19" s="65"/>
      <c r="KO19" s="74"/>
      <c r="KP19" s="73">
        <f t="shared" si="206"/>
        <v>0</v>
      </c>
      <c r="KQ19" s="65"/>
      <c r="KR19" s="74"/>
      <c r="KS19" s="73">
        <f t="shared" si="206"/>
        <v>0</v>
      </c>
      <c r="KT19" s="65"/>
      <c r="KU19" s="74"/>
      <c r="KV19" s="73">
        <f t="shared" si="206"/>
        <v>0</v>
      </c>
      <c r="KW19" s="65"/>
      <c r="KX19" s="74"/>
      <c r="KY19" s="73">
        <f t="shared" si="206"/>
        <v>0</v>
      </c>
      <c r="KZ19" s="65"/>
      <c r="LA19" s="74"/>
      <c r="LB19" s="73">
        <f t="shared" si="206"/>
        <v>0</v>
      </c>
      <c r="LC19" s="65"/>
      <c r="LD19" s="74"/>
      <c r="LE19" s="73">
        <f t="shared" si="206"/>
        <v>0</v>
      </c>
      <c r="LF19" s="65"/>
      <c r="LG19" s="65"/>
    </row>
    <row r="20" spans="1:319">
      <c r="A20" s="49"/>
      <c r="B20" s="49"/>
      <c r="C20" s="437" t="str">
        <f>Idiomas!D316</f>
        <v>ROUND OF 16- 1X2* (home, draw, away)</v>
      </c>
      <c r="D20" s="62">
        <v>10</v>
      </c>
      <c r="E20" s="111"/>
      <c r="F20" s="445">
        <f t="shared" si="197"/>
        <v>20</v>
      </c>
      <c r="G20" s="445">
        <f ca="1">VLOOKUP(H20,Equipos!$Q$1:$R$25,2,0)</f>
        <v>5</v>
      </c>
      <c r="H20" s="446">
        <f ca="1">TRUNC(INDEX(WORLDCUP!$X$4:$X$147,MATCH(ADMIN!K20,WORLDCUP!$DT$4:$DT$147,0))+INDEX(Horarios!$R$3:$R$86,MATCH(Horarios!$C$3,Horarios!$P$3:$P$86,0))/24)</f>
        <v>46188</v>
      </c>
      <c r="I20" s="48">
        <v>1</v>
      </c>
      <c r="J20" s="96" t="s">
        <v>512</v>
      </c>
      <c r="K20" s="56" t="str">
        <f ca="1">CONCATENATE(WORLDCUP!AA60,"-",WORLDCUP!AF60)</f>
        <v>Spain-Cape Verde</v>
      </c>
      <c r="L20" s="53"/>
      <c r="M20" s="55" t="str">
        <f>IF(OR(WORLDCUP!AC60="",WORLDCUP!AD60=""),"-",N20&amp;"|"&amp;O20&amp;"-"&amp;P20)</f>
        <v>X|0-0</v>
      </c>
      <c r="N20" s="25" t="str">
        <f>IF(OR(WORLDCUP!AC60="",WORLDCUP!AD60=""),"",IF(WORLDCUP!AC60&gt;WORLDCUP!AD60,"1",IF(WORLDCUP!AC60&lt;WORLDCUP!AD60,"2","X")))</f>
        <v>X</v>
      </c>
      <c r="O20" s="25">
        <f>WORLDCUP!AC60</f>
        <v>0</v>
      </c>
      <c r="P20" s="25">
        <f>WORLDCUP!AD60</f>
        <v>0</v>
      </c>
      <c r="Q20" s="25">
        <f t="shared" si="201"/>
        <v>0</v>
      </c>
      <c r="R20" s="49"/>
      <c r="S20" s="74" t="s">
        <v>1952</v>
      </c>
      <c r="T20" s="73">
        <f t="shared" si="198"/>
        <v>0</v>
      </c>
      <c r="U20" s="65"/>
      <c r="V20" s="74" t="s">
        <v>1945</v>
      </c>
      <c r="W20" s="73">
        <f t="shared" si="199"/>
        <v>0</v>
      </c>
      <c r="X20" s="65"/>
      <c r="Y20" s="74" t="s">
        <v>1950</v>
      </c>
      <c r="Z20" s="73">
        <f t="shared" si="204"/>
        <v>0</v>
      </c>
      <c r="AA20" s="65"/>
      <c r="AB20" s="74" t="s">
        <v>1945</v>
      </c>
      <c r="AC20" s="73">
        <f t="shared" si="204"/>
        <v>0</v>
      </c>
      <c r="AD20" s="65"/>
      <c r="AE20" s="74" t="s">
        <v>1947</v>
      </c>
      <c r="AF20" s="73">
        <f t="shared" si="204"/>
        <v>0</v>
      </c>
      <c r="AG20" s="65"/>
      <c r="AH20" s="74" t="s">
        <v>2130</v>
      </c>
      <c r="AI20" s="73">
        <f t="shared" si="204"/>
        <v>0</v>
      </c>
      <c r="AJ20" s="65"/>
      <c r="AK20" s="74" t="s">
        <v>1958</v>
      </c>
      <c r="AL20" s="73">
        <f t="shared" si="204"/>
        <v>0</v>
      </c>
      <c r="AM20" s="65"/>
      <c r="AN20" s="74" t="s">
        <v>1950</v>
      </c>
      <c r="AO20" s="73">
        <f t="shared" si="204"/>
        <v>0</v>
      </c>
      <c r="AP20" s="65"/>
      <c r="AQ20" s="74" t="s">
        <v>2132</v>
      </c>
      <c r="AR20" s="73">
        <f t="shared" si="204"/>
        <v>0</v>
      </c>
      <c r="AS20" s="65"/>
      <c r="AT20" s="74" t="s">
        <v>2132</v>
      </c>
      <c r="AU20" s="73">
        <f t="shared" si="204"/>
        <v>0</v>
      </c>
      <c r="AV20" s="65"/>
      <c r="AW20" s="74" t="s">
        <v>1958</v>
      </c>
      <c r="AX20" s="73">
        <f t="shared" si="204"/>
        <v>0</v>
      </c>
      <c r="AY20" s="65"/>
      <c r="AZ20" s="74" t="s">
        <v>1958</v>
      </c>
      <c r="BA20" s="73">
        <f t="shared" si="204"/>
        <v>0</v>
      </c>
      <c r="BB20" s="65"/>
      <c r="BC20" s="74" t="s">
        <v>1947</v>
      </c>
      <c r="BD20" s="73">
        <f t="shared" si="204"/>
        <v>0</v>
      </c>
      <c r="BE20" s="65"/>
      <c r="BF20" s="74" t="s">
        <v>1958</v>
      </c>
      <c r="BG20" s="73">
        <f t="shared" si="204"/>
        <v>0</v>
      </c>
      <c r="BH20" s="65"/>
      <c r="BI20" s="74" t="s">
        <v>2278</v>
      </c>
      <c r="BJ20" s="73">
        <f t="shared" si="204"/>
        <v>0</v>
      </c>
      <c r="BK20" s="65"/>
      <c r="BL20" s="74" t="s">
        <v>1954</v>
      </c>
      <c r="BM20" s="73">
        <f t="shared" si="204"/>
        <v>0</v>
      </c>
      <c r="BN20" s="65"/>
      <c r="BO20" s="74" t="s">
        <v>1947</v>
      </c>
      <c r="BP20" s="73">
        <f t="shared" si="204"/>
        <v>0</v>
      </c>
      <c r="BQ20" s="65"/>
      <c r="BR20" s="74" t="s">
        <v>1947</v>
      </c>
      <c r="BS20" s="73">
        <f t="shared" si="204"/>
        <v>0</v>
      </c>
      <c r="BT20" s="65"/>
      <c r="BU20" s="74" t="s">
        <v>1958</v>
      </c>
      <c r="BV20" s="73">
        <f t="shared" si="204"/>
        <v>0</v>
      </c>
      <c r="BW20" s="65"/>
      <c r="BX20" s="74" t="s">
        <v>1958</v>
      </c>
      <c r="BY20" s="73">
        <f t="shared" si="204"/>
        <v>0</v>
      </c>
      <c r="BZ20" s="65"/>
      <c r="CA20" s="74" t="s">
        <v>1958</v>
      </c>
      <c r="CB20" s="73">
        <f t="shared" si="204"/>
        <v>0</v>
      </c>
      <c r="CC20" s="65"/>
      <c r="CD20" s="74" t="s">
        <v>1958</v>
      </c>
      <c r="CE20" s="73">
        <f t="shared" si="204"/>
        <v>0</v>
      </c>
      <c r="CF20" s="65"/>
      <c r="CG20" s="74" t="s">
        <v>1947</v>
      </c>
      <c r="CH20" s="73">
        <f t="shared" si="204"/>
        <v>0</v>
      </c>
      <c r="CI20" s="65"/>
      <c r="CJ20" s="74" t="s">
        <v>1949</v>
      </c>
      <c r="CK20" s="73">
        <f t="shared" si="202"/>
        <v>0</v>
      </c>
      <c r="CL20" s="65"/>
      <c r="CM20" s="74" t="s">
        <v>1958</v>
      </c>
      <c r="CN20" s="73">
        <f t="shared" si="202"/>
        <v>0</v>
      </c>
      <c r="CO20" s="65"/>
      <c r="CP20" s="74" t="s">
        <v>1958</v>
      </c>
      <c r="CQ20" s="73">
        <f t="shared" si="202"/>
        <v>0</v>
      </c>
      <c r="CR20" s="65"/>
      <c r="CS20" s="74" t="s">
        <v>2132</v>
      </c>
      <c r="CT20" s="73">
        <f t="shared" si="202"/>
        <v>0</v>
      </c>
      <c r="CU20" s="65"/>
      <c r="CV20" s="74" t="s">
        <v>2132</v>
      </c>
      <c r="CW20" s="73">
        <f t="shared" si="202"/>
        <v>0</v>
      </c>
      <c r="CX20" s="65"/>
      <c r="CY20" s="74" t="s">
        <v>1947</v>
      </c>
      <c r="CZ20" s="73">
        <f t="shared" si="202"/>
        <v>0</v>
      </c>
      <c r="DA20" s="65"/>
      <c r="DB20" s="74" t="s">
        <v>1945</v>
      </c>
      <c r="DC20" s="73">
        <f t="shared" si="202"/>
        <v>0</v>
      </c>
      <c r="DD20" s="65"/>
      <c r="DE20" s="74" t="s">
        <v>1947</v>
      </c>
      <c r="DF20" s="73">
        <f t="shared" si="202"/>
        <v>0</v>
      </c>
      <c r="DG20" s="65"/>
      <c r="DH20" s="74" t="s">
        <v>1958</v>
      </c>
      <c r="DI20" s="73">
        <f t="shared" si="202"/>
        <v>0</v>
      </c>
      <c r="DJ20" s="65"/>
      <c r="DK20" s="74" t="s">
        <v>1958</v>
      </c>
      <c r="DL20" s="73">
        <f t="shared" si="202"/>
        <v>0</v>
      </c>
      <c r="DM20" s="65"/>
      <c r="DN20" s="74" t="s">
        <v>2278</v>
      </c>
      <c r="DO20" s="73">
        <f t="shared" si="202"/>
        <v>0</v>
      </c>
      <c r="DP20" s="65"/>
      <c r="DQ20" s="74" t="s">
        <v>1958</v>
      </c>
      <c r="DR20" s="73">
        <f t="shared" si="202"/>
        <v>0</v>
      </c>
      <c r="DS20" s="65"/>
      <c r="DT20" s="74" t="s">
        <v>1958</v>
      </c>
      <c r="DU20" s="73">
        <f t="shared" ref="DU20:GF31" si="207">IFERROR(IF($M20=DT20,($D$8+$D$9+$D$10)*$I20,IF($N20=LEFT(DT20,1),($D$8+MAX(0,IF($D$50=1,$D$9*(1-(ABS($Q20-ABS(VALUE(MID(DT20,FIND("|",DT20)+1,FIND("-",DT20)-FIND("|",DT20)-1))-VALUE(MID(DT20,FIND("-",DT20)+1,10)))))*$D$50),$D$9*(1-(IF($N20="X",ABS($O20-VALUE(MID(DT20,FIND("|",DT20)+1,FIND("-",DT20)-FIND("|",DT20)-1))),ABS($Q20-ABS(VALUE(MID(DT20,FIND("|",DT20)+1,FIND("-",DT20)-FIND("|",DT20)-1))-VALUE(MID(DT20,FIND("-",DT20)+1,10)))))*$D$50)))))*$I20,0)),0)</f>
        <v>0</v>
      </c>
      <c r="DV20" s="65"/>
      <c r="DW20" s="74" t="s">
        <v>1947</v>
      </c>
      <c r="DX20" s="73">
        <f t="shared" si="207"/>
        <v>0</v>
      </c>
      <c r="DY20" s="65"/>
      <c r="DZ20" s="74" t="s">
        <v>1958</v>
      </c>
      <c r="EA20" s="73">
        <f t="shared" si="207"/>
        <v>0</v>
      </c>
      <c r="EB20" s="65"/>
      <c r="EC20" s="74" t="s">
        <v>1958</v>
      </c>
      <c r="ED20" s="73">
        <f t="shared" si="207"/>
        <v>0</v>
      </c>
      <c r="EE20" s="65"/>
      <c r="EF20" s="74" t="s">
        <v>1949</v>
      </c>
      <c r="EG20" s="73">
        <f t="shared" si="207"/>
        <v>0</v>
      </c>
      <c r="EH20" s="65"/>
      <c r="EI20" s="74" t="s">
        <v>1947</v>
      </c>
      <c r="EJ20" s="73">
        <f t="shared" si="207"/>
        <v>0</v>
      </c>
      <c r="EK20" s="65"/>
      <c r="EL20" s="74" t="s">
        <v>2278</v>
      </c>
      <c r="EM20" s="73">
        <f t="shared" si="207"/>
        <v>0</v>
      </c>
      <c r="EN20" s="65"/>
      <c r="EO20" s="74" t="s">
        <v>1950</v>
      </c>
      <c r="EP20" s="73">
        <f t="shared" si="207"/>
        <v>0</v>
      </c>
      <c r="EQ20" s="65"/>
      <c r="ER20" s="74" t="s">
        <v>1958</v>
      </c>
      <c r="ES20" s="73">
        <f t="shared" si="207"/>
        <v>0</v>
      </c>
      <c r="ET20" s="65"/>
      <c r="EU20" s="74" t="s">
        <v>1958</v>
      </c>
      <c r="EV20" s="73">
        <f t="shared" si="207"/>
        <v>0</v>
      </c>
      <c r="EW20" s="65"/>
      <c r="EX20" s="74" t="s">
        <v>1947</v>
      </c>
      <c r="EY20" s="73">
        <f t="shared" si="207"/>
        <v>0</v>
      </c>
      <c r="EZ20" s="65"/>
      <c r="FA20" s="74" t="s">
        <v>1958</v>
      </c>
      <c r="FB20" s="73">
        <f t="shared" si="207"/>
        <v>0</v>
      </c>
      <c r="FC20" s="65"/>
      <c r="FD20" s="74" t="s">
        <v>1950</v>
      </c>
      <c r="FE20" s="73">
        <f t="shared" si="207"/>
        <v>0</v>
      </c>
      <c r="FF20" s="65"/>
      <c r="FG20" s="74" t="s">
        <v>1952</v>
      </c>
      <c r="FH20" s="73">
        <f t="shared" si="207"/>
        <v>0</v>
      </c>
      <c r="FI20" s="65"/>
      <c r="FJ20" s="74" t="s">
        <v>1958</v>
      </c>
      <c r="FK20" s="73">
        <f t="shared" si="207"/>
        <v>0</v>
      </c>
      <c r="FL20" s="65"/>
      <c r="FM20" s="74" t="s">
        <v>1947</v>
      </c>
      <c r="FN20" s="73">
        <f t="shared" si="207"/>
        <v>0</v>
      </c>
      <c r="FO20" s="65"/>
      <c r="FP20" s="74" t="s">
        <v>1947</v>
      </c>
      <c r="FQ20" s="73">
        <f t="shared" si="207"/>
        <v>0</v>
      </c>
      <c r="FR20" s="65"/>
      <c r="FS20" s="74" t="s">
        <v>1958</v>
      </c>
      <c r="FT20" s="73">
        <f t="shared" si="207"/>
        <v>0</v>
      </c>
      <c r="FU20" s="65"/>
      <c r="FV20" s="74" t="s">
        <v>2132</v>
      </c>
      <c r="FW20" s="73">
        <f t="shared" si="207"/>
        <v>0</v>
      </c>
      <c r="FX20" s="65"/>
      <c r="FY20" s="74" t="s">
        <v>1958</v>
      </c>
      <c r="FZ20" s="73">
        <f t="shared" si="207"/>
        <v>0</v>
      </c>
      <c r="GA20" s="65"/>
      <c r="GB20" s="74" t="s">
        <v>1947</v>
      </c>
      <c r="GC20" s="73">
        <f t="shared" si="207"/>
        <v>0</v>
      </c>
      <c r="GD20" s="65"/>
      <c r="GE20" s="74" t="s">
        <v>1947</v>
      </c>
      <c r="GF20" s="73">
        <f t="shared" si="207"/>
        <v>0</v>
      </c>
      <c r="GG20" s="65"/>
      <c r="GH20" s="74" t="s">
        <v>1947</v>
      </c>
      <c r="GI20" s="73">
        <f t="shared" si="205"/>
        <v>0</v>
      </c>
      <c r="GJ20" s="65"/>
      <c r="GK20" s="74" t="s">
        <v>2132</v>
      </c>
      <c r="GL20" s="73">
        <f t="shared" si="205"/>
        <v>0</v>
      </c>
      <c r="GM20" s="65"/>
      <c r="GN20" s="74"/>
      <c r="GO20" s="73">
        <f t="shared" si="203"/>
        <v>0</v>
      </c>
      <c r="GP20" s="65"/>
      <c r="GQ20" s="74"/>
      <c r="GR20" s="73">
        <f t="shared" si="203"/>
        <v>0</v>
      </c>
      <c r="GS20" s="65"/>
      <c r="GT20" s="74"/>
      <c r="GU20" s="73">
        <f t="shared" si="203"/>
        <v>0</v>
      </c>
      <c r="GV20" s="65"/>
      <c r="GW20" s="74"/>
      <c r="GX20" s="73">
        <f t="shared" si="203"/>
        <v>0</v>
      </c>
      <c r="GY20" s="65"/>
      <c r="GZ20" s="74"/>
      <c r="HA20" s="73">
        <f t="shared" si="203"/>
        <v>0</v>
      </c>
      <c r="HB20" s="65"/>
      <c r="HC20" s="74"/>
      <c r="HD20" s="73">
        <f t="shared" si="203"/>
        <v>0</v>
      </c>
      <c r="HE20" s="65"/>
      <c r="HF20" s="74"/>
      <c r="HG20" s="73">
        <f t="shared" si="203"/>
        <v>0</v>
      </c>
      <c r="HH20" s="65"/>
      <c r="HI20" s="74"/>
      <c r="HJ20" s="73">
        <f t="shared" si="203"/>
        <v>0</v>
      </c>
      <c r="HK20" s="65"/>
      <c r="HL20" s="74"/>
      <c r="HM20" s="73">
        <f t="shared" si="203"/>
        <v>0</v>
      </c>
      <c r="HN20" s="65"/>
      <c r="HO20" s="74"/>
      <c r="HP20" s="73">
        <f t="shared" si="203"/>
        <v>0</v>
      </c>
      <c r="HQ20" s="65"/>
      <c r="HR20" s="74"/>
      <c r="HS20" s="73">
        <f t="shared" si="203"/>
        <v>0</v>
      </c>
      <c r="HT20" s="65"/>
      <c r="HU20" s="74"/>
      <c r="HV20" s="73">
        <f t="shared" si="203"/>
        <v>0</v>
      </c>
      <c r="HW20" s="65"/>
      <c r="HX20" s="74"/>
      <c r="HY20" s="73">
        <f t="shared" si="203"/>
        <v>0</v>
      </c>
      <c r="HZ20" s="65"/>
      <c r="IA20" s="74"/>
      <c r="IB20" s="73">
        <f t="shared" si="203"/>
        <v>0</v>
      </c>
      <c r="IC20" s="65"/>
      <c r="ID20" s="74"/>
      <c r="IE20" s="73">
        <f t="shared" si="203"/>
        <v>0</v>
      </c>
      <c r="IF20" s="65"/>
      <c r="IG20" s="74"/>
      <c r="IH20" s="73">
        <f t="shared" si="203"/>
        <v>0</v>
      </c>
      <c r="II20" s="65"/>
      <c r="IJ20" s="74"/>
      <c r="IK20" s="73">
        <f t="shared" si="203"/>
        <v>0</v>
      </c>
      <c r="IL20" s="65"/>
      <c r="IM20" s="74"/>
      <c r="IN20" s="73">
        <f t="shared" si="203"/>
        <v>0</v>
      </c>
      <c r="IO20" s="65"/>
      <c r="IP20" s="74"/>
      <c r="IQ20" s="73">
        <f t="shared" si="203"/>
        <v>0</v>
      </c>
      <c r="IR20" s="65"/>
      <c r="IS20" s="74"/>
      <c r="IT20" s="73">
        <f t="shared" si="203"/>
        <v>0</v>
      </c>
      <c r="IU20" s="65"/>
      <c r="IV20" s="74"/>
      <c r="IW20" s="73">
        <f t="shared" ref="IW20:LE34" si="208">IFERROR(IF($M20=IV20,($D$8+$D$9+$D$10)*$I20,IF($N20=LEFT(IV20,1),($D$8+MAX(0,IF($D$50=1,$D$9*(1-(ABS($Q20-ABS(VALUE(MID(IV20,FIND("|",IV20)+1,FIND("-",IV20)-FIND("|",IV20)-1))-VALUE(MID(IV20,FIND("-",IV20)+1,10)))))*$D$50),$D$9*(1-(IF($N20="X",ABS($O20-VALUE(MID(IV20,FIND("|",IV20)+1,FIND("-",IV20)-FIND("|",IV20)-1))),ABS($Q20-ABS(VALUE(MID(IV20,FIND("|",IV20)+1,FIND("-",IV20)-FIND("|",IV20)-1))-VALUE(MID(IV20,FIND("-",IV20)+1,10)))))*$D$50)))))*$I20,0)),0)</f>
        <v>0</v>
      </c>
      <c r="IX20" s="65"/>
      <c r="IY20" s="74"/>
      <c r="IZ20" s="73">
        <f t="shared" si="208"/>
        <v>0</v>
      </c>
      <c r="JA20" s="65"/>
      <c r="JB20" s="74"/>
      <c r="JC20" s="73">
        <f t="shared" si="208"/>
        <v>0</v>
      </c>
      <c r="JD20" s="65"/>
      <c r="JE20" s="74"/>
      <c r="JF20" s="73">
        <f t="shared" si="208"/>
        <v>0</v>
      </c>
      <c r="JG20" s="65"/>
      <c r="JH20" s="74"/>
      <c r="JI20" s="73">
        <f t="shared" si="208"/>
        <v>0</v>
      </c>
      <c r="JJ20" s="65"/>
      <c r="JK20" s="74"/>
      <c r="JL20" s="73">
        <f t="shared" si="208"/>
        <v>0</v>
      </c>
      <c r="JM20" s="65"/>
      <c r="JN20" s="74"/>
      <c r="JO20" s="73">
        <f t="shared" si="208"/>
        <v>0</v>
      </c>
      <c r="JP20" s="65"/>
      <c r="JQ20" s="74"/>
      <c r="JR20" s="73">
        <f t="shared" si="208"/>
        <v>0</v>
      </c>
      <c r="JS20" s="65"/>
      <c r="JT20" s="74"/>
      <c r="JU20" s="73">
        <f t="shared" si="208"/>
        <v>0</v>
      </c>
      <c r="JV20" s="65"/>
      <c r="JW20" s="74"/>
      <c r="JX20" s="73">
        <f t="shared" si="208"/>
        <v>0</v>
      </c>
      <c r="JY20" s="65"/>
      <c r="JZ20" s="74"/>
      <c r="KA20" s="73">
        <f t="shared" si="208"/>
        <v>0</v>
      </c>
      <c r="KB20" s="65"/>
      <c r="KC20" s="74"/>
      <c r="KD20" s="73">
        <f t="shared" si="208"/>
        <v>0</v>
      </c>
      <c r="KE20" s="65"/>
      <c r="KF20" s="74"/>
      <c r="KG20" s="73">
        <f t="shared" si="208"/>
        <v>0</v>
      </c>
      <c r="KH20" s="65"/>
      <c r="KI20" s="74"/>
      <c r="KJ20" s="73">
        <f t="shared" si="208"/>
        <v>0</v>
      </c>
      <c r="KK20" s="65"/>
      <c r="KL20" s="74"/>
      <c r="KM20" s="73">
        <f t="shared" si="208"/>
        <v>0</v>
      </c>
      <c r="KN20" s="65"/>
      <c r="KO20" s="74"/>
      <c r="KP20" s="73">
        <f t="shared" si="208"/>
        <v>0</v>
      </c>
      <c r="KQ20" s="65"/>
      <c r="KR20" s="74"/>
      <c r="KS20" s="73">
        <f t="shared" si="208"/>
        <v>0</v>
      </c>
      <c r="KT20" s="65"/>
      <c r="KU20" s="74"/>
      <c r="KV20" s="73">
        <f t="shared" si="208"/>
        <v>0</v>
      </c>
      <c r="KW20" s="65"/>
      <c r="KX20" s="74"/>
      <c r="KY20" s="73">
        <f t="shared" si="208"/>
        <v>0</v>
      </c>
      <c r="KZ20" s="65"/>
      <c r="LA20" s="74"/>
      <c r="LB20" s="73">
        <f t="shared" si="208"/>
        <v>0</v>
      </c>
      <c r="LC20" s="65"/>
      <c r="LD20" s="74"/>
      <c r="LE20" s="73">
        <f t="shared" si="208"/>
        <v>0</v>
      </c>
      <c r="LF20" s="65"/>
      <c r="LG20" s="65"/>
    </row>
    <row r="21" spans="1:319">
      <c r="A21" s="49"/>
      <c r="B21" s="49"/>
      <c r="C21" s="438" t="str">
        <f>Idiomas!D317&amp;"**"</f>
        <v>ROUND OF 16 - Goal Difference (with 1X2 correct)**</v>
      </c>
      <c r="D21" s="44">
        <v>2</v>
      </c>
      <c r="E21" s="111"/>
      <c r="F21" s="445">
        <f t="shared" si="197"/>
        <v>20</v>
      </c>
      <c r="G21" s="445">
        <f ca="1">VLOOKUP(H21,Equipos!$Q$1:$R$25,2,0)</f>
        <v>6</v>
      </c>
      <c r="H21" s="446">
        <f ca="1">TRUNC(INDEX(WORLDCUP!$X$4:$X$147,MATCH(ADMIN!K21,WORLDCUP!$DT$4:$DT$147,0))+INDEX(Horarios!$R$3:$R$86,MATCH(Horarios!$C$3,Horarios!$P$3:$P$86,0))/24)</f>
        <v>46189</v>
      </c>
      <c r="I21" s="48">
        <v>1</v>
      </c>
      <c r="J21" s="96" t="s">
        <v>512</v>
      </c>
      <c r="K21" s="53" t="str">
        <f ca="1">CONCATENATE(WORLDCUP!AA61,"-",WORLDCUP!AF61)</f>
        <v>Saudi Arabia-Uruguay</v>
      </c>
      <c r="L21" s="53"/>
      <c r="M21" s="55" t="str">
        <f>IF(OR(WORLDCUP!AC61="",WORLDCUP!AD61=""),"-",N21&amp;"|"&amp;O21&amp;"-"&amp;P21)</f>
        <v>X|1-1</v>
      </c>
      <c r="N21" s="25" t="str">
        <f>IF(OR(WORLDCUP!AC61="",WORLDCUP!AD61=""),"",IF(WORLDCUP!AC61&gt;WORLDCUP!AD61,"1",IF(WORLDCUP!AC61&lt;WORLDCUP!AD61,"2","X")))</f>
        <v>X</v>
      </c>
      <c r="O21" s="25">
        <f>WORLDCUP!AC61</f>
        <v>1</v>
      </c>
      <c r="P21" s="25">
        <f>WORLDCUP!AD61</f>
        <v>1</v>
      </c>
      <c r="Q21" s="25">
        <f t="shared" si="201"/>
        <v>0</v>
      </c>
      <c r="R21" s="49"/>
      <c r="S21" s="74" t="s">
        <v>1943</v>
      </c>
      <c r="T21" s="73">
        <f t="shared" si="198"/>
        <v>0</v>
      </c>
      <c r="U21" s="65"/>
      <c r="V21" s="74" t="s">
        <v>1955</v>
      </c>
      <c r="W21" s="73">
        <f t="shared" si="199"/>
        <v>0</v>
      </c>
      <c r="X21" s="65"/>
      <c r="Y21" s="74" t="s">
        <v>1960</v>
      </c>
      <c r="Z21" s="73">
        <f t="shared" si="204"/>
        <v>0</v>
      </c>
      <c r="AA21" s="65"/>
      <c r="AB21" s="74" t="s">
        <v>1953</v>
      </c>
      <c r="AC21" s="73">
        <f t="shared" si="204"/>
        <v>0</v>
      </c>
      <c r="AD21" s="65"/>
      <c r="AE21" s="74" t="s">
        <v>2000</v>
      </c>
      <c r="AF21" s="73">
        <f t="shared" si="204"/>
        <v>0</v>
      </c>
      <c r="AG21" s="65"/>
      <c r="AH21" s="74" t="s">
        <v>2131</v>
      </c>
      <c r="AI21" s="73">
        <f t="shared" si="204"/>
        <v>0</v>
      </c>
      <c r="AJ21" s="65"/>
      <c r="AK21" s="74" t="s">
        <v>1953</v>
      </c>
      <c r="AL21" s="73">
        <f t="shared" si="204"/>
        <v>0</v>
      </c>
      <c r="AM21" s="65"/>
      <c r="AN21" s="74" t="s">
        <v>2000</v>
      </c>
      <c r="AO21" s="73">
        <f t="shared" si="204"/>
        <v>0</v>
      </c>
      <c r="AP21" s="65"/>
      <c r="AQ21" s="74" t="s">
        <v>1960</v>
      </c>
      <c r="AR21" s="73">
        <f t="shared" si="204"/>
        <v>0</v>
      </c>
      <c r="AS21" s="65"/>
      <c r="AT21" s="74" t="s">
        <v>1948</v>
      </c>
      <c r="AU21" s="73">
        <f t="shared" si="204"/>
        <v>0</v>
      </c>
      <c r="AV21" s="65"/>
      <c r="AW21" s="74" t="s">
        <v>1960</v>
      </c>
      <c r="AX21" s="73">
        <f t="shared" si="204"/>
        <v>0</v>
      </c>
      <c r="AY21" s="65"/>
      <c r="AZ21" s="74" t="s">
        <v>2000</v>
      </c>
      <c r="BA21" s="73">
        <f t="shared" si="204"/>
        <v>0</v>
      </c>
      <c r="BB21" s="65"/>
      <c r="BC21" s="74" t="s">
        <v>1953</v>
      </c>
      <c r="BD21" s="73">
        <f t="shared" si="204"/>
        <v>0</v>
      </c>
      <c r="BE21" s="65"/>
      <c r="BF21" s="74" t="s">
        <v>2133</v>
      </c>
      <c r="BG21" s="73">
        <f t="shared" si="204"/>
        <v>12</v>
      </c>
      <c r="BH21" s="65"/>
      <c r="BI21" s="74" t="s">
        <v>1944</v>
      </c>
      <c r="BJ21" s="73">
        <f t="shared" si="204"/>
        <v>12</v>
      </c>
      <c r="BK21" s="65"/>
      <c r="BL21" s="74" t="s">
        <v>1957</v>
      </c>
      <c r="BM21" s="73">
        <f t="shared" si="204"/>
        <v>20</v>
      </c>
      <c r="BN21" s="65"/>
      <c r="BO21" s="74" t="s">
        <v>1948</v>
      </c>
      <c r="BP21" s="73">
        <f t="shared" si="204"/>
        <v>0</v>
      </c>
      <c r="BQ21" s="65"/>
      <c r="BR21" s="74" t="s">
        <v>1960</v>
      </c>
      <c r="BS21" s="73">
        <f t="shared" si="204"/>
        <v>0</v>
      </c>
      <c r="BT21" s="65"/>
      <c r="BU21" s="74" t="s">
        <v>2000</v>
      </c>
      <c r="BV21" s="73">
        <f t="shared" si="204"/>
        <v>0</v>
      </c>
      <c r="BW21" s="65"/>
      <c r="BX21" s="74" t="s">
        <v>2133</v>
      </c>
      <c r="BY21" s="73">
        <f t="shared" si="204"/>
        <v>12</v>
      </c>
      <c r="BZ21" s="65"/>
      <c r="CA21" s="74" t="s">
        <v>1953</v>
      </c>
      <c r="CB21" s="73">
        <f t="shared" si="204"/>
        <v>0</v>
      </c>
      <c r="CC21" s="65"/>
      <c r="CD21" s="74" t="s">
        <v>2000</v>
      </c>
      <c r="CE21" s="73">
        <f t="shared" si="204"/>
        <v>0</v>
      </c>
      <c r="CF21" s="65"/>
      <c r="CG21" s="74" t="s">
        <v>1960</v>
      </c>
      <c r="CH21" s="73">
        <f t="shared" si="204"/>
        <v>0</v>
      </c>
      <c r="CI21" s="65"/>
      <c r="CJ21" s="74" t="s">
        <v>1953</v>
      </c>
      <c r="CK21" s="73">
        <f t="shared" si="202"/>
        <v>0</v>
      </c>
      <c r="CL21" s="65"/>
      <c r="CM21" s="74" t="s">
        <v>1955</v>
      </c>
      <c r="CN21" s="73">
        <f t="shared" si="202"/>
        <v>0</v>
      </c>
      <c r="CO21" s="65"/>
      <c r="CP21" s="74" t="s">
        <v>2133</v>
      </c>
      <c r="CQ21" s="73">
        <f t="shared" si="202"/>
        <v>12</v>
      </c>
      <c r="CR21" s="65"/>
      <c r="CS21" s="74" t="s">
        <v>1960</v>
      </c>
      <c r="CT21" s="73">
        <f t="shared" si="202"/>
        <v>0</v>
      </c>
      <c r="CU21" s="65"/>
      <c r="CV21" s="74" t="s">
        <v>1948</v>
      </c>
      <c r="CW21" s="73">
        <f t="shared" si="202"/>
        <v>0</v>
      </c>
      <c r="CX21" s="65"/>
      <c r="CY21" s="74" t="s">
        <v>1955</v>
      </c>
      <c r="CZ21" s="73">
        <f t="shared" si="202"/>
        <v>0</v>
      </c>
      <c r="DA21" s="65"/>
      <c r="DB21" s="74" t="s">
        <v>1948</v>
      </c>
      <c r="DC21" s="73">
        <f t="shared" si="202"/>
        <v>0</v>
      </c>
      <c r="DD21" s="65"/>
      <c r="DE21" s="74" t="s">
        <v>1953</v>
      </c>
      <c r="DF21" s="73">
        <f t="shared" si="202"/>
        <v>0</v>
      </c>
      <c r="DG21" s="65"/>
      <c r="DH21" s="74" t="s">
        <v>2106</v>
      </c>
      <c r="DI21" s="73">
        <f t="shared" si="202"/>
        <v>0</v>
      </c>
      <c r="DJ21" s="65"/>
      <c r="DK21" s="74" t="s">
        <v>1960</v>
      </c>
      <c r="DL21" s="73">
        <f t="shared" si="202"/>
        <v>0</v>
      </c>
      <c r="DM21" s="65"/>
      <c r="DN21" s="74" t="s">
        <v>1948</v>
      </c>
      <c r="DO21" s="73">
        <f t="shared" si="202"/>
        <v>0</v>
      </c>
      <c r="DP21" s="65"/>
      <c r="DQ21" s="74" t="s">
        <v>2000</v>
      </c>
      <c r="DR21" s="73">
        <f t="shared" si="202"/>
        <v>0</v>
      </c>
      <c r="DS21" s="65"/>
      <c r="DT21" s="74" t="s">
        <v>1960</v>
      </c>
      <c r="DU21" s="73">
        <f t="shared" si="207"/>
        <v>0</v>
      </c>
      <c r="DV21" s="65"/>
      <c r="DW21" s="74" t="s">
        <v>1948</v>
      </c>
      <c r="DX21" s="73">
        <f t="shared" si="207"/>
        <v>0</v>
      </c>
      <c r="DY21" s="65"/>
      <c r="DZ21" s="74" t="s">
        <v>1960</v>
      </c>
      <c r="EA21" s="73">
        <f t="shared" si="207"/>
        <v>0</v>
      </c>
      <c r="EB21" s="65"/>
      <c r="EC21" s="74" t="s">
        <v>1960</v>
      </c>
      <c r="ED21" s="73">
        <f t="shared" si="207"/>
        <v>0</v>
      </c>
      <c r="EE21" s="65"/>
      <c r="EF21" s="74" t="s">
        <v>1944</v>
      </c>
      <c r="EG21" s="73">
        <f t="shared" si="207"/>
        <v>12</v>
      </c>
      <c r="EH21" s="65"/>
      <c r="EI21" s="74" t="s">
        <v>1960</v>
      </c>
      <c r="EJ21" s="73">
        <f t="shared" si="207"/>
        <v>0</v>
      </c>
      <c r="EK21" s="65"/>
      <c r="EL21" s="74" t="s">
        <v>1960</v>
      </c>
      <c r="EM21" s="73">
        <f t="shared" si="207"/>
        <v>0</v>
      </c>
      <c r="EN21" s="65"/>
      <c r="EO21" s="74" t="s">
        <v>1960</v>
      </c>
      <c r="EP21" s="73">
        <f t="shared" si="207"/>
        <v>0</v>
      </c>
      <c r="EQ21" s="65"/>
      <c r="ER21" s="74" t="s">
        <v>1960</v>
      </c>
      <c r="ES21" s="73">
        <f t="shared" si="207"/>
        <v>0</v>
      </c>
      <c r="ET21" s="65"/>
      <c r="EU21" s="74" t="s">
        <v>1960</v>
      </c>
      <c r="EV21" s="73">
        <f t="shared" si="207"/>
        <v>0</v>
      </c>
      <c r="EW21" s="65"/>
      <c r="EX21" s="74" t="s">
        <v>1960</v>
      </c>
      <c r="EY21" s="73">
        <f t="shared" si="207"/>
        <v>0</v>
      </c>
      <c r="EZ21" s="65"/>
      <c r="FA21" s="74" t="s">
        <v>1960</v>
      </c>
      <c r="FB21" s="73">
        <f t="shared" si="207"/>
        <v>0</v>
      </c>
      <c r="FC21" s="65"/>
      <c r="FD21" s="74" t="s">
        <v>1959</v>
      </c>
      <c r="FE21" s="73">
        <f t="shared" si="207"/>
        <v>0</v>
      </c>
      <c r="FF21" s="65"/>
      <c r="FG21" s="74" t="s">
        <v>1955</v>
      </c>
      <c r="FH21" s="73">
        <f t="shared" si="207"/>
        <v>0</v>
      </c>
      <c r="FI21" s="65"/>
      <c r="FJ21" s="74" t="s">
        <v>1960</v>
      </c>
      <c r="FK21" s="73">
        <f t="shared" si="207"/>
        <v>0</v>
      </c>
      <c r="FL21" s="65"/>
      <c r="FM21" s="74" t="s">
        <v>1948</v>
      </c>
      <c r="FN21" s="73">
        <f t="shared" si="207"/>
        <v>0</v>
      </c>
      <c r="FO21" s="65"/>
      <c r="FP21" s="74" t="s">
        <v>2000</v>
      </c>
      <c r="FQ21" s="73">
        <f t="shared" si="207"/>
        <v>0</v>
      </c>
      <c r="FR21" s="65"/>
      <c r="FS21" s="74" t="s">
        <v>1960</v>
      </c>
      <c r="FT21" s="73">
        <f t="shared" si="207"/>
        <v>0</v>
      </c>
      <c r="FU21" s="65"/>
      <c r="FV21" s="74" t="s">
        <v>1960</v>
      </c>
      <c r="FW21" s="73">
        <f t="shared" si="207"/>
        <v>0</v>
      </c>
      <c r="FX21" s="65"/>
      <c r="FY21" s="74" t="s">
        <v>1960</v>
      </c>
      <c r="FZ21" s="73">
        <f t="shared" si="207"/>
        <v>0</v>
      </c>
      <c r="GA21" s="65"/>
      <c r="GB21" s="74" t="s">
        <v>1953</v>
      </c>
      <c r="GC21" s="73">
        <f t="shared" si="207"/>
        <v>0</v>
      </c>
      <c r="GD21" s="65"/>
      <c r="GE21" s="74" t="s">
        <v>1948</v>
      </c>
      <c r="GF21" s="73">
        <f t="shared" si="207"/>
        <v>0</v>
      </c>
      <c r="GG21" s="65"/>
      <c r="GH21" s="74" t="s">
        <v>1957</v>
      </c>
      <c r="GI21" s="73">
        <f t="shared" si="205"/>
        <v>20</v>
      </c>
      <c r="GJ21" s="65"/>
      <c r="GK21" s="74" t="s">
        <v>1953</v>
      </c>
      <c r="GL21" s="73">
        <f t="shared" si="205"/>
        <v>0</v>
      </c>
      <c r="GM21" s="65"/>
      <c r="GN21" s="74"/>
      <c r="GO21" s="73">
        <f t="shared" si="203"/>
        <v>0</v>
      </c>
      <c r="GP21" s="65"/>
      <c r="GQ21" s="74"/>
      <c r="GR21" s="73">
        <f t="shared" si="203"/>
        <v>0</v>
      </c>
      <c r="GS21" s="65"/>
      <c r="GT21" s="74"/>
      <c r="GU21" s="73">
        <f t="shared" si="203"/>
        <v>0</v>
      </c>
      <c r="GV21" s="65"/>
      <c r="GW21" s="74"/>
      <c r="GX21" s="73">
        <f t="shared" si="203"/>
        <v>0</v>
      </c>
      <c r="GY21" s="65"/>
      <c r="GZ21" s="74"/>
      <c r="HA21" s="73">
        <f t="shared" si="203"/>
        <v>0</v>
      </c>
      <c r="HB21" s="65"/>
      <c r="HC21" s="74"/>
      <c r="HD21" s="73">
        <f t="shared" si="203"/>
        <v>0</v>
      </c>
      <c r="HE21" s="65"/>
      <c r="HF21" s="74"/>
      <c r="HG21" s="73">
        <f t="shared" si="203"/>
        <v>0</v>
      </c>
      <c r="HH21" s="65"/>
      <c r="HI21" s="74"/>
      <c r="HJ21" s="73">
        <f t="shared" si="203"/>
        <v>0</v>
      </c>
      <c r="HK21" s="65"/>
      <c r="HL21" s="74"/>
      <c r="HM21" s="73">
        <f t="shared" si="203"/>
        <v>0</v>
      </c>
      <c r="HN21" s="65"/>
      <c r="HO21" s="74"/>
      <c r="HP21" s="73">
        <f t="shared" si="203"/>
        <v>0</v>
      </c>
      <c r="HQ21" s="65"/>
      <c r="HR21" s="74"/>
      <c r="HS21" s="73">
        <f t="shared" si="203"/>
        <v>0</v>
      </c>
      <c r="HT21" s="65"/>
      <c r="HU21" s="74"/>
      <c r="HV21" s="73">
        <f t="shared" si="203"/>
        <v>0</v>
      </c>
      <c r="HW21" s="65"/>
      <c r="HX21" s="74"/>
      <c r="HY21" s="73">
        <f t="shared" si="203"/>
        <v>0</v>
      </c>
      <c r="HZ21" s="65"/>
      <c r="IA21" s="74"/>
      <c r="IB21" s="73">
        <f t="shared" si="203"/>
        <v>0</v>
      </c>
      <c r="IC21" s="65"/>
      <c r="ID21" s="74"/>
      <c r="IE21" s="73">
        <f t="shared" si="203"/>
        <v>0</v>
      </c>
      <c r="IF21" s="65"/>
      <c r="IG21" s="74"/>
      <c r="IH21" s="73">
        <f t="shared" si="203"/>
        <v>0</v>
      </c>
      <c r="II21" s="65"/>
      <c r="IJ21" s="74"/>
      <c r="IK21" s="73">
        <f t="shared" si="203"/>
        <v>0</v>
      </c>
      <c r="IL21" s="65"/>
      <c r="IM21" s="74"/>
      <c r="IN21" s="73">
        <f t="shared" si="203"/>
        <v>0</v>
      </c>
      <c r="IO21" s="65"/>
      <c r="IP21" s="74"/>
      <c r="IQ21" s="73">
        <f t="shared" si="203"/>
        <v>0</v>
      </c>
      <c r="IR21" s="65"/>
      <c r="IS21" s="74"/>
      <c r="IT21" s="73">
        <f t="shared" si="203"/>
        <v>0</v>
      </c>
      <c r="IU21" s="65"/>
      <c r="IV21" s="74"/>
      <c r="IW21" s="73">
        <f t="shared" si="208"/>
        <v>0</v>
      </c>
      <c r="IX21" s="65"/>
      <c r="IY21" s="74"/>
      <c r="IZ21" s="73">
        <f t="shared" si="208"/>
        <v>0</v>
      </c>
      <c r="JA21" s="65"/>
      <c r="JB21" s="74"/>
      <c r="JC21" s="73">
        <f t="shared" si="208"/>
        <v>0</v>
      </c>
      <c r="JD21" s="65"/>
      <c r="JE21" s="74"/>
      <c r="JF21" s="73">
        <f t="shared" si="208"/>
        <v>0</v>
      </c>
      <c r="JG21" s="65"/>
      <c r="JH21" s="74"/>
      <c r="JI21" s="73">
        <f t="shared" si="208"/>
        <v>0</v>
      </c>
      <c r="JJ21" s="65"/>
      <c r="JK21" s="74"/>
      <c r="JL21" s="73">
        <f t="shared" si="208"/>
        <v>0</v>
      </c>
      <c r="JM21" s="65"/>
      <c r="JN21" s="74"/>
      <c r="JO21" s="73">
        <f t="shared" si="208"/>
        <v>0</v>
      </c>
      <c r="JP21" s="65"/>
      <c r="JQ21" s="74"/>
      <c r="JR21" s="73">
        <f t="shared" si="208"/>
        <v>0</v>
      </c>
      <c r="JS21" s="65"/>
      <c r="JT21" s="74"/>
      <c r="JU21" s="73">
        <f t="shared" si="208"/>
        <v>0</v>
      </c>
      <c r="JV21" s="65"/>
      <c r="JW21" s="74"/>
      <c r="JX21" s="73">
        <f t="shared" si="208"/>
        <v>0</v>
      </c>
      <c r="JY21" s="65"/>
      <c r="JZ21" s="74"/>
      <c r="KA21" s="73">
        <f t="shared" si="208"/>
        <v>0</v>
      </c>
      <c r="KB21" s="65"/>
      <c r="KC21" s="74"/>
      <c r="KD21" s="73">
        <f t="shared" si="208"/>
        <v>0</v>
      </c>
      <c r="KE21" s="65"/>
      <c r="KF21" s="74"/>
      <c r="KG21" s="73">
        <f t="shared" si="208"/>
        <v>0</v>
      </c>
      <c r="KH21" s="65"/>
      <c r="KI21" s="74"/>
      <c r="KJ21" s="73">
        <f t="shared" si="208"/>
        <v>0</v>
      </c>
      <c r="KK21" s="65"/>
      <c r="KL21" s="74"/>
      <c r="KM21" s="73">
        <f t="shared" si="208"/>
        <v>0</v>
      </c>
      <c r="KN21" s="65"/>
      <c r="KO21" s="74"/>
      <c r="KP21" s="73">
        <f t="shared" si="208"/>
        <v>0</v>
      </c>
      <c r="KQ21" s="65"/>
      <c r="KR21" s="74"/>
      <c r="KS21" s="73">
        <f t="shared" si="208"/>
        <v>0</v>
      </c>
      <c r="KT21" s="65"/>
      <c r="KU21" s="74"/>
      <c r="KV21" s="73">
        <f t="shared" si="208"/>
        <v>0</v>
      </c>
      <c r="KW21" s="65"/>
      <c r="KX21" s="74"/>
      <c r="KY21" s="73">
        <f t="shared" si="208"/>
        <v>0</v>
      </c>
      <c r="KZ21" s="65"/>
      <c r="LA21" s="74"/>
      <c r="LB21" s="73">
        <f t="shared" si="208"/>
        <v>0</v>
      </c>
      <c r="LC21" s="65"/>
      <c r="LD21" s="74"/>
      <c r="LE21" s="73">
        <f t="shared" si="208"/>
        <v>0</v>
      </c>
      <c r="LF21" s="65"/>
      <c r="LG21" s="65"/>
    </row>
    <row r="22" spans="1:319">
      <c r="A22" s="49"/>
      <c r="B22" s="49"/>
      <c r="C22" s="437" t="str">
        <f>Idiomas!D318</f>
        <v>ROUND OF 16 - Exact Result</v>
      </c>
      <c r="D22" s="62">
        <v>8</v>
      </c>
      <c r="E22" s="111"/>
      <c r="F22" s="445">
        <f t="shared" si="197"/>
        <v>20</v>
      </c>
      <c r="G22" s="445">
        <f ca="1">VLOOKUP(H22,Equipos!$Q$1:$R$25,2,0)</f>
        <v>6</v>
      </c>
      <c r="H22" s="446">
        <f ca="1">TRUNC(INDEX(WORLDCUP!$X$4:$X$147,MATCH(ADMIN!K22,WORLDCUP!$DT$4:$DT$147,0))+INDEX(Horarios!$R$3:$R$86,MATCH(Horarios!$C$3,Horarios!$P$3:$P$86,0))/24)</f>
        <v>46189</v>
      </c>
      <c r="I22" s="48">
        <v>1</v>
      </c>
      <c r="J22" s="95" t="s">
        <v>179</v>
      </c>
      <c r="K22" s="56" t="str">
        <f ca="1">CONCATENATE(WORLDCUP!AA68,"-",WORLDCUP!AF68)</f>
        <v>France-Senegal</v>
      </c>
      <c r="L22" s="53"/>
      <c r="M22" s="55" t="str">
        <f>IF(OR(WORLDCUP!AC68="",WORLDCUP!AD68=""),"-",N22&amp;"|"&amp;O22&amp;"-"&amp;P22)</f>
        <v>1|3-1</v>
      </c>
      <c r="N22" s="25" t="str">
        <f>IF(OR(WORLDCUP!AC68="",WORLDCUP!AD68=""),"",IF(WORLDCUP!AC68&gt;WORLDCUP!AD68,"1",IF(WORLDCUP!AC68&lt;WORLDCUP!AD68,"2","X")))</f>
        <v>1</v>
      </c>
      <c r="O22" s="25">
        <f>WORLDCUP!AC68</f>
        <v>3</v>
      </c>
      <c r="P22" s="25">
        <f>WORLDCUP!AD68</f>
        <v>1</v>
      </c>
      <c r="Q22" s="25">
        <f t="shared" si="201"/>
        <v>2</v>
      </c>
      <c r="R22" s="49"/>
      <c r="S22" s="74" t="s">
        <v>1944</v>
      </c>
      <c r="T22" s="73">
        <f t="shared" si="198"/>
        <v>0</v>
      </c>
      <c r="U22" s="65"/>
      <c r="V22" s="74" t="s">
        <v>1949</v>
      </c>
      <c r="W22" s="73">
        <f t="shared" si="199"/>
        <v>20</v>
      </c>
      <c r="X22" s="65"/>
      <c r="Y22" s="74" t="s">
        <v>1950</v>
      </c>
      <c r="Z22" s="73">
        <f t="shared" si="204"/>
        <v>12</v>
      </c>
      <c r="AA22" s="65"/>
      <c r="AB22" s="74" t="s">
        <v>1949</v>
      </c>
      <c r="AC22" s="73">
        <f t="shared" si="204"/>
        <v>20</v>
      </c>
      <c r="AD22" s="65"/>
      <c r="AE22" s="74" t="s">
        <v>1950</v>
      </c>
      <c r="AF22" s="73">
        <f t="shared" si="204"/>
        <v>12</v>
      </c>
      <c r="AG22" s="65"/>
      <c r="AH22" s="74" t="s">
        <v>1950</v>
      </c>
      <c r="AI22" s="73">
        <f t="shared" si="204"/>
        <v>12</v>
      </c>
      <c r="AJ22" s="65"/>
      <c r="AK22" s="74" t="s">
        <v>1958</v>
      </c>
      <c r="AL22" s="73">
        <f t="shared" si="204"/>
        <v>10</v>
      </c>
      <c r="AM22" s="65"/>
      <c r="AN22" s="74" t="s">
        <v>1957</v>
      </c>
      <c r="AO22" s="73">
        <f t="shared" si="204"/>
        <v>0</v>
      </c>
      <c r="AP22" s="65"/>
      <c r="AQ22" s="74" t="s">
        <v>1945</v>
      </c>
      <c r="AR22" s="73">
        <f t="shared" si="204"/>
        <v>10</v>
      </c>
      <c r="AS22" s="65"/>
      <c r="AT22" s="74" t="s">
        <v>1949</v>
      </c>
      <c r="AU22" s="73">
        <f t="shared" si="204"/>
        <v>20</v>
      </c>
      <c r="AV22" s="65"/>
      <c r="AW22" s="74" t="s">
        <v>1949</v>
      </c>
      <c r="AX22" s="73">
        <f t="shared" si="204"/>
        <v>20</v>
      </c>
      <c r="AY22" s="65"/>
      <c r="AZ22" s="74" t="s">
        <v>1954</v>
      </c>
      <c r="BA22" s="73">
        <f t="shared" si="204"/>
        <v>10</v>
      </c>
      <c r="BB22" s="65"/>
      <c r="BC22" s="74" t="s">
        <v>1954</v>
      </c>
      <c r="BD22" s="73">
        <f t="shared" si="204"/>
        <v>10</v>
      </c>
      <c r="BE22" s="65"/>
      <c r="BF22" s="74" t="s">
        <v>1950</v>
      </c>
      <c r="BG22" s="73">
        <f t="shared" si="204"/>
        <v>12</v>
      </c>
      <c r="BH22" s="65"/>
      <c r="BI22" s="74" t="s">
        <v>1954</v>
      </c>
      <c r="BJ22" s="73">
        <f t="shared" si="204"/>
        <v>10</v>
      </c>
      <c r="BK22" s="65"/>
      <c r="BL22" s="74" t="s">
        <v>1950</v>
      </c>
      <c r="BM22" s="73">
        <f t="shared" si="204"/>
        <v>12</v>
      </c>
      <c r="BN22" s="65"/>
      <c r="BO22" s="74" t="s">
        <v>1949</v>
      </c>
      <c r="BP22" s="73">
        <f t="shared" si="204"/>
        <v>20</v>
      </c>
      <c r="BQ22" s="65"/>
      <c r="BR22" s="74" t="s">
        <v>1950</v>
      </c>
      <c r="BS22" s="73">
        <f t="shared" si="204"/>
        <v>12</v>
      </c>
      <c r="BT22" s="65"/>
      <c r="BU22" s="74" t="s">
        <v>1950</v>
      </c>
      <c r="BV22" s="73">
        <f t="shared" si="204"/>
        <v>12</v>
      </c>
      <c r="BW22" s="65"/>
      <c r="BX22" s="74" t="s">
        <v>1949</v>
      </c>
      <c r="BY22" s="73">
        <f t="shared" si="204"/>
        <v>20</v>
      </c>
      <c r="BZ22" s="65"/>
      <c r="CA22" s="74" t="s">
        <v>1954</v>
      </c>
      <c r="CB22" s="73">
        <f t="shared" si="204"/>
        <v>10</v>
      </c>
      <c r="CC22" s="65"/>
      <c r="CD22" s="74" t="s">
        <v>1959</v>
      </c>
      <c r="CE22" s="73">
        <f t="shared" si="204"/>
        <v>10</v>
      </c>
      <c r="CF22" s="65"/>
      <c r="CG22" s="74" t="s">
        <v>1950</v>
      </c>
      <c r="CH22" s="73">
        <f t="shared" si="204"/>
        <v>12</v>
      </c>
      <c r="CI22" s="65"/>
      <c r="CJ22" s="74" t="s">
        <v>1954</v>
      </c>
      <c r="CK22" s="73">
        <f t="shared" si="202"/>
        <v>10</v>
      </c>
      <c r="CL22" s="65"/>
      <c r="CM22" s="74" t="s">
        <v>1950</v>
      </c>
      <c r="CN22" s="73">
        <f t="shared" si="202"/>
        <v>12</v>
      </c>
      <c r="CO22" s="65"/>
      <c r="CP22" s="74" t="s">
        <v>1950</v>
      </c>
      <c r="CQ22" s="73">
        <f t="shared" si="202"/>
        <v>12</v>
      </c>
      <c r="CR22" s="65"/>
      <c r="CS22" s="74" t="s">
        <v>1957</v>
      </c>
      <c r="CT22" s="73">
        <f t="shared" si="202"/>
        <v>0</v>
      </c>
      <c r="CU22" s="65"/>
      <c r="CV22" s="74" t="s">
        <v>1950</v>
      </c>
      <c r="CW22" s="73">
        <f t="shared" si="202"/>
        <v>12</v>
      </c>
      <c r="CX22" s="65"/>
      <c r="CY22" s="74" t="s">
        <v>1954</v>
      </c>
      <c r="CZ22" s="73">
        <f t="shared" si="202"/>
        <v>10</v>
      </c>
      <c r="DA22" s="65"/>
      <c r="DB22" s="74" t="s">
        <v>1949</v>
      </c>
      <c r="DC22" s="73">
        <f t="shared" si="202"/>
        <v>20</v>
      </c>
      <c r="DD22" s="65"/>
      <c r="DE22" s="74" t="s">
        <v>1949</v>
      </c>
      <c r="DF22" s="73">
        <f t="shared" si="202"/>
        <v>20</v>
      </c>
      <c r="DG22" s="65"/>
      <c r="DH22" s="74" t="s">
        <v>1950</v>
      </c>
      <c r="DI22" s="73">
        <f t="shared" si="202"/>
        <v>12</v>
      </c>
      <c r="DJ22" s="65"/>
      <c r="DK22" s="74" t="s">
        <v>1950</v>
      </c>
      <c r="DL22" s="73">
        <f t="shared" si="202"/>
        <v>12</v>
      </c>
      <c r="DM22" s="65"/>
      <c r="DN22" s="74" t="s">
        <v>1944</v>
      </c>
      <c r="DO22" s="73">
        <f t="shared" si="202"/>
        <v>0</v>
      </c>
      <c r="DP22" s="65"/>
      <c r="DQ22" s="74" t="s">
        <v>1950</v>
      </c>
      <c r="DR22" s="73">
        <f t="shared" si="202"/>
        <v>12</v>
      </c>
      <c r="DS22" s="65"/>
      <c r="DT22" s="74" t="s">
        <v>1954</v>
      </c>
      <c r="DU22" s="73">
        <f t="shared" si="207"/>
        <v>10</v>
      </c>
      <c r="DV22" s="65"/>
      <c r="DW22" s="74" t="s">
        <v>1950</v>
      </c>
      <c r="DX22" s="73">
        <f t="shared" si="207"/>
        <v>12</v>
      </c>
      <c r="DY22" s="65"/>
      <c r="DZ22" s="74" t="s">
        <v>1950</v>
      </c>
      <c r="EA22" s="73">
        <f t="shared" si="207"/>
        <v>12</v>
      </c>
      <c r="EB22" s="65"/>
      <c r="EC22" s="74" t="s">
        <v>1954</v>
      </c>
      <c r="ED22" s="73">
        <f t="shared" si="207"/>
        <v>10</v>
      </c>
      <c r="EE22" s="65"/>
      <c r="EF22" s="74" t="s">
        <v>1944</v>
      </c>
      <c r="EG22" s="73">
        <f t="shared" si="207"/>
        <v>0</v>
      </c>
      <c r="EH22" s="65"/>
      <c r="EI22" s="74" t="s">
        <v>1950</v>
      </c>
      <c r="EJ22" s="73">
        <f t="shared" si="207"/>
        <v>12</v>
      </c>
      <c r="EK22" s="65"/>
      <c r="EL22" s="74" t="s">
        <v>1950</v>
      </c>
      <c r="EM22" s="73">
        <f t="shared" si="207"/>
        <v>12</v>
      </c>
      <c r="EN22" s="65"/>
      <c r="EO22" s="74" t="s">
        <v>1950</v>
      </c>
      <c r="EP22" s="73">
        <f t="shared" si="207"/>
        <v>12</v>
      </c>
      <c r="EQ22" s="65"/>
      <c r="ER22" s="74" t="s">
        <v>1954</v>
      </c>
      <c r="ES22" s="73">
        <f t="shared" si="207"/>
        <v>10</v>
      </c>
      <c r="ET22" s="65"/>
      <c r="EU22" s="74" t="s">
        <v>1954</v>
      </c>
      <c r="EV22" s="73">
        <f t="shared" si="207"/>
        <v>10</v>
      </c>
      <c r="EW22" s="65"/>
      <c r="EX22" s="74" t="s">
        <v>1949</v>
      </c>
      <c r="EY22" s="73">
        <f t="shared" si="207"/>
        <v>20</v>
      </c>
      <c r="EZ22" s="65"/>
      <c r="FA22" s="74" t="s">
        <v>1954</v>
      </c>
      <c r="FB22" s="73">
        <f t="shared" si="207"/>
        <v>10</v>
      </c>
      <c r="FC22" s="65"/>
      <c r="FD22" s="74" t="s">
        <v>1958</v>
      </c>
      <c r="FE22" s="73">
        <f t="shared" si="207"/>
        <v>10</v>
      </c>
      <c r="FF22" s="65"/>
      <c r="FG22" s="74" t="s">
        <v>1954</v>
      </c>
      <c r="FH22" s="73">
        <f t="shared" si="207"/>
        <v>10</v>
      </c>
      <c r="FI22" s="65"/>
      <c r="FJ22" s="74" t="s">
        <v>1954</v>
      </c>
      <c r="FK22" s="73">
        <f t="shared" si="207"/>
        <v>10</v>
      </c>
      <c r="FL22" s="65"/>
      <c r="FM22" s="74" t="s">
        <v>1949</v>
      </c>
      <c r="FN22" s="73">
        <f t="shared" si="207"/>
        <v>20</v>
      </c>
      <c r="FO22" s="65"/>
      <c r="FP22" s="74" t="s">
        <v>1950</v>
      </c>
      <c r="FQ22" s="73">
        <f t="shared" si="207"/>
        <v>12</v>
      </c>
      <c r="FR22" s="65"/>
      <c r="FS22" s="74" t="s">
        <v>1954</v>
      </c>
      <c r="FT22" s="73">
        <f t="shared" si="207"/>
        <v>10</v>
      </c>
      <c r="FU22" s="65"/>
      <c r="FV22" s="74" t="s">
        <v>1954</v>
      </c>
      <c r="FW22" s="73">
        <f t="shared" si="207"/>
        <v>10</v>
      </c>
      <c r="FX22" s="65"/>
      <c r="FY22" s="74" t="s">
        <v>1954</v>
      </c>
      <c r="FZ22" s="73">
        <f t="shared" si="207"/>
        <v>10</v>
      </c>
      <c r="GA22" s="65"/>
      <c r="GB22" s="74" t="s">
        <v>1954</v>
      </c>
      <c r="GC22" s="73">
        <f t="shared" si="207"/>
        <v>10</v>
      </c>
      <c r="GD22" s="65"/>
      <c r="GE22" s="74" t="s">
        <v>1954</v>
      </c>
      <c r="GF22" s="73">
        <f t="shared" si="207"/>
        <v>10</v>
      </c>
      <c r="GG22" s="65"/>
      <c r="GH22" s="74" t="s">
        <v>1949</v>
      </c>
      <c r="GI22" s="73">
        <f t="shared" si="205"/>
        <v>20</v>
      </c>
      <c r="GJ22" s="65"/>
      <c r="GK22" s="74" t="s">
        <v>1954</v>
      </c>
      <c r="GL22" s="73">
        <f t="shared" si="205"/>
        <v>10</v>
      </c>
      <c r="GM22" s="65"/>
      <c r="GN22" s="74"/>
      <c r="GO22" s="73">
        <f t="shared" si="203"/>
        <v>0</v>
      </c>
      <c r="GP22" s="65"/>
      <c r="GQ22" s="74"/>
      <c r="GR22" s="73">
        <f t="shared" si="203"/>
        <v>0</v>
      </c>
      <c r="GS22" s="65"/>
      <c r="GT22" s="74"/>
      <c r="GU22" s="73">
        <f t="shared" si="203"/>
        <v>0</v>
      </c>
      <c r="GV22" s="65"/>
      <c r="GW22" s="74"/>
      <c r="GX22" s="73">
        <f t="shared" si="203"/>
        <v>0</v>
      </c>
      <c r="GY22" s="65"/>
      <c r="GZ22" s="74"/>
      <c r="HA22" s="73">
        <f t="shared" si="203"/>
        <v>0</v>
      </c>
      <c r="HB22" s="65"/>
      <c r="HC22" s="74"/>
      <c r="HD22" s="73">
        <f t="shared" si="203"/>
        <v>0</v>
      </c>
      <c r="HE22" s="65"/>
      <c r="HF22" s="74"/>
      <c r="HG22" s="73">
        <f t="shared" si="203"/>
        <v>0</v>
      </c>
      <c r="HH22" s="65"/>
      <c r="HI22" s="74"/>
      <c r="HJ22" s="73">
        <f t="shared" si="203"/>
        <v>0</v>
      </c>
      <c r="HK22" s="65"/>
      <c r="HL22" s="74"/>
      <c r="HM22" s="73">
        <f t="shared" si="203"/>
        <v>0</v>
      </c>
      <c r="HN22" s="65"/>
      <c r="HO22" s="74"/>
      <c r="HP22" s="73">
        <f t="shared" si="203"/>
        <v>0</v>
      </c>
      <c r="HQ22" s="65"/>
      <c r="HR22" s="74"/>
      <c r="HS22" s="73">
        <f t="shared" si="203"/>
        <v>0</v>
      </c>
      <c r="HT22" s="65"/>
      <c r="HU22" s="74"/>
      <c r="HV22" s="73">
        <f t="shared" si="203"/>
        <v>0</v>
      </c>
      <c r="HW22" s="65"/>
      <c r="HX22" s="74"/>
      <c r="HY22" s="73">
        <f t="shared" si="203"/>
        <v>0</v>
      </c>
      <c r="HZ22" s="65"/>
      <c r="IA22" s="74"/>
      <c r="IB22" s="73">
        <f t="shared" si="203"/>
        <v>0</v>
      </c>
      <c r="IC22" s="65"/>
      <c r="ID22" s="74"/>
      <c r="IE22" s="73">
        <f t="shared" si="203"/>
        <v>0</v>
      </c>
      <c r="IF22" s="65"/>
      <c r="IG22" s="74"/>
      <c r="IH22" s="73">
        <f t="shared" si="203"/>
        <v>0</v>
      </c>
      <c r="II22" s="65"/>
      <c r="IJ22" s="74"/>
      <c r="IK22" s="73">
        <f t="shared" si="203"/>
        <v>0</v>
      </c>
      <c r="IL22" s="65"/>
      <c r="IM22" s="74"/>
      <c r="IN22" s="73">
        <f t="shared" si="203"/>
        <v>0</v>
      </c>
      <c r="IO22" s="65"/>
      <c r="IP22" s="74"/>
      <c r="IQ22" s="73">
        <f t="shared" si="203"/>
        <v>0</v>
      </c>
      <c r="IR22" s="65"/>
      <c r="IS22" s="74"/>
      <c r="IT22" s="73">
        <f t="shared" si="203"/>
        <v>0</v>
      </c>
      <c r="IU22" s="65"/>
      <c r="IV22" s="74"/>
      <c r="IW22" s="73">
        <f t="shared" si="208"/>
        <v>0</v>
      </c>
      <c r="IX22" s="65"/>
      <c r="IY22" s="74"/>
      <c r="IZ22" s="73">
        <f t="shared" si="208"/>
        <v>0</v>
      </c>
      <c r="JA22" s="65"/>
      <c r="JB22" s="74"/>
      <c r="JC22" s="73">
        <f t="shared" si="208"/>
        <v>0</v>
      </c>
      <c r="JD22" s="65"/>
      <c r="JE22" s="74"/>
      <c r="JF22" s="73">
        <f t="shared" si="208"/>
        <v>0</v>
      </c>
      <c r="JG22" s="65"/>
      <c r="JH22" s="74"/>
      <c r="JI22" s="73">
        <f t="shared" si="208"/>
        <v>0</v>
      </c>
      <c r="JJ22" s="65"/>
      <c r="JK22" s="74"/>
      <c r="JL22" s="73">
        <f t="shared" si="208"/>
        <v>0</v>
      </c>
      <c r="JM22" s="65"/>
      <c r="JN22" s="74"/>
      <c r="JO22" s="73">
        <f t="shared" si="208"/>
        <v>0</v>
      </c>
      <c r="JP22" s="65"/>
      <c r="JQ22" s="74"/>
      <c r="JR22" s="73">
        <f t="shared" si="208"/>
        <v>0</v>
      </c>
      <c r="JS22" s="65"/>
      <c r="JT22" s="74"/>
      <c r="JU22" s="73">
        <f t="shared" si="208"/>
        <v>0</v>
      </c>
      <c r="JV22" s="65"/>
      <c r="JW22" s="74"/>
      <c r="JX22" s="73">
        <f t="shared" si="208"/>
        <v>0</v>
      </c>
      <c r="JY22" s="65"/>
      <c r="JZ22" s="74"/>
      <c r="KA22" s="73">
        <f t="shared" si="208"/>
        <v>0</v>
      </c>
      <c r="KB22" s="65"/>
      <c r="KC22" s="74"/>
      <c r="KD22" s="73">
        <f t="shared" si="208"/>
        <v>0</v>
      </c>
      <c r="KE22" s="65"/>
      <c r="KF22" s="74"/>
      <c r="KG22" s="73">
        <f t="shared" si="208"/>
        <v>0</v>
      </c>
      <c r="KH22" s="65"/>
      <c r="KI22" s="74"/>
      <c r="KJ22" s="73">
        <f t="shared" si="208"/>
        <v>0</v>
      </c>
      <c r="KK22" s="65"/>
      <c r="KL22" s="74"/>
      <c r="KM22" s="73">
        <f t="shared" si="208"/>
        <v>0</v>
      </c>
      <c r="KN22" s="65"/>
      <c r="KO22" s="74"/>
      <c r="KP22" s="73">
        <f t="shared" si="208"/>
        <v>0</v>
      </c>
      <c r="KQ22" s="65"/>
      <c r="KR22" s="74"/>
      <c r="KS22" s="73">
        <f t="shared" si="208"/>
        <v>0</v>
      </c>
      <c r="KT22" s="65"/>
      <c r="KU22" s="74"/>
      <c r="KV22" s="73">
        <f t="shared" si="208"/>
        <v>0</v>
      </c>
      <c r="KW22" s="65"/>
      <c r="KX22" s="74"/>
      <c r="KY22" s="73">
        <f t="shared" si="208"/>
        <v>0</v>
      </c>
      <c r="KZ22" s="65"/>
      <c r="LA22" s="74"/>
      <c r="LB22" s="73">
        <f t="shared" si="208"/>
        <v>0</v>
      </c>
      <c r="LC22" s="65"/>
      <c r="LD22" s="74"/>
      <c r="LE22" s="73">
        <f t="shared" si="208"/>
        <v>0</v>
      </c>
      <c r="LF22" s="65"/>
      <c r="LG22" s="65"/>
    </row>
    <row r="23" spans="1:319">
      <c r="A23" s="49"/>
      <c r="B23" s="49"/>
      <c r="C23" s="439" t="str">
        <f>Idiomas!D319</f>
        <v>Team Qualified for QUARTERFINALS</v>
      </c>
      <c r="D23" s="45">
        <v>20</v>
      </c>
      <c r="E23" s="111"/>
      <c r="F23" s="445">
        <f t="shared" si="197"/>
        <v>20</v>
      </c>
      <c r="G23" s="445">
        <f ca="1">VLOOKUP(H23,Equipos!$Q$1:$R$25,2,0)</f>
        <v>7</v>
      </c>
      <c r="H23" s="446">
        <f ca="1">TRUNC(INDEX(WORLDCUP!$X$4:$X$147,MATCH(ADMIN!K23,WORLDCUP!$DT$4:$DT$147,0))+INDEX(Horarios!$R$3:$R$86,MATCH(Horarios!$C$3,Horarios!$P$3:$P$86,0))/24)</f>
        <v>46190</v>
      </c>
      <c r="I23" s="48">
        <v>1</v>
      </c>
      <c r="J23" s="95" t="s">
        <v>179</v>
      </c>
      <c r="K23" s="56" t="str">
        <f ca="1">CONCATENATE(WORLDCUP!AA69,"-",WORLDCUP!AF69)</f>
        <v>Iraq-Norway</v>
      </c>
      <c r="L23" s="53"/>
      <c r="M23" s="55" t="str">
        <f>IF(OR(WORLDCUP!AC69="",WORLDCUP!AD69=""),"-",N23&amp;"|"&amp;O23&amp;"-"&amp;P23)</f>
        <v>2|1-4</v>
      </c>
      <c r="N23" s="25" t="str">
        <f>IF(OR(WORLDCUP!AC69="",WORLDCUP!AD69=""),"",IF(WORLDCUP!AC69&gt;WORLDCUP!AD69,"1",IF(WORLDCUP!AC69&lt;WORLDCUP!AD69,"2","X")))</f>
        <v>2</v>
      </c>
      <c r="O23" s="25">
        <f>WORLDCUP!AC69</f>
        <v>1</v>
      </c>
      <c r="P23" s="25">
        <f>WORLDCUP!AD69</f>
        <v>4</v>
      </c>
      <c r="Q23" s="25">
        <f t="shared" si="201"/>
        <v>3</v>
      </c>
      <c r="R23" s="49"/>
      <c r="S23" s="74" t="s">
        <v>1953</v>
      </c>
      <c r="T23" s="73">
        <f t="shared" si="198"/>
        <v>10</v>
      </c>
      <c r="U23" s="65"/>
      <c r="V23" s="74" t="s">
        <v>1948</v>
      </c>
      <c r="W23" s="73">
        <f t="shared" si="199"/>
        <v>12</v>
      </c>
      <c r="X23" s="65"/>
      <c r="Y23" s="74" t="s">
        <v>1960</v>
      </c>
      <c r="Z23" s="73">
        <f t="shared" si="204"/>
        <v>10</v>
      </c>
      <c r="AA23" s="65"/>
      <c r="AB23" s="74" t="s">
        <v>1960</v>
      </c>
      <c r="AC23" s="73">
        <f t="shared" si="204"/>
        <v>10</v>
      </c>
      <c r="AD23" s="65"/>
      <c r="AE23" s="74" t="s">
        <v>1960</v>
      </c>
      <c r="AF23" s="73">
        <f t="shared" si="204"/>
        <v>10</v>
      </c>
      <c r="AG23" s="65"/>
      <c r="AH23" s="74" t="s">
        <v>1948</v>
      </c>
      <c r="AI23" s="73">
        <f t="shared" si="204"/>
        <v>12</v>
      </c>
      <c r="AJ23" s="65"/>
      <c r="AK23" s="74" t="s">
        <v>1960</v>
      </c>
      <c r="AL23" s="73">
        <f t="shared" si="204"/>
        <v>10</v>
      </c>
      <c r="AM23" s="65"/>
      <c r="AN23" s="74" t="s">
        <v>2133</v>
      </c>
      <c r="AO23" s="73">
        <f t="shared" si="204"/>
        <v>0</v>
      </c>
      <c r="AP23" s="65"/>
      <c r="AQ23" s="74" t="s">
        <v>1960</v>
      </c>
      <c r="AR23" s="73">
        <f t="shared" si="204"/>
        <v>10</v>
      </c>
      <c r="AS23" s="65"/>
      <c r="AT23" s="74" t="s">
        <v>1953</v>
      </c>
      <c r="AU23" s="73">
        <f t="shared" si="204"/>
        <v>10</v>
      </c>
      <c r="AV23" s="65"/>
      <c r="AW23" s="74" t="s">
        <v>1948</v>
      </c>
      <c r="AX23" s="73">
        <f t="shared" si="204"/>
        <v>12</v>
      </c>
      <c r="AY23" s="65"/>
      <c r="AZ23" s="74" t="s">
        <v>1948</v>
      </c>
      <c r="BA23" s="73">
        <f t="shared" si="204"/>
        <v>12</v>
      </c>
      <c r="BB23" s="65"/>
      <c r="BC23" s="74" t="s">
        <v>1955</v>
      </c>
      <c r="BD23" s="73">
        <f t="shared" si="204"/>
        <v>10</v>
      </c>
      <c r="BE23" s="65"/>
      <c r="BF23" s="74" t="s">
        <v>1957</v>
      </c>
      <c r="BG23" s="73">
        <f t="shared" si="204"/>
        <v>0</v>
      </c>
      <c r="BH23" s="65"/>
      <c r="BI23" s="74" t="s">
        <v>1948</v>
      </c>
      <c r="BJ23" s="73">
        <f t="shared" si="204"/>
        <v>12</v>
      </c>
      <c r="BK23" s="65"/>
      <c r="BL23" s="74" t="s">
        <v>1960</v>
      </c>
      <c r="BM23" s="73">
        <f t="shared" si="204"/>
        <v>10</v>
      </c>
      <c r="BN23" s="65"/>
      <c r="BO23" s="74" t="s">
        <v>1960</v>
      </c>
      <c r="BP23" s="73">
        <f t="shared" si="204"/>
        <v>10</v>
      </c>
      <c r="BQ23" s="65"/>
      <c r="BR23" s="74" t="s">
        <v>2106</v>
      </c>
      <c r="BS23" s="73">
        <f t="shared" si="204"/>
        <v>10</v>
      </c>
      <c r="BT23" s="65"/>
      <c r="BU23" s="74" t="s">
        <v>1960</v>
      </c>
      <c r="BV23" s="73">
        <f t="shared" si="204"/>
        <v>10</v>
      </c>
      <c r="BW23" s="65"/>
      <c r="BX23" s="74" t="s">
        <v>2000</v>
      </c>
      <c r="BY23" s="73">
        <f t="shared" si="204"/>
        <v>10</v>
      </c>
      <c r="BZ23" s="65"/>
      <c r="CA23" s="74" t="s">
        <v>1955</v>
      </c>
      <c r="CB23" s="73">
        <f t="shared" si="204"/>
        <v>10</v>
      </c>
      <c r="CC23" s="65"/>
      <c r="CD23" s="74" t="s">
        <v>2000</v>
      </c>
      <c r="CE23" s="73">
        <f t="shared" si="204"/>
        <v>10</v>
      </c>
      <c r="CF23" s="65"/>
      <c r="CG23" s="74" t="s">
        <v>1948</v>
      </c>
      <c r="CH23" s="73">
        <f t="shared" si="204"/>
        <v>12</v>
      </c>
      <c r="CI23" s="65"/>
      <c r="CJ23" s="74" t="s">
        <v>1953</v>
      </c>
      <c r="CK23" s="73">
        <f t="shared" si="202"/>
        <v>10</v>
      </c>
      <c r="CL23" s="65"/>
      <c r="CM23" s="74" t="s">
        <v>1951</v>
      </c>
      <c r="CN23" s="73">
        <f t="shared" si="202"/>
        <v>20</v>
      </c>
      <c r="CO23" s="65"/>
      <c r="CP23" s="74" t="s">
        <v>1960</v>
      </c>
      <c r="CQ23" s="73">
        <f t="shared" si="202"/>
        <v>10</v>
      </c>
      <c r="CR23" s="65"/>
      <c r="CS23" s="74" t="s">
        <v>1953</v>
      </c>
      <c r="CT23" s="73">
        <f t="shared" si="202"/>
        <v>10</v>
      </c>
      <c r="CU23" s="65"/>
      <c r="CV23" s="74" t="s">
        <v>1957</v>
      </c>
      <c r="CW23" s="73">
        <f t="shared" si="202"/>
        <v>0</v>
      </c>
      <c r="CX23" s="65"/>
      <c r="CY23" s="74" t="s">
        <v>1948</v>
      </c>
      <c r="CZ23" s="73">
        <f t="shared" si="202"/>
        <v>12</v>
      </c>
      <c r="DA23" s="65"/>
      <c r="DB23" s="74" t="s">
        <v>1955</v>
      </c>
      <c r="DC23" s="73">
        <f t="shared" si="202"/>
        <v>10</v>
      </c>
      <c r="DD23" s="65"/>
      <c r="DE23" s="74" t="s">
        <v>1960</v>
      </c>
      <c r="DF23" s="73">
        <f t="shared" si="202"/>
        <v>10</v>
      </c>
      <c r="DG23" s="65"/>
      <c r="DH23" s="74" t="s">
        <v>1953</v>
      </c>
      <c r="DI23" s="73">
        <f t="shared" si="202"/>
        <v>10</v>
      </c>
      <c r="DJ23" s="65"/>
      <c r="DK23" s="74" t="s">
        <v>1960</v>
      </c>
      <c r="DL23" s="73">
        <f t="shared" si="202"/>
        <v>10</v>
      </c>
      <c r="DM23" s="65"/>
      <c r="DN23" s="74" t="s">
        <v>1960</v>
      </c>
      <c r="DO23" s="73">
        <f t="shared" si="202"/>
        <v>10</v>
      </c>
      <c r="DP23" s="65"/>
      <c r="DQ23" s="74" t="s">
        <v>1953</v>
      </c>
      <c r="DR23" s="73">
        <f t="shared" si="202"/>
        <v>10</v>
      </c>
      <c r="DS23" s="65"/>
      <c r="DT23" s="74" t="s">
        <v>1948</v>
      </c>
      <c r="DU23" s="73">
        <f t="shared" si="207"/>
        <v>12</v>
      </c>
      <c r="DV23" s="65"/>
      <c r="DW23" s="74" t="s">
        <v>2000</v>
      </c>
      <c r="DX23" s="73">
        <f t="shared" si="207"/>
        <v>10</v>
      </c>
      <c r="DY23" s="65"/>
      <c r="DZ23" s="74" t="s">
        <v>1948</v>
      </c>
      <c r="EA23" s="73">
        <f t="shared" si="207"/>
        <v>12</v>
      </c>
      <c r="EB23" s="65"/>
      <c r="EC23" s="74" t="s">
        <v>1948</v>
      </c>
      <c r="ED23" s="73">
        <f t="shared" si="207"/>
        <v>12</v>
      </c>
      <c r="EE23" s="65"/>
      <c r="EF23" s="74" t="s">
        <v>1953</v>
      </c>
      <c r="EG23" s="73">
        <f t="shared" si="207"/>
        <v>10</v>
      </c>
      <c r="EH23" s="65"/>
      <c r="EI23" s="74" t="s">
        <v>1948</v>
      </c>
      <c r="EJ23" s="73">
        <f t="shared" si="207"/>
        <v>12</v>
      </c>
      <c r="EK23" s="65"/>
      <c r="EL23" s="74" t="s">
        <v>2000</v>
      </c>
      <c r="EM23" s="73">
        <f t="shared" si="207"/>
        <v>10</v>
      </c>
      <c r="EN23" s="65"/>
      <c r="EO23" s="74" t="s">
        <v>2000</v>
      </c>
      <c r="EP23" s="73">
        <f t="shared" si="207"/>
        <v>10</v>
      </c>
      <c r="EQ23" s="65"/>
      <c r="ER23" s="74" t="s">
        <v>1960</v>
      </c>
      <c r="ES23" s="73">
        <f t="shared" si="207"/>
        <v>10</v>
      </c>
      <c r="ET23" s="65"/>
      <c r="EU23" s="74" t="s">
        <v>1960</v>
      </c>
      <c r="EV23" s="73">
        <f t="shared" si="207"/>
        <v>10</v>
      </c>
      <c r="EW23" s="65"/>
      <c r="EX23" s="74" t="s">
        <v>1960</v>
      </c>
      <c r="EY23" s="73">
        <f t="shared" si="207"/>
        <v>10</v>
      </c>
      <c r="EZ23" s="65"/>
      <c r="FA23" s="74" t="s">
        <v>1960</v>
      </c>
      <c r="FB23" s="73">
        <f t="shared" si="207"/>
        <v>10</v>
      </c>
      <c r="FC23" s="65"/>
      <c r="FD23" s="74" t="s">
        <v>2000</v>
      </c>
      <c r="FE23" s="73">
        <f t="shared" si="207"/>
        <v>10</v>
      </c>
      <c r="FF23" s="65"/>
      <c r="FG23" s="74" t="s">
        <v>2106</v>
      </c>
      <c r="FH23" s="73">
        <f t="shared" si="207"/>
        <v>10</v>
      </c>
      <c r="FI23" s="65"/>
      <c r="FJ23" s="74" t="s">
        <v>1960</v>
      </c>
      <c r="FK23" s="73">
        <f t="shared" si="207"/>
        <v>10</v>
      </c>
      <c r="FL23" s="65"/>
      <c r="FM23" s="74" t="s">
        <v>1960</v>
      </c>
      <c r="FN23" s="73">
        <f t="shared" si="207"/>
        <v>10</v>
      </c>
      <c r="FO23" s="65"/>
      <c r="FP23" s="74" t="s">
        <v>1960</v>
      </c>
      <c r="FQ23" s="73">
        <f t="shared" si="207"/>
        <v>10</v>
      </c>
      <c r="FR23" s="65"/>
      <c r="FS23" s="74" t="s">
        <v>1960</v>
      </c>
      <c r="FT23" s="73">
        <f t="shared" si="207"/>
        <v>10</v>
      </c>
      <c r="FU23" s="65"/>
      <c r="FV23" s="74" t="s">
        <v>1960</v>
      </c>
      <c r="FW23" s="73">
        <f t="shared" si="207"/>
        <v>10</v>
      </c>
      <c r="FX23" s="65"/>
      <c r="FY23" s="74" t="s">
        <v>2000</v>
      </c>
      <c r="FZ23" s="73">
        <f t="shared" si="207"/>
        <v>10</v>
      </c>
      <c r="GA23" s="65"/>
      <c r="GB23" s="74" t="s">
        <v>1953</v>
      </c>
      <c r="GC23" s="73">
        <f t="shared" si="207"/>
        <v>10</v>
      </c>
      <c r="GD23" s="65"/>
      <c r="GE23" s="74" t="s">
        <v>2000</v>
      </c>
      <c r="GF23" s="73">
        <f t="shared" si="207"/>
        <v>10</v>
      </c>
      <c r="GG23" s="65"/>
      <c r="GH23" s="74" t="s">
        <v>2000</v>
      </c>
      <c r="GI23" s="73">
        <f t="shared" si="205"/>
        <v>10</v>
      </c>
      <c r="GJ23" s="65"/>
      <c r="GK23" s="74" t="s">
        <v>1951</v>
      </c>
      <c r="GL23" s="73">
        <f t="shared" si="205"/>
        <v>20</v>
      </c>
      <c r="GM23" s="65"/>
      <c r="GN23" s="74"/>
      <c r="GO23" s="73">
        <f t="shared" si="203"/>
        <v>0</v>
      </c>
      <c r="GP23" s="65"/>
      <c r="GQ23" s="74"/>
      <c r="GR23" s="73">
        <f t="shared" si="203"/>
        <v>0</v>
      </c>
      <c r="GS23" s="65"/>
      <c r="GT23" s="74"/>
      <c r="GU23" s="73">
        <f t="shared" si="203"/>
        <v>0</v>
      </c>
      <c r="GV23" s="65"/>
      <c r="GW23" s="74"/>
      <c r="GX23" s="73">
        <f t="shared" si="203"/>
        <v>0</v>
      </c>
      <c r="GY23" s="65"/>
      <c r="GZ23" s="74"/>
      <c r="HA23" s="73">
        <f t="shared" si="203"/>
        <v>0</v>
      </c>
      <c r="HB23" s="65"/>
      <c r="HC23" s="74"/>
      <c r="HD23" s="73">
        <f t="shared" si="203"/>
        <v>0</v>
      </c>
      <c r="HE23" s="65"/>
      <c r="HF23" s="74"/>
      <c r="HG23" s="73">
        <f t="shared" si="203"/>
        <v>0</v>
      </c>
      <c r="HH23" s="65"/>
      <c r="HI23" s="74"/>
      <c r="HJ23" s="73">
        <f t="shared" si="203"/>
        <v>0</v>
      </c>
      <c r="HK23" s="65"/>
      <c r="HL23" s="74"/>
      <c r="HM23" s="73">
        <f t="shared" si="203"/>
        <v>0</v>
      </c>
      <c r="HN23" s="65"/>
      <c r="HO23" s="74"/>
      <c r="HP23" s="73">
        <f t="shared" si="203"/>
        <v>0</v>
      </c>
      <c r="HQ23" s="65"/>
      <c r="HR23" s="74"/>
      <c r="HS23" s="73">
        <f t="shared" si="203"/>
        <v>0</v>
      </c>
      <c r="HT23" s="65"/>
      <c r="HU23" s="74"/>
      <c r="HV23" s="73">
        <f t="shared" si="203"/>
        <v>0</v>
      </c>
      <c r="HW23" s="65"/>
      <c r="HX23" s="74"/>
      <c r="HY23" s="73">
        <f t="shared" si="203"/>
        <v>0</v>
      </c>
      <c r="HZ23" s="65"/>
      <c r="IA23" s="74"/>
      <c r="IB23" s="73">
        <f t="shared" si="203"/>
        <v>0</v>
      </c>
      <c r="IC23" s="65"/>
      <c r="ID23" s="74"/>
      <c r="IE23" s="73">
        <f t="shared" si="203"/>
        <v>0</v>
      </c>
      <c r="IF23" s="65"/>
      <c r="IG23" s="74"/>
      <c r="IH23" s="73">
        <f t="shared" si="203"/>
        <v>0</v>
      </c>
      <c r="II23" s="65"/>
      <c r="IJ23" s="74"/>
      <c r="IK23" s="73">
        <f t="shared" si="203"/>
        <v>0</v>
      </c>
      <c r="IL23" s="65"/>
      <c r="IM23" s="74"/>
      <c r="IN23" s="73">
        <f t="shared" si="203"/>
        <v>0</v>
      </c>
      <c r="IO23" s="65"/>
      <c r="IP23" s="74"/>
      <c r="IQ23" s="73">
        <f t="shared" si="203"/>
        <v>0</v>
      </c>
      <c r="IR23" s="65"/>
      <c r="IS23" s="74"/>
      <c r="IT23" s="73">
        <f t="shared" si="203"/>
        <v>0</v>
      </c>
      <c r="IU23" s="65"/>
      <c r="IV23" s="74"/>
      <c r="IW23" s="73">
        <f t="shared" si="208"/>
        <v>0</v>
      </c>
      <c r="IX23" s="65"/>
      <c r="IY23" s="74"/>
      <c r="IZ23" s="73">
        <f t="shared" si="208"/>
        <v>0</v>
      </c>
      <c r="JA23" s="65"/>
      <c r="JB23" s="74"/>
      <c r="JC23" s="73">
        <f t="shared" si="208"/>
        <v>0</v>
      </c>
      <c r="JD23" s="65"/>
      <c r="JE23" s="74"/>
      <c r="JF23" s="73">
        <f t="shared" si="208"/>
        <v>0</v>
      </c>
      <c r="JG23" s="65"/>
      <c r="JH23" s="74"/>
      <c r="JI23" s="73">
        <f t="shared" si="208"/>
        <v>0</v>
      </c>
      <c r="JJ23" s="65"/>
      <c r="JK23" s="74"/>
      <c r="JL23" s="73">
        <f t="shared" si="208"/>
        <v>0</v>
      </c>
      <c r="JM23" s="65"/>
      <c r="JN23" s="74"/>
      <c r="JO23" s="73">
        <f t="shared" si="208"/>
        <v>0</v>
      </c>
      <c r="JP23" s="65"/>
      <c r="JQ23" s="74"/>
      <c r="JR23" s="73">
        <f t="shared" si="208"/>
        <v>0</v>
      </c>
      <c r="JS23" s="65"/>
      <c r="JT23" s="74"/>
      <c r="JU23" s="73">
        <f t="shared" si="208"/>
        <v>0</v>
      </c>
      <c r="JV23" s="65"/>
      <c r="JW23" s="74"/>
      <c r="JX23" s="73">
        <f t="shared" si="208"/>
        <v>0</v>
      </c>
      <c r="JY23" s="65"/>
      <c r="JZ23" s="74"/>
      <c r="KA23" s="73">
        <f t="shared" si="208"/>
        <v>0</v>
      </c>
      <c r="KB23" s="65"/>
      <c r="KC23" s="74"/>
      <c r="KD23" s="73">
        <f t="shared" si="208"/>
        <v>0</v>
      </c>
      <c r="KE23" s="65"/>
      <c r="KF23" s="74"/>
      <c r="KG23" s="73">
        <f t="shared" si="208"/>
        <v>0</v>
      </c>
      <c r="KH23" s="65"/>
      <c r="KI23" s="74"/>
      <c r="KJ23" s="73">
        <f t="shared" si="208"/>
        <v>0</v>
      </c>
      <c r="KK23" s="65"/>
      <c r="KL23" s="74"/>
      <c r="KM23" s="73">
        <f t="shared" si="208"/>
        <v>0</v>
      </c>
      <c r="KN23" s="65"/>
      <c r="KO23" s="74"/>
      <c r="KP23" s="73">
        <f t="shared" si="208"/>
        <v>0</v>
      </c>
      <c r="KQ23" s="65"/>
      <c r="KR23" s="74"/>
      <c r="KS23" s="73">
        <f t="shared" si="208"/>
        <v>0</v>
      </c>
      <c r="KT23" s="65"/>
      <c r="KU23" s="74"/>
      <c r="KV23" s="73">
        <f t="shared" si="208"/>
        <v>0</v>
      </c>
      <c r="KW23" s="65"/>
      <c r="KX23" s="74"/>
      <c r="KY23" s="73">
        <f t="shared" si="208"/>
        <v>0</v>
      </c>
      <c r="KZ23" s="65"/>
      <c r="LA23" s="74"/>
      <c r="LB23" s="73">
        <f t="shared" si="208"/>
        <v>0</v>
      </c>
      <c r="LC23" s="65"/>
      <c r="LD23" s="74"/>
      <c r="LE23" s="73">
        <f t="shared" si="208"/>
        <v>0</v>
      </c>
      <c r="LF23" s="65"/>
      <c r="LG23" s="65"/>
    </row>
    <row r="24" spans="1:319">
      <c r="A24" s="49"/>
      <c r="B24" s="49"/>
      <c r="C24" s="437" t="str">
        <f>Idiomas!D320</f>
        <v>QUARTERFINALS- 1X2* (home, draw, away)</v>
      </c>
      <c r="D24" s="62">
        <v>10</v>
      </c>
      <c r="E24" s="111"/>
      <c r="F24" s="445">
        <f t="shared" si="197"/>
        <v>20</v>
      </c>
      <c r="G24" s="445">
        <f ca="1">VLOOKUP(H24,Equipos!$Q$1:$R$25,2,0)</f>
        <v>7</v>
      </c>
      <c r="H24" s="446">
        <f ca="1">TRUNC(INDEX(WORLDCUP!$X$4:$X$147,MATCH(ADMIN!K24,WORLDCUP!$DT$4:$DT$147,0))+INDEX(Horarios!$R$3:$R$86,MATCH(Horarios!$C$3,Horarios!$P$3:$P$86,0))/24)</f>
        <v>46190</v>
      </c>
      <c r="I24" s="48">
        <v>1</v>
      </c>
      <c r="J24" s="96" t="s">
        <v>26</v>
      </c>
      <c r="K24" s="53" t="str">
        <f ca="1">CONCATENATE(WORLDCUP!AA76,"-",WORLDCUP!AF76)</f>
        <v>Argentina-Algeria</v>
      </c>
      <c r="L24" s="53"/>
      <c r="M24" s="55" t="str">
        <f>IF(OR(WORLDCUP!AC76="",WORLDCUP!AD76=""),"-",N24&amp;"|"&amp;O24&amp;"-"&amp;P24)</f>
        <v>1|3-0</v>
      </c>
      <c r="N24" s="25" t="str">
        <f>IF(OR(WORLDCUP!AC76="",WORLDCUP!AD76=""),"",IF(WORLDCUP!AC76&gt;WORLDCUP!AD76,"1",IF(WORLDCUP!AC76&lt;WORLDCUP!AD76,"2","X")))</f>
        <v>1</v>
      </c>
      <c r="O24" s="25">
        <f>WORLDCUP!AC76</f>
        <v>3</v>
      </c>
      <c r="P24" s="25">
        <f>WORLDCUP!AD76</f>
        <v>0</v>
      </c>
      <c r="Q24" s="25">
        <f t="shared" si="201"/>
        <v>3</v>
      </c>
      <c r="R24" s="49"/>
      <c r="S24" s="76" t="s">
        <v>1952</v>
      </c>
      <c r="T24" s="77">
        <f t="shared" si="198"/>
        <v>10</v>
      </c>
      <c r="U24" s="65"/>
      <c r="V24" s="76" t="s">
        <v>1950</v>
      </c>
      <c r="W24" s="77">
        <f t="shared" si="199"/>
        <v>10</v>
      </c>
      <c r="X24" s="65"/>
      <c r="Y24" s="76" t="s">
        <v>1950</v>
      </c>
      <c r="Z24" s="77">
        <f t="shared" si="204"/>
        <v>10</v>
      </c>
      <c r="AA24" s="65"/>
      <c r="AB24" s="76" t="s">
        <v>1958</v>
      </c>
      <c r="AC24" s="77">
        <f t="shared" si="204"/>
        <v>20</v>
      </c>
      <c r="AD24" s="65"/>
      <c r="AE24" s="76" t="s">
        <v>1950</v>
      </c>
      <c r="AF24" s="77">
        <f t="shared" si="204"/>
        <v>10</v>
      </c>
      <c r="AG24" s="65"/>
      <c r="AH24" s="76" t="s">
        <v>1954</v>
      </c>
      <c r="AI24" s="77">
        <f t="shared" si="204"/>
        <v>10</v>
      </c>
      <c r="AJ24" s="65"/>
      <c r="AK24" s="76" t="s">
        <v>1950</v>
      </c>
      <c r="AL24" s="77">
        <f t="shared" si="204"/>
        <v>10</v>
      </c>
      <c r="AM24" s="65"/>
      <c r="AN24" s="76" t="s">
        <v>1944</v>
      </c>
      <c r="AO24" s="77">
        <f t="shared" si="204"/>
        <v>0</v>
      </c>
      <c r="AP24" s="65"/>
      <c r="AQ24" s="76" t="s">
        <v>1949</v>
      </c>
      <c r="AR24" s="77">
        <f t="shared" si="204"/>
        <v>10</v>
      </c>
      <c r="AS24" s="65"/>
      <c r="AT24" s="76" t="s">
        <v>1958</v>
      </c>
      <c r="AU24" s="77">
        <f t="shared" si="204"/>
        <v>20</v>
      </c>
      <c r="AV24" s="65"/>
      <c r="AW24" s="76" t="s">
        <v>1958</v>
      </c>
      <c r="AX24" s="77">
        <f t="shared" si="204"/>
        <v>20</v>
      </c>
      <c r="AY24" s="65"/>
      <c r="AZ24" s="76" t="s">
        <v>1950</v>
      </c>
      <c r="BA24" s="77">
        <f t="shared" si="204"/>
        <v>10</v>
      </c>
      <c r="BB24" s="65"/>
      <c r="BC24" s="76" t="s">
        <v>1949</v>
      </c>
      <c r="BD24" s="77">
        <f t="shared" si="204"/>
        <v>10</v>
      </c>
      <c r="BE24" s="65"/>
      <c r="BF24" s="76" t="s">
        <v>1950</v>
      </c>
      <c r="BG24" s="77">
        <f t="shared" si="204"/>
        <v>10</v>
      </c>
      <c r="BH24" s="65"/>
      <c r="BI24" s="76" t="s">
        <v>1950</v>
      </c>
      <c r="BJ24" s="77">
        <f t="shared" si="204"/>
        <v>10</v>
      </c>
      <c r="BK24" s="65"/>
      <c r="BL24" s="76" t="s">
        <v>1950</v>
      </c>
      <c r="BM24" s="77">
        <f t="shared" si="204"/>
        <v>10</v>
      </c>
      <c r="BN24" s="65"/>
      <c r="BO24" s="76" t="s">
        <v>1950</v>
      </c>
      <c r="BP24" s="77">
        <f t="shared" si="204"/>
        <v>10</v>
      </c>
      <c r="BQ24" s="65"/>
      <c r="BR24" s="76" t="s">
        <v>1949</v>
      </c>
      <c r="BS24" s="77">
        <f t="shared" si="204"/>
        <v>10</v>
      </c>
      <c r="BT24" s="65"/>
      <c r="BU24" s="76" t="s">
        <v>1950</v>
      </c>
      <c r="BV24" s="77">
        <f t="shared" si="204"/>
        <v>10</v>
      </c>
      <c r="BW24" s="65"/>
      <c r="BX24" s="76" t="s">
        <v>1950</v>
      </c>
      <c r="BY24" s="77">
        <f t="shared" si="204"/>
        <v>10</v>
      </c>
      <c r="BZ24" s="65"/>
      <c r="CA24" s="76" t="s">
        <v>1954</v>
      </c>
      <c r="CB24" s="77">
        <f t="shared" si="204"/>
        <v>10</v>
      </c>
      <c r="CC24" s="65"/>
      <c r="CD24" s="76" t="s">
        <v>1949</v>
      </c>
      <c r="CE24" s="77">
        <f t="shared" si="204"/>
        <v>10</v>
      </c>
      <c r="CF24" s="65"/>
      <c r="CG24" s="76" t="s">
        <v>1958</v>
      </c>
      <c r="CH24" s="77">
        <f t="shared" si="204"/>
        <v>20</v>
      </c>
      <c r="CI24" s="65"/>
      <c r="CJ24" s="76" t="s">
        <v>1954</v>
      </c>
      <c r="CK24" s="77">
        <f t="shared" si="202"/>
        <v>10</v>
      </c>
      <c r="CL24" s="65"/>
      <c r="CM24" s="76" t="s">
        <v>1954</v>
      </c>
      <c r="CN24" s="77">
        <f t="shared" si="202"/>
        <v>10</v>
      </c>
      <c r="CO24" s="65"/>
      <c r="CP24" s="76" t="s">
        <v>1950</v>
      </c>
      <c r="CQ24" s="77">
        <f t="shared" si="202"/>
        <v>10</v>
      </c>
      <c r="CR24" s="65"/>
      <c r="CS24" s="76" t="s">
        <v>1950</v>
      </c>
      <c r="CT24" s="77">
        <f t="shared" si="202"/>
        <v>10</v>
      </c>
      <c r="CU24" s="65"/>
      <c r="CV24" s="76" t="s">
        <v>1945</v>
      </c>
      <c r="CW24" s="77">
        <f t="shared" si="202"/>
        <v>12</v>
      </c>
      <c r="CX24" s="65"/>
      <c r="CY24" s="76" t="s">
        <v>1958</v>
      </c>
      <c r="CZ24" s="77">
        <f t="shared" si="202"/>
        <v>20</v>
      </c>
      <c r="DA24" s="65"/>
      <c r="DB24" s="76" t="s">
        <v>1949</v>
      </c>
      <c r="DC24" s="77">
        <f t="shared" si="202"/>
        <v>10</v>
      </c>
      <c r="DD24" s="65"/>
      <c r="DE24" s="76" t="s">
        <v>1949</v>
      </c>
      <c r="DF24" s="77">
        <f t="shared" si="202"/>
        <v>10</v>
      </c>
      <c r="DG24" s="65"/>
      <c r="DH24" s="76" t="s">
        <v>1957</v>
      </c>
      <c r="DI24" s="77">
        <f t="shared" si="202"/>
        <v>0</v>
      </c>
      <c r="DJ24" s="65"/>
      <c r="DK24" s="76" t="s">
        <v>1958</v>
      </c>
      <c r="DL24" s="77">
        <f t="shared" si="202"/>
        <v>20</v>
      </c>
      <c r="DM24" s="65"/>
      <c r="DN24" s="76" t="s">
        <v>1949</v>
      </c>
      <c r="DO24" s="77">
        <f t="shared" si="202"/>
        <v>10</v>
      </c>
      <c r="DP24" s="65"/>
      <c r="DQ24" s="76" t="s">
        <v>1957</v>
      </c>
      <c r="DR24" s="77">
        <f t="shared" si="202"/>
        <v>0</v>
      </c>
      <c r="DS24" s="65"/>
      <c r="DT24" s="76" t="s">
        <v>1950</v>
      </c>
      <c r="DU24" s="77">
        <f t="shared" si="207"/>
        <v>10</v>
      </c>
      <c r="DV24" s="65"/>
      <c r="DW24" s="76" t="s">
        <v>1950</v>
      </c>
      <c r="DX24" s="77">
        <f t="shared" si="207"/>
        <v>10</v>
      </c>
      <c r="DY24" s="65"/>
      <c r="DZ24" s="76" t="s">
        <v>1950</v>
      </c>
      <c r="EA24" s="77">
        <f t="shared" si="207"/>
        <v>10</v>
      </c>
      <c r="EB24" s="65"/>
      <c r="EC24" s="76" t="s">
        <v>1959</v>
      </c>
      <c r="ED24" s="77">
        <f t="shared" si="207"/>
        <v>10</v>
      </c>
      <c r="EE24" s="65"/>
      <c r="EF24" s="76" t="s">
        <v>1949</v>
      </c>
      <c r="EG24" s="77">
        <f t="shared" si="207"/>
        <v>10</v>
      </c>
      <c r="EH24" s="65"/>
      <c r="EI24" s="76" t="s">
        <v>1950</v>
      </c>
      <c r="EJ24" s="77">
        <f t="shared" si="207"/>
        <v>10</v>
      </c>
      <c r="EK24" s="65"/>
      <c r="EL24" s="76" t="s">
        <v>1950</v>
      </c>
      <c r="EM24" s="77">
        <f t="shared" si="207"/>
        <v>10</v>
      </c>
      <c r="EN24" s="65"/>
      <c r="EO24" s="76" t="s">
        <v>1950</v>
      </c>
      <c r="EP24" s="77">
        <f t="shared" si="207"/>
        <v>10</v>
      </c>
      <c r="EQ24" s="65"/>
      <c r="ER24" s="76" t="s">
        <v>1949</v>
      </c>
      <c r="ES24" s="77">
        <f t="shared" si="207"/>
        <v>10</v>
      </c>
      <c r="ET24" s="65"/>
      <c r="EU24" s="76" t="s">
        <v>1959</v>
      </c>
      <c r="EV24" s="77">
        <f t="shared" si="207"/>
        <v>10</v>
      </c>
      <c r="EW24" s="65"/>
      <c r="EX24" s="76" t="s">
        <v>1954</v>
      </c>
      <c r="EY24" s="77">
        <f t="shared" si="207"/>
        <v>10</v>
      </c>
      <c r="EZ24" s="65"/>
      <c r="FA24" s="76" t="s">
        <v>1950</v>
      </c>
      <c r="FB24" s="77">
        <f t="shared" si="207"/>
        <v>10</v>
      </c>
      <c r="FC24" s="65"/>
      <c r="FD24" s="76" t="s">
        <v>1958</v>
      </c>
      <c r="FE24" s="77">
        <f t="shared" si="207"/>
        <v>20</v>
      </c>
      <c r="FF24" s="65"/>
      <c r="FG24" s="76" t="s">
        <v>1958</v>
      </c>
      <c r="FH24" s="77">
        <f t="shared" si="207"/>
        <v>20</v>
      </c>
      <c r="FI24" s="65"/>
      <c r="FJ24" s="76" t="s">
        <v>1950</v>
      </c>
      <c r="FK24" s="77">
        <f t="shared" si="207"/>
        <v>10</v>
      </c>
      <c r="FL24" s="65"/>
      <c r="FM24" s="76" t="s">
        <v>1945</v>
      </c>
      <c r="FN24" s="77">
        <f t="shared" si="207"/>
        <v>12</v>
      </c>
      <c r="FO24" s="65"/>
      <c r="FP24" s="76" t="s">
        <v>1950</v>
      </c>
      <c r="FQ24" s="77">
        <f t="shared" si="207"/>
        <v>10</v>
      </c>
      <c r="FR24" s="65"/>
      <c r="FS24" s="76" t="s">
        <v>1950</v>
      </c>
      <c r="FT24" s="77">
        <f t="shared" si="207"/>
        <v>10</v>
      </c>
      <c r="FU24" s="65"/>
      <c r="FV24" s="76" t="s">
        <v>1950</v>
      </c>
      <c r="FW24" s="77">
        <f t="shared" si="207"/>
        <v>10</v>
      </c>
      <c r="FX24" s="65"/>
      <c r="FY24" s="76" t="s">
        <v>1954</v>
      </c>
      <c r="FZ24" s="77">
        <f t="shared" si="207"/>
        <v>10</v>
      </c>
      <c r="GA24" s="65"/>
      <c r="GB24" s="76" t="s">
        <v>1950</v>
      </c>
      <c r="GC24" s="77">
        <f t="shared" si="207"/>
        <v>10</v>
      </c>
      <c r="GD24" s="65"/>
      <c r="GE24" s="76" t="s">
        <v>1954</v>
      </c>
      <c r="GF24" s="77">
        <f t="shared" si="207"/>
        <v>10</v>
      </c>
      <c r="GG24" s="65"/>
      <c r="GH24" s="76" t="s">
        <v>1949</v>
      </c>
      <c r="GI24" s="77">
        <f t="shared" si="205"/>
        <v>10</v>
      </c>
      <c r="GJ24" s="65"/>
      <c r="GK24" s="76" t="s">
        <v>1958</v>
      </c>
      <c r="GL24" s="77">
        <f t="shared" si="205"/>
        <v>20</v>
      </c>
      <c r="GM24" s="65"/>
      <c r="GN24" s="76"/>
      <c r="GO24" s="77">
        <f t="shared" si="203"/>
        <v>0</v>
      </c>
      <c r="GP24" s="65"/>
      <c r="GQ24" s="76"/>
      <c r="GR24" s="77">
        <f t="shared" si="203"/>
        <v>0</v>
      </c>
      <c r="GS24" s="65"/>
      <c r="GT24" s="76"/>
      <c r="GU24" s="77">
        <f t="shared" si="203"/>
        <v>0</v>
      </c>
      <c r="GV24" s="65"/>
      <c r="GW24" s="76"/>
      <c r="GX24" s="77">
        <f t="shared" si="203"/>
        <v>0</v>
      </c>
      <c r="GY24" s="65"/>
      <c r="GZ24" s="76"/>
      <c r="HA24" s="77">
        <f t="shared" si="203"/>
        <v>0</v>
      </c>
      <c r="HB24" s="65"/>
      <c r="HC24" s="76"/>
      <c r="HD24" s="77">
        <f t="shared" si="203"/>
        <v>0</v>
      </c>
      <c r="HE24" s="65"/>
      <c r="HF24" s="76"/>
      <c r="HG24" s="77">
        <f t="shared" si="203"/>
        <v>0</v>
      </c>
      <c r="HH24" s="65"/>
      <c r="HI24" s="76"/>
      <c r="HJ24" s="77">
        <f t="shared" si="203"/>
        <v>0</v>
      </c>
      <c r="HK24" s="65"/>
      <c r="HL24" s="76"/>
      <c r="HM24" s="77">
        <f t="shared" si="203"/>
        <v>0</v>
      </c>
      <c r="HN24" s="65"/>
      <c r="HO24" s="76"/>
      <c r="HP24" s="77">
        <f t="shared" si="203"/>
        <v>0</v>
      </c>
      <c r="HQ24" s="65"/>
      <c r="HR24" s="76"/>
      <c r="HS24" s="77">
        <f t="shared" si="203"/>
        <v>0</v>
      </c>
      <c r="HT24" s="65"/>
      <c r="HU24" s="76"/>
      <c r="HV24" s="77">
        <f t="shared" si="203"/>
        <v>0</v>
      </c>
      <c r="HW24" s="65"/>
      <c r="HX24" s="76"/>
      <c r="HY24" s="77">
        <f t="shared" si="203"/>
        <v>0</v>
      </c>
      <c r="HZ24" s="65"/>
      <c r="IA24" s="76"/>
      <c r="IB24" s="77">
        <f t="shared" si="203"/>
        <v>0</v>
      </c>
      <c r="IC24" s="65"/>
      <c r="ID24" s="76"/>
      <c r="IE24" s="77">
        <f t="shared" si="203"/>
        <v>0</v>
      </c>
      <c r="IF24" s="65"/>
      <c r="IG24" s="76"/>
      <c r="IH24" s="77">
        <f t="shared" si="203"/>
        <v>0</v>
      </c>
      <c r="II24" s="65"/>
      <c r="IJ24" s="76"/>
      <c r="IK24" s="77">
        <f t="shared" si="203"/>
        <v>0</v>
      </c>
      <c r="IL24" s="65"/>
      <c r="IM24" s="76"/>
      <c r="IN24" s="77">
        <f t="shared" si="203"/>
        <v>0</v>
      </c>
      <c r="IO24" s="65"/>
      <c r="IP24" s="76"/>
      <c r="IQ24" s="77">
        <f t="shared" si="203"/>
        <v>0</v>
      </c>
      <c r="IR24" s="65"/>
      <c r="IS24" s="76"/>
      <c r="IT24" s="77">
        <f t="shared" si="203"/>
        <v>0</v>
      </c>
      <c r="IU24" s="65"/>
      <c r="IV24" s="76"/>
      <c r="IW24" s="77">
        <f t="shared" si="208"/>
        <v>0</v>
      </c>
      <c r="IX24" s="65"/>
      <c r="IY24" s="76"/>
      <c r="IZ24" s="77">
        <f t="shared" si="208"/>
        <v>0</v>
      </c>
      <c r="JA24" s="65"/>
      <c r="JB24" s="76"/>
      <c r="JC24" s="77">
        <f t="shared" si="208"/>
        <v>0</v>
      </c>
      <c r="JD24" s="65"/>
      <c r="JE24" s="76"/>
      <c r="JF24" s="77">
        <f t="shared" si="208"/>
        <v>0</v>
      </c>
      <c r="JG24" s="65"/>
      <c r="JH24" s="76"/>
      <c r="JI24" s="77">
        <f t="shared" si="208"/>
        <v>0</v>
      </c>
      <c r="JJ24" s="65"/>
      <c r="JK24" s="76"/>
      <c r="JL24" s="77">
        <f t="shared" si="208"/>
        <v>0</v>
      </c>
      <c r="JM24" s="65"/>
      <c r="JN24" s="76"/>
      <c r="JO24" s="77">
        <f t="shared" si="208"/>
        <v>0</v>
      </c>
      <c r="JP24" s="65"/>
      <c r="JQ24" s="76"/>
      <c r="JR24" s="77">
        <f t="shared" si="208"/>
        <v>0</v>
      </c>
      <c r="JS24" s="65"/>
      <c r="JT24" s="76"/>
      <c r="JU24" s="77">
        <f t="shared" si="208"/>
        <v>0</v>
      </c>
      <c r="JV24" s="65"/>
      <c r="JW24" s="76"/>
      <c r="JX24" s="77">
        <f t="shared" si="208"/>
        <v>0</v>
      </c>
      <c r="JY24" s="65"/>
      <c r="JZ24" s="76"/>
      <c r="KA24" s="77">
        <f t="shared" si="208"/>
        <v>0</v>
      </c>
      <c r="KB24" s="65"/>
      <c r="KC24" s="76"/>
      <c r="KD24" s="77">
        <f t="shared" si="208"/>
        <v>0</v>
      </c>
      <c r="KE24" s="65"/>
      <c r="KF24" s="76"/>
      <c r="KG24" s="77">
        <f t="shared" si="208"/>
        <v>0</v>
      </c>
      <c r="KH24" s="65"/>
      <c r="KI24" s="76"/>
      <c r="KJ24" s="77">
        <f t="shared" si="208"/>
        <v>0</v>
      </c>
      <c r="KK24" s="65"/>
      <c r="KL24" s="76"/>
      <c r="KM24" s="77">
        <f t="shared" si="208"/>
        <v>0</v>
      </c>
      <c r="KN24" s="65"/>
      <c r="KO24" s="76"/>
      <c r="KP24" s="77">
        <f t="shared" si="208"/>
        <v>0</v>
      </c>
      <c r="KQ24" s="65"/>
      <c r="KR24" s="76"/>
      <c r="KS24" s="77">
        <f t="shared" si="208"/>
        <v>0</v>
      </c>
      <c r="KT24" s="65"/>
      <c r="KU24" s="76"/>
      <c r="KV24" s="77">
        <f t="shared" si="208"/>
        <v>0</v>
      </c>
      <c r="KW24" s="65"/>
      <c r="KX24" s="76"/>
      <c r="KY24" s="77">
        <f t="shared" si="208"/>
        <v>0</v>
      </c>
      <c r="KZ24" s="65"/>
      <c r="LA24" s="76"/>
      <c r="LB24" s="77">
        <f t="shared" si="208"/>
        <v>0</v>
      </c>
      <c r="LC24" s="65"/>
      <c r="LD24" s="76"/>
      <c r="LE24" s="77">
        <f t="shared" si="208"/>
        <v>0</v>
      </c>
      <c r="LF24" s="65"/>
      <c r="LG24" s="65"/>
    </row>
    <row r="25" spans="1:319">
      <c r="A25" s="49"/>
      <c r="B25" s="49"/>
      <c r="C25" s="438" t="str">
        <f>Idiomas!D321&amp;"**"</f>
        <v>QUARTERFINALS - Goal Difference (with 1X2 correct)**</v>
      </c>
      <c r="D25" s="44">
        <v>2</v>
      </c>
      <c r="E25" s="111"/>
      <c r="F25" s="445">
        <f t="shared" si="197"/>
        <v>20</v>
      </c>
      <c r="G25" s="445">
        <f ca="1">VLOOKUP(H25,Equipos!$Q$1:$R$25,2,0)</f>
        <v>7</v>
      </c>
      <c r="H25" s="446">
        <f ca="1">TRUNC(INDEX(WORLDCUP!$X$4:$X$147,MATCH(ADMIN!K25,WORLDCUP!$DT$4:$DT$147,0))+INDEX(Horarios!$R$3:$R$86,MATCH(Horarios!$C$3,Horarios!$P$3:$P$86,0))/24)</f>
        <v>46190</v>
      </c>
      <c r="I25" s="48">
        <v>1</v>
      </c>
      <c r="J25" s="96" t="s">
        <v>26</v>
      </c>
      <c r="K25" s="53" t="str">
        <f ca="1">CONCATENATE(WORLDCUP!AA77,"-",WORLDCUP!AF77)</f>
        <v>Austria-Jordan</v>
      </c>
      <c r="L25" s="53"/>
      <c r="M25" s="55" t="str">
        <f>IF(OR(WORLDCUP!AC77="",WORLDCUP!AD77=""),"-",N25&amp;"|"&amp;O25&amp;"-"&amp;P25)</f>
        <v>1|3-1</v>
      </c>
      <c r="N25" s="25" t="str">
        <f>IF(OR(WORLDCUP!AC77="",WORLDCUP!AD77=""),"",IF(WORLDCUP!AC77&gt;WORLDCUP!AD77,"1",IF(WORLDCUP!AC77&lt;WORLDCUP!AD77,"2","X")))</f>
        <v>1</v>
      </c>
      <c r="O25" s="25">
        <f>WORLDCUP!AC77</f>
        <v>3</v>
      </c>
      <c r="P25" s="25">
        <f>WORLDCUP!AD77</f>
        <v>1</v>
      </c>
      <c r="Q25" s="25">
        <f t="shared" si="201"/>
        <v>2</v>
      </c>
      <c r="R25" s="49"/>
      <c r="S25" s="74" t="s">
        <v>1954</v>
      </c>
      <c r="T25" s="73">
        <f t="shared" si="198"/>
        <v>10</v>
      </c>
      <c r="U25" s="65"/>
      <c r="V25" s="74" t="s">
        <v>1950</v>
      </c>
      <c r="W25" s="73">
        <f t="shared" si="199"/>
        <v>12</v>
      </c>
      <c r="X25" s="65"/>
      <c r="Y25" s="74" t="s">
        <v>1950</v>
      </c>
      <c r="Z25" s="73">
        <f t="shared" si="204"/>
        <v>12</v>
      </c>
      <c r="AA25" s="65"/>
      <c r="AB25" s="74" t="s">
        <v>1950</v>
      </c>
      <c r="AC25" s="73">
        <f t="shared" si="204"/>
        <v>12</v>
      </c>
      <c r="AD25" s="65"/>
      <c r="AE25" s="74" t="s">
        <v>1958</v>
      </c>
      <c r="AF25" s="73">
        <f t="shared" si="204"/>
        <v>10</v>
      </c>
      <c r="AG25" s="65"/>
      <c r="AH25" s="74" t="s">
        <v>1958</v>
      </c>
      <c r="AI25" s="73">
        <f t="shared" si="204"/>
        <v>10</v>
      </c>
      <c r="AJ25" s="65"/>
      <c r="AK25" s="74" t="s">
        <v>1949</v>
      </c>
      <c r="AL25" s="73">
        <f t="shared" si="204"/>
        <v>20</v>
      </c>
      <c r="AM25" s="65"/>
      <c r="AN25" s="74" t="s">
        <v>1959</v>
      </c>
      <c r="AO25" s="73">
        <f t="shared" si="204"/>
        <v>10</v>
      </c>
      <c r="AP25" s="65"/>
      <c r="AQ25" s="74" t="s">
        <v>1950</v>
      </c>
      <c r="AR25" s="73">
        <f t="shared" si="204"/>
        <v>12</v>
      </c>
      <c r="AS25" s="65"/>
      <c r="AT25" s="74" t="s">
        <v>1944</v>
      </c>
      <c r="AU25" s="73">
        <f t="shared" si="204"/>
        <v>0</v>
      </c>
      <c r="AV25" s="65"/>
      <c r="AW25" s="74" t="s">
        <v>1954</v>
      </c>
      <c r="AX25" s="73">
        <f t="shared" si="204"/>
        <v>10</v>
      </c>
      <c r="AY25" s="65"/>
      <c r="AZ25" s="74" t="s">
        <v>1954</v>
      </c>
      <c r="BA25" s="73">
        <f t="shared" si="204"/>
        <v>10</v>
      </c>
      <c r="BB25" s="65"/>
      <c r="BC25" s="74" t="s">
        <v>1950</v>
      </c>
      <c r="BD25" s="73">
        <f t="shared" si="204"/>
        <v>12</v>
      </c>
      <c r="BE25" s="65"/>
      <c r="BF25" s="74" t="s">
        <v>1959</v>
      </c>
      <c r="BG25" s="73">
        <f t="shared" si="204"/>
        <v>10</v>
      </c>
      <c r="BH25" s="65"/>
      <c r="BI25" s="74" t="s">
        <v>2133</v>
      </c>
      <c r="BJ25" s="73">
        <f t="shared" si="204"/>
        <v>0</v>
      </c>
      <c r="BK25" s="65"/>
      <c r="BL25" s="74" t="s">
        <v>1950</v>
      </c>
      <c r="BM25" s="73">
        <f t="shared" si="204"/>
        <v>12</v>
      </c>
      <c r="BN25" s="65"/>
      <c r="BO25" s="74" t="s">
        <v>1950</v>
      </c>
      <c r="BP25" s="73">
        <f t="shared" si="204"/>
        <v>12</v>
      </c>
      <c r="BQ25" s="65"/>
      <c r="BR25" s="74" t="s">
        <v>1950</v>
      </c>
      <c r="BS25" s="73">
        <f t="shared" si="204"/>
        <v>12</v>
      </c>
      <c r="BT25" s="65"/>
      <c r="BU25" s="74" t="s">
        <v>1954</v>
      </c>
      <c r="BV25" s="73">
        <f t="shared" si="204"/>
        <v>10</v>
      </c>
      <c r="BW25" s="65"/>
      <c r="BX25" s="74" t="s">
        <v>1959</v>
      </c>
      <c r="BY25" s="73">
        <f t="shared" si="204"/>
        <v>10</v>
      </c>
      <c r="BZ25" s="65"/>
      <c r="CA25" s="74" t="s">
        <v>1958</v>
      </c>
      <c r="CB25" s="73">
        <f t="shared" si="204"/>
        <v>10</v>
      </c>
      <c r="CC25" s="65"/>
      <c r="CD25" s="74" t="s">
        <v>1950</v>
      </c>
      <c r="CE25" s="73">
        <f t="shared" si="204"/>
        <v>12</v>
      </c>
      <c r="CF25" s="65"/>
      <c r="CG25" s="74" t="s">
        <v>1950</v>
      </c>
      <c r="CH25" s="73">
        <f t="shared" si="204"/>
        <v>12</v>
      </c>
      <c r="CI25" s="65"/>
      <c r="CJ25" s="74" t="s">
        <v>1957</v>
      </c>
      <c r="CK25" s="73">
        <f t="shared" si="202"/>
        <v>0</v>
      </c>
      <c r="CL25" s="65"/>
      <c r="CM25" s="74" t="s">
        <v>1950</v>
      </c>
      <c r="CN25" s="73">
        <f t="shared" si="202"/>
        <v>12</v>
      </c>
      <c r="CO25" s="65"/>
      <c r="CP25" s="74" t="s">
        <v>1958</v>
      </c>
      <c r="CQ25" s="73">
        <f t="shared" si="202"/>
        <v>10</v>
      </c>
      <c r="CR25" s="65"/>
      <c r="CS25" s="74" t="s">
        <v>1958</v>
      </c>
      <c r="CT25" s="73">
        <f t="shared" si="202"/>
        <v>10</v>
      </c>
      <c r="CU25" s="65"/>
      <c r="CV25" s="74" t="s">
        <v>1959</v>
      </c>
      <c r="CW25" s="73">
        <f t="shared" si="202"/>
        <v>10</v>
      </c>
      <c r="CX25" s="65"/>
      <c r="CY25" s="74" t="s">
        <v>1950</v>
      </c>
      <c r="CZ25" s="73">
        <f t="shared" si="202"/>
        <v>12</v>
      </c>
      <c r="DA25" s="65"/>
      <c r="DB25" s="74" t="s">
        <v>1945</v>
      </c>
      <c r="DC25" s="73">
        <f t="shared" si="202"/>
        <v>10</v>
      </c>
      <c r="DD25" s="65"/>
      <c r="DE25" s="74" t="s">
        <v>1950</v>
      </c>
      <c r="DF25" s="73">
        <f t="shared" si="202"/>
        <v>12</v>
      </c>
      <c r="DG25" s="65"/>
      <c r="DH25" s="74" t="s">
        <v>1954</v>
      </c>
      <c r="DI25" s="73">
        <f t="shared" si="202"/>
        <v>10</v>
      </c>
      <c r="DJ25" s="65"/>
      <c r="DK25" s="74" t="s">
        <v>1950</v>
      </c>
      <c r="DL25" s="73">
        <f t="shared" si="202"/>
        <v>12</v>
      </c>
      <c r="DM25" s="65"/>
      <c r="DN25" s="74" t="s">
        <v>1958</v>
      </c>
      <c r="DO25" s="73">
        <f t="shared" si="202"/>
        <v>10</v>
      </c>
      <c r="DP25" s="65"/>
      <c r="DQ25" s="74" t="s">
        <v>1950</v>
      </c>
      <c r="DR25" s="73">
        <f t="shared" si="202"/>
        <v>12</v>
      </c>
      <c r="DS25" s="65"/>
      <c r="DT25" s="74" t="s">
        <v>1950</v>
      </c>
      <c r="DU25" s="73">
        <f t="shared" si="207"/>
        <v>12</v>
      </c>
      <c r="DV25" s="65"/>
      <c r="DW25" s="74" t="s">
        <v>1947</v>
      </c>
      <c r="DX25" s="73">
        <f t="shared" si="207"/>
        <v>10</v>
      </c>
      <c r="DY25" s="65"/>
      <c r="DZ25" s="74" t="s">
        <v>1950</v>
      </c>
      <c r="EA25" s="73">
        <f t="shared" si="207"/>
        <v>12</v>
      </c>
      <c r="EB25" s="65"/>
      <c r="EC25" s="74" t="s">
        <v>1958</v>
      </c>
      <c r="ED25" s="73">
        <f t="shared" si="207"/>
        <v>10</v>
      </c>
      <c r="EE25" s="65"/>
      <c r="EF25" s="74" t="s">
        <v>1959</v>
      </c>
      <c r="EG25" s="73">
        <f t="shared" si="207"/>
        <v>10</v>
      </c>
      <c r="EH25" s="65"/>
      <c r="EI25" s="74" t="s">
        <v>1950</v>
      </c>
      <c r="EJ25" s="73">
        <f t="shared" si="207"/>
        <v>12</v>
      </c>
      <c r="EK25" s="65"/>
      <c r="EL25" s="74" t="s">
        <v>1950</v>
      </c>
      <c r="EM25" s="73">
        <f t="shared" si="207"/>
        <v>12</v>
      </c>
      <c r="EN25" s="65"/>
      <c r="EO25" s="74" t="s">
        <v>1959</v>
      </c>
      <c r="EP25" s="73">
        <f t="shared" si="207"/>
        <v>10</v>
      </c>
      <c r="EQ25" s="65"/>
      <c r="ER25" s="74" t="s">
        <v>1950</v>
      </c>
      <c r="ES25" s="73">
        <f t="shared" si="207"/>
        <v>12</v>
      </c>
      <c r="ET25" s="65"/>
      <c r="EU25" s="74" t="s">
        <v>1950</v>
      </c>
      <c r="EV25" s="73">
        <f t="shared" si="207"/>
        <v>12</v>
      </c>
      <c r="EW25" s="65"/>
      <c r="EX25" s="74" t="s">
        <v>1950</v>
      </c>
      <c r="EY25" s="73">
        <f t="shared" si="207"/>
        <v>12</v>
      </c>
      <c r="EZ25" s="65"/>
      <c r="FA25" s="74" t="s">
        <v>1950</v>
      </c>
      <c r="FB25" s="73">
        <f t="shared" si="207"/>
        <v>12</v>
      </c>
      <c r="FC25" s="65"/>
      <c r="FD25" s="74" t="s">
        <v>1954</v>
      </c>
      <c r="FE25" s="73">
        <f t="shared" si="207"/>
        <v>10</v>
      </c>
      <c r="FF25" s="65"/>
      <c r="FG25" s="74" t="s">
        <v>1954</v>
      </c>
      <c r="FH25" s="73">
        <f t="shared" si="207"/>
        <v>10</v>
      </c>
      <c r="FI25" s="65"/>
      <c r="FJ25" s="74" t="s">
        <v>1950</v>
      </c>
      <c r="FK25" s="73">
        <f t="shared" si="207"/>
        <v>12</v>
      </c>
      <c r="FL25" s="65"/>
      <c r="FM25" s="74" t="s">
        <v>1958</v>
      </c>
      <c r="FN25" s="73">
        <f t="shared" si="207"/>
        <v>10</v>
      </c>
      <c r="FO25" s="65"/>
      <c r="FP25" s="74" t="s">
        <v>1950</v>
      </c>
      <c r="FQ25" s="73">
        <f t="shared" si="207"/>
        <v>12</v>
      </c>
      <c r="FR25" s="65"/>
      <c r="FS25" s="74" t="s">
        <v>1950</v>
      </c>
      <c r="FT25" s="73">
        <f t="shared" si="207"/>
        <v>12</v>
      </c>
      <c r="FU25" s="65"/>
      <c r="FV25" s="74" t="s">
        <v>1950</v>
      </c>
      <c r="FW25" s="73">
        <f t="shared" si="207"/>
        <v>12</v>
      </c>
      <c r="FX25" s="65"/>
      <c r="FY25" s="74" t="s">
        <v>1959</v>
      </c>
      <c r="FZ25" s="73">
        <f t="shared" si="207"/>
        <v>10</v>
      </c>
      <c r="GA25" s="65"/>
      <c r="GB25" s="74" t="s">
        <v>1959</v>
      </c>
      <c r="GC25" s="73">
        <f t="shared" si="207"/>
        <v>10</v>
      </c>
      <c r="GD25" s="65"/>
      <c r="GE25" s="74" t="s">
        <v>1949</v>
      </c>
      <c r="GF25" s="73">
        <f t="shared" si="207"/>
        <v>20</v>
      </c>
      <c r="GG25" s="65"/>
      <c r="GH25" s="74" t="s">
        <v>1958</v>
      </c>
      <c r="GI25" s="73">
        <f t="shared" si="205"/>
        <v>10</v>
      </c>
      <c r="GJ25" s="65"/>
      <c r="GK25" s="74" t="s">
        <v>1954</v>
      </c>
      <c r="GL25" s="73">
        <f t="shared" si="205"/>
        <v>10</v>
      </c>
      <c r="GM25" s="65"/>
      <c r="GN25" s="74"/>
      <c r="GO25" s="73">
        <f t="shared" si="203"/>
        <v>0</v>
      </c>
      <c r="GP25" s="65"/>
      <c r="GQ25" s="74"/>
      <c r="GR25" s="73">
        <f t="shared" si="203"/>
        <v>0</v>
      </c>
      <c r="GS25" s="65"/>
      <c r="GT25" s="74"/>
      <c r="GU25" s="73">
        <f t="shared" si="203"/>
        <v>0</v>
      </c>
      <c r="GV25" s="65"/>
      <c r="GW25" s="74"/>
      <c r="GX25" s="73">
        <f t="shared" si="203"/>
        <v>0</v>
      </c>
      <c r="GY25" s="65"/>
      <c r="GZ25" s="74"/>
      <c r="HA25" s="73">
        <f t="shared" si="203"/>
        <v>0</v>
      </c>
      <c r="HB25" s="65"/>
      <c r="HC25" s="74"/>
      <c r="HD25" s="73">
        <f t="shared" si="203"/>
        <v>0</v>
      </c>
      <c r="HE25" s="65"/>
      <c r="HF25" s="74"/>
      <c r="HG25" s="73">
        <f t="shared" si="203"/>
        <v>0</v>
      </c>
      <c r="HH25" s="65"/>
      <c r="HI25" s="74"/>
      <c r="HJ25" s="73">
        <f t="shared" si="203"/>
        <v>0</v>
      </c>
      <c r="HK25" s="65"/>
      <c r="HL25" s="74"/>
      <c r="HM25" s="73">
        <f t="shared" si="203"/>
        <v>0</v>
      </c>
      <c r="HN25" s="65"/>
      <c r="HO25" s="74"/>
      <c r="HP25" s="73">
        <f t="shared" si="203"/>
        <v>0</v>
      </c>
      <c r="HQ25" s="65"/>
      <c r="HR25" s="74"/>
      <c r="HS25" s="73">
        <f t="shared" si="203"/>
        <v>0</v>
      </c>
      <c r="HT25" s="65"/>
      <c r="HU25" s="74"/>
      <c r="HV25" s="73">
        <f t="shared" si="203"/>
        <v>0</v>
      </c>
      <c r="HW25" s="65"/>
      <c r="HX25" s="74"/>
      <c r="HY25" s="73">
        <f t="shared" si="203"/>
        <v>0</v>
      </c>
      <c r="HZ25" s="65"/>
      <c r="IA25" s="74"/>
      <c r="IB25" s="73">
        <f t="shared" si="203"/>
        <v>0</v>
      </c>
      <c r="IC25" s="65"/>
      <c r="ID25" s="74"/>
      <c r="IE25" s="73">
        <f t="shared" si="203"/>
        <v>0</v>
      </c>
      <c r="IF25" s="65"/>
      <c r="IG25" s="74"/>
      <c r="IH25" s="73">
        <f t="shared" si="203"/>
        <v>0</v>
      </c>
      <c r="II25" s="65"/>
      <c r="IJ25" s="74"/>
      <c r="IK25" s="73">
        <f t="shared" si="203"/>
        <v>0</v>
      </c>
      <c r="IL25" s="65"/>
      <c r="IM25" s="74"/>
      <c r="IN25" s="73">
        <f t="shared" si="203"/>
        <v>0</v>
      </c>
      <c r="IO25" s="65"/>
      <c r="IP25" s="74"/>
      <c r="IQ25" s="73">
        <f t="shared" si="203"/>
        <v>0</v>
      </c>
      <c r="IR25" s="65"/>
      <c r="IS25" s="74"/>
      <c r="IT25" s="73">
        <f t="shared" si="203"/>
        <v>0</v>
      </c>
      <c r="IU25" s="65"/>
      <c r="IV25" s="74"/>
      <c r="IW25" s="73">
        <f t="shared" si="208"/>
        <v>0</v>
      </c>
      <c r="IX25" s="65"/>
      <c r="IY25" s="74"/>
      <c r="IZ25" s="73">
        <f t="shared" si="208"/>
        <v>0</v>
      </c>
      <c r="JA25" s="65"/>
      <c r="JB25" s="74"/>
      <c r="JC25" s="73">
        <f t="shared" si="208"/>
        <v>0</v>
      </c>
      <c r="JD25" s="65"/>
      <c r="JE25" s="74"/>
      <c r="JF25" s="73">
        <f t="shared" si="208"/>
        <v>0</v>
      </c>
      <c r="JG25" s="65"/>
      <c r="JH25" s="74"/>
      <c r="JI25" s="73">
        <f t="shared" si="208"/>
        <v>0</v>
      </c>
      <c r="JJ25" s="65"/>
      <c r="JK25" s="74"/>
      <c r="JL25" s="73">
        <f t="shared" si="208"/>
        <v>0</v>
      </c>
      <c r="JM25" s="65"/>
      <c r="JN25" s="74"/>
      <c r="JO25" s="73">
        <f t="shared" si="208"/>
        <v>0</v>
      </c>
      <c r="JP25" s="65"/>
      <c r="JQ25" s="74"/>
      <c r="JR25" s="73">
        <f t="shared" si="208"/>
        <v>0</v>
      </c>
      <c r="JS25" s="65"/>
      <c r="JT25" s="74"/>
      <c r="JU25" s="73">
        <f t="shared" si="208"/>
        <v>0</v>
      </c>
      <c r="JV25" s="65"/>
      <c r="JW25" s="74"/>
      <c r="JX25" s="73">
        <f t="shared" si="208"/>
        <v>0</v>
      </c>
      <c r="JY25" s="65"/>
      <c r="JZ25" s="74"/>
      <c r="KA25" s="73">
        <f t="shared" si="208"/>
        <v>0</v>
      </c>
      <c r="KB25" s="65"/>
      <c r="KC25" s="74"/>
      <c r="KD25" s="73">
        <f t="shared" si="208"/>
        <v>0</v>
      </c>
      <c r="KE25" s="65"/>
      <c r="KF25" s="74"/>
      <c r="KG25" s="73">
        <f t="shared" si="208"/>
        <v>0</v>
      </c>
      <c r="KH25" s="65"/>
      <c r="KI25" s="74"/>
      <c r="KJ25" s="73">
        <f t="shared" si="208"/>
        <v>0</v>
      </c>
      <c r="KK25" s="65"/>
      <c r="KL25" s="74"/>
      <c r="KM25" s="73">
        <f t="shared" si="208"/>
        <v>0</v>
      </c>
      <c r="KN25" s="65"/>
      <c r="KO25" s="74"/>
      <c r="KP25" s="73">
        <f t="shared" si="208"/>
        <v>0</v>
      </c>
      <c r="KQ25" s="65"/>
      <c r="KR25" s="74"/>
      <c r="KS25" s="73">
        <f t="shared" si="208"/>
        <v>0</v>
      </c>
      <c r="KT25" s="65"/>
      <c r="KU25" s="74"/>
      <c r="KV25" s="73">
        <f t="shared" si="208"/>
        <v>0</v>
      </c>
      <c r="KW25" s="65"/>
      <c r="KX25" s="74"/>
      <c r="KY25" s="73">
        <f t="shared" si="208"/>
        <v>0</v>
      </c>
      <c r="KZ25" s="65"/>
      <c r="LA25" s="74"/>
      <c r="LB25" s="73">
        <f t="shared" si="208"/>
        <v>0</v>
      </c>
      <c r="LC25" s="65"/>
      <c r="LD25" s="74"/>
      <c r="LE25" s="73">
        <f t="shared" si="208"/>
        <v>0</v>
      </c>
      <c r="LF25" s="65"/>
      <c r="LG25" s="65"/>
    </row>
    <row r="26" spans="1:319">
      <c r="A26" s="49"/>
      <c r="B26" s="49"/>
      <c r="C26" s="437" t="str">
        <f>Idiomas!D322</f>
        <v>QUARTERFINALS - Exact Result</v>
      </c>
      <c r="D26" s="62">
        <v>8</v>
      </c>
      <c r="E26" s="111"/>
      <c r="F26" s="445">
        <f t="shared" si="197"/>
        <v>20</v>
      </c>
      <c r="G26" s="445">
        <f ca="1">VLOOKUP(H26,Equipos!$Q$1:$R$25,2,0)</f>
        <v>7</v>
      </c>
      <c r="H26" s="446">
        <f ca="1">TRUNC(INDEX(WORLDCUP!$X$4:$X$147,MATCH(ADMIN!K26,WORLDCUP!$DT$4:$DT$147,0))+INDEX(Horarios!$R$3:$R$86,MATCH(Horarios!$C$3,Horarios!$P$3:$P$86,0))/24)</f>
        <v>46190</v>
      </c>
      <c r="I26" s="48">
        <v>1</v>
      </c>
      <c r="J26" s="95" t="s">
        <v>515</v>
      </c>
      <c r="K26" s="56" t="str">
        <f ca="1">CONCATENATE(WORLDCUP!AA84,"-",WORLDCUP!AF84)</f>
        <v>Portugal-DR Congo</v>
      </c>
      <c r="L26" s="53"/>
      <c r="M26" s="55" t="str">
        <f>IF(OR(WORLDCUP!AC84="",WORLDCUP!AD84=""),"-",N26&amp;"|"&amp;O26&amp;"-"&amp;P26)</f>
        <v>X|1-1</v>
      </c>
      <c r="N26" s="25" t="str">
        <f>IF(OR(WORLDCUP!AC84="",WORLDCUP!AD84=""),"",IF(WORLDCUP!AC84&gt;WORLDCUP!AD84,"1",IF(WORLDCUP!AC84&lt;WORLDCUP!AD84,"2","X")))</f>
        <v>X</v>
      </c>
      <c r="O26" s="25">
        <f>WORLDCUP!AC84</f>
        <v>1</v>
      </c>
      <c r="P26" s="25">
        <f>WORLDCUP!AD84</f>
        <v>1</v>
      </c>
      <c r="Q26" s="25">
        <f t="shared" si="201"/>
        <v>0</v>
      </c>
      <c r="R26" s="49"/>
      <c r="S26" s="74" t="s">
        <v>1944</v>
      </c>
      <c r="T26" s="73">
        <f t="shared" si="198"/>
        <v>12</v>
      </c>
      <c r="U26" s="65"/>
      <c r="V26" s="74" t="s">
        <v>1950</v>
      </c>
      <c r="W26" s="73">
        <f t="shared" si="199"/>
        <v>0</v>
      </c>
      <c r="X26" s="65"/>
      <c r="Y26" s="74" t="s">
        <v>1950</v>
      </c>
      <c r="Z26" s="73">
        <f t="shared" si="204"/>
        <v>0</v>
      </c>
      <c r="AA26" s="65"/>
      <c r="AB26" s="74" t="s">
        <v>1958</v>
      </c>
      <c r="AC26" s="73">
        <f t="shared" si="204"/>
        <v>0</v>
      </c>
      <c r="AD26" s="65"/>
      <c r="AE26" s="74" t="s">
        <v>1950</v>
      </c>
      <c r="AF26" s="73">
        <f t="shared" si="204"/>
        <v>0</v>
      </c>
      <c r="AG26" s="65"/>
      <c r="AH26" s="74" t="s">
        <v>1954</v>
      </c>
      <c r="AI26" s="73">
        <f t="shared" si="204"/>
        <v>0</v>
      </c>
      <c r="AJ26" s="65"/>
      <c r="AK26" s="74" t="s">
        <v>1958</v>
      </c>
      <c r="AL26" s="73">
        <f t="shared" si="204"/>
        <v>0</v>
      </c>
      <c r="AM26" s="65"/>
      <c r="AN26" s="74" t="s">
        <v>1954</v>
      </c>
      <c r="AO26" s="73">
        <f t="shared" si="204"/>
        <v>0</v>
      </c>
      <c r="AP26" s="65"/>
      <c r="AQ26" s="74" t="s">
        <v>1947</v>
      </c>
      <c r="AR26" s="73">
        <f t="shared" si="204"/>
        <v>0</v>
      </c>
      <c r="AS26" s="65"/>
      <c r="AT26" s="74" t="s">
        <v>2000</v>
      </c>
      <c r="AU26" s="73">
        <f t="shared" si="204"/>
        <v>0</v>
      </c>
      <c r="AV26" s="65"/>
      <c r="AW26" s="74" t="s">
        <v>1949</v>
      </c>
      <c r="AX26" s="73">
        <f t="shared" si="204"/>
        <v>0</v>
      </c>
      <c r="AY26" s="65"/>
      <c r="AZ26" s="74" t="s">
        <v>1950</v>
      </c>
      <c r="BA26" s="73">
        <f t="shared" si="204"/>
        <v>0</v>
      </c>
      <c r="BB26" s="65"/>
      <c r="BC26" s="74" t="s">
        <v>1958</v>
      </c>
      <c r="BD26" s="73">
        <f t="shared" si="204"/>
        <v>0</v>
      </c>
      <c r="BE26" s="65"/>
      <c r="BF26" s="74" t="s">
        <v>1950</v>
      </c>
      <c r="BG26" s="73">
        <f t="shared" si="204"/>
        <v>0</v>
      </c>
      <c r="BH26" s="65"/>
      <c r="BI26" s="74" t="s">
        <v>1950</v>
      </c>
      <c r="BJ26" s="73">
        <f t="shared" si="204"/>
        <v>0</v>
      </c>
      <c r="BK26" s="65"/>
      <c r="BL26" s="74" t="s">
        <v>1958</v>
      </c>
      <c r="BM26" s="73">
        <f t="shared" si="204"/>
        <v>0</v>
      </c>
      <c r="BN26" s="65"/>
      <c r="BO26" s="74" t="s">
        <v>1950</v>
      </c>
      <c r="BP26" s="73">
        <f t="shared" si="204"/>
        <v>0</v>
      </c>
      <c r="BQ26" s="65"/>
      <c r="BR26" s="74" t="s">
        <v>1958</v>
      </c>
      <c r="BS26" s="73">
        <f t="shared" si="204"/>
        <v>0</v>
      </c>
      <c r="BT26" s="65"/>
      <c r="BU26" s="74" t="s">
        <v>1950</v>
      </c>
      <c r="BV26" s="73">
        <f t="shared" si="204"/>
        <v>0</v>
      </c>
      <c r="BW26" s="65"/>
      <c r="BX26" s="74" t="s">
        <v>1958</v>
      </c>
      <c r="BY26" s="73">
        <f t="shared" si="204"/>
        <v>0</v>
      </c>
      <c r="BZ26" s="65"/>
      <c r="CA26" s="74" t="s">
        <v>1950</v>
      </c>
      <c r="CB26" s="73">
        <f t="shared" si="204"/>
        <v>0</v>
      </c>
      <c r="CC26" s="65"/>
      <c r="CD26" s="74" t="s">
        <v>1950</v>
      </c>
      <c r="CE26" s="73">
        <f t="shared" si="204"/>
        <v>0</v>
      </c>
      <c r="CF26" s="65"/>
      <c r="CG26" s="74" t="s">
        <v>1958</v>
      </c>
      <c r="CH26" s="73">
        <f t="shared" si="204"/>
        <v>0</v>
      </c>
      <c r="CI26" s="65"/>
      <c r="CJ26" s="74" t="s">
        <v>1954</v>
      </c>
      <c r="CK26" s="73">
        <f t="shared" si="202"/>
        <v>0</v>
      </c>
      <c r="CL26" s="65"/>
      <c r="CM26" s="74" t="s">
        <v>1949</v>
      </c>
      <c r="CN26" s="73">
        <f t="shared" si="202"/>
        <v>0</v>
      </c>
      <c r="CO26" s="65"/>
      <c r="CP26" s="74" t="s">
        <v>1950</v>
      </c>
      <c r="CQ26" s="73">
        <f t="shared" si="202"/>
        <v>0</v>
      </c>
      <c r="CR26" s="65"/>
      <c r="CS26" s="74" t="s">
        <v>1958</v>
      </c>
      <c r="CT26" s="73">
        <f t="shared" si="202"/>
        <v>0</v>
      </c>
      <c r="CU26" s="65"/>
      <c r="CV26" s="74" t="s">
        <v>1958</v>
      </c>
      <c r="CW26" s="73">
        <f t="shared" si="202"/>
        <v>0</v>
      </c>
      <c r="CX26" s="65"/>
      <c r="CY26" s="74" t="s">
        <v>1945</v>
      </c>
      <c r="CZ26" s="73">
        <f t="shared" si="202"/>
        <v>0</v>
      </c>
      <c r="DA26" s="65"/>
      <c r="DB26" s="74" t="s">
        <v>1949</v>
      </c>
      <c r="DC26" s="73">
        <f t="shared" si="202"/>
        <v>0</v>
      </c>
      <c r="DD26" s="65"/>
      <c r="DE26" s="74" t="s">
        <v>2696</v>
      </c>
      <c r="DF26" s="73">
        <f t="shared" si="202"/>
        <v>0</v>
      </c>
      <c r="DG26" s="65"/>
      <c r="DH26" s="74" t="s">
        <v>1950</v>
      </c>
      <c r="DI26" s="73">
        <f t="shared" si="202"/>
        <v>0</v>
      </c>
      <c r="DJ26" s="65"/>
      <c r="DK26" s="74" t="s">
        <v>1950</v>
      </c>
      <c r="DL26" s="73">
        <f t="shared" si="202"/>
        <v>0</v>
      </c>
      <c r="DM26" s="65"/>
      <c r="DN26" s="74" t="s">
        <v>1947</v>
      </c>
      <c r="DO26" s="73">
        <f t="shared" si="202"/>
        <v>0</v>
      </c>
      <c r="DP26" s="65"/>
      <c r="DQ26" s="74" t="s">
        <v>1959</v>
      </c>
      <c r="DR26" s="73">
        <f t="shared" si="202"/>
        <v>0</v>
      </c>
      <c r="DS26" s="65"/>
      <c r="DT26" s="74" t="s">
        <v>1949</v>
      </c>
      <c r="DU26" s="73">
        <f t="shared" si="207"/>
        <v>0</v>
      </c>
      <c r="DV26" s="65"/>
      <c r="DW26" s="74" t="s">
        <v>2132</v>
      </c>
      <c r="DX26" s="73">
        <f t="shared" si="207"/>
        <v>0</v>
      </c>
      <c r="DY26" s="65"/>
      <c r="DZ26" s="74" t="s">
        <v>1958</v>
      </c>
      <c r="EA26" s="73">
        <f t="shared" si="207"/>
        <v>0</v>
      </c>
      <c r="EB26" s="65"/>
      <c r="EC26" s="74" t="s">
        <v>1950</v>
      </c>
      <c r="ED26" s="73">
        <f t="shared" si="207"/>
        <v>0</v>
      </c>
      <c r="EE26" s="65"/>
      <c r="EF26" s="74" t="s">
        <v>1958</v>
      </c>
      <c r="EG26" s="73">
        <f t="shared" si="207"/>
        <v>0</v>
      </c>
      <c r="EH26" s="65"/>
      <c r="EI26" s="74" t="s">
        <v>1958</v>
      </c>
      <c r="EJ26" s="73">
        <f t="shared" si="207"/>
        <v>0</v>
      </c>
      <c r="EK26" s="65"/>
      <c r="EL26" s="74" t="s">
        <v>1958</v>
      </c>
      <c r="EM26" s="73">
        <f t="shared" si="207"/>
        <v>0</v>
      </c>
      <c r="EN26" s="65"/>
      <c r="EO26" s="74" t="s">
        <v>1959</v>
      </c>
      <c r="EP26" s="73">
        <f t="shared" si="207"/>
        <v>0</v>
      </c>
      <c r="EQ26" s="65"/>
      <c r="ER26" s="74" t="s">
        <v>1950</v>
      </c>
      <c r="ES26" s="73">
        <f t="shared" si="207"/>
        <v>0</v>
      </c>
      <c r="ET26" s="65"/>
      <c r="EU26" s="74" t="s">
        <v>1958</v>
      </c>
      <c r="EV26" s="73">
        <f t="shared" si="207"/>
        <v>0</v>
      </c>
      <c r="EW26" s="65"/>
      <c r="EX26" s="74" t="s">
        <v>1950</v>
      </c>
      <c r="EY26" s="73">
        <f t="shared" si="207"/>
        <v>0</v>
      </c>
      <c r="EZ26" s="65"/>
      <c r="FA26" s="74" t="s">
        <v>1958</v>
      </c>
      <c r="FB26" s="73">
        <f t="shared" si="207"/>
        <v>0</v>
      </c>
      <c r="FC26" s="65"/>
      <c r="FD26" s="74" t="s">
        <v>1958</v>
      </c>
      <c r="FE26" s="73">
        <f t="shared" si="207"/>
        <v>0</v>
      </c>
      <c r="FF26" s="65"/>
      <c r="FG26" s="74" t="s">
        <v>1958</v>
      </c>
      <c r="FH26" s="73">
        <f t="shared" si="207"/>
        <v>0</v>
      </c>
      <c r="FI26" s="65"/>
      <c r="FJ26" s="74" t="s">
        <v>1958</v>
      </c>
      <c r="FK26" s="73">
        <f t="shared" si="207"/>
        <v>0</v>
      </c>
      <c r="FL26" s="65"/>
      <c r="FM26" s="74" t="s">
        <v>1945</v>
      </c>
      <c r="FN26" s="73">
        <f t="shared" si="207"/>
        <v>0</v>
      </c>
      <c r="FO26" s="65"/>
      <c r="FP26" s="74" t="s">
        <v>1958</v>
      </c>
      <c r="FQ26" s="73">
        <f t="shared" si="207"/>
        <v>0</v>
      </c>
      <c r="FR26" s="65"/>
      <c r="FS26" s="74" t="s">
        <v>1958</v>
      </c>
      <c r="FT26" s="73">
        <f t="shared" si="207"/>
        <v>0</v>
      </c>
      <c r="FU26" s="65"/>
      <c r="FV26" s="74" t="s">
        <v>1958</v>
      </c>
      <c r="FW26" s="73">
        <f t="shared" si="207"/>
        <v>0</v>
      </c>
      <c r="FX26" s="65"/>
      <c r="FY26" s="74" t="s">
        <v>1950</v>
      </c>
      <c r="FZ26" s="73">
        <f t="shared" si="207"/>
        <v>0</v>
      </c>
      <c r="GA26" s="65"/>
      <c r="GB26" s="74" t="s">
        <v>1950</v>
      </c>
      <c r="GC26" s="73">
        <f t="shared" si="207"/>
        <v>0</v>
      </c>
      <c r="GD26" s="65"/>
      <c r="GE26" s="74" t="s">
        <v>1949</v>
      </c>
      <c r="GF26" s="73">
        <f t="shared" si="207"/>
        <v>0</v>
      </c>
      <c r="GG26" s="65"/>
      <c r="GH26" s="74" t="s">
        <v>1950</v>
      </c>
      <c r="GI26" s="73">
        <f t="shared" si="205"/>
        <v>0</v>
      </c>
      <c r="GJ26" s="65"/>
      <c r="GK26" s="74" t="s">
        <v>1950</v>
      </c>
      <c r="GL26" s="73">
        <f t="shared" si="205"/>
        <v>0</v>
      </c>
      <c r="GM26" s="65"/>
      <c r="GN26" s="74"/>
      <c r="GO26" s="73">
        <f t="shared" si="203"/>
        <v>0</v>
      </c>
      <c r="GP26" s="65"/>
      <c r="GQ26" s="74"/>
      <c r="GR26" s="73">
        <f t="shared" si="203"/>
        <v>0</v>
      </c>
      <c r="GS26" s="65"/>
      <c r="GT26" s="74"/>
      <c r="GU26" s="73">
        <f t="shared" si="203"/>
        <v>0</v>
      </c>
      <c r="GV26" s="65"/>
      <c r="GW26" s="74"/>
      <c r="GX26" s="73">
        <f t="shared" si="203"/>
        <v>0</v>
      </c>
      <c r="GY26" s="65"/>
      <c r="GZ26" s="74"/>
      <c r="HA26" s="73">
        <f t="shared" si="203"/>
        <v>0</v>
      </c>
      <c r="HB26" s="65"/>
      <c r="HC26" s="74"/>
      <c r="HD26" s="73">
        <f t="shared" si="203"/>
        <v>0</v>
      </c>
      <c r="HE26" s="65"/>
      <c r="HF26" s="74"/>
      <c r="HG26" s="73">
        <f t="shared" si="203"/>
        <v>0</v>
      </c>
      <c r="HH26" s="65"/>
      <c r="HI26" s="74"/>
      <c r="HJ26" s="73">
        <f t="shared" si="203"/>
        <v>0</v>
      </c>
      <c r="HK26" s="65"/>
      <c r="HL26" s="74"/>
      <c r="HM26" s="73">
        <f t="shared" si="203"/>
        <v>0</v>
      </c>
      <c r="HN26" s="65"/>
      <c r="HO26" s="74"/>
      <c r="HP26" s="73">
        <f t="shared" si="203"/>
        <v>0</v>
      </c>
      <c r="HQ26" s="65"/>
      <c r="HR26" s="74"/>
      <c r="HS26" s="73">
        <f t="shared" si="203"/>
        <v>0</v>
      </c>
      <c r="HT26" s="65"/>
      <c r="HU26" s="74"/>
      <c r="HV26" s="73">
        <f t="shared" si="203"/>
        <v>0</v>
      </c>
      <c r="HW26" s="65"/>
      <c r="HX26" s="74"/>
      <c r="HY26" s="73">
        <f t="shared" si="203"/>
        <v>0</v>
      </c>
      <c r="HZ26" s="65"/>
      <c r="IA26" s="74"/>
      <c r="IB26" s="73">
        <f t="shared" si="203"/>
        <v>0</v>
      </c>
      <c r="IC26" s="65"/>
      <c r="ID26" s="74"/>
      <c r="IE26" s="73">
        <f t="shared" si="203"/>
        <v>0</v>
      </c>
      <c r="IF26" s="65"/>
      <c r="IG26" s="74"/>
      <c r="IH26" s="73">
        <f t="shared" si="203"/>
        <v>0</v>
      </c>
      <c r="II26" s="65"/>
      <c r="IJ26" s="74"/>
      <c r="IK26" s="73">
        <f t="shared" si="203"/>
        <v>0</v>
      </c>
      <c r="IL26" s="65"/>
      <c r="IM26" s="74"/>
      <c r="IN26" s="73">
        <f t="shared" si="203"/>
        <v>0</v>
      </c>
      <c r="IO26" s="65"/>
      <c r="IP26" s="74"/>
      <c r="IQ26" s="73">
        <f t="shared" si="203"/>
        <v>0</v>
      </c>
      <c r="IR26" s="65"/>
      <c r="IS26" s="74"/>
      <c r="IT26" s="73">
        <f t="shared" si="203"/>
        <v>0</v>
      </c>
      <c r="IU26" s="65"/>
      <c r="IV26" s="74"/>
      <c r="IW26" s="73">
        <f t="shared" si="208"/>
        <v>0</v>
      </c>
      <c r="IX26" s="65"/>
      <c r="IY26" s="74"/>
      <c r="IZ26" s="73">
        <f t="shared" si="208"/>
        <v>0</v>
      </c>
      <c r="JA26" s="65"/>
      <c r="JB26" s="74"/>
      <c r="JC26" s="73">
        <f t="shared" si="208"/>
        <v>0</v>
      </c>
      <c r="JD26" s="65"/>
      <c r="JE26" s="74"/>
      <c r="JF26" s="73">
        <f t="shared" si="208"/>
        <v>0</v>
      </c>
      <c r="JG26" s="65"/>
      <c r="JH26" s="74"/>
      <c r="JI26" s="73">
        <f t="shared" si="208"/>
        <v>0</v>
      </c>
      <c r="JJ26" s="65"/>
      <c r="JK26" s="74"/>
      <c r="JL26" s="73">
        <f t="shared" si="208"/>
        <v>0</v>
      </c>
      <c r="JM26" s="65"/>
      <c r="JN26" s="74"/>
      <c r="JO26" s="73">
        <f t="shared" si="208"/>
        <v>0</v>
      </c>
      <c r="JP26" s="65"/>
      <c r="JQ26" s="74"/>
      <c r="JR26" s="73">
        <f t="shared" si="208"/>
        <v>0</v>
      </c>
      <c r="JS26" s="65"/>
      <c r="JT26" s="74"/>
      <c r="JU26" s="73">
        <f t="shared" si="208"/>
        <v>0</v>
      </c>
      <c r="JV26" s="65"/>
      <c r="JW26" s="74"/>
      <c r="JX26" s="73">
        <f t="shared" si="208"/>
        <v>0</v>
      </c>
      <c r="JY26" s="65"/>
      <c r="JZ26" s="74"/>
      <c r="KA26" s="73">
        <f t="shared" si="208"/>
        <v>0</v>
      </c>
      <c r="KB26" s="65"/>
      <c r="KC26" s="74"/>
      <c r="KD26" s="73">
        <f t="shared" si="208"/>
        <v>0</v>
      </c>
      <c r="KE26" s="65"/>
      <c r="KF26" s="74"/>
      <c r="KG26" s="73">
        <f t="shared" si="208"/>
        <v>0</v>
      </c>
      <c r="KH26" s="65"/>
      <c r="KI26" s="74"/>
      <c r="KJ26" s="73">
        <f t="shared" si="208"/>
        <v>0</v>
      </c>
      <c r="KK26" s="65"/>
      <c r="KL26" s="74"/>
      <c r="KM26" s="73">
        <f t="shared" si="208"/>
        <v>0</v>
      </c>
      <c r="KN26" s="65"/>
      <c r="KO26" s="74"/>
      <c r="KP26" s="73">
        <f t="shared" si="208"/>
        <v>0</v>
      </c>
      <c r="KQ26" s="65"/>
      <c r="KR26" s="74"/>
      <c r="KS26" s="73">
        <f t="shared" si="208"/>
        <v>0</v>
      </c>
      <c r="KT26" s="65"/>
      <c r="KU26" s="74"/>
      <c r="KV26" s="73">
        <f t="shared" si="208"/>
        <v>0</v>
      </c>
      <c r="KW26" s="65"/>
      <c r="KX26" s="74"/>
      <c r="KY26" s="73">
        <f t="shared" si="208"/>
        <v>0</v>
      </c>
      <c r="KZ26" s="65"/>
      <c r="LA26" s="74"/>
      <c r="LB26" s="73">
        <f t="shared" si="208"/>
        <v>0</v>
      </c>
      <c r="LC26" s="65"/>
      <c r="LD26" s="74"/>
      <c r="LE26" s="73">
        <f t="shared" si="208"/>
        <v>0</v>
      </c>
      <c r="LF26" s="65"/>
      <c r="LG26" s="65"/>
    </row>
    <row r="27" spans="1:319">
      <c r="A27" s="49"/>
      <c r="B27" s="49"/>
      <c r="C27" s="439" t="str">
        <f>Idiomas!D323</f>
        <v>Nation Qualified for SEMIFINALS</v>
      </c>
      <c r="D27" s="45">
        <v>30</v>
      </c>
      <c r="E27" s="111"/>
      <c r="F27" s="445">
        <f t="shared" si="197"/>
        <v>20</v>
      </c>
      <c r="G27" s="445">
        <f ca="1">VLOOKUP(H27,Equipos!$Q$1:$R$25,2,0)</f>
        <v>8</v>
      </c>
      <c r="H27" s="446">
        <f ca="1">TRUNC(INDEX(WORLDCUP!$X$4:$X$147,MATCH(ADMIN!K27,WORLDCUP!$DT$4:$DT$147,0))+INDEX(Horarios!$R$3:$R$86,MATCH(Horarios!$C$3,Horarios!$P$3:$P$86,0))/24)</f>
        <v>46191</v>
      </c>
      <c r="I27" s="48">
        <v>1</v>
      </c>
      <c r="J27" s="95" t="s">
        <v>515</v>
      </c>
      <c r="K27" s="53" t="str">
        <f ca="1">CONCATENATE(WORLDCUP!AA85,"-",WORLDCUP!AF85)</f>
        <v>Uzbekistan-Colombia</v>
      </c>
      <c r="L27" s="53"/>
      <c r="M27" s="53" t="str">
        <f>IF(OR(WORLDCUP!AC85="",WORLDCUP!AD85=""),"-",N27&amp;"|"&amp;O27&amp;"-"&amp;P27)</f>
        <v>2|1-3</v>
      </c>
      <c r="N27" s="25" t="str">
        <f>IF(OR(WORLDCUP!AC85="",WORLDCUP!AD85=""),"",IF(WORLDCUP!AC85&gt;WORLDCUP!AD85,"1",IF(WORLDCUP!AC85&lt;WORLDCUP!AD85,"2","X")))</f>
        <v>2</v>
      </c>
      <c r="O27" s="25">
        <f>WORLDCUP!AC85</f>
        <v>1</v>
      </c>
      <c r="P27" s="25">
        <f>WORLDCUP!AD85</f>
        <v>3</v>
      </c>
      <c r="Q27" s="25">
        <f t="shared" si="201"/>
        <v>2</v>
      </c>
      <c r="R27" s="49"/>
      <c r="S27" s="74" t="s">
        <v>1955</v>
      </c>
      <c r="T27" s="73">
        <f t="shared" si="198"/>
        <v>20</v>
      </c>
      <c r="U27" s="65"/>
      <c r="V27" s="74" t="s">
        <v>1960</v>
      </c>
      <c r="W27" s="73">
        <f t="shared" si="199"/>
        <v>12</v>
      </c>
      <c r="X27" s="65"/>
      <c r="Y27" s="74" t="s">
        <v>1960</v>
      </c>
      <c r="Z27" s="73">
        <f t="shared" si="204"/>
        <v>12</v>
      </c>
      <c r="AA27" s="65"/>
      <c r="AB27" s="74" t="s">
        <v>1960</v>
      </c>
      <c r="AC27" s="73">
        <f t="shared" si="204"/>
        <v>12</v>
      </c>
      <c r="AD27" s="65"/>
      <c r="AE27" s="74" t="s">
        <v>1960</v>
      </c>
      <c r="AF27" s="73">
        <f t="shared" si="204"/>
        <v>12</v>
      </c>
      <c r="AG27" s="65"/>
      <c r="AH27" s="74" t="s">
        <v>1948</v>
      </c>
      <c r="AI27" s="73">
        <f t="shared" si="204"/>
        <v>10</v>
      </c>
      <c r="AJ27" s="65"/>
      <c r="AK27" s="74" t="s">
        <v>1957</v>
      </c>
      <c r="AL27" s="73">
        <f t="shared" si="204"/>
        <v>0</v>
      </c>
      <c r="AM27" s="65"/>
      <c r="AN27" s="74" t="s">
        <v>2000</v>
      </c>
      <c r="AO27" s="73">
        <f t="shared" si="204"/>
        <v>10</v>
      </c>
      <c r="AP27" s="65"/>
      <c r="AQ27" s="74" t="s">
        <v>1948</v>
      </c>
      <c r="AR27" s="73">
        <f t="shared" si="204"/>
        <v>10</v>
      </c>
      <c r="AS27" s="65"/>
      <c r="AT27" s="74" t="s">
        <v>1957</v>
      </c>
      <c r="AU27" s="73">
        <f t="shared" si="204"/>
        <v>0</v>
      </c>
      <c r="AV27" s="65"/>
      <c r="AW27" s="74" t="s">
        <v>1960</v>
      </c>
      <c r="AX27" s="73">
        <f t="shared" si="204"/>
        <v>12</v>
      </c>
      <c r="AY27" s="65"/>
      <c r="AZ27" s="74" t="s">
        <v>1953</v>
      </c>
      <c r="BA27" s="73">
        <f t="shared" si="204"/>
        <v>10</v>
      </c>
      <c r="BB27" s="65"/>
      <c r="BC27" s="74" t="s">
        <v>1960</v>
      </c>
      <c r="BD27" s="73">
        <f t="shared" si="204"/>
        <v>12</v>
      </c>
      <c r="BE27" s="65"/>
      <c r="BF27" s="74" t="s">
        <v>2000</v>
      </c>
      <c r="BG27" s="73">
        <f t="shared" si="204"/>
        <v>10</v>
      </c>
      <c r="BH27" s="65"/>
      <c r="BI27" s="74" t="s">
        <v>1944</v>
      </c>
      <c r="BJ27" s="73">
        <f t="shared" si="204"/>
        <v>0</v>
      </c>
      <c r="BK27" s="65"/>
      <c r="BL27" s="74" t="s">
        <v>1960</v>
      </c>
      <c r="BM27" s="73">
        <f t="shared" si="204"/>
        <v>12</v>
      </c>
      <c r="BN27" s="65"/>
      <c r="BO27" s="74" t="s">
        <v>1948</v>
      </c>
      <c r="BP27" s="73">
        <f t="shared" si="204"/>
        <v>10</v>
      </c>
      <c r="BQ27" s="65"/>
      <c r="BR27" s="74" t="s">
        <v>1960</v>
      </c>
      <c r="BS27" s="73">
        <f t="shared" si="204"/>
        <v>12</v>
      </c>
      <c r="BT27" s="65"/>
      <c r="BU27" s="74" t="s">
        <v>1960</v>
      </c>
      <c r="BV27" s="73">
        <f t="shared" si="204"/>
        <v>12</v>
      </c>
      <c r="BW27" s="65"/>
      <c r="BX27" s="74" t="s">
        <v>1957</v>
      </c>
      <c r="BY27" s="73">
        <f t="shared" si="204"/>
        <v>0</v>
      </c>
      <c r="BZ27" s="65"/>
      <c r="CA27" s="74" t="s">
        <v>1960</v>
      </c>
      <c r="CB27" s="73">
        <f t="shared" si="204"/>
        <v>12</v>
      </c>
      <c r="CC27" s="65"/>
      <c r="CD27" s="74" t="s">
        <v>1960</v>
      </c>
      <c r="CE27" s="73">
        <f t="shared" si="204"/>
        <v>12</v>
      </c>
      <c r="CF27" s="65"/>
      <c r="CG27" s="74" t="s">
        <v>1953</v>
      </c>
      <c r="CH27" s="73">
        <f t="shared" si="204"/>
        <v>10</v>
      </c>
      <c r="CI27" s="65"/>
      <c r="CJ27" s="74" t="s">
        <v>1953</v>
      </c>
      <c r="CK27" s="73">
        <f t="shared" si="202"/>
        <v>10</v>
      </c>
      <c r="CL27" s="65"/>
      <c r="CM27" s="74" t="s">
        <v>1960</v>
      </c>
      <c r="CN27" s="73">
        <f t="shared" si="202"/>
        <v>12</v>
      </c>
      <c r="CO27" s="65"/>
      <c r="CP27" s="74" t="s">
        <v>1953</v>
      </c>
      <c r="CQ27" s="73">
        <f t="shared" si="202"/>
        <v>10</v>
      </c>
      <c r="CR27" s="65"/>
      <c r="CS27" s="74" t="s">
        <v>1951</v>
      </c>
      <c r="CT27" s="73">
        <f t="shared" si="202"/>
        <v>10</v>
      </c>
      <c r="CU27" s="65"/>
      <c r="CV27" s="74" t="s">
        <v>1957</v>
      </c>
      <c r="CW27" s="73">
        <f t="shared" si="202"/>
        <v>0</v>
      </c>
      <c r="CX27" s="65"/>
      <c r="CY27" s="74" t="s">
        <v>1953</v>
      </c>
      <c r="CZ27" s="73">
        <f t="shared" si="202"/>
        <v>10</v>
      </c>
      <c r="DA27" s="65"/>
      <c r="DB27" s="74" t="s">
        <v>1955</v>
      </c>
      <c r="DC27" s="73">
        <f t="shared" si="202"/>
        <v>20</v>
      </c>
      <c r="DD27" s="65"/>
      <c r="DE27" s="74" t="s">
        <v>1960</v>
      </c>
      <c r="DF27" s="73">
        <f t="shared" si="202"/>
        <v>12</v>
      </c>
      <c r="DG27" s="65"/>
      <c r="DH27" s="74" t="s">
        <v>2000</v>
      </c>
      <c r="DI27" s="73">
        <f t="shared" si="202"/>
        <v>10</v>
      </c>
      <c r="DJ27" s="65"/>
      <c r="DK27" s="74" t="s">
        <v>1953</v>
      </c>
      <c r="DL27" s="73">
        <f t="shared" si="202"/>
        <v>10</v>
      </c>
      <c r="DM27" s="65"/>
      <c r="DN27" s="74" t="s">
        <v>2106</v>
      </c>
      <c r="DO27" s="73">
        <f t="shared" si="202"/>
        <v>10</v>
      </c>
      <c r="DP27" s="65"/>
      <c r="DQ27" s="74" t="s">
        <v>2133</v>
      </c>
      <c r="DR27" s="73">
        <f t="shared" si="202"/>
        <v>0</v>
      </c>
      <c r="DS27" s="65"/>
      <c r="DT27" s="74" t="s">
        <v>1960</v>
      </c>
      <c r="DU27" s="73">
        <f t="shared" si="207"/>
        <v>12</v>
      </c>
      <c r="DV27" s="65"/>
      <c r="DW27" s="74" t="s">
        <v>1953</v>
      </c>
      <c r="DX27" s="73">
        <f t="shared" si="207"/>
        <v>10</v>
      </c>
      <c r="DY27" s="65"/>
      <c r="DZ27" s="74" t="s">
        <v>1953</v>
      </c>
      <c r="EA27" s="73">
        <f t="shared" si="207"/>
        <v>10</v>
      </c>
      <c r="EB27" s="65"/>
      <c r="EC27" s="74" t="s">
        <v>1957</v>
      </c>
      <c r="ED27" s="73">
        <f t="shared" si="207"/>
        <v>0</v>
      </c>
      <c r="EE27" s="65"/>
      <c r="EF27" s="74" t="s">
        <v>1960</v>
      </c>
      <c r="EG27" s="73">
        <f t="shared" si="207"/>
        <v>12</v>
      </c>
      <c r="EH27" s="65"/>
      <c r="EI27" s="74" t="s">
        <v>1960</v>
      </c>
      <c r="EJ27" s="73">
        <f t="shared" si="207"/>
        <v>12</v>
      </c>
      <c r="EK27" s="65"/>
      <c r="EL27" s="74" t="s">
        <v>1960</v>
      </c>
      <c r="EM27" s="73">
        <f t="shared" si="207"/>
        <v>12</v>
      </c>
      <c r="EN27" s="65"/>
      <c r="EO27" s="74" t="s">
        <v>1960</v>
      </c>
      <c r="EP27" s="73">
        <f t="shared" si="207"/>
        <v>12</v>
      </c>
      <c r="EQ27" s="65"/>
      <c r="ER27" s="74" t="s">
        <v>1953</v>
      </c>
      <c r="ES27" s="73">
        <f t="shared" si="207"/>
        <v>10</v>
      </c>
      <c r="ET27" s="65"/>
      <c r="EU27" s="74" t="s">
        <v>1960</v>
      </c>
      <c r="EV27" s="73">
        <f t="shared" si="207"/>
        <v>12</v>
      </c>
      <c r="EW27" s="65"/>
      <c r="EX27" s="74" t="s">
        <v>1960</v>
      </c>
      <c r="EY27" s="73">
        <f t="shared" si="207"/>
        <v>12</v>
      </c>
      <c r="EZ27" s="65"/>
      <c r="FA27" s="74" t="s">
        <v>1953</v>
      </c>
      <c r="FB27" s="73">
        <f t="shared" si="207"/>
        <v>10</v>
      </c>
      <c r="FC27" s="65"/>
      <c r="FD27" s="74" t="s">
        <v>1957</v>
      </c>
      <c r="FE27" s="73">
        <f t="shared" si="207"/>
        <v>0</v>
      </c>
      <c r="FF27" s="65"/>
      <c r="FG27" s="74" t="s">
        <v>1955</v>
      </c>
      <c r="FH27" s="73">
        <f t="shared" si="207"/>
        <v>20</v>
      </c>
      <c r="FI27" s="65"/>
      <c r="FJ27" s="74" t="s">
        <v>1953</v>
      </c>
      <c r="FK27" s="73">
        <f t="shared" si="207"/>
        <v>10</v>
      </c>
      <c r="FL27" s="65"/>
      <c r="FM27" s="74" t="s">
        <v>1948</v>
      </c>
      <c r="FN27" s="73">
        <f t="shared" si="207"/>
        <v>10</v>
      </c>
      <c r="FO27" s="65"/>
      <c r="FP27" s="74" t="s">
        <v>1960</v>
      </c>
      <c r="FQ27" s="73">
        <f t="shared" si="207"/>
        <v>12</v>
      </c>
      <c r="FR27" s="65"/>
      <c r="FS27" s="74" t="s">
        <v>1960</v>
      </c>
      <c r="FT27" s="73">
        <f t="shared" si="207"/>
        <v>12</v>
      </c>
      <c r="FU27" s="65"/>
      <c r="FV27" s="74" t="s">
        <v>1953</v>
      </c>
      <c r="FW27" s="73">
        <f t="shared" si="207"/>
        <v>10</v>
      </c>
      <c r="FX27" s="65"/>
      <c r="FY27" s="74" t="s">
        <v>1957</v>
      </c>
      <c r="FZ27" s="73">
        <f t="shared" si="207"/>
        <v>0</v>
      </c>
      <c r="GA27" s="65"/>
      <c r="GB27" s="74" t="s">
        <v>1948</v>
      </c>
      <c r="GC27" s="73">
        <f t="shared" si="207"/>
        <v>10</v>
      </c>
      <c r="GD27" s="65"/>
      <c r="GE27" s="74" t="s">
        <v>1951</v>
      </c>
      <c r="GF27" s="73">
        <f t="shared" si="207"/>
        <v>10</v>
      </c>
      <c r="GG27" s="65"/>
      <c r="GH27" s="74" t="s">
        <v>1960</v>
      </c>
      <c r="GI27" s="73">
        <f t="shared" si="205"/>
        <v>12</v>
      </c>
      <c r="GJ27" s="65"/>
      <c r="GK27" s="74" t="s">
        <v>1953</v>
      </c>
      <c r="GL27" s="73">
        <f t="shared" si="205"/>
        <v>10</v>
      </c>
      <c r="GM27" s="65"/>
      <c r="GN27" s="74"/>
      <c r="GO27" s="73">
        <f t="shared" si="203"/>
        <v>0</v>
      </c>
      <c r="GP27" s="65"/>
      <c r="GQ27" s="74"/>
      <c r="GR27" s="73">
        <f t="shared" si="203"/>
        <v>0</v>
      </c>
      <c r="GS27" s="65"/>
      <c r="GT27" s="74"/>
      <c r="GU27" s="73">
        <f t="shared" si="203"/>
        <v>0</v>
      </c>
      <c r="GV27" s="65"/>
      <c r="GW27" s="74"/>
      <c r="GX27" s="73">
        <f t="shared" si="203"/>
        <v>0</v>
      </c>
      <c r="GY27" s="65"/>
      <c r="GZ27" s="74"/>
      <c r="HA27" s="73">
        <f t="shared" si="203"/>
        <v>0</v>
      </c>
      <c r="HB27" s="65"/>
      <c r="HC27" s="74"/>
      <c r="HD27" s="73">
        <f t="shared" si="203"/>
        <v>0</v>
      </c>
      <c r="HE27" s="65"/>
      <c r="HF27" s="74"/>
      <c r="HG27" s="73">
        <f t="shared" si="203"/>
        <v>0</v>
      </c>
      <c r="HH27" s="65"/>
      <c r="HI27" s="74"/>
      <c r="HJ27" s="73">
        <f t="shared" si="203"/>
        <v>0</v>
      </c>
      <c r="HK27" s="65"/>
      <c r="HL27" s="74"/>
      <c r="HM27" s="73">
        <f t="shared" si="203"/>
        <v>0</v>
      </c>
      <c r="HN27" s="65"/>
      <c r="HO27" s="74"/>
      <c r="HP27" s="73">
        <f t="shared" si="203"/>
        <v>0</v>
      </c>
      <c r="HQ27" s="65"/>
      <c r="HR27" s="74"/>
      <c r="HS27" s="73">
        <f t="shared" si="203"/>
        <v>0</v>
      </c>
      <c r="HT27" s="65"/>
      <c r="HU27" s="74"/>
      <c r="HV27" s="73">
        <f t="shared" si="203"/>
        <v>0</v>
      </c>
      <c r="HW27" s="65"/>
      <c r="HX27" s="74"/>
      <c r="HY27" s="73">
        <f t="shared" si="203"/>
        <v>0</v>
      </c>
      <c r="HZ27" s="65"/>
      <c r="IA27" s="74"/>
      <c r="IB27" s="73">
        <f t="shared" si="203"/>
        <v>0</v>
      </c>
      <c r="IC27" s="65"/>
      <c r="ID27" s="74"/>
      <c r="IE27" s="73">
        <f t="shared" si="203"/>
        <v>0</v>
      </c>
      <c r="IF27" s="65"/>
      <c r="IG27" s="74"/>
      <c r="IH27" s="73">
        <f t="shared" si="203"/>
        <v>0</v>
      </c>
      <c r="II27" s="65"/>
      <c r="IJ27" s="74"/>
      <c r="IK27" s="73">
        <f t="shared" si="203"/>
        <v>0</v>
      </c>
      <c r="IL27" s="65"/>
      <c r="IM27" s="74"/>
      <c r="IN27" s="73">
        <f t="shared" si="203"/>
        <v>0</v>
      </c>
      <c r="IO27" s="65"/>
      <c r="IP27" s="74"/>
      <c r="IQ27" s="73">
        <f t="shared" si="203"/>
        <v>0</v>
      </c>
      <c r="IR27" s="65"/>
      <c r="IS27" s="74"/>
      <c r="IT27" s="73">
        <f t="shared" si="203"/>
        <v>0</v>
      </c>
      <c r="IU27" s="65"/>
      <c r="IV27" s="74"/>
      <c r="IW27" s="73">
        <f t="shared" si="208"/>
        <v>0</v>
      </c>
      <c r="IX27" s="65"/>
      <c r="IY27" s="74"/>
      <c r="IZ27" s="73">
        <f t="shared" si="208"/>
        <v>0</v>
      </c>
      <c r="JA27" s="65"/>
      <c r="JB27" s="74"/>
      <c r="JC27" s="73">
        <f t="shared" si="208"/>
        <v>0</v>
      </c>
      <c r="JD27" s="65"/>
      <c r="JE27" s="74"/>
      <c r="JF27" s="73">
        <f t="shared" si="208"/>
        <v>0</v>
      </c>
      <c r="JG27" s="65"/>
      <c r="JH27" s="74"/>
      <c r="JI27" s="73">
        <f t="shared" si="208"/>
        <v>0</v>
      </c>
      <c r="JJ27" s="65"/>
      <c r="JK27" s="74"/>
      <c r="JL27" s="73">
        <f t="shared" si="208"/>
        <v>0</v>
      </c>
      <c r="JM27" s="65"/>
      <c r="JN27" s="74"/>
      <c r="JO27" s="73">
        <f t="shared" si="208"/>
        <v>0</v>
      </c>
      <c r="JP27" s="65"/>
      <c r="JQ27" s="74"/>
      <c r="JR27" s="73">
        <f t="shared" si="208"/>
        <v>0</v>
      </c>
      <c r="JS27" s="65"/>
      <c r="JT27" s="74"/>
      <c r="JU27" s="73">
        <f t="shared" si="208"/>
        <v>0</v>
      </c>
      <c r="JV27" s="65"/>
      <c r="JW27" s="74"/>
      <c r="JX27" s="73">
        <f t="shared" si="208"/>
        <v>0</v>
      </c>
      <c r="JY27" s="65"/>
      <c r="JZ27" s="74"/>
      <c r="KA27" s="73">
        <f t="shared" si="208"/>
        <v>0</v>
      </c>
      <c r="KB27" s="65"/>
      <c r="KC27" s="74"/>
      <c r="KD27" s="73">
        <f t="shared" si="208"/>
        <v>0</v>
      </c>
      <c r="KE27" s="65"/>
      <c r="KF27" s="74"/>
      <c r="KG27" s="73">
        <f t="shared" si="208"/>
        <v>0</v>
      </c>
      <c r="KH27" s="65"/>
      <c r="KI27" s="74"/>
      <c r="KJ27" s="73">
        <f t="shared" si="208"/>
        <v>0</v>
      </c>
      <c r="KK27" s="65"/>
      <c r="KL27" s="74"/>
      <c r="KM27" s="73">
        <f t="shared" si="208"/>
        <v>0</v>
      </c>
      <c r="KN27" s="65"/>
      <c r="KO27" s="74"/>
      <c r="KP27" s="73">
        <f t="shared" si="208"/>
        <v>0</v>
      </c>
      <c r="KQ27" s="65"/>
      <c r="KR27" s="74"/>
      <c r="KS27" s="73">
        <f t="shared" si="208"/>
        <v>0</v>
      </c>
      <c r="KT27" s="65"/>
      <c r="KU27" s="74"/>
      <c r="KV27" s="73">
        <f t="shared" si="208"/>
        <v>0</v>
      </c>
      <c r="KW27" s="65"/>
      <c r="KX27" s="74"/>
      <c r="KY27" s="73">
        <f t="shared" si="208"/>
        <v>0</v>
      </c>
      <c r="KZ27" s="65"/>
      <c r="LA27" s="74"/>
      <c r="LB27" s="73">
        <f t="shared" si="208"/>
        <v>0</v>
      </c>
      <c r="LC27" s="65"/>
      <c r="LD27" s="74"/>
      <c r="LE27" s="73">
        <f t="shared" si="208"/>
        <v>0</v>
      </c>
      <c r="LF27" s="65"/>
      <c r="LG27" s="65"/>
    </row>
    <row r="28" spans="1:319">
      <c r="A28" s="49"/>
      <c r="B28" s="49"/>
      <c r="C28" s="437" t="str">
        <f>Idiomas!D324</f>
        <v>SEMIFINALS- 1X2* (home, draw, away)</v>
      </c>
      <c r="D28" s="62">
        <v>10</v>
      </c>
      <c r="E28" s="111"/>
      <c r="F28" s="445">
        <f t="shared" si="197"/>
        <v>20</v>
      </c>
      <c r="G28" s="445">
        <f ca="1">VLOOKUP(H28,Equipos!$Q$1:$R$25,2,0)</f>
        <v>8</v>
      </c>
      <c r="H28" s="446">
        <f ca="1">TRUNC(INDEX(WORLDCUP!$X$4:$X$147,MATCH(ADMIN!K28,WORLDCUP!$DT$4:$DT$147,0))+INDEX(Horarios!$R$3:$R$86,MATCH(Horarios!$C$3,Horarios!$P$3:$P$86,0))/24)</f>
        <v>46191</v>
      </c>
      <c r="I28" s="48">
        <v>1</v>
      </c>
      <c r="J28" s="96" t="s">
        <v>1196</v>
      </c>
      <c r="K28" s="53" t="str">
        <f ca="1">CONCATENATE(WORLDCUP!AA92,"-",WORLDCUP!AF92)</f>
        <v>England-Croatia</v>
      </c>
      <c r="L28" s="53"/>
      <c r="M28" s="55" t="str">
        <f>IF(OR(WORLDCUP!AC92="",WORLDCUP!AD92=""),"-",N28&amp;"|"&amp;O28&amp;"-"&amp;P28)</f>
        <v>1|4-2</v>
      </c>
      <c r="N28" s="25" t="str">
        <f>IF(OR(WORLDCUP!AC92="",WORLDCUP!AD92=""),"",IF(WORLDCUP!AC92&gt;WORLDCUP!AD92,"1",IF(WORLDCUP!AC92&lt;WORLDCUP!AD92,"2","X")))</f>
        <v>1</v>
      </c>
      <c r="O28" s="25">
        <f>WORLDCUP!AC92</f>
        <v>4</v>
      </c>
      <c r="P28" s="25">
        <f>WORLDCUP!AD92</f>
        <v>2</v>
      </c>
      <c r="Q28" s="25">
        <f t="shared" si="201"/>
        <v>2</v>
      </c>
      <c r="R28" s="49"/>
      <c r="S28" s="74" t="s">
        <v>1945</v>
      </c>
      <c r="T28" s="73">
        <f t="shared" ref="T28:T36" si="209">IFERROR(IF($M28=S28,($D$8+$D$9+$D$10)*$I28,IF($N28=LEFT(S28,1),($D$8+MAX(0,IF($D$50=1,$D$9*(1-(ABS($Q28-ABS(VALUE(MID(S28,FIND("|",S28)+1,FIND("-",S28)-FIND("|",S28)-1))-VALUE(MID(S28,FIND("-",S28)+1,10)))))*$D$50),$D$9*(1-(IF($N28="X",ABS($O28-VALUE(MID(S28,FIND("|",S28)+1,FIND("-",S28)-FIND("|",S28)-1))),ABS($Q28-ABS(VALUE(MID(S28,FIND("|",S28)+1,FIND("-",S28)-FIND("|",S28)-1))-VALUE(MID(S28,FIND("-",S28)+1,10)))))*$D$50)))))*$I28,0)),0)</f>
        <v>10</v>
      </c>
      <c r="U28" s="65"/>
      <c r="V28" s="74" t="s">
        <v>1960</v>
      </c>
      <c r="W28" s="73">
        <f t="shared" si="199"/>
        <v>0</v>
      </c>
      <c r="X28" s="65"/>
      <c r="Y28" s="74" t="s">
        <v>1954</v>
      </c>
      <c r="Z28" s="73">
        <f t="shared" si="204"/>
        <v>10</v>
      </c>
      <c r="AA28" s="65"/>
      <c r="AB28" s="74" t="s">
        <v>1957</v>
      </c>
      <c r="AC28" s="73">
        <f t="shared" si="204"/>
        <v>0</v>
      </c>
      <c r="AD28" s="65"/>
      <c r="AE28" s="74" t="s">
        <v>1954</v>
      </c>
      <c r="AF28" s="73">
        <f t="shared" si="204"/>
        <v>10</v>
      </c>
      <c r="AG28" s="65"/>
      <c r="AH28" s="74" t="s">
        <v>1943</v>
      </c>
      <c r="AI28" s="73">
        <f t="shared" si="204"/>
        <v>10</v>
      </c>
      <c r="AJ28" s="65"/>
      <c r="AK28" s="74" t="s">
        <v>1954</v>
      </c>
      <c r="AL28" s="73">
        <f t="shared" si="204"/>
        <v>10</v>
      </c>
      <c r="AM28" s="65"/>
      <c r="AN28" s="74" t="s">
        <v>1957</v>
      </c>
      <c r="AO28" s="73">
        <f t="shared" si="204"/>
        <v>0</v>
      </c>
      <c r="AP28" s="65"/>
      <c r="AQ28" s="74" t="s">
        <v>1946</v>
      </c>
      <c r="AR28" s="73">
        <f t="shared" si="204"/>
        <v>0</v>
      </c>
      <c r="AS28" s="65"/>
      <c r="AT28" s="74" t="s">
        <v>2000</v>
      </c>
      <c r="AU28" s="73">
        <f t="shared" si="204"/>
        <v>0</v>
      </c>
      <c r="AV28" s="65"/>
      <c r="AW28" s="74" t="s">
        <v>1954</v>
      </c>
      <c r="AX28" s="73">
        <f t="shared" si="204"/>
        <v>10</v>
      </c>
      <c r="AY28" s="65"/>
      <c r="AZ28" s="74" t="s">
        <v>1950</v>
      </c>
      <c r="BA28" s="73">
        <f t="shared" si="204"/>
        <v>12</v>
      </c>
      <c r="BB28" s="65"/>
      <c r="BC28" s="74" t="s">
        <v>1957</v>
      </c>
      <c r="BD28" s="73">
        <f t="shared" si="204"/>
        <v>0</v>
      </c>
      <c r="BE28" s="65"/>
      <c r="BF28" s="74" t="s">
        <v>1959</v>
      </c>
      <c r="BG28" s="73">
        <f t="shared" si="204"/>
        <v>10</v>
      </c>
      <c r="BH28" s="65"/>
      <c r="BI28" s="74" t="s">
        <v>1957</v>
      </c>
      <c r="BJ28" s="73">
        <f t="shared" si="204"/>
        <v>0</v>
      </c>
      <c r="BK28" s="65"/>
      <c r="BL28" s="74" t="s">
        <v>1954</v>
      </c>
      <c r="BM28" s="73">
        <f t="shared" si="204"/>
        <v>10</v>
      </c>
      <c r="BN28" s="65"/>
      <c r="BO28" s="74" t="s">
        <v>1957</v>
      </c>
      <c r="BP28" s="73">
        <f t="shared" si="204"/>
        <v>0</v>
      </c>
      <c r="BQ28" s="65"/>
      <c r="BR28" s="74" t="s">
        <v>1954</v>
      </c>
      <c r="BS28" s="73">
        <f t="shared" si="204"/>
        <v>10</v>
      </c>
      <c r="BT28" s="65"/>
      <c r="BU28" s="74" t="s">
        <v>1954</v>
      </c>
      <c r="BV28" s="73">
        <f t="shared" si="204"/>
        <v>10</v>
      </c>
      <c r="BW28" s="65"/>
      <c r="BX28" s="74" t="s">
        <v>1954</v>
      </c>
      <c r="BY28" s="73">
        <f t="shared" si="204"/>
        <v>10</v>
      </c>
      <c r="BZ28" s="65"/>
      <c r="CA28" s="74" t="s">
        <v>1950</v>
      </c>
      <c r="CB28" s="73">
        <f t="shared" si="204"/>
        <v>12</v>
      </c>
      <c r="CC28" s="65"/>
      <c r="CD28" s="74" t="s">
        <v>1944</v>
      </c>
      <c r="CE28" s="73">
        <f t="shared" si="204"/>
        <v>0</v>
      </c>
      <c r="CF28" s="65"/>
      <c r="CG28" s="74" t="s">
        <v>1949</v>
      </c>
      <c r="CH28" s="73">
        <f t="shared" si="204"/>
        <v>12</v>
      </c>
      <c r="CI28" s="65"/>
      <c r="CJ28" s="74" t="s">
        <v>1954</v>
      </c>
      <c r="CK28" s="73">
        <f t="shared" si="202"/>
        <v>10</v>
      </c>
      <c r="CL28" s="65"/>
      <c r="CM28" s="74" t="s">
        <v>1954</v>
      </c>
      <c r="CN28" s="73">
        <f t="shared" si="202"/>
        <v>10</v>
      </c>
      <c r="CO28" s="65"/>
      <c r="CP28" s="74" t="s">
        <v>1954</v>
      </c>
      <c r="CQ28" s="73">
        <f t="shared" si="202"/>
        <v>10</v>
      </c>
      <c r="CR28" s="65"/>
      <c r="CS28" s="74" t="s">
        <v>1954</v>
      </c>
      <c r="CT28" s="73">
        <f t="shared" si="202"/>
        <v>10</v>
      </c>
      <c r="CU28" s="65"/>
      <c r="CV28" s="74" t="s">
        <v>1946</v>
      </c>
      <c r="CW28" s="73">
        <f t="shared" si="202"/>
        <v>0</v>
      </c>
      <c r="CX28" s="65"/>
      <c r="CY28" s="74" t="s">
        <v>1954</v>
      </c>
      <c r="CZ28" s="73">
        <f t="shared" si="202"/>
        <v>10</v>
      </c>
      <c r="DA28" s="65"/>
      <c r="DB28" s="74" t="s">
        <v>1954</v>
      </c>
      <c r="DC28" s="73">
        <f t="shared" si="202"/>
        <v>10</v>
      </c>
      <c r="DD28" s="65"/>
      <c r="DE28" s="74" t="s">
        <v>1954</v>
      </c>
      <c r="DF28" s="73">
        <f t="shared" si="202"/>
        <v>10</v>
      </c>
      <c r="DG28" s="65"/>
      <c r="DH28" s="74" t="s">
        <v>1954</v>
      </c>
      <c r="DI28" s="73">
        <f t="shared" si="202"/>
        <v>10</v>
      </c>
      <c r="DJ28" s="65"/>
      <c r="DK28" s="74" t="s">
        <v>1954</v>
      </c>
      <c r="DL28" s="73">
        <f t="shared" si="202"/>
        <v>10</v>
      </c>
      <c r="DM28" s="65"/>
      <c r="DN28" s="74" t="s">
        <v>1944</v>
      </c>
      <c r="DO28" s="73">
        <f t="shared" si="202"/>
        <v>0</v>
      </c>
      <c r="DP28" s="65"/>
      <c r="DQ28" s="74" t="s">
        <v>1957</v>
      </c>
      <c r="DR28" s="73">
        <f t="shared" si="202"/>
        <v>0</v>
      </c>
      <c r="DS28" s="65"/>
      <c r="DT28" s="74" t="s">
        <v>1954</v>
      </c>
      <c r="DU28" s="73">
        <f t="shared" si="207"/>
        <v>10</v>
      </c>
      <c r="DV28" s="65"/>
      <c r="DW28" s="74" t="s">
        <v>1950</v>
      </c>
      <c r="DX28" s="73">
        <f t="shared" si="207"/>
        <v>12</v>
      </c>
      <c r="DY28" s="65"/>
      <c r="DZ28" s="74" t="s">
        <v>1954</v>
      </c>
      <c r="EA28" s="73">
        <f t="shared" si="207"/>
        <v>10</v>
      </c>
      <c r="EB28" s="65"/>
      <c r="EC28" s="74" t="s">
        <v>1954</v>
      </c>
      <c r="ED28" s="73">
        <f t="shared" si="207"/>
        <v>10</v>
      </c>
      <c r="EE28" s="65"/>
      <c r="EF28" s="74" t="s">
        <v>1949</v>
      </c>
      <c r="EG28" s="73">
        <f t="shared" si="207"/>
        <v>12</v>
      </c>
      <c r="EH28" s="65"/>
      <c r="EI28" s="74" t="s">
        <v>1954</v>
      </c>
      <c r="EJ28" s="73">
        <f t="shared" si="207"/>
        <v>10</v>
      </c>
      <c r="EK28" s="65"/>
      <c r="EL28" s="74" t="s">
        <v>1957</v>
      </c>
      <c r="EM28" s="73">
        <f t="shared" si="207"/>
        <v>0</v>
      </c>
      <c r="EN28" s="65"/>
      <c r="EO28" s="74" t="s">
        <v>1950</v>
      </c>
      <c r="EP28" s="73">
        <f t="shared" si="207"/>
        <v>12</v>
      </c>
      <c r="EQ28" s="65"/>
      <c r="ER28" s="74" t="s">
        <v>1954</v>
      </c>
      <c r="ES28" s="73">
        <f t="shared" si="207"/>
        <v>10</v>
      </c>
      <c r="ET28" s="65"/>
      <c r="EU28" s="74" t="s">
        <v>1958</v>
      </c>
      <c r="EV28" s="73">
        <f t="shared" si="207"/>
        <v>10</v>
      </c>
      <c r="EW28" s="65"/>
      <c r="EX28" s="74" t="s">
        <v>1954</v>
      </c>
      <c r="EY28" s="73">
        <f t="shared" si="207"/>
        <v>10</v>
      </c>
      <c r="EZ28" s="65"/>
      <c r="FA28" s="74" t="s">
        <v>1957</v>
      </c>
      <c r="FB28" s="73">
        <f t="shared" si="207"/>
        <v>0</v>
      </c>
      <c r="FC28" s="65"/>
      <c r="FD28" s="74" t="s">
        <v>1954</v>
      </c>
      <c r="FE28" s="73">
        <f t="shared" si="207"/>
        <v>10</v>
      </c>
      <c r="FF28" s="65"/>
      <c r="FG28" s="74" t="s">
        <v>1943</v>
      </c>
      <c r="FH28" s="73">
        <f t="shared" si="207"/>
        <v>10</v>
      </c>
      <c r="FI28" s="65"/>
      <c r="FJ28" s="74" t="s">
        <v>1954</v>
      </c>
      <c r="FK28" s="73">
        <f t="shared" si="207"/>
        <v>10</v>
      </c>
      <c r="FL28" s="65"/>
      <c r="FM28" s="74" t="s">
        <v>1957</v>
      </c>
      <c r="FN28" s="73">
        <f t="shared" si="207"/>
        <v>0</v>
      </c>
      <c r="FO28" s="65"/>
      <c r="FP28" s="74" t="s">
        <v>1959</v>
      </c>
      <c r="FQ28" s="73">
        <f t="shared" si="207"/>
        <v>10</v>
      </c>
      <c r="FR28" s="65"/>
      <c r="FS28" s="74" t="s">
        <v>1954</v>
      </c>
      <c r="FT28" s="73">
        <f t="shared" si="207"/>
        <v>10</v>
      </c>
      <c r="FU28" s="65"/>
      <c r="FV28" s="74" t="s">
        <v>1949</v>
      </c>
      <c r="FW28" s="73">
        <f t="shared" si="207"/>
        <v>12</v>
      </c>
      <c r="FX28" s="65"/>
      <c r="FY28" s="74" t="s">
        <v>1954</v>
      </c>
      <c r="FZ28" s="73">
        <f t="shared" si="207"/>
        <v>10</v>
      </c>
      <c r="GA28" s="65"/>
      <c r="GB28" s="74" t="s">
        <v>1944</v>
      </c>
      <c r="GC28" s="73">
        <f t="shared" si="207"/>
        <v>0</v>
      </c>
      <c r="GD28" s="65"/>
      <c r="GE28" s="74" t="s">
        <v>1954</v>
      </c>
      <c r="GF28" s="73">
        <f t="shared" si="207"/>
        <v>10</v>
      </c>
      <c r="GG28" s="65"/>
      <c r="GH28" s="74" t="s">
        <v>1953</v>
      </c>
      <c r="GI28" s="73">
        <f t="shared" si="205"/>
        <v>0</v>
      </c>
      <c r="GJ28" s="65"/>
      <c r="GK28" s="74" t="s">
        <v>1954</v>
      </c>
      <c r="GL28" s="73">
        <f t="shared" si="205"/>
        <v>10</v>
      </c>
      <c r="GM28" s="65"/>
      <c r="GN28" s="74"/>
      <c r="GO28" s="73">
        <f t="shared" si="203"/>
        <v>0</v>
      </c>
      <c r="GP28" s="65"/>
      <c r="GQ28" s="74"/>
      <c r="GR28" s="73">
        <f t="shared" si="203"/>
        <v>0</v>
      </c>
      <c r="GS28" s="65"/>
      <c r="GT28" s="74"/>
      <c r="GU28" s="73">
        <f t="shared" si="203"/>
        <v>0</v>
      </c>
      <c r="GV28" s="65"/>
      <c r="GW28" s="74"/>
      <c r="GX28" s="73">
        <f t="shared" si="203"/>
        <v>0</v>
      </c>
      <c r="GY28" s="65"/>
      <c r="GZ28" s="74"/>
      <c r="HA28" s="73">
        <f t="shared" si="203"/>
        <v>0</v>
      </c>
      <c r="HB28" s="65"/>
      <c r="HC28" s="74"/>
      <c r="HD28" s="73">
        <f t="shared" si="203"/>
        <v>0</v>
      </c>
      <c r="HE28" s="65"/>
      <c r="HF28" s="74"/>
      <c r="HG28" s="73">
        <f t="shared" si="203"/>
        <v>0</v>
      </c>
      <c r="HH28" s="65"/>
      <c r="HI28" s="74"/>
      <c r="HJ28" s="73">
        <f t="shared" si="203"/>
        <v>0</v>
      </c>
      <c r="HK28" s="65"/>
      <c r="HL28" s="74"/>
      <c r="HM28" s="73">
        <f t="shared" si="203"/>
        <v>0</v>
      </c>
      <c r="HN28" s="65"/>
      <c r="HO28" s="74"/>
      <c r="HP28" s="73">
        <f t="shared" si="203"/>
        <v>0</v>
      </c>
      <c r="HQ28" s="65"/>
      <c r="HR28" s="74"/>
      <c r="HS28" s="73">
        <f t="shared" si="203"/>
        <v>0</v>
      </c>
      <c r="HT28" s="65"/>
      <c r="HU28" s="74"/>
      <c r="HV28" s="73">
        <f t="shared" si="203"/>
        <v>0</v>
      </c>
      <c r="HW28" s="65"/>
      <c r="HX28" s="74"/>
      <c r="HY28" s="73">
        <f t="shared" si="203"/>
        <v>0</v>
      </c>
      <c r="HZ28" s="65"/>
      <c r="IA28" s="74"/>
      <c r="IB28" s="73">
        <f t="shared" si="203"/>
        <v>0</v>
      </c>
      <c r="IC28" s="65"/>
      <c r="ID28" s="74"/>
      <c r="IE28" s="73">
        <f t="shared" si="203"/>
        <v>0</v>
      </c>
      <c r="IF28" s="65"/>
      <c r="IG28" s="74"/>
      <c r="IH28" s="73">
        <f t="shared" si="203"/>
        <v>0</v>
      </c>
      <c r="II28" s="65"/>
      <c r="IJ28" s="74"/>
      <c r="IK28" s="73">
        <f t="shared" si="203"/>
        <v>0</v>
      </c>
      <c r="IL28" s="65"/>
      <c r="IM28" s="74"/>
      <c r="IN28" s="73">
        <f t="shared" si="203"/>
        <v>0</v>
      </c>
      <c r="IO28" s="65"/>
      <c r="IP28" s="74"/>
      <c r="IQ28" s="73">
        <f t="shared" si="203"/>
        <v>0</v>
      </c>
      <c r="IR28" s="65"/>
      <c r="IS28" s="74"/>
      <c r="IT28" s="73">
        <f t="shared" si="203"/>
        <v>0</v>
      </c>
      <c r="IU28" s="65"/>
      <c r="IV28" s="74"/>
      <c r="IW28" s="73">
        <f t="shared" si="208"/>
        <v>0</v>
      </c>
      <c r="IX28" s="65"/>
      <c r="IY28" s="74"/>
      <c r="IZ28" s="73">
        <f t="shared" si="208"/>
        <v>0</v>
      </c>
      <c r="JA28" s="65"/>
      <c r="JB28" s="74"/>
      <c r="JC28" s="73">
        <f t="shared" si="208"/>
        <v>0</v>
      </c>
      <c r="JD28" s="65"/>
      <c r="JE28" s="74"/>
      <c r="JF28" s="73">
        <f t="shared" si="208"/>
        <v>0</v>
      </c>
      <c r="JG28" s="65"/>
      <c r="JH28" s="74"/>
      <c r="JI28" s="73">
        <f t="shared" si="208"/>
        <v>0</v>
      </c>
      <c r="JJ28" s="65"/>
      <c r="JK28" s="74"/>
      <c r="JL28" s="73">
        <f t="shared" si="208"/>
        <v>0</v>
      </c>
      <c r="JM28" s="65"/>
      <c r="JN28" s="74"/>
      <c r="JO28" s="73">
        <f t="shared" si="208"/>
        <v>0</v>
      </c>
      <c r="JP28" s="65"/>
      <c r="JQ28" s="74"/>
      <c r="JR28" s="73">
        <f t="shared" si="208"/>
        <v>0</v>
      </c>
      <c r="JS28" s="65"/>
      <c r="JT28" s="74"/>
      <c r="JU28" s="73">
        <f t="shared" si="208"/>
        <v>0</v>
      </c>
      <c r="JV28" s="65"/>
      <c r="JW28" s="74"/>
      <c r="JX28" s="73">
        <f t="shared" si="208"/>
        <v>0</v>
      </c>
      <c r="JY28" s="65"/>
      <c r="JZ28" s="74"/>
      <c r="KA28" s="73">
        <f t="shared" si="208"/>
        <v>0</v>
      </c>
      <c r="KB28" s="65"/>
      <c r="KC28" s="74"/>
      <c r="KD28" s="73">
        <f t="shared" si="208"/>
        <v>0</v>
      </c>
      <c r="KE28" s="65"/>
      <c r="KF28" s="74"/>
      <c r="KG28" s="73">
        <f t="shared" si="208"/>
        <v>0</v>
      </c>
      <c r="KH28" s="65"/>
      <c r="KI28" s="74"/>
      <c r="KJ28" s="73">
        <f t="shared" si="208"/>
        <v>0</v>
      </c>
      <c r="KK28" s="65"/>
      <c r="KL28" s="74"/>
      <c r="KM28" s="73">
        <f t="shared" si="208"/>
        <v>0</v>
      </c>
      <c r="KN28" s="65"/>
      <c r="KO28" s="74"/>
      <c r="KP28" s="73">
        <f t="shared" si="208"/>
        <v>0</v>
      </c>
      <c r="KQ28" s="65"/>
      <c r="KR28" s="74"/>
      <c r="KS28" s="73">
        <f t="shared" si="208"/>
        <v>0</v>
      </c>
      <c r="KT28" s="65"/>
      <c r="KU28" s="74"/>
      <c r="KV28" s="73">
        <f t="shared" si="208"/>
        <v>0</v>
      </c>
      <c r="KW28" s="65"/>
      <c r="KX28" s="74"/>
      <c r="KY28" s="73">
        <f t="shared" si="208"/>
        <v>0</v>
      </c>
      <c r="KZ28" s="65"/>
      <c r="LA28" s="74"/>
      <c r="LB28" s="73">
        <f t="shared" si="208"/>
        <v>0</v>
      </c>
      <c r="LC28" s="65"/>
      <c r="LD28" s="74"/>
      <c r="LE28" s="73">
        <f t="shared" si="208"/>
        <v>0</v>
      </c>
      <c r="LF28" s="65"/>
      <c r="LG28" s="65"/>
    </row>
    <row r="29" spans="1:319">
      <c r="A29" s="49"/>
      <c r="B29" s="49"/>
      <c r="C29" s="438" t="str">
        <f>Idiomas!D325&amp;"**"</f>
        <v>SEMIFINALS - Goal Difference (with 1X2 correct)**</v>
      </c>
      <c r="D29" s="44">
        <v>2</v>
      </c>
      <c r="E29" s="111"/>
      <c r="F29" s="445">
        <f t="shared" si="197"/>
        <v>20</v>
      </c>
      <c r="G29" s="445">
        <f ca="1">VLOOKUP(H29,Equipos!$Q$1:$R$25,2,0)</f>
        <v>8</v>
      </c>
      <c r="H29" s="446">
        <f ca="1">TRUNC(INDEX(WORLDCUP!$X$4:$X$147,MATCH(ADMIN!K29,WORLDCUP!$DT$4:$DT$147,0))+INDEX(Horarios!$R$3:$R$86,MATCH(Horarios!$C$3,Horarios!$P$3:$P$86,0))/24)</f>
        <v>46191</v>
      </c>
      <c r="I29" s="48">
        <v>1</v>
      </c>
      <c r="J29" s="96" t="s">
        <v>1196</v>
      </c>
      <c r="K29" s="57" t="str">
        <f ca="1">CONCATENATE(WORLDCUP!AA93,"-",WORLDCUP!AF93)</f>
        <v>Ghana-Panama</v>
      </c>
      <c r="L29" s="58"/>
      <c r="M29" s="59" t="str">
        <f>IF(OR(WORLDCUP!AC93="",WORLDCUP!AD93=""),"-",N29&amp;"|"&amp;O29&amp;"-"&amp;P29)</f>
        <v>1|1-0</v>
      </c>
      <c r="N29" s="25" t="str">
        <f>IF(OR(WORLDCUP!AC93="",WORLDCUP!AD93=""),"",IF(WORLDCUP!AC93&gt;WORLDCUP!AD93,"1",IF(WORLDCUP!AC93&lt;WORLDCUP!AD93,"2","X")))</f>
        <v>1</v>
      </c>
      <c r="O29" s="25">
        <f>WORLDCUP!AC93</f>
        <v>1</v>
      </c>
      <c r="P29" s="25">
        <f>WORLDCUP!AD93</f>
        <v>0</v>
      </c>
      <c r="Q29" s="25">
        <f t="shared" si="201"/>
        <v>1</v>
      </c>
      <c r="R29" s="49"/>
      <c r="S29" s="78" t="s">
        <v>1949</v>
      </c>
      <c r="T29" s="79">
        <f t="shared" si="209"/>
        <v>10</v>
      </c>
      <c r="U29" s="65"/>
      <c r="V29" s="78" t="s">
        <v>1959</v>
      </c>
      <c r="W29" s="79">
        <f t="shared" si="199"/>
        <v>20</v>
      </c>
      <c r="X29" s="65"/>
      <c r="Y29" s="78" t="s">
        <v>1959</v>
      </c>
      <c r="Z29" s="79">
        <f t="shared" si="204"/>
        <v>20</v>
      </c>
      <c r="AA29" s="65"/>
      <c r="AB29" s="78" t="s">
        <v>1954</v>
      </c>
      <c r="AC29" s="79">
        <f t="shared" si="204"/>
        <v>12</v>
      </c>
      <c r="AD29" s="65"/>
      <c r="AE29" s="78" t="s">
        <v>1950</v>
      </c>
      <c r="AF29" s="79">
        <f t="shared" si="204"/>
        <v>10</v>
      </c>
      <c r="AG29" s="65"/>
      <c r="AH29" s="78" t="s">
        <v>1950</v>
      </c>
      <c r="AI29" s="79">
        <f t="shared" si="204"/>
        <v>10</v>
      </c>
      <c r="AJ29" s="65"/>
      <c r="AK29" s="78" t="s">
        <v>1953</v>
      </c>
      <c r="AL29" s="79">
        <f t="shared" si="204"/>
        <v>0</v>
      </c>
      <c r="AM29" s="65"/>
      <c r="AN29" s="78" t="s">
        <v>1944</v>
      </c>
      <c r="AO29" s="79">
        <f t="shared" si="204"/>
        <v>0</v>
      </c>
      <c r="AP29" s="65"/>
      <c r="AQ29" s="78" t="s">
        <v>1950</v>
      </c>
      <c r="AR29" s="79">
        <f t="shared" si="204"/>
        <v>10</v>
      </c>
      <c r="AS29" s="65"/>
      <c r="AT29" s="78" t="s">
        <v>1950</v>
      </c>
      <c r="AU29" s="79">
        <f t="shared" si="204"/>
        <v>10</v>
      </c>
      <c r="AV29" s="65"/>
      <c r="AW29" s="78" t="s">
        <v>1949</v>
      </c>
      <c r="AX29" s="79">
        <f t="shared" si="204"/>
        <v>10</v>
      </c>
      <c r="AY29" s="65"/>
      <c r="AZ29" s="78" t="s">
        <v>1957</v>
      </c>
      <c r="BA29" s="79">
        <f t="shared" si="204"/>
        <v>0</v>
      </c>
      <c r="BB29" s="65"/>
      <c r="BC29" s="78" t="s">
        <v>1949</v>
      </c>
      <c r="BD29" s="79">
        <f t="shared" si="204"/>
        <v>10</v>
      </c>
      <c r="BE29" s="65"/>
      <c r="BF29" s="78" t="s">
        <v>1959</v>
      </c>
      <c r="BG29" s="79">
        <f t="shared" si="204"/>
        <v>20</v>
      </c>
      <c r="BH29" s="65"/>
      <c r="BI29" s="78" t="s">
        <v>1950</v>
      </c>
      <c r="BJ29" s="79">
        <f t="shared" si="204"/>
        <v>10</v>
      </c>
      <c r="BK29" s="65"/>
      <c r="BL29" s="78" t="s">
        <v>1950</v>
      </c>
      <c r="BM29" s="79">
        <f t="shared" si="204"/>
        <v>10</v>
      </c>
      <c r="BN29" s="65"/>
      <c r="BO29" s="78" t="s">
        <v>1959</v>
      </c>
      <c r="BP29" s="79">
        <f t="shared" si="204"/>
        <v>20</v>
      </c>
      <c r="BQ29" s="65"/>
      <c r="BR29" s="78" t="s">
        <v>1954</v>
      </c>
      <c r="BS29" s="79">
        <f t="shared" si="204"/>
        <v>12</v>
      </c>
      <c r="BT29" s="65"/>
      <c r="BU29" s="78" t="s">
        <v>1950</v>
      </c>
      <c r="BV29" s="79">
        <f t="shared" si="204"/>
        <v>10</v>
      </c>
      <c r="BW29" s="65"/>
      <c r="BX29" s="78" t="s">
        <v>2133</v>
      </c>
      <c r="BY29" s="79">
        <f t="shared" si="204"/>
        <v>0</v>
      </c>
      <c r="BZ29" s="65"/>
      <c r="CA29" s="78" t="s">
        <v>1950</v>
      </c>
      <c r="CB29" s="79">
        <f t="shared" si="204"/>
        <v>10</v>
      </c>
      <c r="CC29" s="65"/>
      <c r="CD29" s="78" t="s">
        <v>2133</v>
      </c>
      <c r="CE29" s="79">
        <f t="shared" si="204"/>
        <v>0</v>
      </c>
      <c r="CF29" s="65"/>
      <c r="CG29" s="78" t="s">
        <v>1954</v>
      </c>
      <c r="CH29" s="79">
        <f t="shared" si="204"/>
        <v>12</v>
      </c>
      <c r="CI29" s="65"/>
      <c r="CJ29" s="78" t="s">
        <v>1954</v>
      </c>
      <c r="CK29" s="79">
        <f t="shared" si="202"/>
        <v>12</v>
      </c>
      <c r="CL29" s="65"/>
      <c r="CM29" s="78" t="s">
        <v>1959</v>
      </c>
      <c r="CN29" s="79">
        <f t="shared" si="202"/>
        <v>20</v>
      </c>
      <c r="CO29" s="65"/>
      <c r="CP29" s="78" t="s">
        <v>1950</v>
      </c>
      <c r="CQ29" s="79">
        <f t="shared" si="202"/>
        <v>10</v>
      </c>
      <c r="CR29" s="65"/>
      <c r="CS29" s="78" t="s">
        <v>1958</v>
      </c>
      <c r="CT29" s="79">
        <f t="shared" si="202"/>
        <v>10</v>
      </c>
      <c r="CU29" s="65"/>
      <c r="CV29" s="78" t="s">
        <v>1944</v>
      </c>
      <c r="CW29" s="79">
        <f t="shared" si="202"/>
        <v>0</v>
      </c>
      <c r="CX29" s="65"/>
      <c r="CY29" s="78" t="s">
        <v>1949</v>
      </c>
      <c r="CZ29" s="79">
        <f t="shared" si="202"/>
        <v>10</v>
      </c>
      <c r="DA29" s="65"/>
      <c r="DB29" s="78" t="s">
        <v>1949</v>
      </c>
      <c r="DC29" s="79">
        <f t="shared" si="202"/>
        <v>10</v>
      </c>
      <c r="DD29" s="65"/>
      <c r="DE29" s="78" t="s">
        <v>1954</v>
      </c>
      <c r="DF29" s="79">
        <f t="shared" si="202"/>
        <v>12</v>
      </c>
      <c r="DG29" s="65"/>
      <c r="DH29" s="78" t="s">
        <v>1958</v>
      </c>
      <c r="DI29" s="79">
        <f t="shared" si="202"/>
        <v>10</v>
      </c>
      <c r="DJ29" s="65"/>
      <c r="DK29" s="78" t="s">
        <v>1950</v>
      </c>
      <c r="DL29" s="79">
        <f t="shared" si="202"/>
        <v>10</v>
      </c>
      <c r="DM29" s="65"/>
      <c r="DN29" s="78" t="s">
        <v>1960</v>
      </c>
      <c r="DO29" s="79">
        <f t="shared" si="202"/>
        <v>0</v>
      </c>
      <c r="DP29" s="65"/>
      <c r="DQ29" s="78" t="s">
        <v>1957</v>
      </c>
      <c r="DR29" s="79">
        <f t="shared" si="202"/>
        <v>0</v>
      </c>
      <c r="DS29" s="65"/>
      <c r="DT29" s="78" t="s">
        <v>1950</v>
      </c>
      <c r="DU29" s="79">
        <f t="shared" si="207"/>
        <v>10</v>
      </c>
      <c r="DV29" s="65"/>
      <c r="DW29" s="78" t="s">
        <v>1950</v>
      </c>
      <c r="DX29" s="79">
        <f t="shared" si="207"/>
        <v>10</v>
      </c>
      <c r="DY29" s="65"/>
      <c r="DZ29" s="78" t="s">
        <v>1957</v>
      </c>
      <c r="EA29" s="79">
        <f t="shared" si="207"/>
        <v>0</v>
      </c>
      <c r="EB29" s="65"/>
      <c r="EC29" s="78" t="s">
        <v>1950</v>
      </c>
      <c r="ED29" s="79">
        <f t="shared" si="207"/>
        <v>10</v>
      </c>
      <c r="EE29" s="65"/>
      <c r="EF29" s="78" t="s">
        <v>1954</v>
      </c>
      <c r="EG29" s="79">
        <f t="shared" si="207"/>
        <v>12</v>
      </c>
      <c r="EH29" s="65"/>
      <c r="EI29" s="78" t="s">
        <v>1950</v>
      </c>
      <c r="EJ29" s="79">
        <f t="shared" si="207"/>
        <v>10</v>
      </c>
      <c r="EK29" s="65"/>
      <c r="EL29" s="78" t="s">
        <v>1954</v>
      </c>
      <c r="EM29" s="79">
        <f t="shared" si="207"/>
        <v>12</v>
      </c>
      <c r="EN29" s="65"/>
      <c r="EO29" s="78" t="s">
        <v>1950</v>
      </c>
      <c r="EP29" s="79">
        <f t="shared" si="207"/>
        <v>10</v>
      </c>
      <c r="EQ29" s="65"/>
      <c r="ER29" s="78" t="s">
        <v>1957</v>
      </c>
      <c r="ES29" s="79">
        <f t="shared" si="207"/>
        <v>0</v>
      </c>
      <c r="ET29" s="65"/>
      <c r="EU29" s="78" t="s">
        <v>1950</v>
      </c>
      <c r="EV29" s="79">
        <f t="shared" si="207"/>
        <v>10</v>
      </c>
      <c r="EW29" s="65"/>
      <c r="EX29" s="78" t="s">
        <v>1959</v>
      </c>
      <c r="EY29" s="79">
        <f t="shared" si="207"/>
        <v>20</v>
      </c>
      <c r="EZ29" s="65"/>
      <c r="FA29" s="78" t="s">
        <v>1950</v>
      </c>
      <c r="FB29" s="79">
        <f t="shared" si="207"/>
        <v>10</v>
      </c>
      <c r="FC29" s="65"/>
      <c r="FD29" s="78" t="s">
        <v>1954</v>
      </c>
      <c r="FE29" s="79">
        <f t="shared" si="207"/>
        <v>12</v>
      </c>
      <c r="FF29" s="65"/>
      <c r="FG29" s="78" t="s">
        <v>1954</v>
      </c>
      <c r="FH29" s="79">
        <f t="shared" si="207"/>
        <v>12</v>
      </c>
      <c r="FI29" s="65"/>
      <c r="FJ29" s="78" t="s">
        <v>1950</v>
      </c>
      <c r="FK29" s="79">
        <f t="shared" si="207"/>
        <v>10</v>
      </c>
      <c r="FL29" s="65"/>
      <c r="FM29" s="78" t="s">
        <v>1950</v>
      </c>
      <c r="FN29" s="79">
        <f t="shared" si="207"/>
        <v>10</v>
      </c>
      <c r="FO29" s="65"/>
      <c r="FP29" s="78" t="s">
        <v>1959</v>
      </c>
      <c r="FQ29" s="79">
        <f t="shared" si="207"/>
        <v>20</v>
      </c>
      <c r="FR29" s="65"/>
      <c r="FS29" s="78" t="s">
        <v>1950</v>
      </c>
      <c r="FT29" s="79">
        <f t="shared" si="207"/>
        <v>10</v>
      </c>
      <c r="FU29" s="65"/>
      <c r="FV29" s="78" t="s">
        <v>1959</v>
      </c>
      <c r="FW29" s="79">
        <f t="shared" si="207"/>
        <v>20</v>
      </c>
      <c r="FX29" s="65"/>
      <c r="FY29" s="78" t="s">
        <v>1949</v>
      </c>
      <c r="FZ29" s="79">
        <f t="shared" si="207"/>
        <v>10</v>
      </c>
      <c r="GA29" s="65"/>
      <c r="GB29" s="78" t="s">
        <v>1959</v>
      </c>
      <c r="GC29" s="79">
        <f t="shared" si="207"/>
        <v>20</v>
      </c>
      <c r="GD29" s="65"/>
      <c r="GE29" s="78" t="s">
        <v>1957</v>
      </c>
      <c r="GF29" s="79">
        <f t="shared" si="207"/>
        <v>0</v>
      </c>
      <c r="GG29" s="65"/>
      <c r="GH29" s="78" t="s">
        <v>1959</v>
      </c>
      <c r="GI29" s="79">
        <f t="shared" si="205"/>
        <v>20</v>
      </c>
      <c r="GJ29" s="65"/>
      <c r="GK29" s="78" t="s">
        <v>1954</v>
      </c>
      <c r="GL29" s="79">
        <f t="shared" si="205"/>
        <v>12</v>
      </c>
      <c r="GM29" s="65"/>
      <c r="GN29" s="78"/>
      <c r="GO29" s="79">
        <f t="shared" si="203"/>
        <v>0</v>
      </c>
      <c r="GP29" s="65"/>
      <c r="GQ29" s="78"/>
      <c r="GR29" s="79">
        <f t="shared" si="203"/>
        <v>0</v>
      </c>
      <c r="GS29" s="65"/>
      <c r="GT29" s="78"/>
      <c r="GU29" s="79">
        <f t="shared" si="203"/>
        <v>0</v>
      </c>
      <c r="GV29" s="65"/>
      <c r="GW29" s="78"/>
      <c r="GX29" s="79">
        <f t="shared" si="203"/>
        <v>0</v>
      </c>
      <c r="GY29" s="65"/>
      <c r="GZ29" s="78"/>
      <c r="HA29" s="79">
        <f t="shared" si="203"/>
        <v>0</v>
      </c>
      <c r="HB29" s="65"/>
      <c r="HC29" s="78"/>
      <c r="HD29" s="79">
        <f t="shared" si="203"/>
        <v>0</v>
      </c>
      <c r="HE29" s="65"/>
      <c r="HF29" s="78"/>
      <c r="HG29" s="79">
        <f t="shared" si="203"/>
        <v>0</v>
      </c>
      <c r="HH29" s="65"/>
      <c r="HI29" s="78"/>
      <c r="HJ29" s="79">
        <f t="shared" si="203"/>
        <v>0</v>
      </c>
      <c r="HK29" s="65"/>
      <c r="HL29" s="78"/>
      <c r="HM29" s="79">
        <f t="shared" si="203"/>
        <v>0</v>
      </c>
      <c r="HN29" s="65"/>
      <c r="HO29" s="78"/>
      <c r="HP29" s="79">
        <f t="shared" si="203"/>
        <v>0</v>
      </c>
      <c r="HQ29" s="65"/>
      <c r="HR29" s="78"/>
      <c r="HS29" s="79">
        <f t="shared" si="203"/>
        <v>0</v>
      </c>
      <c r="HT29" s="65"/>
      <c r="HU29" s="78"/>
      <c r="HV29" s="79">
        <f t="shared" si="203"/>
        <v>0</v>
      </c>
      <c r="HW29" s="65"/>
      <c r="HX29" s="78"/>
      <c r="HY29" s="79">
        <f t="shared" si="203"/>
        <v>0</v>
      </c>
      <c r="HZ29" s="65"/>
      <c r="IA29" s="78"/>
      <c r="IB29" s="79">
        <f t="shared" si="203"/>
        <v>0</v>
      </c>
      <c r="IC29" s="65"/>
      <c r="ID29" s="78"/>
      <c r="IE29" s="79">
        <f t="shared" si="203"/>
        <v>0</v>
      </c>
      <c r="IF29" s="65"/>
      <c r="IG29" s="78"/>
      <c r="IH29" s="79">
        <f t="shared" si="203"/>
        <v>0</v>
      </c>
      <c r="II29" s="65"/>
      <c r="IJ29" s="78"/>
      <c r="IK29" s="79">
        <f t="shared" si="203"/>
        <v>0</v>
      </c>
      <c r="IL29" s="65"/>
      <c r="IM29" s="78"/>
      <c r="IN29" s="79">
        <f t="shared" si="203"/>
        <v>0</v>
      </c>
      <c r="IO29" s="65"/>
      <c r="IP29" s="78"/>
      <c r="IQ29" s="79">
        <f t="shared" si="203"/>
        <v>0</v>
      </c>
      <c r="IR29" s="65"/>
      <c r="IS29" s="78"/>
      <c r="IT29" s="79">
        <f t="shared" si="203"/>
        <v>0</v>
      </c>
      <c r="IU29" s="65"/>
      <c r="IV29" s="78"/>
      <c r="IW29" s="79">
        <f t="shared" si="208"/>
        <v>0</v>
      </c>
      <c r="IX29" s="65"/>
      <c r="IY29" s="78"/>
      <c r="IZ29" s="79">
        <f t="shared" si="208"/>
        <v>0</v>
      </c>
      <c r="JA29" s="65"/>
      <c r="JB29" s="78"/>
      <c r="JC29" s="79">
        <f t="shared" si="208"/>
        <v>0</v>
      </c>
      <c r="JD29" s="65"/>
      <c r="JE29" s="78"/>
      <c r="JF29" s="79">
        <f t="shared" si="208"/>
        <v>0</v>
      </c>
      <c r="JG29" s="65"/>
      <c r="JH29" s="78"/>
      <c r="JI29" s="79">
        <f t="shared" si="208"/>
        <v>0</v>
      </c>
      <c r="JJ29" s="65"/>
      <c r="JK29" s="78"/>
      <c r="JL29" s="79">
        <f t="shared" si="208"/>
        <v>0</v>
      </c>
      <c r="JM29" s="65"/>
      <c r="JN29" s="78"/>
      <c r="JO29" s="79">
        <f t="shared" si="208"/>
        <v>0</v>
      </c>
      <c r="JP29" s="65"/>
      <c r="JQ29" s="78"/>
      <c r="JR29" s="79">
        <f t="shared" si="208"/>
        <v>0</v>
      </c>
      <c r="JS29" s="65"/>
      <c r="JT29" s="78"/>
      <c r="JU29" s="79">
        <f t="shared" si="208"/>
        <v>0</v>
      </c>
      <c r="JV29" s="65"/>
      <c r="JW29" s="78"/>
      <c r="JX29" s="79">
        <f t="shared" si="208"/>
        <v>0</v>
      </c>
      <c r="JY29" s="65"/>
      <c r="JZ29" s="78"/>
      <c r="KA29" s="79">
        <f t="shared" si="208"/>
        <v>0</v>
      </c>
      <c r="KB29" s="65"/>
      <c r="KC29" s="78"/>
      <c r="KD29" s="79">
        <f t="shared" si="208"/>
        <v>0</v>
      </c>
      <c r="KE29" s="65"/>
      <c r="KF29" s="78"/>
      <c r="KG29" s="79">
        <f t="shared" si="208"/>
        <v>0</v>
      </c>
      <c r="KH29" s="65"/>
      <c r="KI29" s="78"/>
      <c r="KJ29" s="79">
        <f t="shared" si="208"/>
        <v>0</v>
      </c>
      <c r="KK29" s="65"/>
      <c r="KL29" s="78"/>
      <c r="KM29" s="79">
        <f t="shared" si="208"/>
        <v>0</v>
      </c>
      <c r="KN29" s="65"/>
      <c r="KO29" s="78"/>
      <c r="KP29" s="79">
        <f t="shared" si="208"/>
        <v>0</v>
      </c>
      <c r="KQ29" s="65"/>
      <c r="KR29" s="78"/>
      <c r="KS29" s="79">
        <f t="shared" si="208"/>
        <v>0</v>
      </c>
      <c r="KT29" s="65"/>
      <c r="KU29" s="78"/>
      <c r="KV29" s="79">
        <f t="shared" si="208"/>
        <v>0</v>
      </c>
      <c r="KW29" s="65"/>
      <c r="KX29" s="78"/>
      <c r="KY29" s="79">
        <f t="shared" si="208"/>
        <v>0</v>
      </c>
      <c r="KZ29" s="65"/>
      <c r="LA29" s="78"/>
      <c r="LB29" s="79">
        <f t="shared" si="208"/>
        <v>0</v>
      </c>
      <c r="LC29" s="65"/>
      <c r="LD29" s="78"/>
      <c r="LE29" s="79">
        <f t="shared" si="208"/>
        <v>0</v>
      </c>
      <c r="LF29" s="65"/>
      <c r="LG29" s="65"/>
    </row>
    <row r="30" spans="1:319">
      <c r="A30" s="49"/>
      <c r="B30" s="49"/>
      <c r="C30" s="437" t="str">
        <f>Idiomas!D326</f>
        <v>SEMIFINALS - Exact Result</v>
      </c>
      <c r="D30" s="62">
        <v>8</v>
      </c>
      <c r="E30" s="111"/>
      <c r="F30" s="445">
        <f t="shared" si="197"/>
        <v>20</v>
      </c>
      <c r="G30" s="445">
        <f ca="1">VLOOKUP(H30,Equipos!$Q$1:$R$25,2,0)</f>
        <v>8</v>
      </c>
      <c r="H30" s="446">
        <f ca="1">TRUNC(INDEX(WORLDCUP!$X$4:$X$147,MATCH(ADMIN!K30,WORLDCUP!$DT$4:$DT$147,0))+INDEX(Horarios!$R$3:$R$86,MATCH(Horarios!$C$3,Horarios!$P$3:$P$86,0))/24)</f>
        <v>46191</v>
      </c>
      <c r="I30" s="48">
        <v>1</v>
      </c>
      <c r="J30" s="95" t="s">
        <v>118</v>
      </c>
      <c r="K30" s="53" t="str">
        <f ca="1">CONCATENATE(WORLDCUP!AA6,"-",WORLDCUP!AF6)</f>
        <v>Czech Republic-South Africa</v>
      </c>
      <c r="L30" s="53"/>
      <c r="M30" s="55" t="str">
        <f>IF(OR(WORLDCUP!AC6="",WORLDCUP!AD6=""),"-",N30&amp;"|"&amp;O30&amp;"-"&amp;P30)</f>
        <v>X|1-1</v>
      </c>
      <c r="N30" s="25" t="str">
        <f>IF(OR(WORLDCUP!AC6="",WORLDCUP!AD6=""),"",IF(WORLDCUP!AC6&gt;WORLDCUP!AD6,"1",IF(WORLDCUP!AC6&lt;WORLDCUP!AD6,"2","X")))</f>
        <v>X</v>
      </c>
      <c r="O30" s="25">
        <f>WORLDCUP!AC6</f>
        <v>1</v>
      </c>
      <c r="P30" s="25">
        <f>WORLDCUP!AD6</f>
        <v>1</v>
      </c>
      <c r="Q30" s="25">
        <f t="shared" si="201"/>
        <v>0</v>
      </c>
      <c r="R30" s="49"/>
      <c r="S30" s="76" t="s">
        <v>1955</v>
      </c>
      <c r="T30" s="77">
        <f t="shared" si="209"/>
        <v>0</v>
      </c>
      <c r="U30" s="65"/>
      <c r="V30" s="76" t="s">
        <v>2000</v>
      </c>
      <c r="W30" s="77">
        <f t="shared" si="199"/>
        <v>0</v>
      </c>
      <c r="X30" s="65"/>
      <c r="Y30" s="76" t="s">
        <v>1950</v>
      </c>
      <c r="Z30" s="77">
        <f t="shared" si="204"/>
        <v>0</v>
      </c>
      <c r="AA30" s="65"/>
      <c r="AB30" s="76" t="s">
        <v>1959</v>
      </c>
      <c r="AC30" s="77">
        <f t="shared" si="204"/>
        <v>0</v>
      </c>
      <c r="AD30" s="65"/>
      <c r="AE30" s="76" t="s">
        <v>1950</v>
      </c>
      <c r="AF30" s="77">
        <f t="shared" si="204"/>
        <v>0</v>
      </c>
      <c r="AG30" s="65"/>
      <c r="AH30" s="76" t="s">
        <v>1957</v>
      </c>
      <c r="AI30" s="77">
        <f t="shared" si="204"/>
        <v>20</v>
      </c>
      <c r="AJ30" s="65"/>
      <c r="AK30" s="76" t="s">
        <v>1957</v>
      </c>
      <c r="AL30" s="77">
        <f t="shared" si="204"/>
        <v>20</v>
      </c>
      <c r="AM30" s="65"/>
      <c r="AN30" s="76" t="s">
        <v>1950</v>
      </c>
      <c r="AO30" s="77">
        <f t="shared" si="204"/>
        <v>0</v>
      </c>
      <c r="AP30" s="65"/>
      <c r="AQ30" s="76" t="s">
        <v>1959</v>
      </c>
      <c r="AR30" s="77">
        <f t="shared" si="204"/>
        <v>0</v>
      </c>
      <c r="AS30" s="65"/>
      <c r="AT30" s="76" t="s">
        <v>1957</v>
      </c>
      <c r="AU30" s="77">
        <f t="shared" si="204"/>
        <v>20</v>
      </c>
      <c r="AV30" s="65"/>
      <c r="AW30" s="76" t="s">
        <v>1959</v>
      </c>
      <c r="AX30" s="77">
        <f t="shared" si="204"/>
        <v>0</v>
      </c>
      <c r="AY30" s="65"/>
      <c r="AZ30" s="76" t="s">
        <v>1957</v>
      </c>
      <c r="BA30" s="77">
        <f t="shared" si="204"/>
        <v>20</v>
      </c>
      <c r="BB30" s="65"/>
      <c r="BC30" s="76" t="s">
        <v>1959</v>
      </c>
      <c r="BD30" s="77">
        <f t="shared" si="204"/>
        <v>0</v>
      </c>
      <c r="BE30" s="65"/>
      <c r="BF30" s="76" t="s">
        <v>1954</v>
      </c>
      <c r="BG30" s="77">
        <f t="shared" si="204"/>
        <v>0</v>
      </c>
      <c r="BH30" s="65"/>
      <c r="BI30" s="76" t="s">
        <v>1957</v>
      </c>
      <c r="BJ30" s="77">
        <f t="shared" ref="BJ30:DU41" si="210">IFERROR(IF($M30=BI30,($D$8+$D$9+$D$10)*$I30,IF($N30=LEFT(BI30,1),($D$8+MAX(0,IF($D$50=1,$D$9*(1-(ABS($Q30-ABS(VALUE(MID(BI30,FIND("|",BI30)+1,FIND("-",BI30)-FIND("|",BI30)-1))-VALUE(MID(BI30,FIND("-",BI30)+1,10)))))*$D$50),$D$9*(1-(IF($N30="X",ABS($O30-VALUE(MID(BI30,FIND("|",BI30)+1,FIND("-",BI30)-FIND("|",BI30)-1))),ABS($Q30-ABS(VALUE(MID(BI30,FIND("|",BI30)+1,FIND("-",BI30)-FIND("|",BI30)-1))-VALUE(MID(BI30,FIND("-",BI30)+1,10)))))*$D$50)))))*$I30,0)),0)</f>
        <v>20</v>
      </c>
      <c r="BK30" s="65"/>
      <c r="BL30" s="76" t="s">
        <v>1950</v>
      </c>
      <c r="BM30" s="77">
        <f t="shared" si="210"/>
        <v>0</v>
      </c>
      <c r="BN30" s="65"/>
      <c r="BO30" s="76" t="s">
        <v>1954</v>
      </c>
      <c r="BP30" s="77">
        <f t="shared" si="210"/>
        <v>0</v>
      </c>
      <c r="BQ30" s="65"/>
      <c r="BR30" s="76" t="s">
        <v>1947</v>
      </c>
      <c r="BS30" s="77">
        <f t="shared" si="210"/>
        <v>0</v>
      </c>
      <c r="BT30" s="65"/>
      <c r="BU30" s="76" t="s">
        <v>1950</v>
      </c>
      <c r="BV30" s="77">
        <f t="shared" si="210"/>
        <v>0</v>
      </c>
      <c r="BW30" s="65"/>
      <c r="BX30" s="76" t="s">
        <v>1954</v>
      </c>
      <c r="BY30" s="77">
        <f t="shared" si="210"/>
        <v>0</v>
      </c>
      <c r="BZ30" s="65"/>
      <c r="CA30" s="76" t="s">
        <v>2000</v>
      </c>
      <c r="CB30" s="77">
        <f t="shared" si="210"/>
        <v>0</v>
      </c>
      <c r="CC30" s="65"/>
      <c r="CD30" s="76" t="s">
        <v>1943</v>
      </c>
      <c r="CE30" s="77">
        <f t="shared" si="210"/>
        <v>0</v>
      </c>
      <c r="CF30" s="65"/>
      <c r="CG30" s="76" t="s">
        <v>1954</v>
      </c>
      <c r="CH30" s="77">
        <f t="shared" si="210"/>
        <v>0</v>
      </c>
      <c r="CI30" s="65"/>
      <c r="CJ30" s="76" t="s">
        <v>1954</v>
      </c>
      <c r="CK30" s="77">
        <f t="shared" si="210"/>
        <v>0</v>
      </c>
      <c r="CL30" s="65"/>
      <c r="CM30" s="76" t="s">
        <v>1957</v>
      </c>
      <c r="CN30" s="77">
        <f t="shared" si="210"/>
        <v>20</v>
      </c>
      <c r="CO30" s="65"/>
      <c r="CP30" s="76" t="s">
        <v>1959</v>
      </c>
      <c r="CQ30" s="77">
        <f t="shared" si="210"/>
        <v>0</v>
      </c>
      <c r="CR30" s="65"/>
      <c r="CS30" s="76" t="s">
        <v>1957</v>
      </c>
      <c r="CT30" s="77">
        <f t="shared" si="210"/>
        <v>20</v>
      </c>
      <c r="CU30" s="65"/>
      <c r="CV30" s="76" t="s">
        <v>1950</v>
      </c>
      <c r="CW30" s="77">
        <f t="shared" si="210"/>
        <v>0</v>
      </c>
      <c r="CX30" s="65"/>
      <c r="CY30" s="76" t="s">
        <v>1957</v>
      </c>
      <c r="CZ30" s="77">
        <f t="shared" si="210"/>
        <v>20</v>
      </c>
      <c r="DA30" s="65"/>
      <c r="DB30" s="76" t="s">
        <v>1954</v>
      </c>
      <c r="DC30" s="77">
        <f t="shared" si="210"/>
        <v>0</v>
      </c>
      <c r="DD30" s="65"/>
      <c r="DE30" s="76" t="s">
        <v>1950</v>
      </c>
      <c r="DF30" s="77">
        <f t="shared" si="210"/>
        <v>0</v>
      </c>
      <c r="DG30" s="65"/>
      <c r="DH30" s="76" t="s">
        <v>1957</v>
      </c>
      <c r="DI30" s="77">
        <f t="shared" si="210"/>
        <v>20</v>
      </c>
      <c r="DJ30" s="65"/>
      <c r="DK30" s="76" t="s">
        <v>1957</v>
      </c>
      <c r="DL30" s="77">
        <f t="shared" si="210"/>
        <v>20</v>
      </c>
      <c r="DM30" s="65"/>
      <c r="DN30" s="76" t="s">
        <v>1949</v>
      </c>
      <c r="DO30" s="77">
        <f t="shared" si="210"/>
        <v>0</v>
      </c>
      <c r="DP30" s="65"/>
      <c r="DQ30" s="76" t="s">
        <v>1959</v>
      </c>
      <c r="DR30" s="77">
        <f t="shared" si="210"/>
        <v>0</v>
      </c>
      <c r="DS30" s="65"/>
      <c r="DT30" s="76" t="s">
        <v>1950</v>
      </c>
      <c r="DU30" s="77">
        <f t="shared" si="210"/>
        <v>0</v>
      </c>
      <c r="DV30" s="65"/>
      <c r="DW30" s="76" t="s">
        <v>1959</v>
      </c>
      <c r="DX30" s="77">
        <f t="shared" si="207"/>
        <v>0</v>
      </c>
      <c r="DY30" s="65"/>
      <c r="DZ30" s="76" t="s">
        <v>1950</v>
      </c>
      <c r="EA30" s="77">
        <f t="shared" si="207"/>
        <v>0</v>
      </c>
      <c r="EB30" s="65"/>
      <c r="EC30" s="76" t="s">
        <v>1950</v>
      </c>
      <c r="ED30" s="77">
        <f t="shared" si="207"/>
        <v>0</v>
      </c>
      <c r="EE30" s="65"/>
      <c r="EF30" s="76" t="s">
        <v>1953</v>
      </c>
      <c r="EG30" s="77">
        <f t="shared" si="207"/>
        <v>0</v>
      </c>
      <c r="EH30" s="65"/>
      <c r="EI30" s="76" t="s">
        <v>1950</v>
      </c>
      <c r="EJ30" s="77">
        <f t="shared" si="207"/>
        <v>0</v>
      </c>
      <c r="EK30" s="65"/>
      <c r="EL30" s="76" t="s">
        <v>1950</v>
      </c>
      <c r="EM30" s="77">
        <f t="shared" si="207"/>
        <v>0</v>
      </c>
      <c r="EN30" s="65"/>
      <c r="EO30" s="76" t="s">
        <v>1953</v>
      </c>
      <c r="EP30" s="77">
        <f t="shared" si="207"/>
        <v>0</v>
      </c>
      <c r="EQ30" s="65"/>
      <c r="ER30" s="76" t="s">
        <v>1957</v>
      </c>
      <c r="ES30" s="77">
        <f t="shared" si="207"/>
        <v>20</v>
      </c>
      <c r="ET30" s="65"/>
      <c r="EU30" s="76" t="s">
        <v>1959</v>
      </c>
      <c r="EV30" s="77">
        <f t="shared" si="207"/>
        <v>0</v>
      </c>
      <c r="EW30" s="65"/>
      <c r="EX30" s="76" t="s">
        <v>1959</v>
      </c>
      <c r="EY30" s="77">
        <f t="shared" si="207"/>
        <v>0</v>
      </c>
      <c r="EZ30" s="65"/>
      <c r="FA30" s="76" t="s">
        <v>1950</v>
      </c>
      <c r="FB30" s="77">
        <f t="shared" si="207"/>
        <v>0</v>
      </c>
      <c r="FC30" s="65"/>
      <c r="FD30" s="76" t="s">
        <v>2000</v>
      </c>
      <c r="FE30" s="77">
        <f t="shared" si="207"/>
        <v>0</v>
      </c>
      <c r="FF30" s="65"/>
      <c r="FG30" s="76" t="s">
        <v>1957</v>
      </c>
      <c r="FH30" s="77">
        <f t="shared" si="207"/>
        <v>20</v>
      </c>
      <c r="FI30" s="65"/>
      <c r="FJ30" s="76" t="s">
        <v>1950</v>
      </c>
      <c r="FK30" s="77">
        <f t="shared" si="207"/>
        <v>0</v>
      </c>
      <c r="FL30" s="65"/>
      <c r="FM30" s="76" t="s">
        <v>1949</v>
      </c>
      <c r="FN30" s="77">
        <f t="shared" si="207"/>
        <v>0</v>
      </c>
      <c r="FO30" s="65"/>
      <c r="FP30" s="76" t="s">
        <v>1950</v>
      </c>
      <c r="FQ30" s="77">
        <f t="shared" si="207"/>
        <v>0</v>
      </c>
      <c r="FR30" s="65"/>
      <c r="FS30" s="76" t="s">
        <v>1950</v>
      </c>
      <c r="FT30" s="77">
        <f t="shared" si="207"/>
        <v>0</v>
      </c>
      <c r="FU30" s="65"/>
      <c r="FV30" s="76" t="s">
        <v>1957</v>
      </c>
      <c r="FW30" s="77">
        <f t="shared" si="207"/>
        <v>20</v>
      </c>
      <c r="FX30" s="65"/>
      <c r="FY30" s="76" t="s">
        <v>1950</v>
      </c>
      <c r="FZ30" s="77">
        <f t="shared" si="207"/>
        <v>0</v>
      </c>
      <c r="GA30" s="65"/>
      <c r="GB30" s="76" t="s">
        <v>1954</v>
      </c>
      <c r="GC30" s="77">
        <f t="shared" si="207"/>
        <v>0</v>
      </c>
      <c r="GD30" s="65"/>
      <c r="GE30" s="76" t="s">
        <v>1954</v>
      </c>
      <c r="GF30" s="77">
        <f t="shared" si="207"/>
        <v>0</v>
      </c>
      <c r="GG30" s="65"/>
      <c r="GH30" s="76" t="s">
        <v>1957</v>
      </c>
      <c r="GI30" s="77">
        <f t="shared" si="205"/>
        <v>20</v>
      </c>
      <c r="GJ30" s="65"/>
      <c r="GK30" s="76" t="s">
        <v>1960</v>
      </c>
      <c r="GL30" s="77">
        <f t="shared" si="205"/>
        <v>0</v>
      </c>
      <c r="GM30" s="65"/>
      <c r="GN30" s="76" t="str">
        <f>Idiomas!$D$365</f>
        <v>Paste Values (R2)</v>
      </c>
      <c r="GO30" s="77">
        <f t="shared" si="203"/>
        <v>0</v>
      </c>
      <c r="GP30" s="65"/>
      <c r="GQ30" s="76" t="str">
        <f>Idiomas!$D$365</f>
        <v>Paste Values (R2)</v>
      </c>
      <c r="GR30" s="77">
        <f t="shared" si="203"/>
        <v>0</v>
      </c>
      <c r="GS30" s="65"/>
      <c r="GT30" s="76" t="str">
        <f>Idiomas!$D$365</f>
        <v>Paste Values (R2)</v>
      </c>
      <c r="GU30" s="77">
        <f t="shared" si="203"/>
        <v>0</v>
      </c>
      <c r="GV30" s="65"/>
      <c r="GW30" s="76" t="str">
        <f>Idiomas!$D$365</f>
        <v>Paste Values (R2)</v>
      </c>
      <c r="GX30" s="77">
        <f t="shared" si="203"/>
        <v>0</v>
      </c>
      <c r="GY30" s="65"/>
      <c r="GZ30" s="76" t="str">
        <f>Idiomas!$D$365</f>
        <v>Paste Values (R2)</v>
      </c>
      <c r="HA30" s="77">
        <f t="shared" si="203"/>
        <v>0</v>
      </c>
      <c r="HB30" s="65"/>
      <c r="HC30" s="76" t="str">
        <f>Idiomas!$D$365</f>
        <v>Paste Values (R2)</v>
      </c>
      <c r="HD30" s="77">
        <f t="shared" si="203"/>
        <v>0</v>
      </c>
      <c r="HE30" s="65"/>
      <c r="HF30" s="76" t="str">
        <f>Idiomas!$D$365</f>
        <v>Paste Values (R2)</v>
      </c>
      <c r="HG30" s="77">
        <f t="shared" si="203"/>
        <v>0</v>
      </c>
      <c r="HH30" s="65"/>
      <c r="HI30" s="76" t="str">
        <f>Idiomas!$D$365</f>
        <v>Paste Values (R2)</v>
      </c>
      <c r="HJ30" s="77">
        <f t="shared" si="203"/>
        <v>0</v>
      </c>
      <c r="HK30" s="65"/>
      <c r="HL30" s="76" t="str">
        <f>Idiomas!$D$365</f>
        <v>Paste Values (R2)</v>
      </c>
      <c r="HM30" s="77">
        <f t="shared" si="203"/>
        <v>0</v>
      </c>
      <c r="HN30" s="65"/>
      <c r="HO30" s="76" t="str">
        <f>Idiomas!$D$365</f>
        <v>Paste Values (R2)</v>
      </c>
      <c r="HP30" s="77">
        <f t="shared" si="203"/>
        <v>0</v>
      </c>
      <c r="HQ30" s="65"/>
      <c r="HR30" s="76" t="str">
        <f>Idiomas!$D$365</f>
        <v>Paste Values (R2)</v>
      </c>
      <c r="HS30" s="77">
        <f t="shared" si="203"/>
        <v>0</v>
      </c>
      <c r="HT30" s="65"/>
      <c r="HU30" s="76" t="str">
        <f>Idiomas!$D$365</f>
        <v>Paste Values (R2)</v>
      </c>
      <c r="HV30" s="77">
        <f t="shared" si="203"/>
        <v>0</v>
      </c>
      <c r="HW30" s="65"/>
      <c r="HX30" s="76" t="str">
        <f>Idiomas!$D$365</f>
        <v>Paste Values (R2)</v>
      </c>
      <c r="HY30" s="77">
        <f t="shared" si="203"/>
        <v>0</v>
      </c>
      <c r="HZ30" s="65"/>
      <c r="IA30" s="76" t="str">
        <f>Idiomas!$D$365</f>
        <v>Paste Values (R2)</v>
      </c>
      <c r="IB30" s="77">
        <f t="shared" ref="IB30:KM41" si="211">IFERROR(IF($M30=IA30,($D$8+$D$9+$D$10)*$I30,IF($N30=LEFT(IA30,1),($D$8+MAX(0,IF($D$50=1,$D$9*(1-(ABS($Q30-ABS(VALUE(MID(IA30,FIND("|",IA30)+1,FIND("-",IA30)-FIND("|",IA30)-1))-VALUE(MID(IA30,FIND("-",IA30)+1,10)))))*$D$50),$D$9*(1-(IF($N30="X",ABS($O30-VALUE(MID(IA30,FIND("|",IA30)+1,FIND("-",IA30)-FIND("|",IA30)-1))),ABS($Q30-ABS(VALUE(MID(IA30,FIND("|",IA30)+1,FIND("-",IA30)-FIND("|",IA30)-1))-VALUE(MID(IA30,FIND("-",IA30)+1,10)))))*$D$50)))))*$I30,0)),0)</f>
        <v>0</v>
      </c>
      <c r="IC30" s="65"/>
      <c r="ID30" s="76" t="str">
        <f>Idiomas!$D$365</f>
        <v>Paste Values (R2)</v>
      </c>
      <c r="IE30" s="77">
        <f t="shared" si="211"/>
        <v>0</v>
      </c>
      <c r="IF30" s="65"/>
      <c r="IG30" s="76" t="str">
        <f>Idiomas!$D$365</f>
        <v>Paste Values (R2)</v>
      </c>
      <c r="IH30" s="77">
        <f t="shared" si="211"/>
        <v>0</v>
      </c>
      <c r="II30" s="65"/>
      <c r="IJ30" s="76" t="str">
        <f>Idiomas!$D$365</f>
        <v>Paste Values (R2)</v>
      </c>
      <c r="IK30" s="77">
        <f t="shared" si="211"/>
        <v>0</v>
      </c>
      <c r="IL30" s="65"/>
      <c r="IM30" s="76" t="str">
        <f>Idiomas!$D$365</f>
        <v>Paste Values (R2)</v>
      </c>
      <c r="IN30" s="77">
        <f t="shared" si="211"/>
        <v>0</v>
      </c>
      <c r="IO30" s="65"/>
      <c r="IP30" s="76" t="str">
        <f>Idiomas!$D$365</f>
        <v>Paste Values (R2)</v>
      </c>
      <c r="IQ30" s="77">
        <f t="shared" si="211"/>
        <v>0</v>
      </c>
      <c r="IR30" s="65"/>
      <c r="IS30" s="76" t="str">
        <f>Idiomas!$D$365</f>
        <v>Paste Values (R2)</v>
      </c>
      <c r="IT30" s="77">
        <f t="shared" si="211"/>
        <v>0</v>
      </c>
      <c r="IU30" s="65"/>
      <c r="IV30" s="76" t="str">
        <f>Idiomas!$D$365</f>
        <v>Paste Values (R2)</v>
      </c>
      <c r="IW30" s="77">
        <f t="shared" si="211"/>
        <v>0</v>
      </c>
      <c r="IX30" s="65"/>
      <c r="IY30" s="76" t="str">
        <f>Idiomas!$D$365</f>
        <v>Paste Values (R2)</v>
      </c>
      <c r="IZ30" s="77">
        <f t="shared" si="211"/>
        <v>0</v>
      </c>
      <c r="JA30" s="65"/>
      <c r="JB30" s="76" t="str">
        <f>Idiomas!$D$365</f>
        <v>Paste Values (R2)</v>
      </c>
      <c r="JC30" s="77">
        <f t="shared" si="211"/>
        <v>0</v>
      </c>
      <c r="JD30" s="65"/>
      <c r="JE30" s="76" t="str">
        <f>Idiomas!$D$365</f>
        <v>Paste Values (R2)</v>
      </c>
      <c r="JF30" s="77">
        <f t="shared" si="211"/>
        <v>0</v>
      </c>
      <c r="JG30" s="65"/>
      <c r="JH30" s="76" t="str">
        <f>Idiomas!$D$365</f>
        <v>Paste Values (R2)</v>
      </c>
      <c r="JI30" s="77">
        <f t="shared" si="211"/>
        <v>0</v>
      </c>
      <c r="JJ30" s="65"/>
      <c r="JK30" s="76" t="str">
        <f>Idiomas!$D$365</f>
        <v>Paste Values (R2)</v>
      </c>
      <c r="JL30" s="77">
        <f t="shared" si="211"/>
        <v>0</v>
      </c>
      <c r="JM30" s="65"/>
      <c r="JN30" s="76" t="str">
        <f>Idiomas!$D$365</f>
        <v>Paste Values (R2)</v>
      </c>
      <c r="JO30" s="77">
        <f t="shared" si="211"/>
        <v>0</v>
      </c>
      <c r="JP30" s="65"/>
      <c r="JQ30" s="76" t="str">
        <f>Idiomas!$D$365</f>
        <v>Paste Values (R2)</v>
      </c>
      <c r="JR30" s="77">
        <f t="shared" si="211"/>
        <v>0</v>
      </c>
      <c r="JS30" s="65"/>
      <c r="JT30" s="76" t="str">
        <f>Idiomas!$D$365</f>
        <v>Paste Values (R2)</v>
      </c>
      <c r="JU30" s="77">
        <f t="shared" si="211"/>
        <v>0</v>
      </c>
      <c r="JV30" s="65"/>
      <c r="JW30" s="76" t="str">
        <f>Idiomas!$D$365</f>
        <v>Paste Values (R2)</v>
      </c>
      <c r="JX30" s="77">
        <f t="shared" si="211"/>
        <v>0</v>
      </c>
      <c r="JY30" s="65"/>
      <c r="JZ30" s="76" t="str">
        <f>Idiomas!$D$365</f>
        <v>Paste Values (R2)</v>
      </c>
      <c r="KA30" s="77">
        <f t="shared" si="211"/>
        <v>0</v>
      </c>
      <c r="KB30" s="65"/>
      <c r="KC30" s="76" t="str">
        <f>Idiomas!$D$365</f>
        <v>Paste Values (R2)</v>
      </c>
      <c r="KD30" s="77">
        <f t="shared" si="211"/>
        <v>0</v>
      </c>
      <c r="KE30" s="65"/>
      <c r="KF30" s="76" t="str">
        <f>Idiomas!$D$365</f>
        <v>Paste Values (R2)</v>
      </c>
      <c r="KG30" s="77">
        <f t="shared" si="211"/>
        <v>0</v>
      </c>
      <c r="KH30" s="65"/>
      <c r="KI30" s="76" t="str">
        <f>Idiomas!$D$365</f>
        <v>Paste Values (R2)</v>
      </c>
      <c r="KJ30" s="77">
        <f t="shared" si="211"/>
        <v>0</v>
      </c>
      <c r="KK30" s="65"/>
      <c r="KL30" s="76" t="str">
        <f>Idiomas!$D$365</f>
        <v>Paste Values (R2)</v>
      </c>
      <c r="KM30" s="77">
        <f t="shared" si="211"/>
        <v>0</v>
      </c>
      <c r="KN30" s="65"/>
      <c r="KO30" s="76" t="str">
        <f>Idiomas!$D$365</f>
        <v>Paste Values (R2)</v>
      </c>
      <c r="KP30" s="77">
        <f t="shared" si="208"/>
        <v>0</v>
      </c>
      <c r="KQ30" s="65"/>
      <c r="KR30" s="76" t="str">
        <f>Idiomas!$D$365</f>
        <v>Paste Values (R2)</v>
      </c>
      <c r="KS30" s="77">
        <f t="shared" si="208"/>
        <v>0</v>
      </c>
      <c r="KT30" s="65"/>
      <c r="KU30" s="76" t="str">
        <f>Idiomas!$D$365</f>
        <v>Paste Values (R2)</v>
      </c>
      <c r="KV30" s="77">
        <f t="shared" si="208"/>
        <v>0</v>
      </c>
      <c r="KW30" s="65"/>
      <c r="KX30" s="76" t="str">
        <f>Idiomas!$D$365</f>
        <v>Paste Values (R2)</v>
      </c>
      <c r="KY30" s="77">
        <f t="shared" si="208"/>
        <v>0</v>
      </c>
      <c r="KZ30" s="65"/>
      <c r="LA30" s="76" t="str">
        <f>Idiomas!$D$365</f>
        <v>Paste Values (R2)</v>
      </c>
      <c r="LB30" s="77">
        <f t="shared" si="208"/>
        <v>0</v>
      </c>
      <c r="LC30" s="65"/>
      <c r="LD30" s="76" t="str">
        <f>Idiomas!$D$365</f>
        <v>Paste Values (R2)</v>
      </c>
      <c r="LE30" s="77">
        <f t="shared" si="208"/>
        <v>0</v>
      </c>
      <c r="LF30" s="65"/>
      <c r="LG30" s="65"/>
    </row>
    <row r="31" spans="1:319">
      <c r="A31" s="49"/>
      <c r="B31" s="49"/>
      <c r="C31" s="438" t="str">
        <f>Idiomas!D327</f>
        <v>Nation Qualified for 3-4 place</v>
      </c>
      <c r="D31" s="44">
        <v>15</v>
      </c>
      <c r="E31" s="111"/>
      <c r="F31" s="445">
        <f t="shared" si="197"/>
        <v>20</v>
      </c>
      <c r="G31" s="445">
        <f ca="1">VLOOKUP(H31,Equipos!$Q$1:$R$25,2,0)</f>
        <v>9</v>
      </c>
      <c r="H31" s="446">
        <f ca="1">TRUNC(INDEX(WORLDCUP!$X$4:$X$147,MATCH(ADMIN!K31,WORLDCUP!$DT$4:$DT$147,0))+INDEX(Horarios!$R$3:$R$86,MATCH(Horarios!$C$3,Horarios!$P$3:$P$86,0))/24)</f>
        <v>46192</v>
      </c>
      <c r="I31" s="48">
        <v>1</v>
      </c>
      <c r="J31" s="95" t="s">
        <v>118</v>
      </c>
      <c r="K31" s="56" t="str">
        <f ca="1">CONCATENATE(WORLDCUP!AA7,"-",WORLDCUP!AF7)</f>
        <v>Mexico-South Korea</v>
      </c>
      <c r="L31" s="53"/>
      <c r="M31" s="55" t="str">
        <f>IF(OR(WORLDCUP!AC7="",WORLDCUP!AD7=""),"-",N31&amp;"|"&amp;O31&amp;"-"&amp;P31)</f>
        <v>1|1-0</v>
      </c>
      <c r="N31" s="25" t="str">
        <f>IF(OR(WORLDCUP!AC7="",WORLDCUP!AD7=""),"",IF(WORLDCUP!AC7&gt;WORLDCUP!AD7,"1",IF(WORLDCUP!AC7&lt;WORLDCUP!AD7,"2","X")))</f>
        <v>1</v>
      </c>
      <c r="O31" s="25">
        <f>WORLDCUP!AC7</f>
        <v>1</v>
      </c>
      <c r="P31" s="25">
        <f>WORLDCUP!AD7</f>
        <v>0</v>
      </c>
      <c r="Q31" s="25">
        <f t="shared" si="201"/>
        <v>1</v>
      </c>
      <c r="R31" s="49"/>
      <c r="S31" s="74" t="s">
        <v>1956</v>
      </c>
      <c r="T31" s="73">
        <f t="shared" si="209"/>
        <v>10</v>
      </c>
      <c r="U31" s="65"/>
      <c r="V31" s="74" t="s">
        <v>1950</v>
      </c>
      <c r="W31" s="73">
        <f t="shared" si="199"/>
        <v>10</v>
      </c>
      <c r="X31" s="65"/>
      <c r="Y31" s="74" t="s">
        <v>1950</v>
      </c>
      <c r="Z31" s="73">
        <f t="shared" ref="Z31:CH42" si="212">IFERROR(IF($M31=Y31,($D$8+$D$9+$D$10)*$I31,IF($N31=LEFT(Y31,1),($D$8+MAX(0,IF($D$50=1,$D$9*(1-(ABS($Q31-ABS(VALUE(MID(Y31,FIND("|",Y31)+1,FIND("-",Y31)-FIND("|",Y31)-1))-VALUE(MID(Y31,FIND("-",Y31)+1,10)))))*$D$50),$D$9*(1-(IF($N31="X",ABS($O31-VALUE(MID(Y31,FIND("|",Y31)+1,FIND("-",Y31)-FIND("|",Y31)-1))),ABS($Q31-ABS(VALUE(MID(Y31,FIND("|",Y31)+1,FIND("-",Y31)-FIND("|",Y31)-1))-VALUE(MID(Y31,FIND("-",Y31)+1,10)))))*$D$50)))))*$I31,0)),0)</f>
        <v>10</v>
      </c>
      <c r="AA31" s="65"/>
      <c r="AB31" s="74" t="s">
        <v>1957</v>
      </c>
      <c r="AC31" s="73">
        <f t="shared" si="212"/>
        <v>0</v>
      </c>
      <c r="AD31" s="65"/>
      <c r="AE31" s="74" t="s">
        <v>1959</v>
      </c>
      <c r="AF31" s="73">
        <f t="shared" si="212"/>
        <v>20</v>
      </c>
      <c r="AG31" s="65"/>
      <c r="AH31" s="74" t="s">
        <v>1950</v>
      </c>
      <c r="AI31" s="73">
        <f t="shared" si="212"/>
        <v>10</v>
      </c>
      <c r="AJ31" s="65"/>
      <c r="AK31" s="74" t="s">
        <v>1944</v>
      </c>
      <c r="AL31" s="73">
        <f t="shared" si="212"/>
        <v>0</v>
      </c>
      <c r="AM31" s="65"/>
      <c r="AN31" s="74" t="s">
        <v>1954</v>
      </c>
      <c r="AO31" s="73">
        <f t="shared" si="212"/>
        <v>12</v>
      </c>
      <c r="AP31" s="65"/>
      <c r="AQ31" s="74" t="s">
        <v>1949</v>
      </c>
      <c r="AR31" s="73">
        <f t="shared" si="212"/>
        <v>10</v>
      </c>
      <c r="AS31" s="65"/>
      <c r="AT31" s="74" t="s">
        <v>1959</v>
      </c>
      <c r="AU31" s="73">
        <f t="shared" si="212"/>
        <v>20</v>
      </c>
      <c r="AV31" s="65"/>
      <c r="AW31" s="74" t="s">
        <v>1950</v>
      </c>
      <c r="AX31" s="73">
        <f t="shared" si="212"/>
        <v>10</v>
      </c>
      <c r="AY31" s="65"/>
      <c r="AZ31" s="74" t="s">
        <v>1954</v>
      </c>
      <c r="BA31" s="73">
        <f t="shared" si="212"/>
        <v>12</v>
      </c>
      <c r="BB31" s="65"/>
      <c r="BC31" s="74" t="s">
        <v>1957</v>
      </c>
      <c r="BD31" s="73">
        <f t="shared" si="212"/>
        <v>0</v>
      </c>
      <c r="BE31" s="65"/>
      <c r="BF31" s="74" t="s">
        <v>1959</v>
      </c>
      <c r="BG31" s="73">
        <f t="shared" si="212"/>
        <v>20</v>
      </c>
      <c r="BH31" s="65"/>
      <c r="BI31" s="74" t="s">
        <v>2000</v>
      </c>
      <c r="BJ31" s="73">
        <f t="shared" si="212"/>
        <v>0</v>
      </c>
      <c r="BK31" s="65"/>
      <c r="BL31" s="74" t="s">
        <v>1957</v>
      </c>
      <c r="BM31" s="73">
        <f t="shared" si="212"/>
        <v>0</v>
      </c>
      <c r="BN31" s="65"/>
      <c r="BO31" s="74" t="s">
        <v>1954</v>
      </c>
      <c r="BP31" s="73">
        <f t="shared" si="212"/>
        <v>12</v>
      </c>
      <c r="BQ31" s="65"/>
      <c r="BR31" s="74" t="s">
        <v>1957</v>
      </c>
      <c r="BS31" s="73">
        <f t="shared" si="212"/>
        <v>0</v>
      </c>
      <c r="BT31" s="65"/>
      <c r="BU31" s="74" t="s">
        <v>1950</v>
      </c>
      <c r="BV31" s="73">
        <f t="shared" si="212"/>
        <v>10</v>
      </c>
      <c r="BW31" s="65"/>
      <c r="BX31" s="74" t="s">
        <v>1950</v>
      </c>
      <c r="BY31" s="73">
        <f t="shared" si="212"/>
        <v>10</v>
      </c>
      <c r="BZ31" s="65"/>
      <c r="CA31" s="74" t="s">
        <v>1959</v>
      </c>
      <c r="CB31" s="73">
        <f t="shared" si="212"/>
        <v>20</v>
      </c>
      <c r="CC31" s="65"/>
      <c r="CD31" s="74" t="s">
        <v>1957</v>
      </c>
      <c r="CE31" s="73">
        <f t="shared" si="212"/>
        <v>0</v>
      </c>
      <c r="CF31" s="65"/>
      <c r="CG31" s="74" t="s">
        <v>1959</v>
      </c>
      <c r="CH31" s="73">
        <f t="shared" si="212"/>
        <v>20</v>
      </c>
      <c r="CI31" s="65"/>
      <c r="CJ31" s="74" t="s">
        <v>1954</v>
      </c>
      <c r="CK31" s="73">
        <f t="shared" si="210"/>
        <v>12</v>
      </c>
      <c r="CL31" s="65"/>
      <c r="CM31" s="74" t="s">
        <v>1957</v>
      </c>
      <c r="CN31" s="73">
        <f t="shared" si="210"/>
        <v>0</v>
      </c>
      <c r="CO31" s="65"/>
      <c r="CP31" s="74" t="s">
        <v>1954</v>
      </c>
      <c r="CQ31" s="73">
        <f t="shared" si="210"/>
        <v>12</v>
      </c>
      <c r="CR31" s="65"/>
      <c r="CS31" s="74" t="s">
        <v>1958</v>
      </c>
      <c r="CT31" s="73">
        <f t="shared" si="210"/>
        <v>10</v>
      </c>
      <c r="CU31" s="65"/>
      <c r="CV31" s="74" t="s">
        <v>1949</v>
      </c>
      <c r="CW31" s="73">
        <f t="shared" si="210"/>
        <v>10</v>
      </c>
      <c r="CX31" s="65"/>
      <c r="CY31" s="74" t="s">
        <v>1956</v>
      </c>
      <c r="CZ31" s="73">
        <f t="shared" si="210"/>
        <v>10</v>
      </c>
      <c r="DA31" s="65"/>
      <c r="DB31" s="74" t="s">
        <v>1949</v>
      </c>
      <c r="DC31" s="73">
        <f t="shared" si="210"/>
        <v>10</v>
      </c>
      <c r="DD31" s="65"/>
      <c r="DE31" s="74" t="s">
        <v>1954</v>
      </c>
      <c r="DF31" s="73">
        <f t="shared" si="210"/>
        <v>12</v>
      </c>
      <c r="DG31" s="65"/>
      <c r="DH31" s="74" t="s">
        <v>1954</v>
      </c>
      <c r="DI31" s="73">
        <f t="shared" si="210"/>
        <v>12</v>
      </c>
      <c r="DJ31" s="65"/>
      <c r="DK31" s="74" t="s">
        <v>1954</v>
      </c>
      <c r="DL31" s="73">
        <f t="shared" si="210"/>
        <v>12</v>
      </c>
      <c r="DM31" s="65"/>
      <c r="DN31" s="74" t="s">
        <v>1958</v>
      </c>
      <c r="DO31" s="73">
        <f t="shared" si="210"/>
        <v>10</v>
      </c>
      <c r="DP31" s="65"/>
      <c r="DQ31" s="74" t="s">
        <v>1944</v>
      </c>
      <c r="DR31" s="73">
        <f t="shared" si="210"/>
        <v>0</v>
      </c>
      <c r="DS31" s="65"/>
      <c r="DT31" s="74" t="s">
        <v>1957</v>
      </c>
      <c r="DU31" s="73">
        <f t="shared" si="210"/>
        <v>0</v>
      </c>
      <c r="DV31" s="65"/>
      <c r="DW31" s="74" t="s">
        <v>1949</v>
      </c>
      <c r="DX31" s="73">
        <f t="shared" si="207"/>
        <v>10</v>
      </c>
      <c r="DY31" s="65"/>
      <c r="DZ31" s="74" t="s">
        <v>1954</v>
      </c>
      <c r="EA31" s="73">
        <f t="shared" si="207"/>
        <v>12</v>
      </c>
      <c r="EB31" s="65"/>
      <c r="EC31" s="74" t="s">
        <v>1954</v>
      </c>
      <c r="ED31" s="73">
        <f t="shared" si="207"/>
        <v>12</v>
      </c>
      <c r="EE31" s="65"/>
      <c r="EF31" s="74" t="s">
        <v>1950</v>
      </c>
      <c r="EG31" s="73">
        <f t="shared" si="207"/>
        <v>10</v>
      </c>
      <c r="EH31" s="65"/>
      <c r="EI31" s="74" t="s">
        <v>1954</v>
      </c>
      <c r="EJ31" s="73">
        <f t="shared" si="207"/>
        <v>12</v>
      </c>
      <c r="EK31" s="65"/>
      <c r="EL31" s="74" t="s">
        <v>1954</v>
      </c>
      <c r="EM31" s="73">
        <f t="shared" si="207"/>
        <v>12</v>
      </c>
      <c r="EN31" s="65"/>
      <c r="EO31" s="74" t="s">
        <v>1959</v>
      </c>
      <c r="EP31" s="73">
        <f t="shared" si="207"/>
        <v>20</v>
      </c>
      <c r="EQ31" s="65"/>
      <c r="ER31" s="74" t="s">
        <v>1950</v>
      </c>
      <c r="ES31" s="73">
        <f t="shared" si="207"/>
        <v>10</v>
      </c>
      <c r="ET31" s="65"/>
      <c r="EU31" s="74" t="s">
        <v>1957</v>
      </c>
      <c r="EV31" s="73">
        <f t="shared" si="207"/>
        <v>0</v>
      </c>
      <c r="EW31" s="65"/>
      <c r="EX31" s="74" t="s">
        <v>1944</v>
      </c>
      <c r="EY31" s="73">
        <f t="shared" si="207"/>
        <v>0</v>
      </c>
      <c r="EZ31" s="65"/>
      <c r="FA31" s="74" t="s">
        <v>1954</v>
      </c>
      <c r="FB31" s="73">
        <f t="shared" si="207"/>
        <v>12</v>
      </c>
      <c r="FC31" s="65"/>
      <c r="FD31" s="74" t="s">
        <v>1950</v>
      </c>
      <c r="FE31" s="73">
        <f t="shared" si="207"/>
        <v>10</v>
      </c>
      <c r="FF31" s="65"/>
      <c r="FG31" s="74" t="s">
        <v>1946</v>
      </c>
      <c r="FH31" s="73">
        <f t="shared" si="207"/>
        <v>0</v>
      </c>
      <c r="FI31" s="65"/>
      <c r="FJ31" s="74" t="s">
        <v>1954</v>
      </c>
      <c r="FK31" s="73">
        <f t="shared" si="207"/>
        <v>12</v>
      </c>
      <c r="FL31" s="65"/>
      <c r="FM31" s="74" t="s">
        <v>1949</v>
      </c>
      <c r="FN31" s="73">
        <f t="shared" ref="FN31:HY46" si="213">IFERROR(IF($M31=FM31,($D$8+$D$9+$D$10)*$I31,IF($N31=LEFT(FM31,1),($D$8+MAX(0,IF($D$50=1,$D$9*(1-(ABS($Q31-ABS(VALUE(MID(FM31,FIND("|",FM31)+1,FIND("-",FM31)-FIND("|",FM31)-1))-VALUE(MID(FM31,FIND("-",FM31)+1,10)))))*$D$50),$D$9*(1-(IF($N31="X",ABS($O31-VALUE(MID(FM31,FIND("|",FM31)+1,FIND("-",FM31)-FIND("|",FM31)-1))),ABS($Q31-ABS(VALUE(MID(FM31,FIND("|",FM31)+1,FIND("-",FM31)-FIND("|",FM31)-1))-VALUE(MID(FM31,FIND("-",FM31)+1,10)))))*$D$50)))))*$I31,0)),0)</f>
        <v>10</v>
      </c>
      <c r="FO31" s="65"/>
      <c r="FP31" s="74" t="s">
        <v>1954</v>
      </c>
      <c r="FQ31" s="73">
        <f t="shared" si="213"/>
        <v>12</v>
      </c>
      <c r="FR31" s="65"/>
      <c r="FS31" s="74" t="s">
        <v>1954</v>
      </c>
      <c r="FT31" s="73">
        <f t="shared" si="213"/>
        <v>12</v>
      </c>
      <c r="FU31" s="65"/>
      <c r="FV31" s="74" t="s">
        <v>1957</v>
      </c>
      <c r="FW31" s="73">
        <f t="shared" si="213"/>
        <v>0</v>
      </c>
      <c r="FX31" s="65"/>
      <c r="FY31" s="74" t="s">
        <v>1959</v>
      </c>
      <c r="FZ31" s="73">
        <f t="shared" si="213"/>
        <v>20</v>
      </c>
      <c r="GA31" s="65"/>
      <c r="GB31" s="74" t="s">
        <v>1957</v>
      </c>
      <c r="GC31" s="73">
        <f t="shared" si="213"/>
        <v>0</v>
      </c>
      <c r="GD31" s="65"/>
      <c r="GE31" s="74" t="s">
        <v>1949</v>
      </c>
      <c r="GF31" s="73">
        <f t="shared" si="213"/>
        <v>10</v>
      </c>
      <c r="GG31" s="65"/>
      <c r="GH31" s="74" t="s">
        <v>1944</v>
      </c>
      <c r="GI31" s="73">
        <f t="shared" si="213"/>
        <v>0</v>
      </c>
      <c r="GJ31" s="65"/>
      <c r="GK31" s="74" t="s">
        <v>1953</v>
      </c>
      <c r="GL31" s="73">
        <f t="shared" si="213"/>
        <v>0</v>
      </c>
      <c r="GM31" s="65"/>
      <c r="GN31" s="74"/>
      <c r="GO31" s="73">
        <f t="shared" si="213"/>
        <v>0</v>
      </c>
      <c r="GP31" s="65"/>
      <c r="GQ31" s="74"/>
      <c r="GR31" s="73">
        <f t="shared" si="213"/>
        <v>0</v>
      </c>
      <c r="GS31" s="65"/>
      <c r="GT31" s="74"/>
      <c r="GU31" s="73">
        <f t="shared" si="213"/>
        <v>0</v>
      </c>
      <c r="GV31" s="65"/>
      <c r="GW31" s="74"/>
      <c r="GX31" s="73">
        <f t="shared" si="213"/>
        <v>0</v>
      </c>
      <c r="GY31" s="65"/>
      <c r="GZ31" s="74"/>
      <c r="HA31" s="73">
        <f t="shared" si="213"/>
        <v>0</v>
      </c>
      <c r="HB31" s="65"/>
      <c r="HC31" s="74"/>
      <c r="HD31" s="73">
        <f t="shared" si="213"/>
        <v>0</v>
      </c>
      <c r="HE31" s="65"/>
      <c r="HF31" s="74"/>
      <c r="HG31" s="73">
        <f t="shared" si="213"/>
        <v>0</v>
      </c>
      <c r="HH31" s="65"/>
      <c r="HI31" s="74"/>
      <c r="HJ31" s="73">
        <f t="shared" si="213"/>
        <v>0</v>
      </c>
      <c r="HK31" s="65"/>
      <c r="HL31" s="74"/>
      <c r="HM31" s="73">
        <f t="shared" si="213"/>
        <v>0</v>
      </c>
      <c r="HN31" s="65"/>
      <c r="HO31" s="74"/>
      <c r="HP31" s="73">
        <f t="shared" si="213"/>
        <v>0</v>
      </c>
      <c r="HQ31" s="65"/>
      <c r="HR31" s="74"/>
      <c r="HS31" s="73">
        <f t="shared" si="213"/>
        <v>0</v>
      </c>
      <c r="HT31" s="65"/>
      <c r="HU31" s="74"/>
      <c r="HV31" s="73">
        <f t="shared" si="213"/>
        <v>0</v>
      </c>
      <c r="HW31" s="65"/>
      <c r="HX31" s="74"/>
      <c r="HY31" s="73">
        <f t="shared" si="213"/>
        <v>0</v>
      </c>
      <c r="HZ31" s="65"/>
      <c r="IA31" s="74"/>
      <c r="IB31" s="73">
        <f t="shared" si="211"/>
        <v>0</v>
      </c>
      <c r="IC31" s="65"/>
      <c r="ID31" s="74"/>
      <c r="IE31" s="73">
        <f t="shared" si="211"/>
        <v>0</v>
      </c>
      <c r="IF31" s="65"/>
      <c r="IG31" s="74"/>
      <c r="IH31" s="73">
        <f t="shared" si="211"/>
        <v>0</v>
      </c>
      <c r="II31" s="65"/>
      <c r="IJ31" s="74"/>
      <c r="IK31" s="73">
        <f t="shared" si="211"/>
        <v>0</v>
      </c>
      <c r="IL31" s="65"/>
      <c r="IM31" s="74"/>
      <c r="IN31" s="73">
        <f t="shared" si="211"/>
        <v>0</v>
      </c>
      <c r="IO31" s="65"/>
      <c r="IP31" s="74"/>
      <c r="IQ31" s="73">
        <f t="shared" si="211"/>
        <v>0</v>
      </c>
      <c r="IR31" s="65"/>
      <c r="IS31" s="74"/>
      <c r="IT31" s="73">
        <f t="shared" si="211"/>
        <v>0</v>
      </c>
      <c r="IU31" s="65"/>
      <c r="IV31" s="74"/>
      <c r="IW31" s="73">
        <f t="shared" si="211"/>
        <v>0</v>
      </c>
      <c r="IX31" s="65"/>
      <c r="IY31" s="74"/>
      <c r="IZ31" s="73">
        <f t="shared" si="211"/>
        <v>0</v>
      </c>
      <c r="JA31" s="65"/>
      <c r="JB31" s="74"/>
      <c r="JC31" s="73">
        <f t="shared" si="211"/>
        <v>0</v>
      </c>
      <c r="JD31" s="65"/>
      <c r="JE31" s="74"/>
      <c r="JF31" s="73">
        <f t="shared" si="211"/>
        <v>0</v>
      </c>
      <c r="JG31" s="65"/>
      <c r="JH31" s="74"/>
      <c r="JI31" s="73">
        <f t="shared" si="211"/>
        <v>0</v>
      </c>
      <c r="JJ31" s="65"/>
      <c r="JK31" s="74"/>
      <c r="JL31" s="73">
        <f t="shared" si="211"/>
        <v>0</v>
      </c>
      <c r="JM31" s="65"/>
      <c r="JN31" s="74"/>
      <c r="JO31" s="73">
        <f t="shared" si="211"/>
        <v>0</v>
      </c>
      <c r="JP31" s="65"/>
      <c r="JQ31" s="74"/>
      <c r="JR31" s="73">
        <f t="shared" si="211"/>
        <v>0</v>
      </c>
      <c r="JS31" s="65"/>
      <c r="JT31" s="74"/>
      <c r="JU31" s="73">
        <f t="shared" si="211"/>
        <v>0</v>
      </c>
      <c r="JV31" s="65"/>
      <c r="JW31" s="74"/>
      <c r="JX31" s="73">
        <f t="shared" si="211"/>
        <v>0</v>
      </c>
      <c r="JY31" s="65"/>
      <c r="JZ31" s="74"/>
      <c r="KA31" s="73">
        <f t="shared" si="211"/>
        <v>0</v>
      </c>
      <c r="KB31" s="65"/>
      <c r="KC31" s="74"/>
      <c r="KD31" s="73">
        <f t="shared" si="211"/>
        <v>0</v>
      </c>
      <c r="KE31" s="65"/>
      <c r="KF31" s="74"/>
      <c r="KG31" s="73">
        <f t="shared" si="211"/>
        <v>0</v>
      </c>
      <c r="KH31" s="65"/>
      <c r="KI31" s="74"/>
      <c r="KJ31" s="73">
        <f t="shared" si="211"/>
        <v>0</v>
      </c>
      <c r="KK31" s="65"/>
      <c r="KL31" s="74"/>
      <c r="KM31" s="73">
        <f t="shared" si="211"/>
        <v>0</v>
      </c>
      <c r="KN31" s="65"/>
      <c r="KO31" s="74"/>
      <c r="KP31" s="73">
        <f t="shared" si="208"/>
        <v>0</v>
      </c>
      <c r="KQ31" s="65"/>
      <c r="KR31" s="74"/>
      <c r="KS31" s="73">
        <f t="shared" si="208"/>
        <v>0</v>
      </c>
      <c r="KT31" s="65"/>
      <c r="KU31" s="74"/>
      <c r="KV31" s="73">
        <f t="shared" si="208"/>
        <v>0</v>
      </c>
      <c r="KW31" s="65"/>
      <c r="KX31" s="74"/>
      <c r="KY31" s="73">
        <f t="shared" si="208"/>
        <v>0</v>
      </c>
      <c r="KZ31" s="65"/>
      <c r="LA31" s="74"/>
      <c r="LB31" s="73">
        <f t="shared" si="208"/>
        <v>0</v>
      </c>
      <c r="LC31" s="65"/>
      <c r="LD31" s="74"/>
      <c r="LE31" s="73">
        <f t="shared" si="208"/>
        <v>0</v>
      </c>
      <c r="LF31" s="65"/>
      <c r="LG31" s="65"/>
    </row>
    <row r="32" spans="1:319">
      <c r="A32" s="49"/>
      <c r="B32" s="49"/>
      <c r="C32" s="440" t="str">
        <f>Idiomas!D328</f>
        <v>Nation Qualified for the FINAL</v>
      </c>
      <c r="D32" s="63">
        <v>45</v>
      </c>
      <c r="E32" s="111"/>
      <c r="F32" s="445">
        <f t="shared" si="197"/>
        <v>20</v>
      </c>
      <c r="G32" s="445">
        <f ca="1">VLOOKUP(H32,Equipos!$Q$1:$R$25,2,0)</f>
        <v>8</v>
      </c>
      <c r="H32" s="446">
        <f ca="1">TRUNC(INDEX(WORLDCUP!$X$4:$X$147,MATCH(ADMIN!K32,WORLDCUP!$DT$4:$DT$147,0))+INDEX(Horarios!$R$3:$R$86,MATCH(Horarios!$C$3,Horarios!$P$3:$P$86,0))/24)</f>
        <v>46191</v>
      </c>
      <c r="I32" s="48">
        <v>1</v>
      </c>
      <c r="J32" s="96" t="s">
        <v>119</v>
      </c>
      <c r="K32" s="53" t="str">
        <f ca="1">CONCATENATE(WORLDCUP!AA14,"-",WORLDCUP!AF14)</f>
        <v>Switzerland-Bosnia and Herzegovina</v>
      </c>
      <c r="L32" s="53"/>
      <c r="M32" s="55" t="str">
        <f>IF(OR(WORLDCUP!AC14="",WORLDCUP!AD14=""),"-",N32&amp;"|"&amp;O32&amp;"-"&amp;P32)</f>
        <v>1|4-1</v>
      </c>
      <c r="N32" s="25" t="str">
        <f>IF(OR(WORLDCUP!AC14="",WORLDCUP!AD14=""),"",IF(WORLDCUP!AC14&gt;WORLDCUP!AD14,"1",IF(WORLDCUP!AC14&lt;WORLDCUP!AD14,"2","X")))</f>
        <v>1</v>
      </c>
      <c r="O32" s="25">
        <f>WORLDCUP!AC14</f>
        <v>4</v>
      </c>
      <c r="P32" s="25">
        <f>WORLDCUP!AD14</f>
        <v>1</v>
      </c>
      <c r="Q32" s="25">
        <f t="shared" si="201"/>
        <v>3</v>
      </c>
      <c r="R32" s="49"/>
      <c r="S32" s="74" t="s">
        <v>1944</v>
      </c>
      <c r="T32" s="73">
        <f t="shared" si="209"/>
        <v>0</v>
      </c>
      <c r="U32" s="65"/>
      <c r="V32" s="74" t="s">
        <v>1954</v>
      </c>
      <c r="W32" s="73">
        <f t="shared" si="199"/>
        <v>10</v>
      </c>
      <c r="X32" s="65"/>
      <c r="Y32" s="74" t="s">
        <v>1950</v>
      </c>
      <c r="Z32" s="73">
        <f t="shared" si="212"/>
        <v>10</v>
      </c>
      <c r="AA32" s="65"/>
      <c r="AB32" s="74" t="s">
        <v>1959</v>
      </c>
      <c r="AC32" s="73">
        <f t="shared" si="212"/>
        <v>10</v>
      </c>
      <c r="AD32" s="65"/>
      <c r="AE32" s="74" t="s">
        <v>1950</v>
      </c>
      <c r="AF32" s="73">
        <f t="shared" si="212"/>
        <v>10</v>
      </c>
      <c r="AG32" s="65"/>
      <c r="AH32" s="74" t="s">
        <v>1950</v>
      </c>
      <c r="AI32" s="73">
        <f t="shared" si="212"/>
        <v>10</v>
      </c>
      <c r="AJ32" s="65"/>
      <c r="AK32" s="74" t="s">
        <v>1954</v>
      </c>
      <c r="AL32" s="73">
        <f t="shared" si="212"/>
        <v>10</v>
      </c>
      <c r="AM32" s="65"/>
      <c r="AN32" s="74" t="s">
        <v>1957</v>
      </c>
      <c r="AO32" s="73">
        <f t="shared" si="212"/>
        <v>0</v>
      </c>
      <c r="AP32" s="65"/>
      <c r="AQ32" s="74" t="s">
        <v>1953</v>
      </c>
      <c r="AR32" s="73">
        <f t="shared" si="212"/>
        <v>0</v>
      </c>
      <c r="AS32" s="65"/>
      <c r="AT32" s="74" t="s">
        <v>1957</v>
      </c>
      <c r="AU32" s="73">
        <f t="shared" si="212"/>
        <v>0</v>
      </c>
      <c r="AV32" s="65"/>
      <c r="AW32" s="74" t="s">
        <v>1957</v>
      </c>
      <c r="AX32" s="73">
        <f t="shared" si="212"/>
        <v>0</v>
      </c>
      <c r="AY32" s="65"/>
      <c r="AZ32" s="74" t="s">
        <v>1954</v>
      </c>
      <c r="BA32" s="73">
        <f t="shared" si="212"/>
        <v>10</v>
      </c>
      <c r="BB32" s="65"/>
      <c r="BC32" s="74" t="s">
        <v>1949</v>
      </c>
      <c r="BD32" s="73">
        <f t="shared" si="212"/>
        <v>10</v>
      </c>
      <c r="BE32" s="65"/>
      <c r="BF32" s="74" t="s">
        <v>1954</v>
      </c>
      <c r="BG32" s="73">
        <f t="shared" si="212"/>
        <v>10</v>
      </c>
      <c r="BH32" s="65"/>
      <c r="BI32" s="74" t="s">
        <v>1950</v>
      </c>
      <c r="BJ32" s="73">
        <f t="shared" si="212"/>
        <v>10</v>
      </c>
      <c r="BK32" s="65"/>
      <c r="BL32" s="74" t="s">
        <v>1959</v>
      </c>
      <c r="BM32" s="73">
        <f t="shared" si="212"/>
        <v>10</v>
      </c>
      <c r="BN32" s="65"/>
      <c r="BO32" s="74" t="s">
        <v>1950</v>
      </c>
      <c r="BP32" s="73">
        <f t="shared" si="212"/>
        <v>10</v>
      </c>
      <c r="BQ32" s="65"/>
      <c r="BR32" s="74" t="s">
        <v>1950</v>
      </c>
      <c r="BS32" s="73">
        <f t="shared" si="212"/>
        <v>10</v>
      </c>
      <c r="BT32" s="65"/>
      <c r="BU32" s="74" t="s">
        <v>1950</v>
      </c>
      <c r="BV32" s="73">
        <f t="shared" si="212"/>
        <v>10</v>
      </c>
      <c r="BW32" s="65"/>
      <c r="BX32" s="74" t="s">
        <v>1959</v>
      </c>
      <c r="BY32" s="73">
        <f t="shared" si="212"/>
        <v>10</v>
      </c>
      <c r="BZ32" s="65"/>
      <c r="CA32" s="74" t="s">
        <v>1954</v>
      </c>
      <c r="CB32" s="73">
        <f t="shared" si="212"/>
        <v>10</v>
      </c>
      <c r="CC32" s="65"/>
      <c r="CD32" s="74" t="s">
        <v>1950</v>
      </c>
      <c r="CE32" s="73">
        <f t="shared" si="212"/>
        <v>10</v>
      </c>
      <c r="CF32" s="65"/>
      <c r="CG32" s="74" t="s">
        <v>1950</v>
      </c>
      <c r="CH32" s="73">
        <f t="shared" si="212"/>
        <v>10</v>
      </c>
      <c r="CI32" s="65"/>
      <c r="CJ32" s="74" t="s">
        <v>1954</v>
      </c>
      <c r="CK32" s="73">
        <f t="shared" si="210"/>
        <v>10</v>
      </c>
      <c r="CL32" s="65"/>
      <c r="CM32" s="74" t="s">
        <v>1944</v>
      </c>
      <c r="CN32" s="73">
        <f t="shared" si="210"/>
        <v>0</v>
      </c>
      <c r="CO32" s="65"/>
      <c r="CP32" s="74" t="s">
        <v>1954</v>
      </c>
      <c r="CQ32" s="73">
        <f t="shared" si="210"/>
        <v>10</v>
      </c>
      <c r="CR32" s="65"/>
      <c r="CS32" s="74" t="s">
        <v>1944</v>
      </c>
      <c r="CT32" s="73">
        <f t="shared" si="210"/>
        <v>0</v>
      </c>
      <c r="CU32" s="65"/>
      <c r="CV32" s="74" t="s">
        <v>1950</v>
      </c>
      <c r="CW32" s="73">
        <f t="shared" si="210"/>
        <v>10</v>
      </c>
      <c r="CX32" s="65"/>
      <c r="CY32" s="74" t="s">
        <v>2369</v>
      </c>
      <c r="CZ32" s="73">
        <f t="shared" si="210"/>
        <v>0</v>
      </c>
      <c r="DA32" s="65"/>
      <c r="DB32" s="74" t="s">
        <v>1953</v>
      </c>
      <c r="DC32" s="73">
        <f t="shared" si="210"/>
        <v>0</v>
      </c>
      <c r="DD32" s="65"/>
      <c r="DE32" s="74" t="s">
        <v>1949</v>
      </c>
      <c r="DF32" s="73">
        <f t="shared" si="210"/>
        <v>10</v>
      </c>
      <c r="DG32" s="65"/>
      <c r="DH32" s="74" t="s">
        <v>1959</v>
      </c>
      <c r="DI32" s="73">
        <f t="shared" si="210"/>
        <v>10</v>
      </c>
      <c r="DJ32" s="65"/>
      <c r="DK32" s="74" t="s">
        <v>1954</v>
      </c>
      <c r="DL32" s="73">
        <f t="shared" si="210"/>
        <v>10</v>
      </c>
      <c r="DM32" s="65"/>
      <c r="DN32" s="74" t="s">
        <v>1950</v>
      </c>
      <c r="DO32" s="73">
        <f t="shared" si="210"/>
        <v>10</v>
      </c>
      <c r="DP32" s="65"/>
      <c r="DQ32" s="74" t="s">
        <v>1954</v>
      </c>
      <c r="DR32" s="73">
        <f t="shared" si="210"/>
        <v>10</v>
      </c>
      <c r="DS32" s="65"/>
      <c r="DT32" s="74" t="s">
        <v>1950</v>
      </c>
      <c r="DU32" s="73">
        <f t="shared" si="210"/>
        <v>10</v>
      </c>
      <c r="DV32" s="65"/>
      <c r="DW32" s="74" t="s">
        <v>1949</v>
      </c>
      <c r="DX32" s="73">
        <f t="shared" ref="DX32:GI43" si="214">IFERROR(IF($M32=DW32,($D$8+$D$9+$D$10)*$I32,IF($N32=LEFT(DW32,1),($D$8+MAX(0,IF($D$50=1,$D$9*(1-(ABS($Q32-ABS(VALUE(MID(DW32,FIND("|",DW32)+1,FIND("-",DW32)-FIND("|",DW32)-1))-VALUE(MID(DW32,FIND("-",DW32)+1,10)))))*$D$50),$D$9*(1-(IF($N32="X",ABS($O32-VALUE(MID(DW32,FIND("|",DW32)+1,FIND("-",DW32)-FIND("|",DW32)-1))),ABS($Q32-ABS(VALUE(MID(DW32,FIND("|",DW32)+1,FIND("-",DW32)-FIND("|",DW32)-1))-VALUE(MID(DW32,FIND("-",DW32)+1,10)))))*$D$50)))))*$I32,0)),0)</f>
        <v>10</v>
      </c>
      <c r="DY32" s="65"/>
      <c r="DZ32" s="74" t="s">
        <v>1950</v>
      </c>
      <c r="EA32" s="73">
        <f t="shared" si="214"/>
        <v>10</v>
      </c>
      <c r="EB32" s="65"/>
      <c r="EC32" s="74" t="s">
        <v>1954</v>
      </c>
      <c r="ED32" s="73">
        <f t="shared" si="214"/>
        <v>10</v>
      </c>
      <c r="EE32" s="65"/>
      <c r="EF32" s="74" t="s">
        <v>1944</v>
      </c>
      <c r="EG32" s="73">
        <f t="shared" si="214"/>
        <v>0</v>
      </c>
      <c r="EH32" s="65"/>
      <c r="EI32" s="74" t="s">
        <v>1950</v>
      </c>
      <c r="EJ32" s="73">
        <f t="shared" si="214"/>
        <v>10</v>
      </c>
      <c r="EK32" s="65"/>
      <c r="EL32" s="74" t="s">
        <v>1957</v>
      </c>
      <c r="EM32" s="73">
        <f t="shared" si="214"/>
        <v>0</v>
      </c>
      <c r="EN32" s="65"/>
      <c r="EO32" s="74" t="s">
        <v>1954</v>
      </c>
      <c r="EP32" s="73">
        <f t="shared" si="214"/>
        <v>10</v>
      </c>
      <c r="EQ32" s="65"/>
      <c r="ER32" s="74" t="s">
        <v>1949</v>
      </c>
      <c r="ES32" s="73">
        <f t="shared" si="214"/>
        <v>10</v>
      </c>
      <c r="ET32" s="65"/>
      <c r="EU32" s="74" t="s">
        <v>1954</v>
      </c>
      <c r="EV32" s="73">
        <f t="shared" si="214"/>
        <v>10</v>
      </c>
      <c r="EW32" s="65"/>
      <c r="EX32" s="74" t="s">
        <v>1959</v>
      </c>
      <c r="EY32" s="73">
        <f t="shared" si="214"/>
        <v>10</v>
      </c>
      <c r="EZ32" s="65"/>
      <c r="FA32" s="74" t="s">
        <v>1957</v>
      </c>
      <c r="FB32" s="73">
        <f t="shared" si="214"/>
        <v>0</v>
      </c>
      <c r="FC32" s="65"/>
      <c r="FD32" s="74" t="s">
        <v>1954</v>
      </c>
      <c r="FE32" s="73">
        <f t="shared" si="214"/>
        <v>10</v>
      </c>
      <c r="FF32" s="65"/>
      <c r="FG32" s="74" t="s">
        <v>1957</v>
      </c>
      <c r="FH32" s="73">
        <f t="shared" si="214"/>
        <v>0</v>
      </c>
      <c r="FI32" s="65"/>
      <c r="FJ32" s="74" t="s">
        <v>1950</v>
      </c>
      <c r="FK32" s="73">
        <f t="shared" si="214"/>
        <v>10</v>
      </c>
      <c r="FL32" s="65"/>
      <c r="FM32" s="74" t="s">
        <v>1954</v>
      </c>
      <c r="FN32" s="73">
        <f t="shared" si="214"/>
        <v>10</v>
      </c>
      <c r="FO32" s="65"/>
      <c r="FP32" s="74" t="s">
        <v>1954</v>
      </c>
      <c r="FQ32" s="73">
        <f t="shared" si="214"/>
        <v>10</v>
      </c>
      <c r="FR32" s="65"/>
      <c r="FS32" s="74" t="s">
        <v>1959</v>
      </c>
      <c r="FT32" s="73">
        <f t="shared" si="214"/>
        <v>10</v>
      </c>
      <c r="FU32" s="65"/>
      <c r="FV32" s="74" t="s">
        <v>1957</v>
      </c>
      <c r="FW32" s="73">
        <f t="shared" si="214"/>
        <v>0</v>
      </c>
      <c r="FX32" s="65"/>
      <c r="FY32" s="74" t="s">
        <v>1957</v>
      </c>
      <c r="FZ32" s="73">
        <f t="shared" si="214"/>
        <v>0</v>
      </c>
      <c r="GA32" s="65"/>
      <c r="GB32" s="74" t="s">
        <v>1954</v>
      </c>
      <c r="GC32" s="73">
        <f t="shared" si="214"/>
        <v>10</v>
      </c>
      <c r="GD32" s="65"/>
      <c r="GE32" s="74" t="s">
        <v>1944</v>
      </c>
      <c r="GF32" s="73">
        <f t="shared" si="214"/>
        <v>0</v>
      </c>
      <c r="GG32" s="65"/>
      <c r="GH32" s="74" t="s">
        <v>1954</v>
      </c>
      <c r="GI32" s="73">
        <f t="shared" si="214"/>
        <v>10</v>
      </c>
      <c r="GJ32" s="65"/>
      <c r="GK32" s="74" t="s">
        <v>1954</v>
      </c>
      <c r="GL32" s="73">
        <f t="shared" si="213"/>
        <v>10</v>
      </c>
      <c r="GM32" s="65"/>
      <c r="GN32" s="74"/>
      <c r="GO32" s="73">
        <f t="shared" si="213"/>
        <v>0</v>
      </c>
      <c r="GP32" s="65"/>
      <c r="GQ32" s="74"/>
      <c r="GR32" s="73">
        <f t="shared" si="213"/>
        <v>0</v>
      </c>
      <c r="GS32" s="65"/>
      <c r="GT32" s="74"/>
      <c r="GU32" s="73">
        <f t="shared" si="213"/>
        <v>0</v>
      </c>
      <c r="GV32" s="65"/>
      <c r="GW32" s="74"/>
      <c r="GX32" s="73">
        <f t="shared" si="213"/>
        <v>0</v>
      </c>
      <c r="GY32" s="65"/>
      <c r="GZ32" s="74"/>
      <c r="HA32" s="73">
        <f t="shared" si="213"/>
        <v>0</v>
      </c>
      <c r="HB32" s="65"/>
      <c r="HC32" s="74"/>
      <c r="HD32" s="73">
        <f t="shared" si="213"/>
        <v>0</v>
      </c>
      <c r="HE32" s="65"/>
      <c r="HF32" s="74"/>
      <c r="HG32" s="73">
        <f t="shared" si="213"/>
        <v>0</v>
      </c>
      <c r="HH32" s="65"/>
      <c r="HI32" s="74"/>
      <c r="HJ32" s="73">
        <f t="shared" si="213"/>
        <v>0</v>
      </c>
      <c r="HK32" s="65"/>
      <c r="HL32" s="74"/>
      <c r="HM32" s="73">
        <f t="shared" si="213"/>
        <v>0</v>
      </c>
      <c r="HN32" s="65"/>
      <c r="HO32" s="74"/>
      <c r="HP32" s="73">
        <f t="shared" si="213"/>
        <v>0</v>
      </c>
      <c r="HQ32" s="65"/>
      <c r="HR32" s="74"/>
      <c r="HS32" s="73">
        <f t="shared" si="213"/>
        <v>0</v>
      </c>
      <c r="HT32" s="65"/>
      <c r="HU32" s="74"/>
      <c r="HV32" s="73">
        <f t="shared" si="213"/>
        <v>0</v>
      </c>
      <c r="HW32" s="65"/>
      <c r="HX32" s="74"/>
      <c r="HY32" s="73">
        <f t="shared" si="213"/>
        <v>0</v>
      </c>
      <c r="HZ32" s="65"/>
      <c r="IA32" s="74"/>
      <c r="IB32" s="73">
        <f t="shared" si="211"/>
        <v>0</v>
      </c>
      <c r="IC32" s="65"/>
      <c r="ID32" s="74"/>
      <c r="IE32" s="73">
        <f t="shared" si="211"/>
        <v>0</v>
      </c>
      <c r="IF32" s="65"/>
      <c r="IG32" s="74"/>
      <c r="IH32" s="73">
        <f t="shared" si="211"/>
        <v>0</v>
      </c>
      <c r="II32" s="65"/>
      <c r="IJ32" s="74"/>
      <c r="IK32" s="73">
        <f t="shared" si="211"/>
        <v>0</v>
      </c>
      <c r="IL32" s="65"/>
      <c r="IM32" s="74"/>
      <c r="IN32" s="73">
        <f t="shared" si="211"/>
        <v>0</v>
      </c>
      <c r="IO32" s="65"/>
      <c r="IP32" s="74"/>
      <c r="IQ32" s="73">
        <f t="shared" si="211"/>
        <v>0</v>
      </c>
      <c r="IR32" s="65"/>
      <c r="IS32" s="74"/>
      <c r="IT32" s="73">
        <f t="shared" si="211"/>
        <v>0</v>
      </c>
      <c r="IU32" s="65"/>
      <c r="IV32" s="74"/>
      <c r="IW32" s="73">
        <f t="shared" si="211"/>
        <v>0</v>
      </c>
      <c r="IX32" s="65"/>
      <c r="IY32" s="74"/>
      <c r="IZ32" s="73">
        <f t="shared" si="211"/>
        <v>0</v>
      </c>
      <c r="JA32" s="65"/>
      <c r="JB32" s="74"/>
      <c r="JC32" s="73">
        <f t="shared" si="211"/>
        <v>0</v>
      </c>
      <c r="JD32" s="65"/>
      <c r="JE32" s="74"/>
      <c r="JF32" s="73">
        <f t="shared" si="211"/>
        <v>0</v>
      </c>
      <c r="JG32" s="65"/>
      <c r="JH32" s="74"/>
      <c r="JI32" s="73">
        <f t="shared" si="211"/>
        <v>0</v>
      </c>
      <c r="JJ32" s="65"/>
      <c r="JK32" s="74"/>
      <c r="JL32" s="73">
        <f t="shared" si="211"/>
        <v>0</v>
      </c>
      <c r="JM32" s="65"/>
      <c r="JN32" s="74"/>
      <c r="JO32" s="73">
        <f t="shared" si="211"/>
        <v>0</v>
      </c>
      <c r="JP32" s="65"/>
      <c r="JQ32" s="74"/>
      <c r="JR32" s="73">
        <f t="shared" si="211"/>
        <v>0</v>
      </c>
      <c r="JS32" s="65"/>
      <c r="JT32" s="74"/>
      <c r="JU32" s="73">
        <f t="shared" si="211"/>
        <v>0</v>
      </c>
      <c r="JV32" s="65"/>
      <c r="JW32" s="74"/>
      <c r="JX32" s="73">
        <f t="shared" si="211"/>
        <v>0</v>
      </c>
      <c r="JY32" s="65"/>
      <c r="JZ32" s="74"/>
      <c r="KA32" s="73">
        <f t="shared" si="211"/>
        <v>0</v>
      </c>
      <c r="KB32" s="65"/>
      <c r="KC32" s="74"/>
      <c r="KD32" s="73">
        <f t="shared" si="211"/>
        <v>0</v>
      </c>
      <c r="KE32" s="65"/>
      <c r="KF32" s="74"/>
      <c r="KG32" s="73">
        <f t="shared" si="211"/>
        <v>0</v>
      </c>
      <c r="KH32" s="65"/>
      <c r="KI32" s="74"/>
      <c r="KJ32" s="73">
        <f t="shared" si="211"/>
        <v>0</v>
      </c>
      <c r="KK32" s="65"/>
      <c r="KL32" s="74"/>
      <c r="KM32" s="73">
        <f t="shared" si="211"/>
        <v>0</v>
      </c>
      <c r="KN32" s="65"/>
      <c r="KO32" s="74"/>
      <c r="KP32" s="73">
        <f t="shared" si="208"/>
        <v>0</v>
      </c>
      <c r="KQ32" s="65"/>
      <c r="KR32" s="74"/>
      <c r="KS32" s="73">
        <f t="shared" si="208"/>
        <v>0</v>
      </c>
      <c r="KT32" s="65"/>
      <c r="KU32" s="74"/>
      <c r="KV32" s="73">
        <f t="shared" si="208"/>
        <v>0</v>
      </c>
      <c r="KW32" s="65"/>
      <c r="KX32" s="74"/>
      <c r="KY32" s="73">
        <f t="shared" si="208"/>
        <v>0</v>
      </c>
      <c r="KZ32" s="65"/>
      <c r="LA32" s="74"/>
      <c r="LB32" s="73">
        <f t="shared" si="208"/>
        <v>0</v>
      </c>
      <c r="LC32" s="65"/>
      <c r="LD32" s="74"/>
      <c r="LE32" s="73">
        <f t="shared" si="208"/>
        <v>0</v>
      </c>
      <c r="LF32" s="65"/>
      <c r="LG32" s="65"/>
    </row>
    <row r="33" spans="1:319">
      <c r="A33" s="49"/>
      <c r="B33" s="49"/>
      <c r="C33" s="438" t="str">
        <f>Idiomas!D329</f>
        <v>3-4 place - 1X2* (home, draw, away)</v>
      </c>
      <c r="D33" s="44">
        <v>10</v>
      </c>
      <c r="E33" s="111"/>
      <c r="F33" s="445">
        <f t="shared" si="197"/>
        <v>20</v>
      </c>
      <c r="G33" s="445">
        <f ca="1">VLOOKUP(H33,Equipos!$Q$1:$R$25,2,0)</f>
        <v>9</v>
      </c>
      <c r="H33" s="446">
        <f ca="1">TRUNC(INDEX(WORLDCUP!$X$4:$X$147,MATCH(ADMIN!K33,WORLDCUP!$DT$4:$DT$147,0))+INDEX(Horarios!$R$3:$R$86,MATCH(Horarios!$C$3,Horarios!$P$3:$P$86,0))/24)</f>
        <v>46192</v>
      </c>
      <c r="I33" s="48">
        <v>1</v>
      </c>
      <c r="J33" s="96" t="s">
        <v>119</v>
      </c>
      <c r="K33" s="56" t="str">
        <f ca="1">CONCATENATE(WORLDCUP!AA15,"-",WORLDCUP!AF15)</f>
        <v>Canada-Qatar</v>
      </c>
      <c r="L33" s="53"/>
      <c r="M33" s="55" t="str">
        <f>IF(OR(WORLDCUP!AC15="",WORLDCUP!AD15=""),"-",N33&amp;"|"&amp;O33&amp;"-"&amp;P33)</f>
        <v>1|6-0</v>
      </c>
      <c r="N33" s="25" t="str">
        <f>IF(OR(WORLDCUP!AC15="",WORLDCUP!AD15=""),"",IF(WORLDCUP!AC15&gt;WORLDCUP!AD15,"1",IF(WORLDCUP!AC15&lt;WORLDCUP!AD15,"2","X")))</f>
        <v>1</v>
      </c>
      <c r="O33" s="25">
        <f>WORLDCUP!AC15</f>
        <v>6</v>
      </c>
      <c r="P33" s="25">
        <f>WORLDCUP!AD15</f>
        <v>0</v>
      </c>
      <c r="Q33" s="25">
        <f t="shared" si="201"/>
        <v>6</v>
      </c>
      <c r="R33" s="49"/>
      <c r="S33" s="74" t="s">
        <v>1955</v>
      </c>
      <c r="T33" s="73">
        <f t="shared" si="209"/>
        <v>0</v>
      </c>
      <c r="U33" s="65"/>
      <c r="V33" s="74" t="s">
        <v>1957</v>
      </c>
      <c r="W33" s="73">
        <f t="shared" si="199"/>
        <v>0</v>
      </c>
      <c r="X33" s="65"/>
      <c r="Y33" s="74" t="s">
        <v>1950</v>
      </c>
      <c r="Z33" s="73">
        <f t="shared" si="212"/>
        <v>10</v>
      </c>
      <c r="AA33" s="65"/>
      <c r="AB33" s="74" t="s">
        <v>1950</v>
      </c>
      <c r="AC33" s="73">
        <f t="shared" si="212"/>
        <v>10</v>
      </c>
      <c r="AD33" s="65"/>
      <c r="AE33" s="74" t="s">
        <v>1950</v>
      </c>
      <c r="AF33" s="73">
        <f t="shared" si="212"/>
        <v>10</v>
      </c>
      <c r="AG33" s="65"/>
      <c r="AH33" s="74" t="s">
        <v>1959</v>
      </c>
      <c r="AI33" s="73">
        <f t="shared" si="212"/>
        <v>10</v>
      </c>
      <c r="AJ33" s="65"/>
      <c r="AK33" s="74" t="s">
        <v>1954</v>
      </c>
      <c r="AL33" s="73">
        <f t="shared" si="212"/>
        <v>10</v>
      </c>
      <c r="AM33" s="65"/>
      <c r="AN33" s="74" t="s">
        <v>1950</v>
      </c>
      <c r="AO33" s="73">
        <f t="shared" si="212"/>
        <v>10</v>
      </c>
      <c r="AP33" s="65"/>
      <c r="AQ33" s="74" t="s">
        <v>1950</v>
      </c>
      <c r="AR33" s="73">
        <f t="shared" si="212"/>
        <v>10</v>
      </c>
      <c r="AS33" s="65"/>
      <c r="AT33" s="74" t="s">
        <v>1950</v>
      </c>
      <c r="AU33" s="73">
        <f t="shared" si="212"/>
        <v>10</v>
      </c>
      <c r="AV33" s="65"/>
      <c r="AW33" s="74" t="s">
        <v>1950</v>
      </c>
      <c r="AX33" s="73">
        <f t="shared" si="212"/>
        <v>10</v>
      </c>
      <c r="AY33" s="65"/>
      <c r="AZ33" s="74" t="s">
        <v>1950</v>
      </c>
      <c r="BA33" s="73">
        <f t="shared" si="212"/>
        <v>10</v>
      </c>
      <c r="BB33" s="65"/>
      <c r="BC33" s="74" t="s">
        <v>1957</v>
      </c>
      <c r="BD33" s="73">
        <f t="shared" si="212"/>
        <v>0</v>
      </c>
      <c r="BE33" s="65"/>
      <c r="BF33" s="74" t="s">
        <v>1950</v>
      </c>
      <c r="BG33" s="73">
        <f t="shared" si="212"/>
        <v>10</v>
      </c>
      <c r="BH33" s="65"/>
      <c r="BI33" s="74" t="s">
        <v>1957</v>
      </c>
      <c r="BJ33" s="73">
        <f t="shared" si="212"/>
        <v>0</v>
      </c>
      <c r="BK33" s="65"/>
      <c r="BL33" s="74" t="s">
        <v>1950</v>
      </c>
      <c r="BM33" s="73">
        <f t="shared" si="212"/>
        <v>10</v>
      </c>
      <c r="BN33" s="65"/>
      <c r="BO33" s="74" t="s">
        <v>1950</v>
      </c>
      <c r="BP33" s="73">
        <f t="shared" si="212"/>
        <v>10</v>
      </c>
      <c r="BQ33" s="65"/>
      <c r="BR33" s="74" t="s">
        <v>1958</v>
      </c>
      <c r="BS33" s="73">
        <f t="shared" si="212"/>
        <v>10</v>
      </c>
      <c r="BT33" s="65"/>
      <c r="BU33" s="74" t="s">
        <v>1950</v>
      </c>
      <c r="BV33" s="73">
        <f t="shared" si="212"/>
        <v>10</v>
      </c>
      <c r="BW33" s="65"/>
      <c r="BX33" s="74" t="s">
        <v>1959</v>
      </c>
      <c r="BY33" s="73">
        <f t="shared" si="212"/>
        <v>10</v>
      </c>
      <c r="BZ33" s="65"/>
      <c r="CA33" s="74" t="s">
        <v>1954</v>
      </c>
      <c r="CB33" s="73">
        <f t="shared" si="212"/>
        <v>10</v>
      </c>
      <c r="CC33" s="65"/>
      <c r="CD33" s="74" t="s">
        <v>1957</v>
      </c>
      <c r="CE33" s="73">
        <f t="shared" si="212"/>
        <v>0</v>
      </c>
      <c r="CF33" s="65"/>
      <c r="CG33" s="74" t="s">
        <v>1958</v>
      </c>
      <c r="CH33" s="73">
        <f t="shared" si="212"/>
        <v>10</v>
      </c>
      <c r="CI33" s="65"/>
      <c r="CJ33" s="74" t="s">
        <v>1954</v>
      </c>
      <c r="CK33" s="73">
        <f t="shared" si="210"/>
        <v>10</v>
      </c>
      <c r="CL33" s="65"/>
      <c r="CM33" s="74" t="s">
        <v>1950</v>
      </c>
      <c r="CN33" s="73">
        <f t="shared" si="210"/>
        <v>10</v>
      </c>
      <c r="CO33" s="65"/>
      <c r="CP33" s="74" t="s">
        <v>1959</v>
      </c>
      <c r="CQ33" s="73">
        <f t="shared" si="210"/>
        <v>10</v>
      </c>
      <c r="CR33" s="65"/>
      <c r="CS33" s="74" t="s">
        <v>1953</v>
      </c>
      <c r="CT33" s="73">
        <f t="shared" si="210"/>
        <v>0</v>
      </c>
      <c r="CU33" s="65"/>
      <c r="CV33" s="74" t="s">
        <v>1958</v>
      </c>
      <c r="CW33" s="73">
        <f t="shared" si="210"/>
        <v>10</v>
      </c>
      <c r="CX33" s="65"/>
      <c r="CY33" s="74" t="s">
        <v>2000</v>
      </c>
      <c r="CZ33" s="73">
        <f t="shared" si="210"/>
        <v>0</v>
      </c>
      <c r="DA33" s="65"/>
      <c r="DB33" s="74" t="s">
        <v>2000</v>
      </c>
      <c r="DC33" s="73">
        <f t="shared" si="210"/>
        <v>0</v>
      </c>
      <c r="DD33" s="65"/>
      <c r="DE33" s="74" t="s">
        <v>1954</v>
      </c>
      <c r="DF33" s="73">
        <f t="shared" si="210"/>
        <v>10</v>
      </c>
      <c r="DG33" s="65"/>
      <c r="DH33" s="74" t="s">
        <v>1954</v>
      </c>
      <c r="DI33" s="73">
        <f t="shared" si="210"/>
        <v>10</v>
      </c>
      <c r="DJ33" s="65"/>
      <c r="DK33" s="74" t="s">
        <v>1950</v>
      </c>
      <c r="DL33" s="73">
        <f t="shared" si="210"/>
        <v>10</v>
      </c>
      <c r="DM33" s="65"/>
      <c r="DN33" s="74" t="s">
        <v>1958</v>
      </c>
      <c r="DO33" s="73">
        <f t="shared" si="210"/>
        <v>10</v>
      </c>
      <c r="DP33" s="65"/>
      <c r="DQ33" s="74" t="s">
        <v>1957</v>
      </c>
      <c r="DR33" s="73">
        <f t="shared" si="210"/>
        <v>0</v>
      </c>
      <c r="DS33" s="65"/>
      <c r="DT33" s="74" t="s">
        <v>1954</v>
      </c>
      <c r="DU33" s="73">
        <f t="shared" si="210"/>
        <v>10</v>
      </c>
      <c r="DV33" s="65"/>
      <c r="DW33" s="74" t="s">
        <v>1949</v>
      </c>
      <c r="DX33" s="73">
        <f t="shared" si="214"/>
        <v>10</v>
      </c>
      <c r="DY33" s="65"/>
      <c r="DZ33" s="74" t="s">
        <v>1950</v>
      </c>
      <c r="EA33" s="73">
        <f t="shared" si="214"/>
        <v>10</v>
      </c>
      <c r="EB33" s="65"/>
      <c r="EC33" s="74" t="s">
        <v>1958</v>
      </c>
      <c r="ED33" s="73">
        <f t="shared" si="214"/>
        <v>10</v>
      </c>
      <c r="EE33" s="65"/>
      <c r="EF33" s="74" t="s">
        <v>1955</v>
      </c>
      <c r="EG33" s="73">
        <f t="shared" si="214"/>
        <v>0</v>
      </c>
      <c r="EH33" s="65"/>
      <c r="EI33" s="74" t="s">
        <v>1950</v>
      </c>
      <c r="EJ33" s="73">
        <f t="shared" si="214"/>
        <v>10</v>
      </c>
      <c r="EK33" s="65"/>
      <c r="EL33" s="74" t="s">
        <v>1959</v>
      </c>
      <c r="EM33" s="73">
        <f t="shared" si="214"/>
        <v>10</v>
      </c>
      <c r="EN33" s="65"/>
      <c r="EO33" s="74" t="s">
        <v>1950</v>
      </c>
      <c r="EP33" s="73">
        <f t="shared" si="214"/>
        <v>10</v>
      </c>
      <c r="EQ33" s="65"/>
      <c r="ER33" s="74" t="s">
        <v>1950</v>
      </c>
      <c r="ES33" s="73">
        <f t="shared" si="214"/>
        <v>10</v>
      </c>
      <c r="ET33" s="65"/>
      <c r="EU33" s="74" t="s">
        <v>1950</v>
      </c>
      <c r="EV33" s="73">
        <f t="shared" si="214"/>
        <v>10</v>
      </c>
      <c r="EW33" s="65"/>
      <c r="EX33" s="74" t="s">
        <v>1959</v>
      </c>
      <c r="EY33" s="73">
        <f t="shared" si="214"/>
        <v>10</v>
      </c>
      <c r="EZ33" s="65"/>
      <c r="FA33" s="74" t="s">
        <v>1950</v>
      </c>
      <c r="FB33" s="73">
        <f t="shared" si="214"/>
        <v>10</v>
      </c>
      <c r="FC33" s="65"/>
      <c r="FD33" s="74" t="s">
        <v>1959</v>
      </c>
      <c r="FE33" s="73">
        <f t="shared" si="214"/>
        <v>10</v>
      </c>
      <c r="FF33" s="65"/>
      <c r="FG33" s="74" t="s">
        <v>1959</v>
      </c>
      <c r="FH33" s="73">
        <f t="shared" si="214"/>
        <v>10</v>
      </c>
      <c r="FI33" s="65"/>
      <c r="FJ33" s="74" t="s">
        <v>1950</v>
      </c>
      <c r="FK33" s="73">
        <f t="shared" si="214"/>
        <v>10</v>
      </c>
      <c r="FL33" s="65"/>
      <c r="FM33" s="74" t="s">
        <v>1959</v>
      </c>
      <c r="FN33" s="73">
        <f t="shared" si="214"/>
        <v>10</v>
      </c>
      <c r="FO33" s="65"/>
      <c r="FP33" s="74" t="s">
        <v>1959</v>
      </c>
      <c r="FQ33" s="73">
        <f t="shared" si="214"/>
        <v>10</v>
      </c>
      <c r="FR33" s="65"/>
      <c r="FS33" s="74" t="s">
        <v>1959</v>
      </c>
      <c r="FT33" s="73">
        <f t="shared" si="214"/>
        <v>10</v>
      </c>
      <c r="FU33" s="65"/>
      <c r="FV33" s="74" t="s">
        <v>1950</v>
      </c>
      <c r="FW33" s="73">
        <f t="shared" si="214"/>
        <v>10</v>
      </c>
      <c r="FX33" s="65"/>
      <c r="FY33" s="74" t="s">
        <v>1950</v>
      </c>
      <c r="FZ33" s="73">
        <f t="shared" si="214"/>
        <v>10</v>
      </c>
      <c r="GA33" s="65"/>
      <c r="GB33" s="74" t="s">
        <v>1954</v>
      </c>
      <c r="GC33" s="73">
        <f t="shared" si="214"/>
        <v>10</v>
      </c>
      <c r="GD33" s="65"/>
      <c r="GE33" s="74" t="s">
        <v>1954</v>
      </c>
      <c r="GF33" s="73">
        <f t="shared" si="214"/>
        <v>10</v>
      </c>
      <c r="GG33" s="65"/>
      <c r="GH33" s="74" t="s">
        <v>1959</v>
      </c>
      <c r="GI33" s="73">
        <f t="shared" si="214"/>
        <v>10</v>
      </c>
      <c r="GJ33" s="65"/>
      <c r="GK33" s="74" t="s">
        <v>1958</v>
      </c>
      <c r="GL33" s="73">
        <f t="shared" si="213"/>
        <v>10</v>
      </c>
      <c r="GM33" s="65"/>
      <c r="GN33" s="74"/>
      <c r="GO33" s="73">
        <f t="shared" si="213"/>
        <v>0</v>
      </c>
      <c r="GP33" s="65"/>
      <c r="GQ33" s="74"/>
      <c r="GR33" s="73">
        <f t="shared" si="213"/>
        <v>0</v>
      </c>
      <c r="GS33" s="65"/>
      <c r="GT33" s="74"/>
      <c r="GU33" s="73">
        <f t="shared" si="213"/>
        <v>0</v>
      </c>
      <c r="GV33" s="65"/>
      <c r="GW33" s="74"/>
      <c r="GX33" s="73">
        <f t="shared" si="213"/>
        <v>0</v>
      </c>
      <c r="GY33" s="65"/>
      <c r="GZ33" s="74"/>
      <c r="HA33" s="73">
        <f t="shared" si="213"/>
        <v>0</v>
      </c>
      <c r="HB33" s="65"/>
      <c r="HC33" s="74"/>
      <c r="HD33" s="73">
        <f t="shared" si="213"/>
        <v>0</v>
      </c>
      <c r="HE33" s="65"/>
      <c r="HF33" s="74"/>
      <c r="HG33" s="73">
        <f t="shared" si="213"/>
        <v>0</v>
      </c>
      <c r="HH33" s="65"/>
      <c r="HI33" s="74"/>
      <c r="HJ33" s="73">
        <f t="shared" si="213"/>
        <v>0</v>
      </c>
      <c r="HK33" s="65"/>
      <c r="HL33" s="74"/>
      <c r="HM33" s="73">
        <f t="shared" si="213"/>
        <v>0</v>
      </c>
      <c r="HN33" s="65"/>
      <c r="HO33" s="74"/>
      <c r="HP33" s="73">
        <f t="shared" si="213"/>
        <v>0</v>
      </c>
      <c r="HQ33" s="65"/>
      <c r="HR33" s="74"/>
      <c r="HS33" s="73">
        <f t="shared" si="213"/>
        <v>0</v>
      </c>
      <c r="HT33" s="65"/>
      <c r="HU33" s="74"/>
      <c r="HV33" s="73">
        <f t="shared" si="213"/>
        <v>0</v>
      </c>
      <c r="HW33" s="65"/>
      <c r="HX33" s="74"/>
      <c r="HY33" s="73">
        <f t="shared" si="213"/>
        <v>0</v>
      </c>
      <c r="HZ33" s="65"/>
      <c r="IA33" s="74"/>
      <c r="IB33" s="73">
        <f t="shared" si="211"/>
        <v>0</v>
      </c>
      <c r="IC33" s="65"/>
      <c r="ID33" s="74"/>
      <c r="IE33" s="73">
        <f t="shared" si="211"/>
        <v>0</v>
      </c>
      <c r="IF33" s="65"/>
      <c r="IG33" s="74"/>
      <c r="IH33" s="73">
        <f t="shared" si="211"/>
        <v>0</v>
      </c>
      <c r="II33" s="65"/>
      <c r="IJ33" s="74"/>
      <c r="IK33" s="73">
        <f t="shared" si="211"/>
        <v>0</v>
      </c>
      <c r="IL33" s="65"/>
      <c r="IM33" s="74"/>
      <c r="IN33" s="73">
        <f t="shared" si="211"/>
        <v>0</v>
      </c>
      <c r="IO33" s="65"/>
      <c r="IP33" s="74"/>
      <c r="IQ33" s="73">
        <f t="shared" si="211"/>
        <v>0</v>
      </c>
      <c r="IR33" s="65"/>
      <c r="IS33" s="74"/>
      <c r="IT33" s="73">
        <f t="shared" si="211"/>
        <v>0</v>
      </c>
      <c r="IU33" s="65"/>
      <c r="IV33" s="74"/>
      <c r="IW33" s="73">
        <f t="shared" si="211"/>
        <v>0</v>
      </c>
      <c r="IX33" s="65"/>
      <c r="IY33" s="74"/>
      <c r="IZ33" s="73">
        <f t="shared" si="211"/>
        <v>0</v>
      </c>
      <c r="JA33" s="65"/>
      <c r="JB33" s="74"/>
      <c r="JC33" s="73">
        <f t="shared" si="211"/>
        <v>0</v>
      </c>
      <c r="JD33" s="65"/>
      <c r="JE33" s="74"/>
      <c r="JF33" s="73">
        <f t="shared" si="211"/>
        <v>0</v>
      </c>
      <c r="JG33" s="65"/>
      <c r="JH33" s="74"/>
      <c r="JI33" s="73">
        <f t="shared" si="211"/>
        <v>0</v>
      </c>
      <c r="JJ33" s="65"/>
      <c r="JK33" s="74"/>
      <c r="JL33" s="73">
        <f t="shared" si="211"/>
        <v>0</v>
      </c>
      <c r="JM33" s="65"/>
      <c r="JN33" s="74"/>
      <c r="JO33" s="73">
        <f t="shared" si="211"/>
        <v>0</v>
      </c>
      <c r="JP33" s="65"/>
      <c r="JQ33" s="74"/>
      <c r="JR33" s="73">
        <f t="shared" si="211"/>
        <v>0</v>
      </c>
      <c r="JS33" s="65"/>
      <c r="JT33" s="74"/>
      <c r="JU33" s="73">
        <f t="shared" si="211"/>
        <v>0</v>
      </c>
      <c r="JV33" s="65"/>
      <c r="JW33" s="74"/>
      <c r="JX33" s="73">
        <f t="shared" si="211"/>
        <v>0</v>
      </c>
      <c r="JY33" s="65"/>
      <c r="JZ33" s="74"/>
      <c r="KA33" s="73">
        <f t="shared" si="211"/>
        <v>0</v>
      </c>
      <c r="KB33" s="65"/>
      <c r="KC33" s="74"/>
      <c r="KD33" s="73">
        <f t="shared" si="211"/>
        <v>0</v>
      </c>
      <c r="KE33" s="65"/>
      <c r="KF33" s="74"/>
      <c r="KG33" s="73">
        <f t="shared" si="211"/>
        <v>0</v>
      </c>
      <c r="KH33" s="65"/>
      <c r="KI33" s="74"/>
      <c r="KJ33" s="73">
        <f t="shared" si="211"/>
        <v>0</v>
      </c>
      <c r="KK33" s="65"/>
      <c r="KL33" s="74"/>
      <c r="KM33" s="73">
        <f t="shared" si="211"/>
        <v>0</v>
      </c>
      <c r="KN33" s="65"/>
      <c r="KO33" s="74"/>
      <c r="KP33" s="73">
        <f t="shared" si="208"/>
        <v>0</v>
      </c>
      <c r="KQ33" s="65"/>
      <c r="KR33" s="74"/>
      <c r="KS33" s="73">
        <f t="shared" si="208"/>
        <v>0</v>
      </c>
      <c r="KT33" s="65"/>
      <c r="KU33" s="74"/>
      <c r="KV33" s="73">
        <f t="shared" si="208"/>
        <v>0</v>
      </c>
      <c r="KW33" s="65"/>
      <c r="KX33" s="74"/>
      <c r="KY33" s="73">
        <f t="shared" si="208"/>
        <v>0</v>
      </c>
      <c r="KZ33" s="65"/>
      <c r="LA33" s="74"/>
      <c r="LB33" s="73">
        <f t="shared" si="208"/>
        <v>0</v>
      </c>
      <c r="LC33" s="65"/>
      <c r="LD33" s="74"/>
      <c r="LE33" s="73">
        <f t="shared" si="208"/>
        <v>0</v>
      </c>
      <c r="LF33" s="65"/>
      <c r="LG33" s="65"/>
    </row>
    <row r="34" spans="1:319">
      <c r="A34" s="49"/>
      <c r="B34" s="49"/>
      <c r="C34" s="437" t="str">
        <f>Idiomas!D330&amp;"**"</f>
        <v>3-4 place - Goal Difference (with 1X2 correct)**</v>
      </c>
      <c r="D34" s="62">
        <v>2</v>
      </c>
      <c r="E34" s="111"/>
      <c r="F34" s="445">
        <f t="shared" si="197"/>
        <v>20</v>
      </c>
      <c r="G34" s="445">
        <f ca="1">VLOOKUP(H34,Equipos!$Q$1:$R$25,2,0)</f>
        <v>10</v>
      </c>
      <c r="H34" s="446">
        <f ca="1">TRUNC(INDEX(WORLDCUP!$X$4:$X$147,MATCH(ADMIN!K34,WORLDCUP!$DT$4:$DT$147,0))+INDEX(Horarios!$R$3:$R$86,MATCH(Horarios!$C$3,Horarios!$P$3:$P$86,0))/24)</f>
        <v>46193</v>
      </c>
      <c r="I34" s="48">
        <v>1</v>
      </c>
      <c r="J34" s="95" t="s">
        <v>120</v>
      </c>
      <c r="K34" s="53" t="str">
        <f ca="1">CONCATENATE(WORLDCUP!AA22,"-",WORLDCUP!AF22)</f>
        <v>Scotland-Morocco</v>
      </c>
      <c r="L34" s="53"/>
      <c r="M34" s="55" t="str">
        <f>IF(OR(WORLDCUP!AC22="",WORLDCUP!AD22=""),"-",N34&amp;"|"&amp;O34&amp;"-"&amp;P34)</f>
        <v>2|0-1</v>
      </c>
      <c r="N34" s="25" t="str">
        <f>IF(OR(WORLDCUP!AC22="",WORLDCUP!AD22=""),"",IF(WORLDCUP!AC22&gt;WORLDCUP!AD22,"1",IF(WORLDCUP!AC22&lt;WORLDCUP!AD22,"2","X")))</f>
        <v>2</v>
      </c>
      <c r="O34" s="25">
        <f>WORLDCUP!AC22</f>
        <v>0</v>
      </c>
      <c r="P34" s="25">
        <f>WORLDCUP!AD22</f>
        <v>1</v>
      </c>
      <c r="Q34" s="25">
        <f t="shared" si="201"/>
        <v>1</v>
      </c>
      <c r="R34" s="49"/>
      <c r="S34" s="74" t="s">
        <v>1950</v>
      </c>
      <c r="T34" s="73">
        <f t="shared" si="209"/>
        <v>0</v>
      </c>
      <c r="U34" s="65"/>
      <c r="V34" s="74" t="s">
        <v>1960</v>
      </c>
      <c r="W34" s="73">
        <f t="shared" si="199"/>
        <v>10</v>
      </c>
      <c r="X34" s="65"/>
      <c r="Y34" s="74" t="s">
        <v>1953</v>
      </c>
      <c r="Z34" s="73">
        <f t="shared" si="212"/>
        <v>12</v>
      </c>
      <c r="AA34" s="65"/>
      <c r="AB34" s="74" t="s">
        <v>1953</v>
      </c>
      <c r="AC34" s="73">
        <f t="shared" si="212"/>
        <v>12</v>
      </c>
      <c r="AD34" s="65"/>
      <c r="AE34" s="74" t="s">
        <v>1960</v>
      </c>
      <c r="AF34" s="73">
        <f t="shared" si="212"/>
        <v>10</v>
      </c>
      <c r="AG34" s="65"/>
      <c r="AH34" s="74" t="s">
        <v>1960</v>
      </c>
      <c r="AI34" s="73">
        <f t="shared" si="212"/>
        <v>10</v>
      </c>
      <c r="AJ34" s="65"/>
      <c r="AK34" s="74" t="s">
        <v>1960</v>
      </c>
      <c r="AL34" s="73">
        <f t="shared" si="212"/>
        <v>10</v>
      </c>
      <c r="AM34" s="65"/>
      <c r="AN34" s="74" t="s">
        <v>2000</v>
      </c>
      <c r="AO34" s="73">
        <f t="shared" si="212"/>
        <v>20</v>
      </c>
      <c r="AP34" s="65"/>
      <c r="AQ34" s="74" t="s">
        <v>1960</v>
      </c>
      <c r="AR34" s="73">
        <f t="shared" si="212"/>
        <v>10</v>
      </c>
      <c r="AS34" s="65"/>
      <c r="AT34" s="74" t="s">
        <v>1958</v>
      </c>
      <c r="AU34" s="73">
        <f t="shared" si="212"/>
        <v>0</v>
      </c>
      <c r="AV34" s="65"/>
      <c r="AW34" s="74" t="s">
        <v>1953</v>
      </c>
      <c r="AX34" s="73">
        <f t="shared" si="212"/>
        <v>12</v>
      </c>
      <c r="AY34" s="65"/>
      <c r="AZ34" s="74" t="s">
        <v>1960</v>
      </c>
      <c r="BA34" s="73">
        <f t="shared" si="212"/>
        <v>10</v>
      </c>
      <c r="BB34" s="65"/>
      <c r="BC34" s="74" t="s">
        <v>1946</v>
      </c>
      <c r="BD34" s="73">
        <f t="shared" si="212"/>
        <v>12</v>
      </c>
      <c r="BE34" s="65"/>
      <c r="BF34" s="74" t="s">
        <v>1959</v>
      </c>
      <c r="BG34" s="73">
        <f t="shared" si="212"/>
        <v>0</v>
      </c>
      <c r="BH34" s="65"/>
      <c r="BI34" s="74" t="s">
        <v>1960</v>
      </c>
      <c r="BJ34" s="73">
        <f t="shared" si="212"/>
        <v>10</v>
      </c>
      <c r="BK34" s="65"/>
      <c r="BL34" s="74" t="s">
        <v>1957</v>
      </c>
      <c r="BM34" s="73">
        <f t="shared" si="212"/>
        <v>0</v>
      </c>
      <c r="BN34" s="65"/>
      <c r="BO34" s="74" t="s">
        <v>1948</v>
      </c>
      <c r="BP34" s="73">
        <f t="shared" si="212"/>
        <v>10</v>
      </c>
      <c r="BQ34" s="65"/>
      <c r="BR34" s="74" t="s">
        <v>1950</v>
      </c>
      <c r="BS34" s="73">
        <f t="shared" si="212"/>
        <v>0</v>
      </c>
      <c r="BT34" s="65"/>
      <c r="BU34" s="74" t="s">
        <v>1953</v>
      </c>
      <c r="BV34" s="73">
        <f t="shared" si="212"/>
        <v>12</v>
      </c>
      <c r="BW34" s="65"/>
      <c r="BX34" s="74" t="s">
        <v>1960</v>
      </c>
      <c r="BY34" s="73">
        <f t="shared" si="212"/>
        <v>10</v>
      </c>
      <c r="BZ34" s="65"/>
      <c r="CA34" s="74" t="s">
        <v>1960</v>
      </c>
      <c r="CB34" s="73">
        <f t="shared" si="212"/>
        <v>10</v>
      </c>
      <c r="CC34" s="65"/>
      <c r="CD34" s="74" t="s">
        <v>1955</v>
      </c>
      <c r="CE34" s="73">
        <f t="shared" si="212"/>
        <v>10</v>
      </c>
      <c r="CF34" s="65"/>
      <c r="CG34" s="74" t="s">
        <v>1953</v>
      </c>
      <c r="CH34" s="73">
        <f t="shared" si="212"/>
        <v>12</v>
      </c>
      <c r="CI34" s="65"/>
      <c r="CJ34" s="74" t="s">
        <v>1957</v>
      </c>
      <c r="CK34" s="73">
        <f t="shared" si="210"/>
        <v>0</v>
      </c>
      <c r="CL34" s="65"/>
      <c r="CM34" s="74" t="s">
        <v>1960</v>
      </c>
      <c r="CN34" s="73">
        <f t="shared" si="210"/>
        <v>10</v>
      </c>
      <c r="CO34" s="65"/>
      <c r="CP34" s="74" t="s">
        <v>1960</v>
      </c>
      <c r="CQ34" s="73">
        <f t="shared" si="210"/>
        <v>10</v>
      </c>
      <c r="CR34" s="65"/>
      <c r="CS34" s="74" t="s">
        <v>1960</v>
      </c>
      <c r="CT34" s="73">
        <f t="shared" si="210"/>
        <v>10</v>
      </c>
      <c r="CU34" s="65"/>
      <c r="CV34" s="74" t="s">
        <v>1957</v>
      </c>
      <c r="CW34" s="73">
        <f t="shared" si="210"/>
        <v>0</v>
      </c>
      <c r="CX34" s="65"/>
      <c r="CY34" s="74" t="s">
        <v>1946</v>
      </c>
      <c r="CZ34" s="73">
        <f t="shared" si="210"/>
        <v>12</v>
      </c>
      <c r="DA34" s="65"/>
      <c r="DB34" s="74" t="s">
        <v>1960</v>
      </c>
      <c r="DC34" s="73">
        <f t="shared" si="210"/>
        <v>10</v>
      </c>
      <c r="DD34" s="65"/>
      <c r="DE34" s="74" t="s">
        <v>1953</v>
      </c>
      <c r="DF34" s="73">
        <f t="shared" si="210"/>
        <v>12</v>
      </c>
      <c r="DG34" s="65"/>
      <c r="DH34" s="74" t="s">
        <v>2000</v>
      </c>
      <c r="DI34" s="73">
        <f t="shared" si="210"/>
        <v>20</v>
      </c>
      <c r="DJ34" s="65"/>
      <c r="DK34" s="74" t="s">
        <v>1957</v>
      </c>
      <c r="DL34" s="73">
        <f t="shared" si="210"/>
        <v>0</v>
      </c>
      <c r="DM34" s="65"/>
      <c r="DN34" s="74" t="s">
        <v>1957</v>
      </c>
      <c r="DO34" s="73">
        <f t="shared" si="210"/>
        <v>0</v>
      </c>
      <c r="DP34" s="65"/>
      <c r="DQ34" s="74" t="s">
        <v>1957</v>
      </c>
      <c r="DR34" s="73">
        <f t="shared" si="210"/>
        <v>0</v>
      </c>
      <c r="DS34" s="65"/>
      <c r="DT34" s="74" t="s">
        <v>1957</v>
      </c>
      <c r="DU34" s="73">
        <f t="shared" si="210"/>
        <v>0</v>
      </c>
      <c r="DV34" s="65"/>
      <c r="DW34" s="74" t="s">
        <v>1960</v>
      </c>
      <c r="DX34" s="73">
        <f t="shared" si="214"/>
        <v>10</v>
      </c>
      <c r="DY34" s="65"/>
      <c r="DZ34" s="74" t="s">
        <v>1957</v>
      </c>
      <c r="EA34" s="73">
        <f t="shared" si="214"/>
        <v>0</v>
      </c>
      <c r="EB34" s="65"/>
      <c r="EC34" s="74" t="s">
        <v>1953</v>
      </c>
      <c r="ED34" s="73">
        <f t="shared" si="214"/>
        <v>12</v>
      </c>
      <c r="EE34" s="65"/>
      <c r="EF34" s="74" t="s">
        <v>1955</v>
      </c>
      <c r="EG34" s="73">
        <f t="shared" si="214"/>
        <v>10</v>
      </c>
      <c r="EH34" s="65"/>
      <c r="EI34" s="74" t="s">
        <v>1953</v>
      </c>
      <c r="EJ34" s="73">
        <f t="shared" si="214"/>
        <v>12</v>
      </c>
      <c r="EK34" s="65"/>
      <c r="EL34" s="74" t="s">
        <v>1953</v>
      </c>
      <c r="EM34" s="73">
        <f t="shared" si="214"/>
        <v>12</v>
      </c>
      <c r="EN34" s="65"/>
      <c r="EO34" s="74" t="s">
        <v>1960</v>
      </c>
      <c r="EP34" s="73">
        <f t="shared" si="214"/>
        <v>10</v>
      </c>
      <c r="EQ34" s="65"/>
      <c r="ER34" s="74" t="s">
        <v>1960</v>
      </c>
      <c r="ES34" s="73">
        <f t="shared" si="214"/>
        <v>10</v>
      </c>
      <c r="ET34" s="65"/>
      <c r="EU34" s="74" t="s">
        <v>1953</v>
      </c>
      <c r="EV34" s="73">
        <f t="shared" si="214"/>
        <v>12</v>
      </c>
      <c r="EW34" s="65"/>
      <c r="EX34" s="74" t="s">
        <v>1953</v>
      </c>
      <c r="EY34" s="73">
        <f t="shared" si="214"/>
        <v>12</v>
      </c>
      <c r="EZ34" s="65"/>
      <c r="FA34" s="74" t="s">
        <v>1960</v>
      </c>
      <c r="FB34" s="73">
        <f t="shared" si="214"/>
        <v>10</v>
      </c>
      <c r="FC34" s="65"/>
      <c r="FD34" s="74" t="s">
        <v>1954</v>
      </c>
      <c r="FE34" s="73">
        <f t="shared" si="214"/>
        <v>0</v>
      </c>
      <c r="FF34" s="65"/>
      <c r="FG34" s="74" t="s">
        <v>1955</v>
      </c>
      <c r="FH34" s="73">
        <f t="shared" si="214"/>
        <v>10</v>
      </c>
      <c r="FI34" s="65"/>
      <c r="FJ34" s="74" t="s">
        <v>2000</v>
      </c>
      <c r="FK34" s="73">
        <f t="shared" si="214"/>
        <v>20</v>
      </c>
      <c r="FL34" s="65"/>
      <c r="FM34" s="74" t="s">
        <v>1953</v>
      </c>
      <c r="FN34" s="73">
        <f t="shared" si="214"/>
        <v>12</v>
      </c>
      <c r="FO34" s="65"/>
      <c r="FP34" s="74" t="s">
        <v>2000</v>
      </c>
      <c r="FQ34" s="73">
        <f t="shared" si="214"/>
        <v>20</v>
      </c>
      <c r="FR34" s="65"/>
      <c r="FS34" s="74" t="s">
        <v>1957</v>
      </c>
      <c r="FT34" s="73">
        <f t="shared" si="214"/>
        <v>0</v>
      </c>
      <c r="FU34" s="65"/>
      <c r="FV34" s="74" t="s">
        <v>1953</v>
      </c>
      <c r="FW34" s="73">
        <f t="shared" si="214"/>
        <v>12</v>
      </c>
      <c r="FX34" s="65"/>
      <c r="FY34" s="74" t="s">
        <v>1957</v>
      </c>
      <c r="FZ34" s="73">
        <f t="shared" si="214"/>
        <v>0</v>
      </c>
      <c r="GA34" s="65"/>
      <c r="GB34" s="74" t="s">
        <v>1953</v>
      </c>
      <c r="GC34" s="73">
        <f t="shared" si="214"/>
        <v>12</v>
      </c>
      <c r="GD34" s="65"/>
      <c r="GE34" s="74" t="s">
        <v>1953</v>
      </c>
      <c r="GF34" s="73">
        <f t="shared" si="214"/>
        <v>12</v>
      </c>
      <c r="GG34" s="65"/>
      <c r="GH34" s="74" t="s">
        <v>1955</v>
      </c>
      <c r="GI34" s="73">
        <f t="shared" si="214"/>
        <v>10</v>
      </c>
      <c r="GJ34" s="65"/>
      <c r="GK34" s="74" t="s">
        <v>1955</v>
      </c>
      <c r="GL34" s="73">
        <f t="shared" si="213"/>
        <v>10</v>
      </c>
      <c r="GM34" s="65"/>
      <c r="GN34" s="74"/>
      <c r="GO34" s="73">
        <f t="shared" si="213"/>
        <v>0</v>
      </c>
      <c r="GP34" s="65"/>
      <c r="GQ34" s="74"/>
      <c r="GR34" s="73">
        <f t="shared" si="213"/>
        <v>0</v>
      </c>
      <c r="GS34" s="65"/>
      <c r="GT34" s="74"/>
      <c r="GU34" s="73">
        <f t="shared" si="213"/>
        <v>0</v>
      </c>
      <c r="GV34" s="65"/>
      <c r="GW34" s="74"/>
      <c r="GX34" s="73">
        <f t="shared" si="213"/>
        <v>0</v>
      </c>
      <c r="GY34" s="65"/>
      <c r="GZ34" s="74"/>
      <c r="HA34" s="73">
        <f t="shared" si="213"/>
        <v>0</v>
      </c>
      <c r="HB34" s="65"/>
      <c r="HC34" s="74"/>
      <c r="HD34" s="73">
        <f t="shared" si="213"/>
        <v>0</v>
      </c>
      <c r="HE34" s="65"/>
      <c r="HF34" s="74"/>
      <c r="HG34" s="73">
        <f t="shared" si="213"/>
        <v>0</v>
      </c>
      <c r="HH34" s="65"/>
      <c r="HI34" s="74"/>
      <c r="HJ34" s="73">
        <f t="shared" si="213"/>
        <v>0</v>
      </c>
      <c r="HK34" s="65"/>
      <c r="HL34" s="74"/>
      <c r="HM34" s="73">
        <f t="shared" si="213"/>
        <v>0</v>
      </c>
      <c r="HN34" s="65"/>
      <c r="HO34" s="74"/>
      <c r="HP34" s="73">
        <f t="shared" si="213"/>
        <v>0</v>
      </c>
      <c r="HQ34" s="65"/>
      <c r="HR34" s="74"/>
      <c r="HS34" s="73">
        <f t="shared" si="213"/>
        <v>0</v>
      </c>
      <c r="HT34" s="65"/>
      <c r="HU34" s="74"/>
      <c r="HV34" s="73">
        <f t="shared" si="213"/>
        <v>0</v>
      </c>
      <c r="HW34" s="65"/>
      <c r="HX34" s="74"/>
      <c r="HY34" s="73">
        <f t="shared" si="213"/>
        <v>0</v>
      </c>
      <c r="HZ34" s="65"/>
      <c r="IA34" s="74"/>
      <c r="IB34" s="73">
        <f t="shared" si="211"/>
        <v>0</v>
      </c>
      <c r="IC34" s="65"/>
      <c r="ID34" s="74"/>
      <c r="IE34" s="73">
        <f t="shared" si="211"/>
        <v>0</v>
      </c>
      <c r="IF34" s="65"/>
      <c r="IG34" s="74"/>
      <c r="IH34" s="73">
        <f t="shared" si="211"/>
        <v>0</v>
      </c>
      <c r="II34" s="65"/>
      <c r="IJ34" s="74"/>
      <c r="IK34" s="73">
        <f t="shared" si="211"/>
        <v>0</v>
      </c>
      <c r="IL34" s="65"/>
      <c r="IM34" s="74"/>
      <c r="IN34" s="73">
        <f t="shared" si="211"/>
        <v>0</v>
      </c>
      <c r="IO34" s="65"/>
      <c r="IP34" s="74"/>
      <c r="IQ34" s="73">
        <f t="shared" si="211"/>
        <v>0</v>
      </c>
      <c r="IR34" s="65"/>
      <c r="IS34" s="74"/>
      <c r="IT34" s="73">
        <f t="shared" si="211"/>
        <v>0</v>
      </c>
      <c r="IU34" s="65"/>
      <c r="IV34" s="74"/>
      <c r="IW34" s="73">
        <f t="shared" si="211"/>
        <v>0</v>
      </c>
      <c r="IX34" s="65"/>
      <c r="IY34" s="74"/>
      <c r="IZ34" s="73">
        <f t="shared" si="211"/>
        <v>0</v>
      </c>
      <c r="JA34" s="65"/>
      <c r="JB34" s="74"/>
      <c r="JC34" s="73">
        <f t="shared" si="211"/>
        <v>0</v>
      </c>
      <c r="JD34" s="65"/>
      <c r="JE34" s="74"/>
      <c r="JF34" s="73">
        <f t="shared" si="211"/>
        <v>0</v>
      </c>
      <c r="JG34" s="65"/>
      <c r="JH34" s="74"/>
      <c r="JI34" s="73">
        <f t="shared" si="211"/>
        <v>0</v>
      </c>
      <c r="JJ34" s="65"/>
      <c r="JK34" s="74"/>
      <c r="JL34" s="73">
        <f t="shared" si="211"/>
        <v>0</v>
      </c>
      <c r="JM34" s="65"/>
      <c r="JN34" s="74"/>
      <c r="JO34" s="73">
        <f t="shared" si="211"/>
        <v>0</v>
      </c>
      <c r="JP34" s="65"/>
      <c r="JQ34" s="74"/>
      <c r="JR34" s="73">
        <f t="shared" si="211"/>
        <v>0</v>
      </c>
      <c r="JS34" s="65"/>
      <c r="JT34" s="74"/>
      <c r="JU34" s="73">
        <f t="shared" si="211"/>
        <v>0</v>
      </c>
      <c r="JV34" s="65"/>
      <c r="JW34" s="74"/>
      <c r="JX34" s="73">
        <f t="shared" si="211"/>
        <v>0</v>
      </c>
      <c r="JY34" s="65"/>
      <c r="JZ34" s="74"/>
      <c r="KA34" s="73">
        <f t="shared" si="211"/>
        <v>0</v>
      </c>
      <c r="KB34" s="65"/>
      <c r="KC34" s="74"/>
      <c r="KD34" s="73">
        <f t="shared" si="211"/>
        <v>0</v>
      </c>
      <c r="KE34" s="65"/>
      <c r="KF34" s="74"/>
      <c r="KG34" s="73">
        <f t="shared" si="211"/>
        <v>0</v>
      </c>
      <c r="KH34" s="65"/>
      <c r="KI34" s="74"/>
      <c r="KJ34" s="73">
        <f t="shared" si="211"/>
        <v>0</v>
      </c>
      <c r="KK34" s="65"/>
      <c r="KL34" s="74"/>
      <c r="KM34" s="73">
        <f t="shared" si="211"/>
        <v>0</v>
      </c>
      <c r="KN34" s="65"/>
      <c r="KO34" s="74"/>
      <c r="KP34" s="73">
        <f t="shared" si="208"/>
        <v>0</v>
      </c>
      <c r="KQ34" s="65"/>
      <c r="KR34" s="74"/>
      <c r="KS34" s="73">
        <f t="shared" si="208"/>
        <v>0</v>
      </c>
      <c r="KT34" s="65"/>
      <c r="KU34" s="74"/>
      <c r="KV34" s="73">
        <f t="shared" si="208"/>
        <v>0</v>
      </c>
      <c r="KW34" s="65"/>
      <c r="KX34" s="74"/>
      <c r="KY34" s="73">
        <f t="shared" si="208"/>
        <v>0</v>
      </c>
      <c r="KZ34" s="65"/>
      <c r="LA34" s="74"/>
      <c r="LB34" s="73">
        <f t="shared" si="208"/>
        <v>0</v>
      </c>
      <c r="LC34" s="65"/>
      <c r="LD34" s="74"/>
      <c r="LE34" s="73">
        <f t="shared" si="208"/>
        <v>0</v>
      </c>
      <c r="LF34" s="65"/>
      <c r="LG34" s="65"/>
    </row>
    <row r="35" spans="1:319">
      <c r="A35" s="49"/>
      <c r="B35" s="49"/>
      <c r="C35" s="439" t="str">
        <f>Idiomas!D331</f>
        <v>3-4 place - Exact Result</v>
      </c>
      <c r="D35" s="45">
        <v>8</v>
      </c>
      <c r="E35" s="111"/>
      <c r="F35" s="445">
        <f t="shared" si="197"/>
        <v>20</v>
      </c>
      <c r="G35" s="445">
        <f ca="1">VLOOKUP(H35,Equipos!$Q$1:$R$25,2,0)</f>
        <v>10</v>
      </c>
      <c r="H35" s="446">
        <f ca="1">TRUNC(INDEX(WORLDCUP!$X$4:$X$147,MATCH(ADMIN!K35,WORLDCUP!$DT$4:$DT$147,0))+INDEX(Horarios!$R$3:$R$86,MATCH(Horarios!$C$3,Horarios!$P$3:$P$86,0))/24)</f>
        <v>46193</v>
      </c>
      <c r="I35" s="48">
        <v>1</v>
      </c>
      <c r="J35" s="95" t="s">
        <v>120</v>
      </c>
      <c r="K35" s="56" t="str">
        <f ca="1">CONCATENATE(WORLDCUP!AA23,"-",WORLDCUP!AF23)</f>
        <v>Brazil-Haiti</v>
      </c>
      <c r="L35" s="53"/>
      <c r="M35" s="55" t="str">
        <f>IF(OR(WORLDCUP!AC23="",WORLDCUP!AD23=""),"-",N35&amp;"|"&amp;O35&amp;"-"&amp;P35)</f>
        <v>1|3-0</v>
      </c>
      <c r="N35" s="25" t="str">
        <f>IF(OR(WORLDCUP!AC23="",WORLDCUP!AD23=""),"",IF(WORLDCUP!AC23&gt;WORLDCUP!AD23,"1",IF(WORLDCUP!AC23&lt;WORLDCUP!AD23,"2","X")))</f>
        <v>1</v>
      </c>
      <c r="O35" s="25">
        <f>WORLDCUP!AC23</f>
        <v>3</v>
      </c>
      <c r="P35" s="25">
        <f>WORLDCUP!AD23</f>
        <v>0</v>
      </c>
      <c r="Q35" s="25">
        <f t="shared" si="201"/>
        <v>3</v>
      </c>
      <c r="R35" s="49"/>
      <c r="S35" s="74" t="s">
        <v>1945</v>
      </c>
      <c r="T35" s="73">
        <f t="shared" si="209"/>
        <v>12</v>
      </c>
      <c r="U35" s="65"/>
      <c r="V35" s="74" t="s">
        <v>1947</v>
      </c>
      <c r="W35" s="73">
        <f t="shared" si="199"/>
        <v>10</v>
      </c>
      <c r="X35" s="65"/>
      <c r="Y35" s="74" t="s">
        <v>1958</v>
      </c>
      <c r="Z35" s="73">
        <f t="shared" si="212"/>
        <v>20</v>
      </c>
      <c r="AA35" s="65"/>
      <c r="AB35" s="74" t="s">
        <v>1958</v>
      </c>
      <c r="AC35" s="73">
        <f t="shared" si="212"/>
        <v>20</v>
      </c>
      <c r="AD35" s="65"/>
      <c r="AE35" s="74" t="s">
        <v>1947</v>
      </c>
      <c r="AF35" s="73">
        <f t="shared" si="212"/>
        <v>10</v>
      </c>
      <c r="AG35" s="65"/>
      <c r="AH35" s="74" t="s">
        <v>2132</v>
      </c>
      <c r="AI35" s="73">
        <f t="shared" si="212"/>
        <v>10</v>
      </c>
      <c r="AJ35" s="65"/>
      <c r="AK35" s="74" t="s">
        <v>1958</v>
      </c>
      <c r="AL35" s="73">
        <f t="shared" si="212"/>
        <v>20</v>
      </c>
      <c r="AM35" s="65"/>
      <c r="AN35" s="74" t="s">
        <v>1958</v>
      </c>
      <c r="AO35" s="73">
        <f t="shared" si="212"/>
        <v>20</v>
      </c>
      <c r="AP35" s="65"/>
      <c r="AQ35" s="74" t="s">
        <v>2132</v>
      </c>
      <c r="AR35" s="73">
        <f t="shared" si="212"/>
        <v>10</v>
      </c>
      <c r="AS35" s="65"/>
      <c r="AT35" s="74" t="s">
        <v>2132</v>
      </c>
      <c r="AU35" s="73">
        <f t="shared" si="212"/>
        <v>10</v>
      </c>
      <c r="AV35" s="65"/>
      <c r="AW35" s="74" t="s">
        <v>2278</v>
      </c>
      <c r="AX35" s="73">
        <f t="shared" si="212"/>
        <v>10</v>
      </c>
      <c r="AY35" s="65"/>
      <c r="AZ35" s="74" t="s">
        <v>1958</v>
      </c>
      <c r="BA35" s="73">
        <f t="shared" si="212"/>
        <v>20</v>
      </c>
      <c r="BB35" s="65"/>
      <c r="BC35" s="74" t="s">
        <v>1958</v>
      </c>
      <c r="BD35" s="73">
        <f t="shared" si="212"/>
        <v>20</v>
      </c>
      <c r="BE35" s="65"/>
      <c r="BF35" s="74" t="s">
        <v>1947</v>
      </c>
      <c r="BG35" s="73">
        <f t="shared" si="212"/>
        <v>10</v>
      </c>
      <c r="BH35" s="65"/>
      <c r="BI35" s="74" t="s">
        <v>1958</v>
      </c>
      <c r="BJ35" s="73">
        <f t="shared" si="212"/>
        <v>20</v>
      </c>
      <c r="BK35" s="65"/>
      <c r="BL35" s="74" t="s">
        <v>1950</v>
      </c>
      <c r="BM35" s="73">
        <f t="shared" si="212"/>
        <v>10</v>
      </c>
      <c r="BN35" s="65"/>
      <c r="BO35" s="74" t="s">
        <v>1947</v>
      </c>
      <c r="BP35" s="73">
        <f t="shared" si="212"/>
        <v>10</v>
      </c>
      <c r="BQ35" s="65"/>
      <c r="BR35" s="74" t="s">
        <v>2278</v>
      </c>
      <c r="BS35" s="73">
        <f t="shared" si="212"/>
        <v>10</v>
      </c>
      <c r="BT35" s="65"/>
      <c r="BU35" s="74" t="s">
        <v>1958</v>
      </c>
      <c r="BV35" s="73">
        <f t="shared" si="212"/>
        <v>20</v>
      </c>
      <c r="BW35" s="65"/>
      <c r="BX35" s="74" t="s">
        <v>1958</v>
      </c>
      <c r="BY35" s="73">
        <f t="shared" si="212"/>
        <v>20</v>
      </c>
      <c r="BZ35" s="65"/>
      <c r="CA35" s="74" t="s">
        <v>1949</v>
      </c>
      <c r="CB35" s="73">
        <f t="shared" si="212"/>
        <v>10</v>
      </c>
      <c r="CC35" s="65"/>
      <c r="CD35" s="74" t="s">
        <v>1950</v>
      </c>
      <c r="CE35" s="73">
        <f t="shared" si="212"/>
        <v>10</v>
      </c>
      <c r="CF35" s="65"/>
      <c r="CG35" s="74" t="s">
        <v>1947</v>
      </c>
      <c r="CH35" s="73">
        <f t="shared" si="212"/>
        <v>10</v>
      </c>
      <c r="CI35" s="65"/>
      <c r="CJ35" s="74" t="s">
        <v>1949</v>
      </c>
      <c r="CK35" s="73">
        <f t="shared" si="210"/>
        <v>10</v>
      </c>
      <c r="CL35" s="65"/>
      <c r="CM35" s="74" t="s">
        <v>1947</v>
      </c>
      <c r="CN35" s="73">
        <f t="shared" si="210"/>
        <v>10</v>
      </c>
      <c r="CO35" s="65"/>
      <c r="CP35" s="74" t="s">
        <v>1958</v>
      </c>
      <c r="CQ35" s="73">
        <f t="shared" si="210"/>
        <v>20</v>
      </c>
      <c r="CR35" s="65"/>
      <c r="CS35" s="74" t="s">
        <v>2132</v>
      </c>
      <c r="CT35" s="73">
        <f t="shared" si="210"/>
        <v>10</v>
      </c>
      <c r="CU35" s="65"/>
      <c r="CV35" s="74" t="s">
        <v>2132</v>
      </c>
      <c r="CW35" s="73">
        <f t="shared" si="210"/>
        <v>10</v>
      </c>
      <c r="CX35" s="65"/>
      <c r="CY35" s="74" t="s">
        <v>1952</v>
      </c>
      <c r="CZ35" s="73">
        <f t="shared" si="210"/>
        <v>10</v>
      </c>
      <c r="DA35" s="65"/>
      <c r="DB35" s="74" t="s">
        <v>2696</v>
      </c>
      <c r="DC35" s="73">
        <f t="shared" si="210"/>
        <v>10</v>
      </c>
      <c r="DD35" s="65"/>
      <c r="DE35" s="74" t="s">
        <v>2696</v>
      </c>
      <c r="DF35" s="73">
        <f t="shared" si="210"/>
        <v>10</v>
      </c>
      <c r="DG35" s="65"/>
      <c r="DH35" s="74" t="s">
        <v>1945</v>
      </c>
      <c r="DI35" s="73">
        <f t="shared" si="210"/>
        <v>12</v>
      </c>
      <c r="DJ35" s="65"/>
      <c r="DK35" s="74" t="s">
        <v>1958</v>
      </c>
      <c r="DL35" s="73">
        <f t="shared" si="210"/>
        <v>20</v>
      </c>
      <c r="DM35" s="65"/>
      <c r="DN35" s="74" t="s">
        <v>2132</v>
      </c>
      <c r="DO35" s="73">
        <f t="shared" si="210"/>
        <v>10</v>
      </c>
      <c r="DP35" s="65"/>
      <c r="DQ35" s="74" t="s">
        <v>1950</v>
      </c>
      <c r="DR35" s="73">
        <f t="shared" si="210"/>
        <v>10</v>
      </c>
      <c r="DS35" s="65"/>
      <c r="DT35" s="74" t="s">
        <v>1947</v>
      </c>
      <c r="DU35" s="73">
        <f t="shared" si="210"/>
        <v>10</v>
      </c>
      <c r="DV35" s="65"/>
      <c r="DW35" s="74" t="s">
        <v>1947</v>
      </c>
      <c r="DX35" s="73">
        <f t="shared" si="214"/>
        <v>10</v>
      </c>
      <c r="DY35" s="65"/>
      <c r="DZ35" s="74" t="s">
        <v>1947</v>
      </c>
      <c r="EA35" s="73">
        <f t="shared" si="214"/>
        <v>10</v>
      </c>
      <c r="EB35" s="65"/>
      <c r="EC35" s="74" t="s">
        <v>1947</v>
      </c>
      <c r="ED35" s="73">
        <f t="shared" si="214"/>
        <v>10</v>
      </c>
      <c r="EE35" s="65"/>
      <c r="EF35" s="74" t="s">
        <v>1947</v>
      </c>
      <c r="EG35" s="73">
        <f t="shared" si="214"/>
        <v>10</v>
      </c>
      <c r="EH35" s="65"/>
      <c r="EI35" s="74" t="s">
        <v>1958</v>
      </c>
      <c r="EJ35" s="73">
        <f t="shared" si="214"/>
        <v>20</v>
      </c>
      <c r="EK35" s="65"/>
      <c r="EL35" s="74" t="s">
        <v>1947</v>
      </c>
      <c r="EM35" s="73">
        <f t="shared" si="214"/>
        <v>10</v>
      </c>
      <c r="EN35" s="65"/>
      <c r="EO35" s="74" t="s">
        <v>1950</v>
      </c>
      <c r="EP35" s="73">
        <f t="shared" si="214"/>
        <v>10</v>
      </c>
      <c r="EQ35" s="65"/>
      <c r="ER35" s="74" t="s">
        <v>1947</v>
      </c>
      <c r="ES35" s="73">
        <f t="shared" si="214"/>
        <v>10</v>
      </c>
      <c r="ET35" s="65"/>
      <c r="EU35" s="74" t="s">
        <v>1947</v>
      </c>
      <c r="EV35" s="73">
        <f t="shared" si="214"/>
        <v>10</v>
      </c>
      <c r="EW35" s="65"/>
      <c r="EX35" s="74" t="s">
        <v>1947</v>
      </c>
      <c r="EY35" s="73">
        <f t="shared" si="214"/>
        <v>10</v>
      </c>
      <c r="EZ35" s="65"/>
      <c r="FA35" s="74" t="s">
        <v>1947</v>
      </c>
      <c r="FB35" s="73">
        <f t="shared" si="214"/>
        <v>10</v>
      </c>
      <c r="FC35" s="65"/>
      <c r="FD35" s="74" t="s">
        <v>1950</v>
      </c>
      <c r="FE35" s="73">
        <f t="shared" si="214"/>
        <v>10</v>
      </c>
      <c r="FF35" s="65"/>
      <c r="FG35" s="74" t="s">
        <v>1952</v>
      </c>
      <c r="FH35" s="73">
        <f t="shared" si="214"/>
        <v>10</v>
      </c>
      <c r="FI35" s="65"/>
      <c r="FJ35" s="74" t="s">
        <v>1958</v>
      </c>
      <c r="FK35" s="73">
        <f t="shared" si="214"/>
        <v>20</v>
      </c>
      <c r="FL35" s="65"/>
      <c r="FM35" s="74" t="s">
        <v>1947</v>
      </c>
      <c r="FN35" s="73">
        <f t="shared" si="214"/>
        <v>10</v>
      </c>
      <c r="FO35" s="65"/>
      <c r="FP35" s="74" t="s">
        <v>1947</v>
      </c>
      <c r="FQ35" s="73">
        <f t="shared" si="214"/>
        <v>10</v>
      </c>
      <c r="FR35" s="65"/>
      <c r="FS35" s="74" t="s">
        <v>1958</v>
      </c>
      <c r="FT35" s="73">
        <f t="shared" si="214"/>
        <v>20</v>
      </c>
      <c r="FU35" s="65"/>
      <c r="FV35" s="74" t="s">
        <v>1958</v>
      </c>
      <c r="FW35" s="73">
        <f t="shared" si="214"/>
        <v>20</v>
      </c>
      <c r="FX35" s="65"/>
      <c r="FY35" s="74" t="s">
        <v>1947</v>
      </c>
      <c r="FZ35" s="73">
        <f t="shared" si="214"/>
        <v>10</v>
      </c>
      <c r="GA35" s="65"/>
      <c r="GB35" s="74" t="s">
        <v>1947</v>
      </c>
      <c r="GC35" s="73">
        <f t="shared" si="214"/>
        <v>10</v>
      </c>
      <c r="GD35" s="65"/>
      <c r="GE35" s="74" t="s">
        <v>2132</v>
      </c>
      <c r="GF35" s="73">
        <f t="shared" si="214"/>
        <v>10</v>
      </c>
      <c r="GG35" s="65"/>
      <c r="GH35" s="74" t="s">
        <v>1947</v>
      </c>
      <c r="GI35" s="73">
        <f t="shared" si="214"/>
        <v>10</v>
      </c>
      <c r="GJ35" s="65"/>
      <c r="GK35" s="74" t="s">
        <v>2132</v>
      </c>
      <c r="GL35" s="73">
        <f t="shared" si="213"/>
        <v>10</v>
      </c>
      <c r="GM35" s="65"/>
      <c r="GN35" s="74"/>
      <c r="GO35" s="73">
        <f t="shared" si="213"/>
        <v>0</v>
      </c>
      <c r="GP35" s="65"/>
      <c r="GQ35" s="74"/>
      <c r="GR35" s="73">
        <f t="shared" si="213"/>
        <v>0</v>
      </c>
      <c r="GS35" s="65"/>
      <c r="GT35" s="74"/>
      <c r="GU35" s="73">
        <f t="shared" si="213"/>
        <v>0</v>
      </c>
      <c r="GV35" s="65"/>
      <c r="GW35" s="74"/>
      <c r="GX35" s="73">
        <f t="shared" si="213"/>
        <v>0</v>
      </c>
      <c r="GY35" s="65"/>
      <c r="GZ35" s="74"/>
      <c r="HA35" s="73">
        <f t="shared" si="213"/>
        <v>0</v>
      </c>
      <c r="HB35" s="65"/>
      <c r="HC35" s="74"/>
      <c r="HD35" s="73">
        <f t="shared" si="213"/>
        <v>0</v>
      </c>
      <c r="HE35" s="65"/>
      <c r="HF35" s="74"/>
      <c r="HG35" s="73">
        <f t="shared" si="213"/>
        <v>0</v>
      </c>
      <c r="HH35" s="65"/>
      <c r="HI35" s="74"/>
      <c r="HJ35" s="73">
        <f t="shared" si="213"/>
        <v>0</v>
      </c>
      <c r="HK35" s="65"/>
      <c r="HL35" s="74"/>
      <c r="HM35" s="73">
        <f t="shared" si="213"/>
        <v>0</v>
      </c>
      <c r="HN35" s="65"/>
      <c r="HO35" s="74"/>
      <c r="HP35" s="73">
        <f t="shared" si="213"/>
        <v>0</v>
      </c>
      <c r="HQ35" s="65"/>
      <c r="HR35" s="74"/>
      <c r="HS35" s="73">
        <f t="shared" si="213"/>
        <v>0</v>
      </c>
      <c r="HT35" s="65"/>
      <c r="HU35" s="74"/>
      <c r="HV35" s="73">
        <f t="shared" si="213"/>
        <v>0</v>
      </c>
      <c r="HW35" s="65"/>
      <c r="HX35" s="74"/>
      <c r="HY35" s="73">
        <f t="shared" si="213"/>
        <v>0</v>
      </c>
      <c r="HZ35" s="65"/>
      <c r="IA35" s="74"/>
      <c r="IB35" s="73">
        <f t="shared" si="211"/>
        <v>0</v>
      </c>
      <c r="IC35" s="65"/>
      <c r="ID35" s="74"/>
      <c r="IE35" s="73">
        <f t="shared" si="211"/>
        <v>0</v>
      </c>
      <c r="IF35" s="65"/>
      <c r="IG35" s="74"/>
      <c r="IH35" s="73">
        <f t="shared" si="211"/>
        <v>0</v>
      </c>
      <c r="II35" s="65"/>
      <c r="IJ35" s="74"/>
      <c r="IK35" s="73">
        <f t="shared" si="211"/>
        <v>0</v>
      </c>
      <c r="IL35" s="65"/>
      <c r="IM35" s="74"/>
      <c r="IN35" s="73">
        <f t="shared" si="211"/>
        <v>0</v>
      </c>
      <c r="IO35" s="65"/>
      <c r="IP35" s="74"/>
      <c r="IQ35" s="73">
        <f t="shared" si="211"/>
        <v>0</v>
      </c>
      <c r="IR35" s="65"/>
      <c r="IS35" s="74"/>
      <c r="IT35" s="73">
        <f t="shared" si="211"/>
        <v>0</v>
      </c>
      <c r="IU35" s="65"/>
      <c r="IV35" s="74"/>
      <c r="IW35" s="73">
        <f t="shared" si="211"/>
        <v>0</v>
      </c>
      <c r="IX35" s="65"/>
      <c r="IY35" s="74"/>
      <c r="IZ35" s="73">
        <f t="shared" si="211"/>
        <v>0</v>
      </c>
      <c r="JA35" s="65"/>
      <c r="JB35" s="74"/>
      <c r="JC35" s="73">
        <f t="shared" si="211"/>
        <v>0</v>
      </c>
      <c r="JD35" s="65"/>
      <c r="JE35" s="74"/>
      <c r="JF35" s="73">
        <f t="shared" si="211"/>
        <v>0</v>
      </c>
      <c r="JG35" s="65"/>
      <c r="JH35" s="74"/>
      <c r="JI35" s="73">
        <f t="shared" si="211"/>
        <v>0</v>
      </c>
      <c r="JJ35" s="65"/>
      <c r="JK35" s="74"/>
      <c r="JL35" s="73">
        <f t="shared" si="211"/>
        <v>0</v>
      </c>
      <c r="JM35" s="65"/>
      <c r="JN35" s="74"/>
      <c r="JO35" s="73">
        <f t="shared" si="211"/>
        <v>0</v>
      </c>
      <c r="JP35" s="65"/>
      <c r="JQ35" s="74"/>
      <c r="JR35" s="73">
        <f t="shared" si="211"/>
        <v>0</v>
      </c>
      <c r="JS35" s="65"/>
      <c r="JT35" s="74"/>
      <c r="JU35" s="73">
        <f t="shared" si="211"/>
        <v>0</v>
      </c>
      <c r="JV35" s="65"/>
      <c r="JW35" s="74"/>
      <c r="JX35" s="73">
        <f t="shared" si="211"/>
        <v>0</v>
      </c>
      <c r="JY35" s="65"/>
      <c r="JZ35" s="74"/>
      <c r="KA35" s="73">
        <f t="shared" si="211"/>
        <v>0</v>
      </c>
      <c r="KB35" s="65"/>
      <c r="KC35" s="74"/>
      <c r="KD35" s="73">
        <f t="shared" si="211"/>
        <v>0</v>
      </c>
      <c r="KE35" s="65"/>
      <c r="KF35" s="74"/>
      <c r="KG35" s="73">
        <f t="shared" si="211"/>
        <v>0</v>
      </c>
      <c r="KH35" s="65"/>
      <c r="KI35" s="74"/>
      <c r="KJ35" s="73">
        <f t="shared" si="211"/>
        <v>0</v>
      </c>
      <c r="KK35" s="65"/>
      <c r="KL35" s="74"/>
      <c r="KM35" s="73">
        <f t="shared" si="211"/>
        <v>0</v>
      </c>
      <c r="KN35" s="65"/>
      <c r="KO35" s="74"/>
      <c r="KP35" s="73">
        <f t="shared" ref="KP35:LE40" si="215">IFERROR(IF($M35=KO35,($D$8+$D$9+$D$10)*$I35,IF($N35=LEFT(KO35,1),($D$8+MAX(0,IF($D$50=1,$D$9*(1-(ABS($Q35-ABS(VALUE(MID(KO35,FIND("|",KO35)+1,FIND("-",KO35)-FIND("|",KO35)-1))-VALUE(MID(KO35,FIND("-",KO35)+1,10)))))*$D$50),$D$9*(1-(IF($N35="X",ABS($O35-VALUE(MID(KO35,FIND("|",KO35)+1,FIND("-",KO35)-FIND("|",KO35)-1))),ABS($Q35-ABS(VALUE(MID(KO35,FIND("|",KO35)+1,FIND("-",KO35)-FIND("|",KO35)-1))-VALUE(MID(KO35,FIND("-",KO35)+1,10)))))*$D$50)))))*$I35,0)),0)</f>
        <v>0</v>
      </c>
      <c r="KQ35" s="65"/>
      <c r="KR35" s="74"/>
      <c r="KS35" s="73">
        <f t="shared" si="215"/>
        <v>0</v>
      </c>
      <c r="KT35" s="65"/>
      <c r="KU35" s="74"/>
      <c r="KV35" s="73">
        <f t="shared" si="215"/>
        <v>0</v>
      </c>
      <c r="KW35" s="65"/>
      <c r="KX35" s="74"/>
      <c r="KY35" s="73">
        <f t="shared" si="215"/>
        <v>0</v>
      </c>
      <c r="KZ35" s="65"/>
      <c r="LA35" s="74"/>
      <c r="LB35" s="73">
        <f t="shared" si="215"/>
        <v>0</v>
      </c>
      <c r="LC35" s="65"/>
      <c r="LD35" s="74"/>
      <c r="LE35" s="73">
        <f t="shared" si="215"/>
        <v>0</v>
      </c>
      <c r="LF35" s="65"/>
      <c r="LG35" s="65"/>
    </row>
    <row r="36" spans="1:319">
      <c r="A36" s="49"/>
      <c r="B36" s="49"/>
      <c r="C36" s="437" t="str">
        <f>Idiomas!D332</f>
        <v>FINAL- 1X2* (home, draw, away)</v>
      </c>
      <c r="D36" s="62">
        <v>10</v>
      </c>
      <c r="E36" s="111"/>
      <c r="F36" s="445">
        <f t="shared" si="197"/>
        <v>20</v>
      </c>
      <c r="G36" s="445">
        <f ca="1">VLOOKUP(H36,Equipos!$Q$1:$R$25,2,0)</f>
        <v>9</v>
      </c>
      <c r="H36" s="446">
        <f ca="1">TRUNC(INDEX(WORLDCUP!$X$4:$X$147,MATCH(ADMIN!K36,WORLDCUP!$DT$4:$DT$147,0))+INDEX(Horarios!$R$3:$R$86,MATCH(Horarios!$C$3,Horarios!$P$3:$P$86,0))/24)</f>
        <v>46192</v>
      </c>
      <c r="I36" s="48">
        <v>1</v>
      </c>
      <c r="J36" s="96" t="s">
        <v>121</v>
      </c>
      <c r="K36" s="53" t="str">
        <f ca="1">CONCATENATE(WORLDCUP!AA30,"-",WORLDCUP!AF30)</f>
        <v>United States-Australia</v>
      </c>
      <c r="L36" s="53"/>
      <c r="M36" s="55" t="str">
        <f>IF(OR(WORLDCUP!AC30="",WORLDCUP!AD30=""),"-",N36&amp;"|"&amp;O36&amp;"-"&amp;P36)</f>
        <v>1|2-0</v>
      </c>
      <c r="N36" s="25" t="str">
        <f>IF(OR(WORLDCUP!AC30="",WORLDCUP!AD30=""),"",IF(WORLDCUP!AC30&gt;WORLDCUP!AD30,"1",IF(WORLDCUP!AC30&lt;WORLDCUP!AD30,"2","X")))</f>
        <v>1</v>
      </c>
      <c r="O36" s="25">
        <f>WORLDCUP!AC30</f>
        <v>2</v>
      </c>
      <c r="P36" s="25">
        <f>WORLDCUP!AD30</f>
        <v>0</v>
      </c>
      <c r="Q36" s="25">
        <f t="shared" si="201"/>
        <v>2</v>
      </c>
      <c r="R36" s="49"/>
      <c r="S36" s="74" t="s">
        <v>1943</v>
      </c>
      <c r="T36" s="73">
        <f t="shared" si="209"/>
        <v>10</v>
      </c>
      <c r="U36" s="65"/>
      <c r="V36" s="74" t="s">
        <v>1959</v>
      </c>
      <c r="W36" s="73">
        <f t="shared" si="199"/>
        <v>10</v>
      </c>
      <c r="X36" s="65"/>
      <c r="Y36" s="74" t="s">
        <v>1958</v>
      </c>
      <c r="Z36" s="73">
        <f t="shared" si="212"/>
        <v>10</v>
      </c>
      <c r="AA36" s="65"/>
      <c r="AB36" s="74" t="s">
        <v>1950</v>
      </c>
      <c r="AC36" s="73">
        <f t="shared" si="212"/>
        <v>20</v>
      </c>
      <c r="AD36" s="65"/>
      <c r="AE36" s="74" t="s">
        <v>1959</v>
      </c>
      <c r="AF36" s="73">
        <f t="shared" si="212"/>
        <v>10</v>
      </c>
      <c r="AG36" s="65"/>
      <c r="AH36" s="74" t="s">
        <v>1954</v>
      </c>
      <c r="AI36" s="73">
        <f t="shared" si="212"/>
        <v>10</v>
      </c>
      <c r="AJ36" s="65"/>
      <c r="AK36" s="74" t="s">
        <v>1944</v>
      </c>
      <c r="AL36" s="73">
        <f t="shared" si="212"/>
        <v>0</v>
      </c>
      <c r="AM36" s="65"/>
      <c r="AN36" s="74" t="s">
        <v>1957</v>
      </c>
      <c r="AO36" s="73">
        <f t="shared" si="212"/>
        <v>0</v>
      </c>
      <c r="AP36" s="65"/>
      <c r="AQ36" s="74" t="s">
        <v>1954</v>
      </c>
      <c r="AR36" s="73">
        <f t="shared" si="212"/>
        <v>10</v>
      </c>
      <c r="AS36" s="65"/>
      <c r="AT36" s="74" t="s">
        <v>1944</v>
      </c>
      <c r="AU36" s="73">
        <f t="shared" si="212"/>
        <v>0</v>
      </c>
      <c r="AV36" s="65"/>
      <c r="AW36" s="74" t="s">
        <v>1954</v>
      </c>
      <c r="AX36" s="73">
        <f t="shared" si="212"/>
        <v>10</v>
      </c>
      <c r="AY36" s="65"/>
      <c r="AZ36" s="74" t="s">
        <v>1957</v>
      </c>
      <c r="BA36" s="73">
        <f t="shared" si="212"/>
        <v>0</v>
      </c>
      <c r="BB36" s="65"/>
      <c r="BC36" s="74" t="s">
        <v>1944</v>
      </c>
      <c r="BD36" s="73">
        <f t="shared" si="212"/>
        <v>0</v>
      </c>
      <c r="BE36" s="65"/>
      <c r="BF36" s="74" t="s">
        <v>1954</v>
      </c>
      <c r="BG36" s="73">
        <f t="shared" si="212"/>
        <v>10</v>
      </c>
      <c r="BH36" s="65"/>
      <c r="BI36" s="74" t="s">
        <v>1944</v>
      </c>
      <c r="BJ36" s="73">
        <f t="shared" si="212"/>
        <v>0</v>
      </c>
      <c r="BK36" s="65"/>
      <c r="BL36" s="74" t="s">
        <v>1950</v>
      </c>
      <c r="BM36" s="73">
        <f t="shared" si="212"/>
        <v>20</v>
      </c>
      <c r="BN36" s="65"/>
      <c r="BO36" s="74" t="s">
        <v>1957</v>
      </c>
      <c r="BP36" s="73">
        <f t="shared" si="212"/>
        <v>0</v>
      </c>
      <c r="BQ36" s="65"/>
      <c r="BR36" s="74" t="s">
        <v>1957</v>
      </c>
      <c r="BS36" s="73">
        <f t="shared" si="212"/>
        <v>0</v>
      </c>
      <c r="BT36" s="65"/>
      <c r="BU36" s="74" t="s">
        <v>1950</v>
      </c>
      <c r="BV36" s="73">
        <f t="shared" si="212"/>
        <v>20</v>
      </c>
      <c r="BW36" s="65"/>
      <c r="BX36" s="74" t="s">
        <v>1954</v>
      </c>
      <c r="BY36" s="73">
        <f t="shared" si="212"/>
        <v>10</v>
      </c>
      <c r="BZ36" s="65"/>
      <c r="CA36" s="74" t="s">
        <v>1950</v>
      </c>
      <c r="CB36" s="73">
        <f t="shared" si="212"/>
        <v>20</v>
      </c>
      <c r="CC36" s="65"/>
      <c r="CD36" s="74" t="s">
        <v>2133</v>
      </c>
      <c r="CE36" s="73">
        <f t="shared" si="212"/>
        <v>0</v>
      </c>
      <c r="CF36" s="65"/>
      <c r="CG36" s="74" t="s">
        <v>1950</v>
      </c>
      <c r="CH36" s="73">
        <f t="shared" si="212"/>
        <v>20</v>
      </c>
      <c r="CI36" s="65"/>
      <c r="CJ36" s="74" t="s">
        <v>1954</v>
      </c>
      <c r="CK36" s="73">
        <f t="shared" si="210"/>
        <v>10</v>
      </c>
      <c r="CL36" s="65"/>
      <c r="CM36" s="74" t="s">
        <v>2133</v>
      </c>
      <c r="CN36" s="73">
        <f t="shared" si="210"/>
        <v>0</v>
      </c>
      <c r="CO36" s="65"/>
      <c r="CP36" s="74" t="s">
        <v>1950</v>
      </c>
      <c r="CQ36" s="73">
        <f t="shared" si="210"/>
        <v>20</v>
      </c>
      <c r="CR36" s="65"/>
      <c r="CS36" s="74" t="s">
        <v>1944</v>
      </c>
      <c r="CT36" s="73">
        <f t="shared" si="210"/>
        <v>0</v>
      </c>
      <c r="CU36" s="65"/>
      <c r="CV36" s="74" t="s">
        <v>1957</v>
      </c>
      <c r="CW36" s="73">
        <f t="shared" si="210"/>
        <v>0</v>
      </c>
      <c r="CX36" s="65"/>
      <c r="CY36" s="74" t="s">
        <v>1960</v>
      </c>
      <c r="CZ36" s="73">
        <f t="shared" si="210"/>
        <v>0</v>
      </c>
      <c r="DA36" s="65"/>
      <c r="DB36" s="74" t="s">
        <v>1954</v>
      </c>
      <c r="DC36" s="73">
        <f t="shared" si="210"/>
        <v>10</v>
      </c>
      <c r="DD36" s="65"/>
      <c r="DE36" s="74" t="s">
        <v>1950</v>
      </c>
      <c r="DF36" s="73">
        <f t="shared" si="210"/>
        <v>20</v>
      </c>
      <c r="DG36" s="65"/>
      <c r="DH36" s="74" t="s">
        <v>2000</v>
      </c>
      <c r="DI36" s="73">
        <f t="shared" si="210"/>
        <v>0</v>
      </c>
      <c r="DJ36" s="65"/>
      <c r="DK36" s="74" t="s">
        <v>1950</v>
      </c>
      <c r="DL36" s="73">
        <f t="shared" si="210"/>
        <v>20</v>
      </c>
      <c r="DM36" s="65"/>
      <c r="DN36" s="74" t="s">
        <v>1948</v>
      </c>
      <c r="DO36" s="73">
        <f t="shared" si="210"/>
        <v>0</v>
      </c>
      <c r="DP36" s="65"/>
      <c r="DQ36" s="74" t="s">
        <v>1953</v>
      </c>
      <c r="DR36" s="73">
        <f t="shared" si="210"/>
        <v>0</v>
      </c>
      <c r="DS36" s="65"/>
      <c r="DT36" s="74" t="s">
        <v>1954</v>
      </c>
      <c r="DU36" s="73">
        <f t="shared" si="210"/>
        <v>10</v>
      </c>
      <c r="DV36" s="65"/>
      <c r="DW36" s="74" t="s">
        <v>1958</v>
      </c>
      <c r="DX36" s="73">
        <f t="shared" si="214"/>
        <v>10</v>
      </c>
      <c r="DY36" s="65"/>
      <c r="DZ36" s="74" t="s">
        <v>1950</v>
      </c>
      <c r="EA36" s="73">
        <f t="shared" si="214"/>
        <v>20</v>
      </c>
      <c r="EB36" s="65"/>
      <c r="EC36" s="74" t="s">
        <v>1950</v>
      </c>
      <c r="ED36" s="73">
        <f t="shared" si="214"/>
        <v>20</v>
      </c>
      <c r="EE36" s="65"/>
      <c r="EF36" s="74" t="s">
        <v>1957</v>
      </c>
      <c r="EG36" s="73">
        <f t="shared" si="214"/>
        <v>0</v>
      </c>
      <c r="EH36" s="65"/>
      <c r="EI36" s="74" t="s">
        <v>1954</v>
      </c>
      <c r="EJ36" s="73">
        <f t="shared" si="214"/>
        <v>10</v>
      </c>
      <c r="EK36" s="65"/>
      <c r="EL36" s="74" t="s">
        <v>1944</v>
      </c>
      <c r="EM36" s="73">
        <f t="shared" si="214"/>
        <v>0</v>
      </c>
      <c r="EN36" s="65"/>
      <c r="EO36" s="74" t="s">
        <v>1950</v>
      </c>
      <c r="EP36" s="73">
        <f t="shared" si="214"/>
        <v>20</v>
      </c>
      <c r="EQ36" s="65"/>
      <c r="ER36" s="74" t="s">
        <v>1954</v>
      </c>
      <c r="ES36" s="73">
        <f t="shared" si="214"/>
        <v>10</v>
      </c>
      <c r="ET36" s="65"/>
      <c r="EU36" s="74" t="s">
        <v>1950</v>
      </c>
      <c r="EV36" s="73">
        <f t="shared" si="214"/>
        <v>20</v>
      </c>
      <c r="EW36" s="65"/>
      <c r="EX36" s="74" t="s">
        <v>1957</v>
      </c>
      <c r="EY36" s="73">
        <f t="shared" si="214"/>
        <v>0</v>
      </c>
      <c r="EZ36" s="65"/>
      <c r="FA36" s="74" t="s">
        <v>1950</v>
      </c>
      <c r="FB36" s="73">
        <f t="shared" si="214"/>
        <v>20</v>
      </c>
      <c r="FC36" s="65"/>
      <c r="FD36" s="74" t="s">
        <v>1959</v>
      </c>
      <c r="FE36" s="73">
        <f t="shared" si="214"/>
        <v>10</v>
      </c>
      <c r="FF36" s="65"/>
      <c r="FG36" s="74" t="s">
        <v>1954</v>
      </c>
      <c r="FH36" s="73">
        <f t="shared" si="214"/>
        <v>10</v>
      </c>
      <c r="FI36" s="65"/>
      <c r="FJ36" s="74" t="s">
        <v>1957</v>
      </c>
      <c r="FK36" s="73">
        <f t="shared" si="214"/>
        <v>0</v>
      </c>
      <c r="FL36" s="65"/>
      <c r="FM36" s="74" t="s">
        <v>1960</v>
      </c>
      <c r="FN36" s="73">
        <f t="shared" si="214"/>
        <v>0</v>
      </c>
      <c r="FO36" s="65"/>
      <c r="FP36" s="74" t="s">
        <v>1950</v>
      </c>
      <c r="FQ36" s="73">
        <f t="shared" si="214"/>
        <v>20</v>
      </c>
      <c r="FR36" s="65"/>
      <c r="FS36" s="74" t="s">
        <v>1959</v>
      </c>
      <c r="FT36" s="73">
        <f t="shared" si="214"/>
        <v>10</v>
      </c>
      <c r="FU36" s="65"/>
      <c r="FV36" s="74" t="s">
        <v>1954</v>
      </c>
      <c r="FW36" s="73">
        <f t="shared" si="214"/>
        <v>10</v>
      </c>
      <c r="FX36" s="65"/>
      <c r="FY36" s="74" t="s">
        <v>1954</v>
      </c>
      <c r="FZ36" s="73">
        <f t="shared" si="214"/>
        <v>10</v>
      </c>
      <c r="GA36" s="65"/>
      <c r="GB36" s="74" t="s">
        <v>1957</v>
      </c>
      <c r="GC36" s="73">
        <f t="shared" si="214"/>
        <v>0</v>
      </c>
      <c r="GD36" s="65"/>
      <c r="GE36" s="74" t="s">
        <v>1954</v>
      </c>
      <c r="GF36" s="73">
        <f t="shared" si="214"/>
        <v>10</v>
      </c>
      <c r="GG36" s="65"/>
      <c r="GH36" s="74" t="s">
        <v>1950</v>
      </c>
      <c r="GI36" s="73">
        <f t="shared" si="214"/>
        <v>20</v>
      </c>
      <c r="GJ36" s="65"/>
      <c r="GK36" s="74" t="s">
        <v>1954</v>
      </c>
      <c r="GL36" s="73">
        <f t="shared" si="213"/>
        <v>10</v>
      </c>
      <c r="GM36" s="65"/>
      <c r="GN36" s="74"/>
      <c r="GO36" s="73">
        <f t="shared" si="213"/>
        <v>0</v>
      </c>
      <c r="GP36" s="65"/>
      <c r="GQ36" s="74"/>
      <c r="GR36" s="73">
        <f t="shared" si="213"/>
        <v>0</v>
      </c>
      <c r="GS36" s="65"/>
      <c r="GT36" s="74"/>
      <c r="GU36" s="73">
        <f t="shared" si="213"/>
        <v>0</v>
      </c>
      <c r="GV36" s="65"/>
      <c r="GW36" s="74"/>
      <c r="GX36" s="73">
        <f t="shared" si="213"/>
        <v>0</v>
      </c>
      <c r="GY36" s="65"/>
      <c r="GZ36" s="74"/>
      <c r="HA36" s="73">
        <f t="shared" si="213"/>
        <v>0</v>
      </c>
      <c r="HB36" s="65"/>
      <c r="HC36" s="74"/>
      <c r="HD36" s="73">
        <f t="shared" si="213"/>
        <v>0</v>
      </c>
      <c r="HE36" s="65"/>
      <c r="HF36" s="74"/>
      <c r="HG36" s="73">
        <f t="shared" si="213"/>
        <v>0</v>
      </c>
      <c r="HH36" s="65"/>
      <c r="HI36" s="74"/>
      <c r="HJ36" s="73">
        <f t="shared" si="213"/>
        <v>0</v>
      </c>
      <c r="HK36" s="65"/>
      <c r="HL36" s="74"/>
      <c r="HM36" s="73">
        <f t="shared" si="213"/>
        <v>0</v>
      </c>
      <c r="HN36" s="65"/>
      <c r="HO36" s="74"/>
      <c r="HP36" s="73">
        <f t="shared" si="213"/>
        <v>0</v>
      </c>
      <c r="HQ36" s="65"/>
      <c r="HR36" s="74"/>
      <c r="HS36" s="73">
        <f t="shared" si="213"/>
        <v>0</v>
      </c>
      <c r="HT36" s="65"/>
      <c r="HU36" s="74"/>
      <c r="HV36" s="73">
        <f t="shared" si="213"/>
        <v>0</v>
      </c>
      <c r="HW36" s="65"/>
      <c r="HX36" s="74"/>
      <c r="HY36" s="73">
        <f t="shared" si="213"/>
        <v>0</v>
      </c>
      <c r="HZ36" s="65"/>
      <c r="IA36" s="74"/>
      <c r="IB36" s="73">
        <f t="shared" si="211"/>
        <v>0</v>
      </c>
      <c r="IC36" s="65"/>
      <c r="ID36" s="74"/>
      <c r="IE36" s="73">
        <f t="shared" si="211"/>
        <v>0</v>
      </c>
      <c r="IF36" s="65"/>
      <c r="IG36" s="74"/>
      <c r="IH36" s="73">
        <f t="shared" si="211"/>
        <v>0</v>
      </c>
      <c r="II36" s="65"/>
      <c r="IJ36" s="74"/>
      <c r="IK36" s="73">
        <f t="shared" si="211"/>
        <v>0</v>
      </c>
      <c r="IL36" s="65"/>
      <c r="IM36" s="74"/>
      <c r="IN36" s="73">
        <f t="shared" si="211"/>
        <v>0</v>
      </c>
      <c r="IO36" s="65"/>
      <c r="IP36" s="74"/>
      <c r="IQ36" s="73">
        <f t="shared" si="211"/>
        <v>0</v>
      </c>
      <c r="IR36" s="65"/>
      <c r="IS36" s="74"/>
      <c r="IT36" s="73">
        <f t="shared" si="211"/>
        <v>0</v>
      </c>
      <c r="IU36" s="65"/>
      <c r="IV36" s="74"/>
      <c r="IW36" s="73">
        <f t="shared" si="211"/>
        <v>0</v>
      </c>
      <c r="IX36" s="65"/>
      <c r="IY36" s="74"/>
      <c r="IZ36" s="73">
        <f t="shared" si="211"/>
        <v>0</v>
      </c>
      <c r="JA36" s="65"/>
      <c r="JB36" s="74"/>
      <c r="JC36" s="73">
        <f t="shared" si="211"/>
        <v>0</v>
      </c>
      <c r="JD36" s="65"/>
      <c r="JE36" s="74"/>
      <c r="JF36" s="73">
        <f t="shared" si="211"/>
        <v>0</v>
      </c>
      <c r="JG36" s="65"/>
      <c r="JH36" s="74"/>
      <c r="JI36" s="73">
        <f t="shared" si="211"/>
        <v>0</v>
      </c>
      <c r="JJ36" s="65"/>
      <c r="JK36" s="74"/>
      <c r="JL36" s="73">
        <f t="shared" si="211"/>
        <v>0</v>
      </c>
      <c r="JM36" s="65"/>
      <c r="JN36" s="74"/>
      <c r="JO36" s="73">
        <f t="shared" si="211"/>
        <v>0</v>
      </c>
      <c r="JP36" s="65"/>
      <c r="JQ36" s="74"/>
      <c r="JR36" s="73">
        <f t="shared" si="211"/>
        <v>0</v>
      </c>
      <c r="JS36" s="65"/>
      <c r="JT36" s="74"/>
      <c r="JU36" s="73">
        <f t="shared" si="211"/>
        <v>0</v>
      </c>
      <c r="JV36" s="65"/>
      <c r="JW36" s="74"/>
      <c r="JX36" s="73">
        <f t="shared" si="211"/>
        <v>0</v>
      </c>
      <c r="JY36" s="65"/>
      <c r="JZ36" s="74"/>
      <c r="KA36" s="73">
        <f t="shared" si="211"/>
        <v>0</v>
      </c>
      <c r="KB36" s="65"/>
      <c r="KC36" s="74"/>
      <c r="KD36" s="73">
        <f t="shared" si="211"/>
        <v>0</v>
      </c>
      <c r="KE36" s="65"/>
      <c r="KF36" s="74"/>
      <c r="KG36" s="73">
        <f t="shared" si="211"/>
        <v>0</v>
      </c>
      <c r="KH36" s="65"/>
      <c r="KI36" s="74"/>
      <c r="KJ36" s="73">
        <f t="shared" si="211"/>
        <v>0</v>
      </c>
      <c r="KK36" s="65"/>
      <c r="KL36" s="74"/>
      <c r="KM36" s="73">
        <f t="shared" si="211"/>
        <v>0</v>
      </c>
      <c r="KN36" s="65"/>
      <c r="KO36" s="74"/>
      <c r="KP36" s="73">
        <f t="shared" si="215"/>
        <v>0</v>
      </c>
      <c r="KQ36" s="65"/>
      <c r="KR36" s="74"/>
      <c r="KS36" s="73">
        <f t="shared" si="215"/>
        <v>0</v>
      </c>
      <c r="KT36" s="65"/>
      <c r="KU36" s="74"/>
      <c r="KV36" s="73">
        <f t="shared" si="215"/>
        <v>0</v>
      </c>
      <c r="KW36" s="65"/>
      <c r="KX36" s="74"/>
      <c r="KY36" s="73">
        <f t="shared" si="215"/>
        <v>0</v>
      </c>
      <c r="KZ36" s="65"/>
      <c r="LA36" s="74"/>
      <c r="LB36" s="73">
        <f t="shared" si="215"/>
        <v>0</v>
      </c>
      <c r="LC36" s="65"/>
      <c r="LD36" s="74"/>
      <c r="LE36" s="73">
        <f t="shared" si="215"/>
        <v>0</v>
      </c>
      <c r="LF36" s="65"/>
      <c r="LG36" s="65"/>
    </row>
    <row r="37" spans="1:319">
      <c r="A37" s="49"/>
      <c r="B37" s="49"/>
      <c r="C37" s="438" t="str">
        <f>Idiomas!D333&amp;"**"</f>
        <v>FINAL - Goal Difference (with 1X2 correct)**</v>
      </c>
      <c r="D37" s="44">
        <v>2</v>
      </c>
      <c r="E37" s="111"/>
      <c r="F37" s="445">
        <f t="shared" si="197"/>
        <v>20</v>
      </c>
      <c r="G37" s="445">
        <f ca="1">VLOOKUP(H37,Equipos!$Q$1:$R$25,2,0)</f>
        <v>10</v>
      </c>
      <c r="H37" s="446">
        <f ca="1">TRUNC(INDEX(WORLDCUP!$X$4:$X$147,MATCH(ADMIN!K37,WORLDCUP!$DT$4:$DT$147,0))+INDEX(Horarios!$R$3:$R$86,MATCH(Horarios!$C$3,Horarios!$P$3:$P$86,0))/24)</f>
        <v>46193</v>
      </c>
      <c r="I37" s="48">
        <v>1</v>
      </c>
      <c r="J37" s="96" t="s">
        <v>121</v>
      </c>
      <c r="K37" s="56" t="str">
        <f ca="1">CONCATENATE(WORLDCUP!AA31,"-",WORLDCUP!AF31)</f>
        <v>Turkey-Paraguay</v>
      </c>
      <c r="L37" s="53"/>
      <c r="M37" s="55" t="str">
        <f>IF(OR(WORLDCUP!AC31="",WORLDCUP!AD31=""),"-",N37&amp;"|"&amp;O37&amp;"-"&amp;P37)</f>
        <v>2|0-1</v>
      </c>
      <c r="N37" s="25" t="str">
        <f>IF(OR(WORLDCUP!AC31="",WORLDCUP!AD31=""),"",IF(WORLDCUP!AC31&gt;WORLDCUP!AD31,"1",IF(WORLDCUP!AC31&lt;WORLDCUP!AD31,"2","X")))</f>
        <v>2</v>
      </c>
      <c r="O37" s="25">
        <f>WORLDCUP!AC31</f>
        <v>0</v>
      </c>
      <c r="P37" s="25">
        <f>WORLDCUP!AD31</f>
        <v>1</v>
      </c>
      <c r="Q37" s="25">
        <f t="shared" si="201"/>
        <v>1</v>
      </c>
      <c r="R37" s="49"/>
      <c r="S37" s="74" t="s">
        <v>1957</v>
      </c>
      <c r="T37" s="73">
        <f t="shared" si="198"/>
        <v>0</v>
      </c>
      <c r="U37" s="65"/>
      <c r="V37" s="74" t="s">
        <v>1950</v>
      </c>
      <c r="W37" s="73">
        <f t="shared" si="199"/>
        <v>0</v>
      </c>
      <c r="X37" s="65"/>
      <c r="Y37" s="74" t="s">
        <v>1954</v>
      </c>
      <c r="Z37" s="73">
        <f t="shared" si="212"/>
        <v>0</v>
      </c>
      <c r="AA37" s="65"/>
      <c r="AB37" s="74" t="s">
        <v>1954</v>
      </c>
      <c r="AC37" s="73">
        <f t="shared" si="212"/>
        <v>0</v>
      </c>
      <c r="AD37" s="65"/>
      <c r="AE37" s="74" t="s">
        <v>1950</v>
      </c>
      <c r="AF37" s="73">
        <f t="shared" si="212"/>
        <v>0</v>
      </c>
      <c r="AG37" s="65"/>
      <c r="AH37" s="74" t="s">
        <v>1958</v>
      </c>
      <c r="AI37" s="73">
        <f t="shared" si="212"/>
        <v>0</v>
      </c>
      <c r="AJ37" s="65"/>
      <c r="AK37" s="74" t="s">
        <v>1957</v>
      </c>
      <c r="AL37" s="73">
        <f t="shared" si="212"/>
        <v>0</v>
      </c>
      <c r="AM37" s="65"/>
      <c r="AN37" s="74" t="s">
        <v>1957</v>
      </c>
      <c r="AO37" s="73">
        <f t="shared" si="212"/>
        <v>0</v>
      </c>
      <c r="AP37" s="65"/>
      <c r="AQ37" s="74" t="s">
        <v>1950</v>
      </c>
      <c r="AR37" s="73">
        <f t="shared" si="212"/>
        <v>0</v>
      </c>
      <c r="AS37" s="65"/>
      <c r="AT37" s="74" t="s">
        <v>1944</v>
      </c>
      <c r="AU37" s="73">
        <f t="shared" si="212"/>
        <v>0</v>
      </c>
      <c r="AV37" s="65"/>
      <c r="AW37" s="74" t="s">
        <v>1958</v>
      </c>
      <c r="AX37" s="73">
        <f t="shared" si="212"/>
        <v>0</v>
      </c>
      <c r="AY37" s="65"/>
      <c r="AZ37" s="74" t="s">
        <v>1957</v>
      </c>
      <c r="BA37" s="73">
        <f t="shared" si="212"/>
        <v>0</v>
      </c>
      <c r="BB37" s="65"/>
      <c r="BC37" s="74" t="s">
        <v>1957</v>
      </c>
      <c r="BD37" s="73">
        <f t="shared" si="212"/>
        <v>0</v>
      </c>
      <c r="BE37" s="65"/>
      <c r="BF37" s="74" t="s">
        <v>1950</v>
      </c>
      <c r="BG37" s="73">
        <f t="shared" si="212"/>
        <v>0</v>
      </c>
      <c r="BH37" s="65"/>
      <c r="BI37" s="74" t="s">
        <v>1954</v>
      </c>
      <c r="BJ37" s="73">
        <f t="shared" si="212"/>
        <v>0</v>
      </c>
      <c r="BK37" s="65"/>
      <c r="BL37" s="74" t="s">
        <v>1957</v>
      </c>
      <c r="BM37" s="73">
        <f t="shared" si="212"/>
        <v>0</v>
      </c>
      <c r="BN37" s="65"/>
      <c r="BO37" s="74" t="s">
        <v>1957</v>
      </c>
      <c r="BP37" s="73">
        <f t="shared" si="212"/>
        <v>0</v>
      </c>
      <c r="BQ37" s="65"/>
      <c r="BR37" s="74" t="s">
        <v>1958</v>
      </c>
      <c r="BS37" s="73">
        <f t="shared" si="212"/>
        <v>0</v>
      </c>
      <c r="BT37" s="65"/>
      <c r="BU37" s="74" t="s">
        <v>1950</v>
      </c>
      <c r="BV37" s="73">
        <f t="shared" si="212"/>
        <v>0</v>
      </c>
      <c r="BW37" s="65"/>
      <c r="BX37" s="74" t="s">
        <v>1957</v>
      </c>
      <c r="BY37" s="73">
        <f t="shared" si="212"/>
        <v>0</v>
      </c>
      <c r="BZ37" s="65"/>
      <c r="CA37" s="74" t="s">
        <v>1959</v>
      </c>
      <c r="CB37" s="73">
        <f t="shared" si="212"/>
        <v>0</v>
      </c>
      <c r="CC37" s="65"/>
      <c r="CD37" s="74" t="s">
        <v>1949</v>
      </c>
      <c r="CE37" s="73">
        <f t="shared" si="212"/>
        <v>0</v>
      </c>
      <c r="CF37" s="65"/>
      <c r="CG37" s="74" t="s">
        <v>1957</v>
      </c>
      <c r="CH37" s="73">
        <f t="shared" si="212"/>
        <v>0</v>
      </c>
      <c r="CI37" s="65"/>
      <c r="CJ37" s="74" t="s">
        <v>1955</v>
      </c>
      <c r="CK37" s="73">
        <f t="shared" si="210"/>
        <v>10</v>
      </c>
      <c r="CL37" s="65"/>
      <c r="CM37" s="74" t="s">
        <v>1950</v>
      </c>
      <c r="CN37" s="73">
        <f t="shared" si="210"/>
        <v>0</v>
      </c>
      <c r="CO37" s="65"/>
      <c r="CP37" s="74" t="s">
        <v>2133</v>
      </c>
      <c r="CQ37" s="73">
        <f t="shared" si="210"/>
        <v>0</v>
      </c>
      <c r="CR37" s="65"/>
      <c r="CS37" s="74" t="s">
        <v>1949</v>
      </c>
      <c r="CT37" s="73">
        <f t="shared" si="210"/>
        <v>0</v>
      </c>
      <c r="CU37" s="65"/>
      <c r="CV37" s="74" t="s">
        <v>1944</v>
      </c>
      <c r="CW37" s="73">
        <f t="shared" si="210"/>
        <v>0</v>
      </c>
      <c r="CX37" s="65"/>
      <c r="CY37" s="74" t="s">
        <v>1952</v>
      </c>
      <c r="CZ37" s="73">
        <f t="shared" si="210"/>
        <v>0</v>
      </c>
      <c r="DA37" s="65"/>
      <c r="DB37" s="74" t="s">
        <v>1954</v>
      </c>
      <c r="DC37" s="73">
        <f t="shared" si="210"/>
        <v>0</v>
      </c>
      <c r="DD37" s="65"/>
      <c r="DE37" s="74" t="s">
        <v>1954</v>
      </c>
      <c r="DF37" s="73">
        <f t="shared" si="210"/>
        <v>0</v>
      </c>
      <c r="DG37" s="65"/>
      <c r="DH37" s="74" t="s">
        <v>2369</v>
      </c>
      <c r="DI37" s="73">
        <f t="shared" si="210"/>
        <v>0</v>
      </c>
      <c r="DJ37" s="65"/>
      <c r="DK37" s="74" t="s">
        <v>1957</v>
      </c>
      <c r="DL37" s="73">
        <f t="shared" si="210"/>
        <v>0</v>
      </c>
      <c r="DM37" s="65"/>
      <c r="DN37" s="74" t="s">
        <v>1950</v>
      </c>
      <c r="DO37" s="73">
        <f t="shared" si="210"/>
        <v>0</v>
      </c>
      <c r="DP37" s="65"/>
      <c r="DQ37" s="74" t="s">
        <v>1959</v>
      </c>
      <c r="DR37" s="73">
        <f t="shared" si="210"/>
        <v>0</v>
      </c>
      <c r="DS37" s="65"/>
      <c r="DT37" s="74" t="s">
        <v>1957</v>
      </c>
      <c r="DU37" s="73">
        <f t="shared" si="210"/>
        <v>0</v>
      </c>
      <c r="DV37" s="65"/>
      <c r="DW37" s="74" t="s">
        <v>1945</v>
      </c>
      <c r="DX37" s="73">
        <f t="shared" si="214"/>
        <v>0</v>
      </c>
      <c r="DY37" s="65"/>
      <c r="DZ37" s="74" t="s">
        <v>1954</v>
      </c>
      <c r="EA37" s="73">
        <f t="shared" si="214"/>
        <v>0</v>
      </c>
      <c r="EB37" s="65"/>
      <c r="EC37" s="74" t="s">
        <v>1954</v>
      </c>
      <c r="ED37" s="73">
        <f t="shared" si="214"/>
        <v>0</v>
      </c>
      <c r="EE37" s="65"/>
      <c r="EF37" s="74" t="s">
        <v>1954</v>
      </c>
      <c r="EG37" s="73">
        <f t="shared" si="214"/>
        <v>0</v>
      </c>
      <c r="EH37" s="65"/>
      <c r="EI37" s="74" t="s">
        <v>1954</v>
      </c>
      <c r="EJ37" s="73">
        <f t="shared" si="214"/>
        <v>0</v>
      </c>
      <c r="EK37" s="65"/>
      <c r="EL37" s="74" t="s">
        <v>1954</v>
      </c>
      <c r="EM37" s="73">
        <f t="shared" si="214"/>
        <v>0</v>
      </c>
      <c r="EN37" s="65"/>
      <c r="EO37" s="74" t="s">
        <v>1954</v>
      </c>
      <c r="EP37" s="73">
        <f t="shared" si="214"/>
        <v>0</v>
      </c>
      <c r="EQ37" s="65"/>
      <c r="ER37" s="74" t="s">
        <v>1950</v>
      </c>
      <c r="ES37" s="73">
        <f t="shared" si="214"/>
        <v>0</v>
      </c>
      <c r="ET37" s="65"/>
      <c r="EU37" s="74" t="s">
        <v>1957</v>
      </c>
      <c r="EV37" s="73">
        <f t="shared" si="214"/>
        <v>0</v>
      </c>
      <c r="EW37" s="65"/>
      <c r="EX37" s="74" t="s">
        <v>1950</v>
      </c>
      <c r="EY37" s="73">
        <f t="shared" si="214"/>
        <v>0</v>
      </c>
      <c r="EZ37" s="65"/>
      <c r="FA37" s="74" t="s">
        <v>1957</v>
      </c>
      <c r="FB37" s="73">
        <f t="shared" si="214"/>
        <v>0</v>
      </c>
      <c r="FC37" s="65"/>
      <c r="FD37" s="74" t="s">
        <v>1954</v>
      </c>
      <c r="FE37" s="73">
        <f t="shared" si="214"/>
        <v>0</v>
      </c>
      <c r="FF37" s="65"/>
      <c r="FG37" s="74" t="s">
        <v>1949</v>
      </c>
      <c r="FH37" s="73">
        <f t="shared" si="214"/>
        <v>0</v>
      </c>
      <c r="FI37" s="65"/>
      <c r="FJ37" s="74" t="s">
        <v>1950</v>
      </c>
      <c r="FK37" s="73">
        <f t="shared" si="214"/>
        <v>0</v>
      </c>
      <c r="FL37" s="65"/>
      <c r="FM37" s="74" t="s">
        <v>1954</v>
      </c>
      <c r="FN37" s="73">
        <f t="shared" si="214"/>
        <v>0</v>
      </c>
      <c r="FO37" s="65"/>
      <c r="FP37" s="74" t="s">
        <v>1950</v>
      </c>
      <c r="FQ37" s="73">
        <f t="shared" si="214"/>
        <v>0</v>
      </c>
      <c r="FR37" s="65"/>
      <c r="FS37" s="74" t="s">
        <v>1954</v>
      </c>
      <c r="FT37" s="73">
        <f t="shared" si="214"/>
        <v>0</v>
      </c>
      <c r="FU37" s="65"/>
      <c r="FV37" s="74" t="s">
        <v>1950</v>
      </c>
      <c r="FW37" s="73">
        <f t="shared" si="214"/>
        <v>0</v>
      </c>
      <c r="FX37" s="65"/>
      <c r="FY37" s="74" t="s">
        <v>2000</v>
      </c>
      <c r="FZ37" s="73">
        <f t="shared" si="214"/>
        <v>20</v>
      </c>
      <c r="GA37" s="65"/>
      <c r="GB37" s="74" t="s">
        <v>1950</v>
      </c>
      <c r="GC37" s="73">
        <f t="shared" si="214"/>
        <v>0</v>
      </c>
      <c r="GD37" s="65"/>
      <c r="GE37" s="74" t="s">
        <v>1959</v>
      </c>
      <c r="GF37" s="73">
        <f t="shared" si="214"/>
        <v>0</v>
      </c>
      <c r="GG37" s="65"/>
      <c r="GH37" s="74" t="s">
        <v>1954</v>
      </c>
      <c r="GI37" s="73">
        <f t="shared" si="214"/>
        <v>0</v>
      </c>
      <c r="GJ37" s="65"/>
      <c r="GK37" s="74" t="s">
        <v>1957</v>
      </c>
      <c r="GL37" s="73">
        <f t="shared" si="213"/>
        <v>0</v>
      </c>
      <c r="GM37" s="65"/>
      <c r="GN37" s="74"/>
      <c r="GO37" s="73">
        <f t="shared" si="213"/>
        <v>0</v>
      </c>
      <c r="GP37" s="65"/>
      <c r="GQ37" s="74"/>
      <c r="GR37" s="73">
        <f t="shared" si="213"/>
        <v>0</v>
      </c>
      <c r="GS37" s="65"/>
      <c r="GT37" s="74"/>
      <c r="GU37" s="73">
        <f t="shared" si="213"/>
        <v>0</v>
      </c>
      <c r="GV37" s="65"/>
      <c r="GW37" s="74"/>
      <c r="GX37" s="73">
        <f t="shared" si="213"/>
        <v>0</v>
      </c>
      <c r="GY37" s="65"/>
      <c r="GZ37" s="74"/>
      <c r="HA37" s="73">
        <f t="shared" si="213"/>
        <v>0</v>
      </c>
      <c r="HB37" s="65"/>
      <c r="HC37" s="74"/>
      <c r="HD37" s="73">
        <f t="shared" si="213"/>
        <v>0</v>
      </c>
      <c r="HE37" s="65"/>
      <c r="HF37" s="74"/>
      <c r="HG37" s="73">
        <f t="shared" si="213"/>
        <v>0</v>
      </c>
      <c r="HH37" s="65"/>
      <c r="HI37" s="74"/>
      <c r="HJ37" s="73">
        <f t="shared" si="213"/>
        <v>0</v>
      </c>
      <c r="HK37" s="65"/>
      <c r="HL37" s="74"/>
      <c r="HM37" s="73">
        <f t="shared" si="213"/>
        <v>0</v>
      </c>
      <c r="HN37" s="65"/>
      <c r="HO37" s="74"/>
      <c r="HP37" s="73">
        <f t="shared" si="213"/>
        <v>0</v>
      </c>
      <c r="HQ37" s="65"/>
      <c r="HR37" s="74"/>
      <c r="HS37" s="73">
        <f t="shared" si="213"/>
        <v>0</v>
      </c>
      <c r="HT37" s="65"/>
      <c r="HU37" s="74"/>
      <c r="HV37" s="73">
        <f t="shared" si="213"/>
        <v>0</v>
      </c>
      <c r="HW37" s="65"/>
      <c r="HX37" s="74"/>
      <c r="HY37" s="73">
        <f t="shared" si="213"/>
        <v>0</v>
      </c>
      <c r="HZ37" s="65"/>
      <c r="IA37" s="74"/>
      <c r="IB37" s="73">
        <f t="shared" si="211"/>
        <v>0</v>
      </c>
      <c r="IC37" s="65"/>
      <c r="ID37" s="74"/>
      <c r="IE37" s="73">
        <f t="shared" si="211"/>
        <v>0</v>
      </c>
      <c r="IF37" s="65"/>
      <c r="IG37" s="74"/>
      <c r="IH37" s="73">
        <f t="shared" si="211"/>
        <v>0</v>
      </c>
      <c r="II37" s="65"/>
      <c r="IJ37" s="74"/>
      <c r="IK37" s="73">
        <f t="shared" si="211"/>
        <v>0</v>
      </c>
      <c r="IL37" s="65"/>
      <c r="IM37" s="74"/>
      <c r="IN37" s="73">
        <f t="shared" si="211"/>
        <v>0</v>
      </c>
      <c r="IO37" s="65"/>
      <c r="IP37" s="74"/>
      <c r="IQ37" s="73">
        <f t="shared" si="211"/>
        <v>0</v>
      </c>
      <c r="IR37" s="65"/>
      <c r="IS37" s="74"/>
      <c r="IT37" s="73">
        <f t="shared" si="211"/>
        <v>0</v>
      </c>
      <c r="IU37" s="65"/>
      <c r="IV37" s="74"/>
      <c r="IW37" s="73">
        <f t="shared" si="211"/>
        <v>0</v>
      </c>
      <c r="IX37" s="65"/>
      <c r="IY37" s="74"/>
      <c r="IZ37" s="73">
        <f t="shared" si="211"/>
        <v>0</v>
      </c>
      <c r="JA37" s="65"/>
      <c r="JB37" s="74"/>
      <c r="JC37" s="73">
        <f t="shared" si="211"/>
        <v>0</v>
      </c>
      <c r="JD37" s="65"/>
      <c r="JE37" s="74"/>
      <c r="JF37" s="73">
        <f t="shared" si="211"/>
        <v>0</v>
      </c>
      <c r="JG37" s="65"/>
      <c r="JH37" s="74"/>
      <c r="JI37" s="73">
        <f t="shared" si="211"/>
        <v>0</v>
      </c>
      <c r="JJ37" s="65"/>
      <c r="JK37" s="74"/>
      <c r="JL37" s="73">
        <f t="shared" si="211"/>
        <v>0</v>
      </c>
      <c r="JM37" s="65"/>
      <c r="JN37" s="74"/>
      <c r="JO37" s="73">
        <f t="shared" si="211"/>
        <v>0</v>
      </c>
      <c r="JP37" s="65"/>
      <c r="JQ37" s="74"/>
      <c r="JR37" s="73">
        <f t="shared" si="211"/>
        <v>0</v>
      </c>
      <c r="JS37" s="65"/>
      <c r="JT37" s="74"/>
      <c r="JU37" s="73">
        <f t="shared" si="211"/>
        <v>0</v>
      </c>
      <c r="JV37" s="65"/>
      <c r="JW37" s="74"/>
      <c r="JX37" s="73">
        <f t="shared" si="211"/>
        <v>0</v>
      </c>
      <c r="JY37" s="65"/>
      <c r="JZ37" s="74"/>
      <c r="KA37" s="73">
        <f t="shared" si="211"/>
        <v>0</v>
      </c>
      <c r="KB37" s="65"/>
      <c r="KC37" s="74"/>
      <c r="KD37" s="73">
        <f t="shared" si="211"/>
        <v>0</v>
      </c>
      <c r="KE37" s="65"/>
      <c r="KF37" s="74"/>
      <c r="KG37" s="73">
        <f t="shared" si="211"/>
        <v>0</v>
      </c>
      <c r="KH37" s="65"/>
      <c r="KI37" s="74"/>
      <c r="KJ37" s="73">
        <f t="shared" si="211"/>
        <v>0</v>
      </c>
      <c r="KK37" s="65"/>
      <c r="KL37" s="74"/>
      <c r="KM37" s="73">
        <f t="shared" si="211"/>
        <v>0</v>
      </c>
      <c r="KN37" s="65"/>
      <c r="KO37" s="74"/>
      <c r="KP37" s="73">
        <f t="shared" si="215"/>
        <v>0</v>
      </c>
      <c r="KQ37" s="65"/>
      <c r="KR37" s="74"/>
      <c r="KS37" s="73">
        <f t="shared" si="215"/>
        <v>0</v>
      </c>
      <c r="KT37" s="65"/>
      <c r="KU37" s="74"/>
      <c r="KV37" s="73">
        <f t="shared" si="215"/>
        <v>0</v>
      </c>
      <c r="KW37" s="65"/>
      <c r="KX37" s="74"/>
      <c r="KY37" s="73">
        <f t="shared" si="215"/>
        <v>0</v>
      </c>
      <c r="KZ37" s="65"/>
      <c r="LA37" s="74"/>
      <c r="LB37" s="73">
        <f t="shared" si="215"/>
        <v>0</v>
      </c>
      <c r="LC37" s="65"/>
      <c r="LD37" s="74"/>
      <c r="LE37" s="73">
        <f t="shared" si="215"/>
        <v>0</v>
      </c>
      <c r="LF37" s="65"/>
      <c r="LG37" s="65"/>
    </row>
    <row r="38" spans="1:319">
      <c r="A38" s="49"/>
      <c r="B38" s="49"/>
      <c r="C38" s="440" t="str">
        <f>Idiomas!D334</f>
        <v>FINAL - Exact Result</v>
      </c>
      <c r="D38" s="63">
        <v>8</v>
      </c>
      <c r="E38" s="111"/>
      <c r="F38" s="445">
        <f t="shared" si="197"/>
        <v>20</v>
      </c>
      <c r="G38" s="445">
        <f ca="1">VLOOKUP(H38,Equipos!$Q$1:$R$25,2,0)</f>
        <v>11</v>
      </c>
      <c r="H38" s="446">
        <f ca="1">TRUNC(INDEX(WORLDCUP!$X$4:$X$147,MATCH(ADMIN!K38,WORLDCUP!$DT$4:$DT$147,0))+INDEX(Horarios!$R$3:$R$86,MATCH(Horarios!$C$3,Horarios!$P$3:$P$86,0))/24)</f>
        <v>46194</v>
      </c>
      <c r="I38" s="48">
        <v>1</v>
      </c>
      <c r="J38" s="95" t="s">
        <v>122</v>
      </c>
      <c r="K38" s="53" t="str">
        <f ca="1">CONCATENATE(WORLDCUP!AA38,"-",WORLDCUP!AF38)</f>
        <v>Germany-Ivory Coast</v>
      </c>
      <c r="L38" s="53"/>
      <c r="M38" s="55" t="str">
        <f>IF(OR(WORLDCUP!AC38="",WORLDCUP!AD38=""),"-",N38&amp;"|"&amp;O38&amp;"-"&amp;P38)</f>
        <v>1|2-1</v>
      </c>
      <c r="N38" s="25" t="str">
        <f>IF(OR(WORLDCUP!AC38="",WORLDCUP!AD38=""),"",IF(WORLDCUP!AC38&gt;WORLDCUP!AD38,"1",IF(WORLDCUP!AC38&lt;WORLDCUP!AD38,"2","X")))</f>
        <v>1</v>
      </c>
      <c r="O38" s="25">
        <f>WORLDCUP!AC38</f>
        <v>2</v>
      </c>
      <c r="P38" s="25">
        <f>WORLDCUP!AD38</f>
        <v>1</v>
      </c>
      <c r="Q38" s="25">
        <f t="shared" si="201"/>
        <v>1</v>
      </c>
      <c r="R38" s="49"/>
      <c r="S38" s="74" t="s">
        <v>1954</v>
      </c>
      <c r="T38" s="73">
        <f t="shared" si="198"/>
        <v>20</v>
      </c>
      <c r="U38" s="65"/>
      <c r="V38" s="74" t="s">
        <v>1950</v>
      </c>
      <c r="W38" s="73">
        <f t="shared" si="199"/>
        <v>10</v>
      </c>
      <c r="X38" s="65"/>
      <c r="Y38" s="74" t="s">
        <v>1950</v>
      </c>
      <c r="Z38" s="73">
        <f t="shared" si="212"/>
        <v>10</v>
      </c>
      <c r="AA38" s="65"/>
      <c r="AB38" s="74" t="s">
        <v>1954</v>
      </c>
      <c r="AC38" s="73">
        <f t="shared" si="212"/>
        <v>20</v>
      </c>
      <c r="AD38" s="65"/>
      <c r="AE38" s="74" t="s">
        <v>1950</v>
      </c>
      <c r="AF38" s="73">
        <f t="shared" si="212"/>
        <v>10</v>
      </c>
      <c r="AG38" s="65"/>
      <c r="AH38" s="74" t="s">
        <v>1958</v>
      </c>
      <c r="AI38" s="73">
        <f t="shared" si="212"/>
        <v>10</v>
      </c>
      <c r="AJ38" s="65"/>
      <c r="AK38" s="74" t="s">
        <v>1958</v>
      </c>
      <c r="AL38" s="73">
        <f t="shared" si="212"/>
        <v>10</v>
      </c>
      <c r="AM38" s="65"/>
      <c r="AN38" s="74" t="s">
        <v>1953</v>
      </c>
      <c r="AO38" s="73">
        <f t="shared" si="212"/>
        <v>0</v>
      </c>
      <c r="AP38" s="65"/>
      <c r="AQ38" s="74" t="s">
        <v>1945</v>
      </c>
      <c r="AR38" s="73">
        <f t="shared" si="212"/>
        <v>10</v>
      </c>
      <c r="AS38" s="65"/>
      <c r="AT38" s="74" t="s">
        <v>1958</v>
      </c>
      <c r="AU38" s="73">
        <f t="shared" si="212"/>
        <v>10</v>
      </c>
      <c r="AV38" s="65"/>
      <c r="AW38" s="74" t="s">
        <v>1954</v>
      </c>
      <c r="AX38" s="73">
        <f t="shared" si="212"/>
        <v>20</v>
      </c>
      <c r="AY38" s="65"/>
      <c r="AZ38" s="74" t="s">
        <v>1954</v>
      </c>
      <c r="BA38" s="73">
        <f t="shared" si="212"/>
        <v>20</v>
      </c>
      <c r="BB38" s="65"/>
      <c r="BC38" s="74" t="s">
        <v>1954</v>
      </c>
      <c r="BD38" s="73">
        <f t="shared" si="212"/>
        <v>20</v>
      </c>
      <c r="BE38" s="65"/>
      <c r="BF38" s="74" t="s">
        <v>1958</v>
      </c>
      <c r="BG38" s="73">
        <f t="shared" si="212"/>
        <v>10</v>
      </c>
      <c r="BH38" s="65"/>
      <c r="BI38" s="74" t="s">
        <v>1949</v>
      </c>
      <c r="BJ38" s="73">
        <f t="shared" si="212"/>
        <v>10</v>
      </c>
      <c r="BK38" s="65"/>
      <c r="BL38" s="74" t="s">
        <v>1950</v>
      </c>
      <c r="BM38" s="73">
        <f t="shared" si="212"/>
        <v>10</v>
      </c>
      <c r="BN38" s="65"/>
      <c r="BO38" s="74" t="s">
        <v>1950</v>
      </c>
      <c r="BP38" s="73">
        <f t="shared" si="212"/>
        <v>10</v>
      </c>
      <c r="BQ38" s="65"/>
      <c r="BR38" s="74" t="s">
        <v>1957</v>
      </c>
      <c r="BS38" s="73">
        <f t="shared" si="212"/>
        <v>0</v>
      </c>
      <c r="BT38" s="65"/>
      <c r="BU38" s="74" t="s">
        <v>1950</v>
      </c>
      <c r="BV38" s="73">
        <f t="shared" si="212"/>
        <v>10</v>
      </c>
      <c r="BW38" s="65"/>
      <c r="BX38" s="74" t="s">
        <v>1950</v>
      </c>
      <c r="BY38" s="73">
        <f t="shared" si="212"/>
        <v>10</v>
      </c>
      <c r="BZ38" s="65"/>
      <c r="CA38" s="74" t="s">
        <v>1950</v>
      </c>
      <c r="CB38" s="73">
        <f t="shared" si="212"/>
        <v>10</v>
      </c>
      <c r="CC38" s="65"/>
      <c r="CD38" s="74" t="s">
        <v>1950</v>
      </c>
      <c r="CE38" s="73">
        <f t="shared" si="212"/>
        <v>10</v>
      </c>
      <c r="CF38" s="65"/>
      <c r="CG38" s="74" t="s">
        <v>1949</v>
      </c>
      <c r="CH38" s="73">
        <f t="shared" si="212"/>
        <v>10</v>
      </c>
      <c r="CI38" s="65"/>
      <c r="CJ38" s="74" t="s">
        <v>1954</v>
      </c>
      <c r="CK38" s="73">
        <f t="shared" si="210"/>
        <v>20</v>
      </c>
      <c r="CL38" s="65"/>
      <c r="CM38" s="74" t="s">
        <v>1958</v>
      </c>
      <c r="CN38" s="73">
        <f t="shared" si="210"/>
        <v>10</v>
      </c>
      <c r="CO38" s="65"/>
      <c r="CP38" s="74" t="s">
        <v>1959</v>
      </c>
      <c r="CQ38" s="73">
        <f t="shared" si="210"/>
        <v>12</v>
      </c>
      <c r="CR38" s="65"/>
      <c r="CS38" s="74" t="s">
        <v>1957</v>
      </c>
      <c r="CT38" s="73">
        <f t="shared" si="210"/>
        <v>0</v>
      </c>
      <c r="CU38" s="65"/>
      <c r="CV38" s="74" t="s">
        <v>1959</v>
      </c>
      <c r="CW38" s="73">
        <f t="shared" si="210"/>
        <v>12</v>
      </c>
      <c r="CX38" s="65"/>
      <c r="CY38" s="74" t="s">
        <v>1947</v>
      </c>
      <c r="CZ38" s="73">
        <f t="shared" si="210"/>
        <v>10</v>
      </c>
      <c r="DA38" s="65"/>
      <c r="DB38" s="74" t="s">
        <v>1950</v>
      </c>
      <c r="DC38" s="73">
        <f t="shared" si="210"/>
        <v>10</v>
      </c>
      <c r="DD38" s="65"/>
      <c r="DE38" s="74" t="s">
        <v>1950</v>
      </c>
      <c r="DF38" s="73">
        <f t="shared" si="210"/>
        <v>10</v>
      </c>
      <c r="DG38" s="65"/>
      <c r="DH38" s="74" t="s">
        <v>1959</v>
      </c>
      <c r="DI38" s="73">
        <f t="shared" si="210"/>
        <v>12</v>
      </c>
      <c r="DJ38" s="65"/>
      <c r="DK38" s="74" t="s">
        <v>1954</v>
      </c>
      <c r="DL38" s="73">
        <f t="shared" si="210"/>
        <v>20</v>
      </c>
      <c r="DM38" s="65"/>
      <c r="DN38" s="74" t="s">
        <v>1954</v>
      </c>
      <c r="DO38" s="73">
        <f t="shared" si="210"/>
        <v>20</v>
      </c>
      <c r="DP38" s="65"/>
      <c r="DQ38" s="74" t="s">
        <v>1957</v>
      </c>
      <c r="DR38" s="73">
        <f t="shared" si="210"/>
        <v>0</v>
      </c>
      <c r="DS38" s="65"/>
      <c r="DT38" s="74" t="s">
        <v>1954</v>
      </c>
      <c r="DU38" s="73">
        <f t="shared" si="210"/>
        <v>20</v>
      </c>
      <c r="DV38" s="65"/>
      <c r="DW38" s="74" t="s">
        <v>1943</v>
      </c>
      <c r="DX38" s="73">
        <f t="shared" si="214"/>
        <v>12</v>
      </c>
      <c r="DY38" s="65"/>
      <c r="DZ38" s="74" t="s">
        <v>1950</v>
      </c>
      <c r="EA38" s="73">
        <f t="shared" si="214"/>
        <v>10</v>
      </c>
      <c r="EB38" s="65"/>
      <c r="EC38" s="74" t="s">
        <v>1950</v>
      </c>
      <c r="ED38" s="73">
        <f t="shared" si="214"/>
        <v>10</v>
      </c>
      <c r="EE38" s="65"/>
      <c r="EF38" s="74" t="s">
        <v>1949</v>
      </c>
      <c r="EG38" s="73">
        <f t="shared" si="214"/>
        <v>10</v>
      </c>
      <c r="EH38" s="65"/>
      <c r="EI38" s="74" t="s">
        <v>1950</v>
      </c>
      <c r="EJ38" s="73">
        <f t="shared" si="214"/>
        <v>10</v>
      </c>
      <c r="EK38" s="65"/>
      <c r="EL38" s="74" t="s">
        <v>1954</v>
      </c>
      <c r="EM38" s="73">
        <f t="shared" si="214"/>
        <v>20</v>
      </c>
      <c r="EN38" s="65"/>
      <c r="EO38" s="74" t="s">
        <v>1950</v>
      </c>
      <c r="EP38" s="73">
        <f t="shared" si="214"/>
        <v>10</v>
      </c>
      <c r="EQ38" s="65"/>
      <c r="ER38" s="74" t="s">
        <v>1954</v>
      </c>
      <c r="ES38" s="73">
        <f t="shared" si="214"/>
        <v>20</v>
      </c>
      <c r="ET38" s="65"/>
      <c r="EU38" s="74" t="s">
        <v>1954</v>
      </c>
      <c r="EV38" s="73">
        <f t="shared" si="214"/>
        <v>20</v>
      </c>
      <c r="EW38" s="65"/>
      <c r="EX38" s="74" t="s">
        <v>1954</v>
      </c>
      <c r="EY38" s="73">
        <f t="shared" si="214"/>
        <v>20</v>
      </c>
      <c r="EZ38" s="65"/>
      <c r="FA38" s="74" t="s">
        <v>1950</v>
      </c>
      <c r="FB38" s="73">
        <f t="shared" si="214"/>
        <v>10</v>
      </c>
      <c r="FC38" s="65"/>
      <c r="FD38" s="74" t="s">
        <v>1950</v>
      </c>
      <c r="FE38" s="73">
        <f t="shared" si="214"/>
        <v>10</v>
      </c>
      <c r="FF38" s="65"/>
      <c r="FG38" s="74" t="s">
        <v>1944</v>
      </c>
      <c r="FH38" s="73">
        <f t="shared" si="214"/>
        <v>0</v>
      </c>
      <c r="FI38" s="65"/>
      <c r="FJ38" s="74" t="s">
        <v>1954</v>
      </c>
      <c r="FK38" s="73">
        <f t="shared" si="214"/>
        <v>20</v>
      </c>
      <c r="FL38" s="65"/>
      <c r="FM38" s="74" t="s">
        <v>1958</v>
      </c>
      <c r="FN38" s="73">
        <f t="shared" si="214"/>
        <v>10</v>
      </c>
      <c r="FO38" s="65"/>
      <c r="FP38" s="74" t="s">
        <v>1954</v>
      </c>
      <c r="FQ38" s="73">
        <f t="shared" si="214"/>
        <v>20</v>
      </c>
      <c r="FR38" s="65"/>
      <c r="FS38" s="74" t="s">
        <v>1950</v>
      </c>
      <c r="FT38" s="73">
        <f t="shared" si="214"/>
        <v>10</v>
      </c>
      <c r="FU38" s="65"/>
      <c r="FV38" s="74" t="s">
        <v>1950</v>
      </c>
      <c r="FW38" s="73">
        <f t="shared" si="214"/>
        <v>10</v>
      </c>
      <c r="FX38" s="65"/>
      <c r="FY38" s="74" t="s">
        <v>1954</v>
      </c>
      <c r="FZ38" s="73">
        <f t="shared" si="214"/>
        <v>20</v>
      </c>
      <c r="GA38" s="65"/>
      <c r="GB38" s="74" t="s">
        <v>1954</v>
      </c>
      <c r="GC38" s="73">
        <f t="shared" si="214"/>
        <v>20</v>
      </c>
      <c r="GD38" s="65"/>
      <c r="GE38" s="74" t="s">
        <v>1954</v>
      </c>
      <c r="GF38" s="73">
        <f t="shared" si="214"/>
        <v>20</v>
      </c>
      <c r="GG38" s="65"/>
      <c r="GH38" s="74" t="s">
        <v>1949</v>
      </c>
      <c r="GI38" s="73">
        <f t="shared" si="214"/>
        <v>10</v>
      </c>
      <c r="GJ38" s="65"/>
      <c r="GK38" s="74" t="s">
        <v>1949</v>
      </c>
      <c r="GL38" s="73">
        <f t="shared" si="213"/>
        <v>10</v>
      </c>
      <c r="GM38" s="65"/>
      <c r="GN38" s="74"/>
      <c r="GO38" s="73">
        <f t="shared" si="213"/>
        <v>0</v>
      </c>
      <c r="GP38" s="65"/>
      <c r="GQ38" s="74"/>
      <c r="GR38" s="73">
        <f t="shared" si="213"/>
        <v>0</v>
      </c>
      <c r="GS38" s="65"/>
      <c r="GT38" s="74"/>
      <c r="GU38" s="73">
        <f t="shared" si="213"/>
        <v>0</v>
      </c>
      <c r="GV38" s="65"/>
      <c r="GW38" s="74"/>
      <c r="GX38" s="73">
        <f t="shared" si="213"/>
        <v>0</v>
      </c>
      <c r="GY38" s="65"/>
      <c r="GZ38" s="74"/>
      <c r="HA38" s="73">
        <f t="shared" si="213"/>
        <v>0</v>
      </c>
      <c r="HB38" s="65"/>
      <c r="HC38" s="74"/>
      <c r="HD38" s="73">
        <f t="shared" si="213"/>
        <v>0</v>
      </c>
      <c r="HE38" s="65"/>
      <c r="HF38" s="74"/>
      <c r="HG38" s="73">
        <f t="shared" si="213"/>
        <v>0</v>
      </c>
      <c r="HH38" s="65"/>
      <c r="HI38" s="74"/>
      <c r="HJ38" s="73">
        <f t="shared" si="213"/>
        <v>0</v>
      </c>
      <c r="HK38" s="65"/>
      <c r="HL38" s="74"/>
      <c r="HM38" s="73">
        <f t="shared" si="213"/>
        <v>0</v>
      </c>
      <c r="HN38" s="65"/>
      <c r="HO38" s="74"/>
      <c r="HP38" s="73">
        <f t="shared" si="213"/>
        <v>0</v>
      </c>
      <c r="HQ38" s="65"/>
      <c r="HR38" s="74"/>
      <c r="HS38" s="73">
        <f t="shared" si="213"/>
        <v>0</v>
      </c>
      <c r="HT38" s="65"/>
      <c r="HU38" s="74"/>
      <c r="HV38" s="73">
        <f t="shared" si="213"/>
        <v>0</v>
      </c>
      <c r="HW38" s="65"/>
      <c r="HX38" s="74"/>
      <c r="HY38" s="73">
        <f t="shared" si="213"/>
        <v>0</v>
      </c>
      <c r="HZ38" s="65"/>
      <c r="IA38" s="74"/>
      <c r="IB38" s="73">
        <f t="shared" si="211"/>
        <v>0</v>
      </c>
      <c r="IC38" s="65"/>
      <c r="ID38" s="74"/>
      <c r="IE38" s="73">
        <f t="shared" si="211"/>
        <v>0</v>
      </c>
      <c r="IF38" s="65"/>
      <c r="IG38" s="74"/>
      <c r="IH38" s="73">
        <f t="shared" si="211"/>
        <v>0</v>
      </c>
      <c r="II38" s="65"/>
      <c r="IJ38" s="74"/>
      <c r="IK38" s="73">
        <f t="shared" si="211"/>
        <v>0</v>
      </c>
      <c r="IL38" s="65"/>
      <c r="IM38" s="74"/>
      <c r="IN38" s="73">
        <f t="shared" si="211"/>
        <v>0</v>
      </c>
      <c r="IO38" s="65"/>
      <c r="IP38" s="74"/>
      <c r="IQ38" s="73">
        <f t="shared" si="211"/>
        <v>0</v>
      </c>
      <c r="IR38" s="65"/>
      <c r="IS38" s="74"/>
      <c r="IT38" s="73">
        <f t="shared" si="211"/>
        <v>0</v>
      </c>
      <c r="IU38" s="65"/>
      <c r="IV38" s="74"/>
      <c r="IW38" s="73">
        <f t="shared" si="211"/>
        <v>0</v>
      </c>
      <c r="IX38" s="65"/>
      <c r="IY38" s="74"/>
      <c r="IZ38" s="73">
        <f t="shared" si="211"/>
        <v>0</v>
      </c>
      <c r="JA38" s="65"/>
      <c r="JB38" s="74"/>
      <c r="JC38" s="73">
        <f t="shared" si="211"/>
        <v>0</v>
      </c>
      <c r="JD38" s="65"/>
      <c r="JE38" s="74"/>
      <c r="JF38" s="73">
        <f t="shared" si="211"/>
        <v>0</v>
      </c>
      <c r="JG38" s="65"/>
      <c r="JH38" s="74"/>
      <c r="JI38" s="73">
        <f t="shared" si="211"/>
        <v>0</v>
      </c>
      <c r="JJ38" s="65"/>
      <c r="JK38" s="74"/>
      <c r="JL38" s="73">
        <f t="shared" si="211"/>
        <v>0</v>
      </c>
      <c r="JM38" s="65"/>
      <c r="JN38" s="74"/>
      <c r="JO38" s="73">
        <f t="shared" si="211"/>
        <v>0</v>
      </c>
      <c r="JP38" s="65"/>
      <c r="JQ38" s="74"/>
      <c r="JR38" s="73">
        <f t="shared" si="211"/>
        <v>0</v>
      </c>
      <c r="JS38" s="65"/>
      <c r="JT38" s="74"/>
      <c r="JU38" s="73">
        <f t="shared" si="211"/>
        <v>0</v>
      </c>
      <c r="JV38" s="65"/>
      <c r="JW38" s="74"/>
      <c r="JX38" s="73">
        <f t="shared" si="211"/>
        <v>0</v>
      </c>
      <c r="JY38" s="65"/>
      <c r="JZ38" s="74"/>
      <c r="KA38" s="73">
        <f t="shared" si="211"/>
        <v>0</v>
      </c>
      <c r="KB38" s="65"/>
      <c r="KC38" s="74"/>
      <c r="KD38" s="73">
        <f t="shared" si="211"/>
        <v>0</v>
      </c>
      <c r="KE38" s="65"/>
      <c r="KF38" s="74"/>
      <c r="KG38" s="73">
        <f t="shared" si="211"/>
        <v>0</v>
      </c>
      <c r="KH38" s="65"/>
      <c r="KI38" s="74"/>
      <c r="KJ38" s="73">
        <f t="shared" si="211"/>
        <v>0</v>
      </c>
      <c r="KK38" s="65"/>
      <c r="KL38" s="74"/>
      <c r="KM38" s="73">
        <f t="shared" si="211"/>
        <v>0</v>
      </c>
      <c r="KN38" s="65"/>
      <c r="KO38" s="74"/>
      <c r="KP38" s="73">
        <f t="shared" si="215"/>
        <v>0</v>
      </c>
      <c r="KQ38" s="65"/>
      <c r="KR38" s="74"/>
      <c r="KS38" s="73">
        <f t="shared" si="215"/>
        <v>0</v>
      </c>
      <c r="KT38" s="65"/>
      <c r="KU38" s="74"/>
      <c r="KV38" s="73">
        <f t="shared" si="215"/>
        <v>0</v>
      </c>
      <c r="KW38" s="65"/>
      <c r="KX38" s="74"/>
      <c r="KY38" s="73">
        <f t="shared" si="215"/>
        <v>0</v>
      </c>
      <c r="KZ38" s="65"/>
      <c r="LA38" s="74"/>
      <c r="LB38" s="73">
        <f t="shared" si="215"/>
        <v>0</v>
      </c>
      <c r="LC38" s="65"/>
      <c r="LD38" s="74"/>
      <c r="LE38" s="73">
        <f t="shared" si="215"/>
        <v>0</v>
      </c>
      <c r="LF38" s="65"/>
      <c r="LG38" s="65"/>
    </row>
    <row r="39" spans="1:319">
      <c r="A39" s="49"/>
      <c r="B39" s="49"/>
      <c r="C39" s="438" t="str">
        <f>Idiomas!D335</f>
        <v>Winner</v>
      </c>
      <c r="D39" s="44">
        <v>50</v>
      </c>
      <c r="E39" s="111"/>
      <c r="F39" s="445">
        <f t="shared" si="197"/>
        <v>20</v>
      </c>
      <c r="G39" s="445">
        <f ca="1">VLOOKUP(H39,Equipos!$Q$1:$R$25,2,0)</f>
        <v>11</v>
      </c>
      <c r="H39" s="446">
        <f ca="1">TRUNC(INDEX(WORLDCUP!$X$4:$X$147,MATCH(ADMIN!K39,WORLDCUP!$DT$4:$DT$147,0))+INDEX(Horarios!$R$3:$R$86,MATCH(Horarios!$C$3,Horarios!$P$3:$P$86,0))/24)</f>
        <v>46194</v>
      </c>
      <c r="I39" s="48">
        <v>1</v>
      </c>
      <c r="J39" s="95" t="s">
        <v>122</v>
      </c>
      <c r="K39" s="56" t="str">
        <f ca="1">CONCATENATE(WORLDCUP!AA39,"-",WORLDCUP!AF39)</f>
        <v>Ecuador-Curaçao</v>
      </c>
      <c r="L39" s="53"/>
      <c r="M39" s="55" t="str">
        <f>IF(OR(WORLDCUP!AC39="",WORLDCUP!AD39=""),"-",N39&amp;"|"&amp;O39&amp;"-"&amp;P39)</f>
        <v>X|0-0</v>
      </c>
      <c r="N39" s="25" t="str">
        <f>IF(OR(WORLDCUP!AC39="",WORLDCUP!AD39=""),"",IF(WORLDCUP!AC39&gt;WORLDCUP!AD39,"1",IF(WORLDCUP!AC39&lt;WORLDCUP!AD39,"2","X")))</f>
        <v>X</v>
      </c>
      <c r="O39" s="25">
        <f>WORLDCUP!AC39</f>
        <v>0</v>
      </c>
      <c r="P39" s="25">
        <f>WORLDCUP!AD39</f>
        <v>0</v>
      </c>
      <c r="Q39" s="25">
        <f t="shared" si="201"/>
        <v>0</v>
      </c>
      <c r="R39" s="49"/>
      <c r="S39" s="74" t="s">
        <v>1954</v>
      </c>
      <c r="T39" s="73">
        <f t="shared" si="198"/>
        <v>0</v>
      </c>
      <c r="U39" s="65"/>
      <c r="V39" s="74" t="s">
        <v>1954</v>
      </c>
      <c r="W39" s="73">
        <f t="shared" si="199"/>
        <v>0</v>
      </c>
      <c r="X39" s="65"/>
      <c r="Y39" s="74" t="s">
        <v>1950</v>
      </c>
      <c r="Z39" s="73">
        <f t="shared" si="212"/>
        <v>0</v>
      </c>
      <c r="AA39" s="65"/>
      <c r="AB39" s="74" t="s">
        <v>1954</v>
      </c>
      <c r="AC39" s="73">
        <f t="shared" si="212"/>
        <v>0</v>
      </c>
      <c r="AD39" s="65"/>
      <c r="AE39" s="74" t="s">
        <v>1958</v>
      </c>
      <c r="AF39" s="73">
        <f t="shared" si="212"/>
        <v>0</v>
      </c>
      <c r="AG39" s="65"/>
      <c r="AH39" s="74" t="s">
        <v>1947</v>
      </c>
      <c r="AI39" s="73">
        <f t="shared" si="212"/>
        <v>0</v>
      </c>
      <c r="AJ39" s="65"/>
      <c r="AK39" s="74" t="s">
        <v>1957</v>
      </c>
      <c r="AL39" s="73">
        <f t="shared" si="212"/>
        <v>12</v>
      </c>
      <c r="AM39" s="65"/>
      <c r="AN39" s="74" t="s">
        <v>1959</v>
      </c>
      <c r="AO39" s="73">
        <f t="shared" si="212"/>
        <v>0</v>
      </c>
      <c r="AP39" s="65"/>
      <c r="AQ39" s="74" t="s">
        <v>1944</v>
      </c>
      <c r="AR39" s="73">
        <f t="shared" si="212"/>
        <v>12</v>
      </c>
      <c r="AS39" s="65"/>
      <c r="AT39" s="74" t="s">
        <v>1959</v>
      </c>
      <c r="AU39" s="73">
        <f t="shared" si="212"/>
        <v>0</v>
      </c>
      <c r="AV39" s="65"/>
      <c r="AW39" s="74" t="s">
        <v>1958</v>
      </c>
      <c r="AX39" s="73">
        <f t="shared" si="212"/>
        <v>0</v>
      </c>
      <c r="AY39" s="65"/>
      <c r="AZ39" s="74" t="s">
        <v>1950</v>
      </c>
      <c r="BA39" s="73">
        <f t="shared" si="212"/>
        <v>0</v>
      </c>
      <c r="BB39" s="65"/>
      <c r="BC39" s="74" t="s">
        <v>1954</v>
      </c>
      <c r="BD39" s="73">
        <f t="shared" si="212"/>
        <v>0</v>
      </c>
      <c r="BE39" s="65"/>
      <c r="BF39" s="74" t="s">
        <v>2133</v>
      </c>
      <c r="BG39" s="73">
        <f t="shared" si="212"/>
        <v>20</v>
      </c>
      <c r="BH39" s="65"/>
      <c r="BI39" s="74" t="s">
        <v>1949</v>
      </c>
      <c r="BJ39" s="73">
        <f t="shared" si="212"/>
        <v>0</v>
      </c>
      <c r="BK39" s="65"/>
      <c r="BL39" s="74" t="s">
        <v>1950</v>
      </c>
      <c r="BM39" s="73">
        <f t="shared" si="212"/>
        <v>0</v>
      </c>
      <c r="BN39" s="65"/>
      <c r="BO39" s="74" t="s">
        <v>1949</v>
      </c>
      <c r="BP39" s="73">
        <f t="shared" si="212"/>
        <v>0</v>
      </c>
      <c r="BQ39" s="65"/>
      <c r="BR39" s="74" t="s">
        <v>1949</v>
      </c>
      <c r="BS39" s="73">
        <f t="shared" si="212"/>
        <v>0</v>
      </c>
      <c r="BT39" s="65"/>
      <c r="BU39" s="74" t="s">
        <v>1950</v>
      </c>
      <c r="BV39" s="73">
        <f t="shared" si="212"/>
        <v>0</v>
      </c>
      <c r="BW39" s="65"/>
      <c r="BX39" s="74" t="s">
        <v>2000</v>
      </c>
      <c r="BY39" s="73">
        <f t="shared" si="212"/>
        <v>0</v>
      </c>
      <c r="BZ39" s="65"/>
      <c r="CA39" s="74" t="s">
        <v>1950</v>
      </c>
      <c r="CB39" s="73">
        <f t="shared" si="212"/>
        <v>0</v>
      </c>
      <c r="CC39" s="65"/>
      <c r="CD39" s="74" t="s">
        <v>2133</v>
      </c>
      <c r="CE39" s="73">
        <f t="shared" si="212"/>
        <v>20</v>
      </c>
      <c r="CF39" s="65"/>
      <c r="CG39" s="74" t="s">
        <v>1953</v>
      </c>
      <c r="CH39" s="73">
        <f t="shared" si="212"/>
        <v>0</v>
      </c>
      <c r="CI39" s="65"/>
      <c r="CJ39" s="74" t="s">
        <v>1954</v>
      </c>
      <c r="CK39" s="73">
        <f t="shared" si="210"/>
        <v>0</v>
      </c>
      <c r="CL39" s="65"/>
      <c r="CM39" s="74" t="s">
        <v>1954</v>
      </c>
      <c r="CN39" s="73">
        <f t="shared" si="210"/>
        <v>0</v>
      </c>
      <c r="CO39" s="65"/>
      <c r="CP39" s="74" t="s">
        <v>1957</v>
      </c>
      <c r="CQ39" s="73">
        <f t="shared" si="210"/>
        <v>12</v>
      </c>
      <c r="CR39" s="65"/>
      <c r="CS39" s="74" t="s">
        <v>2000</v>
      </c>
      <c r="CT39" s="73">
        <f t="shared" si="210"/>
        <v>0</v>
      </c>
      <c r="CU39" s="65"/>
      <c r="CV39" s="74" t="s">
        <v>2000</v>
      </c>
      <c r="CW39" s="73">
        <f t="shared" si="210"/>
        <v>0</v>
      </c>
      <c r="CX39" s="65"/>
      <c r="CY39" s="74" t="s">
        <v>1954</v>
      </c>
      <c r="CZ39" s="73">
        <f t="shared" si="210"/>
        <v>0</v>
      </c>
      <c r="DA39" s="65"/>
      <c r="DB39" s="74" t="s">
        <v>1959</v>
      </c>
      <c r="DC39" s="73">
        <f t="shared" si="210"/>
        <v>0</v>
      </c>
      <c r="DD39" s="65"/>
      <c r="DE39" s="74" t="s">
        <v>1949</v>
      </c>
      <c r="DF39" s="73">
        <f t="shared" si="210"/>
        <v>0</v>
      </c>
      <c r="DG39" s="65"/>
      <c r="DH39" s="74" t="s">
        <v>1944</v>
      </c>
      <c r="DI39" s="73">
        <f t="shared" si="210"/>
        <v>12</v>
      </c>
      <c r="DJ39" s="65"/>
      <c r="DK39" s="74" t="s">
        <v>1950</v>
      </c>
      <c r="DL39" s="73">
        <f t="shared" si="210"/>
        <v>0</v>
      </c>
      <c r="DM39" s="65"/>
      <c r="DN39" s="74" t="s">
        <v>1950</v>
      </c>
      <c r="DO39" s="73">
        <f t="shared" si="210"/>
        <v>0</v>
      </c>
      <c r="DP39" s="65"/>
      <c r="DQ39" s="74" t="s">
        <v>1959</v>
      </c>
      <c r="DR39" s="73">
        <f t="shared" si="210"/>
        <v>0</v>
      </c>
      <c r="DS39" s="65"/>
      <c r="DT39" s="74" t="s">
        <v>1950</v>
      </c>
      <c r="DU39" s="73">
        <f t="shared" si="210"/>
        <v>0</v>
      </c>
      <c r="DV39" s="65"/>
      <c r="DW39" s="74" t="s">
        <v>1954</v>
      </c>
      <c r="DX39" s="73">
        <f t="shared" si="214"/>
        <v>0</v>
      </c>
      <c r="DY39" s="65"/>
      <c r="DZ39" s="74" t="s">
        <v>1950</v>
      </c>
      <c r="EA39" s="73">
        <f t="shared" si="214"/>
        <v>0</v>
      </c>
      <c r="EB39" s="65"/>
      <c r="EC39" s="74" t="s">
        <v>1954</v>
      </c>
      <c r="ED39" s="73">
        <f t="shared" si="214"/>
        <v>0</v>
      </c>
      <c r="EE39" s="65"/>
      <c r="EF39" s="74" t="s">
        <v>2000</v>
      </c>
      <c r="EG39" s="73">
        <f t="shared" si="214"/>
        <v>0</v>
      </c>
      <c r="EH39" s="65"/>
      <c r="EI39" s="74" t="s">
        <v>1950</v>
      </c>
      <c r="EJ39" s="73">
        <f t="shared" si="214"/>
        <v>0</v>
      </c>
      <c r="EK39" s="65"/>
      <c r="EL39" s="74" t="s">
        <v>1958</v>
      </c>
      <c r="EM39" s="73">
        <f t="shared" si="214"/>
        <v>0</v>
      </c>
      <c r="EN39" s="65"/>
      <c r="EO39" s="74" t="s">
        <v>1959</v>
      </c>
      <c r="EP39" s="73">
        <f t="shared" si="214"/>
        <v>0</v>
      </c>
      <c r="EQ39" s="65"/>
      <c r="ER39" s="74" t="s">
        <v>1950</v>
      </c>
      <c r="ES39" s="73">
        <f t="shared" si="214"/>
        <v>0</v>
      </c>
      <c r="ET39" s="65"/>
      <c r="EU39" s="74" t="s">
        <v>1950</v>
      </c>
      <c r="EV39" s="73">
        <f t="shared" si="214"/>
        <v>0</v>
      </c>
      <c r="EW39" s="65"/>
      <c r="EX39" s="74" t="s">
        <v>1954</v>
      </c>
      <c r="EY39" s="73">
        <f t="shared" si="214"/>
        <v>0</v>
      </c>
      <c r="EZ39" s="65"/>
      <c r="FA39" s="74" t="s">
        <v>1950</v>
      </c>
      <c r="FB39" s="73">
        <f t="shared" si="214"/>
        <v>0</v>
      </c>
      <c r="FC39" s="65"/>
      <c r="FD39" s="74" t="s">
        <v>2000</v>
      </c>
      <c r="FE39" s="73">
        <f t="shared" si="214"/>
        <v>0</v>
      </c>
      <c r="FF39" s="65"/>
      <c r="FG39" s="74" t="s">
        <v>1949</v>
      </c>
      <c r="FH39" s="73">
        <f t="shared" si="214"/>
        <v>0</v>
      </c>
      <c r="FI39" s="65"/>
      <c r="FJ39" s="74" t="s">
        <v>1950</v>
      </c>
      <c r="FK39" s="73">
        <f t="shared" si="214"/>
        <v>0</v>
      </c>
      <c r="FL39" s="65"/>
      <c r="FM39" s="74" t="s">
        <v>1958</v>
      </c>
      <c r="FN39" s="73">
        <f t="shared" si="214"/>
        <v>0</v>
      </c>
      <c r="FO39" s="65"/>
      <c r="FP39" s="74" t="s">
        <v>1959</v>
      </c>
      <c r="FQ39" s="73">
        <f t="shared" si="214"/>
        <v>0</v>
      </c>
      <c r="FR39" s="65"/>
      <c r="FS39" s="74" t="s">
        <v>1950</v>
      </c>
      <c r="FT39" s="73">
        <f t="shared" si="214"/>
        <v>0</v>
      </c>
      <c r="FU39" s="65"/>
      <c r="FV39" s="74" t="s">
        <v>1957</v>
      </c>
      <c r="FW39" s="73">
        <f t="shared" si="214"/>
        <v>12</v>
      </c>
      <c r="FX39" s="65"/>
      <c r="FY39" s="74" t="s">
        <v>1959</v>
      </c>
      <c r="FZ39" s="73">
        <f t="shared" si="214"/>
        <v>0</v>
      </c>
      <c r="GA39" s="65"/>
      <c r="GB39" s="74" t="s">
        <v>1959</v>
      </c>
      <c r="GC39" s="73">
        <f t="shared" si="214"/>
        <v>0</v>
      </c>
      <c r="GD39" s="65"/>
      <c r="GE39" s="74" t="s">
        <v>1950</v>
      </c>
      <c r="GF39" s="73">
        <f t="shared" si="214"/>
        <v>0</v>
      </c>
      <c r="GG39" s="65"/>
      <c r="GH39" s="74" t="s">
        <v>1957</v>
      </c>
      <c r="GI39" s="73">
        <f t="shared" si="214"/>
        <v>12</v>
      </c>
      <c r="GJ39" s="65"/>
      <c r="GK39" s="74" t="s">
        <v>1950</v>
      </c>
      <c r="GL39" s="73">
        <f t="shared" si="213"/>
        <v>0</v>
      </c>
      <c r="GM39" s="65"/>
      <c r="GN39" s="74"/>
      <c r="GO39" s="73">
        <f t="shared" si="213"/>
        <v>0</v>
      </c>
      <c r="GP39" s="65"/>
      <c r="GQ39" s="74"/>
      <c r="GR39" s="73">
        <f t="shared" si="213"/>
        <v>0</v>
      </c>
      <c r="GS39" s="65"/>
      <c r="GT39" s="74"/>
      <c r="GU39" s="73">
        <f t="shared" si="213"/>
        <v>0</v>
      </c>
      <c r="GV39" s="65"/>
      <c r="GW39" s="74"/>
      <c r="GX39" s="73">
        <f t="shared" si="213"/>
        <v>0</v>
      </c>
      <c r="GY39" s="65"/>
      <c r="GZ39" s="74"/>
      <c r="HA39" s="73">
        <f t="shared" si="213"/>
        <v>0</v>
      </c>
      <c r="HB39" s="65"/>
      <c r="HC39" s="74"/>
      <c r="HD39" s="73">
        <f t="shared" si="213"/>
        <v>0</v>
      </c>
      <c r="HE39" s="65"/>
      <c r="HF39" s="74"/>
      <c r="HG39" s="73">
        <f t="shared" si="213"/>
        <v>0</v>
      </c>
      <c r="HH39" s="65"/>
      <c r="HI39" s="74"/>
      <c r="HJ39" s="73">
        <f t="shared" si="213"/>
        <v>0</v>
      </c>
      <c r="HK39" s="65"/>
      <c r="HL39" s="74"/>
      <c r="HM39" s="73">
        <f t="shared" si="213"/>
        <v>0</v>
      </c>
      <c r="HN39" s="65"/>
      <c r="HO39" s="74"/>
      <c r="HP39" s="73">
        <f t="shared" si="213"/>
        <v>0</v>
      </c>
      <c r="HQ39" s="65"/>
      <c r="HR39" s="74"/>
      <c r="HS39" s="73">
        <f t="shared" si="213"/>
        <v>0</v>
      </c>
      <c r="HT39" s="65"/>
      <c r="HU39" s="74"/>
      <c r="HV39" s="73">
        <f t="shared" si="213"/>
        <v>0</v>
      </c>
      <c r="HW39" s="65"/>
      <c r="HX39" s="74"/>
      <c r="HY39" s="73">
        <f t="shared" si="213"/>
        <v>0</v>
      </c>
      <c r="HZ39" s="65"/>
      <c r="IA39" s="74"/>
      <c r="IB39" s="73">
        <f t="shared" si="211"/>
        <v>0</v>
      </c>
      <c r="IC39" s="65"/>
      <c r="ID39" s="74"/>
      <c r="IE39" s="73">
        <f t="shared" si="211"/>
        <v>0</v>
      </c>
      <c r="IF39" s="65"/>
      <c r="IG39" s="74"/>
      <c r="IH39" s="73">
        <f t="shared" si="211"/>
        <v>0</v>
      </c>
      <c r="II39" s="65"/>
      <c r="IJ39" s="74"/>
      <c r="IK39" s="73">
        <f t="shared" si="211"/>
        <v>0</v>
      </c>
      <c r="IL39" s="65"/>
      <c r="IM39" s="74"/>
      <c r="IN39" s="73">
        <f t="shared" si="211"/>
        <v>0</v>
      </c>
      <c r="IO39" s="65"/>
      <c r="IP39" s="74"/>
      <c r="IQ39" s="73">
        <f t="shared" si="211"/>
        <v>0</v>
      </c>
      <c r="IR39" s="65"/>
      <c r="IS39" s="74"/>
      <c r="IT39" s="73">
        <f t="shared" si="211"/>
        <v>0</v>
      </c>
      <c r="IU39" s="65"/>
      <c r="IV39" s="74"/>
      <c r="IW39" s="73">
        <f t="shared" si="211"/>
        <v>0</v>
      </c>
      <c r="IX39" s="65"/>
      <c r="IY39" s="74"/>
      <c r="IZ39" s="73">
        <f t="shared" si="211"/>
        <v>0</v>
      </c>
      <c r="JA39" s="65"/>
      <c r="JB39" s="74"/>
      <c r="JC39" s="73">
        <f t="shared" si="211"/>
        <v>0</v>
      </c>
      <c r="JD39" s="65"/>
      <c r="JE39" s="74"/>
      <c r="JF39" s="73">
        <f t="shared" si="211"/>
        <v>0</v>
      </c>
      <c r="JG39" s="65"/>
      <c r="JH39" s="74"/>
      <c r="JI39" s="73">
        <f t="shared" si="211"/>
        <v>0</v>
      </c>
      <c r="JJ39" s="65"/>
      <c r="JK39" s="74"/>
      <c r="JL39" s="73">
        <f t="shared" si="211"/>
        <v>0</v>
      </c>
      <c r="JM39" s="65"/>
      <c r="JN39" s="74"/>
      <c r="JO39" s="73">
        <f t="shared" si="211"/>
        <v>0</v>
      </c>
      <c r="JP39" s="65"/>
      <c r="JQ39" s="74"/>
      <c r="JR39" s="73">
        <f t="shared" si="211"/>
        <v>0</v>
      </c>
      <c r="JS39" s="65"/>
      <c r="JT39" s="74"/>
      <c r="JU39" s="73">
        <f t="shared" si="211"/>
        <v>0</v>
      </c>
      <c r="JV39" s="65"/>
      <c r="JW39" s="74"/>
      <c r="JX39" s="73">
        <f t="shared" si="211"/>
        <v>0</v>
      </c>
      <c r="JY39" s="65"/>
      <c r="JZ39" s="74"/>
      <c r="KA39" s="73">
        <f t="shared" si="211"/>
        <v>0</v>
      </c>
      <c r="KB39" s="65"/>
      <c r="KC39" s="74"/>
      <c r="KD39" s="73">
        <f t="shared" si="211"/>
        <v>0</v>
      </c>
      <c r="KE39" s="65"/>
      <c r="KF39" s="74"/>
      <c r="KG39" s="73">
        <f t="shared" si="211"/>
        <v>0</v>
      </c>
      <c r="KH39" s="65"/>
      <c r="KI39" s="74"/>
      <c r="KJ39" s="73">
        <f t="shared" si="211"/>
        <v>0</v>
      </c>
      <c r="KK39" s="65"/>
      <c r="KL39" s="74"/>
      <c r="KM39" s="73">
        <f t="shared" si="211"/>
        <v>0</v>
      </c>
      <c r="KN39" s="65"/>
      <c r="KO39" s="74"/>
      <c r="KP39" s="73">
        <f t="shared" si="215"/>
        <v>0</v>
      </c>
      <c r="KQ39" s="65"/>
      <c r="KR39" s="74"/>
      <c r="KS39" s="73">
        <f t="shared" si="215"/>
        <v>0</v>
      </c>
      <c r="KT39" s="65"/>
      <c r="KU39" s="74"/>
      <c r="KV39" s="73">
        <f t="shared" si="215"/>
        <v>0</v>
      </c>
      <c r="KW39" s="65"/>
      <c r="KX39" s="74"/>
      <c r="KY39" s="73">
        <f t="shared" si="215"/>
        <v>0</v>
      </c>
      <c r="KZ39" s="65"/>
      <c r="LA39" s="74"/>
      <c r="LB39" s="73">
        <f t="shared" si="215"/>
        <v>0</v>
      </c>
      <c r="LC39" s="65"/>
      <c r="LD39" s="74"/>
      <c r="LE39" s="73">
        <f t="shared" si="215"/>
        <v>0</v>
      </c>
      <c r="LF39" s="65"/>
      <c r="LG39" s="65"/>
    </row>
    <row r="40" spans="1:319">
      <c r="A40" s="49"/>
      <c r="B40" s="49"/>
      <c r="C40" s="437" t="str">
        <f>Idiomas!D336</f>
        <v>Runner-up</v>
      </c>
      <c r="D40" s="62">
        <v>30</v>
      </c>
      <c r="E40" s="111"/>
      <c r="F40" s="445">
        <f t="shared" si="197"/>
        <v>20</v>
      </c>
      <c r="G40" s="445">
        <f ca="1">VLOOKUP(H40,Equipos!$Q$1:$R$25,2,0)</f>
        <v>10</v>
      </c>
      <c r="H40" s="446">
        <f ca="1">TRUNC(INDEX(WORLDCUP!$X$4:$X$147,MATCH(ADMIN!K40,WORLDCUP!$DT$4:$DT$147,0))+INDEX(Horarios!$R$3:$R$86,MATCH(Horarios!$C$3,Horarios!$P$3:$P$86,0))/24)</f>
        <v>46193</v>
      </c>
      <c r="I40" s="48">
        <v>1</v>
      </c>
      <c r="J40" s="96" t="s">
        <v>123</v>
      </c>
      <c r="K40" s="53" t="str">
        <f ca="1">CONCATENATE(WORLDCUP!AA46,"-",WORLDCUP!AF46)</f>
        <v>Netherlands-Sweden</v>
      </c>
      <c r="L40" s="53"/>
      <c r="M40" s="55" t="str">
        <f>IF(OR(WORLDCUP!AC46="",WORLDCUP!AD46=""),"-",N40&amp;"|"&amp;O40&amp;"-"&amp;P40)</f>
        <v>1|5-1</v>
      </c>
      <c r="N40" s="25" t="str">
        <f>IF(OR(WORLDCUP!AC46="",WORLDCUP!AD46=""),"",IF(WORLDCUP!AC46&gt;WORLDCUP!AD46,"1",IF(WORLDCUP!AC46&lt;WORLDCUP!AD46,"2","X")))</f>
        <v>1</v>
      </c>
      <c r="O40" s="25">
        <f>WORLDCUP!AC46</f>
        <v>5</v>
      </c>
      <c r="P40" s="25">
        <f>WORLDCUP!AD46</f>
        <v>1</v>
      </c>
      <c r="Q40" s="25">
        <f t="shared" si="201"/>
        <v>4</v>
      </c>
      <c r="R40" s="49"/>
      <c r="S40" s="74" t="s">
        <v>1950</v>
      </c>
      <c r="T40" s="73">
        <f t="shared" si="198"/>
        <v>10</v>
      </c>
      <c r="U40" s="65"/>
      <c r="V40" s="74" t="s">
        <v>1944</v>
      </c>
      <c r="W40" s="73">
        <f t="shared" si="199"/>
        <v>0</v>
      </c>
      <c r="X40" s="65"/>
      <c r="Y40" s="74" t="s">
        <v>1950</v>
      </c>
      <c r="Z40" s="73">
        <f t="shared" si="212"/>
        <v>10</v>
      </c>
      <c r="AA40" s="65"/>
      <c r="AB40" s="74" t="s">
        <v>1950</v>
      </c>
      <c r="AC40" s="73">
        <f t="shared" si="212"/>
        <v>10</v>
      </c>
      <c r="AD40" s="65"/>
      <c r="AE40" s="74" t="s">
        <v>1954</v>
      </c>
      <c r="AF40" s="73">
        <f t="shared" si="212"/>
        <v>10</v>
      </c>
      <c r="AG40" s="65"/>
      <c r="AH40" s="74" t="s">
        <v>1959</v>
      </c>
      <c r="AI40" s="73">
        <f t="shared" si="212"/>
        <v>10</v>
      </c>
      <c r="AJ40" s="65"/>
      <c r="AK40" s="74" t="s">
        <v>1944</v>
      </c>
      <c r="AL40" s="73">
        <f t="shared" si="212"/>
        <v>0</v>
      </c>
      <c r="AM40" s="65"/>
      <c r="AN40" s="74" t="s">
        <v>1957</v>
      </c>
      <c r="AO40" s="73">
        <f t="shared" si="212"/>
        <v>0</v>
      </c>
      <c r="AP40" s="65"/>
      <c r="AQ40" s="74" t="s">
        <v>1950</v>
      </c>
      <c r="AR40" s="73">
        <f t="shared" si="212"/>
        <v>10</v>
      </c>
      <c r="AS40" s="65"/>
      <c r="AT40" s="74" t="s">
        <v>1959</v>
      </c>
      <c r="AU40" s="73">
        <f t="shared" si="212"/>
        <v>10</v>
      </c>
      <c r="AV40" s="65"/>
      <c r="AW40" s="74" t="s">
        <v>1953</v>
      </c>
      <c r="AX40" s="73">
        <f t="shared" si="212"/>
        <v>0</v>
      </c>
      <c r="AY40" s="65"/>
      <c r="AZ40" s="74" t="s">
        <v>1954</v>
      </c>
      <c r="BA40" s="73">
        <f t="shared" si="212"/>
        <v>10</v>
      </c>
      <c r="BB40" s="65"/>
      <c r="BC40" s="74" t="s">
        <v>1954</v>
      </c>
      <c r="BD40" s="73">
        <f t="shared" si="212"/>
        <v>10</v>
      </c>
      <c r="BE40" s="65"/>
      <c r="BF40" s="74" t="s">
        <v>1957</v>
      </c>
      <c r="BG40" s="73">
        <f t="shared" si="212"/>
        <v>0</v>
      </c>
      <c r="BH40" s="65"/>
      <c r="BI40" s="74" t="s">
        <v>1950</v>
      </c>
      <c r="BJ40" s="73">
        <f t="shared" si="212"/>
        <v>10</v>
      </c>
      <c r="BK40" s="65"/>
      <c r="BL40" s="74" t="s">
        <v>1950</v>
      </c>
      <c r="BM40" s="73">
        <f t="shared" si="212"/>
        <v>10</v>
      </c>
      <c r="BN40" s="65"/>
      <c r="BO40" s="74" t="s">
        <v>1944</v>
      </c>
      <c r="BP40" s="73">
        <f t="shared" si="212"/>
        <v>0</v>
      </c>
      <c r="BQ40" s="65"/>
      <c r="BR40" s="74" t="s">
        <v>1954</v>
      </c>
      <c r="BS40" s="73">
        <f t="shared" si="212"/>
        <v>10</v>
      </c>
      <c r="BT40" s="65"/>
      <c r="BU40" s="74" t="s">
        <v>1954</v>
      </c>
      <c r="BV40" s="73">
        <f t="shared" si="212"/>
        <v>10</v>
      </c>
      <c r="BW40" s="65"/>
      <c r="BX40" s="74" t="s">
        <v>1954</v>
      </c>
      <c r="BY40" s="73">
        <f t="shared" si="212"/>
        <v>10</v>
      </c>
      <c r="BZ40" s="65"/>
      <c r="CA40" s="74" t="s">
        <v>1954</v>
      </c>
      <c r="CB40" s="73">
        <f t="shared" si="212"/>
        <v>10</v>
      </c>
      <c r="CC40" s="65"/>
      <c r="CD40" s="74" t="s">
        <v>1944</v>
      </c>
      <c r="CE40" s="73">
        <f t="shared" si="212"/>
        <v>0</v>
      </c>
      <c r="CF40" s="65"/>
      <c r="CG40" s="74" t="s">
        <v>1957</v>
      </c>
      <c r="CH40" s="73">
        <f t="shared" si="212"/>
        <v>0</v>
      </c>
      <c r="CI40" s="65"/>
      <c r="CJ40" s="74" t="s">
        <v>1954</v>
      </c>
      <c r="CK40" s="73">
        <f t="shared" si="210"/>
        <v>10</v>
      </c>
      <c r="CL40" s="65"/>
      <c r="CM40" s="74" t="s">
        <v>1954</v>
      </c>
      <c r="CN40" s="73">
        <f t="shared" si="210"/>
        <v>10</v>
      </c>
      <c r="CO40" s="65"/>
      <c r="CP40" s="74" t="s">
        <v>1950</v>
      </c>
      <c r="CQ40" s="73">
        <f t="shared" si="210"/>
        <v>10</v>
      </c>
      <c r="CR40" s="65"/>
      <c r="CS40" s="74" t="s">
        <v>1957</v>
      </c>
      <c r="CT40" s="73">
        <f t="shared" si="210"/>
        <v>0</v>
      </c>
      <c r="CU40" s="65"/>
      <c r="CV40" s="74" t="s">
        <v>1949</v>
      </c>
      <c r="CW40" s="73">
        <f t="shared" si="210"/>
        <v>10</v>
      </c>
      <c r="CX40" s="65"/>
      <c r="CY40" s="74" t="s">
        <v>1954</v>
      </c>
      <c r="CZ40" s="73">
        <f t="shared" si="210"/>
        <v>10</v>
      </c>
      <c r="DA40" s="65"/>
      <c r="DB40" s="74" t="s">
        <v>1958</v>
      </c>
      <c r="DC40" s="73">
        <f t="shared" si="210"/>
        <v>10</v>
      </c>
      <c r="DD40" s="65"/>
      <c r="DE40" s="74" t="s">
        <v>1954</v>
      </c>
      <c r="DF40" s="73">
        <f t="shared" si="210"/>
        <v>10</v>
      </c>
      <c r="DG40" s="65"/>
      <c r="DH40" s="74" t="s">
        <v>1954</v>
      </c>
      <c r="DI40" s="73">
        <f t="shared" si="210"/>
        <v>10</v>
      </c>
      <c r="DJ40" s="65"/>
      <c r="DK40" s="74" t="s">
        <v>1950</v>
      </c>
      <c r="DL40" s="73">
        <f t="shared" si="210"/>
        <v>10</v>
      </c>
      <c r="DM40" s="65"/>
      <c r="DN40" s="74" t="s">
        <v>1958</v>
      </c>
      <c r="DO40" s="73">
        <f t="shared" si="210"/>
        <v>10</v>
      </c>
      <c r="DP40" s="65"/>
      <c r="DQ40" s="74" t="s">
        <v>1957</v>
      </c>
      <c r="DR40" s="73">
        <f t="shared" si="210"/>
        <v>0</v>
      </c>
      <c r="DS40" s="65"/>
      <c r="DT40" s="74" t="s">
        <v>1954</v>
      </c>
      <c r="DU40" s="73">
        <f t="shared" si="210"/>
        <v>10</v>
      </c>
      <c r="DV40" s="65"/>
      <c r="DW40" s="74" t="s">
        <v>1959</v>
      </c>
      <c r="DX40" s="73">
        <f t="shared" si="214"/>
        <v>10</v>
      </c>
      <c r="DY40" s="65"/>
      <c r="DZ40" s="74" t="s">
        <v>1957</v>
      </c>
      <c r="EA40" s="73">
        <f t="shared" si="214"/>
        <v>0</v>
      </c>
      <c r="EB40" s="65"/>
      <c r="EC40" s="74" t="s">
        <v>1954</v>
      </c>
      <c r="ED40" s="73">
        <f t="shared" si="214"/>
        <v>10</v>
      </c>
      <c r="EE40" s="65"/>
      <c r="EF40" s="74" t="s">
        <v>1958</v>
      </c>
      <c r="EG40" s="73">
        <f t="shared" si="214"/>
        <v>10</v>
      </c>
      <c r="EH40" s="65"/>
      <c r="EI40" s="74" t="s">
        <v>1954</v>
      </c>
      <c r="EJ40" s="73">
        <f t="shared" si="214"/>
        <v>10</v>
      </c>
      <c r="EK40" s="65"/>
      <c r="EL40" s="74" t="s">
        <v>1950</v>
      </c>
      <c r="EM40" s="73">
        <f t="shared" si="214"/>
        <v>10</v>
      </c>
      <c r="EN40" s="65"/>
      <c r="EO40" s="74" t="s">
        <v>1950</v>
      </c>
      <c r="EP40" s="73">
        <f t="shared" si="214"/>
        <v>10</v>
      </c>
      <c r="EQ40" s="65"/>
      <c r="ER40" s="74" t="s">
        <v>1954</v>
      </c>
      <c r="ES40" s="73">
        <f t="shared" si="214"/>
        <v>10</v>
      </c>
      <c r="ET40" s="65"/>
      <c r="EU40" s="74" t="s">
        <v>1957</v>
      </c>
      <c r="EV40" s="73">
        <f t="shared" si="214"/>
        <v>0</v>
      </c>
      <c r="EW40" s="65"/>
      <c r="EX40" s="74" t="s">
        <v>1954</v>
      </c>
      <c r="EY40" s="73">
        <f t="shared" si="214"/>
        <v>10</v>
      </c>
      <c r="EZ40" s="65"/>
      <c r="FA40" s="74" t="s">
        <v>1957</v>
      </c>
      <c r="FB40" s="73">
        <f t="shared" si="214"/>
        <v>0</v>
      </c>
      <c r="FC40" s="65"/>
      <c r="FD40" s="74" t="s">
        <v>1959</v>
      </c>
      <c r="FE40" s="73">
        <f t="shared" si="214"/>
        <v>10</v>
      </c>
      <c r="FF40" s="65"/>
      <c r="FG40" s="74" t="s">
        <v>1949</v>
      </c>
      <c r="FH40" s="73">
        <f t="shared" si="214"/>
        <v>10</v>
      </c>
      <c r="FI40" s="65"/>
      <c r="FJ40" s="74" t="s">
        <v>1954</v>
      </c>
      <c r="FK40" s="73">
        <f t="shared" si="214"/>
        <v>10</v>
      </c>
      <c r="FL40" s="65"/>
      <c r="FM40" s="74" t="s">
        <v>1959</v>
      </c>
      <c r="FN40" s="73">
        <f t="shared" si="214"/>
        <v>10</v>
      </c>
      <c r="FO40" s="65"/>
      <c r="FP40" s="74" t="s">
        <v>1954</v>
      </c>
      <c r="FQ40" s="73">
        <f t="shared" si="214"/>
        <v>10</v>
      </c>
      <c r="FR40" s="65"/>
      <c r="FS40" s="74" t="s">
        <v>1957</v>
      </c>
      <c r="FT40" s="73">
        <f t="shared" si="214"/>
        <v>0</v>
      </c>
      <c r="FU40" s="65"/>
      <c r="FV40" s="74" t="s">
        <v>1950</v>
      </c>
      <c r="FW40" s="73">
        <f t="shared" si="214"/>
        <v>10</v>
      </c>
      <c r="FX40" s="65"/>
      <c r="FY40" s="74" t="s">
        <v>1957</v>
      </c>
      <c r="FZ40" s="73">
        <f t="shared" si="214"/>
        <v>0</v>
      </c>
      <c r="GA40" s="65"/>
      <c r="GB40" s="74" t="s">
        <v>1950</v>
      </c>
      <c r="GC40" s="73">
        <f t="shared" si="214"/>
        <v>10</v>
      </c>
      <c r="GD40" s="65"/>
      <c r="GE40" s="74" t="s">
        <v>1958</v>
      </c>
      <c r="GF40" s="73">
        <f t="shared" si="214"/>
        <v>10</v>
      </c>
      <c r="GG40" s="65"/>
      <c r="GH40" s="74" t="s">
        <v>1954</v>
      </c>
      <c r="GI40" s="73">
        <f t="shared" si="214"/>
        <v>10</v>
      </c>
      <c r="GJ40" s="65"/>
      <c r="GK40" s="74" t="s">
        <v>1957</v>
      </c>
      <c r="GL40" s="73">
        <f t="shared" si="213"/>
        <v>0</v>
      </c>
      <c r="GM40" s="65"/>
      <c r="GN40" s="74"/>
      <c r="GO40" s="73">
        <f t="shared" si="213"/>
        <v>0</v>
      </c>
      <c r="GP40" s="65"/>
      <c r="GQ40" s="74"/>
      <c r="GR40" s="73">
        <f t="shared" si="213"/>
        <v>0</v>
      </c>
      <c r="GS40" s="65"/>
      <c r="GT40" s="74"/>
      <c r="GU40" s="73">
        <f t="shared" si="213"/>
        <v>0</v>
      </c>
      <c r="GV40" s="65"/>
      <c r="GW40" s="74"/>
      <c r="GX40" s="73">
        <f t="shared" si="213"/>
        <v>0</v>
      </c>
      <c r="GY40" s="65"/>
      <c r="GZ40" s="74"/>
      <c r="HA40" s="73">
        <f t="shared" si="213"/>
        <v>0</v>
      </c>
      <c r="HB40" s="65"/>
      <c r="HC40" s="74"/>
      <c r="HD40" s="73">
        <f t="shared" si="213"/>
        <v>0</v>
      </c>
      <c r="HE40" s="65"/>
      <c r="HF40" s="74"/>
      <c r="HG40" s="73">
        <f t="shared" si="213"/>
        <v>0</v>
      </c>
      <c r="HH40" s="65"/>
      <c r="HI40" s="74"/>
      <c r="HJ40" s="73">
        <f t="shared" si="213"/>
        <v>0</v>
      </c>
      <c r="HK40" s="65"/>
      <c r="HL40" s="74"/>
      <c r="HM40" s="73">
        <f t="shared" si="213"/>
        <v>0</v>
      </c>
      <c r="HN40" s="65"/>
      <c r="HO40" s="74"/>
      <c r="HP40" s="73">
        <f t="shared" si="213"/>
        <v>0</v>
      </c>
      <c r="HQ40" s="65"/>
      <c r="HR40" s="74"/>
      <c r="HS40" s="73">
        <f t="shared" si="213"/>
        <v>0</v>
      </c>
      <c r="HT40" s="65"/>
      <c r="HU40" s="74"/>
      <c r="HV40" s="73">
        <f t="shared" si="213"/>
        <v>0</v>
      </c>
      <c r="HW40" s="65"/>
      <c r="HX40" s="74"/>
      <c r="HY40" s="73">
        <f t="shared" si="213"/>
        <v>0</v>
      </c>
      <c r="HZ40" s="65"/>
      <c r="IA40" s="74"/>
      <c r="IB40" s="73">
        <f t="shared" si="211"/>
        <v>0</v>
      </c>
      <c r="IC40" s="65"/>
      <c r="ID40" s="74"/>
      <c r="IE40" s="73">
        <f t="shared" si="211"/>
        <v>0</v>
      </c>
      <c r="IF40" s="65"/>
      <c r="IG40" s="74"/>
      <c r="IH40" s="73">
        <f t="shared" si="211"/>
        <v>0</v>
      </c>
      <c r="II40" s="65"/>
      <c r="IJ40" s="74"/>
      <c r="IK40" s="73">
        <f t="shared" si="211"/>
        <v>0</v>
      </c>
      <c r="IL40" s="65"/>
      <c r="IM40" s="74"/>
      <c r="IN40" s="73">
        <f t="shared" si="211"/>
        <v>0</v>
      </c>
      <c r="IO40" s="65"/>
      <c r="IP40" s="74"/>
      <c r="IQ40" s="73">
        <f t="shared" si="211"/>
        <v>0</v>
      </c>
      <c r="IR40" s="65"/>
      <c r="IS40" s="74"/>
      <c r="IT40" s="73">
        <f t="shared" si="211"/>
        <v>0</v>
      </c>
      <c r="IU40" s="65"/>
      <c r="IV40" s="74"/>
      <c r="IW40" s="73">
        <f t="shared" si="211"/>
        <v>0</v>
      </c>
      <c r="IX40" s="65"/>
      <c r="IY40" s="74"/>
      <c r="IZ40" s="73">
        <f t="shared" si="211"/>
        <v>0</v>
      </c>
      <c r="JA40" s="65"/>
      <c r="JB40" s="74"/>
      <c r="JC40" s="73">
        <f t="shared" si="211"/>
        <v>0</v>
      </c>
      <c r="JD40" s="65"/>
      <c r="JE40" s="74"/>
      <c r="JF40" s="73">
        <f t="shared" si="211"/>
        <v>0</v>
      </c>
      <c r="JG40" s="65"/>
      <c r="JH40" s="74"/>
      <c r="JI40" s="73">
        <f t="shared" si="211"/>
        <v>0</v>
      </c>
      <c r="JJ40" s="65"/>
      <c r="JK40" s="74"/>
      <c r="JL40" s="73">
        <f t="shared" si="211"/>
        <v>0</v>
      </c>
      <c r="JM40" s="65"/>
      <c r="JN40" s="74"/>
      <c r="JO40" s="73">
        <f t="shared" si="211"/>
        <v>0</v>
      </c>
      <c r="JP40" s="65"/>
      <c r="JQ40" s="74"/>
      <c r="JR40" s="73">
        <f t="shared" si="211"/>
        <v>0</v>
      </c>
      <c r="JS40" s="65"/>
      <c r="JT40" s="74"/>
      <c r="JU40" s="73">
        <f t="shared" si="211"/>
        <v>0</v>
      </c>
      <c r="JV40" s="65"/>
      <c r="JW40" s="74"/>
      <c r="JX40" s="73">
        <f t="shared" si="211"/>
        <v>0</v>
      </c>
      <c r="JY40" s="65"/>
      <c r="JZ40" s="74"/>
      <c r="KA40" s="73">
        <f t="shared" si="211"/>
        <v>0</v>
      </c>
      <c r="KB40" s="65"/>
      <c r="KC40" s="74"/>
      <c r="KD40" s="73">
        <f t="shared" si="211"/>
        <v>0</v>
      </c>
      <c r="KE40" s="65"/>
      <c r="KF40" s="74"/>
      <c r="KG40" s="73">
        <f t="shared" si="211"/>
        <v>0</v>
      </c>
      <c r="KH40" s="65"/>
      <c r="KI40" s="74"/>
      <c r="KJ40" s="73">
        <f t="shared" si="211"/>
        <v>0</v>
      </c>
      <c r="KK40" s="65"/>
      <c r="KL40" s="74"/>
      <c r="KM40" s="73">
        <f t="shared" si="211"/>
        <v>0</v>
      </c>
      <c r="KN40" s="65"/>
      <c r="KO40" s="74"/>
      <c r="KP40" s="73">
        <f t="shared" si="215"/>
        <v>0</v>
      </c>
      <c r="KQ40" s="65"/>
      <c r="KR40" s="74"/>
      <c r="KS40" s="73">
        <f t="shared" si="215"/>
        <v>0</v>
      </c>
      <c r="KT40" s="65"/>
      <c r="KU40" s="74"/>
      <c r="KV40" s="73">
        <f t="shared" si="215"/>
        <v>0</v>
      </c>
      <c r="KW40" s="65"/>
      <c r="KX40" s="74"/>
      <c r="KY40" s="73">
        <f t="shared" si="215"/>
        <v>0</v>
      </c>
      <c r="KZ40" s="65"/>
      <c r="LA40" s="74"/>
      <c r="LB40" s="73">
        <f t="shared" si="215"/>
        <v>0</v>
      </c>
      <c r="LC40" s="65"/>
      <c r="LD40" s="74"/>
      <c r="LE40" s="73">
        <f t="shared" si="215"/>
        <v>0</v>
      </c>
      <c r="LF40" s="65"/>
      <c r="LG40" s="65"/>
    </row>
    <row r="41" spans="1:319">
      <c r="A41" s="49"/>
      <c r="B41" s="49"/>
      <c r="C41" s="438" t="str">
        <f>Idiomas!D337</f>
        <v>3rd place</v>
      </c>
      <c r="D41" s="44">
        <v>20</v>
      </c>
      <c r="E41" s="111"/>
      <c r="F41" s="445">
        <f t="shared" si="197"/>
        <v>20</v>
      </c>
      <c r="G41" s="445">
        <f ca="1">VLOOKUP(H41,Equipos!$Q$1:$R$25,2,0)</f>
        <v>11</v>
      </c>
      <c r="H41" s="446">
        <f ca="1">TRUNC(INDEX(WORLDCUP!$X$4:$X$147,MATCH(ADMIN!K41,WORLDCUP!$DT$4:$DT$147,0))+INDEX(Horarios!$R$3:$R$86,MATCH(Horarios!$C$3,Horarios!$P$3:$P$86,0))/24)</f>
        <v>46194</v>
      </c>
      <c r="I41" s="48">
        <v>1</v>
      </c>
      <c r="J41" s="96" t="s">
        <v>123</v>
      </c>
      <c r="K41" s="56" t="str">
        <f ca="1">CONCATENATE(WORLDCUP!AA47,"-",WORLDCUP!AF47)</f>
        <v>Tunisia-Japan</v>
      </c>
      <c r="L41" s="53"/>
      <c r="M41" s="55" t="str">
        <f>IF(OR(WORLDCUP!AC47="",WORLDCUP!AD47=""),"-",N41&amp;"|"&amp;O41&amp;"-"&amp;P41)</f>
        <v>2|0-4</v>
      </c>
      <c r="N41" s="25" t="str">
        <f>IF(OR(WORLDCUP!AC47="",WORLDCUP!AD47=""),"",IF(WORLDCUP!AC47&gt;WORLDCUP!AD47,"1",IF(WORLDCUP!AC47&lt;WORLDCUP!AD47,"2","X")))</f>
        <v>2</v>
      </c>
      <c r="O41" s="25">
        <f>WORLDCUP!AC47</f>
        <v>0</v>
      </c>
      <c r="P41" s="25">
        <f>WORLDCUP!AD47</f>
        <v>4</v>
      </c>
      <c r="Q41" s="25">
        <f t="shared" si="201"/>
        <v>4</v>
      </c>
      <c r="R41" s="49"/>
      <c r="S41" s="74" t="s">
        <v>1953</v>
      </c>
      <c r="T41" s="73">
        <f t="shared" si="198"/>
        <v>10</v>
      </c>
      <c r="U41" s="65"/>
      <c r="V41" s="74" t="s">
        <v>1955</v>
      </c>
      <c r="W41" s="73">
        <f t="shared" si="199"/>
        <v>10</v>
      </c>
      <c r="X41" s="65"/>
      <c r="Y41" s="74" t="s">
        <v>1960</v>
      </c>
      <c r="Z41" s="73">
        <f t="shared" si="212"/>
        <v>10</v>
      </c>
      <c r="AA41" s="65"/>
      <c r="AB41" s="74" t="s">
        <v>1953</v>
      </c>
      <c r="AC41" s="73">
        <f t="shared" si="212"/>
        <v>10</v>
      </c>
      <c r="AD41" s="65"/>
      <c r="AE41" s="74" t="s">
        <v>1960</v>
      </c>
      <c r="AF41" s="73">
        <f t="shared" si="212"/>
        <v>10</v>
      </c>
      <c r="AG41" s="65"/>
      <c r="AH41" s="74" t="s">
        <v>1960</v>
      </c>
      <c r="AI41" s="73">
        <f t="shared" si="212"/>
        <v>10</v>
      </c>
      <c r="AJ41" s="65"/>
      <c r="AK41" s="74" t="s">
        <v>1955</v>
      </c>
      <c r="AL41" s="73">
        <f t="shared" si="212"/>
        <v>10</v>
      </c>
      <c r="AM41" s="65"/>
      <c r="AN41" s="74" t="s">
        <v>1957</v>
      </c>
      <c r="AO41" s="73">
        <f t="shared" si="212"/>
        <v>0</v>
      </c>
      <c r="AP41" s="65"/>
      <c r="AQ41" s="74" t="s">
        <v>2106</v>
      </c>
      <c r="AR41" s="73">
        <f t="shared" si="212"/>
        <v>20</v>
      </c>
      <c r="AS41" s="65"/>
      <c r="AT41" s="74" t="s">
        <v>1944</v>
      </c>
      <c r="AU41" s="73">
        <f t="shared" si="212"/>
        <v>0</v>
      </c>
      <c r="AV41" s="65"/>
      <c r="AW41" s="74" t="s">
        <v>1957</v>
      </c>
      <c r="AX41" s="73">
        <f t="shared" si="212"/>
        <v>0</v>
      </c>
      <c r="AY41" s="65"/>
      <c r="AZ41" s="74" t="s">
        <v>1960</v>
      </c>
      <c r="BA41" s="73">
        <f t="shared" si="212"/>
        <v>10</v>
      </c>
      <c r="BB41" s="65"/>
      <c r="BC41" s="74" t="s">
        <v>1955</v>
      </c>
      <c r="BD41" s="73">
        <f t="shared" si="212"/>
        <v>10</v>
      </c>
      <c r="BE41" s="65"/>
      <c r="BF41" s="74" t="s">
        <v>2000</v>
      </c>
      <c r="BG41" s="73">
        <f t="shared" si="212"/>
        <v>10</v>
      </c>
      <c r="BH41" s="65"/>
      <c r="BI41" s="74" t="s">
        <v>2000</v>
      </c>
      <c r="BJ41" s="73">
        <f t="shared" si="212"/>
        <v>10</v>
      </c>
      <c r="BK41" s="65"/>
      <c r="BL41" s="74" t="s">
        <v>1957</v>
      </c>
      <c r="BM41" s="73">
        <f t="shared" si="212"/>
        <v>0</v>
      </c>
      <c r="BN41" s="65"/>
      <c r="BO41" s="74" t="s">
        <v>1953</v>
      </c>
      <c r="BP41" s="73">
        <f t="shared" si="212"/>
        <v>10</v>
      </c>
      <c r="BQ41" s="65"/>
      <c r="BR41" s="74" t="s">
        <v>1960</v>
      </c>
      <c r="BS41" s="73">
        <f t="shared" si="212"/>
        <v>10</v>
      </c>
      <c r="BT41" s="65"/>
      <c r="BU41" s="74" t="s">
        <v>1953</v>
      </c>
      <c r="BV41" s="73">
        <f t="shared" si="212"/>
        <v>10</v>
      </c>
      <c r="BW41" s="65"/>
      <c r="BX41" s="74" t="s">
        <v>2000</v>
      </c>
      <c r="BY41" s="73">
        <f t="shared" si="212"/>
        <v>10</v>
      </c>
      <c r="BZ41" s="65"/>
      <c r="CA41" s="74" t="s">
        <v>1960</v>
      </c>
      <c r="CB41" s="73">
        <f t="shared" si="212"/>
        <v>10</v>
      </c>
      <c r="CC41" s="65"/>
      <c r="CD41" s="74" t="s">
        <v>2000</v>
      </c>
      <c r="CE41" s="73">
        <f t="shared" si="212"/>
        <v>10</v>
      </c>
      <c r="CF41" s="65"/>
      <c r="CG41" s="74" t="s">
        <v>1948</v>
      </c>
      <c r="CH41" s="73">
        <f t="shared" si="212"/>
        <v>10</v>
      </c>
      <c r="CI41" s="65"/>
      <c r="CJ41" s="74" t="s">
        <v>1955</v>
      </c>
      <c r="CK41" s="73">
        <f t="shared" si="210"/>
        <v>10</v>
      </c>
      <c r="CL41" s="65"/>
      <c r="CM41" s="74" t="s">
        <v>1960</v>
      </c>
      <c r="CN41" s="73">
        <f t="shared" si="210"/>
        <v>10</v>
      </c>
      <c r="CO41" s="65"/>
      <c r="CP41" s="74" t="s">
        <v>1960</v>
      </c>
      <c r="CQ41" s="73">
        <f t="shared" si="210"/>
        <v>10</v>
      </c>
      <c r="CR41" s="65"/>
      <c r="CS41" s="74" t="s">
        <v>1960</v>
      </c>
      <c r="CT41" s="73">
        <f t="shared" si="210"/>
        <v>10</v>
      </c>
      <c r="CU41" s="65"/>
      <c r="CV41" s="74" t="s">
        <v>2000</v>
      </c>
      <c r="CW41" s="73">
        <f t="shared" si="210"/>
        <v>10</v>
      </c>
      <c r="CX41" s="65"/>
      <c r="CY41" s="74" t="s">
        <v>1957</v>
      </c>
      <c r="CZ41" s="73">
        <f t="shared" si="210"/>
        <v>0</v>
      </c>
      <c r="DA41" s="65"/>
      <c r="DB41" s="74" t="s">
        <v>2000</v>
      </c>
      <c r="DC41" s="73">
        <f t="shared" si="210"/>
        <v>10</v>
      </c>
      <c r="DD41" s="65"/>
      <c r="DE41" s="74" t="s">
        <v>1960</v>
      </c>
      <c r="DF41" s="73">
        <f t="shared" si="210"/>
        <v>10</v>
      </c>
      <c r="DG41" s="65"/>
      <c r="DH41" s="74" t="s">
        <v>1960</v>
      </c>
      <c r="DI41" s="73">
        <f t="shared" si="210"/>
        <v>10</v>
      </c>
      <c r="DJ41" s="65"/>
      <c r="DK41" s="74" t="s">
        <v>1957</v>
      </c>
      <c r="DL41" s="73">
        <f t="shared" si="210"/>
        <v>0</v>
      </c>
      <c r="DM41" s="65"/>
      <c r="DN41" s="74" t="s">
        <v>1948</v>
      </c>
      <c r="DO41" s="73">
        <f t="shared" si="210"/>
        <v>10</v>
      </c>
      <c r="DP41" s="65"/>
      <c r="DQ41" s="74" t="s">
        <v>1957</v>
      </c>
      <c r="DR41" s="73">
        <f t="shared" si="210"/>
        <v>0</v>
      </c>
      <c r="DS41" s="65"/>
      <c r="DT41" s="74" t="s">
        <v>1960</v>
      </c>
      <c r="DU41" s="73">
        <f t="shared" si="210"/>
        <v>10</v>
      </c>
      <c r="DV41" s="65"/>
      <c r="DW41" s="74" t="s">
        <v>2000</v>
      </c>
      <c r="DX41" s="73">
        <f t="shared" si="214"/>
        <v>10</v>
      </c>
      <c r="DY41" s="65"/>
      <c r="DZ41" s="74" t="s">
        <v>1957</v>
      </c>
      <c r="EA41" s="73">
        <f t="shared" si="214"/>
        <v>0</v>
      </c>
      <c r="EB41" s="65"/>
      <c r="EC41" s="74" t="s">
        <v>1960</v>
      </c>
      <c r="ED41" s="73">
        <f t="shared" si="214"/>
        <v>10</v>
      </c>
      <c r="EE41" s="65"/>
      <c r="EF41" s="74" t="s">
        <v>2000</v>
      </c>
      <c r="EG41" s="73">
        <f t="shared" si="214"/>
        <v>10</v>
      </c>
      <c r="EH41" s="65"/>
      <c r="EI41" s="74" t="s">
        <v>1960</v>
      </c>
      <c r="EJ41" s="73">
        <f t="shared" si="214"/>
        <v>10</v>
      </c>
      <c r="EK41" s="65"/>
      <c r="EL41" s="74" t="s">
        <v>2000</v>
      </c>
      <c r="EM41" s="73">
        <f t="shared" si="214"/>
        <v>10</v>
      </c>
      <c r="EN41" s="65"/>
      <c r="EO41" s="74" t="s">
        <v>1960</v>
      </c>
      <c r="EP41" s="73">
        <f t="shared" si="214"/>
        <v>10</v>
      </c>
      <c r="EQ41" s="65"/>
      <c r="ER41" s="74" t="s">
        <v>1960</v>
      </c>
      <c r="ES41" s="73">
        <f t="shared" si="214"/>
        <v>10</v>
      </c>
      <c r="ET41" s="65"/>
      <c r="EU41" s="74" t="s">
        <v>1960</v>
      </c>
      <c r="EV41" s="73">
        <f t="shared" si="214"/>
        <v>10</v>
      </c>
      <c r="EW41" s="65"/>
      <c r="EX41" s="74" t="s">
        <v>1960</v>
      </c>
      <c r="EY41" s="73">
        <f t="shared" si="214"/>
        <v>10</v>
      </c>
      <c r="EZ41" s="65"/>
      <c r="FA41" s="74" t="s">
        <v>1960</v>
      </c>
      <c r="FB41" s="73">
        <f t="shared" si="214"/>
        <v>10</v>
      </c>
      <c r="FC41" s="65"/>
      <c r="FD41" s="74" t="s">
        <v>2000</v>
      </c>
      <c r="FE41" s="73">
        <f t="shared" si="214"/>
        <v>10</v>
      </c>
      <c r="FF41" s="65"/>
      <c r="FG41" s="74" t="s">
        <v>1951</v>
      </c>
      <c r="FH41" s="73">
        <f t="shared" si="214"/>
        <v>10</v>
      </c>
      <c r="FI41" s="65"/>
      <c r="FJ41" s="74" t="s">
        <v>2000</v>
      </c>
      <c r="FK41" s="73">
        <f t="shared" si="214"/>
        <v>10</v>
      </c>
      <c r="FL41" s="65"/>
      <c r="FM41" s="74" t="s">
        <v>1960</v>
      </c>
      <c r="FN41" s="73">
        <f t="shared" si="214"/>
        <v>10</v>
      </c>
      <c r="FO41" s="65"/>
      <c r="FP41" s="74" t="s">
        <v>2000</v>
      </c>
      <c r="FQ41" s="73">
        <f t="shared" si="214"/>
        <v>10</v>
      </c>
      <c r="FR41" s="65"/>
      <c r="FS41" s="74" t="s">
        <v>2000</v>
      </c>
      <c r="FT41" s="73">
        <f t="shared" si="214"/>
        <v>10</v>
      </c>
      <c r="FU41" s="65"/>
      <c r="FV41" s="74" t="s">
        <v>1955</v>
      </c>
      <c r="FW41" s="73">
        <f t="shared" si="214"/>
        <v>10</v>
      </c>
      <c r="FX41" s="65"/>
      <c r="FY41" s="74" t="s">
        <v>1953</v>
      </c>
      <c r="FZ41" s="73">
        <f t="shared" si="214"/>
        <v>10</v>
      </c>
      <c r="GA41" s="65"/>
      <c r="GB41" s="74" t="s">
        <v>1957</v>
      </c>
      <c r="GC41" s="73">
        <f t="shared" si="214"/>
        <v>0</v>
      </c>
      <c r="GD41" s="65"/>
      <c r="GE41" s="74" t="s">
        <v>1960</v>
      </c>
      <c r="GF41" s="73">
        <f t="shared" si="214"/>
        <v>10</v>
      </c>
      <c r="GG41" s="65"/>
      <c r="GH41" s="74" t="s">
        <v>1960</v>
      </c>
      <c r="GI41" s="73">
        <f t="shared" si="214"/>
        <v>10</v>
      </c>
      <c r="GJ41" s="65"/>
      <c r="GK41" s="74" t="s">
        <v>1960</v>
      </c>
      <c r="GL41" s="73">
        <f t="shared" si="213"/>
        <v>10</v>
      </c>
      <c r="GM41" s="65"/>
      <c r="GN41" s="74"/>
      <c r="GO41" s="73">
        <f t="shared" si="213"/>
        <v>0</v>
      </c>
      <c r="GP41" s="65"/>
      <c r="GQ41" s="74"/>
      <c r="GR41" s="73">
        <f t="shared" si="213"/>
        <v>0</v>
      </c>
      <c r="GS41" s="65"/>
      <c r="GT41" s="74"/>
      <c r="GU41" s="73">
        <f t="shared" si="213"/>
        <v>0</v>
      </c>
      <c r="GV41" s="65"/>
      <c r="GW41" s="74"/>
      <c r="GX41" s="73">
        <f t="shared" si="213"/>
        <v>0</v>
      </c>
      <c r="GY41" s="65"/>
      <c r="GZ41" s="74"/>
      <c r="HA41" s="73">
        <f t="shared" si="213"/>
        <v>0</v>
      </c>
      <c r="HB41" s="65"/>
      <c r="HC41" s="74"/>
      <c r="HD41" s="73">
        <f t="shared" si="213"/>
        <v>0</v>
      </c>
      <c r="HE41" s="65"/>
      <c r="HF41" s="74"/>
      <c r="HG41" s="73">
        <f t="shared" si="213"/>
        <v>0</v>
      </c>
      <c r="HH41" s="65"/>
      <c r="HI41" s="74"/>
      <c r="HJ41" s="73">
        <f t="shared" si="213"/>
        <v>0</v>
      </c>
      <c r="HK41" s="65"/>
      <c r="HL41" s="74"/>
      <c r="HM41" s="73">
        <f t="shared" si="213"/>
        <v>0</v>
      </c>
      <c r="HN41" s="65"/>
      <c r="HO41" s="74"/>
      <c r="HP41" s="73">
        <f t="shared" si="213"/>
        <v>0</v>
      </c>
      <c r="HQ41" s="65"/>
      <c r="HR41" s="74"/>
      <c r="HS41" s="73">
        <f t="shared" si="213"/>
        <v>0</v>
      </c>
      <c r="HT41" s="65"/>
      <c r="HU41" s="74"/>
      <c r="HV41" s="73">
        <f t="shared" si="213"/>
        <v>0</v>
      </c>
      <c r="HW41" s="65"/>
      <c r="HX41" s="74"/>
      <c r="HY41" s="73">
        <f t="shared" si="213"/>
        <v>0</v>
      </c>
      <c r="HZ41" s="65"/>
      <c r="IA41" s="74"/>
      <c r="IB41" s="73">
        <f t="shared" si="211"/>
        <v>0</v>
      </c>
      <c r="IC41" s="65"/>
      <c r="ID41" s="74"/>
      <c r="IE41" s="73">
        <f t="shared" si="211"/>
        <v>0</v>
      </c>
      <c r="IF41" s="65"/>
      <c r="IG41" s="74"/>
      <c r="IH41" s="73">
        <f t="shared" si="211"/>
        <v>0</v>
      </c>
      <c r="II41" s="65"/>
      <c r="IJ41" s="74"/>
      <c r="IK41" s="73">
        <f t="shared" si="211"/>
        <v>0</v>
      </c>
      <c r="IL41" s="65"/>
      <c r="IM41" s="74"/>
      <c r="IN41" s="73">
        <f t="shared" si="211"/>
        <v>0</v>
      </c>
      <c r="IO41" s="65"/>
      <c r="IP41" s="74"/>
      <c r="IQ41" s="73">
        <f t="shared" si="211"/>
        <v>0</v>
      </c>
      <c r="IR41" s="65"/>
      <c r="IS41" s="74"/>
      <c r="IT41" s="73">
        <f t="shared" si="211"/>
        <v>0</v>
      </c>
      <c r="IU41" s="65"/>
      <c r="IV41" s="74"/>
      <c r="IW41" s="73">
        <f t="shared" si="211"/>
        <v>0</v>
      </c>
      <c r="IX41" s="65"/>
      <c r="IY41" s="74"/>
      <c r="IZ41" s="73">
        <f t="shared" si="211"/>
        <v>0</v>
      </c>
      <c r="JA41" s="65"/>
      <c r="JB41" s="74"/>
      <c r="JC41" s="73">
        <f t="shared" si="211"/>
        <v>0</v>
      </c>
      <c r="JD41" s="65"/>
      <c r="JE41" s="74"/>
      <c r="JF41" s="73">
        <f t="shared" si="211"/>
        <v>0</v>
      </c>
      <c r="JG41" s="65"/>
      <c r="JH41" s="74"/>
      <c r="JI41" s="73">
        <f t="shared" si="211"/>
        <v>0</v>
      </c>
      <c r="JJ41" s="65"/>
      <c r="JK41" s="74"/>
      <c r="JL41" s="73">
        <f t="shared" si="211"/>
        <v>0</v>
      </c>
      <c r="JM41" s="65"/>
      <c r="JN41" s="74"/>
      <c r="JO41" s="73">
        <f t="shared" ref="JO41:LE56" si="216">IFERROR(IF($M41=JN41,($D$8+$D$9+$D$10)*$I41,IF($N41=LEFT(JN41,1),($D$8+MAX(0,IF($D$50=1,$D$9*(1-(ABS($Q41-ABS(VALUE(MID(JN41,FIND("|",JN41)+1,FIND("-",JN41)-FIND("|",JN41)-1))-VALUE(MID(JN41,FIND("-",JN41)+1,10)))))*$D$50),$D$9*(1-(IF($N41="X",ABS($O41-VALUE(MID(JN41,FIND("|",JN41)+1,FIND("-",JN41)-FIND("|",JN41)-1))),ABS($Q41-ABS(VALUE(MID(JN41,FIND("|",JN41)+1,FIND("-",JN41)-FIND("|",JN41)-1))-VALUE(MID(JN41,FIND("-",JN41)+1,10)))))*$D$50)))))*$I41,0)),0)</f>
        <v>0</v>
      </c>
      <c r="JP41" s="65"/>
      <c r="JQ41" s="74"/>
      <c r="JR41" s="73">
        <f t="shared" si="216"/>
        <v>0</v>
      </c>
      <c r="JS41" s="65"/>
      <c r="JT41" s="74"/>
      <c r="JU41" s="73">
        <f t="shared" si="216"/>
        <v>0</v>
      </c>
      <c r="JV41" s="65"/>
      <c r="JW41" s="74"/>
      <c r="JX41" s="73">
        <f t="shared" si="216"/>
        <v>0</v>
      </c>
      <c r="JY41" s="65"/>
      <c r="JZ41" s="74"/>
      <c r="KA41" s="73">
        <f t="shared" si="216"/>
        <v>0</v>
      </c>
      <c r="KB41" s="65"/>
      <c r="KC41" s="74"/>
      <c r="KD41" s="73">
        <f t="shared" si="216"/>
        <v>0</v>
      </c>
      <c r="KE41" s="65"/>
      <c r="KF41" s="74"/>
      <c r="KG41" s="73">
        <f t="shared" si="216"/>
        <v>0</v>
      </c>
      <c r="KH41" s="65"/>
      <c r="KI41" s="74"/>
      <c r="KJ41" s="73">
        <f t="shared" si="216"/>
        <v>0</v>
      </c>
      <c r="KK41" s="65"/>
      <c r="KL41" s="74"/>
      <c r="KM41" s="73">
        <f t="shared" si="216"/>
        <v>0</v>
      </c>
      <c r="KN41" s="65"/>
      <c r="KO41" s="74"/>
      <c r="KP41" s="73">
        <f t="shared" si="216"/>
        <v>0</v>
      </c>
      <c r="KQ41" s="65"/>
      <c r="KR41" s="74"/>
      <c r="KS41" s="73">
        <f t="shared" si="216"/>
        <v>0</v>
      </c>
      <c r="KT41" s="65"/>
      <c r="KU41" s="74"/>
      <c r="KV41" s="73">
        <f t="shared" si="216"/>
        <v>0</v>
      </c>
      <c r="KW41" s="65"/>
      <c r="KX41" s="74"/>
      <c r="KY41" s="73">
        <f t="shared" si="216"/>
        <v>0</v>
      </c>
      <c r="KZ41" s="65"/>
      <c r="LA41" s="74"/>
      <c r="LB41" s="73">
        <f t="shared" si="216"/>
        <v>0</v>
      </c>
      <c r="LC41" s="65"/>
      <c r="LD41" s="74"/>
      <c r="LE41" s="73">
        <f t="shared" si="216"/>
        <v>0</v>
      </c>
      <c r="LF41" s="65"/>
      <c r="LG41" s="65"/>
    </row>
    <row r="42" spans="1:319">
      <c r="A42" s="49"/>
      <c r="B42" s="49"/>
      <c r="C42" s="437" t="str">
        <f>Idiomas!D338</f>
        <v>Golden Boot (Top Scorer)</v>
      </c>
      <c r="D42" s="62">
        <v>20</v>
      </c>
      <c r="E42" s="111"/>
      <c r="F42" s="445">
        <f t="shared" si="197"/>
        <v>20</v>
      </c>
      <c r="G42" s="445">
        <f ca="1">VLOOKUP(H42,Equipos!$Q$1:$R$25,2,0)</f>
        <v>11</v>
      </c>
      <c r="H42" s="446">
        <f ca="1">TRUNC(INDEX(WORLDCUP!$X$4:$X$147,MATCH(ADMIN!K42,WORLDCUP!$DT$4:$DT$147,0))+INDEX(Horarios!$R$3:$R$86,MATCH(Horarios!$C$3,Horarios!$P$3:$P$86,0))/24)</f>
        <v>46194</v>
      </c>
      <c r="I42" s="48">
        <v>1</v>
      </c>
      <c r="J42" s="95" t="s">
        <v>511</v>
      </c>
      <c r="K42" s="53" t="str">
        <f ca="1">CONCATENATE(WORLDCUP!AA54,"-",WORLDCUP!AF54)</f>
        <v>Belgium-Iran</v>
      </c>
      <c r="L42" s="53"/>
      <c r="M42" s="55" t="str">
        <f>IF(OR(WORLDCUP!AC54="",WORLDCUP!AD54=""),"-",N42&amp;"|"&amp;O42&amp;"-"&amp;P42)</f>
        <v>X|0-0</v>
      </c>
      <c r="N42" s="25" t="str">
        <f>IF(OR(WORLDCUP!AC54="",WORLDCUP!AD54=""),"",IF(WORLDCUP!AC54&gt;WORLDCUP!AD54,"1",IF(WORLDCUP!AC54&lt;WORLDCUP!AD54,"2","X")))</f>
        <v>X</v>
      </c>
      <c r="O42" s="25">
        <f>WORLDCUP!AC54</f>
        <v>0</v>
      </c>
      <c r="P42" s="25">
        <f>WORLDCUP!AD54</f>
        <v>0</v>
      </c>
      <c r="Q42" s="25">
        <f t="shared" si="201"/>
        <v>0</v>
      </c>
      <c r="R42" s="49"/>
      <c r="S42" s="76" t="s">
        <v>1943</v>
      </c>
      <c r="T42" s="77">
        <f>IFERROR(IF($M42=S42,($D$8+$D$9+$D$10)*$I42,IF($N42=LEFT(S42,1),($D$8+MAX(0,IF($D$50=1,$D$9*(1-(ABS($Q42-ABS(VALUE(MID(S42,FIND("|",S42)+1,FIND("-",S42)-FIND("|",S42)-1))-VALUE(MID(S42,FIND("-",S42)+1,10)))))*$D$50),$D$9*(1-(IF($N42="X",ABS($O42-VALUE(MID(S42,FIND("|",S42)+1,FIND("-",S42)-FIND("|",S42)-1))),ABS($Q42-ABS(VALUE(MID(S42,FIND("|",S42)+1,FIND("-",S42)-FIND("|",S42)-1))-VALUE(MID(S42,FIND("-",S42)+1,10)))))*$D$50)))))*$I42,0)),0)</f>
        <v>0</v>
      </c>
      <c r="U42" s="65"/>
      <c r="V42" s="76" t="s">
        <v>1958</v>
      </c>
      <c r="W42" s="77">
        <f>IFERROR(IF($M42=V42,($D$8+$D$9+$D$10)*$I42,IF($N42=LEFT(V42,1),($D$8+MAX(0,IF($D$50=1,$D$9*(1-(ABS($Q42-ABS(VALUE(MID(V42,FIND("|",V42)+1,FIND("-",V42)-FIND("|",V42)-1))-VALUE(MID(V42,FIND("-",V42)+1,10)))))*$D$50),$D$9*(1-(IF($N42="X",ABS($O42-VALUE(MID(V42,FIND("|",V42)+1,FIND("-",V42)-FIND("|",V42)-1))),ABS($Q42-ABS(VALUE(MID(V42,FIND("|",V42)+1,FIND("-",V42)-FIND("|",V42)-1))-VALUE(MID(V42,FIND("-",V42)+1,10)))))*$D$50)))))*$I42,0)),0)</f>
        <v>0</v>
      </c>
      <c r="X42" s="65"/>
      <c r="Y42" s="76" t="s">
        <v>1950</v>
      </c>
      <c r="Z42" s="77">
        <f t="shared" si="212"/>
        <v>0</v>
      </c>
      <c r="AA42" s="65"/>
      <c r="AB42" s="76" t="s">
        <v>1954</v>
      </c>
      <c r="AC42" s="77">
        <f t="shared" si="212"/>
        <v>0</v>
      </c>
      <c r="AD42" s="65"/>
      <c r="AE42" s="76" t="s">
        <v>1950</v>
      </c>
      <c r="AF42" s="77">
        <f t="shared" si="212"/>
        <v>0</v>
      </c>
      <c r="AG42" s="65"/>
      <c r="AH42" s="76" t="s">
        <v>1947</v>
      </c>
      <c r="AI42" s="77">
        <f t="shared" si="212"/>
        <v>0</v>
      </c>
      <c r="AJ42" s="65"/>
      <c r="AK42" s="76" t="s">
        <v>1949</v>
      </c>
      <c r="AL42" s="77">
        <f t="shared" si="212"/>
        <v>0</v>
      </c>
      <c r="AM42" s="65"/>
      <c r="AN42" s="76" t="s">
        <v>2133</v>
      </c>
      <c r="AO42" s="77">
        <f t="shared" si="212"/>
        <v>20</v>
      </c>
      <c r="AP42" s="65"/>
      <c r="AQ42" s="76" t="s">
        <v>1950</v>
      </c>
      <c r="AR42" s="77">
        <f t="shared" si="212"/>
        <v>0</v>
      </c>
      <c r="AS42" s="65"/>
      <c r="AT42" s="76" t="s">
        <v>1949</v>
      </c>
      <c r="AU42" s="77">
        <f t="shared" si="212"/>
        <v>0</v>
      </c>
      <c r="AV42" s="65"/>
      <c r="AW42" s="76" t="s">
        <v>1958</v>
      </c>
      <c r="AX42" s="77">
        <f t="shared" si="212"/>
        <v>0</v>
      </c>
      <c r="AY42" s="65"/>
      <c r="AZ42" s="76" t="s">
        <v>1954</v>
      </c>
      <c r="BA42" s="77">
        <f t="shared" si="212"/>
        <v>0</v>
      </c>
      <c r="BB42" s="65"/>
      <c r="BC42" s="76" t="s">
        <v>1949</v>
      </c>
      <c r="BD42" s="77">
        <f t="shared" si="212"/>
        <v>0</v>
      </c>
      <c r="BE42" s="65"/>
      <c r="BF42" s="76" t="s">
        <v>1959</v>
      </c>
      <c r="BG42" s="77">
        <f t="shared" si="212"/>
        <v>0</v>
      </c>
      <c r="BH42" s="65"/>
      <c r="BI42" s="76" t="s">
        <v>1959</v>
      </c>
      <c r="BJ42" s="77">
        <f t="shared" ref="BJ42:DU53" si="217">IFERROR(IF($M42=BI42,($D$8+$D$9+$D$10)*$I42,IF($N42=LEFT(BI42,1),($D$8+MAX(0,IF($D$50=1,$D$9*(1-(ABS($Q42-ABS(VALUE(MID(BI42,FIND("|",BI42)+1,FIND("-",BI42)-FIND("|",BI42)-1))-VALUE(MID(BI42,FIND("-",BI42)+1,10)))))*$D$50),$D$9*(1-(IF($N42="X",ABS($O42-VALUE(MID(BI42,FIND("|",BI42)+1,FIND("-",BI42)-FIND("|",BI42)-1))),ABS($Q42-ABS(VALUE(MID(BI42,FIND("|",BI42)+1,FIND("-",BI42)-FIND("|",BI42)-1))-VALUE(MID(BI42,FIND("-",BI42)+1,10)))))*$D$50)))))*$I42,0)),0)</f>
        <v>0</v>
      </c>
      <c r="BK42" s="65"/>
      <c r="BL42" s="76" t="s">
        <v>1950</v>
      </c>
      <c r="BM42" s="77">
        <f t="shared" si="217"/>
        <v>0</v>
      </c>
      <c r="BN42" s="65"/>
      <c r="BO42" s="76" t="s">
        <v>1949</v>
      </c>
      <c r="BP42" s="77">
        <f t="shared" si="217"/>
        <v>0</v>
      </c>
      <c r="BQ42" s="65"/>
      <c r="BR42" s="76" t="s">
        <v>1958</v>
      </c>
      <c r="BS42" s="77">
        <f t="shared" si="217"/>
        <v>0</v>
      </c>
      <c r="BT42" s="65"/>
      <c r="BU42" s="76" t="s">
        <v>1954</v>
      </c>
      <c r="BV42" s="77">
        <f t="shared" si="217"/>
        <v>0</v>
      </c>
      <c r="BW42" s="65"/>
      <c r="BX42" s="76" t="s">
        <v>1959</v>
      </c>
      <c r="BY42" s="77">
        <f t="shared" si="217"/>
        <v>0</v>
      </c>
      <c r="BZ42" s="65"/>
      <c r="CA42" s="76" t="s">
        <v>1958</v>
      </c>
      <c r="CB42" s="77">
        <f t="shared" si="217"/>
        <v>0</v>
      </c>
      <c r="CC42" s="65"/>
      <c r="CD42" s="76" t="s">
        <v>1954</v>
      </c>
      <c r="CE42" s="77">
        <f t="shared" si="217"/>
        <v>0</v>
      </c>
      <c r="CF42" s="65"/>
      <c r="CG42" s="76" t="s">
        <v>1959</v>
      </c>
      <c r="CH42" s="77">
        <f t="shared" si="217"/>
        <v>0</v>
      </c>
      <c r="CI42" s="65"/>
      <c r="CJ42" s="76" t="s">
        <v>1954</v>
      </c>
      <c r="CK42" s="77">
        <f t="shared" si="217"/>
        <v>0</v>
      </c>
      <c r="CL42" s="65"/>
      <c r="CM42" s="76" t="s">
        <v>1954</v>
      </c>
      <c r="CN42" s="77">
        <f t="shared" si="217"/>
        <v>0</v>
      </c>
      <c r="CO42" s="65"/>
      <c r="CP42" s="76" t="s">
        <v>1957</v>
      </c>
      <c r="CQ42" s="77">
        <f t="shared" si="217"/>
        <v>12</v>
      </c>
      <c r="CR42" s="65"/>
      <c r="CS42" s="76" t="s">
        <v>1950</v>
      </c>
      <c r="CT42" s="77">
        <f t="shared" si="217"/>
        <v>0</v>
      </c>
      <c r="CU42" s="65"/>
      <c r="CV42" s="76" t="s">
        <v>1950</v>
      </c>
      <c r="CW42" s="77">
        <f t="shared" si="217"/>
        <v>0</v>
      </c>
      <c r="CX42" s="65"/>
      <c r="CY42" s="76" t="s">
        <v>1944</v>
      </c>
      <c r="CZ42" s="77">
        <f t="shared" si="217"/>
        <v>12</v>
      </c>
      <c r="DA42" s="65"/>
      <c r="DB42" s="76" t="s">
        <v>1945</v>
      </c>
      <c r="DC42" s="77">
        <f t="shared" si="217"/>
        <v>0</v>
      </c>
      <c r="DD42" s="65"/>
      <c r="DE42" s="76" t="s">
        <v>1949</v>
      </c>
      <c r="DF42" s="77">
        <f t="shared" si="217"/>
        <v>0</v>
      </c>
      <c r="DG42" s="65"/>
      <c r="DH42" s="76" t="s">
        <v>1958</v>
      </c>
      <c r="DI42" s="77">
        <f t="shared" si="217"/>
        <v>0</v>
      </c>
      <c r="DJ42" s="65"/>
      <c r="DK42" s="76" t="s">
        <v>1954</v>
      </c>
      <c r="DL42" s="77">
        <f t="shared" si="217"/>
        <v>0</v>
      </c>
      <c r="DM42" s="65"/>
      <c r="DN42" s="76" t="s">
        <v>1954</v>
      </c>
      <c r="DO42" s="77">
        <f t="shared" si="217"/>
        <v>0</v>
      </c>
      <c r="DP42" s="65"/>
      <c r="DQ42" s="76" t="s">
        <v>1949</v>
      </c>
      <c r="DR42" s="77">
        <f t="shared" si="217"/>
        <v>0</v>
      </c>
      <c r="DS42" s="65"/>
      <c r="DT42" s="76" t="s">
        <v>1957</v>
      </c>
      <c r="DU42" s="77">
        <f t="shared" si="217"/>
        <v>12</v>
      </c>
      <c r="DV42" s="65"/>
      <c r="DW42" s="76" t="s">
        <v>1959</v>
      </c>
      <c r="DX42" s="77">
        <f t="shared" si="214"/>
        <v>0</v>
      </c>
      <c r="DY42" s="65"/>
      <c r="DZ42" s="76" t="s">
        <v>1954</v>
      </c>
      <c r="EA42" s="77">
        <f t="shared" si="214"/>
        <v>0</v>
      </c>
      <c r="EB42" s="65"/>
      <c r="EC42" s="76" t="s">
        <v>1954</v>
      </c>
      <c r="ED42" s="77">
        <f t="shared" si="214"/>
        <v>0</v>
      </c>
      <c r="EE42" s="65"/>
      <c r="EF42" s="76" t="s">
        <v>1957</v>
      </c>
      <c r="EG42" s="77">
        <f t="shared" si="214"/>
        <v>12</v>
      </c>
      <c r="EH42" s="65"/>
      <c r="EI42" s="76" t="s">
        <v>1954</v>
      </c>
      <c r="EJ42" s="77">
        <f t="shared" si="214"/>
        <v>0</v>
      </c>
      <c r="EK42" s="65"/>
      <c r="EL42" s="76" t="s">
        <v>1950</v>
      </c>
      <c r="EM42" s="77">
        <f t="shared" si="214"/>
        <v>0</v>
      </c>
      <c r="EN42" s="65"/>
      <c r="EO42" s="76" t="s">
        <v>1950</v>
      </c>
      <c r="EP42" s="77">
        <f t="shared" si="214"/>
        <v>0</v>
      </c>
      <c r="EQ42" s="65"/>
      <c r="ER42" s="76" t="s">
        <v>1950</v>
      </c>
      <c r="ES42" s="77">
        <f t="shared" si="214"/>
        <v>0</v>
      </c>
      <c r="ET42" s="65"/>
      <c r="EU42" s="76" t="s">
        <v>1949</v>
      </c>
      <c r="EV42" s="77">
        <f t="shared" si="214"/>
        <v>0</v>
      </c>
      <c r="EW42" s="65"/>
      <c r="EX42" s="76" t="s">
        <v>1950</v>
      </c>
      <c r="EY42" s="77">
        <f t="shared" si="214"/>
        <v>0</v>
      </c>
      <c r="EZ42" s="65"/>
      <c r="FA42" s="76" t="s">
        <v>1959</v>
      </c>
      <c r="FB42" s="77">
        <f t="shared" si="214"/>
        <v>0</v>
      </c>
      <c r="FC42" s="65"/>
      <c r="FD42" s="76" t="s">
        <v>1954</v>
      </c>
      <c r="FE42" s="77">
        <f t="shared" si="214"/>
        <v>0</v>
      </c>
      <c r="FF42" s="65"/>
      <c r="FG42" s="76" t="s">
        <v>1947</v>
      </c>
      <c r="FH42" s="77">
        <f t="shared" si="214"/>
        <v>0</v>
      </c>
      <c r="FI42" s="65"/>
      <c r="FJ42" s="76" t="s">
        <v>1954</v>
      </c>
      <c r="FK42" s="77">
        <f t="shared" si="214"/>
        <v>0</v>
      </c>
      <c r="FL42" s="65"/>
      <c r="FM42" s="76" t="s">
        <v>1954</v>
      </c>
      <c r="FN42" s="77">
        <f t="shared" si="214"/>
        <v>0</v>
      </c>
      <c r="FO42" s="65"/>
      <c r="FP42" s="76" t="s">
        <v>1950</v>
      </c>
      <c r="FQ42" s="77">
        <f t="shared" si="214"/>
        <v>0</v>
      </c>
      <c r="FR42" s="65"/>
      <c r="FS42" s="76" t="s">
        <v>1954</v>
      </c>
      <c r="FT42" s="77">
        <f t="shared" si="214"/>
        <v>0</v>
      </c>
      <c r="FU42" s="65"/>
      <c r="FV42" s="76" t="s">
        <v>1958</v>
      </c>
      <c r="FW42" s="77">
        <f t="shared" si="214"/>
        <v>0</v>
      </c>
      <c r="FX42" s="65"/>
      <c r="FY42" s="76" t="s">
        <v>1959</v>
      </c>
      <c r="FZ42" s="77">
        <f t="shared" si="214"/>
        <v>0</v>
      </c>
      <c r="GA42" s="65"/>
      <c r="GB42" s="76" t="s">
        <v>1959</v>
      </c>
      <c r="GC42" s="77">
        <f t="shared" si="214"/>
        <v>0</v>
      </c>
      <c r="GD42" s="65"/>
      <c r="GE42" s="76" t="s">
        <v>1959</v>
      </c>
      <c r="GF42" s="77">
        <f t="shared" si="214"/>
        <v>0</v>
      </c>
      <c r="GG42" s="65"/>
      <c r="GH42" s="76" t="s">
        <v>1950</v>
      </c>
      <c r="GI42" s="77">
        <f t="shared" si="214"/>
        <v>0</v>
      </c>
      <c r="GJ42" s="65"/>
      <c r="GK42" s="76" t="s">
        <v>1949</v>
      </c>
      <c r="GL42" s="77">
        <f t="shared" si="213"/>
        <v>0</v>
      </c>
      <c r="GM42" s="65"/>
      <c r="GN42" s="76"/>
      <c r="GO42" s="77">
        <f t="shared" si="213"/>
        <v>0</v>
      </c>
      <c r="GP42" s="65"/>
      <c r="GQ42" s="76"/>
      <c r="GR42" s="77">
        <f t="shared" si="213"/>
        <v>0</v>
      </c>
      <c r="GS42" s="65"/>
      <c r="GT42" s="76"/>
      <c r="GU42" s="77">
        <f t="shared" si="213"/>
        <v>0</v>
      </c>
      <c r="GV42" s="65"/>
      <c r="GW42" s="76"/>
      <c r="GX42" s="77">
        <f t="shared" si="213"/>
        <v>0</v>
      </c>
      <c r="GY42" s="65"/>
      <c r="GZ42" s="76"/>
      <c r="HA42" s="77">
        <f t="shared" si="213"/>
        <v>0</v>
      </c>
      <c r="HB42" s="65"/>
      <c r="HC42" s="76"/>
      <c r="HD42" s="77">
        <f t="shared" si="213"/>
        <v>0</v>
      </c>
      <c r="HE42" s="65"/>
      <c r="HF42" s="76"/>
      <c r="HG42" s="77">
        <f t="shared" si="213"/>
        <v>0</v>
      </c>
      <c r="HH42" s="65"/>
      <c r="HI42" s="76"/>
      <c r="HJ42" s="77">
        <f t="shared" si="213"/>
        <v>0</v>
      </c>
      <c r="HK42" s="65"/>
      <c r="HL42" s="76"/>
      <c r="HM42" s="77">
        <f t="shared" si="213"/>
        <v>0</v>
      </c>
      <c r="HN42" s="65"/>
      <c r="HO42" s="76"/>
      <c r="HP42" s="77">
        <f t="shared" si="213"/>
        <v>0</v>
      </c>
      <c r="HQ42" s="65"/>
      <c r="HR42" s="76"/>
      <c r="HS42" s="77">
        <f t="shared" si="213"/>
        <v>0</v>
      </c>
      <c r="HT42" s="65"/>
      <c r="HU42" s="76"/>
      <c r="HV42" s="77">
        <f t="shared" si="213"/>
        <v>0</v>
      </c>
      <c r="HW42" s="65"/>
      <c r="HX42" s="76"/>
      <c r="HY42" s="77">
        <f t="shared" si="213"/>
        <v>0</v>
      </c>
      <c r="HZ42" s="65"/>
      <c r="IA42" s="76"/>
      <c r="IB42" s="77">
        <f t="shared" ref="IB42:KM57" si="218">IFERROR(IF($M42=IA42,($D$8+$D$9+$D$10)*$I42,IF($N42=LEFT(IA42,1),($D$8+MAX(0,IF($D$50=1,$D$9*(1-(ABS($Q42-ABS(VALUE(MID(IA42,FIND("|",IA42)+1,FIND("-",IA42)-FIND("|",IA42)-1))-VALUE(MID(IA42,FIND("-",IA42)+1,10)))))*$D$50),$D$9*(1-(IF($N42="X",ABS($O42-VALUE(MID(IA42,FIND("|",IA42)+1,FIND("-",IA42)-FIND("|",IA42)-1))),ABS($Q42-ABS(VALUE(MID(IA42,FIND("|",IA42)+1,FIND("-",IA42)-FIND("|",IA42)-1))-VALUE(MID(IA42,FIND("-",IA42)+1,10)))))*$D$50)))))*$I42,0)),0)</f>
        <v>0</v>
      </c>
      <c r="IC42" s="65"/>
      <c r="ID42" s="76"/>
      <c r="IE42" s="77">
        <f t="shared" si="218"/>
        <v>0</v>
      </c>
      <c r="IF42" s="65"/>
      <c r="IG42" s="76"/>
      <c r="IH42" s="77">
        <f t="shared" si="218"/>
        <v>0</v>
      </c>
      <c r="II42" s="65"/>
      <c r="IJ42" s="76"/>
      <c r="IK42" s="77">
        <f t="shared" si="218"/>
        <v>0</v>
      </c>
      <c r="IL42" s="65"/>
      <c r="IM42" s="76"/>
      <c r="IN42" s="77">
        <f t="shared" si="218"/>
        <v>0</v>
      </c>
      <c r="IO42" s="65"/>
      <c r="IP42" s="76"/>
      <c r="IQ42" s="77">
        <f t="shared" si="218"/>
        <v>0</v>
      </c>
      <c r="IR42" s="65"/>
      <c r="IS42" s="76"/>
      <c r="IT42" s="77">
        <f t="shared" si="218"/>
        <v>0</v>
      </c>
      <c r="IU42" s="65"/>
      <c r="IV42" s="76"/>
      <c r="IW42" s="77">
        <f t="shared" si="218"/>
        <v>0</v>
      </c>
      <c r="IX42" s="65"/>
      <c r="IY42" s="76"/>
      <c r="IZ42" s="77">
        <f t="shared" si="218"/>
        <v>0</v>
      </c>
      <c r="JA42" s="65"/>
      <c r="JB42" s="76"/>
      <c r="JC42" s="77">
        <f t="shared" si="218"/>
        <v>0</v>
      </c>
      <c r="JD42" s="65"/>
      <c r="JE42" s="76"/>
      <c r="JF42" s="77">
        <f t="shared" si="218"/>
        <v>0</v>
      </c>
      <c r="JG42" s="65"/>
      <c r="JH42" s="76"/>
      <c r="JI42" s="77">
        <f t="shared" si="218"/>
        <v>0</v>
      </c>
      <c r="JJ42" s="65"/>
      <c r="JK42" s="76"/>
      <c r="JL42" s="77">
        <f t="shared" si="218"/>
        <v>0</v>
      </c>
      <c r="JM42" s="65"/>
      <c r="JN42" s="76"/>
      <c r="JO42" s="77">
        <f t="shared" si="218"/>
        <v>0</v>
      </c>
      <c r="JP42" s="65"/>
      <c r="JQ42" s="76"/>
      <c r="JR42" s="77">
        <f t="shared" si="218"/>
        <v>0</v>
      </c>
      <c r="JS42" s="65"/>
      <c r="JT42" s="76"/>
      <c r="JU42" s="77">
        <f t="shared" si="218"/>
        <v>0</v>
      </c>
      <c r="JV42" s="65"/>
      <c r="JW42" s="76"/>
      <c r="JX42" s="77">
        <f t="shared" si="218"/>
        <v>0</v>
      </c>
      <c r="JY42" s="65"/>
      <c r="JZ42" s="76"/>
      <c r="KA42" s="77">
        <f t="shared" si="218"/>
        <v>0</v>
      </c>
      <c r="KB42" s="65"/>
      <c r="KC42" s="76"/>
      <c r="KD42" s="77">
        <f t="shared" si="218"/>
        <v>0</v>
      </c>
      <c r="KE42" s="65"/>
      <c r="KF42" s="76"/>
      <c r="KG42" s="77">
        <f t="shared" si="218"/>
        <v>0</v>
      </c>
      <c r="KH42" s="65"/>
      <c r="KI42" s="76"/>
      <c r="KJ42" s="77">
        <f t="shared" si="218"/>
        <v>0</v>
      </c>
      <c r="KK42" s="65"/>
      <c r="KL42" s="76"/>
      <c r="KM42" s="77">
        <f t="shared" si="218"/>
        <v>0</v>
      </c>
      <c r="KN42" s="65"/>
      <c r="KO42" s="76"/>
      <c r="KP42" s="77">
        <f t="shared" si="216"/>
        <v>0</v>
      </c>
      <c r="KQ42" s="65"/>
      <c r="KR42" s="76"/>
      <c r="KS42" s="77">
        <f t="shared" si="216"/>
        <v>0</v>
      </c>
      <c r="KT42" s="65"/>
      <c r="KU42" s="76"/>
      <c r="KV42" s="77">
        <f t="shared" si="216"/>
        <v>0</v>
      </c>
      <c r="KW42" s="65"/>
      <c r="KX42" s="76"/>
      <c r="KY42" s="77">
        <f t="shared" si="216"/>
        <v>0</v>
      </c>
      <c r="KZ42" s="65"/>
      <c r="LA42" s="76"/>
      <c r="LB42" s="77">
        <f t="shared" si="216"/>
        <v>0</v>
      </c>
      <c r="LC42" s="65"/>
      <c r="LD42" s="76"/>
      <c r="LE42" s="77">
        <f t="shared" si="216"/>
        <v>0</v>
      </c>
      <c r="LF42" s="65"/>
      <c r="LG42" s="65"/>
    </row>
    <row r="43" spans="1:319">
      <c r="A43" s="49"/>
      <c r="B43" s="49"/>
      <c r="C43" s="438" t="str">
        <f>Idiomas!D339</f>
        <v>Silver Boot (2º Top scorer)</v>
      </c>
      <c r="D43" s="44">
        <v>10</v>
      </c>
      <c r="E43" s="111"/>
      <c r="F43" s="445">
        <f t="shared" si="197"/>
        <v>20</v>
      </c>
      <c r="G43" s="445">
        <f ca="1">VLOOKUP(H43,Equipos!$Q$1:$R$25,2,0)</f>
        <v>12</v>
      </c>
      <c r="H43" s="446">
        <f ca="1">TRUNC(INDEX(WORLDCUP!$X$4:$X$147,MATCH(ADMIN!K43,WORLDCUP!$DT$4:$DT$147,0))+INDEX(Horarios!$R$3:$R$86,MATCH(Horarios!$C$3,Horarios!$P$3:$P$86,0))/24)</f>
        <v>46195</v>
      </c>
      <c r="I43" s="48">
        <v>1</v>
      </c>
      <c r="J43" s="95" t="s">
        <v>511</v>
      </c>
      <c r="K43" s="56" t="str">
        <f ca="1">CONCATENATE(WORLDCUP!AA55,"-",WORLDCUP!AF55)</f>
        <v>New Zealand-Egypt</v>
      </c>
      <c r="L43" s="53"/>
      <c r="M43" s="55" t="str">
        <f>IF(OR(WORLDCUP!AC55="",WORLDCUP!AD55=""),"-",N43&amp;"|"&amp;O43&amp;"-"&amp;P43)</f>
        <v>2|1-3</v>
      </c>
      <c r="N43" s="25" t="str">
        <f>IF(OR(WORLDCUP!AC55="",WORLDCUP!AD55=""),"",IF(WORLDCUP!AC55&gt;WORLDCUP!AD55,"1",IF(WORLDCUP!AC55&lt;WORLDCUP!AD55,"2","X")))</f>
        <v>2</v>
      </c>
      <c r="O43" s="25">
        <f>WORLDCUP!AC55</f>
        <v>1</v>
      </c>
      <c r="P43" s="25">
        <f>WORLDCUP!AD55</f>
        <v>3</v>
      </c>
      <c r="Q43" s="25">
        <f t="shared" si="201"/>
        <v>2</v>
      </c>
      <c r="R43" s="49"/>
      <c r="S43" s="74" t="s">
        <v>1955</v>
      </c>
      <c r="T43" s="73">
        <f t="shared" si="198"/>
        <v>20</v>
      </c>
      <c r="U43" s="65"/>
      <c r="V43" s="74" t="s">
        <v>1959</v>
      </c>
      <c r="W43" s="73">
        <f t="shared" ref="W43:W73" si="219">IFERROR(IF($M43=V43,($D$8+$D$9+$D$10)*$I43,IF($N43=LEFT(V43,1),($D$8+MAX(0,IF($D$50=1,$D$9*(1-(ABS($Q43-ABS(VALUE(MID(V43,FIND("|",V43)+1,FIND("-",V43)-FIND("|",V43)-1))-VALUE(MID(V43,FIND("-",V43)+1,10)))))*$D$50),$D$9*(1-(IF($N43="X",ABS($O43-VALUE(MID(V43,FIND("|",V43)+1,FIND("-",V43)-FIND("|",V43)-1))),ABS($Q43-ABS(VALUE(MID(V43,FIND("|",V43)+1,FIND("-",V43)-FIND("|",V43)-1))-VALUE(MID(V43,FIND("-",V43)+1,10)))))*$D$50)))))*$I43,0)),0)</f>
        <v>0</v>
      </c>
      <c r="X43" s="65"/>
      <c r="Y43" s="74" t="s">
        <v>1960</v>
      </c>
      <c r="Z43" s="73">
        <f t="shared" ref="Z43:CH54" si="220">IFERROR(IF($M43=Y43,($D$8+$D$9+$D$10)*$I43,IF($N43=LEFT(Y43,1),($D$8+MAX(0,IF($D$50=1,$D$9*(1-(ABS($Q43-ABS(VALUE(MID(Y43,FIND("|",Y43)+1,FIND("-",Y43)-FIND("|",Y43)-1))-VALUE(MID(Y43,FIND("-",Y43)+1,10)))))*$D$50),$D$9*(1-(IF($N43="X",ABS($O43-VALUE(MID(Y43,FIND("|",Y43)+1,FIND("-",Y43)-FIND("|",Y43)-1))),ABS($Q43-ABS(VALUE(MID(Y43,FIND("|",Y43)+1,FIND("-",Y43)-FIND("|",Y43)-1))-VALUE(MID(Y43,FIND("-",Y43)+1,10)))))*$D$50)))))*$I43,0)),0)</f>
        <v>12</v>
      </c>
      <c r="AA43" s="65"/>
      <c r="AB43" s="74" t="s">
        <v>1960</v>
      </c>
      <c r="AC43" s="73">
        <f t="shared" si="220"/>
        <v>12</v>
      </c>
      <c r="AD43" s="65"/>
      <c r="AE43" s="74" t="s">
        <v>1960</v>
      </c>
      <c r="AF43" s="73">
        <f t="shared" si="220"/>
        <v>12</v>
      </c>
      <c r="AG43" s="65"/>
      <c r="AH43" s="74" t="s">
        <v>1960</v>
      </c>
      <c r="AI43" s="73">
        <f t="shared" si="220"/>
        <v>12</v>
      </c>
      <c r="AJ43" s="65"/>
      <c r="AK43" s="74" t="s">
        <v>1957</v>
      </c>
      <c r="AL43" s="73">
        <f t="shared" si="220"/>
        <v>0</v>
      </c>
      <c r="AM43" s="65"/>
      <c r="AN43" s="74" t="s">
        <v>1957</v>
      </c>
      <c r="AO43" s="73">
        <f t="shared" si="220"/>
        <v>0</v>
      </c>
      <c r="AP43" s="65"/>
      <c r="AQ43" s="74" t="s">
        <v>2000</v>
      </c>
      <c r="AR43" s="73">
        <f t="shared" si="220"/>
        <v>10</v>
      </c>
      <c r="AS43" s="65"/>
      <c r="AT43" s="74" t="s">
        <v>1957</v>
      </c>
      <c r="AU43" s="73">
        <f t="shared" si="220"/>
        <v>0</v>
      </c>
      <c r="AV43" s="65"/>
      <c r="AW43" s="74" t="s">
        <v>1954</v>
      </c>
      <c r="AX43" s="73">
        <f t="shared" si="220"/>
        <v>0</v>
      </c>
      <c r="AY43" s="65"/>
      <c r="AZ43" s="74" t="s">
        <v>1953</v>
      </c>
      <c r="BA43" s="73">
        <f t="shared" si="220"/>
        <v>10</v>
      </c>
      <c r="BB43" s="65"/>
      <c r="BC43" s="74" t="s">
        <v>1957</v>
      </c>
      <c r="BD43" s="73">
        <f t="shared" si="220"/>
        <v>0</v>
      </c>
      <c r="BE43" s="65"/>
      <c r="BF43" s="74" t="s">
        <v>2133</v>
      </c>
      <c r="BG43" s="73">
        <f t="shared" si="220"/>
        <v>0</v>
      </c>
      <c r="BH43" s="65"/>
      <c r="BI43" s="74" t="s">
        <v>1960</v>
      </c>
      <c r="BJ43" s="73">
        <f t="shared" si="220"/>
        <v>12</v>
      </c>
      <c r="BK43" s="65"/>
      <c r="BL43" s="74" t="s">
        <v>1960</v>
      </c>
      <c r="BM43" s="73">
        <f t="shared" si="220"/>
        <v>12</v>
      </c>
      <c r="BN43" s="65"/>
      <c r="BO43" s="74" t="s">
        <v>1953</v>
      </c>
      <c r="BP43" s="73">
        <f t="shared" si="220"/>
        <v>10</v>
      </c>
      <c r="BQ43" s="65"/>
      <c r="BR43" s="74" t="s">
        <v>1953</v>
      </c>
      <c r="BS43" s="73">
        <f t="shared" si="220"/>
        <v>10</v>
      </c>
      <c r="BT43" s="65"/>
      <c r="BU43" s="74" t="s">
        <v>2000</v>
      </c>
      <c r="BV43" s="73">
        <f t="shared" si="220"/>
        <v>10</v>
      </c>
      <c r="BW43" s="65"/>
      <c r="BX43" s="74" t="s">
        <v>1957</v>
      </c>
      <c r="BY43" s="73">
        <f t="shared" si="220"/>
        <v>0</v>
      </c>
      <c r="BZ43" s="65"/>
      <c r="CA43" s="74" t="s">
        <v>1954</v>
      </c>
      <c r="CB43" s="73">
        <f t="shared" si="220"/>
        <v>0</v>
      </c>
      <c r="CC43" s="65"/>
      <c r="CD43" s="74" t="s">
        <v>2000</v>
      </c>
      <c r="CE43" s="73">
        <f t="shared" si="220"/>
        <v>10</v>
      </c>
      <c r="CF43" s="65"/>
      <c r="CG43" s="74" t="s">
        <v>1953</v>
      </c>
      <c r="CH43" s="73">
        <f t="shared" si="220"/>
        <v>10</v>
      </c>
      <c r="CI43" s="65"/>
      <c r="CJ43" s="74" t="s">
        <v>1954</v>
      </c>
      <c r="CK43" s="73">
        <f t="shared" si="217"/>
        <v>0</v>
      </c>
      <c r="CL43" s="65"/>
      <c r="CM43" s="74" t="s">
        <v>1960</v>
      </c>
      <c r="CN43" s="73">
        <f t="shared" si="217"/>
        <v>12</v>
      </c>
      <c r="CO43" s="65"/>
      <c r="CP43" s="74" t="s">
        <v>1960</v>
      </c>
      <c r="CQ43" s="73">
        <f t="shared" si="217"/>
        <v>12</v>
      </c>
      <c r="CR43" s="65"/>
      <c r="CS43" s="74" t="s">
        <v>1955</v>
      </c>
      <c r="CT43" s="73">
        <f t="shared" si="217"/>
        <v>20</v>
      </c>
      <c r="CU43" s="65"/>
      <c r="CV43" s="74" t="s">
        <v>1957</v>
      </c>
      <c r="CW43" s="73">
        <f t="shared" si="217"/>
        <v>0</v>
      </c>
      <c r="CX43" s="65"/>
      <c r="CY43" s="74" t="s">
        <v>1957</v>
      </c>
      <c r="CZ43" s="73">
        <f t="shared" si="217"/>
        <v>0</v>
      </c>
      <c r="DA43" s="65"/>
      <c r="DB43" s="74" t="s">
        <v>1955</v>
      </c>
      <c r="DC43" s="73">
        <f t="shared" si="217"/>
        <v>20</v>
      </c>
      <c r="DD43" s="65"/>
      <c r="DE43" s="74" t="s">
        <v>1953</v>
      </c>
      <c r="DF43" s="73">
        <f t="shared" si="217"/>
        <v>10</v>
      </c>
      <c r="DG43" s="65"/>
      <c r="DH43" s="74" t="s">
        <v>1954</v>
      </c>
      <c r="DI43" s="73">
        <f t="shared" si="217"/>
        <v>0</v>
      </c>
      <c r="DJ43" s="65"/>
      <c r="DK43" s="74" t="s">
        <v>1953</v>
      </c>
      <c r="DL43" s="73">
        <f t="shared" si="217"/>
        <v>10</v>
      </c>
      <c r="DM43" s="65"/>
      <c r="DN43" s="74" t="s">
        <v>1953</v>
      </c>
      <c r="DO43" s="73">
        <f t="shared" si="217"/>
        <v>10</v>
      </c>
      <c r="DP43" s="65"/>
      <c r="DQ43" s="74" t="s">
        <v>2000</v>
      </c>
      <c r="DR43" s="73">
        <f t="shared" si="217"/>
        <v>10</v>
      </c>
      <c r="DS43" s="65"/>
      <c r="DT43" s="74" t="s">
        <v>1960</v>
      </c>
      <c r="DU43" s="73">
        <f t="shared" si="217"/>
        <v>12</v>
      </c>
      <c r="DV43" s="65"/>
      <c r="DW43" s="74" t="s">
        <v>1955</v>
      </c>
      <c r="DX43" s="73">
        <f t="shared" si="214"/>
        <v>20</v>
      </c>
      <c r="DY43" s="65"/>
      <c r="DZ43" s="74" t="s">
        <v>1957</v>
      </c>
      <c r="EA43" s="73">
        <f t="shared" si="214"/>
        <v>0</v>
      </c>
      <c r="EB43" s="65"/>
      <c r="EC43" s="74" t="s">
        <v>1960</v>
      </c>
      <c r="ED43" s="73">
        <f t="shared" si="214"/>
        <v>12</v>
      </c>
      <c r="EE43" s="65"/>
      <c r="EF43" s="74" t="s">
        <v>1953</v>
      </c>
      <c r="EG43" s="73">
        <f t="shared" si="214"/>
        <v>10</v>
      </c>
      <c r="EH43" s="65"/>
      <c r="EI43" s="74" t="s">
        <v>1960</v>
      </c>
      <c r="EJ43" s="73">
        <f t="shared" si="214"/>
        <v>12</v>
      </c>
      <c r="EK43" s="65"/>
      <c r="EL43" s="74" t="s">
        <v>1953</v>
      </c>
      <c r="EM43" s="73">
        <f t="shared" si="214"/>
        <v>10</v>
      </c>
      <c r="EN43" s="65"/>
      <c r="EO43" s="74" t="s">
        <v>1960</v>
      </c>
      <c r="EP43" s="73">
        <f t="shared" si="214"/>
        <v>12</v>
      </c>
      <c r="EQ43" s="65"/>
      <c r="ER43" s="74" t="s">
        <v>1953</v>
      </c>
      <c r="ES43" s="73">
        <f t="shared" si="214"/>
        <v>10</v>
      </c>
      <c r="ET43" s="65"/>
      <c r="EU43" s="74" t="s">
        <v>1960</v>
      </c>
      <c r="EV43" s="73">
        <f t="shared" si="214"/>
        <v>12</v>
      </c>
      <c r="EW43" s="65"/>
      <c r="EX43" s="74" t="s">
        <v>2000</v>
      </c>
      <c r="EY43" s="73">
        <f t="shared" si="214"/>
        <v>10</v>
      </c>
      <c r="EZ43" s="65"/>
      <c r="FA43" s="74" t="s">
        <v>1960</v>
      </c>
      <c r="FB43" s="73">
        <f t="shared" si="214"/>
        <v>12</v>
      </c>
      <c r="FC43" s="65"/>
      <c r="FD43" s="74" t="s">
        <v>1959</v>
      </c>
      <c r="FE43" s="73">
        <f t="shared" si="214"/>
        <v>0</v>
      </c>
      <c r="FF43" s="65"/>
      <c r="FG43" s="74" t="s">
        <v>1960</v>
      </c>
      <c r="FH43" s="73">
        <f t="shared" si="214"/>
        <v>12</v>
      </c>
      <c r="FI43" s="65"/>
      <c r="FJ43" s="74" t="s">
        <v>2000</v>
      </c>
      <c r="FK43" s="73">
        <f t="shared" ref="FK43:HV54" si="221">IFERROR(IF($M43=FJ43,($D$8+$D$9+$D$10)*$I43,IF($N43=LEFT(FJ43,1),($D$8+MAX(0,IF($D$50=1,$D$9*(1-(ABS($Q43-ABS(VALUE(MID(FJ43,FIND("|",FJ43)+1,FIND("-",FJ43)-FIND("|",FJ43)-1))-VALUE(MID(FJ43,FIND("-",FJ43)+1,10)))))*$D$50),$D$9*(1-(IF($N43="X",ABS($O43-VALUE(MID(FJ43,FIND("|",FJ43)+1,FIND("-",FJ43)-FIND("|",FJ43)-1))),ABS($Q43-ABS(VALUE(MID(FJ43,FIND("|",FJ43)+1,FIND("-",FJ43)-FIND("|",FJ43)-1))-VALUE(MID(FJ43,FIND("-",FJ43)+1,10)))))*$D$50)))))*$I43,0)),0)</f>
        <v>10</v>
      </c>
      <c r="FL43" s="65"/>
      <c r="FM43" s="74" t="s">
        <v>2000</v>
      </c>
      <c r="FN43" s="73">
        <f t="shared" si="221"/>
        <v>10</v>
      </c>
      <c r="FO43" s="65"/>
      <c r="FP43" s="74" t="s">
        <v>2000</v>
      </c>
      <c r="FQ43" s="73">
        <f t="shared" si="221"/>
        <v>10</v>
      </c>
      <c r="FR43" s="65"/>
      <c r="FS43" s="74" t="s">
        <v>2000</v>
      </c>
      <c r="FT43" s="73">
        <f t="shared" si="221"/>
        <v>10</v>
      </c>
      <c r="FU43" s="65"/>
      <c r="FV43" s="74" t="s">
        <v>2000</v>
      </c>
      <c r="FW43" s="73">
        <f t="shared" si="221"/>
        <v>10</v>
      </c>
      <c r="FX43" s="65"/>
      <c r="FY43" s="74" t="s">
        <v>2133</v>
      </c>
      <c r="FZ43" s="73">
        <f t="shared" si="221"/>
        <v>0</v>
      </c>
      <c r="GA43" s="65"/>
      <c r="GB43" s="74" t="s">
        <v>1953</v>
      </c>
      <c r="GC43" s="73">
        <f t="shared" si="221"/>
        <v>10</v>
      </c>
      <c r="GD43" s="65"/>
      <c r="GE43" s="74" t="s">
        <v>1960</v>
      </c>
      <c r="GF43" s="73">
        <f t="shared" si="221"/>
        <v>12</v>
      </c>
      <c r="GG43" s="65"/>
      <c r="GH43" s="74" t="s">
        <v>1957</v>
      </c>
      <c r="GI43" s="73">
        <f t="shared" si="221"/>
        <v>0</v>
      </c>
      <c r="GJ43" s="65"/>
      <c r="GK43" s="74" t="s">
        <v>1955</v>
      </c>
      <c r="GL43" s="73">
        <f t="shared" si="221"/>
        <v>20</v>
      </c>
      <c r="GM43" s="65"/>
      <c r="GN43" s="74"/>
      <c r="GO43" s="73">
        <f t="shared" si="221"/>
        <v>0</v>
      </c>
      <c r="GP43" s="65"/>
      <c r="GQ43" s="74"/>
      <c r="GR43" s="73">
        <f t="shared" si="221"/>
        <v>0</v>
      </c>
      <c r="GS43" s="65"/>
      <c r="GT43" s="74"/>
      <c r="GU43" s="73">
        <f t="shared" si="221"/>
        <v>0</v>
      </c>
      <c r="GV43" s="65"/>
      <c r="GW43" s="74"/>
      <c r="GX43" s="73">
        <f t="shared" si="221"/>
        <v>0</v>
      </c>
      <c r="GY43" s="65"/>
      <c r="GZ43" s="74"/>
      <c r="HA43" s="73">
        <f t="shared" si="221"/>
        <v>0</v>
      </c>
      <c r="HB43" s="65"/>
      <c r="HC43" s="74"/>
      <c r="HD43" s="73">
        <f t="shared" si="221"/>
        <v>0</v>
      </c>
      <c r="HE43" s="65"/>
      <c r="HF43" s="74"/>
      <c r="HG43" s="73">
        <f t="shared" si="221"/>
        <v>0</v>
      </c>
      <c r="HH43" s="65"/>
      <c r="HI43" s="74"/>
      <c r="HJ43" s="73">
        <f t="shared" si="221"/>
        <v>0</v>
      </c>
      <c r="HK43" s="65"/>
      <c r="HL43" s="74"/>
      <c r="HM43" s="73">
        <f t="shared" si="221"/>
        <v>0</v>
      </c>
      <c r="HN43" s="65"/>
      <c r="HO43" s="74"/>
      <c r="HP43" s="73">
        <f t="shared" si="221"/>
        <v>0</v>
      </c>
      <c r="HQ43" s="65"/>
      <c r="HR43" s="74"/>
      <c r="HS43" s="73">
        <f t="shared" si="221"/>
        <v>0</v>
      </c>
      <c r="HT43" s="65"/>
      <c r="HU43" s="74"/>
      <c r="HV43" s="73">
        <f t="shared" si="221"/>
        <v>0</v>
      </c>
      <c r="HW43" s="65"/>
      <c r="HX43" s="74"/>
      <c r="HY43" s="73">
        <f t="shared" si="213"/>
        <v>0</v>
      </c>
      <c r="HZ43" s="65"/>
      <c r="IA43" s="74"/>
      <c r="IB43" s="73">
        <f t="shared" si="218"/>
        <v>0</v>
      </c>
      <c r="IC43" s="65"/>
      <c r="ID43" s="74"/>
      <c r="IE43" s="73">
        <f t="shared" si="218"/>
        <v>0</v>
      </c>
      <c r="IF43" s="65"/>
      <c r="IG43" s="74"/>
      <c r="IH43" s="73">
        <f t="shared" si="218"/>
        <v>0</v>
      </c>
      <c r="II43" s="65"/>
      <c r="IJ43" s="74"/>
      <c r="IK43" s="73">
        <f t="shared" si="218"/>
        <v>0</v>
      </c>
      <c r="IL43" s="65"/>
      <c r="IM43" s="74"/>
      <c r="IN43" s="73">
        <f t="shared" si="218"/>
        <v>0</v>
      </c>
      <c r="IO43" s="65"/>
      <c r="IP43" s="74"/>
      <c r="IQ43" s="73">
        <f t="shared" si="218"/>
        <v>0</v>
      </c>
      <c r="IR43" s="65"/>
      <c r="IS43" s="74"/>
      <c r="IT43" s="73">
        <f t="shared" si="218"/>
        <v>0</v>
      </c>
      <c r="IU43" s="65"/>
      <c r="IV43" s="74"/>
      <c r="IW43" s="73">
        <f t="shared" si="218"/>
        <v>0</v>
      </c>
      <c r="IX43" s="65"/>
      <c r="IY43" s="74"/>
      <c r="IZ43" s="73">
        <f t="shared" si="218"/>
        <v>0</v>
      </c>
      <c r="JA43" s="65"/>
      <c r="JB43" s="74"/>
      <c r="JC43" s="73">
        <f t="shared" si="218"/>
        <v>0</v>
      </c>
      <c r="JD43" s="65"/>
      <c r="JE43" s="74"/>
      <c r="JF43" s="73">
        <f t="shared" si="218"/>
        <v>0</v>
      </c>
      <c r="JG43" s="65"/>
      <c r="JH43" s="74"/>
      <c r="JI43" s="73">
        <f t="shared" si="218"/>
        <v>0</v>
      </c>
      <c r="JJ43" s="65"/>
      <c r="JK43" s="74"/>
      <c r="JL43" s="73">
        <f t="shared" si="218"/>
        <v>0</v>
      </c>
      <c r="JM43" s="65"/>
      <c r="JN43" s="74"/>
      <c r="JO43" s="73">
        <f t="shared" si="218"/>
        <v>0</v>
      </c>
      <c r="JP43" s="65"/>
      <c r="JQ43" s="74"/>
      <c r="JR43" s="73">
        <f t="shared" si="218"/>
        <v>0</v>
      </c>
      <c r="JS43" s="65"/>
      <c r="JT43" s="74"/>
      <c r="JU43" s="73">
        <f t="shared" si="218"/>
        <v>0</v>
      </c>
      <c r="JV43" s="65"/>
      <c r="JW43" s="74"/>
      <c r="JX43" s="73">
        <f t="shared" si="218"/>
        <v>0</v>
      </c>
      <c r="JY43" s="65"/>
      <c r="JZ43" s="74"/>
      <c r="KA43" s="73">
        <f t="shared" si="218"/>
        <v>0</v>
      </c>
      <c r="KB43" s="65"/>
      <c r="KC43" s="74"/>
      <c r="KD43" s="73">
        <f t="shared" si="218"/>
        <v>0</v>
      </c>
      <c r="KE43" s="65"/>
      <c r="KF43" s="74"/>
      <c r="KG43" s="73">
        <f t="shared" si="218"/>
        <v>0</v>
      </c>
      <c r="KH43" s="65"/>
      <c r="KI43" s="74"/>
      <c r="KJ43" s="73">
        <f t="shared" si="218"/>
        <v>0</v>
      </c>
      <c r="KK43" s="65"/>
      <c r="KL43" s="74"/>
      <c r="KM43" s="73">
        <f t="shared" si="218"/>
        <v>0</v>
      </c>
      <c r="KN43" s="65"/>
      <c r="KO43" s="74"/>
      <c r="KP43" s="73">
        <f t="shared" si="216"/>
        <v>0</v>
      </c>
      <c r="KQ43" s="65"/>
      <c r="KR43" s="74"/>
      <c r="KS43" s="73">
        <f t="shared" si="216"/>
        <v>0</v>
      </c>
      <c r="KT43" s="65"/>
      <c r="KU43" s="74"/>
      <c r="KV43" s="73">
        <f t="shared" si="216"/>
        <v>0</v>
      </c>
      <c r="KW43" s="65"/>
      <c r="KX43" s="74"/>
      <c r="KY43" s="73">
        <f t="shared" si="216"/>
        <v>0</v>
      </c>
      <c r="KZ43" s="65"/>
      <c r="LA43" s="74"/>
      <c r="LB43" s="73">
        <f t="shared" si="216"/>
        <v>0</v>
      </c>
      <c r="LC43" s="65"/>
      <c r="LD43" s="74"/>
      <c r="LE43" s="73">
        <f t="shared" si="216"/>
        <v>0</v>
      </c>
      <c r="LF43" s="65"/>
      <c r="LG43" s="65"/>
    </row>
    <row r="44" spans="1:319">
      <c r="A44" s="49"/>
      <c r="B44" s="49"/>
      <c r="C44" s="437" t="str">
        <f>Idiomas!D340</f>
        <v>Bronze Boot (3º Top scorer)</v>
      </c>
      <c r="D44" s="62">
        <v>5</v>
      </c>
      <c r="E44" s="111"/>
      <c r="F44" s="445">
        <f t="shared" si="197"/>
        <v>20</v>
      </c>
      <c r="G44" s="445">
        <f ca="1">VLOOKUP(H44,Equipos!$Q$1:$R$25,2,0)</f>
        <v>11</v>
      </c>
      <c r="H44" s="446">
        <f ca="1">TRUNC(INDEX(WORLDCUP!$X$4:$X$147,MATCH(ADMIN!K44,WORLDCUP!$DT$4:$DT$147,0))+INDEX(Horarios!$R$3:$R$86,MATCH(Horarios!$C$3,Horarios!$P$3:$P$86,0))/24)</f>
        <v>46194</v>
      </c>
      <c r="I44" s="48">
        <v>1</v>
      </c>
      <c r="J44" s="96" t="s">
        <v>513</v>
      </c>
      <c r="K44" s="56" t="str">
        <f ca="1">CONCATENATE(WORLDCUP!AA62,"-",WORLDCUP!AF62)</f>
        <v>Spain-Saudi Arabia</v>
      </c>
      <c r="L44" s="53"/>
      <c r="M44" s="55" t="str">
        <f>IF(OR(WORLDCUP!AC62="",WORLDCUP!AD62=""),"-",N44&amp;"|"&amp;O44&amp;"-"&amp;P44)</f>
        <v>1|4-0</v>
      </c>
      <c r="N44" s="25" t="str">
        <f>IF(OR(WORLDCUP!AC62="",WORLDCUP!AD62=""),"",IF(WORLDCUP!AC62&gt;WORLDCUP!AD62,"1",IF(WORLDCUP!AC62&lt;WORLDCUP!AD62,"2","X")))</f>
        <v>1</v>
      </c>
      <c r="O44" s="25">
        <f>WORLDCUP!AC62</f>
        <v>4</v>
      </c>
      <c r="P44" s="25">
        <f>WORLDCUP!AD62</f>
        <v>0</v>
      </c>
      <c r="Q44" s="25">
        <f t="shared" si="201"/>
        <v>4</v>
      </c>
      <c r="R44" s="49"/>
      <c r="S44" s="74" t="s">
        <v>1949</v>
      </c>
      <c r="T44" s="73">
        <f t="shared" si="198"/>
        <v>10</v>
      </c>
      <c r="U44" s="65"/>
      <c r="V44" s="74" t="s">
        <v>1958</v>
      </c>
      <c r="W44" s="73">
        <f t="shared" si="219"/>
        <v>10</v>
      </c>
      <c r="X44" s="65"/>
      <c r="Y44" s="74" t="s">
        <v>1958</v>
      </c>
      <c r="Z44" s="73">
        <f t="shared" si="220"/>
        <v>10</v>
      </c>
      <c r="AA44" s="65"/>
      <c r="AB44" s="74" t="s">
        <v>1958</v>
      </c>
      <c r="AC44" s="73">
        <f t="shared" si="220"/>
        <v>10</v>
      </c>
      <c r="AD44" s="65"/>
      <c r="AE44" s="74" t="s">
        <v>1958</v>
      </c>
      <c r="AF44" s="73">
        <f t="shared" si="220"/>
        <v>10</v>
      </c>
      <c r="AG44" s="65"/>
      <c r="AH44" s="74" t="s">
        <v>2132</v>
      </c>
      <c r="AI44" s="73">
        <f t="shared" si="220"/>
        <v>10</v>
      </c>
      <c r="AJ44" s="65"/>
      <c r="AK44" s="74" t="s">
        <v>1950</v>
      </c>
      <c r="AL44" s="73">
        <f t="shared" si="220"/>
        <v>10</v>
      </c>
      <c r="AM44" s="65"/>
      <c r="AN44" s="74" t="s">
        <v>1959</v>
      </c>
      <c r="AO44" s="73">
        <f t="shared" si="220"/>
        <v>10</v>
      </c>
      <c r="AP44" s="65"/>
      <c r="AQ44" s="74" t="s">
        <v>1958</v>
      </c>
      <c r="AR44" s="73">
        <f t="shared" si="220"/>
        <v>10</v>
      </c>
      <c r="AS44" s="65"/>
      <c r="AT44" s="74" t="s">
        <v>1945</v>
      </c>
      <c r="AU44" s="73">
        <f t="shared" si="220"/>
        <v>10</v>
      </c>
      <c r="AV44" s="65"/>
      <c r="AW44" s="74" t="s">
        <v>1958</v>
      </c>
      <c r="AX44" s="73">
        <f t="shared" si="220"/>
        <v>10</v>
      </c>
      <c r="AY44" s="65"/>
      <c r="AZ44" s="74" t="s">
        <v>1950</v>
      </c>
      <c r="BA44" s="73">
        <f t="shared" si="220"/>
        <v>10</v>
      </c>
      <c r="BB44" s="65"/>
      <c r="BC44" s="74" t="s">
        <v>1958</v>
      </c>
      <c r="BD44" s="73">
        <f t="shared" si="220"/>
        <v>10</v>
      </c>
      <c r="BE44" s="65"/>
      <c r="BF44" s="74" t="s">
        <v>1950</v>
      </c>
      <c r="BG44" s="73">
        <f t="shared" si="220"/>
        <v>10</v>
      </c>
      <c r="BH44" s="65"/>
      <c r="BI44" s="74" t="s">
        <v>1950</v>
      </c>
      <c r="BJ44" s="73">
        <f t="shared" si="220"/>
        <v>10</v>
      </c>
      <c r="BK44" s="65"/>
      <c r="BL44" s="74" t="s">
        <v>1958</v>
      </c>
      <c r="BM44" s="73">
        <f t="shared" si="220"/>
        <v>10</v>
      </c>
      <c r="BN44" s="65"/>
      <c r="BO44" s="74" t="s">
        <v>1949</v>
      </c>
      <c r="BP44" s="73">
        <f t="shared" si="220"/>
        <v>10</v>
      </c>
      <c r="BQ44" s="65"/>
      <c r="BR44" s="74" t="s">
        <v>1950</v>
      </c>
      <c r="BS44" s="73">
        <f t="shared" si="220"/>
        <v>10</v>
      </c>
      <c r="BT44" s="65"/>
      <c r="BU44" s="74" t="s">
        <v>1950</v>
      </c>
      <c r="BV44" s="73">
        <f t="shared" si="220"/>
        <v>10</v>
      </c>
      <c r="BW44" s="65"/>
      <c r="BX44" s="74" t="s">
        <v>1950</v>
      </c>
      <c r="BY44" s="73">
        <f t="shared" si="220"/>
        <v>10</v>
      </c>
      <c r="BZ44" s="65"/>
      <c r="CA44" s="74" t="s">
        <v>1949</v>
      </c>
      <c r="CB44" s="73">
        <f t="shared" si="220"/>
        <v>10</v>
      </c>
      <c r="CC44" s="65"/>
      <c r="CD44" s="74" t="s">
        <v>1954</v>
      </c>
      <c r="CE44" s="73">
        <f t="shared" si="220"/>
        <v>10</v>
      </c>
      <c r="CF44" s="65"/>
      <c r="CG44" s="74" t="s">
        <v>1958</v>
      </c>
      <c r="CH44" s="73">
        <f t="shared" si="220"/>
        <v>10</v>
      </c>
      <c r="CI44" s="65"/>
      <c r="CJ44" s="74" t="s">
        <v>1954</v>
      </c>
      <c r="CK44" s="73">
        <f t="shared" si="217"/>
        <v>10</v>
      </c>
      <c r="CL44" s="65"/>
      <c r="CM44" s="74" t="s">
        <v>1950</v>
      </c>
      <c r="CN44" s="73">
        <f t="shared" si="217"/>
        <v>10</v>
      </c>
      <c r="CO44" s="65"/>
      <c r="CP44" s="74" t="s">
        <v>1959</v>
      </c>
      <c r="CQ44" s="73">
        <f t="shared" si="217"/>
        <v>10</v>
      </c>
      <c r="CR44" s="65"/>
      <c r="CS44" s="74" t="s">
        <v>1949</v>
      </c>
      <c r="CT44" s="73">
        <f t="shared" si="217"/>
        <v>10</v>
      </c>
      <c r="CU44" s="65"/>
      <c r="CV44" s="74" t="s">
        <v>2132</v>
      </c>
      <c r="CW44" s="73">
        <f t="shared" si="217"/>
        <v>10</v>
      </c>
      <c r="CX44" s="65"/>
      <c r="CY44" s="74" t="s">
        <v>1952</v>
      </c>
      <c r="CZ44" s="73">
        <f t="shared" si="217"/>
        <v>12</v>
      </c>
      <c r="DA44" s="65"/>
      <c r="DB44" s="74" t="s">
        <v>1947</v>
      </c>
      <c r="DC44" s="73">
        <f t="shared" si="217"/>
        <v>20</v>
      </c>
      <c r="DD44" s="65"/>
      <c r="DE44" s="74" t="s">
        <v>1949</v>
      </c>
      <c r="DF44" s="73">
        <f t="shared" si="217"/>
        <v>10</v>
      </c>
      <c r="DG44" s="65"/>
      <c r="DH44" s="74" t="s">
        <v>1952</v>
      </c>
      <c r="DI44" s="73">
        <f t="shared" si="217"/>
        <v>12</v>
      </c>
      <c r="DJ44" s="65"/>
      <c r="DK44" s="74" t="s">
        <v>1950</v>
      </c>
      <c r="DL44" s="73">
        <f t="shared" si="217"/>
        <v>10</v>
      </c>
      <c r="DM44" s="65"/>
      <c r="DN44" s="74" t="s">
        <v>2132</v>
      </c>
      <c r="DO44" s="73">
        <f t="shared" si="217"/>
        <v>10</v>
      </c>
      <c r="DP44" s="65"/>
      <c r="DQ44" s="74" t="s">
        <v>1958</v>
      </c>
      <c r="DR44" s="73">
        <f t="shared" si="217"/>
        <v>10</v>
      </c>
      <c r="DS44" s="65"/>
      <c r="DT44" s="74" t="s">
        <v>1958</v>
      </c>
      <c r="DU44" s="73">
        <f t="shared" si="217"/>
        <v>10</v>
      </c>
      <c r="DV44" s="65"/>
      <c r="DW44" s="74" t="s">
        <v>1952</v>
      </c>
      <c r="DX44" s="73">
        <f t="shared" ref="DX44:GI55" si="222">IFERROR(IF($M44=DW44,($D$8+$D$9+$D$10)*$I44,IF($N44=LEFT(DW44,1),($D$8+MAX(0,IF($D$50=1,$D$9*(1-(ABS($Q44-ABS(VALUE(MID(DW44,FIND("|",DW44)+1,FIND("-",DW44)-FIND("|",DW44)-1))-VALUE(MID(DW44,FIND("-",DW44)+1,10)))))*$D$50),$D$9*(1-(IF($N44="X",ABS($O44-VALUE(MID(DW44,FIND("|",DW44)+1,FIND("-",DW44)-FIND("|",DW44)-1))),ABS($Q44-ABS(VALUE(MID(DW44,FIND("|",DW44)+1,FIND("-",DW44)-FIND("|",DW44)-1))-VALUE(MID(DW44,FIND("-",DW44)+1,10)))))*$D$50)))))*$I44,0)),0)</f>
        <v>12</v>
      </c>
      <c r="DY44" s="65"/>
      <c r="DZ44" s="74" t="s">
        <v>1950</v>
      </c>
      <c r="EA44" s="73">
        <f t="shared" si="222"/>
        <v>10</v>
      </c>
      <c r="EB44" s="65"/>
      <c r="EC44" s="74" t="s">
        <v>1950</v>
      </c>
      <c r="ED44" s="73">
        <f t="shared" si="222"/>
        <v>10</v>
      </c>
      <c r="EE44" s="65"/>
      <c r="EF44" s="74" t="s">
        <v>1957</v>
      </c>
      <c r="EG44" s="73">
        <f t="shared" si="222"/>
        <v>0</v>
      </c>
      <c r="EH44" s="65"/>
      <c r="EI44" s="74" t="s">
        <v>1958</v>
      </c>
      <c r="EJ44" s="73">
        <f t="shared" si="222"/>
        <v>10</v>
      </c>
      <c r="EK44" s="65"/>
      <c r="EL44" s="74" t="s">
        <v>1950</v>
      </c>
      <c r="EM44" s="73">
        <f t="shared" si="222"/>
        <v>10</v>
      </c>
      <c r="EN44" s="65"/>
      <c r="EO44" s="74" t="s">
        <v>1958</v>
      </c>
      <c r="EP44" s="73">
        <f t="shared" si="222"/>
        <v>10</v>
      </c>
      <c r="EQ44" s="65"/>
      <c r="ER44" s="74" t="s">
        <v>1954</v>
      </c>
      <c r="ES44" s="73">
        <f t="shared" si="222"/>
        <v>10</v>
      </c>
      <c r="ET44" s="65"/>
      <c r="EU44" s="74" t="s">
        <v>1958</v>
      </c>
      <c r="EV44" s="73">
        <f t="shared" si="222"/>
        <v>10</v>
      </c>
      <c r="EW44" s="65"/>
      <c r="EX44" s="74" t="s">
        <v>1950</v>
      </c>
      <c r="EY44" s="73">
        <f t="shared" si="222"/>
        <v>10</v>
      </c>
      <c r="EZ44" s="65"/>
      <c r="FA44" s="74" t="s">
        <v>1958</v>
      </c>
      <c r="FB44" s="73">
        <f t="shared" si="222"/>
        <v>10</v>
      </c>
      <c r="FC44" s="65"/>
      <c r="FD44" s="74" t="s">
        <v>1950</v>
      </c>
      <c r="FE44" s="73">
        <f t="shared" si="222"/>
        <v>10</v>
      </c>
      <c r="FF44" s="65"/>
      <c r="FG44" s="74" t="s">
        <v>1958</v>
      </c>
      <c r="FH44" s="73">
        <f t="shared" si="222"/>
        <v>10</v>
      </c>
      <c r="FI44" s="65"/>
      <c r="FJ44" s="74" t="s">
        <v>1950</v>
      </c>
      <c r="FK44" s="73">
        <f t="shared" si="222"/>
        <v>10</v>
      </c>
      <c r="FL44" s="65"/>
      <c r="FM44" s="74" t="s">
        <v>1952</v>
      </c>
      <c r="FN44" s="73">
        <f t="shared" si="222"/>
        <v>12</v>
      </c>
      <c r="FO44" s="65"/>
      <c r="FP44" s="74" t="s">
        <v>1958</v>
      </c>
      <c r="FQ44" s="73">
        <f t="shared" si="222"/>
        <v>10</v>
      </c>
      <c r="FR44" s="65"/>
      <c r="FS44" s="74" t="s">
        <v>1950</v>
      </c>
      <c r="FT44" s="73">
        <f t="shared" si="222"/>
        <v>10</v>
      </c>
      <c r="FU44" s="65"/>
      <c r="FV44" s="74" t="s">
        <v>1958</v>
      </c>
      <c r="FW44" s="73">
        <f t="shared" si="222"/>
        <v>10</v>
      </c>
      <c r="FX44" s="65"/>
      <c r="FY44" s="74" t="s">
        <v>1954</v>
      </c>
      <c r="FZ44" s="73">
        <f t="shared" si="222"/>
        <v>10</v>
      </c>
      <c r="GA44" s="65"/>
      <c r="GB44" s="74" t="s">
        <v>1949</v>
      </c>
      <c r="GC44" s="73">
        <f t="shared" si="222"/>
        <v>10</v>
      </c>
      <c r="GD44" s="65"/>
      <c r="GE44" s="74" t="s">
        <v>1958</v>
      </c>
      <c r="GF44" s="73">
        <f t="shared" si="222"/>
        <v>10</v>
      </c>
      <c r="GG44" s="65"/>
      <c r="GH44" s="74" t="s">
        <v>1958</v>
      </c>
      <c r="GI44" s="73">
        <f t="shared" si="222"/>
        <v>10</v>
      </c>
      <c r="GJ44" s="65"/>
      <c r="GK44" s="74" t="s">
        <v>1958</v>
      </c>
      <c r="GL44" s="73">
        <f t="shared" si="221"/>
        <v>10</v>
      </c>
      <c r="GM44" s="65"/>
      <c r="GN44" s="74"/>
      <c r="GO44" s="73">
        <f t="shared" si="221"/>
        <v>0</v>
      </c>
      <c r="GP44" s="65"/>
      <c r="GQ44" s="74"/>
      <c r="GR44" s="73">
        <f t="shared" si="221"/>
        <v>0</v>
      </c>
      <c r="GS44" s="65"/>
      <c r="GT44" s="74"/>
      <c r="GU44" s="73">
        <f t="shared" si="221"/>
        <v>0</v>
      </c>
      <c r="GV44" s="65"/>
      <c r="GW44" s="74"/>
      <c r="GX44" s="73">
        <f t="shared" si="221"/>
        <v>0</v>
      </c>
      <c r="GY44" s="65"/>
      <c r="GZ44" s="74"/>
      <c r="HA44" s="73">
        <f t="shared" si="221"/>
        <v>0</v>
      </c>
      <c r="HB44" s="65"/>
      <c r="HC44" s="74"/>
      <c r="HD44" s="73">
        <f t="shared" si="221"/>
        <v>0</v>
      </c>
      <c r="HE44" s="65"/>
      <c r="HF44" s="74"/>
      <c r="HG44" s="73">
        <f t="shared" si="221"/>
        <v>0</v>
      </c>
      <c r="HH44" s="65"/>
      <c r="HI44" s="74"/>
      <c r="HJ44" s="73">
        <f t="shared" si="221"/>
        <v>0</v>
      </c>
      <c r="HK44" s="65"/>
      <c r="HL44" s="74"/>
      <c r="HM44" s="73">
        <f t="shared" si="221"/>
        <v>0</v>
      </c>
      <c r="HN44" s="65"/>
      <c r="HO44" s="74"/>
      <c r="HP44" s="73">
        <f t="shared" si="221"/>
        <v>0</v>
      </c>
      <c r="HQ44" s="65"/>
      <c r="HR44" s="74"/>
      <c r="HS44" s="73">
        <f t="shared" si="221"/>
        <v>0</v>
      </c>
      <c r="HT44" s="65"/>
      <c r="HU44" s="74"/>
      <c r="HV44" s="73">
        <f t="shared" si="221"/>
        <v>0</v>
      </c>
      <c r="HW44" s="65"/>
      <c r="HX44" s="74"/>
      <c r="HY44" s="73">
        <f t="shared" si="213"/>
        <v>0</v>
      </c>
      <c r="HZ44" s="65"/>
      <c r="IA44" s="74"/>
      <c r="IB44" s="73">
        <f t="shared" si="218"/>
        <v>0</v>
      </c>
      <c r="IC44" s="65"/>
      <c r="ID44" s="74"/>
      <c r="IE44" s="73">
        <f t="shared" si="218"/>
        <v>0</v>
      </c>
      <c r="IF44" s="65"/>
      <c r="IG44" s="74"/>
      <c r="IH44" s="73">
        <f t="shared" si="218"/>
        <v>0</v>
      </c>
      <c r="II44" s="65"/>
      <c r="IJ44" s="74"/>
      <c r="IK44" s="73">
        <f t="shared" si="218"/>
        <v>0</v>
      </c>
      <c r="IL44" s="65"/>
      <c r="IM44" s="74"/>
      <c r="IN44" s="73">
        <f t="shared" si="218"/>
        <v>0</v>
      </c>
      <c r="IO44" s="65"/>
      <c r="IP44" s="74"/>
      <c r="IQ44" s="73">
        <f t="shared" si="218"/>
        <v>0</v>
      </c>
      <c r="IR44" s="65"/>
      <c r="IS44" s="74"/>
      <c r="IT44" s="73">
        <f t="shared" si="218"/>
        <v>0</v>
      </c>
      <c r="IU44" s="65"/>
      <c r="IV44" s="74"/>
      <c r="IW44" s="73">
        <f t="shared" si="218"/>
        <v>0</v>
      </c>
      <c r="IX44" s="65"/>
      <c r="IY44" s="74"/>
      <c r="IZ44" s="73">
        <f t="shared" si="218"/>
        <v>0</v>
      </c>
      <c r="JA44" s="65"/>
      <c r="JB44" s="74"/>
      <c r="JC44" s="73">
        <f t="shared" si="218"/>
        <v>0</v>
      </c>
      <c r="JD44" s="65"/>
      <c r="JE44" s="74"/>
      <c r="JF44" s="73">
        <f t="shared" si="218"/>
        <v>0</v>
      </c>
      <c r="JG44" s="65"/>
      <c r="JH44" s="74"/>
      <c r="JI44" s="73">
        <f t="shared" si="218"/>
        <v>0</v>
      </c>
      <c r="JJ44" s="65"/>
      <c r="JK44" s="74"/>
      <c r="JL44" s="73">
        <f t="shared" si="218"/>
        <v>0</v>
      </c>
      <c r="JM44" s="65"/>
      <c r="JN44" s="74"/>
      <c r="JO44" s="73">
        <f t="shared" si="218"/>
        <v>0</v>
      </c>
      <c r="JP44" s="65"/>
      <c r="JQ44" s="74"/>
      <c r="JR44" s="73">
        <f t="shared" si="218"/>
        <v>0</v>
      </c>
      <c r="JS44" s="65"/>
      <c r="JT44" s="74"/>
      <c r="JU44" s="73">
        <f t="shared" si="218"/>
        <v>0</v>
      </c>
      <c r="JV44" s="65"/>
      <c r="JW44" s="74"/>
      <c r="JX44" s="73">
        <f t="shared" si="218"/>
        <v>0</v>
      </c>
      <c r="JY44" s="65"/>
      <c r="JZ44" s="74"/>
      <c r="KA44" s="73">
        <f t="shared" si="218"/>
        <v>0</v>
      </c>
      <c r="KB44" s="65"/>
      <c r="KC44" s="74"/>
      <c r="KD44" s="73">
        <f t="shared" si="218"/>
        <v>0</v>
      </c>
      <c r="KE44" s="65"/>
      <c r="KF44" s="74"/>
      <c r="KG44" s="73">
        <f t="shared" si="218"/>
        <v>0</v>
      </c>
      <c r="KH44" s="65"/>
      <c r="KI44" s="74"/>
      <c r="KJ44" s="73">
        <f t="shared" si="218"/>
        <v>0</v>
      </c>
      <c r="KK44" s="65"/>
      <c r="KL44" s="74"/>
      <c r="KM44" s="73">
        <f t="shared" si="218"/>
        <v>0</v>
      </c>
      <c r="KN44" s="65"/>
      <c r="KO44" s="74"/>
      <c r="KP44" s="73">
        <f t="shared" si="216"/>
        <v>0</v>
      </c>
      <c r="KQ44" s="65"/>
      <c r="KR44" s="74"/>
      <c r="KS44" s="73">
        <f t="shared" si="216"/>
        <v>0</v>
      </c>
      <c r="KT44" s="65"/>
      <c r="KU44" s="74"/>
      <c r="KV44" s="73">
        <f t="shared" si="216"/>
        <v>0</v>
      </c>
      <c r="KW44" s="65"/>
      <c r="KX44" s="74"/>
      <c r="KY44" s="73">
        <f t="shared" si="216"/>
        <v>0</v>
      </c>
      <c r="KZ44" s="65"/>
      <c r="LA44" s="74"/>
      <c r="LB44" s="73">
        <f t="shared" si="216"/>
        <v>0</v>
      </c>
      <c r="LC44" s="65"/>
      <c r="LD44" s="74"/>
      <c r="LE44" s="73">
        <f t="shared" si="216"/>
        <v>0</v>
      </c>
      <c r="LF44" s="65"/>
      <c r="LG44" s="65"/>
    </row>
    <row r="45" spans="1:319">
      <c r="A45" s="49"/>
      <c r="B45" s="49"/>
      <c r="C45" s="438" t="str">
        <f>Idiomas!D341</f>
        <v>Golden Ball  (Best player)</v>
      </c>
      <c r="D45" s="44">
        <v>15</v>
      </c>
      <c r="E45" s="111"/>
      <c r="F45" s="445">
        <f t="shared" si="197"/>
        <v>20</v>
      </c>
      <c r="G45" s="445">
        <f ca="1">VLOOKUP(H45,Equipos!$Q$1:$R$25,2,0)</f>
        <v>12</v>
      </c>
      <c r="H45" s="446">
        <f ca="1">TRUNC(INDEX(WORLDCUP!$X$4:$X$147,MATCH(ADMIN!K45,WORLDCUP!$DT$4:$DT$147,0))+INDEX(Horarios!$R$3:$R$86,MATCH(Horarios!$C$3,Horarios!$P$3:$P$86,0))/24)</f>
        <v>46195</v>
      </c>
      <c r="I45" s="48">
        <v>1</v>
      </c>
      <c r="J45" s="96" t="s">
        <v>513</v>
      </c>
      <c r="K45" s="53" t="str">
        <f ca="1">CONCATENATE(WORLDCUP!AA63,"-",WORLDCUP!AF63)</f>
        <v>Uruguay-Cape Verde</v>
      </c>
      <c r="L45" s="53"/>
      <c r="M45" s="55" t="str">
        <f>IF(OR(WORLDCUP!AC63="",WORLDCUP!AD63=""),"-",N45&amp;"|"&amp;O45&amp;"-"&amp;P45)</f>
        <v>X|2-2</v>
      </c>
      <c r="N45" s="25" t="str">
        <f>IF(OR(WORLDCUP!AC63="",WORLDCUP!AD63=""),"",IF(WORLDCUP!AC63&gt;WORLDCUP!AD63,"1",IF(WORLDCUP!AC63&lt;WORLDCUP!AD63,"2","X")))</f>
        <v>X</v>
      </c>
      <c r="O45" s="25">
        <f>WORLDCUP!AC63</f>
        <v>2</v>
      </c>
      <c r="P45" s="25">
        <f>WORLDCUP!AD63</f>
        <v>2</v>
      </c>
      <c r="Q45" s="25">
        <f t="shared" si="201"/>
        <v>0</v>
      </c>
      <c r="R45" s="49"/>
      <c r="S45" s="74" t="s">
        <v>1944</v>
      </c>
      <c r="T45" s="73">
        <f t="shared" si="198"/>
        <v>20</v>
      </c>
      <c r="U45" s="65"/>
      <c r="V45" s="74" t="s">
        <v>1950</v>
      </c>
      <c r="W45" s="73">
        <f t="shared" si="219"/>
        <v>0</v>
      </c>
      <c r="X45" s="65"/>
      <c r="Y45" s="74" t="s">
        <v>1954</v>
      </c>
      <c r="Z45" s="73">
        <f t="shared" si="220"/>
        <v>0</v>
      </c>
      <c r="AA45" s="65"/>
      <c r="AB45" s="74" t="s">
        <v>1950</v>
      </c>
      <c r="AC45" s="73">
        <f t="shared" si="220"/>
        <v>0</v>
      </c>
      <c r="AD45" s="65"/>
      <c r="AE45" s="74" t="s">
        <v>1958</v>
      </c>
      <c r="AF45" s="73">
        <f t="shared" si="220"/>
        <v>0</v>
      </c>
      <c r="AG45" s="65"/>
      <c r="AH45" s="74" t="s">
        <v>1947</v>
      </c>
      <c r="AI45" s="73">
        <f t="shared" si="220"/>
        <v>0</v>
      </c>
      <c r="AJ45" s="65"/>
      <c r="AK45" s="74" t="s">
        <v>1959</v>
      </c>
      <c r="AL45" s="73">
        <f t="shared" si="220"/>
        <v>0</v>
      </c>
      <c r="AM45" s="65"/>
      <c r="AN45" s="74" t="s">
        <v>1954</v>
      </c>
      <c r="AO45" s="73">
        <f t="shared" si="220"/>
        <v>0</v>
      </c>
      <c r="AP45" s="65"/>
      <c r="AQ45" s="74" t="s">
        <v>1950</v>
      </c>
      <c r="AR45" s="73">
        <f t="shared" si="220"/>
        <v>0</v>
      </c>
      <c r="AS45" s="65"/>
      <c r="AT45" s="74" t="s">
        <v>1949</v>
      </c>
      <c r="AU45" s="73">
        <f t="shared" si="220"/>
        <v>0</v>
      </c>
      <c r="AV45" s="65"/>
      <c r="AW45" s="74" t="s">
        <v>1950</v>
      </c>
      <c r="AX45" s="73">
        <f t="shared" si="220"/>
        <v>0</v>
      </c>
      <c r="AY45" s="65"/>
      <c r="AZ45" s="74" t="s">
        <v>1957</v>
      </c>
      <c r="BA45" s="73">
        <f t="shared" si="220"/>
        <v>12</v>
      </c>
      <c r="BB45" s="65"/>
      <c r="BC45" s="74" t="s">
        <v>1958</v>
      </c>
      <c r="BD45" s="73">
        <f t="shared" si="220"/>
        <v>0</v>
      </c>
      <c r="BE45" s="65"/>
      <c r="BF45" s="74" t="s">
        <v>1950</v>
      </c>
      <c r="BG45" s="73">
        <f t="shared" si="220"/>
        <v>0</v>
      </c>
      <c r="BH45" s="65"/>
      <c r="BI45" s="74" t="s">
        <v>1958</v>
      </c>
      <c r="BJ45" s="73">
        <f t="shared" si="220"/>
        <v>0</v>
      </c>
      <c r="BK45" s="65"/>
      <c r="BL45" s="74" t="s">
        <v>1950</v>
      </c>
      <c r="BM45" s="73">
        <f t="shared" si="220"/>
        <v>0</v>
      </c>
      <c r="BN45" s="65"/>
      <c r="BO45" s="74" t="s">
        <v>1950</v>
      </c>
      <c r="BP45" s="73">
        <f t="shared" si="220"/>
        <v>0</v>
      </c>
      <c r="BQ45" s="65"/>
      <c r="BR45" s="74" t="s">
        <v>1954</v>
      </c>
      <c r="BS45" s="73">
        <f t="shared" si="220"/>
        <v>0</v>
      </c>
      <c r="BT45" s="65"/>
      <c r="BU45" s="74" t="s">
        <v>1950</v>
      </c>
      <c r="BV45" s="73">
        <f t="shared" si="220"/>
        <v>0</v>
      </c>
      <c r="BW45" s="65"/>
      <c r="BX45" s="74" t="s">
        <v>1957</v>
      </c>
      <c r="BY45" s="73">
        <f t="shared" si="220"/>
        <v>12</v>
      </c>
      <c r="BZ45" s="65"/>
      <c r="CA45" s="74" t="s">
        <v>1950</v>
      </c>
      <c r="CB45" s="73">
        <f t="shared" si="220"/>
        <v>0</v>
      </c>
      <c r="CC45" s="65"/>
      <c r="CD45" s="74" t="s">
        <v>1950</v>
      </c>
      <c r="CE45" s="73">
        <f t="shared" si="220"/>
        <v>0</v>
      </c>
      <c r="CF45" s="65"/>
      <c r="CG45" s="74" t="s">
        <v>1949</v>
      </c>
      <c r="CH45" s="73">
        <f t="shared" si="220"/>
        <v>0</v>
      </c>
      <c r="CI45" s="65"/>
      <c r="CJ45" s="74" t="s">
        <v>1954</v>
      </c>
      <c r="CK45" s="73">
        <f t="shared" si="217"/>
        <v>0</v>
      </c>
      <c r="CL45" s="65"/>
      <c r="CM45" s="74" t="s">
        <v>1950</v>
      </c>
      <c r="CN45" s="73">
        <f t="shared" si="217"/>
        <v>0</v>
      </c>
      <c r="CO45" s="65"/>
      <c r="CP45" s="74" t="s">
        <v>1959</v>
      </c>
      <c r="CQ45" s="73">
        <f t="shared" si="217"/>
        <v>0</v>
      </c>
      <c r="CR45" s="65"/>
      <c r="CS45" s="74" t="s">
        <v>1949</v>
      </c>
      <c r="CT45" s="73">
        <f t="shared" si="217"/>
        <v>0</v>
      </c>
      <c r="CU45" s="65"/>
      <c r="CV45" s="74" t="s">
        <v>1950</v>
      </c>
      <c r="CW45" s="73">
        <f t="shared" si="217"/>
        <v>0</v>
      </c>
      <c r="CX45" s="65"/>
      <c r="CY45" s="74" t="s">
        <v>1954</v>
      </c>
      <c r="CZ45" s="73">
        <f t="shared" si="217"/>
        <v>0</v>
      </c>
      <c r="DA45" s="65"/>
      <c r="DB45" s="74" t="s">
        <v>1949</v>
      </c>
      <c r="DC45" s="73">
        <f t="shared" si="217"/>
        <v>0</v>
      </c>
      <c r="DD45" s="65"/>
      <c r="DE45" s="74" t="s">
        <v>1945</v>
      </c>
      <c r="DF45" s="73">
        <f t="shared" si="217"/>
        <v>0</v>
      </c>
      <c r="DG45" s="65"/>
      <c r="DH45" s="74" t="s">
        <v>1959</v>
      </c>
      <c r="DI45" s="73">
        <f t="shared" si="217"/>
        <v>0</v>
      </c>
      <c r="DJ45" s="65"/>
      <c r="DK45" s="74" t="s">
        <v>1954</v>
      </c>
      <c r="DL45" s="73">
        <f t="shared" si="217"/>
        <v>0</v>
      </c>
      <c r="DM45" s="65"/>
      <c r="DN45" s="74" t="s">
        <v>2132</v>
      </c>
      <c r="DO45" s="73">
        <f t="shared" si="217"/>
        <v>0</v>
      </c>
      <c r="DP45" s="65"/>
      <c r="DQ45" s="74" t="s">
        <v>1958</v>
      </c>
      <c r="DR45" s="73">
        <f t="shared" si="217"/>
        <v>0</v>
      </c>
      <c r="DS45" s="65"/>
      <c r="DT45" s="74" t="s">
        <v>1950</v>
      </c>
      <c r="DU45" s="73">
        <f t="shared" si="217"/>
        <v>0</v>
      </c>
      <c r="DV45" s="65"/>
      <c r="DW45" s="74" t="s">
        <v>1950</v>
      </c>
      <c r="DX45" s="73">
        <f t="shared" si="222"/>
        <v>0</v>
      </c>
      <c r="DY45" s="65"/>
      <c r="DZ45" s="74" t="s">
        <v>1954</v>
      </c>
      <c r="EA45" s="73">
        <f t="shared" si="222"/>
        <v>0</v>
      </c>
      <c r="EB45" s="65"/>
      <c r="EC45" s="74" t="s">
        <v>1950</v>
      </c>
      <c r="ED45" s="73">
        <f t="shared" si="222"/>
        <v>0</v>
      </c>
      <c r="EE45" s="65"/>
      <c r="EF45" s="74" t="s">
        <v>1954</v>
      </c>
      <c r="EG45" s="73">
        <f t="shared" si="222"/>
        <v>0</v>
      </c>
      <c r="EH45" s="65"/>
      <c r="EI45" s="74" t="s">
        <v>1950</v>
      </c>
      <c r="EJ45" s="73">
        <f t="shared" si="222"/>
        <v>0</v>
      </c>
      <c r="EK45" s="65"/>
      <c r="EL45" s="74" t="s">
        <v>1958</v>
      </c>
      <c r="EM45" s="73">
        <f t="shared" si="222"/>
        <v>0</v>
      </c>
      <c r="EN45" s="65"/>
      <c r="EO45" s="74" t="s">
        <v>1950</v>
      </c>
      <c r="EP45" s="73">
        <f t="shared" si="222"/>
        <v>0</v>
      </c>
      <c r="EQ45" s="65"/>
      <c r="ER45" s="74" t="s">
        <v>1950</v>
      </c>
      <c r="ES45" s="73">
        <f t="shared" si="222"/>
        <v>0</v>
      </c>
      <c r="ET45" s="65"/>
      <c r="EU45" s="74" t="s">
        <v>1950</v>
      </c>
      <c r="EV45" s="73">
        <f t="shared" si="222"/>
        <v>0</v>
      </c>
      <c r="EW45" s="65"/>
      <c r="EX45" s="74" t="s">
        <v>1959</v>
      </c>
      <c r="EY45" s="73">
        <f t="shared" si="222"/>
        <v>0</v>
      </c>
      <c r="EZ45" s="65"/>
      <c r="FA45" s="74" t="s">
        <v>1950</v>
      </c>
      <c r="FB45" s="73">
        <f t="shared" si="222"/>
        <v>0</v>
      </c>
      <c r="FC45" s="65"/>
      <c r="FD45" s="74" t="s">
        <v>1959</v>
      </c>
      <c r="FE45" s="73">
        <f t="shared" si="222"/>
        <v>0</v>
      </c>
      <c r="FF45" s="65"/>
      <c r="FG45" s="74" t="s">
        <v>1945</v>
      </c>
      <c r="FH45" s="73">
        <f t="shared" si="222"/>
        <v>0</v>
      </c>
      <c r="FI45" s="65"/>
      <c r="FJ45" s="74" t="s">
        <v>1954</v>
      </c>
      <c r="FK45" s="73">
        <f t="shared" si="222"/>
        <v>0</v>
      </c>
      <c r="FL45" s="65"/>
      <c r="FM45" s="74" t="s">
        <v>1958</v>
      </c>
      <c r="FN45" s="73">
        <f t="shared" si="222"/>
        <v>0</v>
      </c>
      <c r="FO45" s="65"/>
      <c r="FP45" s="74" t="s">
        <v>1950</v>
      </c>
      <c r="FQ45" s="73">
        <f t="shared" si="222"/>
        <v>0</v>
      </c>
      <c r="FR45" s="65"/>
      <c r="FS45" s="74" t="s">
        <v>1950</v>
      </c>
      <c r="FT45" s="73">
        <f t="shared" si="222"/>
        <v>0</v>
      </c>
      <c r="FU45" s="65"/>
      <c r="FV45" s="74" t="s">
        <v>1950</v>
      </c>
      <c r="FW45" s="73">
        <f t="shared" si="222"/>
        <v>0</v>
      </c>
      <c r="FX45" s="65"/>
      <c r="FY45" s="74" t="s">
        <v>1950</v>
      </c>
      <c r="FZ45" s="73">
        <f t="shared" si="222"/>
        <v>0</v>
      </c>
      <c r="GA45" s="65"/>
      <c r="GB45" s="74" t="s">
        <v>1950</v>
      </c>
      <c r="GC45" s="73">
        <f t="shared" si="222"/>
        <v>0</v>
      </c>
      <c r="GD45" s="65"/>
      <c r="GE45" s="74" t="s">
        <v>1954</v>
      </c>
      <c r="GF45" s="73">
        <f t="shared" si="222"/>
        <v>0</v>
      </c>
      <c r="GG45" s="65"/>
      <c r="GH45" s="74" t="s">
        <v>1954</v>
      </c>
      <c r="GI45" s="73">
        <f t="shared" si="222"/>
        <v>0</v>
      </c>
      <c r="GJ45" s="65"/>
      <c r="GK45" s="74" t="s">
        <v>1958</v>
      </c>
      <c r="GL45" s="73">
        <f t="shared" si="221"/>
        <v>0</v>
      </c>
      <c r="GM45" s="65"/>
      <c r="GN45" s="74"/>
      <c r="GO45" s="73">
        <f t="shared" si="221"/>
        <v>0</v>
      </c>
      <c r="GP45" s="65"/>
      <c r="GQ45" s="74"/>
      <c r="GR45" s="73">
        <f t="shared" si="221"/>
        <v>0</v>
      </c>
      <c r="GS45" s="65"/>
      <c r="GT45" s="74"/>
      <c r="GU45" s="73">
        <f t="shared" si="221"/>
        <v>0</v>
      </c>
      <c r="GV45" s="65"/>
      <c r="GW45" s="74"/>
      <c r="GX45" s="73">
        <f t="shared" si="221"/>
        <v>0</v>
      </c>
      <c r="GY45" s="65"/>
      <c r="GZ45" s="74"/>
      <c r="HA45" s="73">
        <f t="shared" si="221"/>
        <v>0</v>
      </c>
      <c r="HB45" s="65"/>
      <c r="HC45" s="74"/>
      <c r="HD45" s="73">
        <f t="shared" si="221"/>
        <v>0</v>
      </c>
      <c r="HE45" s="65"/>
      <c r="HF45" s="74"/>
      <c r="HG45" s="73">
        <f t="shared" si="221"/>
        <v>0</v>
      </c>
      <c r="HH45" s="65"/>
      <c r="HI45" s="74"/>
      <c r="HJ45" s="73">
        <f t="shared" si="221"/>
        <v>0</v>
      </c>
      <c r="HK45" s="65"/>
      <c r="HL45" s="74"/>
      <c r="HM45" s="73">
        <f t="shared" si="221"/>
        <v>0</v>
      </c>
      <c r="HN45" s="65"/>
      <c r="HO45" s="74"/>
      <c r="HP45" s="73">
        <f t="shared" si="221"/>
        <v>0</v>
      </c>
      <c r="HQ45" s="65"/>
      <c r="HR45" s="74"/>
      <c r="HS45" s="73">
        <f t="shared" si="221"/>
        <v>0</v>
      </c>
      <c r="HT45" s="65"/>
      <c r="HU45" s="74"/>
      <c r="HV45" s="73">
        <f t="shared" si="221"/>
        <v>0</v>
      </c>
      <c r="HW45" s="65"/>
      <c r="HX45" s="74"/>
      <c r="HY45" s="73">
        <f t="shared" si="213"/>
        <v>0</v>
      </c>
      <c r="HZ45" s="65"/>
      <c r="IA45" s="74"/>
      <c r="IB45" s="73">
        <f t="shared" si="218"/>
        <v>0</v>
      </c>
      <c r="IC45" s="65"/>
      <c r="ID45" s="74"/>
      <c r="IE45" s="73">
        <f t="shared" si="218"/>
        <v>0</v>
      </c>
      <c r="IF45" s="65"/>
      <c r="IG45" s="74"/>
      <c r="IH45" s="73">
        <f t="shared" si="218"/>
        <v>0</v>
      </c>
      <c r="II45" s="65"/>
      <c r="IJ45" s="74"/>
      <c r="IK45" s="73">
        <f t="shared" si="218"/>
        <v>0</v>
      </c>
      <c r="IL45" s="65"/>
      <c r="IM45" s="74"/>
      <c r="IN45" s="73">
        <f t="shared" si="218"/>
        <v>0</v>
      </c>
      <c r="IO45" s="65"/>
      <c r="IP45" s="74"/>
      <c r="IQ45" s="73">
        <f t="shared" si="218"/>
        <v>0</v>
      </c>
      <c r="IR45" s="65"/>
      <c r="IS45" s="74"/>
      <c r="IT45" s="73">
        <f t="shared" si="218"/>
        <v>0</v>
      </c>
      <c r="IU45" s="65"/>
      <c r="IV45" s="74"/>
      <c r="IW45" s="73">
        <f t="shared" si="218"/>
        <v>0</v>
      </c>
      <c r="IX45" s="65"/>
      <c r="IY45" s="74"/>
      <c r="IZ45" s="73">
        <f t="shared" si="218"/>
        <v>0</v>
      </c>
      <c r="JA45" s="65"/>
      <c r="JB45" s="74"/>
      <c r="JC45" s="73">
        <f t="shared" si="218"/>
        <v>0</v>
      </c>
      <c r="JD45" s="65"/>
      <c r="JE45" s="74"/>
      <c r="JF45" s="73">
        <f t="shared" si="218"/>
        <v>0</v>
      </c>
      <c r="JG45" s="65"/>
      <c r="JH45" s="74"/>
      <c r="JI45" s="73">
        <f t="shared" si="218"/>
        <v>0</v>
      </c>
      <c r="JJ45" s="65"/>
      <c r="JK45" s="74"/>
      <c r="JL45" s="73">
        <f t="shared" si="218"/>
        <v>0</v>
      </c>
      <c r="JM45" s="65"/>
      <c r="JN45" s="74"/>
      <c r="JO45" s="73">
        <f t="shared" si="218"/>
        <v>0</v>
      </c>
      <c r="JP45" s="65"/>
      <c r="JQ45" s="74"/>
      <c r="JR45" s="73">
        <f t="shared" si="218"/>
        <v>0</v>
      </c>
      <c r="JS45" s="65"/>
      <c r="JT45" s="74"/>
      <c r="JU45" s="73">
        <f t="shared" si="218"/>
        <v>0</v>
      </c>
      <c r="JV45" s="65"/>
      <c r="JW45" s="74"/>
      <c r="JX45" s="73">
        <f t="shared" si="218"/>
        <v>0</v>
      </c>
      <c r="JY45" s="65"/>
      <c r="JZ45" s="74"/>
      <c r="KA45" s="73">
        <f t="shared" si="218"/>
        <v>0</v>
      </c>
      <c r="KB45" s="65"/>
      <c r="KC45" s="74"/>
      <c r="KD45" s="73">
        <f t="shared" si="218"/>
        <v>0</v>
      </c>
      <c r="KE45" s="65"/>
      <c r="KF45" s="74"/>
      <c r="KG45" s="73">
        <f t="shared" si="218"/>
        <v>0</v>
      </c>
      <c r="KH45" s="65"/>
      <c r="KI45" s="74"/>
      <c r="KJ45" s="73">
        <f t="shared" si="218"/>
        <v>0</v>
      </c>
      <c r="KK45" s="65"/>
      <c r="KL45" s="74"/>
      <c r="KM45" s="73">
        <f t="shared" si="218"/>
        <v>0</v>
      </c>
      <c r="KN45" s="65"/>
      <c r="KO45" s="74"/>
      <c r="KP45" s="73">
        <f t="shared" si="216"/>
        <v>0</v>
      </c>
      <c r="KQ45" s="65"/>
      <c r="KR45" s="74"/>
      <c r="KS45" s="73">
        <f t="shared" si="216"/>
        <v>0</v>
      </c>
      <c r="KT45" s="65"/>
      <c r="KU45" s="74"/>
      <c r="KV45" s="73">
        <f t="shared" si="216"/>
        <v>0</v>
      </c>
      <c r="KW45" s="65"/>
      <c r="KX45" s="74"/>
      <c r="KY45" s="73">
        <f t="shared" si="216"/>
        <v>0</v>
      </c>
      <c r="KZ45" s="65"/>
      <c r="LA45" s="74"/>
      <c r="LB45" s="73">
        <f t="shared" si="216"/>
        <v>0</v>
      </c>
      <c r="LC45" s="65"/>
      <c r="LD45" s="74"/>
      <c r="LE45" s="73">
        <f t="shared" si="216"/>
        <v>0</v>
      </c>
      <c r="LF45" s="65"/>
      <c r="LG45" s="65"/>
    </row>
    <row r="46" spans="1:319">
      <c r="A46" s="49"/>
      <c r="B46" s="49"/>
      <c r="C46" s="437" t="str">
        <f>Idiomas!D342</f>
        <v>Silver Ball (2nd Best player)</v>
      </c>
      <c r="D46" s="62">
        <v>8</v>
      </c>
      <c r="E46" s="111"/>
      <c r="F46" s="445">
        <f t="shared" si="197"/>
        <v>20</v>
      </c>
      <c r="G46" s="445">
        <f ca="1">VLOOKUP(H46,Equipos!$Q$1:$R$25,2,0)</f>
        <v>13</v>
      </c>
      <c r="H46" s="446">
        <f ca="1">TRUNC(INDEX(WORLDCUP!$X$4:$X$147,MATCH(ADMIN!K46,WORLDCUP!$DT$4:$DT$147,0))+INDEX(Horarios!$R$3:$R$86,MATCH(Horarios!$C$3,Horarios!$P$3:$P$86,0))/24)</f>
        <v>46196</v>
      </c>
      <c r="I46" s="48">
        <v>1</v>
      </c>
      <c r="J46" s="95" t="s">
        <v>514</v>
      </c>
      <c r="K46" s="53" t="str">
        <f ca="1">CONCATENATE(WORLDCUP!AA70,"-",WORLDCUP!AF70)</f>
        <v>France-Iraq</v>
      </c>
      <c r="L46" s="53"/>
      <c r="M46" s="55" t="str">
        <f>IF(OR(WORLDCUP!AC70="",WORLDCUP!AD70=""),"-",N46&amp;"|"&amp;O46&amp;"-"&amp;P46)</f>
        <v>1|3-0</v>
      </c>
      <c r="N46" s="25" t="str">
        <f>IF(OR(WORLDCUP!AC70="",WORLDCUP!AD70=""),"",IF(WORLDCUP!AC70&gt;WORLDCUP!AD70,"1",IF(WORLDCUP!AC70&lt;WORLDCUP!AD70,"2","X")))</f>
        <v>1</v>
      </c>
      <c r="O46" s="25">
        <f>WORLDCUP!AC70</f>
        <v>3</v>
      </c>
      <c r="P46" s="25">
        <f>WORLDCUP!AD70</f>
        <v>0</v>
      </c>
      <c r="Q46" s="25">
        <f t="shared" si="201"/>
        <v>3</v>
      </c>
      <c r="R46" s="49"/>
      <c r="S46" s="74" t="s">
        <v>1944</v>
      </c>
      <c r="T46" s="73">
        <f t="shared" si="198"/>
        <v>0</v>
      </c>
      <c r="U46" s="65"/>
      <c r="V46" s="74" t="s">
        <v>1947</v>
      </c>
      <c r="W46" s="73">
        <f t="shared" si="219"/>
        <v>10</v>
      </c>
      <c r="X46" s="65"/>
      <c r="Y46" s="74" t="s">
        <v>1958</v>
      </c>
      <c r="Z46" s="73">
        <f t="shared" si="220"/>
        <v>20</v>
      </c>
      <c r="AA46" s="65"/>
      <c r="AB46" s="74" t="s">
        <v>1947</v>
      </c>
      <c r="AC46" s="73">
        <f t="shared" si="220"/>
        <v>10</v>
      </c>
      <c r="AD46" s="65"/>
      <c r="AE46" s="74" t="s">
        <v>1958</v>
      </c>
      <c r="AF46" s="73">
        <f t="shared" si="220"/>
        <v>20</v>
      </c>
      <c r="AG46" s="65"/>
      <c r="AH46" s="74" t="s">
        <v>2132</v>
      </c>
      <c r="AI46" s="73">
        <f t="shared" si="220"/>
        <v>10</v>
      </c>
      <c r="AJ46" s="65"/>
      <c r="AK46" s="74" t="s">
        <v>1950</v>
      </c>
      <c r="AL46" s="73">
        <f t="shared" si="220"/>
        <v>10</v>
      </c>
      <c r="AM46" s="65"/>
      <c r="AN46" s="74" t="s">
        <v>1950</v>
      </c>
      <c r="AO46" s="73">
        <f t="shared" si="220"/>
        <v>10</v>
      </c>
      <c r="AP46" s="65"/>
      <c r="AQ46" s="74" t="s">
        <v>1958</v>
      </c>
      <c r="AR46" s="73">
        <f t="shared" si="220"/>
        <v>20</v>
      </c>
      <c r="AS46" s="65"/>
      <c r="AT46" s="74" t="s">
        <v>1947</v>
      </c>
      <c r="AU46" s="73">
        <f t="shared" si="220"/>
        <v>10</v>
      </c>
      <c r="AV46" s="65"/>
      <c r="AW46" s="74" t="s">
        <v>1958</v>
      </c>
      <c r="AX46" s="73">
        <f t="shared" si="220"/>
        <v>20</v>
      </c>
      <c r="AY46" s="65"/>
      <c r="AZ46" s="74" t="s">
        <v>1950</v>
      </c>
      <c r="BA46" s="73">
        <f t="shared" si="220"/>
        <v>10</v>
      </c>
      <c r="BB46" s="65"/>
      <c r="BC46" s="74" t="s">
        <v>1947</v>
      </c>
      <c r="BD46" s="73">
        <f t="shared" si="220"/>
        <v>10</v>
      </c>
      <c r="BE46" s="65"/>
      <c r="BF46" s="74" t="s">
        <v>1949</v>
      </c>
      <c r="BG46" s="73">
        <f t="shared" si="220"/>
        <v>10</v>
      </c>
      <c r="BH46" s="65"/>
      <c r="BI46" s="74" t="s">
        <v>1950</v>
      </c>
      <c r="BJ46" s="73">
        <f t="shared" si="220"/>
        <v>10</v>
      </c>
      <c r="BK46" s="65"/>
      <c r="BL46" s="74" t="s">
        <v>1947</v>
      </c>
      <c r="BM46" s="73">
        <f t="shared" si="220"/>
        <v>10</v>
      </c>
      <c r="BN46" s="65"/>
      <c r="BO46" s="74" t="s">
        <v>1949</v>
      </c>
      <c r="BP46" s="73">
        <f t="shared" si="220"/>
        <v>10</v>
      </c>
      <c r="BQ46" s="65"/>
      <c r="BR46" s="74" t="s">
        <v>2278</v>
      </c>
      <c r="BS46" s="73">
        <f t="shared" si="220"/>
        <v>10</v>
      </c>
      <c r="BT46" s="65"/>
      <c r="BU46" s="74" t="s">
        <v>1958</v>
      </c>
      <c r="BV46" s="73">
        <f t="shared" si="220"/>
        <v>20</v>
      </c>
      <c r="BW46" s="65"/>
      <c r="BX46" s="74" t="s">
        <v>1950</v>
      </c>
      <c r="BY46" s="73">
        <f t="shared" si="220"/>
        <v>10</v>
      </c>
      <c r="BZ46" s="65"/>
      <c r="CA46" s="74" t="s">
        <v>1947</v>
      </c>
      <c r="CB46" s="73">
        <f t="shared" si="220"/>
        <v>10</v>
      </c>
      <c r="CC46" s="65"/>
      <c r="CD46" s="74" t="s">
        <v>1950</v>
      </c>
      <c r="CE46" s="73">
        <f t="shared" si="220"/>
        <v>10</v>
      </c>
      <c r="CF46" s="65"/>
      <c r="CG46" s="74" t="s">
        <v>1947</v>
      </c>
      <c r="CH46" s="73">
        <f t="shared" si="220"/>
        <v>10</v>
      </c>
      <c r="CI46" s="65"/>
      <c r="CJ46" s="74" t="s">
        <v>1949</v>
      </c>
      <c r="CK46" s="73">
        <f t="shared" si="217"/>
        <v>10</v>
      </c>
      <c r="CL46" s="65"/>
      <c r="CM46" s="74" t="s">
        <v>1947</v>
      </c>
      <c r="CN46" s="73">
        <f t="shared" si="217"/>
        <v>10</v>
      </c>
      <c r="CO46" s="65"/>
      <c r="CP46" s="74" t="s">
        <v>1959</v>
      </c>
      <c r="CQ46" s="73">
        <f t="shared" si="217"/>
        <v>10</v>
      </c>
      <c r="CR46" s="65"/>
      <c r="CS46" s="74" t="s">
        <v>1949</v>
      </c>
      <c r="CT46" s="73">
        <f t="shared" si="217"/>
        <v>10</v>
      </c>
      <c r="CU46" s="65"/>
      <c r="CV46" s="74" t="s">
        <v>1945</v>
      </c>
      <c r="CW46" s="73">
        <f t="shared" si="217"/>
        <v>12</v>
      </c>
      <c r="CX46" s="65"/>
      <c r="CY46" s="74" t="s">
        <v>1947</v>
      </c>
      <c r="CZ46" s="73">
        <f t="shared" si="217"/>
        <v>10</v>
      </c>
      <c r="DA46" s="65"/>
      <c r="DB46" s="74" t="s">
        <v>1945</v>
      </c>
      <c r="DC46" s="73">
        <f t="shared" si="217"/>
        <v>12</v>
      </c>
      <c r="DD46" s="65"/>
      <c r="DE46" s="74" t="s">
        <v>1950</v>
      </c>
      <c r="DF46" s="73">
        <f t="shared" si="217"/>
        <v>10</v>
      </c>
      <c r="DG46" s="65"/>
      <c r="DH46" s="74" t="s">
        <v>1945</v>
      </c>
      <c r="DI46" s="73">
        <f t="shared" si="217"/>
        <v>12</v>
      </c>
      <c r="DJ46" s="65"/>
      <c r="DK46" s="74" t="s">
        <v>1958</v>
      </c>
      <c r="DL46" s="73">
        <f t="shared" si="217"/>
        <v>20</v>
      </c>
      <c r="DM46" s="65"/>
      <c r="DN46" s="74" t="s">
        <v>1947</v>
      </c>
      <c r="DO46" s="73">
        <f t="shared" si="217"/>
        <v>10</v>
      </c>
      <c r="DP46" s="65"/>
      <c r="DQ46" s="74" t="s">
        <v>1958</v>
      </c>
      <c r="DR46" s="73">
        <f t="shared" si="217"/>
        <v>20</v>
      </c>
      <c r="DS46" s="65"/>
      <c r="DT46" s="74" t="s">
        <v>1958</v>
      </c>
      <c r="DU46" s="73">
        <f t="shared" si="217"/>
        <v>20</v>
      </c>
      <c r="DV46" s="65"/>
      <c r="DW46" s="74" t="s">
        <v>1947</v>
      </c>
      <c r="DX46" s="73">
        <f t="shared" si="222"/>
        <v>10</v>
      </c>
      <c r="DY46" s="65"/>
      <c r="DZ46" s="74" t="s">
        <v>1958</v>
      </c>
      <c r="EA46" s="73">
        <f t="shared" si="222"/>
        <v>20</v>
      </c>
      <c r="EB46" s="65"/>
      <c r="EC46" s="74" t="s">
        <v>1958</v>
      </c>
      <c r="ED46" s="73">
        <f t="shared" si="222"/>
        <v>20</v>
      </c>
      <c r="EE46" s="65"/>
      <c r="EF46" s="74" t="s">
        <v>1949</v>
      </c>
      <c r="EG46" s="73">
        <f t="shared" si="222"/>
        <v>10</v>
      </c>
      <c r="EH46" s="65"/>
      <c r="EI46" s="74" t="s">
        <v>1958</v>
      </c>
      <c r="EJ46" s="73">
        <f t="shared" si="222"/>
        <v>20</v>
      </c>
      <c r="EK46" s="65"/>
      <c r="EL46" s="74" t="s">
        <v>1958</v>
      </c>
      <c r="EM46" s="73">
        <f t="shared" si="222"/>
        <v>20</v>
      </c>
      <c r="EN46" s="65"/>
      <c r="EO46" s="74" t="s">
        <v>1958</v>
      </c>
      <c r="EP46" s="73">
        <f t="shared" si="222"/>
        <v>20</v>
      </c>
      <c r="EQ46" s="65"/>
      <c r="ER46" s="74" t="s">
        <v>1958</v>
      </c>
      <c r="ES46" s="73">
        <f t="shared" si="222"/>
        <v>20</v>
      </c>
      <c r="ET46" s="65"/>
      <c r="EU46" s="74" t="s">
        <v>1958</v>
      </c>
      <c r="EV46" s="73">
        <f t="shared" si="222"/>
        <v>20</v>
      </c>
      <c r="EW46" s="65"/>
      <c r="EX46" s="74" t="s">
        <v>1950</v>
      </c>
      <c r="EY46" s="73">
        <f t="shared" si="222"/>
        <v>10</v>
      </c>
      <c r="EZ46" s="65"/>
      <c r="FA46" s="74" t="s">
        <v>1958</v>
      </c>
      <c r="FB46" s="73">
        <f t="shared" si="222"/>
        <v>20</v>
      </c>
      <c r="FC46" s="65"/>
      <c r="FD46" s="74" t="s">
        <v>1950</v>
      </c>
      <c r="FE46" s="73">
        <f t="shared" si="222"/>
        <v>10</v>
      </c>
      <c r="FF46" s="65"/>
      <c r="FG46" s="74" t="s">
        <v>2132</v>
      </c>
      <c r="FH46" s="73">
        <f t="shared" si="222"/>
        <v>10</v>
      </c>
      <c r="FI46" s="65"/>
      <c r="FJ46" s="74" t="s">
        <v>1958</v>
      </c>
      <c r="FK46" s="73">
        <f t="shared" si="222"/>
        <v>20</v>
      </c>
      <c r="FL46" s="65"/>
      <c r="FM46" s="74" t="s">
        <v>1947</v>
      </c>
      <c r="FN46" s="73">
        <f t="shared" si="222"/>
        <v>10</v>
      </c>
      <c r="FO46" s="65"/>
      <c r="FP46" s="74" t="s">
        <v>1947</v>
      </c>
      <c r="FQ46" s="73">
        <f t="shared" si="222"/>
        <v>10</v>
      </c>
      <c r="FR46" s="65"/>
      <c r="FS46" s="74" t="s">
        <v>1958</v>
      </c>
      <c r="FT46" s="73">
        <f t="shared" si="222"/>
        <v>20</v>
      </c>
      <c r="FU46" s="65"/>
      <c r="FV46" s="74" t="s">
        <v>1958</v>
      </c>
      <c r="FW46" s="73">
        <f t="shared" si="222"/>
        <v>20</v>
      </c>
      <c r="FX46" s="65"/>
      <c r="FY46" s="74" t="s">
        <v>1954</v>
      </c>
      <c r="FZ46" s="73">
        <f t="shared" si="222"/>
        <v>10</v>
      </c>
      <c r="GA46" s="65"/>
      <c r="GB46" s="74" t="s">
        <v>1950</v>
      </c>
      <c r="GC46" s="73">
        <f t="shared" si="222"/>
        <v>10</v>
      </c>
      <c r="GD46" s="65"/>
      <c r="GE46" s="74" t="s">
        <v>1958</v>
      </c>
      <c r="GF46" s="73">
        <f t="shared" si="222"/>
        <v>20</v>
      </c>
      <c r="GG46" s="65"/>
      <c r="GH46" s="74" t="s">
        <v>1949</v>
      </c>
      <c r="GI46" s="73">
        <f t="shared" si="222"/>
        <v>10</v>
      </c>
      <c r="GJ46" s="65"/>
      <c r="GK46" s="74" t="s">
        <v>2278</v>
      </c>
      <c r="GL46" s="73">
        <f t="shared" si="221"/>
        <v>10</v>
      </c>
      <c r="GM46" s="65"/>
      <c r="GN46" s="74"/>
      <c r="GO46" s="73">
        <f t="shared" si="221"/>
        <v>0</v>
      </c>
      <c r="GP46" s="65"/>
      <c r="GQ46" s="74"/>
      <c r="GR46" s="73">
        <f t="shared" si="221"/>
        <v>0</v>
      </c>
      <c r="GS46" s="65"/>
      <c r="GT46" s="74"/>
      <c r="GU46" s="73">
        <f t="shared" si="221"/>
        <v>0</v>
      </c>
      <c r="GV46" s="65"/>
      <c r="GW46" s="74"/>
      <c r="GX46" s="73">
        <f t="shared" si="221"/>
        <v>0</v>
      </c>
      <c r="GY46" s="65"/>
      <c r="GZ46" s="74"/>
      <c r="HA46" s="73">
        <f t="shared" si="221"/>
        <v>0</v>
      </c>
      <c r="HB46" s="65"/>
      <c r="HC46" s="74"/>
      <c r="HD46" s="73">
        <f t="shared" si="221"/>
        <v>0</v>
      </c>
      <c r="HE46" s="65"/>
      <c r="HF46" s="74"/>
      <c r="HG46" s="73">
        <f t="shared" si="221"/>
        <v>0</v>
      </c>
      <c r="HH46" s="65"/>
      <c r="HI46" s="74"/>
      <c r="HJ46" s="73">
        <f t="shared" si="221"/>
        <v>0</v>
      </c>
      <c r="HK46" s="65"/>
      <c r="HL46" s="74"/>
      <c r="HM46" s="73">
        <f t="shared" si="221"/>
        <v>0</v>
      </c>
      <c r="HN46" s="65"/>
      <c r="HO46" s="74"/>
      <c r="HP46" s="73">
        <f t="shared" si="221"/>
        <v>0</v>
      </c>
      <c r="HQ46" s="65"/>
      <c r="HR46" s="74"/>
      <c r="HS46" s="73">
        <f t="shared" si="221"/>
        <v>0</v>
      </c>
      <c r="HT46" s="65"/>
      <c r="HU46" s="74"/>
      <c r="HV46" s="73">
        <f t="shared" si="221"/>
        <v>0</v>
      </c>
      <c r="HW46" s="65"/>
      <c r="HX46" s="74"/>
      <c r="HY46" s="73">
        <f t="shared" si="213"/>
        <v>0</v>
      </c>
      <c r="HZ46" s="65"/>
      <c r="IA46" s="74"/>
      <c r="IB46" s="73">
        <f t="shared" si="218"/>
        <v>0</v>
      </c>
      <c r="IC46" s="65"/>
      <c r="ID46" s="74"/>
      <c r="IE46" s="73">
        <f t="shared" si="218"/>
        <v>0</v>
      </c>
      <c r="IF46" s="65"/>
      <c r="IG46" s="74"/>
      <c r="IH46" s="73">
        <f t="shared" si="218"/>
        <v>0</v>
      </c>
      <c r="II46" s="65"/>
      <c r="IJ46" s="74"/>
      <c r="IK46" s="73">
        <f t="shared" si="218"/>
        <v>0</v>
      </c>
      <c r="IL46" s="65"/>
      <c r="IM46" s="74"/>
      <c r="IN46" s="73">
        <f t="shared" si="218"/>
        <v>0</v>
      </c>
      <c r="IO46" s="65"/>
      <c r="IP46" s="74"/>
      <c r="IQ46" s="73">
        <f t="shared" si="218"/>
        <v>0</v>
      </c>
      <c r="IR46" s="65"/>
      <c r="IS46" s="74"/>
      <c r="IT46" s="73">
        <f t="shared" si="218"/>
        <v>0</v>
      </c>
      <c r="IU46" s="65"/>
      <c r="IV46" s="74"/>
      <c r="IW46" s="73">
        <f t="shared" si="218"/>
        <v>0</v>
      </c>
      <c r="IX46" s="65"/>
      <c r="IY46" s="74"/>
      <c r="IZ46" s="73">
        <f t="shared" si="218"/>
        <v>0</v>
      </c>
      <c r="JA46" s="65"/>
      <c r="JB46" s="74"/>
      <c r="JC46" s="73">
        <f t="shared" si="218"/>
        <v>0</v>
      </c>
      <c r="JD46" s="65"/>
      <c r="JE46" s="74"/>
      <c r="JF46" s="73">
        <f t="shared" si="218"/>
        <v>0</v>
      </c>
      <c r="JG46" s="65"/>
      <c r="JH46" s="74"/>
      <c r="JI46" s="73">
        <f t="shared" si="218"/>
        <v>0</v>
      </c>
      <c r="JJ46" s="65"/>
      <c r="JK46" s="74"/>
      <c r="JL46" s="73">
        <f t="shared" si="218"/>
        <v>0</v>
      </c>
      <c r="JM46" s="65"/>
      <c r="JN46" s="74"/>
      <c r="JO46" s="73">
        <f t="shared" si="218"/>
        <v>0</v>
      </c>
      <c r="JP46" s="65"/>
      <c r="JQ46" s="74"/>
      <c r="JR46" s="73">
        <f t="shared" si="218"/>
        <v>0</v>
      </c>
      <c r="JS46" s="65"/>
      <c r="JT46" s="74"/>
      <c r="JU46" s="73">
        <f t="shared" si="218"/>
        <v>0</v>
      </c>
      <c r="JV46" s="65"/>
      <c r="JW46" s="74"/>
      <c r="JX46" s="73">
        <f t="shared" si="218"/>
        <v>0</v>
      </c>
      <c r="JY46" s="65"/>
      <c r="JZ46" s="74"/>
      <c r="KA46" s="73">
        <f t="shared" si="218"/>
        <v>0</v>
      </c>
      <c r="KB46" s="65"/>
      <c r="KC46" s="74"/>
      <c r="KD46" s="73">
        <f t="shared" si="218"/>
        <v>0</v>
      </c>
      <c r="KE46" s="65"/>
      <c r="KF46" s="74"/>
      <c r="KG46" s="73">
        <f t="shared" si="218"/>
        <v>0</v>
      </c>
      <c r="KH46" s="65"/>
      <c r="KI46" s="74"/>
      <c r="KJ46" s="73">
        <f t="shared" si="218"/>
        <v>0</v>
      </c>
      <c r="KK46" s="65"/>
      <c r="KL46" s="74"/>
      <c r="KM46" s="73">
        <f t="shared" si="218"/>
        <v>0</v>
      </c>
      <c r="KN46" s="65"/>
      <c r="KO46" s="74"/>
      <c r="KP46" s="73">
        <f t="shared" si="216"/>
        <v>0</v>
      </c>
      <c r="KQ46" s="65"/>
      <c r="KR46" s="74"/>
      <c r="KS46" s="73">
        <f t="shared" si="216"/>
        <v>0</v>
      </c>
      <c r="KT46" s="65"/>
      <c r="KU46" s="74"/>
      <c r="KV46" s="73">
        <f t="shared" si="216"/>
        <v>0</v>
      </c>
      <c r="KW46" s="65"/>
      <c r="KX46" s="74"/>
      <c r="KY46" s="73">
        <f t="shared" si="216"/>
        <v>0</v>
      </c>
      <c r="KZ46" s="65"/>
      <c r="LA46" s="74"/>
      <c r="LB46" s="73">
        <f t="shared" si="216"/>
        <v>0</v>
      </c>
      <c r="LC46" s="65"/>
      <c r="LD46" s="74"/>
      <c r="LE46" s="73">
        <f t="shared" si="216"/>
        <v>0</v>
      </c>
      <c r="LF46" s="65"/>
      <c r="LG46" s="65"/>
    </row>
    <row r="47" spans="1:319">
      <c r="A47" s="49"/>
      <c r="B47" s="49"/>
      <c r="C47" s="439" t="str">
        <f>Idiomas!D343</f>
        <v>Bronze Ball (3º Best player)</v>
      </c>
      <c r="D47" s="45">
        <v>4</v>
      </c>
      <c r="E47" s="111"/>
      <c r="F47" s="445">
        <f t="shared" si="197"/>
        <v>20</v>
      </c>
      <c r="G47" s="445">
        <f ca="1">VLOOKUP(H47,Equipos!$Q$1:$R$25,2,0)</f>
        <v>13</v>
      </c>
      <c r="H47" s="446">
        <f ca="1">TRUNC(INDEX(WORLDCUP!$X$4:$X$147,MATCH(ADMIN!K47,WORLDCUP!$DT$4:$DT$147,0))+INDEX(Horarios!$R$3:$R$86,MATCH(Horarios!$C$3,Horarios!$P$3:$P$86,0))/24)</f>
        <v>46196</v>
      </c>
      <c r="I47" s="48">
        <v>1</v>
      </c>
      <c r="J47" s="95" t="s">
        <v>514</v>
      </c>
      <c r="K47" s="56" t="str">
        <f ca="1">CONCATENATE(WORLDCUP!AA71,"-",WORLDCUP!AF71)</f>
        <v>Norway-Senegal</v>
      </c>
      <c r="L47" s="53"/>
      <c r="M47" s="55" t="str">
        <f>IF(OR(WORLDCUP!AC71="",WORLDCUP!AD71=""),"-",N47&amp;"|"&amp;O47&amp;"-"&amp;P47)</f>
        <v>1|3-2</v>
      </c>
      <c r="N47" s="25" t="str">
        <f>IF(OR(WORLDCUP!AC71="",WORLDCUP!AD71=""),"",IF(WORLDCUP!AC71&gt;WORLDCUP!AD71,"1",IF(WORLDCUP!AC71&lt;WORLDCUP!AD71,"2","X")))</f>
        <v>1</v>
      </c>
      <c r="O47" s="25">
        <f>WORLDCUP!AC71</f>
        <v>3</v>
      </c>
      <c r="P47" s="25">
        <f>WORLDCUP!AD71</f>
        <v>2</v>
      </c>
      <c r="Q47" s="25">
        <f t="shared" si="201"/>
        <v>1</v>
      </c>
      <c r="R47" s="49"/>
      <c r="S47" s="74" t="s">
        <v>1953</v>
      </c>
      <c r="T47" s="73">
        <f t="shared" si="198"/>
        <v>0</v>
      </c>
      <c r="U47" s="65"/>
      <c r="V47" s="74" t="s">
        <v>1954</v>
      </c>
      <c r="W47" s="73">
        <f t="shared" si="219"/>
        <v>12</v>
      </c>
      <c r="X47" s="65"/>
      <c r="Y47" s="74" t="s">
        <v>1954</v>
      </c>
      <c r="Z47" s="73">
        <f t="shared" si="220"/>
        <v>12</v>
      </c>
      <c r="AA47" s="65"/>
      <c r="AB47" s="74" t="s">
        <v>1957</v>
      </c>
      <c r="AC47" s="73">
        <f t="shared" si="220"/>
        <v>0</v>
      </c>
      <c r="AD47" s="65"/>
      <c r="AE47" s="74" t="s">
        <v>1954</v>
      </c>
      <c r="AF47" s="73">
        <f t="shared" si="220"/>
        <v>12</v>
      </c>
      <c r="AG47" s="65"/>
      <c r="AH47" s="74" t="s">
        <v>1957</v>
      </c>
      <c r="AI47" s="73">
        <f t="shared" si="220"/>
        <v>0</v>
      </c>
      <c r="AJ47" s="65"/>
      <c r="AK47" s="74" t="s">
        <v>1957</v>
      </c>
      <c r="AL47" s="73">
        <f t="shared" si="220"/>
        <v>0</v>
      </c>
      <c r="AM47" s="65"/>
      <c r="AN47" s="74" t="s">
        <v>1953</v>
      </c>
      <c r="AO47" s="73">
        <f t="shared" si="220"/>
        <v>0</v>
      </c>
      <c r="AP47" s="65"/>
      <c r="AQ47" s="74" t="s">
        <v>1953</v>
      </c>
      <c r="AR47" s="73">
        <f t="shared" si="220"/>
        <v>0</v>
      </c>
      <c r="AS47" s="65"/>
      <c r="AT47" s="74" t="s">
        <v>1957</v>
      </c>
      <c r="AU47" s="73">
        <f t="shared" si="220"/>
        <v>0</v>
      </c>
      <c r="AV47" s="65"/>
      <c r="AW47" s="74" t="s">
        <v>1955</v>
      </c>
      <c r="AX47" s="73">
        <f t="shared" si="220"/>
        <v>0</v>
      </c>
      <c r="AY47" s="65"/>
      <c r="AZ47" s="74" t="s">
        <v>1957</v>
      </c>
      <c r="BA47" s="73">
        <f t="shared" si="220"/>
        <v>0</v>
      </c>
      <c r="BB47" s="65"/>
      <c r="BC47" s="74" t="s">
        <v>1949</v>
      </c>
      <c r="BD47" s="73">
        <f t="shared" si="220"/>
        <v>10</v>
      </c>
      <c r="BE47" s="65"/>
      <c r="BF47" s="74" t="s">
        <v>1954</v>
      </c>
      <c r="BG47" s="73">
        <f t="shared" si="220"/>
        <v>12</v>
      </c>
      <c r="BH47" s="65"/>
      <c r="BI47" s="74" t="s">
        <v>1950</v>
      </c>
      <c r="BJ47" s="73">
        <f t="shared" si="220"/>
        <v>10</v>
      </c>
      <c r="BK47" s="65"/>
      <c r="BL47" s="74" t="s">
        <v>1957</v>
      </c>
      <c r="BM47" s="73">
        <f t="shared" si="220"/>
        <v>0</v>
      </c>
      <c r="BN47" s="65"/>
      <c r="BO47" s="74" t="s">
        <v>1957</v>
      </c>
      <c r="BP47" s="73">
        <f t="shared" si="220"/>
        <v>0</v>
      </c>
      <c r="BQ47" s="65"/>
      <c r="BR47" s="74" t="s">
        <v>1944</v>
      </c>
      <c r="BS47" s="73">
        <f t="shared" si="220"/>
        <v>0</v>
      </c>
      <c r="BT47" s="65"/>
      <c r="BU47" s="74" t="s">
        <v>1959</v>
      </c>
      <c r="BV47" s="73">
        <f t="shared" si="220"/>
        <v>12</v>
      </c>
      <c r="BW47" s="65"/>
      <c r="BX47" s="74" t="s">
        <v>1944</v>
      </c>
      <c r="BY47" s="73">
        <f t="shared" si="220"/>
        <v>0</v>
      </c>
      <c r="BZ47" s="65"/>
      <c r="CA47" s="74" t="s">
        <v>1953</v>
      </c>
      <c r="CB47" s="73">
        <f t="shared" si="220"/>
        <v>0</v>
      </c>
      <c r="CC47" s="65"/>
      <c r="CD47" s="74" t="s">
        <v>1957</v>
      </c>
      <c r="CE47" s="73">
        <f t="shared" si="220"/>
        <v>0</v>
      </c>
      <c r="CF47" s="65"/>
      <c r="CG47" s="74" t="s">
        <v>1954</v>
      </c>
      <c r="CH47" s="73">
        <f t="shared" si="220"/>
        <v>12</v>
      </c>
      <c r="CI47" s="65"/>
      <c r="CJ47" s="74" t="s">
        <v>1957</v>
      </c>
      <c r="CK47" s="73">
        <f t="shared" si="217"/>
        <v>0</v>
      </c>
      <c r="CL47" s="65"/>
      <c r="CM47" s="74" t="s">
        <v>1950</v>
      </c>
      <c r="CN47" s="73">
        <f t="shared" si="217"/>
        <v>10</v>
      </c>
      <c r="CO47" s="65"/>
      <c r="CP47" s="74" t="s">
        <v>1950</v>
      </c>
      <c r="CQ47" s="73">
        <f t="shared" si="217"/>
        <v>10</v>
      </c>
      <c r="CR47" s="65"/>
      <c r="CS47" s="74" t="s">
        <v>1944</v>
      </c>
      <c r="CT47" s="73">
        <f t="shared" si="217"/>
        <v>0</v>
      </c>
      <c r="CU47" s="65"/>
      <c r="CV47" s="74" t="s">
        <v>1960</v>
      </c>
      <c r="CW47" s="73">
        <f t="shared" si="217"/>
        <v>0</v>
      </c>
      <c r="CX47" s="65"/>
      <c r="CY47" s="74" t="s">
        <v>1957</v>
      </c>
      <c r="CZ47" s="73">
        <f t="shared" si="217"/>
        <v>0</v>
      </c>
      <c r="DA47" s="65"/>
      <c r="DB47" s="74" t="s">
        <v>1955</v>
      </c>
      <c r="DC47" s="73">
        <f t="shared" si="217"/>
        <v>0</v>
      </c>
      <c r="DD47" s="65"/>
      <c r="DE47" s="74" t="s">
        <v>1944</v>
      </c>
      <c r="DF47" s="73">
        <f t="shared" si="217"/>
        <v>0</v>
      </c>
      <c r="DG47" s="65"/>
      <c r="DH47" s="74" t="s">
        <v>1957</v>
      </c>
      <c r="DI47" s="73">
        <f t="shared" si="217"/>
        <v>0</v>
      </c>
      <c r="DJ47" s="65"/>
      <c r="DK47" s="74" t="s">
        <v>1954</v>
      </c>
      <c r="DL47" s="73">
        <f t="shared" si="217"/>
        <v>12</v>
      </c>
      <c r="DM47" s="65"/>
      <c r="DN47" s="74" t="s">
        <v>1955</v>
      </c>
      <c r="DO47" s="73">
        <f t="shared" si="217"/>
        <v>0</v>
      </c>
      <c r="DP47" s="65"/>
      <c r="DQ47" s="74" t="s">
        <v>1957</v>
      </c>
      <c r="DR47" s="73">
        <f t="shared" si="217"/>
        <v>0</v>
      </c>
      <c r="DS47" s="65"/>
      <c r="DT47" s="74" t="s">
        <v>1957</v>
      </c>
      <c r="DU47" s="73">
        <f t="shared" si="217"/>
        <v>0</v>
      </c>
      <c r="DV47" s="65"/>
      <c r="DW47" s="74" t="s">
        <v>2000</v>
      </c>
      <c r="DX47" s="73">
        <f t="shared" si="222"/>
        <v>0</v>
      </c>
      <c r="DY47" s="65"/>
      <c r="DZ47" s="74" t="s">
        <v>1954</v>
      </c>
      <c r="EA47" s="73">
        <f t="shared" si="222"/>
        <v>12</v>
      </c>
      <c r="EB47" s="65"/>
      <c r="EC47" s="74" t="s">
        <v>1944</v>
      </c>
      <c r="ED47" s="73">
        <f t="shared" si="222"/>
        <v>0</v>
      </c>
      <c r="EE47" s="65"/>
      <c r="EF47" s="74" t="s">
        <v>1957</v>
      </c>
      <c r="EG47" s="73">
        <f t="shared" si="222"/>
        <v>0</v>
      </c>
      <c r="EH47" s="65"/>
      <c r="EI47" s="74" t="s">
        <v>1954</v>
      </c>
      <c r="EJ47" s="73">
        <f t="shared" si="222"/>
        <v>12</v>
      </c>
      <c r="EK47" s="65"/>
      <c r="EL47" s="74" t="s">
        <v>1957</v>
      </c>
      <c r="EM47" s="73">
        <f t="shared" si="222"/>
        <v>0</v>
      </c>
      <c r="EN47" s="65"/>
      <c r="EO47" s="74" t="s">
        <v>1954</v>
      </c>
      <c r="EP47" s="73">
        <f t="shared" si="222"/>
        <v>12</v>
      </c>
      <c r="EQ47" s="65"/>
      <c r="ER47" s="74" t="s">
        <v>1957</v>
      </c>
      <c r="ES47" s="73">
        <f t="shared" si="222"/>
        <v>0</v>
      </c>
      <c r="ET47" s="65"/>
      <c r="EU47" s="74" t="s">
        <v>1957</v>
      </c>
      <c r="EV47" s="73">
        <f t="shared" si="222"/>
        <v>0</v>
      </c>
      <c r="EW47" s="65"/>
      <c r="EX47" s="74" t="s">
        <v>1954</v>
      </c>
      <c r="EY47" s="73">
        <f t="shared" si="222"/>
        <v>12</v>
      </c>
      <c r="EZ47" s="65"/>
      <c r="FA47" s="74" t="s">
        <v>1957</v>
      </c>
      <c r="FB47" s="73">
        <f t="shared" si="222"/>
        <v>0</v>
      </c>
      <c r="FC47" s="65"/>
      <c r="FD47" s="74" t="s">
        <v>1950</v>
      </c>
      <c r="FE47" s="73">
        <f t="shared" si="222"/>
        <v>10</v>
      </c>
      <c r="FF47" s="65"/>
      <c r="FG47" s="74" t="s">
        <v>2369</v>
      </c>
      <c r="FH47" s="73">
        <f t="shared" si="222"/>
        <v>0</v>
      </c>
      <c r="FI47" s="65"/>
      <c r="FJ47" s="74" t="s">
        <v>1953</v>
      </c>
      <c r="FK47" s="73">
        <f t="shared" si="222"/>
        <v>0</v>
      </c>
      <c r="FL47" s="65"/>
      <c r="FM47" s="74" t="s">
        <v>1950</v>
      </c>
      <c r="FN47" s="73">
        <f t="shared" si="222"/>
        <v>10</v>
      </c>
      <c r="FO47" s="65"/>
      <c r="FP47" s="74" t="s">
        <v>1957</v>
      </c>
      <c r="FQ47" s="73">
        <f t="shared" si="222"/>
        <v>0</v>
      </c>
      <c r="FR47" s="65"/>
      <c r="FS47" s="74" t="s">
        <v>1957</v>
      </c>
      <c r="FT47" s="73">
        <f t="shared" si="222"/>
        <v>0</v>
      </c>
      <c r="FU47" s="65"/>
      <c r="FV47" s="74" t="s">
        <v>1954</v>
      </c>
      <c r="FW47" s="73">
        <f t="shared" si="222"/>
        <v>12</v>
      </c>
      <c r="FX47" s="65"/>
      <c r="FY47" s="74" t="s">
        <v>1944</v>
      </c>
      <c r="FZ47" s="73">
        <f t="shared" si="222"/>
        <v>0</v>
      </c>
      <c r="GA47" s="65"/>
      <c r="GB47" s="74" t="s">
        <v>1957</v>
      </c>
      <c r="GC47" s="73">
        <f t="shared" si="222"/>
        <v>0</v>
      </c>
      <c r="GD47" s="65"/>
      <c r="GE47" s="74" t="s">
        <v>1944</v>
      </c>
      <c r="GF47" s="73">
        <f t="shared" si="222"/>
        <v>0</v>
      </c>
      <c r="GG47" s="65"/>
      <c r="GH47" s="74" t="s">
        <v>1950</v>
      </c>
      <c r="GI47" s="73">
        <f t="shared" si="222"/>
        <v>10</v>
      </c>
      <c r="GJ47" s="65"/>
      <c r="GK47" s="74" t="s">
        <v>1954</v>
      </c>
      <c r="GL47" s="73">
        <f t="shared" si="221"/>
        <v>12</v>
      </c>
      <c r="GM47" s="65"/>
      <c r="GN47" s="74"/>
      <c r="GO47" s="73">
        <f t="shared" si="221"/>
        <v>0</v>
      </c>
      <c r="GP47" s="65"/>
      <c r="GQ47" s="74"/>
      <c r="GR47" s="73">
        <f t="shared" si="221"/>
        <v>0</v>
      </c>
      <c r="GS47" s="65"/>
      <c r="GT47" s="74"/>
      <c r="GU47" s="73">
        <f t="shared" si="221"/>
        <v>0</v>
      </c>
      <c r="GV47" s="65"/>
      <c r="GW47" s="74"/>
      <c r="GX47" s="73">
        <f t="shared" si="221"/>
        <v>0</v>
      </c>
      <c r="GY47" s="65"/>
      <c r="GZ47" s="74"/>
      <c r="HA47" s="73">
        <f t="shared" si="221"/>
        <v>0</v>
      </c>
      <c r="HB47" s="65"/>
      <c r="HC47" s="74"/>
      <c r="HD47" s="73">
        <f t="shared" si="221"/>
        <v>0</v>
      </c>
      <c r="HE47" s="65"/>
      <c r="HF47" s="74"/>
      <c r="HG47" s="73">
        <f t="shared" si="221"/>
        <v>0</v>
      </c>
      <c r="HH47" s="65"/>
      <c r="HI47" s="74"/>
      <c r="HJ47" s="73">
        <f t="shared" si="221"/>
        <v>0</v>
      </c>
      <c r="HK47" s="65"/>
      <c r="HL47" s="74"/>
      <c r="HM47" s="73">
        <f t="shared" si="221"/>
        <v>0</v>
      </c>
      <c r="HN47" s="65"/>
      <c r="HO47" s="74"/>
      <c r="HP47" s="73">
        <f t="shared" si="221"/>
        <v>0</v>
      </c>
      <c r="HQ47" s="65"/>
      <c r="HR47" s="74"/>
      <c r="HS47" s="73">
        <f t="shared" si="221"/>
        <v>0</v>
      </c>
      <c r="HT47" s="65"/>
      <c r="HU47" s="74"/>
      <c r="HV47" s="73">
        <f t="shared" si="221"/>
        <v>0</v>
      </c>
      <c r="HW47" s="65"/>
      <c r="HX47" s="74"/>
      <c r="HY47" s="73">
        <f t="shared" ref="HY47:KJ58" si="223">IFERROR(IF($M47=HX47,($D$8+$D$9+$D$10)*$I47,IF($N47=LEFT(HX47,1),($D$8+MAX(0,IF($D$50=1,$D$9*(1-(ABS($Q47-ABS(VALUE(MID(HX47,FIND("|",HX47)+1,FIND("-",HX47)-FIND("|",HX47)-1))-VALUE(MID(HX47,FIND("-",HX47)+1,10)))))*$D$50),$D$9*(1-(IF($N47="X",ABS($O47-VALUE(MID(HX47,FIND("|",HX47)+1,FIND("-",HX47)-FIND("|",HX47)-1))),ABS($Q47-ABS(VALUE(MID(HX47,FIND("|",HX47)+1,FIND("-",HX47)-FIND("|",HX47)-1))-VALUE(MID(HX47,FIND("-",HX47)+1,10)))))*$D$50)))))*$I47,0)),0)</f>
        <v>0</v>
      </c>
      <c r="HZ47" s="65"/>
      <c r="IA47" s="74"/>
      <c r="IB47" s="73">
        <f t="shared" si="223"/>
        <v>0</v>
      </c>
      <c r="IC47" s="65"/>
      <c r="ID47" s="74"/>
      <c r="IE47" s="73">
        <f t="shared" si="223"/>
        <v>0</v>
      </c>
      <c r="IF47" s="65"/>
      <c r="IG47" s="74"/>
      <c r="IH47" s="73">
        <f t="shared" si="223"/>
        <v>0</v>
      </c>
      <c r="II47" s="65"/>
      <c r="IJ47" s="74"/>
      <c r="IK47" s="73">
        <f t="shared" si="223"/>
        <v>0</v>
      </c>
      <c r="IL47" s="65"/>
      <c r="IM47" s="74"/>
      <c r="IN47" s="73">
        <f t="shared" si="223"/>
        <v>0</v>
      </c>
      <c r="IO47" s="65"/>
      <c r="IP47" s="74"/>
      <c r="IQ47" s="73">
        <f t="shared" si="223"/>
        <v>0</v>
      </c>
      <c r="IR47" s="65"/>
      <c r="IS47" s="74"/>
      <c r="IT47" s="73">
        <f t="shared" si="223"/>
        <v>0</v>
      </c>
      <c r="IU47" s="65"/>
      <c r="IV47" s="74"/>
      <c r="IW47" s="73">
        <f t="shared" si="223"/>
        <v>0</v>
      </c>
      <c r="IX47" s="65"/>
      <c r="IY47" s="74"/>
      <c r="IZ47" s="73">
        <f t="shared" si="223"/>
        <v>0</v>
      </c>
      <c r="JA47" s="65"/>
      <c r="JB47" s="74"/>
      <c r="JC47" s="73">
        <f t="shared" si="223"/>
        <v>0</v>
      </c>
      <c r="JD47" s="65"/>
      <c r="JE47" s="74"/>
      <c r="JF47" s="73">
        <f t="shared" si="223"/>
        <v>0</v>
      </c>
      <c r="JG47" s="65"/>
      <c r="JH47" s="74"/>
      <c r="JI47" s="73">
        <f t="shared" si="223"/>
        <v>0</v>
      </c>
      <c r="JJ47" s="65"/>
      <c r="JK47" s="74"/>
      <c r="JL47" s="73">
        <f t="shared" si="223"/>
        <v>0</v>
      </c>
      <c r="JM47" s="65"/>
      <c r="JN47" s="74"/>
      <c r="JO47" s="73">
        <f t="shared" si="223"/>
        <v>0</v>
      </c>
      <c r="JP47" s="65"/>
      <c r="JQ47" s="74"/>
      <c r="JR47" s="73">
        <f t="shared" si="223"/>
        <v>0</v>
      </c>
      <c r="JS47" s="65"/>
      <c r="JT47" s="74"/>
      <c r="JU47" s="73">
        <f t="shared" si="223"/>
        <v>0</v>
      </c>
      <c r="JV47" s="65"/>
      <c r="JW47" s="74"/>
      <c r="JX47" s="73">
        <f t="shared" si="223"/>
        <v>0</v>
      </c>
      <c r="JY47" s="65"/>
      <c r="JZ47" s="74"/>
      <c r="KA47" s="73">
        <f t="shared" si="223"/>
        <v>0</v>
      </c>
      <c r="KB47" s="65"/>
      <c r="KC47" s="74"/>
      <c r="KD47" s="73">
        <f t="shared" si="223"/>
        <v>0</v>
      </c>
      <c r="KE47" s="65"/>
      <c r="KF47" s="74"/>
      <c r="KG47" s="73">
        <f t="shared" si="223"/>
        <v>0</v>
      </c>
      <c r="KH47" s="65"/>
      <c r="KI47" s="74"/>
      <c r="KJ47" s="73">
        <f t="shared" si="223"/>
        <v>0</v>
      </c>
      <c r="KK47" s="65"/>
      <c r="KL47" s="74"/>
      <c r="KM47" s="73">
        <f t="shared" si="218"/>
        <v>0</v>
      </c>
      <c r="KN47" s="65"/>
      <c r="KO47" s="74"/>
      <c r="KP47" s="73">
        <f t="shared" si="216"/>
        <v>0</v>
      </c>
      <c r="KQ47" s="65"/>
      <c r="KR47" s="74"/>
      <c r="KS47" s="73">
        <f t="shared" si="216"/>
        <v>0</v>
      </c>
      <c r="KT47" s="65"/>
      <c r="KU47" s="74"/>
      <c r="KV47" s="73">
        <f t="shared" si="216"/>
        <v>0</v>
      </c>
      <c r="KW47" s="65"/>
      <c r="KX47" s="74"/>
      <c r="KY47" s="73">
        <f t="shared" si="216"/>
        <v>0</v>
      </c>
      <c r="KZ47" s="65"/>
      <c r="LA47" s="74"/>
      <c r="LB47" s="73">
        <f t="shared" si="216"/>
        <v>0</v>
      </c>
      <c r="LC47" s="65"/>
      <c r="LD47" s="74"/>
      <c r="LE47" s="73">
        <f t="shared" si="216"/>
        <v>0</v>
      </c>
      <c r="LF47" s="65"/>
      <c r="LG47" s="65"/>
    </row>
    <row r="48" spans="1:319">
      <c r="A48" s="49"/>
      <c r="B48" s="49"/>
      <c r="C48" s="17"/>
      <c r="D48" s="17"/>
      <c r="E48" s="89"/>
      <c r="F48" s="445">
        <f t="shared" si="197"/>
        <v>20</v>
      </c>
      <c r="G48" s="445">
        <f ca="1">VLOOKUP(H48,Equipos!$Q$1:$R$25,2,0)</f>
        <v>12</v>
      </c>
      <c r="H48" s="446">
        <f ca="1">TRUNC(INDEX(WORLDCUP!$X$4:$X$147,MATCH(ADMIN!K48,WORLDCUP!$DT$4:$DT$147,0))+INDEX(Horarios!$R$3:$R$86,MATCH(Horarios!$C$3,Horarios!$P$3:$P$86,0))/24)</f>
        <v>46195</v>
      </c>
      <c r="I48" s="48">
        <v>1</v>
      </c>
      <c r="J48" s="96" t="s">
        <v>27</v>
      </c>
      <c r="K48" s="53" t="str">
        <f ca="1">CONCATENATE(WORLDCUP!AA78,"-",WORLDCUP!AF78)</f>
        <v>Argentina-Austria</v>
      </c>
      <c r="L48" s="53"/>
      <c r="M48" s="53" t="str">
        <f>IF(OR(WORLDCUP!AC78="",WORLDCUP!AD78=""),"-",N48&amp;"|"&amp;O48&amp;"-"&amp;P48)</f>
        <v>1|2-0</v>
      </c>
      <c r="N48" s="25" t="str">
        <f>IF(OR(WORLDCUP!AC78="",WORLDCUP!AD78=""),"",IF(WORLDCUP!AC78&gt;WORLDCUP!AD78,"1",IF(WORLDCUP!AC78&lt;WORLDCUP!AD78,"2","X")))</f>
        <v>1</v>
      </c>
      <c r="O48" s="25">
        <f>WORLDCUP!AC78</f>
        <v>2</v>
      </c>
      <c r="P48" s="25">
        <f>WORLDCUP!AD78</f>
        <v>0</v>
      </c>
      <c r="Q48" s="25">
        <f t="shared" si="201"/>
        <v>2</v>
      </c>
      <c r="R48" s="49"/>
      <c r="S48" s="74" t="s">
        <v>1958</v>
      </c>
      <c r="T48" s="73">
        <f t="shared" si="198"/>
        <v>10</v>
      </c>
      <c r="U48" s="65"/>
      <c r="V48" s="74" t="s">
        <v>1954</v>
      </c>
      <c r="W48" s="73">
        <f t="shared" si="219"/>
        <v>10</v>
      </c>
      <c r="X48" s="65"/>
      <c r="Y48" s="74" t="s">
        <v>1954</v>
      </c>
      <c r="Z48" s="73">
        <f t="shared" si="220"/>
        <v>10</v>
      </c>
      <c r="AA48" s="65"/>
      <c r="AB48" s="74" t="s">
        <v>1954</v>
      </c>
      <c r="AC48" s="73">
        <f t="shared" si="220"/>
        <v>10</v>
      </c>
      <c r="AD48" s="65"/>
      <c r="AE48" s="74" t="s">
        <v>1954</v>
      </c>
      <c r="AF48" s="73">
        <f t="shared" si="220"/>
        <v>10</v>
      </c>
      <c r="AG48" s="65"/>
      <c r="AH48" s="74" t="s">
        <v>1954</v>
      </c>
      <c r="AI48" s="73">
        <f t="shared" si="220"/>
        <v>10</v>
      </c>
      <c r="AJ48" s="65"/>
      <c r="AK48" s="74" t="s">
        <v>1950</v>
      </c>
      <c r="AL48" s="73">
        <f t="shared" si="220"/>
        <v>20</v>
      </c>
      <c r="AM48" s="65"/>
      <c r="AN48" s="74" t="s">
        <v>1957</v>
      </c>
      <c r="AO48" s="73">
        <f t="shared" si="220"/>
        <v>0</v>
      </c>
      <c r="AP48" s="65"/>
      <c r="AQ48" s="74" t="s">
        <v>1954</v>
      </c>
      <c r="AR48" s="73">
        <f t="shared" si="220"/>
        <v>10</v>
      </c>
      <c r="AS48" s="65"/>
      <c r="AT48" s="74" t="s">
        <v>1954</v>
      </c>
      <c r="AU48" s="73">
        <f t="shared" si="220"/>
        <v>10</v>
      </c>
      <c r="AV48" s="65"/>
      <c r="AW48" s="74" t="s">
        <v>1954</v>
      </c>
      <c r="AX48" s="73">
        <f t="shared" si="220"/>
        <v>10</v>
      </c>
      <c r="AY48" s="65"/>
      <c r="AZ48" s="74" t="s">
        <v>1958</v>
      </c>
      <c r="BA48" s="73">
        <f t="shared" si="220"/>
        <v>10</v>
      </c>
      <c r="BB48" s="65"/>
      <c r="BC48" s="74" t="s">
        <v>1943</v>
      </c>
      <c r="BD48" s="73">
        <f t="shared" si="220"/>
        <v>10</v>
      </c>
      <c r="BE48" s="65"/>
      <c r="BF48" s="74" t="s">
        <v>1950</v>
      </c>
      <c r="BG48" s="73">
        <f t="shared" si="220"/>
        <v>20</v>
      </c>
      <c r="BH48" s="65"/>
      <c r="BI48" s="74" t="s">
        <v>1958</v>
      </c>
      <c r="BJ48" s="73">
        <f t="shared" si="220"/>
        <v>10</v>
      </c>
      <c r="BK48" s="65"/>
      <c r="BL48" s="74" t="s">
        <v>1954</v>
      </c>
      <c r="BM48" s="73">
        <f t="shared" si="220"/>
        <v>10</v>
      </c>
      <c r="BN48" s="65"/>
      <c r="BO48" s="74" t="s">
        <v>1959</v>
      </c>
      <c r="BP48" s="73">
        <f t="shared" si="220"/>
        <v>10</v>
      </c>
      <c r="BQ48" s="65"/>
      <c r="BR48" s="74" t="s">
        <v>1958</v>
      </c>
      <c r="BS48" s="73">
        <f t="shared" si="220"/>
        <v>10</v>
      </c>
      <c r="BT48" s="65"/>
      <c r="BU48" s="74" t="s">
        <v>1954</v>
      </c>
      <c r="BV48" s="73">
        <f t="shared" si="220"/>
        <v>10</v>
      </c>
      <c r="BW48" s="65"/>
      <c r="BX48" s="74" t="s">
        <v>1954</v>
      </c>
      <c r="BY48" s="73">
        <f t="shared" si="220"/>
        <v>10</v>
      </c>
      <c r="BZ48" s="65"/>
      <c r="CA48" s="74" t="s">
        <v>1954</v>
      </c>
      <c r="CB48" s="73">
        <f t="shared" si="220"/>
        <v>10</v>
      </c>
      <c r="CC48" s="65"/>
      <c r="CD48" s="74" t="s">
        <v>1957</v>
      </c>
      <c r="CE48" s="73">
        <f t="shared" si="220"/>
        <v>0</v>
      </c>
      <c r="CF48" s="65"/>
      <c r="CG48" s="74" t="s">
        <v>1954</v>
      </c>
      <c r="CH48" s="73">
        <f t="shared" si="220"/>
        <v>10</v>
      </c>
      <c r="CI48" s="65"/>
      <c r="CJ48" s="74" t="s">
        <v>1949</v>
      </c>
      <c r="CK48" s="73">
        <f t="shared" si="217"/>
        <v>12</v>
      </c>
      <c r="CL48" s="65"/>
      <c r="CM48" s="74" t="s">
        <v>1954</v>
      </c>
      <c r="CN48" s="73">
        <f t="shared" si="217"/>
        <v>10</v>
      </c>
      <c r="CO48" s="65"/>
      <c r="CP48" s="74" t="s">
        <v>1954</v>
      </c>
      <c r="CQ48" s="73">
        <f t="shared" si="217"/>
        <v>10</v>
      </c>
      <c r="CR48" s="65"/>
      <c r="CS48" s="74" t="s">
        <v>1954</v>
      </c>
      <c r="CT48" s="73">
        <f t="shared" si="217"/>
        <v>10</v>
      </c>
      <c r="CU48" s="65"/>
      <c r="CV48" s="74" t="s">
        <v>1958</v>
      </c>
      <c r="CW48" s="73">
        <f t="shared" si="217"/>
        <v>10</v>
      </c>
      <c r="CX48" s="65"/>
      <c r="CY48" s="74" t="s">
        <v>1944</v>
      </c>
      <c r="CZ48" s="73">
        <f t="shared" si="217"/>
        <v>0</v>
      </c>
      <c r="DA48" s="65"/>
      <c r="DB48" s="74" t="s">
        <v>1954</v>
      </c>
      <c r="DC48" s="73">
        <f t="shared" si="217"/>
        <v>10</v>
      </c>
      <c r="DD48" s="65"/>
      <c r="DE48" s="74" t="s">
        <v>1958</v>
      </c>
      <c r="DF48" s="73">
        <f t="shared" si="217"/>
        <v>10</v>
      </c>
      <c r="DG48" s="65"/>
      <c r="DH48" s="74" t="s">
        <v>1949</v>
      </c>
      <c r="DI48" s="73">
        <f t="shared" si="217"/>
        <v>12</v>
      </c>
      <c r="DJ48" s="65"/>
      <c r="DK48" s="74" t="s">
        <v>1954</v>
      </c>
      <c r="DL48" s="73">
        <f t="shared" si="217"/>
        <v>10</v>
      </c>
      <c r="DM48" s="65"/>
      <c r="DN48" s="74" t="s">
        <v>1954</v>
      </c>
      <c r="DO48" s="73">
        <f t="shared" si="217"/>
        <v>10</v>
      </c>
      <c r="DP48" s="65"/>
      <c r="DQ48" s="74" t="s">
        <v>1944</v>
      </c>
      <c r="DR48" s="73">
        <f t="shared" si="217"/>
        <v>0</v>
      </c>
      <c r="DS48" s="65"/>
      <c r="DT48" s="74" t="s">
        <v>1957</v>
      </c>
      <c r="DU48" s="73">
        <f t="shared" si="217"/>
        <v>0</v>
      </c>
      <c r="DV48" s="65"/>
      <c r="DW48" s="74" t="s">
        <v>2000</v>
      </c>
      <c r="DX48" s="73">
        <f t="shared" si="222"/>
        <v>0</v>
      </c>
      <c r="DY48" s="65"/>
      <c r="DZ48" s="74" t="s">
        <v>1954</v>
      </c>
      <c r="EA48" s="73">
        <f t="shared" si="222"/>
        <v>10</v>
      </c>
      <c r="EB48" s="65"/>
      <c r="EC48" s="74" t="s">
        <v>1950</v>
      </c>
      <c r="ED48" s="73">
        <f t="shared" si="222"/>
        <v>20</v>
      </c>
      <c r="EE48" s="65"/>
      <c r="EF48" s="74" t="s">
        <v>1959</v>
      </c>
      <c r="EG48" s="73">
        <f t="shared" si="222"/>
        <v>10</v>
      </c>
      <c r="EH48" s="65"/>
      <c r="EI48" s="74" t="s">
        <v>1954</v>
      </c>
      <c r="EJ48" s="73">
        <f t="shared" si="222"/>
        <v>10</v>
      </c>
      <c r="EK48" s="65"/>
      <c r="EL48" s="74" t="s">
        <v>1954</v>
      </c>
      <c r="EM48" s="73">
        <f t="shared" si="222"/>
        <v>10</v>
      </c>
      <c r="EN48" s="65"/>
      <c r="EO48" s="74" t="s">
        <v>1950</v>
      </c>
      <c r="EP48" s="73">
        <f t="shared" si="222"/>
        <v>20</v>
      </c>
      <c r="EQ48" s="65"/>
      <c r="ER48" s="74" t="s">
        <v>1950</v>
      </c>
      <c r="ES48" s="73">
        <f t="shared" si="222"/>
        <v>20</v>
      </c>
      <c r="ET48" s="65"/>
      <c r="EU48" s="74" t="s">
        <v>1959</v>
      </c>
      <c r="EV48" s="73">
        <f t="shared" si="222"/>
        <v>10</v>
      </c>
      <c r="EW48" s="65"/>
      <c r="EX48" s="74" t="s">
        <v>1950</v>
      </c>
      <c r="EY48" s="73">
        <f t="shared" si="222"/>
        <v>20</v>
      </c>
      <c r="EZ48" s="65"/>
      <c r="FA48" s="74" t="s">
        <v>1957</v>
      </c>
      <c r="FB48" s="73">
        <f t="shared" si="222"/>
        <v>0</v>
      </c>
      <c r="FC48" s="65"/>
      <c r="FD48" s="74" t="s">
        <v>1954</v>
      </c>
      <c r="FE48" s="73">
        <f t="shared" si="222"/>
        <v>10</v>
      </c>
      <c r="FF48" s="65"/>
      <c r="FG48" s="74" t="s">
        <v>1950</v>
      </c>
      <c r="FH48" s="73">
        <f t="shared" si="222"/>
        <v>20</v>
      </c>
      <c r="FI48" s="65"/>
      <c r="FJ48" s="74" t="s">
        <v>1954</v>
      </c>
      <c r="FK48" s="73">
        <f t="shared" si="222"/>
        <v>10</v>
      </c>
      <c r="FL48" s="65"/>
      <c r="FM48" s="74" t="s">
        <v>1950</v>
      </c>
      <c r="FN48" s="73">
        <f t="shared" si="222"/>
        <v>20</v>
      </c>
      <c r="FO48" s="65"/>
      <c r="FP48" s="74" t="s">
        <v>1959</v>
      </c>
      <c r="FQ48" s="73">
        <f t="shared" si="222"/>
        <v>10</v>
      </c>
      <c r="FR48" s="65"/>
      <c r="FS48" s="74" t="s">
        <v>1954</v>
      </c>
      <c r="FT48" s="73">
        <f t="shared" si="222"/>
        <v>10</v>
      </c>
      <c r="FU48" s="65"/>
      <c r="FV48" s="74" t="s">
        <v>1949</v>
      </c>
      <c r="FW48" s="73">
        <f t="shared" si="222"/>
        <v>12</v>
      </c>
      <c r="FX48" s="65"/>
      <c r="FY48" s="74" t="s">
        <v>1954</v>
      </c>
      <c r="FZ48" s="73">
        <f t="shared" si="222"/>
        <v>10</v>
      </c>
      <c r="GA48" s="65"/>
      <c r="GB48" s="74" t="s">
        <v>1949</v>
      </c>
      <c r="GC48" s="73">
        <f t="shared" si="222"/>
        <v>12</v>
      </c>
      <c r="GD48" s="65"/>
      <c r="GE48" s="74" t="s">
        <v>1958</v>
      </c>
      <c r="GF48" s="73">
        <f t="shared" si="222"/>
        <v>10</v>
      </c>
      <c r="GG48" s="65"/>
      <c r="GH48" s="74" t="s">
        <v>1953</v>
      </c>
      <c r="GI48" s="73">
        <f t="shared" si="222"/>
        <v>0</v>
      </c>
      <c r="GJ48" s="65"/>
      <c r="GK48" s="74" t="s">
        <v>1958</v>
      </c>
      <c r="GL48" s="73">
        <f t="shared" si="221"/>
        <v>10</v>
      </c>
      <c r="GM48" s="65"/>
      <c r="GN48" s="74"/>
      <c r="GO48" s="73">
        <f t="shared" si="221"/>
        <v>0</v>
      </c>
      <c r="GP48" s="65"/>
      <c r="GQ48" s="74"/>
      <c r="GR48" s="73">
        <f t="shared" si="221"/>
        <v>0</v>
      </c>
      <c r="GS48" s="65"/>
      <c r="GT48" s="74"/>
      <c r="GU48" s="73">
        <f t="shared" si="221"/>
        <v>0</v>
      </c>
      <c r="GV48" s="65"/>
      <c r="GW48" s="74"/>
      <c r="GX48" s="73">
        <f t="shared" si="221"/>
        <v>0</v>
      </c>
      <c r="GY48" s="65"/>
      <c r="GZ48" s="74"/>
      <c r="HA48" s="73">
        <f t="shared" si="221"/>
        <v>0</v>
      </c>
      <c r="HB48" s="65"/>
      <c r="HC48" s="74"/>
      <c r="HD48" s="73">
        <f t="shared" si="221"/>
        <v>0</v>
      </c>
      <c r="HE48" s="65"/>
      <c r="HF48" s="74"/>
      <c r="HG48" s="73">
        <f t="shared" si="221"/>
        <v>0</v>
      </c>
      <c r="HH48" s="65"/>
      <c r="HI48" s="74"/>
      <c r="HJ48" s="73">
        <f t="shared" si="221"/>
        <v>0</v>
      </c>
      <c r="HK48" s="65"/>
      <c r="HL48" s="74"/>
      <c r="HM48" s="73">
        <f t="shared" si="221"/>
        <v>0</v>
      </c>
      <c r="HN48" s="65"/>
      <c r="HO48" s="74"/>
      <c r="HP48" s="73">
        <f t="shared" si="221"/>
        <v>0</v>
      </c>
      <c r="HQ48" s="65"/>
      <c r="HR48" s="74"/>
      <c r="HS48" s="73">
        <f t="shared" si="221"/>
        <v>0</v>
      </c>
      <c r="HT48" s="65"/>
      <c r="HU48" s="74"/>
      <c r="HV48" s="73">
        <f t="shared" si="221"/>
        <v>0</v>
      </c>
      <c r="HW48" s="65"/>
      <c r="HX48" s="74"/>
      <c r="HY48" s="73">
        <f t="shared" si="223"/>
        <v>0</v>
      </c>
      <c r="HZ48" s="65"/>
      <c r="IA48" s="74"/>
      <c r="IB48" s="73">
        <f t="shared" si="223"/>
        <v>0</v>
      </c>
      <c r="IC48" s="65"/>
      <c r="ID48" s="74"/>
      <c r="IE48" s="73">
        <f t="shared" si="223"/>
        <v>0</v>
      </c>
      <c r="IF48" s="65"/>
      <c r="IG48" s="74"/>
      <c r="IH48" s="73">
        <f t="shared" si="223"/>
        <v>0</v>
      </c>
      <c r="II48" s="65"/>
      <c r="IJ48" s="74"/>
      <c r="IK48" s="73">
        <f t="shared" si="223"/>
        <v>0</v>
      </c>
      <c r="IL48" s="65"/>
      <c r="IM48" s="74"/>
      <c r="IN48" s="73">
        <f t="shared" si="223"/>
        <v>0</v>
      </c>
      <c r="IO48" s="65"/>
      <c r="IP48" s="74"/>
      <c r="IQ48" s="73">
        <f t="shared" si="223"/>
        <v>0</v>
      </c>
      <c r="IR48" s="65"/>
      <c r="IS48" s="74"/>
      <c r="IT48" s="73">
        <f t="shared" si="223"/>
        <v>0</v>
      </c>
      <c r="IU48" s="65"/>
      <c r="IV48" s="74"/>
      <c r="IW48" s="73">
        <f t="shared" si="223"/>
        <v>0</v>
      </c>
      <c r="IX48" s="65"/>
      <c r="IY48" s="74"/>
      <c r="IZ48" s="73">
        <f t="shared" si="223"/>
        <v>0</v>
      </c>
      <c r="JA48" s="65"/>
      <c r="JB48" s="74"/>
      <c r="JC48" s="73">
        <f t="shared" si="223"/>
        <v>0</v>
      </c>
      <c r="JD48" s="65"/>
      <c r="JE48" s="74"/>
      <c r="JF48" s="73">
        <f t="shared" si="223"/>
        <v>0</v>
      </c>
      <c r="JG48" s="65"/>
      <c r="JH48" s="74"/>
      <c r="JI48" s="73">
        <f t="shared" si="223"/>
        <v>0</v>
      </c>
      <c r="JJ48" s="65"/>
      <c r="JK48" s="74"/>
      <c r="JL48" s="73">
        <f t="shared" si="223"/>
        <v>0</v>
      </c>
      <c r="JM48" s="65"/>
      <c r="JN48" s="74"/>
      <c r="JO48" s="73">
        <f t="shared" si="223"/>
        <v>0</v>
      </c>
      <c r="JP48" s="65"/>
      <c r="JQ48" s="74"/>
      <c r="JR48" s="73">
        <f t="shared" si="223"/>
        <v>0</v>
      </c>
      <c r="JS48" s="65"/>
      <c r="JT48" s="74"/>
      <c r="JU48" s="73">
        <f t="shared" si="223"/>
        <v>0</v>
      </c>
      <c r="JV48" s="65"/>
      <c r="JW48" s="74"/>
      <c r="JX48" s="73">
        <f t="shared" si="223"/>
        <v>0</v>
      </c>
      <c r="JY48" s="65"/>
      <c r="JZ48" s="74"/>
      <c r="KA48" s="73">
        <f t="shared" si="223"/>
        <v>0</v>
      </c>
      <c r="KB48" s="65"/>
      <c r="KC48" s="74"/>
      <c r="KD48" s="73">
        <f t="shared" si="223"/>
        <v>0</v>
      </c>
      <c r="KE48" s="65"/>
      <c r="KF48" s="74"/>
      <c r="KG48" s="73">
        <f t="shared" si="223"/>
        <v>0</v>
      </c>
      <c r="KH48" s="65"/>
      <c r="KI48" s="74"/>
      <c r="KJ48" s="73">
        <f t="shared" si="223"/>
        <v>0</v>
      </c>
      <c r="KK48" s="65"/>
      <c r="KL48" s="74"/>
      <c r="KM48" s="73">
        <f t="shared" si="218"/>
        <v>0</v>
      </c>
      <c r="KN48" s="65"/>
      <c r="KO48" s="74"/>
      <c r="KP48" s="73">
        <f t="shared" si="216"/>
        <v>0</v>
      </c>
      <c r="KQ48" s="65"/>
      <c r="KR48" s="74"/>
      <c r="KS48" s="73">
        <f t="shared" si="216"/>
        <v>0</v>
      </c>
      <c r="KT48" s="65"/>
      <c r="KU48" s="74"/>
      <c r="KV48" s="73">
        <f t="shared" si="216"/>
        <v>0</v>
      </c>
      <c r="KW48" s="65"/>
      <c r="KX48" s="74"/>
      <c r="KY48" s="73">
        <f t="shared" si="216"/>
        <v>0</v>
      </c>
      <c r="KZ48" s="65"/>
      <c r="LA48" s="74"/>
      <c r="LB48" s="73">
        <f t="shared" si="216"/>
        <v>0</v>
      </c>
      <c r="LC48" s="65"/>
      <c r="LD48" s="74"/>
      <c r="LE48" s="73">
        <f t="shared" si="216"/>
        <v>0</v>
      </c>
      <c r="LF48" s="65"/>
      <c r="LG48" s="65"/>
    </row>
    <row r="49" spans="1:319" ht="15.75" thickBot="1">
      <c r="A49" s="49"/>
      <c r="B49" s="436"/>
      <c r="C49" s="667" t="str">
        <f>"**"&amp;Idiomas!D441&amp;": -&gt;"</f>
        <v>**% Goal difference/distance desviation adjustment: -&gt;</v>
      </c>
      <c r="D49" s="668" t="s">
        <v>1927</v>
      </c>
      <c r="E49" s="89"/>
      <c r="F49" s="445">
        <f t="shared" si="197"/>
        <v>20</v>
      </c>
      <c r="G49" s="445">
        <f ca="1">VLOOKUP(H49,Equipos!$Q$1:$R$25,2,0)</f>
        <v>13</v>
      </c>
      <c r="H49" s="446">
        <f ca="1">TRUNC(INDEX(WORLDCUP!$X$4:$X$147,MATCH(ADMIN!K49,WORLDCUP!$DT$4:$DT$147,0))+INDEX(Horarios!$R$3:$R$86,MATCH(Horarios!$C$3,Horarios!$P$3:$P$86,0))/24)</f>
        <v>46196</v>
      </c>
      <c r="I49" s="48">
        <v>1</v>
      </c>
      <c r="J49" s="96" t="s">
        <v>27</v>
      </c>
      <c r="K49" s="53" t="str">
        <f ca="1">CONCATENATE(WORLDCUP!AA79,"-",WORLDCUP!AF79)</f>
        <v>Jordan-Algeria</v>
      </c>
      <c r="L49" s="53"/>
      <c r="M49" s="55" t="str">
        <f>IF(OR(WORLDCUP!AC79="",WORLDCUP!AD79=""),"-",N49&amp;"|"&amp;O49&amp;"-"&amp;P49)</f>
        <v>2|1-2</v>
      </c>
      <c r="N49" s="25" t="str">
        <f>IF(OR(WORLDCUP!AC79="",WORLDCUP!AD79=""),"",IF(WORLDCUP!AC79&gt;WORLDCUP!AD79,"1",IF(WORLDCUP!AC79&lt;WORLDCUP!AD79,"2","X")))</f>
        <v>2</v>
      </c>
      <c r="O49" s="25">
        <f>WORLDCUP!AC79</f>
        <v>1</v>
      </c>
      <c r="P49" s="25">
        <f>WORLDCUP!AD79</f>
        <v>2</v>
      </c>
      <c r="Q49" s="25">
        <f t="shared" si="201"/>
        <v>1</v>
      </c>
      <c r="R49" s="49"/>
      <c r="S49" s="74" t="s">
        <v>1959</v>
      </c>
      <c r="T49" s="73">
        <f t="shared" si="198"/>
        <v>0</v>
      </c>
      <c r="U49" s="65"/>
      <c r="V49" s="74" t="s">
        <v>1957</v>
      </c>
      <c r="W49" s="73">
        <f t="shared" si="219"/>
        <v>0</v>
      </c>
      <c r="X49" s="65"/>
      <c r="Y49" s="74" t="s">
        <v>2000</v>
      </c>
      <c r="Z49" s="73">
        <f t="shared" si="220"/>
        <v>12</v>
      </c>
      <c r="AA49" s="65"/>
      <c r="AB49" s="74" t="s">
        <v>1953</v>
      </c>
      <c r="AC49" s="73">
        <f t="shared" si="220"/>
        <v>20</v>
      </c>
      <c r="AD49" s="65"/>
      <c r="AE49" s="74" t="s">
        <v>1960</v>
      </c>
      <c r="AF49" s="73">
        <f t="shared" si="220"/>
        <v>10</v>
      </c>
      <c r="AG49" s="65"/>
      <c r="AH49" s="74" t="s">
        <v>1948</v>
      </c>
      <c r="AI49" s="73">
        <f t="shared" si="220"/>
        <v>10</v>
      </c>
      <c r="AJ49" s="65"/>
      <c r="AK49" s="74" t="s">
        <v>1957</v>
      </c>
      <c r="AL49" s="73">
        <f t="shared" si="220"/>
        <v>0</v>
      </c>
      <c r="AM49" s="65"/>
      <c r="AN49" s="74" t="s">
        <v>2133</v>
      </c>
      <c r="AO49" s="73">
        <f t="shared" si="220"/>
        <v>0</v>
      </c>
      <c r="AP49" s="65"/>
      <c r="AQ49" s="74" t="s">
        <v>1960</v>
      </c>
      <c r="AR49" s="73">
        <f t="shared" si="220"/>
        <v>10</v>
      </c>
      <c r="AS49" s="65"/>
      <c r="AT49" s="74" t="s">
        <v>2133</v>
      </c>
      <c r="AU49" s="73">
        <f t="shared" si="220"/>
        <v>0</v>
      </c>
      <c r="AV49" s="65"/>
      <c r="AW49" s="74" t="s">
        <v>1953</v>
      </c>
      <c r="AX49" s="73">
        <f t="shared" si="220"/>
        <v>20</v>
      </c>
      <c r="AY49" s="65"/>
      <c r="AZ49" s="74" t="s">
        <v>1957</v>
      </c>
      <c r="BA49" s="73">
        <f t="shared" si="220"/>
        <v>0</v>
      </c>
      <c r="BB49" s="65"/>
      <c r="BC49" s="74" t="s">
        <v>1957</v>
      </c>
      <c r="BD49" s="73">
        <f t="shared" si="220"/>
        <v>0</v>
      </c>
      <c r="BE49" s="65"/>
      <c r="BF49" s="74" t="s">
        <v>1957</v>
      </c>
      <c r="BG49" s="73">
        <f t="shared" si="220"/>
        <v>0</v>
      </c>
      <c r="BH49" s="65"/>
      <c r="BI49" s="74" t="s">
        <v>1953</v>
      </c>
      <c r="BJ49" s="73">
        <f t="shared" si="220"/>
        <v>20</v>
      </c>
      <c r="BK49" s="65"/>
      <c r="BL49" s="74" t="s">
        <v>2000</v>
      </c>
      <c r="BM49" s="73">
        <f t="shared" si="220"/>
        <v>12</v>
      </c>
      <c r="BN49" s="65"/>
      <c r="BO49" s="74" t="s">
        <v>2000</v>
      </c>
      <c r="BP49" s="73">
        <f t="shared" si="220"/>
        <v>12</v>
      </c>
      <c r="BQ49" s="65"/>
      <c r="BR49" s="74" t="s">
        <v>1960</v>
      </c>
      <c r="BS49" s="73">
        <f t="shared" si="220"/>
        <v>10</v>
      </c>
      <c r="BT49" s="65"/>
      <c r="BU49" s="74" t="s">
        <v>1953</v>
      </c>
      <c r="BV49" s="73">
        <f t="shared" si="220"/>
        <v>20</v>
      </c>
      <c r="BW49" s="65"/>
      <c r="BX49" s="74" t="s">
        <v>1957</v>
      </c>
      <c r="BY49" s="73">
        <f t="shared" si="220"/>
        <v>0</v>
      </c>
      <c r="BZ49" s="65"/>
      <c r="CA49" s="74" t="s">
        <v>1960</v>
      </c>
      <c r="CB49" s="73">
        <f t="shared" si="220"/>
        <v>10</v>
      </c>
      <c r="CC49" s="65"/>
      <c r="CD49" s="74" t="s">
        <v>1957</v>
      </c>
      <c r="CE49" s="73">
        <f t="shared" si="220"/>
        <v>0</v>
      </c>
      <c r="CF49" s="65"/>
      <c r="CG49" s="74" t="s">
        <v>1953</v>
      </c>
      <c r="CH49" s="73">
        <f t="shared" si="220"/>
        <v>20</v>
      </c>
      <c r="CI49" s="65"/>
      <c r="CJ49" s="74" t="s">
        <v>1953</v>
      </c>
      <c r="CK49" s="73">
        <f t="shared" si="217"/>
        <v>20</v>
      </c>
      <c r="CL49" s="65"/>
      <c r="CM49" s="74" t="s">
        <v>1960</v>
      </c>
      <c r="CN49" s="73">
        <f t="shared" si="217"/>
        <v>10</v>
      </c>
      <c r="CO49" s="65"/>
      <c r="CP49" s="74" t="s">
        <v>1960</v>
      </c>
      <c r="CQ49" s="73">
        <f t="shared" si="217"/>
        <v>10</v>
      </c>
      <c r="CR49" s="65"/>
      <c r="CS49" s="74" t="s">
        <v>1957</v>
      </c>
      <c r="CT49" s="73">
        <f t="shared" si="217"/>
        <v>0</v>
      </c>
      <c r="CU49" s="65"/>
      <c r="CV49" s="74" t="s">
        <v>1953</v>
      </c>
      <c r="CW49" s="73">
        <f t="shared" si="217"/>
        <v>20</v>
      </c>
      <c r="CX49" s="65"/>
      <c r="CY49" s="74" t="s">
        <v>1957</v>
      </c>
      <c r="CZ49" s="73">
        <f t="shared" si="217"/>
        <v>0</v>
      </c>
      <c r="DA49" s="65"/>
      <c r="DB49" s="74" t="s">
        <v>1957</v>
      </c>
      <c r="DC49" s="73">
        <f t="shared" si="217"/>
        <v>0</v>
      </c>
      <c r="DD49" s="65"/>
      <c r="DE49" s="74" t="s">
        <v>1960</v>
      </c>
      <c r="DF49" s="73">
        <f t="shared" si="217"/>
        <v>10</v>
      </c>
      <c r="DG49" s="65"/>
      <c r="DH49" s="74" t="s">
        <v>1948</v>
      </c>
      <c r="DI49" s="73">
        <f t="shared" si="217"/>
        <v>10</v>
      </c>
      <c r="DJ49" s="65"/>
      <c r="DK49" s="74" t="s">
        <v>1957</v>
      </c>
      <c r="DL49" s="73">
        <f t="shared" si="217"/>
        <v>0</v>
      </c>
      <c r="DM49" s="65"/>
      <c r="DN49" s="74" t="s">
        <v>1944</v>
      </c>
      <c r="DO49" s="73">
        <f t="shared" si="217"/>
        <v>0</v>
      </c>
      <c r="DP49" s="65"/>
      <c r="DQ49" s="74" t="s">
        <v>2000</v>
      </c>
      <c r="DR49" s="73">
        <f t="shared" si="217"/>
        <v>12</v>
      </c>
      <c r="DS49" s="65"/>
      <c r="DT49" s="74" t="s">
        <v>1953</v>
      </c>
      <c r="DU49" s="73">
        <f t="shared" si="217"/>
        <v>20</v>
      </c>
      <c r="DV49" s="65"/>
      <c r="DW49" s="74" t="s">
        <v>1960</v>
      </c>
      <c r="DX49" s="73">
        <f t="shared" si="222"/>
        <v>10</v>
      </c>
      <c r="DY49" s="65"/>
      <c r="DZ49" s="74" t="s">
        <v>1957</v>
      </c>
      <c r="EA49" s="73">
        <f t="shared" si="222"/>
        <v>0</v>
      </c>
      <c r="EB49" s="65"/>
      <c r="EC49" s="74" t="s">
        <v>1953</v>
      </c>
      <c r="ED49" s="73">
        <f t="shared" si="222"/>
        <v>20</v>
      </c>
      <c r="EE49" s="65"/>
      <c r="EF49" s="74" t="s">
        <v>2000</v>
      </c>
      <c r="EG49" s="73">
        <f t="shared" si="222"/>
        <v>12</v>
      </c>
      <c r="EH49" s="65"/>
      <c r="EI49" s="74" t="s">
        <v>2000</v>
      </c>
      <c r="EJ49" s="73">
        <f t="shared" si="222"/>
        <v>12</v>
      </c>
      <c r="EK49" s="65"/>
      <c r="EL49" s="74" t="s">
        <v>1953</v>
      </c>
      <c r="EM49" s="73">
        <f t="shared" si="222"/>
        <v>20</v>
      </c>
      <c r="EN49" s="65"/>
      <c r="EO49" s="74" t="s">
        <v>1960</v>
      </c>
      <c r="EP49" s="73">
        <f t="shared" si="222"/>
        <v>10</v>
      </c>
      <c r="EQ49" s="65"/>
      <c r="ER49" s="74" t="s">
        <v>2000</v>
      </c>
      <c r="ES49" s="73">
        <f t="shared" si="222"/>
        <v>12</v>
      </c>
      <c r="ET49" s="65"/>
      <c r="EU49" s="74" t="s">
        <v>2000</v>
      </c>
      <c r="EV49" s="73">
        <f t="shared" si="222"/>
        <v>12</v>
      </c>
      <c r="EW49" s="65"/>
      <c r="EX49" s="74" t="s">
        <v>1953</v>
      </c>
      <c r="EY49" s="73">
        <f t="shared" si="222"/>
        <v>20</v>
      </c>
      <c r="EZ49" s="65"/>
      <c r="FA49" s="74" t="s">
        <v>1960</v>
      </c>
      <c r="FB49" s="73">
        <f t="shared" si="222"/>
        <v>10</v>
      </c>
      <c r="FC49" s="65"/>
      <c r="FD49" s="74" t="s">
        <v>1957</v>
      </c>
      <c r="FE49" s="73">
        <f t="shared" si="222"/>
        <v>0</v>
      </c>
      <c r="FF49" s="65"/>
      <c r="FG49" s="74" t="s">
        <v>1953</v>
      </c>
      <c r="FH49" s="73">
        <f t="shared" si="222"/>
        <v>20</v>
      </c>
      <c r="FI49" s="65"/>
      <c r="FJ49" s="74" t="s">
        <v>2000</v>
      </c>
      <c r="FK49" s="73">
        <f t="shared" si="222"/>
        <v>12</v>
      </c>
      <c r="FL49" s="65"/>
      <c r="FM49" s="74" t="s">
        <v>1960</v>
      </c>
      <c r="FN49" s="73">
        <f t="shared" si="222"/>
        <v>10</v>
      </c>
      <c r="FO49" s="65"/>
      <c r="FP49" s="74" t="s">
        <v>2000</v>
      </c>
      <c r="FQ49" s="73">
        <f t="shared" si="222"/>
        <v>12</v>
      </c>
      <c r="FR49" s="65"/>
      <c r="FS49" s="74" t="s">
        <v>2000</v>
      </c>
      <c r="FT49" s="73">
        <f t="shared" si="222"/>
        <v>12</v>
      </c>
      <c r="FU49" s="65"/>
      <c r="FV49" s="74" t="s">
        <v>1960</v>
      </c>
      <c r="FW49" s="73">
        <f t="shared" si="222"/>
        <v>10</v>
      </c>
      <c r="FX49" s="65"/>
      <c r="FY49" s="74" t="s">
        <v>2000</v>
      </c>
      <c r="FZ49" s="73">
        <f t="shared" si="222"/>
        <v>12</v>
      </c>
      <c r="GA49" s="65"/>
      <c r="GB49" s="74" t="s">
        <v>1953</v>
      </c>
      <c r="GC49" s="73">
        <f t="shared" si="222"/>
        <v>20</v>
      </c>
      <c r="GD49" s="65"/>
      <c r="GE49" s="74" t="s">
        <v>1944</v>
      </c>
      <c r="GF49" s="73">
        <f t="shared" si="222"/>
        <v>0</v>
      </c>
      <c r="GG49" s="65"/>
      <c r="GH49" s="74" t="s">
        <v>2000</v>
      </c>
      <c r="GI49" s="73">
        <f t="shared" si="222"/>
        <v>12</v>
      </c>
      <c r="GJ49" s="65"/>
      <c r="GK49" s="74" t="s">
        <v>1953</v>
      </c>
      <c r="GL49" s="73">
        <f t="shared" si="221"/>
        <v>20</v>
      </c>
      <c r="GM49" s="65"/>
      <c r="GN49" s="74"/>
      <c r="GO49" s="73">
        <f t="shared" si="221"/>
        <v>0</v>
      </c>
      <c r="GP49" s="65"/>
      <c r="GQ49" s="74"/>
      <c r="GR49" s="73">
        <f t="shared" si="221"/>
        <v>0</v>
      </c>
      <c r="GS49" s="65"/>
      <c r="GT49" s="74"/>
      <c r="GU49" s="73">
        <f t="shared" si="221"/>
        <v>0</v>
      </c>
      <c r="GV49" s="65"/>
      <c r="GW49" s="74"/>
      <c r="GX49" s="73">
        <f t="shared" si="221"/>
        <v>0</v>
      </c>
      <c r="GY49" s="65"/>
      <c r="GZ49" s="74"/>
      <c r="HA49" s="73">
        <f t="shared" si="221"/>
        <v>0</v>
      </c>
      <c r="HB49" s="65"/>
      <c r="HC49" s="74"/>
      <c r="HD49" s="73">
        <f t="shared" si="221"/>
        <v>0</v>
      </c>
      <c r="HE49" s="65"/>
      <c r="HF49" s="74"/>
      <c r="HG49" s="73">
        <f t="shared" si="221"/>
        <v>0</v>
      </c>
      <c r="HH49" s="65"/>
      <c r="HI49" s="74"/>
      <c r="HJ49" s="73">
        <f t="shared" si="221"/>
        <v>0</v>
      </c>
      <c r="HK49" s="65"/>
      <c r="HL49" s="74"/>
      <c r="HM49" s="73">
        <f t="shared" si="221"/>
        <v>0</v>
      </c>
      <c r="HN49" s="65"/>
      <c r="HO49" s="74"/>
      <c r="HP49" s="73">
        <f t="shared" si="221"/>
        <v>0</v>
      </c>
      <c r="HQ49" s="65"/>
      <c r="HR49" s="74"/>
      <c r="HS49" s="73">
        <f t="shared" si="221"/>
        <v>0</v>
      </c>
      <c r="HT49" s="65"/>
      <c r="HU49" s="74"/>
      <c r="HV49" s="73">
        <f t="shared" si="221"/>
        <v>0</v>
      </c>
      <c r="HW49" s="65"/>
      <c r="HX49" s="74"/>
      <c r="HY49" s="73">
        <f t="shared" si="223"/>
        <v>0</v>
      </c>
      <c r="HZ49" s="65"/>
      <c r="IA49" s="74"/>
      <c r="IB49" s="73">
        <f t="shared" si="223"/>
        <v>0</v>
      </c>
      <c r="IC49" s="65"/>
      <c r="ID49" s="74"/>
      <c r="IE49" s="73">
        <f t="shared" si="223"/>
        <v>0</v>
      </c>
      <c r="IF49" s="65"/>
      <c r="IG49" s="74"/>
      <c r="IH49" s="73">
        <f t="shared" si="223"/>
        <v>0</v>
      </c>
      <c r="II49" s="65"/>
      <c r="IJ49" s="74"/>
      <c r="IK49" s="73">
        <f t="shared" si="223"/>
        <v>0</v>
      </c>
      <c r="IL49" s="65"/>
      <c r="IM49" s="74"/>
      <c r="IN49" s="73">
        <f t="shared" si="223"/>
        <v>0</v>
      </c>
      <c r="IO49" s="65"/>
      <c r="IP49" s="74"/>
      <c r="IQ49" s="73">
        <f t="shared" si="223"/>
        <v>0</v>
      </c>
      <c r="IR49" s="65"/>
      <c r="IS49" s="74"/>
      <c r="IT49" s="73">
        <f t="shared" si="223"/>
        <v>0</v>
      </c>
      <c r="IU49" s="65"/>
      <c r="IV49" s="74"/>
      <c r="IW49" s="73">
        <f t="shared" si="223"/>
        <v>0</v>
      </c>
      <c r="IX49" s="65"/>
      <c r="IY49" s="74"/>
      <c r="IZ49" s="73">
        <f t="shared" si="223"/>
        <v>0</v>
      </c>
      <c r="JA49" s="65"/>
      <c r="JB49" s="74"/>
      <c r="JC49" s="73">
        <f t="shared" si="223"/>
        <v>0</v>
      </c>
      <c r="JD49" s="65"/>
      <c r="JE49" s="74"/>
      <c r="JF49" s="73">
        <f t="shared" si="223"/>
        <v>0</v>
      </c>
      <c r="JG49" s="65"/>
      <c r="JH49" s="74"/>
      <c r="JI49" s="73">
        <f t="shared" si="223"/>
        <v>0</v>
      </c>
      <c r="JJ49" s="65"/>
      <c r="JK49" s="74"/>
      <c r="JL49" s="73">
        <f t="shared" si="223"/>
        <v>0</v>
      </c>
      <c r="JM49" s="65"/>
      <c r="JN49" s="74"/>
      <c r="JO49" s="73">
        <f t="shared" si="223"/>
        <v>0</v>
      </c>
      <c r="JP49" s="65"/>
      <c r="JQ49" s="74"/>
      <c r="JR49" s="73">
        <f t="shared" si="223"/>
        <v>0</v>
      </c>
      <c r="JS49" s="65"/>
      <c r="JT49" s="74"/>
      <c r="JU49" s="73">
        <f t="shared" si="223"/>
        <v>0</v>
      </c>
      <c r="JV49" s="65"/>
      <c r="JW49" s="74"/>
      <c r="JX49" s="73">
        <f t="shared" si="223"/>
        <v>0</v>
      </c>
      <c r="JY49" s="65"/>
      <c r="JZ49" s="74"/>
      <c r="KA49" s="73">
        <f t="shared" si="223"/>
        <v>0</v>
      </c>
      <c r="KB49" s="65"/>
      <c r="KC49" s="74"/>
      <c r="KD49" s="73">
        <f t="shared" si="223"/>
        <v>0</v>
      </c>
      <c r="KE49" s="65"/>
      <c r="KF49" s="74"/>
      <c r="KG49" s="73">
        <f t="shared" si="223"/>
        <v>0</v>
      </c>
      <c r="KH49" s="65"/>
      <c r="KI49" s="74"/>
      <c r="KJ49" s="73">
        <f t="shared" si="223"/>
        <v>0</v>
      </c>
      <c r="KK49" s="65"/>
      <c r="KL49" s="74"/>
      <c r="KM49" s="73">
        <f t="shared" si="218"/>
        <v>0</v>
      </c>
      <c r="KN49" s="65"/>
      <c r="KO49" s="74"/>
      <c r="KP49" s="73">
        <f t="shared" si="216"/>
        <v>0</v>
      </c>
      <c r="KQ49" s="65"/>
      <c r="KR49" s="74"/>
      <c r="KS49" s="73">
        <f t="shared" si="216"/>
        <v>0</v>
      </c>
      <c r="KT49" s="65"/>
      <c r="KU49" s="74"/>
      <c r="KV49" s="73">
        <f t="shared" si="216"/>
        <v>0</v>
      </c>
      <c r="KW49" s="65"/>
      <c r="KX49" s="74"/>
      <c r="KY49" s="73">
        <f t="shared" si="216"/>
        <v>0</v>
      </c>
      <c r="KZ49" s="65"/>
      <c r="LA49" s="74"/>
      <c r="LB49" s="73">
        <f t="shared" si="216"/>
        <v>0</v>
      </c>
      <c r="LC49" s="65"/>
      <c r="LD49" s="74"/>
      <c r="LE49" s="73">
        <f t="shared" si="216"/>
        <v>0</v>
      </c>
      <c r="LF49" s="65"/>
      <c r="LG49" s="65"/>
    </row>
    <row r="50" spans="1:319" ht="15.75" thickBot="1">
      <c r="A50" s="49"/>
      <c r="B50" s="49"/>
      <c r="C50" s="671" t="str">
        <f>HYPERLINK(Idiomas!D444,Idiomas!D443)</f>
        <v>**What it is and how it works?</v>
      </c>
      <c r="D50" s="429">
        <f>IF(D49=Idiomas!$D$442,1,D49)</f>
        <v>1</v>
      </c>
      <c r="E50" s="89"/>
      <c r="F50" s="445">
        <f t="shared" si="197"/>
        <v>20</v>
      </c>
      <c r="G50" s="445">
        <f ca="1">VLOOKUP(H50,Equipos!$Q$1:$R$25,2,0)</f>
        <v>13</v>
      </c>
      <c r="H50" s="446">
        <f ca="1">TRUNC(INDEX(WORLDCUP!$X$4:$X$147,MATCH(ADMIN!K50,WORLDCUP!$DT$4:$DT$147,0))+INDEX(Horarios!$R$3:$R$86,MATCH(Horarios!$C$3,Horarios!$P$3:$P$86,0))/24)</f>
        <v>46196</v>
      </c>
      <c r="I50" s="48">
        <v>1</v>
      </c>
      <c r="J50" s="95" t="s">
        <v>300</v>
      </c>
      <c r="K50" s="56" t="str">
        <f ca="1">CONCATENATE(WORLDCUP!AA86,"-",WORLDCUP!AF86)</f>
        <v>Portugal-Uzbekistan</v>
      </c>
      <c r="L50" s="53"/>
      <c r="M50" s="55" t="str">
        <f>IF(OR(WORLDCUP!AC86="",WORLDCUP!AD86=""),"-",N50&amp;"|"&amp;O50&amp;"-"&amp;P50)</f>
        <v>1|5-0</v>
      </c>
      <c r="N50" s="25" t="str">
        <f>IF(OR(WORLDCUP!AC86="",WORLDCUP!AD86=""),"",IF(WORLDCUP!AC86&gt;WORLDCUP!AD86,"1",IF(WORLDCUP!AC86&lt;WORLDCUP!AD86,"2","X")))</f>
        <v>1</v>
      </c>
      <c r="O50" s="25">
        <f>WORLDCUP!AC86</f>
        <v>5</v>
      </c>
      <c r="P50" s="25">
        <f>WORLDCUP!AD86</f>
        <v>0</v>
      </c>
      <c r="Q50" s="25">
        <f t="shared" si="201"/>
        <v>5</v>
      </c>
      <c r="R50" s="49"/>
      <c r="S50" s="74" t="s">
        <v>1957</v>
      </c>
      <c r="T50" s="73">
        <f t="shared" si="198"/>
        <v>0</v>
      </c>
      <c r="U50" s="65"/>
      <c r="V50" s="74" t="s">
        <v>1949</v>
      </c>
      <c r="W50" s="73">
        <f t="shared" si="219"/>
        <v>10</v>
      </c>
      <c r="X50" s="65"/>
      <c r="Y50" s="74" t="s">
        <v>1958</v>
      </c>
      <c r="Z50" s="73">
        <f t="shared" si="220"/>
        <v>10</v>
      </c>
      <c r="AA50" s="65"/>
      <c r="AB50" s="74" t="s">
        <v>1958</v>
      </c>
      <c r="AC50" s="73">
        <f t="shared" si="220"/>
        <v>10</v>
      </c>
      <c r="AD50" s="65"/>
      <c r="AE50" s="74" t="s">
        <v>1950</v>
      </c>
      <c r="AF50" s="73">
        <f t="shared" si="220"/>
        <v>10</v>
      </c>
      <c r="AG50" s="65"/>
      <c r="AH50" s="74" t="s">
        <v>1947</v>
      </c>
      <c r="AI50" s="73">
        <f t="shared" si="220"/>
        <v>10</v>
      </c>
      <c r="AJ50" s="65"/>
      <c r="AK50" s="74" t="s">
        <v>1954</v>
      </c>
      <c r="AL50" s="73">
        <f t="shared" si="220"/>
        <v>10</v>
      </c>
      <c r="AM50" s="65"/>
      <c r="AN50" s="74" t="s">
        <v>1957</v>
      </c>
      <c r="AO50" s="73">
        <f t="shared" si="220"/>
        <v>0</v>
      </c>
      <c r="AP50" s="65"/>
      <c r="AQ50" s="74" t="s">
        <v>1958</v>
      </c>
      <c r="AR50" s="73">
        <f t="shared" si="220"/>
        <v>10</v>
      </c>
      <c r="AS50" s="65"/>
      <c r="AT50" s="74" t="s">
        <v>1959</v>
      </c>
      <c r="AU50" s="73">
        <f t="shared" si="220"/>
        <v>10</v>
      </c>
      <c r="AV50" s="65"/>
      <c r="AW50" s="74" t="s">
        <v>1958</v>
      </c>
      <c r="AX50" s="73">
        <f t="shared" si="220"/>
        <v>10</v>
      </c>
      <c r="AY50" s="65"/>
      <c r="AZ50" s="74" t="s">
        <v>1954</v>
      </c>
      <c r="BA50" s="73">
        <f t="shared" si="220"/>
        <v>10</v>
      </c>
      <c r="BB50" s="65"/>
      <c r="BC50" s="74" t="s">
        <v>1945</v>
      </c>
      <c r="BD50" s="73">
        <f t="shared" si="220"/>
        <v>10</v>
      </c>
      <c r="BE50" s="65"/>
      <c r="BF50" s="74" t="s">
        <v>1949</v>
      </c>
      <c r="BG50" s="73">
        <f t="shared" si="220"/>
        <v>10</v>
      </c>
      <c r="BH50" s="65"/>
      <c r="BI50" s="74" t="s">
        <v>1950</v>
      </c>
      <c r="BJ50" s="73">
        <f t="shared" si="220"/>
        <v>10</v>
      </c>
      <c r="BK50" s="65"/>
      <c r="BL50" s="74" t="s">
        <v>1958</v>
      </c>
      <c r="BM50" s="73">
        <f t="shared" si="220"/>
        <v>10</v>
      </c>
      <c r="BN50" s="65"/>
      <c r="BO50" s="74" t="s">
        <v>1949</v>
      </c>
      <c r="BP50" s="73">
        <f t="shared" si="220"/>
        <v>10</v>
      </c>
      <c r="BQ50" s="65"/>
      <c r="BR50" s="74" t="s">
        <v>2132</v>
      </c>
      <c r="BS50" s="73">
        <f t="shared" si="220"/>
        <v>20</v>
      </c>
      <c r="BT50" s="65"/>
      <c r="BU50" s="74" t="s">
        <v>1958</v>
      </c>
      <c r="BV50" s="73">
        <f t="shared" si="220"/>
        <v>10</v>
      </c>
      <c r="BW50" s="65"/>
      <c r="BX50" s="74" t="s">
        <v>1950</v>
      </c>
      <c r="BY50" s="73">
        <f t="shared" si="220"/>
        <v>10</v>
      </c>
      <c r="BZ50" s="65"/>
      <c r="CA50" s="74" t="s">
        <v>1949</v>
      </c>
      <c r="CB50" s="73">
        <f t="shared" si="220"/>
        <v>10</v>
      </c>
      <c r="CC50" s="65"/>
      <c r="CD50" s="74" t="s">
        <v>1958</v>
      </c>
      <c r="CE50" s="73">
        <f t="shared" si="220"/>
        <v>10</v>
      </c>
      <c r="CF50" s="65"/>
      <c r="CG50" s="74" t="s">
        <v>1945</v>
      </c>
      <c r="CH50" s="73">
        <f t="shared" si="220"/>
        <v>10</v>
      </c>
      <c r="CI50" s="65"/>
      <c r="CJ50" s="74" t="s">
        <v>1954</v>
      </c>
      <c r="CK50" s="73">
        <f t="shared" si="217"/>
        <v>10</v>
      </c>
      <c r="CL50" s="65"/>
      <c r="CM50" s="74" t="s">
        <v>1958</v>
      </c>
      <c r="CN50" s="73">
        <f t="shared" si="217"/>
        <v>10</v>
      </c>
      <c r="CO50" s="65"/>
      <c r="CP50" s="74" t="s">
        <v>1958</v>
      </c>
      <c r="CQ50" s="73">
        <f t="shared" si="217"/>
        <v>10</v>
      </c>
      <c r="CR50" s="65"/>
      <c r="CS50" s="74" t="s">
        <v>1958</v>
      </c>
      <c r="CT50" s="73">
        <f t="shared" si="217"/>
        <v>10</v>
      </c>
      <c r="CU50" s="65"/>
      <c r="CV50" s="74" t="s">
        <v>1958</v>
      </c>
      <c r="CW50" s="73">
        <f t="shared" si="217"/>
        <v>10</v>
      </c>
      <c r="CX50" s="65"/>
      <c r="CY50" s="74" t="s">
        <v>1958</v>
      </c>
      <c r="CZ50" s="73">
        <f t="shared" si="217"/>
        <v>10</v>
      </c>
      <c r="DA50" s="65"/>
      <c r="DB50" s="74" t="s">
        <v>1947</v>
      </c>
      <c r="DC50" s="73">
        <f t="shared" si="217"/>
        <v>10</v>
      </c>
      <c r="DD50" s="65"/>
      <c r="DE50" s="74" t="s">
        <v>1952</v>
      </c>
      <c r="DF50" s="73">
        <f t="shared" si="217"/>
        <v>10</v>
      </c>
      <c r="DG50" s="65"/>
      <c r="DH50" s="74" t="s">
        <v>1959</v>
      </c>
      <c r="DI50" s="73">
        <f t="shared" si="217"/>
        <v>10</v>
      </c>
      <c r="DJ50" s="65"/>
      <c r="DK50" s="74" t="s">
        <v>1954</v>
      </c>
      <c r="DL50" s="73">
        <f t="shared" si="217"/>
        <v>10</v>
      </c>
      <c r="DM50" s="65"/>
      <c r="DN50" s="74" t="s">
        <v>1949</v>
      </c>
      <c r="DO50" s="73">
        <f t="shared" si="217"/>
        <v>10</v>
      </c>
      <c r="DP50" s="65"/>
      <c r="DQ50" s="74" t="s">
        <v>1950</v>
      </c>
      <c r="DR50" s="73">
        <f t="shared" si="217"/>
        <v>10</v>
      </c>
      <c r="DS50" s="65"/>
      <c r="DT50" s="74" t="s">
        <v>1958</v>
      </c>
      <c r="DU50" s="73">
        <f t="shared" si="217"/>
        <v>10</v>
      </c>
      <c r="DV50" s="65"/>
      <c r="DW50" s="74" t="s">
        <v>1950</v>
      </c>
      <c r="DX50" s="73">
        <f t="shared" si="222"/>
        <v>10</v>
      </c>
      <c r="DY50" s="65"/>
      <c r="DZ50" s="74" t="s">
        <v>1950</v>
      </c>
      <c r="EA50" s="73">
        <f t="shared" si="222"/>
        <v>10</v>
      </c>
      <c r="EB50" s="65"/>
      <c r="EC50" s="74" t="s">
        <v>1958</v>
      </c>
      <c r="ED50" s="73">
        <f t="shared" si="222"/>
        <v>10</v>
      </c>
      <c r="EE50" s="65"/>
      <c r="EF50" s="74" t="s">
        <v>1949</v>
      </c>
      <c r="EG50" s="73">
        <f t="shared" si="222"/>
        <v>10</v>
      </c>
      <c r="EH50" s="65"/>
      <c r="EI50" s="74" t="s">
        <v>1950</v>
      </c>
      <c r="EJ50" s="73">
        <f t="shared" si="222"/>
        <v>10</v>
      </c>
      <c r="EK50" s="65"/>
      <c r="EL50" s="74" t="s">
        <v>1947</v>
      </c>
      <c r="EM50" s="73">
        <f t="shared" si="222"/>
        <v>10</v>
      </c>
      <c r="EN50" s="65"/>
      <c r="EO50" s="74" t="s">
        <v>1959</v>
      </c>
      <c r="EP50" s="73">
        <f t="shared" si="222"/>
        <v>10</v>
      </c>
      <c r="EQ50" s="65"/>
      <c r="ER50" s="74" t="s">
        <v>1954</v>
      </c>
      <c r="ES50" s="73">
        <f t="shared" si="222"/>
        <v>10</v>
      </c>
      <c r="ET50" s="65"/>
      <c r="EU50" s="74" t="s">
        <v>1950</v>
      </c>
      <c r="EV50" s="73">
        <f t="shared" si="222"/>
        <v>10</v>
      </c>
      <c r="EW50" s="65"/>
      <c r="EX50" s="74" t="s">
        <v>1950</v>
      </c>
      <c r="EY50" s="73">
        <f t="shared" si="222"/>
        <v>10</v>
      </c>
      <c r="EZ50" s="65"/>
      <c r="FA50" s="74" t="s">
        <v>1950</v>
      </c>
      <c r="FB50" s="73">
        <f t="shared" si="222"/>
        <v>10</v>
      </c>
      <c r="FC50" s="65"/>
      <c r="FD50" s="74" t="s">
        <v>1950</v>
      </c>
      <c r="FE50" s="73">
        <f t="shared" si="222"/>
        <v>10</v>
      </c>
      <c r="FF50" s="65"/>
      <c r="FG50" s="74" t="s">
        <v>1945</v>
      </c>
      <c r="FH50" s="73">
        <f t="shared" si="222"/>
        <v>10</v>
      </c>
      <c r="FI50" s="65"/>
      <c r="FJ50" s="74" t="s">
        <v>1950</v>
      </c>
      <c r="FK50" s="73">
        <f t="shared" si="222"/>
        <v>10</v>
      </c>
      <c r="FL50" s="65"/>
      <c r="FM50" s="74" t="s">
        <v>1949</v>
      </c>
      <c r="FN50" s="73">
        <f t="shared" si="222"/>
        <v>10</v>
      </c>
      <c r="FO50" s="65"/>
      <c r="FP50" s="74" t="s">
        <v>1947</v>
      </c>
      <c r="FQ50" s="73">
        <f t="shared" si="222"/>
        <v>10</v>
      </c>
      <c r="FR50" s="65"/>
      <c r="FS50" s="74" t="s">
        <v>1950</v>
      </c>
      <c r="FT50" s="73">
        <f t="shared" si="222"/>
        <v>10</v>
      </c>
      <c r="FU50" s="65"/>
      <c r="FV50" s="74" t="s">
        <v>1958</v>
      </c>
      <c r="FW50" s="73">
        <f t="shared" si="222"/>
        <v>10</v>
      </c>
      <c r="FX50" s="65"/>
      <c r="FY50" s="74" t="s">
        <v>1950</v>
      </c>
      <c r="FZ50" s="73">
        <f t="shared" si="222"/>
        <v>10</v>
      </c>
      <c r="GA50" s="65"/>
      <c r="GB50" s="74" t="s">
        <v>1950</v>
      </c>
      <c r="GC50" s="73">
        <f t="shared" si="222"/>
        <v>10</v>
      </c>
      <c r="GD50" s="65"/>
      <c r="GE50" s="74" t="s">
        <v>1947</v>
      </c>
      <c r="GF50" s="73">
        <f t="shared" si="222"/>
        <v>10</v>
      </c>
      <c r="GG50" s="65"/>
      <c r="GH50" s="74" t="s">
        <v>1958</v>
      </c>
      <c r="GI50" s="73">
        <f t="shared" si="222"/>
        <v>10</v>
      </c>
      <c r="GJ50" s="65"/>
      <c r="GK50" s="74" t="s">
        <v>1958</v>
      </c>
      <c r="GL50" s="73">
        <f t="shared" si="221"/>
        <v>10</v>
      </c>
      <c r="GM50" s="65"/>
      <c r="GN50" s="74"/>
      <c r="GO50" s="73">
        <f t="shared" si="221"/>
        <v>0</v>
      </c>
      <c r="GP50" s="65"/>
      <c r="GQ50" s="74"/>
      <c r="GR50" s="73">
        <f t="shared" si="221"/>
        <v>0</v>
      </c>
      <c r="GS50" s="65"/>
      <c r="GT50" s="74"/>
      <c r="GU50" s="73">
        <f t="shared" si="221"/>
        <v>0</v>
      </c>
      <c r="GV50" s="65"/>
      <c r="GW50" s="74"/>
      <c r="GX50" s="73">
        <f t="shared" si="221"/>
        <v>0</v>
      </c>
      <c r="GY50" s="65"/>
      <c r="GZ50" s="74"/>
      <c r="HA50" s="73">
        <f t="shared" si="221"/>
        <v>0</v>
      </c>
      <c r="HB50" s="65"/>
      <c r="HC50" s="74"/>
      <c r="HD50" s="73">
        <f t="shared" si="221"/>
        <v>0</v>
      </c>
      <c r="HE50" s="65"/>
      <c r="HF50" s="74"/>
      <c r="HG50" s="73">
        <f t="shared" si="221"/>
        <v>0</v>
      </c>
      <c r="HH50" s="65"/>
      <c r="HI50" s="74"/>
      <c r="HJ50" s="73">
        <f t="shared" si="221"/>
        <v>0</v>
      </c>
      <c r="HK50" s="65"/>
      <c r="HL50" s="74"/>
      <c r="HM50" s="73">
        <f t="shared" si="221"/>
        <v>0</v>
      </c>
      <c r="HN50" s="65"/>
      <c r="HO50" s="74"/>
      <c r="HP50" s="73">
        <f t="shared" si="221"/>
        <v>0</v>
      </c>
      <c r="HQ50" s="65"/>
      <c r="HR50" s="74"/>
      <c r="HS50" s="73">
        <f t="shared" si="221"/>
        <v>0</v>
      </c>
      <c r="HT50" s="65"/>
      <c r="HU50" s="74"/>
      <c r="HV50" s="73">
        <f t="shared" si="221"/>
        <v>0</v>
      </c>
      <c r="HW50" s="65"/>
      <c r="HX50" s="74"/>
      <c r="HY50" s="73">
        <f t="shared" si="223"/>
        <v>0</v>
      </c>
      <c r="HZ50" s="65"/>
      <c r="IA50" s="74"/>
      <c r="IB50" s="73">
        <f t="shared" si="223"/>
        <v>0</v>
      </c>
      <c r="IC50" s="65"/>
      <c r="ID50" s="74"/>
      <c r="IE50" s="73">
        <f t="shared" si="223"/>
        <v>0</v>
      </c>
      <c r="IF50" s="65"/>
      <c r="IG50" s="74"/>
      <c r="IH50" s="73">
        <f t="shared" si="223"/>
        <v>0</v>
      </c>
      <c r="II50" s="65"/>
      <c r="IJ50" s="74"/>
      <c r="IK50" s="73">
        <f t="shared" si="223"/>
        <v>0</v>
      </c>
      <c r="IL50" s="65"/>
      <c r="IM50" s="74"/>
      <c r="IN50" s="73">
        <f t="shared" si="223"/>
        <v>0</v>
      </c>
      <c r="IO50" s="65"/>
      <c r="IP50" s="74"/>
      <c r="IQ50" s="73">
        <f t="shared" si="223"/>
        <v>0</v>
      </c>
      <c r="IR50" s="65"/>
      <c r="IS50" s="74"/>
      <c r="IT50" s="73">
        <f t="shared" si="223"/>
        <v>0</v>
      </c>
      <c r="IU50" s="65"/>
      <c r="IV50" s="74"/>
      <c r="IW50" s="73">
        <f t="shared" si="223"/>
        <v>0</v>
      </c>
      <c r="IX50" s="65"/>
      <c r="IY50" s="74"/>
      <c r="IZ50" s="73">
        <f t="shared" si="223"/>
        <v>0</v>
      </c>
      <c r="JA50" s="65"/>
      <c r="JB50" s="74"/>
      <c r="JC50" s="73">
        <f t="shared" si="223"/>
        <v>0</v>
      </c>
      <c r="JD50" s="65"/>
      <c r="JE50" s="74"/>
      <c r="JF50" s="73">
        <f t="shared" si="223"/>
        <v>0</v>
      </c>
      <c r="JG50" s="65"/>
      <c r="JH50" s="74"/>
      <c r="JI50" s="73">
        <f t="shared" si="223"/>
        <v>0</v>
      </c>
      <c r="JJ50" s="65"/>
      <c r="JK50" s="74"/>
      <c r="JL50" s="73">
        <f t="shared" si="223"/>
        <v>0</v>
      </c>
      <c r="JM50" s="65"/>
      <c r="JN50" s="74"/>
      <c r="JO50" s="73">
        <f t="shared" si="223"/>
        <v>0</v>
      </c>
      <c r="JP50" s="65"/>
      <c r="JQ50" s="74"/>
      <c r="JR50" s="73">
        <f t="shared" si="223"/>
        <v>0</v>
      </c>
      <c r="JS50" s="65"/>
      <c r="JT50" s="74"/>
      <c r="JU50" s="73">
        <f t="shared" si="223"/>
        <v>0</v>
      </c>
      <c r="JV50" s="65"/>
      <c r="JW50" s="74"/>
      <c r="JX50" s="73">
        <f t="shared" si="223"/>
        <v>0</v>
      </c>
      <c r="JY50" s="65"/>
      <c r="JZ50" s="74"/>
      <c r="KA50" s="73">
        <f t="shared" si="223"/>
        <v>0</v>
      </c>
      <c r="KB50" s="65"/>
      <c r="KC50" s="74"/>
      <c r="KD50" s="73">
        <f t="shared" si="223"/>
        <v>0</v>
      </c>
      <c r="KE50" s="65"/>
      <c r="KF50" s="74"/>
      <c r="KG50" s="73">
        <f t="shared" si="223"/>
        <v>0</v>
      </c>
      <c r="KH50" s="65"/>
      <c r="KI50" s="74"/>
      <c r="KJ50" s="73">
        <f t="shared" si="223"/>
        <v>0</v>
      </c>
      <c r="KK50" s="65"/>
      <c r="KL50" s="74"/>
      <c r="KM50" s="73">
        <f t="shared" si="218"/>
        <v>0</v>
      </c>
      <c r="KN50" s="65"/>
      <c r="KO50" s="74"/>
      <c r="KP50" s="73">
        <f t="shared" si="216"/>
        <v>0</v>
      </c>
      <c r="KQ50" s="65"/>
      <c r="KR50" s="74"/>
      <c r="KS50" s="73">
        <f t="shared" si="216"/>
        <v>0</v>
      </c>
      <c r="KT50" s="65"/>
      <c r="KU50" s="74"/>
      <c r="KV50" s="73">
        <f t="shared" si="216"/>
        <v>0</v>
      </c>
      <c r="KW50" s="65"/>
      <c r="KX50" s="74"/>
      <c r="KY50" s="73">
        <f t="shared" si="216"/>
        <v>0</v>
      </c>
      <c r="KZ50" s="65"/>
      <c r="LA50" s="74"/>
      <c r="LB50" s="73">
        <f t="shared" si="216"/>
        <v>0</v>
      </c>
      <c r="LC50" s="65"/>
      <c r="LD50" s="74"/>
      <c r="LE50" s="73">
        <f t="shared" si="216"/>
        <v>0</v>
      </c>
      <c r="LF50" s="65"/>
      <c r="LG50" s="65"/>
    </row>
    <row r="51" spans="1:319">
      <c r="A51" s="49"/>
      <c r="B51" s="49"/>
      <c r="C51" s="17"/>
      <c r="D51" s="17"/>
      <c r="E51" s="89"/>
      <c r="F51" s="445">
        <f t="shared" si="197"/>
        <v>20</v>
      </c>
      <c r="G51" s="445">
        <f ca="1">VLOOKUP(H51,Equipos!$Q$1:$R$25,2,0)</f>
        <v>14</v>
      </c>
      <c r="H51" s="446">
        <f ca="1">TRUNC(INDEX(WORLDCUP!$X$4:$X$147,MATCH(ADMIN!K51,WORLDCUP!$DT$4:$DT$147,0))+INDEX(Horarios!$R$3:$R$86,MATCH(Horarios!$C$3,Horarios!$P$3:$P$86,0))/24)</f>
        <v>46197</v>
      </c>
      <c r="I51" s="48">
        <v>1</v>
      </c>
      <c r="J51" s="95" t="s">
        <v>300</v>
      </c>
      <c r="K51" s="53" t="str">
        <f ca="1">CONCATENATE(WORLDCUP!AA87,"-",WORLDCUP!AF87)</f>
        <v>Colombia-DR Congo</v>
      </c>
      <c r="L51" s="53"/>
      <c r="M51" s="55" t="str">
        <f>IF(OR(WORLDCUP!AC87="",WORLDCUP!AD87=""),"-",N51&amp;"|"&amp;O51&amp;"-"&amp;P51)</f>
        <v>1|1-0</v>
      </c>
      <c r="N51" s="25" t="str">
        <f>IF(OR(WORLDCUP!AC87="",WORLDCUP!AD87=""),"",IF(WORLDCUP!AC87&gt;WORLDCUP!AD87,"1",IF(WORLDCUP!AC87&lt;WORLDCUP!AD87,"2","X")))</f>
        <v>1</v>
      </c>
      <c r="O51" s="25">
        <f>WORLDCUP!AC87</f>
        <v>1</v>
      </c>
      <c r="P51" s="25">
        <f>WORLDCUP!AD87</f>
        <v>0</v>
      </c>
      <c r="Q51" s="25">
        <f t="shared" si="201"/>
        <v>1</v>
      </c>
      <c r="R51" s="49"/>
      <c r="S51" s="74" t="s">
        <v>1954</v>
      </c>
      <c r="T51" s="73">
        <f t="shared" si="198"/>
        <v>12</v>
      </c>
      <c r="U51" s="65"/>
      <c r="V51" s="74" t="s">
        <v>1944</v>
      </c>
      <c r="W51" s="73">
        <f t="shared" si="219"/>
        <v>0</v>
      </c>
      <c r="X51" s="65"/>
      <c r="Y51" s="74" t="s">
        <v>1954</v>
      </c>
      <c r="Z51" s="73">
        <f t="shared" si="220"/>
        <v>12</v>
      </c>
      <c r="AA51" s="65"/>
      <c r="AB51" s="74" t="s">
        <v>1954</v>
      </c>
      <c r="AC51" s="73">
        <f t="shared" si="220"/>
        <v>12</v>
      </c>
      <c r="AD51" s="65"/>
      <c r="AE51" s="74" t="s">
        <v>1950</v>
      </c>
      <c r="AF51" s="73">
        <f t="shared" si="220"/>
        <v>10</v>
      </c>
      <c r="AG51" s="65"/>
      <c r="AH51" s="74" t="s">
        <v>1950</v>
      </c>
      <c r="AI51" s="73">
        <f t="shared" si="220"/>
        <v>10</v>
      </c>
      <c r="AJ51" s="65"/>
      <c r="AK51" s="74" t="s">
        <v>1954</v>
      </c>
      <c r="AL51" s="73">
        <f t="shared" si="220"/>
        <v>12</v>
      </c>
      <c r="AM51" s="65"/>
      <c r="AN51" s="74" t="s">
        <v>1944</v>
      </c>
      <c r="AO51" s="73">
        <f t="shared" si="220"/>
        <v>0</v>
      </c>
      <c r="AP51" s="65"/>
      <c r="AQ51" s="74" t="s">
        <v>1950</v>
      </c>
      <c r="AR51" s="73">
        <f t="shared" si="220"/>
        <v>10</v>
      </c>
      <c r="AS51" s="65"/>
      <c r="AT51" s="74" t="s">
        <v>1946</v>
      </c>
      <c r="AU51" s="73">
        <f t="shared" si="220"/>
        <v>0</v>
      </c>
      <c r="AV51" s="65"/>
      <c r="AW51" s="74" t="s">
        <v>1949</v>
      </c>
      <c r="AX51" s="73">
        <f t="shared" si="220"/>
        <v>10</v>
      </c>
      <c r="AY51" s="65"/>
      <c r="AZ51" s="74" t="s">
        <v>1950</v>
      </c>
      <c r="BA51" s="73">
        <f t="shared" si="220"/>
        <v>10</v>
      </c>
      <c r="BB51" s="65"/>
      <c r="BC51" s="74" t="s">
        <v>1949</v>
      </c>
      <c r="BD51" s="73">
        <f t="shared" si="220"/>
        <v>10</v>
      </c>
      <c r="BE51" s="65"/>
      <c r="BF51" s="74" t="s">
        <v>1959</v>
      </c>
      <c r="BG51" s="73">
        <f t="shared" si="220"/>
        <v>20</v>
      </c>
      <c r="BH51" s="65"/>
      <c r="BI51" s="74" t="s">
        <v>2369</v>
      </c>
      <c r="BJ51" s="73">
        <f t="shared" si="220"/>
        <v>0</v>
      </c>
      <c r="BK51" s="65"/>
      <c r="BL51" s="74" t="s">
        <v>1954</v>
      </c>
      <c r="BM51" s="73">
        <f t="shared" si="220"/>
        <v>12</v>
      </c>
      <c r="BN51" s="65"/>
      <c r="BO51" s="74" t="s">
        <v>1950</v>
      </c>
      <c r="BP51" s="73">
        <f t="shared" si="220"/>
        <v>10</v>
      </c>
      <c r="BQ51" s="65"/>
      <c r="BR51" s="74" t="s">
        <v>1954</v>
      </c>
      <c r="BS51" s="73">
        <f t="shared" si="220"/>
        <v>12</v>
      </c>
      <c r="BT51" s="65"/>
      <c r="BU51" s="74" t="s">
        <v>1954</v>
      </c>
      <c r="BV51" s="73">
        <f t="shared" si="220"/>
        <v>12</v>
      </c>
      <c r="BW51" s="65"/>
      <c r="BX51" s="74" t="s">
        <v>1959</v>
      </c>
      <c r="BY51" s="73">
        <f t="shared" si="220"/>
        <v>20</v>
      </c>
      <c r="BZ51" s="65"/>
      <c r="CA51" s="74" t="s">
        <v>1954</v>
      </c>
      <c r="CB51" s="73">
        <f t="shared" si="220"/>
        <v>12</v>
      </c>
      <c r="CC51" s="65"/>
      <c r="CD51" s="74" t="s">
        <v>1959</v>
      </c>
      <c r="CE51" s="73">
        <f t="shared" si="220"/>
        <v>20</v>
      </c>
      <c r="CF51" s="65"/>
      <c r="CG51" s="74" t="s">
        <v>1950</v>
      </c>
      <c r="CH51" s="73">
        <f t="shared" si="220"/>
        <v>10</v>
      </c>
      <c r="CI51" s="65"/>
      <c r="CJ51" s="74" t="s">
        <v>1957</v>
      </c>
      <c r="CK51" s="73">
        <f t="shared" si="217"/>
        <v>0</v>
      </c>
      <c r="CL51" s="65"/>
      <c r="CM51" s="74" t="s">
        <v>1950</v>
      </c>
      <c r="CN51" s="73">
        <f t="shared" si="217"/>
        <v>10</v>
      </c>
      <c r="CO51" s="65"/>
      <c r="CP51" s="74" t="s">
        <v>1950</v>
      </c>
      <c r="CQ51" s="73">
        <f t="shared" si="217"/>
        <v>10</v>
      </c>
      <c r="CR51" s="65"/>
      <c r="CS51" s="74" t="s">
        <v>1959</v>
      </c>
      <c r="CT51" s="73">
        <f t="shared" si="217"/>
        <v>20</v>
      </c>
      <c r="CU51" s="65"/>
      <c r="CV51" s="74" t="s">
        <v>1959</v>
      </c>
      <c r="CW51" s="73">
        <f t="shared" si="217"/>
        <v>20</v>
      </c>
      <c r="CX51" s="65"/>
      <c r="CY51" s="74" t="s">
        <v>1954</v>
      </c>
      <c r="CZ51" s="73">
        <f t="shared" si="217"/>
        <v>12</v>
      </c>
      <c r="DA51" s="65"/>
      <c r="DB51" s="74" t="s">
        <v>1949</v>
      </c>
      <c r="DC51" s="73">
        <f t="shared" si="217"/>
        <v>10</v>
      </c>
      <c r="DD51" s="65"/>
      <c r="DE51" s="74" t="s">
        <v>1949</v>
      </c>
      <c r="DF51" s="73">
        <f t="shared" si="217"/>
        <v>10</v>
      </c>
      <c r="DG51" s="65"/>
      <c r="DH51" s="74" t="s">
        <v>1952</v>
      </c>
      <c r="DI51" s="73">
        <f t="shared" si="217"/>
        <v>10</v>
      </c>
      <c r="DJ51" s="65"/>
      <c r="DK51" s="74" t="s">
        <v>1950</v>
      </c>
      <c r="DL51" s="73">
        <f t="shared" si="217"/>
        <v>10</v>
      </c>
      <c r="DM51" s="65"/>
      <c r="DN51" s="74" t="s">
        <v>1949</v>
      </c>
      <c r="DO51" s="73">
        <f t="shared" si="217"/>
        <v>10</v>
      </c>
      <c r="DP51" s="65"/>
      <c r="DQ51" s="74" t="s">
        <v>1959</v>
      </c>
      <c r="DR51" s="73">
        <f t="shared" si="217"/>
        <v>20</v>
      </c>
      <c r="DS51" s="65"/>
      <c r="DT51" s="74" t="s">
        <v>1950</v>
      </c>
      <c r="DU51" s="73">
        <f t="shared" si="217"/>
        <v>10</v>
      </c>
      <c r="DV51" s="65"/>
      <c r="DW51" s="74" t="s">
        <v>1949</v>
      </c>
      <c r="DX51" s="73">
        <f t="shared" si="222"/>
        <v>10</v>
      </c>
      <c r="DY51" s="65"/>
      <c r="DZ51" s="74" t="s">
        <v>1950</v>
      </c>
      <c r="EA51" s="73">
        <f t="shared" si="222"/>
        <v>10</v>
      </c>
      <c r="EB51" s="65"/>
      <c r="EC51" s="74" t="s">
        <v>1950</v>
      </c>
      <c r="ED51" s="73">
        <f t="shared" si="222"/>
        <v>10</v>
      </c>
      <c r="EE51" s="65"/>
      <c r="EF51" s="74" t="s">
        <v>1959</v>
      </c>
      <c r="EG51" s="73">
        <f t="shared" si="222"/>
        <v>20</v>
      </c>
      <c r="EH51" s="65"/>
      <c r="EI51" s="74" t="s">
        <v>1954</v>
      </c>
      <c r="EJ51" s="73">
        <f t="shared" si="222"/>
        <v>12</v>
      </c>
      <c r="EK51" s="65"/>
      <c r="EL51" s="74" t="s">
        <v>1954</v>
      </c>
      <c r="EM51" s="73">
        <f t="shared" si="222"/>
        <v>12</v>
      </c>
      <c r="EN51" s="65"/>
      <c r="EO51" s="74" t="s">
        <v>1950</v>
      </c>
      <c r="EP51" s="73">
        <f t="shared" si="222"/>
        <v>10</v>
      </c>
      <c r="EQ51" s="65"/>
      <c r="ER51" s="74" t="s">
        <v>1950</v>
      </c>
      <c r="ES51" s="73">
        <f t="shared" si="222"/>
        <v>10</v>
      </c>
      <c r="ET51" s="65"/>
      <c r="EU51" s="74" t="s">
        <v>1954</v>
      </c>
      <c r="EV51" s="73">
        <f t="shared" si="222"/>
        <v>12</v>
      </c>
      <c r="EW51" s="65"/>
      <c r="EX51" s="74" t="s">
        <v>1959</v>
      </c>
      <c r="EY51" s="73">
        <f t="shared" si="222"/>
        <v>20</v>
      </c>
      <c r="EZ51" s="65"/>
      <c r="FA51" s="74" t="s">
        <v>1954</v>
      </c>
      <c r="FB51" s="73">
        <f t="shared" si="222"/>
        <v>12</v>
      </c>
      <c r="FC51" s="65"/>
      <c r="FD51" s="74" t="s">
        <v>1959</v>
      </c>
      <c r="FE51" s="73">
        <f t="shared" si="222"/>
        <v>20</v>
      </c>
      <c r="FF51" s="65"/>
      <c r="FG51" s="74" t="s">
        <v>1950</v>
      </c>
      <c r="FH51" s="73">
        <f t="shared" si="222"/>
        <v>10</v>
      </c>
      <c r="FI51" s="65"/>
      <c r="FJ51" s="74" t="s">
        <v>1950</v>
      </c>
      <c r="FK51" s="73">
        <f t="shared" si="222"/>
        <v>10</v>
      </c>
      <c r="FL51" s="65"/>
      <c r="FM51" s="74" t="s">
        <v>1949</v>
      </c>
      <c r="FN51" s="73">
        <f t="shared" si="222"/>
        <v>10</v>
      </c>
      <c r="FO51" s="65"/>
      <c r="FP51" s="74" t="s">
        <v>1950</v>
      </c>
      <c r="FQ51" s="73">
        <f t="shared" si="222"/>
        <v>10</v>
      </c>
      <c r="FR51" s="65"/>
      <c r="FS51" s="74" t="s">
        <v>1954</v>
      </c>
      <c r="FT51" s="73">
        <f t="shared" si="222"/>
        <v>12</v>
      </c>
      <c r="FU51" s="65"/>
      <c r="FV51" s="74" t="s">
        <v>1950</v>
      </c>
      <c r="FW51" s="73">
        <f t="shared" si="222"/>
        <v>10</v>
      </c>
      <c r="FX51" s="65"/>
      <c r="FY51" s="74" t="s">
        <v>1950</v>
      </c>
      <c r="FZ51" s="73">
        <f t="shared" si="222"/>
        <v>10</v>
      </c>
      <c r="GA51" s="65"/>
      <c r="GB51" s="74" t="s">
        <v>1950</v>
      </c>
      <c r="GC51" s="73">
        <f t="shared" si="222"/>
        <v>10</v>
      </c>
      <c r="GD51" s="65"/>
      <c r="GE51" s="74" t="s">
        <v>1944</v>
      </c>
      <c r="GF51" s="73">
        <f t="shared" si="222"/>
        <v>0</v>
      </c>
      <c r="GG51" s="65"/>
      <c r="GH51" s="74" t="s">
        <v>1959</v>
      </c>
      <c r="GI51" s="73">
        <f t="shared" si="222"/>
        <v>20</v>
      </c>
      <c r="GJ51" s="65"/>
      <c r="GK51" s="74" t="s">
        <v>1954</v>
      </c>
      <c r="GL51" s="73">
        <f t="shared" si="221"/>
        <v>12</v>
      </c>
      <c r="GM51" s="65"/>
      <c r="GN51" s="74"/>
      <c r="GO51" s="73">
        <f t="shared" si="221"/>
        <v>0</v>
      </c>
      <c r="GP51" s="65"/>
      <c r="GQ51" s="74"/>
      <c r="GR51" s="73">
        <f t="shared" si="221"/>
        <v>0</v>
      </c>
      <c r="GS51" s="65"/>
      <c r="GT51" s="74"/>
      <c r="GU51" s="73">
        <f t="shared" si="221"/>
        <v>0</v>
      </c>
      <c r="GV51" s="65"/>
      <c r="GW51" s="74"/>
      <c r="GX51" s="73">
        <f t="shared" si="221"/>
        <v>0</v>
      </c>
      <c r="GY51" s="65"/>
      <c r="GZ51" s="74"/>
      <c r="HA51" s="73">
        <f t="shared" si="221"/>
        <v>0</v>
      </c>
      <c r="HB51" s="65"/>
      <c r="HC51" s="74"/>
      <c r="HD51" s="73">
        <f t="shared" si="221"/>
        <v>0</v>
      </c>
      <c r="HE51" s="65"/>
      <c r="HF51" s="74"/>
      <c r="HG51" s="73">
        <f t="shared" si="221"/>
        <v>0</v>
      </c>
      <c r="HH51" s="65"/>
      <c r="HI51" s="74"/>
      <c r="HJ51" s="73">
        <f t="shared" si="221"/>
        <v>0</v>
      </c>
      <c r="HK51" s="65"/>
      <c r="HL51" s="74"/>
      <c r="HM51" s="73">
        <f t="shared" si="221"/>
        <v>0</v>
      </c>
      <c r="HN51" s="65"/>
      <c r="HO51" s="74"/>
      <c r="HP51" s="73">
        <f t="shared" si="221"/>
        <v>0</v>
      </c>
      <c r="HQ51" s="65"/>
      <c r="HR51" s="74"/>
      <c r="HS51" s="73">
        <f t="shared" si="221"/>
        <v>0</v>
      </c>
      <c r="HT51" s="65"/>
      <c r="HU51" s="74"/>
      <c r="HV51" s="73">
        <f t="shared" si="221"/>
        <v>0</v>
      </c>
      <c r="HW51" s="65"/>
      <c r="HX51" s="74"/>
      <c r="HY51" s="73">
        <f t="shared" si="223"/>
        <v>0</v>
      </c>
      <c r="HZ51" s="65"/>
      <c r="IA51" s="74"/>
      <c r="IB51" s="73">
        <f t="shared" si="223"/>
        <v>0</v>
      </c>
      <c r="IC51" s="65"/>
      <c r="ID51" s="74"/>
      <c r="IE51" s="73">
        <f t="shared" si="223"/>
        <v>0</v>
      </c>
      <c r="IF51" s="65"/>
      <c r="IG51" s="74"/>
      <c r="IH51" s="73">
        <f t="shared" si="223"/>
        <v>0</v>
      </c>
      <c r="II51" s="65"/>
      <c r="IJ51" s="74"/>
      <c r="IK51" s="73">
        <f t="shared" si="223"/>
        <v>0</v>
      </c>
      <c r="IL51" s="65"/>
      <c r="IM51" s="74"/>
      <c r="IN51" s="73">
        <f t="shared" si="223"/>
        <v>0</v>
      </c>
      <c r="IO51" s="65"/>
      <c r="IP51" s="74"/>
      <c r="IQ51" s="73">
        <f t="shared" si="223"/>
        <v>0</v>
      </c>
      <c r="IR51" s="65"/>
      <c r="IS51" s="74"/>
      <c r="IT51" s="73">
        <f t="shared" si="223"/>
        <v>0</v>
      </c>
      <c r="IU51" s="65"/>
      <c r="IV51" s="74"/>
      <c r="IW51" s="73">
        <f t="shared" si="223"/>
        <v>0</v>
      </c>
      <c r="IX51" s="65"/>
      <c r="IY51" s="74"/>
      <c r="IZ51" s="73">
        <f t="shared" si="223"/>
        <v>0</v>
      </c>
      <c r="JA51" s="65"/>
      <c r="JB51" s="74"/>
      <c r="JC51" s="73">
        <f t="shared" si="223"/>
        <v>0</v>
      </c>
      <c r="JD51" s="65"/>
      <c r="JE51" s="74"/>
      <c r="JF51" s="73">
        <f t="shared" si="223"/>
        <v>0</v>
      </c>
      <c r="JG51" s="65"/>
      <c r="JH51" s="74"/>
      <c r="JI51" s="73">
        <f t="shared" si="223"/>
        <v>0</v>
      </c>
      <c r="JJ51" s="65"/>
      <c r="JK51" s="74"/>
      <c r="JL51" s="73">
        <f t="shared" si="223"/>
        <v>0</v>
      </c>
      <c r="JM51" s="65"/>
      <c r="JN51" s="74"/>
      <c r="JO51" s="73">
        <f t="shared" si="223"/>
        <v>0</v>
      </c>
      <c r="JP51" s="65"/>
      <c r="JQ51" s="74"/>
      <c r="JR51" s="73">
        <f t="shared" si="223"/>
        <v>0</v>
      </c>
      <c r="JS51" s="65"/>
      <c r="JT51" s="74"/>
      <c r="JU51" s="73">
        <f t="shared" si="223"/>
        <v>0</v>
      </c>
      <c r="JV51" s="65"/>
      <c r="JW51" s="74"/>
      <c r="JX51" s="73">
        <f t="shared" si="223"/>
        <v>0</v>
      </c>
      <c r="JY51" s="65"/>
      <c r="JZ51" s="74"/>
      <c r="KA51" s="73">
        <f t="shared" si="223"/>
        <v>0</v>
      </c>
      <c r="KB51" s="65"/>
      <c r="KC51" s="74"/>
      <c r="KD51" s="73">
        <f t="shared" si="223"/>
        <v>0</v>
      </c>
      <c r="KE51" s="65"/>
      <c r="KF51" s="74"/>
      <c r="KG51" s="73">
        <f t="shared" si="223"/>
        <v>0</v>
      </c>
      <c r="KH51" s="65"/>
      <c r="KI51" s="74"/>
      <c r="KJ51" s="73">
        <f t="shared" si="223"/>
        <v>0</v>
      </c>
      <c r="KK51" s="65"/>
      <c r="KL51" s="74"/>
      <c r="KM51" s="73">
        <f t="shared" si="218"/>
        <v>0</v>
      </c>
      <c r="KN51" s="65"/>
      <c r="KO51" s="74"/>
      <c r="KP51" s="73">
        <f t="shared" si="216"/>
        <v>0</v>
      </c>
      <c r="KQ51" s="65"/>
      <c r="KR51" s="74"/>
      <c r="KS51" s="73">
        <f t="shared" si="216"/>
        <v>0</v>
      </c>
      <c r="KT51" s="65"/>
      <c r="KU51" s="74"/>
      <c r="KV51" s="73">
        <f t="shared" si="216"/>
        <v>0</v>
      </c>
      <c r="KW51" s="65"/>
      <c r="KX51" s="74"/>
      <c r="KY51" s="73">
        <f t="shared" si="216"/>
        <v>0</v>
      </c>
      <c r="KZ51" s="65"/>
      <c r="LA51" s="74"/>
      <c r="LB51" s="73">
        <f t="shared" si="216"/>
        <v>0</v>
      </c>
      <c r="LC51" s="65"/>
      <c r="LD51" s="74"/>
      <c r="LE51" s="73">
        <f t="shared" si="216"/>
        <v>0</v>
      </c>
      <c r="LF51" s="65"/>
      <c r="LG51" s="65"/>
    </row>
    <row r="52" spans="1:319">
      <c r="A52" s="49"/>
      <c r="B52" s="49"/>
      <c r="C52" s="17"/>
      <c r="D52" s="17"/>
      <c r="E52" s="89"/>
      <c r="F52" s="445">
        <f t="shared" si="197"/>
        <v>20</v>
      </c>
      <c r="G52" s="445">
        <f ca="1">VLOOKUP(H52,Equipos!$Q$1:$R$25,2,0)</f>
        <v>14</v>
      </c>
      <c r="H52" s="446">
        <f ca="1">TRUNC(INDEX(WORLDCUP!$X$4:$X$147,MATCH(ADMIN!K52,WORLDCUP!$DT$4:$DT$147,0))+INDEX(Horarios!$R$3:$R$86,MATCH(Horarios!$C$3,Horarios!$P$3:$P$86,0))/24)</f>
        <v>46197</v>
      </c>
      <c r="I52" s="48">
        <v>1</v>
      </c>
      <c r="J52" s="96" t="s">
        <v>1197</v>
      </c>
      <c r="K52" s="56" t="str">
        <f ca="1">CONCATENATE(WORLDCUP!AA94,"-",WORLDCUP!AF94)</f>
        <v>England-Ghana</v>
      </c>
      <c r="L52" s="53"/>
      <c r="M52" s="55" t="str">
        <f>IF(OR(WORLDCUP!AC94="",WORLDCUP!AD94=""),"-",N52&amp;"|"&amp;O52&amp;"-"&amp;P52)</f>
        <v>X|0-0</v>
      </c>
      <c r="N52" s="25" t="str">
        <f>IF(OR(WORLDCUP!AC94="",WORLDCUP!AD94=""),"",IF(WORLDCUP!AC94&gt;WORLDCUP!AD94,"1",IF(WORLDCUP!AC94&lt;WORLDCUP!AD94,"2","X")))</f>
        <v>X</v>
      </c>
      <c r="O52" s="25">
        <f>WORLDCUP!AC94</f>
        <v>0</v>
      </c>
      <c r="P52" s="25">
        <f>WORLDCUP!AD94</f>
        <v>0</v>
      </c>
      <c r="Q52" s="25">
        <f t="shared" si="201"/>
        <v>0</v>
      </c>
      <c r="R52" s="49"/>
      <c r="S52" s="74" t="s">
        <v>1958</v>
      </c>
      <c r="T52" s="73">
        <f t="shared" si="198"/>
        <v>0</v>
      </c>
      <c r="U52" s="65"/>
      <c r="V52" s="74" t="s">
        <v>1959</v>
      </c>
      <c r="W52" s="73">
        <f t="shared" si="219"/>
        <v>0</v>
      </c>
      <c r="X52" s="65"/>
      <c r="Y52" s="74" t="s">
        <v>1950</v>
      </c>
      <c r="Z52" s="73">
        <f t="shared" si="220"/>
        <v>0</v>
      </c>
      <c r="AA52" s="65"/>
      <c r="AB52" s="74" t="s">
        <v>1950</v>
      </c>
      <c r="AC52" s="73">
        <f t="shared" si="220"/>
        <v>0</v>
      </c>
      <c r="AD52" s="65"/>
      <c r="AE52" s="74" t="s">
        <v>1950</v>
      </c>
      <c r="AF52" s="73">
        <f t="shared" si="220"/>
        <v>0</v>
      </c>
      <c r="AG52" s="65"/>
      <c r="AH52" s="74" t="s">
        <v>1950</v>
      </c>
      <c r="AI52" s="73">
        <f t="shared" si="220"/>
        <v>0</v>
      </c>
      <c r="AJ52" s="65"/>
      <c r="AK52" s="74" t="s">
        <v>1958</v>
      </c>
      <c r="AL52" s="73">
        <f t="shared" si="220"/>
        <v>0</v>
      </c>
      <c r="AM52" s="65"/>
      <c r="AN52" s="74" t="s">
        <v>1953</v>
      </c>
      <c r="AO52" s="73">
        <f t="shared" si="220"/>
        <v>0</v>
      </c>
      <c r="AP52" s="65"/>
      <c r="AQ52" s="74" t="s">
        <v>1959</v>
      </c>
      <c r="AR52" s="73">
        <f t="shared" si="220"/>
        <v>0</v>
      </c>
      <c r="AS52" s="65"/>
      <c r="AT52" s="74" t="s">
        <v>1957</v>
      </c>
      <c r="AU52" s="73">
        <f t="shared" si="220"/>
        <v>12</v>
      </c>
      <c r="AV52" s="65"/>
      <c r="AW52" s="74" t="s">
        <v>1954</v>
      </c>
      <c r="AX52" s="73">
        <f t="shared" si="220"/>
        <v>0</v>
      </c>
      <c r="AY52" s="65"/>
      <c r="AZ52" s="74" t="s">
        <v>1958</v>
      </c>
      <c r="BA52" s="73">
        <f t="shared" si="220"/>
        <v>0</v>
      </c>
      <c r="BB52" s="65"/>
      <c r="BC52" s="74" t="s">
        <v>1954</v>
      </c>
      <c r="BD52" s="73">
        <f t="shared" si="220"/>
        <v>0</v>
      </c>
      <c r="BE52" s="65"/>
      <c r="BF52" s="74" t="s">
        <v>1959</v>
      </c>
      <c r="BG52" s="73">
        <f t="shared" si="220"/>
        <v>0</v>
      </c>
      <c r="BH52" s="65"/>
      <c r="BI52" s="74" t="s">
        <v>1949</v>
      </c>
      <c r="BJ52" s="73">
        <f t="shared" si="220"/>
        <v>0</v>
      </c>
      <c r="BK52" s="65"/>
      <c r="BL52" s="74" t="s">
        <v>1950</v>
      </c>
      <c r="BM52" s="73">
        <f t="shared" si="220"/>
        <v>0</v>
      </c>
      <c r="BN52" s="65"/>
      <c r="BO52" s="74" t="s">
        <v>1950</v>
      </c>
      <c r="BP52" s="73">
        <f t="shared" si="220"/>
        <v>0</v>
      </c>
      <c r="BQ52" s="65"/>
      <c r="BR52" s="74" t="s">
        <v>1958</v>
      </c>
      <c r="BS52" s="73">
        <f t="shared" si="220"/>
        <v>0</v>
      </c>
      <c r="BT52" s="65"/>
      <c r="BU52" s="74" t="s">
        <v>1950</v>
      </c>
      <c r="BV52" s="73">
        <f t="shared" si="220"/>
        <v>0</v>
      </c>
      <c r="BW52" s="65"/>
      <c r="BX52" s="74" t="s">
        <v>1950</v>
      </c>
      <c r="BY52" s="73">
        <f t="shared" si="220"/>
        <v>0</v>
      </c>
      <c r="BZ52" s="65"/>
      <c r="CA52" s="74" t="s">
        <v>1954</v>
      </c>
      <c r="CB52" s="73">
        <f t="shared" si="220"/>
        <v>0</v>
      </c>
      <c r="CC52" s="65"/>
      <c r="CD52" s="74" t="s">
        <v>1954</v>
      </c>
      <c r="CE52" s="73">
        <f t="shared" si="220"/>
        <v>0</v>
      </c>
      <c r="CF52" s="65"/>
      <c r="CG52" s="74" t="s">
        <v>1950</v>
      </c>
      <c r="CH52" s="73">
        <f t="shared" si="220"/>
        <v>0</v>
      </c>
      <c r="CI52" s="65"/>
      <c r="CJ52" s="74" t="s">
        <v>1943</v>
      </c>
      <c r="CK52" s="73">
        <f t="shared" si="217"/>
        <v>0</v>
      </c>
      <c r="CL52" s="65"/>
      <c r="CM52" s="74" t="s">
        <v>1958</v>
      </c>
      <c r="CN52" s="73">
        <f t="shared" si="217"/>
        <v>0</v>
      </c>
      <c r="CO52" s="65"/>
      <c r="CP52" s="74" t="s">
        <v>1950</v>
      </c>
      <c r="CQ52" s="73">
        <f t="shared" si="217"/>
        <v>0</v>
      </c>
      <c r="CR52" s="65"/>
      <c r="CS52" s="74" t="s">
        <v>1950</v>
      </c>
      <c r="CT52" s="73">
        <f t="shared" si="217"/>
        <v>0</v>
      </c>
      <c r="CU52" s="65"/>
      <c r="CV52" s="74" t="s">
        <v>1949</v>
      </c>
      <c r="CW52" s="73">
        <f t="shared" si="217"/>
        <v>0</v>
      </c>
      <c r="CX52" s="65"/>
      <c r="CY52" s="74" t="s">
        <v>1944</v>
      </c>
      <c r="CZ52" s="73">
        <f t="shared" si="217"/>
        <v>12</v>
      </c>
      <c r="DA52" s="65"/>
      <c r="DB52" s="74" t="s">
        <v>1947</v>
      </c>
      <c r="DC52" s="73">
        <f t="shared" si="217"/>
        <v>0</v>
      </c>
      <c r="DD52" s="65"/>
      <c r="DE52" s="74" t="s">
        <v>1949</v>
      </c>
      <c r="DF52" s="73">
        <f t="shared" si="217"/>
        <v>0</v>
      </c>
      <c r="DG52" s="65"/>
      <c r="DH52" s="74" t="s">
        <v>1944</v>
      </c>
      <c r="DI52" s="73">
        <f t="shared" si="217"/>
        <v>12</v>
      </c>
      <c r="DJ52" s="65"/>
      <c r="DK52" s="74" t="s">
        <v>1949</v>
      </c>
      <c r="DL52" s="73">
        <f t="shared" si="217"/>
        <v>0</v>
      </c>
      <c r="DM52" s="65"/>
      <c r="DN52" s="74" t="s">
        <v>1958</v>
      </c>
      <c r="DO52" s="73">
        <f t="shared" si="217"/>
        <v>0</v>
      </c>
      <c r="DP52" s="65"/>
      <c r="DQ52" s="74" t="s">
        <v>1957</v>
      </c>
      <c r="DR52" s="73">
        <f t="shared" si="217"/>
        <v>12</v>
      </c>
      <c r="DS52" s="65"/>
      <c r="DT52" s="74" t="s">
        <v>1950</v>
      </c>
      <c r="DU52" s="73">
        <f t="shared" si="217"/>
        <v>0</v>
      </c>
      <c r="DV52" s="65"/>
      <c r="DW52" s="74" t="s">
        <v>1949</v>
      </c>
      <c r="DX52" s="73">
        <f t="shared" si="222"/>
        <v>0</v>
      </c>
      <c r="DY52" s="65"/>
      <c r="DZ52" s="74" t="s">
        <v>1950</v>
      </c>
      <c r="EA52" s="73">
        <f t="shared" si="222"/>
        <v>0</v>
      </c>
      <c r="EB52" s="65"/>
      <c r="EC52" s="74" t="s">
        <v>1950</v>
      </c>
      <c r="ED52" s="73">
        <f t="shared" si="222"/>
        <v>0</v>
      </c>
      <c r="EE52" s="65"/>
      <c r="EF52" s="74" t="s">
        <v>1944</v>
      </c>
      <c r="EG52" s="73">
        <f t="shared" si="222"/>
        <v>12</v>
      </c>
      <c r="EH52" s="65"/>
      <c r="EI52" s="74" t="s">
        <v>1958</v>
      </c>
      <c r="EJ52" s="73">
        <f t="shared" si="222"/>
        <v>0</v>
      </c>
      <c r="EK52" s="65"/>
      <c r="EL52" s="74" t="s">
        <v>1950</v>
      </c>
      <c r="EM52" s="73">
        <f t="shared" si="222"/>
        <v>0</v>
      </c>
      <c r="EN52" s="65"/>
      <c r="EO52" s="74" t="s">
        <v>1959</v>
      </c>
      <c r="EP52" s="73">
        <f t="shared" si="222"/>
        <v>0</v>
      </c>
      <c r="EQ52" s="65"/>
      <c r="ER52" s="74" t="s">
        <v>1958</v>
      </c>
      <c r="ES52" s="73">
        <f t="shared" si="222"/>
        <v>0</v>
      </c>
      <c r="ET52" s="65"/>
      <c r="EU52" s="74" t="s">
        <v>1954</v>
      </c>
      <c r="EV52" s="73">
        <f t="shared" si="222"/>
        <v>0</v>
      </c>
      <c r="EW52" s="65"/>
      <c r="EX52" s="74" t="s">
        <v>1950</v>
      </c>
      <c r="EY52" s="73">
        <f t="shared" si="222"/>
        <v>0</v>
      </c>
      <c r="EZ52" s="65"/>
      <c r="FA52" s="74" t="s">
        <v>1954</v>
      </c>
      <c r="FB52" s="73">
        <f t="shared" si="222"/>
        <v>0</v>
      </c>
      <c r="FC52" s="65"/>
      <c r="FD52" s="74" t="s">
        <v>1958</v>
      </c>
      <c r="FE52" s="73">
        <f t="shared" si="222"/>
        <v>0</v>
      </c>
      <c r="FF52" s="65"/>
      <c r="FG52" s="74" t="s">
        <v>1945</v>
      </c>
      <c r="FH52" s="73">
        <f t="shared" si="222"/>
        <v>0</v>
      </c>
      <c r="FI52" s="65"/>
      <c r="FJ52" s="74" t="s">
        <v>1954</v>
      </c>
      <c r="FK52" s="73">
        <f t="shared" si="222"/>
        <v>0</v>
      </c>
      <c r="FL52" s="65"/>
      <c r="FM52" s="74" t="s">
        <v>1958</v>
      </c>
      <c r="FN52" s="73">
        <f t="shared" si="222"/>
        <v>0</v>
      </c>
      <c r="FO52" s="65"/>
      <c r="FP52" s="74" t="s">
        <v>1950</v>
      </c>
      <c r="FQ52" s="73">
        <f t="shared" si="222"/>
        <v>0</v>
      </c>
      <c r="FR52" s="65"/>
      <c r="FS52" s="74" t="s">
        <v>1950</v>
      </c>
      <c r="FT52" s="73">
        <f t="shared" si="222"/>
        <v>0</v>
      </c>
      <c r="FU52" s="65"/>
      <c r="FV52" s="74" t="s">
        <v>1950</v>
      </c>
      <c r="FW52" s="73">
        <f t="shared" si="222"/>
        <v>0</v>
      </c>
      <c r="FX52" s="65"/>
      <c r="FY52" s="74" t="s">
        <v>1944</v>
      </c>
      <c r="FZ52" s="73">
        <f t="shared" si="222"/>
        <v>12</v>
      </c>
      <c r="GA52" s="65"/>
      <c r="GB52" s="74" t="s">
        <v>1954</v>
      </c>
      <c r="GC52" s="73">
        <f t="shared" si="222"/>
        <v>0</v>
      </c>
      <c r="GD52" s="65"/>
      <c r="GE52" s="74" t="s">
        <v>1949</v>
      </c>
      <c r="GF52" s="73">
        <f t="shared" si="222"/>
        <v>0</v>
      </c>
      <c r="GG52" s="65"/>
      <c r="GH52" s="74" t="s">
        <v>1954</v>
      </c>
      <c r="GI52" s="73">
        <f t="shared" si="222"/>
        <v>0</v>
      </c>
      <c r="GJ52" s="65"/>
      <c r="GK52" s="74" t="s">
        <v>1949</v>
      </c>
      <c r="GL52" s="73">
        <f t="shared" si="221"/>
        <v>0</v>
      </c>
      <c r="GM52" s="65"/>
      <c r="GN52" s="74"/>
      <c r="GO52" s="73">
        <f t="shared" si="221"/>
        <v>0</v>
      </c>
      <c r="GP52" s="65"/>
      <c r="GQ52" s="74"/>
      <c r="GR52" s="73">
        <f t="shared" si="221"/>
        <v>0</v>
      </c>
      <c r="GS52" s="65"/>
      <c r="GT52" s="74"/>
      <c r="GU52" s="73">
        <f t="shared" si="221"/>
        <v>0</v>
      </c>
      <c r="GV52" s="65"/>
      <c r="GW52" s="74"/>
      <c r="GX52" s="73">
        <f t="shared" si="221"/>
        <v>0</v>
      </c>
      <c r="GY52" s="65"/>
      <c r="GZ52" s="74"/>
      <c r="HA52" s="73">
        <f t="shared" si="221"/>
        <v>0</v>
      </c>
      <c r="HB52" s="65"/>
      <c r="HC52" s="74"/>
      <c r="HD52" s="73">
        <f t="shared" si="221"/>
        <v>0</v>
      </c>
      <c r="HE52" s="65"/>
      <c r="HF52" s="74"/>
      <c r="HG52" s="73">
        <f t="shared" si="221"/>
        <v>0</v>
      </c>
      <c r="HH52" s="65"/>
      <c r="HI52" s="74"/>
      <c r="HJ52" s="73">
        <f t="shared" si="221"/>
        <v>0</v>
      </c>
      <c r="HK52" s="65"/>
      <c r="HL52" s="74"/>
      <c r="HM52" s="73">
        <f t="shared" si="221"/>
        <v>0</v>
      </c>
      <c r="HN52" s="65"/>
      <c r="HO52" s="74"/>
      <c r="HP52" s="73">
        <f t="shared" si="221"/>
        <v>0</v>
      </c>
      <c r="HQ52" s="65"/>
      <c r="HR52" s="74"/>
      <c r="HS52" s="73">
        <f t="shared" si="221"/>
        <v>0</v>
      </c>
      <c r="HT52" s="65"/>
      <c r="HU52" s="74"/>
      <c r="HV52" s="73">
        <f t="shared" si="221"/>
        <v>0</v>
      </c>
      <c r="HW52" s="65"/>
      <c r="HX52" s="74"/>
      <c r="HY52" s="73">
        <f t="shared" si="223"/>
        <v>0</v>
      </c>
      <c r="HZ52" s="65"/>
      <c r="IA52" s="74"/>
      <c r="IB52" s="73">
        <f t="shared" si="223"/>
        <v>0</v>
      </c>
      <c r="IC52" s="65"/>
      <c r="ID52" s="74"/>
      <c r="IE52" s="73">
        <f t="shared" si="223"/>
        <v>0</v>
      </c>
      <c r="IF52" s="65"/>
      <c r="IG52" s="74"/>
      <c r="IH52" s="73">
        <f t="shared" si="223"/>
        <v>0</v>
      </c>
      <c r="II52" s="65"/>
      <c r="IJ52" s="74"/>
      <c r="IK52" s="73">
        <f t="shared" si="223"/>
        <v>0</v>
      </c>
      <c r="IL52" s="65"/>
      <c r="IM52" s="74"/>
      <c r="IN52" s="73">
        <f t="shared" si="223"/>
        <v>0</v>
      </c>
      <c r="IO52" s="65"/>
      <c r="IP52" s="74"/>
      <c r="IQ52" s="73">
        <f t="shared" si="223"/>
        <v>0</v>
      </c>
      <c r="IR52" s="65"/>
      <c r="IS52" s="74"/>
      <c r="IT52" s="73">
        <f t="shared" si="223"/>
        <v>0</v>
      </c>
      <c r="IU52" s="65"/>
      <c r="IV52" s="74"/>
      <c r="IW52" s="73">
        <f t="shared" si="223"/>
        <v>0</v>
      </c>
      <c r="IX52" s="65"/>
      <c r="IY52" s="74"/>
      <c r="IZ52" s="73">
        <f t="shared" si="223"/>
        <v>0</v>
      </c>
      <c r="JA52" s="65"/>
      <c r="JB52" s="74"/>
      <c r="JC52" s="73">
        <f t="shared" si="223"/>
        <v>0</v>
      </c>
      <c r="JD52" s="65"/>
      <c r="JE52" s="74"/>
      <c r="JF52" s="73">
        <f t="shared" si="223"/>
        <v>0</v>
      </c>
      <c r="JG52" s="65"/>
      <c r="JH52" s="74"/>
      <c r="JI52" s="73">
        <f t="shared" si="223"/>
        <v>0</v>
      </c>
      <c r="JJ52" s="65"/>
      <c r="JK52" s="74"/>
      <c r="JL52" s="73">
        <f t="shared" si="223"/>
        <v>0</v>
      </c>
      <c r="JM52" s="65"/>
      <c r="JN52" s="74"/>
      <c r="JO52" s="73">
        <f t="shared" si="223"/>
        <v>0</v>
      </c>
      <c r="JP52" s="65"/>
      <c r="JQ52" s="74"/>
      <c r="JR52" s="73">
        <f t="shared" si="223"/>
        <v>0</v>
      </c>
      <c r="JS52" s="65"/>
      <c r="JT52" s="74"/>
      <c r="JU52" s="73">
        <f t="shared" si="223"/>
        <v>0</v>
      </c>
      <c r="JV52" s="65"/>
      <c r="JW52" s="74"/>
      <c r="JX52" s="73">
        <f t="shared" si="223"/>
        <v>0</v>
      </c>
      <c r="JY52" s="65"/>
      <c r="JZ52" s="74"/>
      <c r="KA52" s="73">
        <f t="shared" si="223"/>
        <v>0</v>
      </c>
      <c r="KB52" s="65"/>
      <c r="KC52" s="74"/>
      <c r="KD52" s="73">
        <f t="shared" si="223"/>
        <v>0</v>
      </c>
      <c r="KE52" s="65"/>
      <c r="KF52" s="74"/>
      <c r="KG52" s="73">
        <f t="shared" si="223"/>
        <v>0</v>
      </c>
      <c r="KH52" s="65"/>
      <c r="KI52" s="74"/>
      <c r="KJ52" s="73">
        <f t="shared" si="223"/>
        <v>0</v>
      </c>
      <c r="KK52" s="65"/>
      <c r="KL52" s="74"/>
      <c r="KM52" s="73">
        <f t="shared" si="218"/>
        <v>0</v>
      </c>
      <c r="KN52" s="65"/>
      <c r="KO52" s="74"/>
      <c r="KP52" s="73">
        <f t="shared" si="216"/>
        <v>0</v>
      </c>
      <c r="KQ52" s="65"/>
      <c r="KR52" s="74"/>
      <c r="KS52" s="73">
        <f t="shared" si="216"/>
        <v>0</v>
      </c>
      <c r="KT52" s="65"/>
      <c r="KU52" s="74"/>
      <c r="KV52" s="73">
        <f t="shared" si="216"/>
        <v>0</v>
      </c>
      <c r="KW52" s="65"/>
      <c r="KX52" s="74"/>
      <c r="KY52" s="73">
        <f t="shared" si="216"/>
        <v>0</v>
      </c>
      <c r="KZ52" s="65"/>
      <c r="LA52" s="74"/>
      <c r="LB52" s="73">
        <f t="shared" si="216"/>
        <v>0</v>
      </c>
      <c r="LC52" s="65"/>
      <c r="LD52" s="74"/>
      <c r="LE52" s="73">
        <f t="shared" si="216"/>
        <v>0</v>
      </c>
      <c r="LF52" s="65"/>
      <c r="LG52" s="65"/>
    </row>
    <row r="53" spans="1:319">
      <c r="A53" s="49"/>
      <c r="B53" s="49"/>
      <c r="C53" s="17"/>
      <c r="D53" s="203"/>
      <c r="E53" s="89"/>
      <c r="F53" s="445">
        <f t="shared" si="197"/>
        <v>20</v>
      </c>
      <c r="G53" s="445">
        <f ca="1">VLOOKUP(H53,Equipos!$Q$1:$R$25,2,0)</f>
        <v>14</v>
      </c>
      <c r="H53" s="446">
        <f ca="1">TRUNC(INDEX(WORLDCUP!$X$4:$X$147,MATCH(ADMIN!K53,WORLDCUP!$DT$4:$DT$147,0))+INDEX(Horarios!$R$3:$R$86,MATCH(Horarios!$C$3,Horarios!$P$3:$P$86,0))/24)</f>
        <v>46197</v>
      </c>
      <c r="I53" s="48">
        <v>1</v>
      </c>
      <c r="J53" s="96" t="s">
        <v>1197</v>
      </c>
      <c r="K53" s="57" t="str">
        <f ca="1">CONCATENATE(WORLDCUP!AA95,"-",WORLDCUP!AF95)</f>
        <v>Panama-Croatia</v>
      </c>
      <c r="L53" s="58"/>
      <c r="M53" s="59" t="str">
        <f>IF(OR(WORLDCUP!AC95="",WORLDCUP!AD95=""),"-",N53&amp;"|"&amp;O53&amp;"-"&amp;P53)</f>
        <v>2|0-1</v>
      </c>
      <c r="N53" s="25" t="str">
        <f>IF(OR(WORLDCUP!AC95="",WORLDCUP!AD95=""),"",IF(WORLDCUP!AC95&gt;WORLDCUP!AD95,"1",IF(WORLDCUP!AC95&lt;WORLDCUP!AD95,"2","X")))</f>
        <v>2</v>
      </c>
      <c r="O53" s="25">
        <f>WORLDCUP!AC95</f>
        <v>0</v>
      </c>
      <c r="P53" s="25">
        <f>WORLDCUP!AD95</f>
        <v>1</v>
      </c>
      <c r="Q53" s="25">
        <f t="shared" si="201"/>
        <v>1</v>
      </c>
      <c r="R53" s="49"/>
      <c r="S53" s="78" t="s">
        <v>1954</v>
      </c>
      <c r="T53" s="79">
        <f t="shared" si="198"/>
        <v>0</v>
      </c>
      <c r="U53" s="65"/>
      <c r="V53" s="78" t="s">
        <v>1948</v>
      </c>
      <c r="W53" s="79">
        <f t="shared" si="219"/>
        <v>10</v>
      </c>
      <c r="X53" s="65"/>
      <c r="Y53" s="78" t="s">
        <v>1960</v>
      </c>
      <c r="Z53" s="79">
        <f t="shared" si="220"/>
        <v>10</v>
      </c>
      <c r="AA53" s="65"/>
      <c r="AB53" s="78" t="s">
        <v>1948</v>
      </c>
      <c r="AC53" s="79">
        <f t="shared" si="220"/>
        <v>10</v>
      </c>
      <c r="AD53" s="65"/>
      <c r="AE53" s="78" t="s">
        <v>2000</v>
      </c>
      <c r="AF53" s="79">
        <f t="shared" si="220"/>
        <v>20</v>
      </c>
      <c r="AG53" s="65"/>
      <c r="AH53" s="78" t="s">
        <v>1960</v>
      </c>
      <c r="AI53" s="79">
        <f t="shared" si="220"/>
        <v>10</v>
      </c>
      <c r="AJ53" s="65"/>
      <c r="AK53" s="78" t="s">
        <v>1960</v>
      </c>
      <c r="AL53" s="79">
        <f t="shared" si="220"/>
        <v>10</v>
      </c>
      <c r="AM53" s="65"/>
      <c r="AN53" s="78" t="s">
        <v>1953</v>
      </c>
      <c r="AO53" s="79">
        <f t="shared" si="220"/>
        <v>12</v>
      </c>
      <c r="AP53" s="65"/>
      <c r="AQ53" s="78" t="s">
        <v>1948</v>
      </c>
      <c r="AR53" s="79">
        <f t="shared" si="220"/>
        <v>10</v>
      </c>
      <c r="AS53" s="65"/>
      <c r="AT53" s="78" t="s">
        <v>1953</v>
      </c>
      <c r="AU53" s="79">
        <f t="shared" si="220"/>
        <v>12</v>
      </c>
      <c r="AV53" s="65"/>
      <c r="AW53" s="78" t="s">
        <v>1953</v>
      </c>
      <c r="AX53" s="79">
        <f t="shared" si="220"/>
        <v>12</v>
      </c>
      <c r="AY53" s="65"/>
      <c r="AZ53" s="78" t="s">
        <v>1960</v>
      </c>
      <c r="BA53" s="79">
        <f t="shared" si="220"/>
        <v>10</v>
      </c>
      <c r="BB53" s="65"/>
      <c r="BC53" s="78" t="s">
        <v>1955</v>
      </c>
      <c r="BD53" s="79">
        <f t="shared" si="220"/>
        <v>10</v>
      </c>
      <c r="BE53" s="65"/>
      <c r="BF53" s="78" t="s">
        <v>1960</v>
      </c>
      <c r="BG53" s="79">
        <f t="shared" si="220"/>
        <v>10</v>
      </c>
      <c r="BH53" s="65"/>
      <c r="BI53" s="78" t="s">
        <v>1960</v>
      </c>
      <c r="BJ53" s="79">
        <f t="shared" si="220"/>
        <v>10</v>
      </c>
      <c r="BK53" s="65"/>
      <c r="BL53" s="78" t="s">
        <v>1960</v>
      </c>
      <c r="BM53" s="79">
        <f t="shared" si="220"/>
        <v>10</v>
      </c>
      <c r="BN53" s="65"/>
      <c r="BO53" s="78" t="s">
        <v>1948</v>
      </c>
      <c r="BP53" s="79">
        <f t="shared" si="220"/>
        <v>10</v>
      </c>
      <c r="BQ53" s="65"/>
      <c r="BR53" s="78" t="s">
        <v>1960</v>
      </c>
      <c r="BS53" s="79">
        <f t="shared" si="220"/>
        <v>10</v>
      </c>
      <c r="BT53" s="65"/>
      <c r="BU53" s="78" t="s">
        <v>1953</v>
      </c>
      <c r="BV53" s="79">
        <f t="shared" si="220"/>
        <v>12</v>
      </c>
      <c r="BW53" s="65"/>
      <c r="BX53" s="78" t="s">
        <v>2133</v>
      </c>
      <c r="BY53" s="79">
        <f t="shared" si="220"/>
        <v>0</v>
      </c>
      <c r="BZ53" s="65"/>
      <c r="CA53" s="78" t="s">
        <v>1953</v>
      </c>
      <c r="CB53" s="79">
        <f t="shared" si="220"/>
        <v>12</v>
      </c>
      <c r="CC53" s="65"/>
      <c r="CD53" s="78" t="s">
        <v>1960</v>
      </c>
      <c r="CE53" s="79">
        <f t="shared" si="220"/>
        <v>10</v>
      </c>
      <c r="CF53" s="65"/>
      <c r="CG53" s="78" t="s">
        <v>1960</v>
      </c>
      <c r="CH53" s="79">
        <f t="shared" si="220"/>
        <v>10</v>
      </c>
      <c r="CI53" s="65"/>
      <c r="CJ53" s="78" t="s">
        <v>1953</v>
      </c>
      <c r="CK53" s="79">
        <f t="shared" si="217"/>
        <v>12</v>
      </c>
      <c r="CL53" s="65"/>
      <c r="CM53" s="78" t="s">
        <v>1953</v>
      </c>
      <c r="CN53" s="79">
        <f t="shared" si="217"/>
        <v>12</v>
      </c>
      <c r="CO53" s="65"/>
      <c r="CP53" s="78" t="s">
        <v>1955</v>
      </c>
      <c r="CQ53" s="79">
        <f t="shared" si="217"/>
        <v>10</v>
      </c>
      <c r="CR53" s="65"/>
      <c r="CS53" s="78" t="s">
        <v>2106</v>
      </c>
      <c r="CT53" s="79">
        <f t="shared" si="217"/>
        <v>10</v>
      </c>
      <c r="CU53" s="65"/>
      <c r="CV53" s="78" t="s">
        <v>1953</v>
      </c>
      <c r="CW53" s="79">
        <f t="shared" si="217"/>
        <v>12</v>
      </c>
      <c r="CX53" s="65"/>
      <c r="CY53" s="78" t="s">
        <v>1960</v>
      </c>
      <c r="CZ53" s="79">
        <f t="shared" si="217"/>
        <v>10</v>
      </c>
      <c r="DA53" s="65"/>
      <c r="DB53" s="78" t="s">
        <v>1948</v>
      </c>
      <c r="DC53" s="79">
        <f t="shared" si="217"/>
        <v>10</v>
      </c>
      <c r="DD53" s="65"/>
      <c r="DE53" s="78" t="s">
        <v>1948</v>
      </c>
      <c r="DF53" s="79">
        <f t="shared" si="217"/>
        <v>10</v>
      </c>
      <c r="DG53" s="65"/>
      <c r="DH53" s="78" t="s">
        <v>1953</v>
      </c>
      <c r="DI53" s="79">
        <f t="shared" si="217"/>
        <v>12</v>
      </c>
      <c r="DJ53" s="65"/>
      <c r="DK53" s="78" t="s">
        <v>1957</v>
      </c>
      <c r="DL53" s="79">
        <f t="shared" si="217"/>
        <v>0</v>
      </c>
      <c r="DM53" s="65"/>
      <c r="DN53" s="78" t="s">
        <v>1953</v>
      </c>
      <c r="DO53" s="79">
        <f t="shared" si="217"/>
        <v>12</v>
      </c>
      <c r="DP53" s="65"/>
      <c r="DQ53" s="78" t="s">
        <v>1953</v>
      </c>
      <c r="DR53" s="79">
        <f t="shared" si="217"/>
        <v>12</v>
      </c>
      <c r="DS53" s="65"/>
      <c r="DT53" s="78" t="s">
        <v>1960</v>
      </c>
      <c r="DU53" s="79">
        <f t="shared" si="217"/>
        <v>10</v>
      </c>
      <c r="DV53" s="65"/>
      <c r="DW53" s="78" t="s">
        <v>2000</v>
      </c>
      <c r="DX53" s="79">
        <f t="shared" si="222"/>
        <v>20</v>
      </c>
      <c r="DY53" s="65"/>
      <c r="DZ53" s="78" t="s">
        <v>1960</v>
      </c>
      <c r="EA53" s="79">
        <f t="shared" si="222"/>
        <v>10</v>
      </c>
      <c r="EB53" s="65"/>
      <c r="EC53" s="78" t="s">
        <v>1953</v>
      </c>
      <c r="ED53" s="79">
        <f t="shared" si="222"/>
        <v>12</v>
      </c>
      <c r="EE53" s="65"/>
      <c r="EF53" s="78" t="s">
        <v>1957</v>
      </c>
      <c r="EG53" s="79">
        <f t="shared" si="222"/>
        <v>0</v>
      </c>
      <c r="EH53" s="65"/>
      <c r="EI53" s="78" t="s">
        <v>1960</v>
      </c>
      <c r="EJ53" s="79">
        <f t="shared" si="222"/>
        <v>10</v>
      </c>
      <c r="EK53" s="65"/>
      <c r="EL53" s="78" t="s">
        <v>1960</v>
      </c>
      <c r="EM53" s="79">
        <f t="shared" si="222"/>
        <v>10</v>
      </c>
      <c r="EN53" s="65"/>
      <c r="EO53" s="78" t="s">
        <v>1960</v>
      </c>
      <c r="EP53" s="79">
        <f t="shared" si="222"/>
        <v>10</v>
      </c>
      <c r="EQ53" s="65"/>
      <c r="ER53" s="78" t="s">
        <v>1953</v>
      </c>
      <c r="ES53" s="79">
        <f t="shared" si="222"/>
        <v>12</v>
      </c>
      <c r="ET53" s="65"/>
      <c r="EU53" s="78" t="s">
        <v>2000</v>
      </c>
      <c r="EV53" s="79">
        <f t="shared" si="222"/>
        <v>20</v>
      </c>
      <c r="EW53" s="65"/>
      <c r="EX53" s="78" t="s">
        <v>1960</v>
      </c>
      <c r="EY53" s="79">
        <f t="shared" si="222"/>
        <v>10</v>
      </c>
      <c r="EZ53" s="65"/>
      <c r="FA53" s="78" t="s">
        <v>1960</v>
      </c>
      <c r="FB53" s="79">
        <f t="shared" si="222"/>
        <v>10</v>
      </c>
      <c r="FC53" s="65"/>
      <c r="FD53" s="78" t="s">
        <v>1960</v>
      </c>
      <c r="FE53" s="79">
        <f t="shared" si="222"/>
        <v>10</v>
      </c>
      <c r="FF53" s="65"/>
      <c r="FG53" s="78" t="s">
        <v>1960</v>
      </c>
      <c r="FH53" s="79">
        <f t="shared" si="222"/>
        <v>10</v>
      </c>
      <c r="FI53" s="65"/>
      <c r="FJ53" s="78" t="s">
        <v>1960</v>
      </c>
      <c r="FK53" s="79">
        <f t="shared" si="222"/>
        <v>10</v>
      </c>
      <c r="FL53" s="65"/>
      <c r="FM53" s="78" t="s">
        <v>1960</v>
      </c>
      <c r="FN53" s="79">
        <f t="shared" si="222"/>
        <v>10</v>
      </c>
      <c r="FO53" s="65"/>
      <c r="FP53" s="78" t="s">
        <v>1960</v>
      </c>
      <c r="FQ53" s="79">
        <f t="shared" si="222"/>
        <v>10</v>
      </c>
      <c r="FR53" s="65"/>
      <c r="FS53" s="78" t="s">
        <v>1960</v>
      </c>
      <c r="FT53" s="79">
        <f t="shared" si="222"/>
        <v>10</v>
      </c>
      <c r="FU53" s="65"/>
      <c r="FV53" s="78" t="s">
        <v>2000</v>
      </c>
      <c r="FW53" s="79">
        <f t="shared" si="222"/>
        <v>20</v>
      </c>
      <c r="FX53" s="65"/>
      <c r="FY53" s="78" t="s">
        <v>1960</v>
      </c>
      <c r="FZ53" s="79">
        <f t="shared" si="222"/>
        <v>10</v>
      </c>
      <c r="GA53" s="65"/>
      <c r="GB53" s="78" t="s">
        <v>1960</v>
      </c>
      <c r="GC53" s="79">
        <f t="shared" si="222"/>
        <v>10</v>
      </c>
      <c r="GD53" s="65"/>
      <c r="GE53" s="78" t="s">
        <v>1955</v>
      </c>
      <c r="GF53" s="79">
        <f t="shared" si="222"/>
        <v>10</v>
      </c>
      <c r="GG53" s="65"/>
      <c r="GH53" s="78" t="s">
        <v>2000</v>
      </c>
      <c r="GI53" s="79">
        <f t="shared" si="222"/>
        <v>20</v>
      </c>
      <c r="GJ53" s="65"/>
      <c r="GK53" s="78" t="s">
        <v>1953</v>
      </c>
      <c r="GL53" s="79">
        <f t="shared" si="221"/>
        <v>12</v>
      </c>
      <c r="GM53" s="65"/>
      <c r="GN53" s="78"/>
      <c r="GO53" s="79">
        <f t="shared" si="221"/>
        <v>0</v>
      </c>
      <c r="GP53" s="65"/>
      <c r="GQ53" s="78"/>
      <c r="GR53" s="79">
        <f t="shared" si="221"/>
        <v>0</v>
      </c>
      <c r="GS53" s="65"/>
      <c r="GT53" s="78"/>
      <c r="GU53" s="79">
        <f t="shared" si="221"/>
        <v>0</v>
      </c>
      <c r="GV53" s="65"/>
      <c r="GW53" s="78"/>
      <c r="GX53" s="79">
        <f t="shared" si="221"/>
        <v>0</v>
      </c>
      <c r="GY53" s="65"/>
      <c r="GZ53" s="78"/>
      <c r="HA53" s="79">
        <f t="shared" si="221"/>
        <v>0</v>
      </c>
      <c r="HB53" s="65"/>
      <c r="HC53" s="78"/>
      <c r="HD53" s="79">
        <f t="shared" si="221"/>
        <v>0</v>
      </c>
      <c r="HE53" s="65"/>
      <c r="HF53" s="78"/>
      <c r="HG53" s="79">
        <f t="shared" si="221"/>
        <v>0</v>
      </c>
      <c r="HH53" s="65"/>
      <c r="HI53" s="78"/>
      <c r="HJ53" s="79">
        <f t="shared" si="221"/>
        <v>0</v>
      </c>
      <c r="HK53" s="65"/>
      <c r="HL53" s="78"/>
      <c r="HM53" s="79">
        <f t="shared" si="221"/>
        <v>0</v>
      </c>
      <c r="HN53" s="65"/>
      <c r="HO53" s="78"/>
      <c r="HP53" s="79">
        <f t="shared" si="221"/>
        <v>0</v>
      </c>
      <c r="HQ53" s="65"/>
      <c r="HR53" s="78"/>
      <c r="HS53" s="79">
        <f t="shared" si="221"/>
        <v>0</v>
      </c>
      <c r="HT53" s="65"/>
      <c r="HU53" s="78"/>
      <c r="HV53" s="79">
        <f t="shared" si="221"/>
        <v>0</v>
      </c>
      <c r="HW53" s="65"/>
      <c r="HX53" s="78"/>
      <c r="HY53" s="79">
        <f t="shared" si="223"/>
        <v>0</v>
      </c>
      <c r="HZ53" s="65"/>
      <c r="IA53" s="78"/>
      <c r="IB53" s="79">
        <f t="shared" si="223"/>
        <v>0</v>
      </c>
      <c r="IC53" s="65"/>
      <c r="ID53" s="78"/>
      <c r="IE53" s="79">
        <f t="shared" si="223"/>
        <v>0</v>
      </c>
      <c r="IF53" s="65"/>
      <c r="IG53" s="78"/>
      <c r="IH53" s="79">
        <f t="shared" si="223"/>
        <v>0</v>
      </c>
      <c r="II53" s="65"/>
      <c r="IJ53" s="78"/>
      <c r="IK53" s="79">
        <f t="shared" si="223"/>
        <v>0</v>
      </c>
      <c r="IL53" s="65"/>
      <c r="IM53" s="78"/>
      <c r="IN53" s="79">
        <f t="shared" si="223"/>
        <v>0</v>
      </c>
      <c r="IO53" s="65"/>
      <c r="IP53" s="78"/>
      <c r="IQ53" s="79">
        <f t="shared" si="223"/>
        <v>0</v>
      </c>
      <c r="IR53" s="65"/>
      <c r="IS53" s="78"/>
      <c r="IT53" s="79">
        <f t="shared" si="223"/>
        <v>0</v>
      </c>
      <c r="IU53" s="65"/>
      <c r="IV53" s="78"/>
      <c r="IW53" s="79">
        <f t="shared" si="223"/>
        <v>0</v>
      </c>
      <c r="IX53" s="65"/>
      <c r="IY53" s="78"/>
      <c r="IZ53" s="79">
        <f t="shared" si="223"/>
        <v>0</v>
      </c>
      <c r="JA53" s="65"/>
      <c r="JB53" s="78"/>
      <c r="JC53" s="79">
        <f t="shared" si="223"/>
        <v>0</v>
      </c>
      <c r="JD53" s="65"/>
      <c r="JE53" s="78"/>
      <c r="JF53" s="79">
        <f t="shared" si="223"/>
        <v>0</v>
      </c>
      <c r="JG53" s="65"/>
      <c r="JH53" s="78"/>
      <c r="JI53" s="79">
        <f t="shared" si="223"/>
        <v>0</v>
      </c>
      <c r="JJ53" s="65"/>
      <c r="JK53" s="78"/>
      <c r="JL53" s="79">
        <f t="shared" si="223"/>
        <v>0</v>
      </c>
      <c r="JM53" s="65"/>
      <c r="JN53" s="78"/>
      <c r="JO53" s="79">
        <f t="shared" si="223"/>
        <v>0</v>
      </c>
      <c r="JP53" s="65"/>
      <c r="JQ53" s="78"/>
      <c r="JR53" s="79">
        <f t="shared" si="223"/>
        <v>0</v>
      </c>
      <c r="JS53" s="65"/>
      <c r="JT53" s="78"/>
      <c r="JU53" s="79">
        <f t="shared" si="223"/>
        <v>0</v>
      </c>
      <c r="JV53" s="65"/>
      <c r="JW53" s="78"/>
      <c r="JX53" s="79">
        <f t="shared" si="223"/>
        <v>0</v>
      </c>
      <c r="JY53" s="65"/>
      <c r="JZ53" s="78"/>
      <c r="KA53" s="79">
        <f t="shared" si="223"/>
        <v>0</v>
      </c>
      <c r="KB53" s="65"/>
      <c r="KC53" s="78"/>
      <c r="KD53" s="79">
        <f t="shared" si="223"/>
        <v>0</v>
      </c>
      <c r="KE53" s="65"/>
      <c r="KF53" s="78"/>
      <c r="KG53" s="79">
        <f t="shared" si="223"/>
        <v>0</v>
      </c>
      <c r="KH53" s="65"/>
      <c r="KI53" s="78"/>
      <c r="KJ53" s="79">
        <f t="shared" si="223"/>
        <v>0</v>
      </c>
      <c r="KK53" s="65"/>
      <c r="KL53" s="78"/>
      <c r="KM53" s="79">
        <f t="shared" si="218"/>
        <v>0</v>
      </c>
      <c r="KN53" s="65"/>
      <c r="KO53" s="78"/>
      <c r="KP53" s="79">
        <f t="shared" si="216"/>
        <v>0</v>
      </c>
      <c r="KQ53" s="65"/>
      <c r="KR53" s="78"/>
      <c r="KS53" s="79">
        <f t="shared" si="216"/>
        <v>0</v>
      </c>
      <c r="KT53" s="65"/>
      <c r="KU53" s="78"/>
      <c r="KV53" s="79">
        <f t="shared" si="216"/>
        <v>0</v>
      </c>
      <c r="KW53" s="65"/>
      <c r="KX53" s="78"/>
      <c r="KY53" s="79">
        <f t="shared" si="216"/>
        <v>0</v>
      </c>
      <c r="KZ53" s="65"/>
      <c r="LA53" s="78"/>
      <c r="LB53" s="79">
        <f t="shared" si="216"/>
        <v>0</v>
      </c>
      <c r="LC53" s="65"/>
      <c r="LD53" s="78"/>
      <c r="LE53" s="79">
        <f t="shared" si="216"/>
        <v>0</v>
      </c>
      <c r="LF53" s="65"/>
      <c r="LG53" s="65"/>
    </row>
    <row r="54" spans="1:319">
      <c r="A54" s="49"/>
      <c r="B54" s="49"/>
      <c r="C54" s="17"/>
      <c r="D54" s="203"/>
      <c r="E54" s="89"/>
      <c r="F54" s="445">
        <f t="shared" si="197"/>
        <v>20</v>
      </c>
      <c r="G54" s="445">
        <f ca="1">VLOOKUP(H54,Equipos!$Q$1:$R$25,2,0)</f>
        <v>15</v>
      </c>
      <c r="H54" s="446">
        <f ca="1">TRUNC(INDEX(WORLDCUP!$X$4:$X$147,MATCH(ADMIN!K54,WORLDCUP!$DT$4:$DT$147,0))+INDEX(Horarios!$R$3:$R$86,MATCH(Horarios!$C$3,Horarios!$P$3:$P$86,0))/24)</f>
        <v>46198</v>
      </c>
      <c r="I54" s="48">
        <v>1</v>
      </c>
      <c r="J54" s="95" t="s">
        <v>124</v>
      </c>
      <c r="K54" s="53" t="str">
        <f ca="1">CONCATENATE(WORLDCUP!AA8,"-",WORLDCUP!AF8)</f>
        <v>Czech Republic-Mexico</v>
      </c>
      <c r="L54" s="53"/>
      <c r="M54" s="55" t="str">
        <f>IF(OR(WORLDCUP!AC8="",WORLDCUP!AD8=""),"-",N54&amp;"|"&amp;O54&amp;"-"&amp;P54)</f>
        <v>2|0-3</v>
      </c>
      <c r="N54" s="25" t="str">
        <f>IF(OR(WORLDCUP!AC8="",WORLDCUP!AD8=""),"",IF(WORLDCUP!AC8&gt;WORLDCUP!AD8,"1",IF(WORLDCUP!AC8&lt;WORLDCUP!AD8,"2","X")))</f>
        <v>2</v>
      </c>
      <c r="O54" s="25">
        <f>WORLDCUP!AC8</f>
        <v>0</v>
      </c>
      <c r="P54" s="25">
        <f>WORLDCUP!AD8</f>
        <v>3</v>
      </c>
      <c r="Q54" s="25">
        <f t="shared" si="201"/>
        <v>3</v>
      </c>
      <c r="R54" s="49"/>
      <c r="S54" s="76" t="s">
        <v>1954</v>
      </c>
      <c r="T54" s="77">
        <f t="shared" si="198"/>
        <v>0</v>
      </c>
      <c r="U54" s="65"/>
      <c r="V54" s="76" t="s">
        <v>1953</v>
      </c>
      <c r="W54" s="77">
        <f t="shared" si="219"/>
        <v>10</v>
      </c>
      <c r="X54" s="65"/>
      <c r="Y54" s="76" t="s">
        <v>1953</v>
      </c>
      <c r="Z54" s="77">
        <f t="shared" si="220"/>
        <v>10</v>
      </c>
      <c r="AA54" s="65"/>
      <c r="AB54" s="76" t="s">
        <v>1957</v>
      </c>
      <c r="AC54" s="77">
        <f t="shared" si="220"/>
        <v>0</v>
      </c>
      <c r="AD54" s="65"/>
      <c r="AE54" s="76" t="s">
        <v>1953</v>
      </c>
      <c r="AF54" s="77">
        <f t="shared" si="220"/>
        <v>10</v>
      </c>
      <c r="AG54" s="65"/>
      <c r="AH54" s="76" t="s">
        <v>2000</v>
      </c>
      <c r="AI54" s="77">
        <f t="shared" si="220"/>
        <v>10</v>
      </c>
      <c r="AJ54" s="65"/>
      <c r="AK54" s="76" t="s">
        <v>1959</v>
      </c>
      <c r="AL54" s="77">
        <f t="shared" si="220"/>
        <v>0</v>
      </c>
      <c r="AM54" s="65"/>
      <c r="AN54" s="76" t="s">
        <v>1953</v>
      </c>
      <c r="AO54" s="77">
        <f t="shared" si="220"/>
        <v>10</v>
      </c>
      <c r="AP54" s="65"/>
      <c r="AQ54" s="76" t="s">
        <v>1957</v>
      </c>
      <c r="AR54" s="77">
        <f t="shared" si="220"/>
        <v>0</v>
      </c>
      <c r="AS54" s="65"/>
      <c r="AT54" s="76" t="s">
        <v>1943</v>
      </c>
      <c r="AU54" s="77">
        <f t="shared" si="220"/>
        <v>0</v>
      </c>
      <c r="AV54" s="65"/>
      <c r="AW54" s="76" t="s">
        <v>1957</v>
      </c>
      <c r="AX54" s="77">
        <f t="shared" si="220"/>
        <v>0</v>
      </c>
      <c r="AY54" s="65"/>
      <c r="AZ54" s="76" t="s">
        <v>1954</v>
      </c>
      <c r="BA54" s="77">
        <f t="shared" si="220"/>
        <v>0</v>
      </c>
      <c r="BB54" s="65"/>
      <c r="BC54" s="76" t="s">
        <v>1946</v>
      </c>
      <c r="BD54" s="77">
        <f t="shared" si="220"/>
        <v>10</v>
      </c>
      <c r="BE54" s="65"/>
      <c r="BF54" s="76" t="s">
        <v>1957</v>
      </c>
      <c r="BG54" s="77">
        <f t="shared" si="220"/>
        <v>0</v>
      </c>
      <c r="BH54" s="65"/>
      <c r="BI54" s="76" t="s">
        <v>1953</v>
      </c>
      <c r="BJ54" s="77">
        <f t="shared" ref="BJ54:DU65" si="224">IFERROR(IF($M54=BI54,($D$8+$D$9+$D$10)*$I54,IF($N54=LEFT(BI54,1),($D$8+MAX(0,IF($D$50=1,$D$9*(1-(ABS($Q54-ABS(VALUE(MID(BI54,FIND("|",BI54)+1,FIND("-",BI54)-FIND("|",BI54)-1))-VALUE(MID(BI54,FIND("-",BI54)+1,10)))))*$D$50),$D$9*(1-(IF($N54="X",ABS($O54-VALUE(MID(BI54,FIND("|",BI54)+1,FIND("-",BI54)-FIND("|",BI54)-1))),ABS($Q54-ABS(VALUE(MID(BI54,FIND("|",BI54)+1,FIND("-",BI54)-FIND("|",BI54)-1))-VALUE(MID(BI54,FIND("-",BI54)+1,10)))))*$D$50)))))*$I54,0)),0)</f>
        <v>10</v>
      </c>
      <c r="BK54" s="65"/>
      <c r="BL54" s="76" t="s">
        <v>2000</v>
      </c>
      <c r="BM54" s="77">
        <f t="shared" si="224"/>
        <v>10</v>
      </c>
      <c r="BN54" s="65"/>
      <c r="BO54" s="76" t="s">
        <v>1957</v>
      </c>
      <c r="BP54" s="77">
        <f t="shared" si="224"/>
        <v>0</v>
      </c>
      <c r="BQ54" s="65"/>
      <c r="BR54" s="76" t="s">
        <v>1959</v>
      </c>
      <c r="BS54" s="77">
        <f t="shared" si="224"/>
        <v>0</v>
      </c>
      <c r="BT54" s="65"/>
      <c r="BU54" s="76" t="s">
        <v>1953</v>
      </c>
      <c r="BV54" s="77">
        <f t="shared" si="224"/>
        <v>10</v>
      </c>
      <c r="BW54" s="65"/>
      <c r="BX54" s="76" t="s">
        <v>1953</v>
      </c>
      <c r="BY54" s="77">
        <f t="shared" si="224"/>
        <v>10</v>
      </c>
      <c r="BZ54" s="65"/>
      <c r="CA54" s="76" t="s">
        <v>1953</v>
      </c>
      <c r="CB54" s="77">
        <f t="shared" si="224"/>
        <v>10</v>
      </c>
      <c r="CC54" s="65"/>
      <c r="CD54" s="76" t="s">
        <v>1953</v>
      </c>
      <c r="CE54" s="77">
        <f t="shared" si="224"/>
        <v>10</v>
      </c>
      <c r="CF54" s="65"/>
      <c r="CG54" s="76" t="s">
        <v>1953</v>
      </c>
      <c r="CH54" s="77">
        <f t="shared" si="224"/>
        <v>10</v>
      </c>
      <c r="CI54" s="65"/>
      <c r="CJ54" s="76" t="s">
        <v>1953</v>
      </c>
      <c r="CK54" s="77">
        <f t="shared" si="224"/>
        <v>10</v>
      </c>
      <c r="CL54" s="65"/>
      <c r="CM54" s="76" t="s">
        <v>2000</v>
      </c>
      <c r="CN54" s="77">
        <f t="shared" si="224"/>
        <v>10</v>
      </c>
      <c r="CO54" s="65"/>
      <c r="CP54" s="76" t="s">
        <v>1960</v>
      </c>
      <c r="CQ54" s="77">
        <f t="shared" si="224"/>
        <v>10</v>
      </c>
      <c r="CR54" s="65"/>
      <c r="CS54" s="76" t="s">
        <v>1957</v>
      </c>
      <c r="CT54" s="77">
        <f t="shared" si="224"/>
        <v>0</v>
      </c>
      <c r="CU54" s="65"/>
      <c r="CV54" s="76" t="s">
        <v>1944</v>
      </c>
      <c r="CW54" s="77">
        <f t="shared" si="224"/>
        <v>0</v>
      </c>
      <c r="CX54" s="65"/>
      <c r="CY54" s="76" t="s">
        <v>1960</v>
      </c>
      <c r="CZ54" s="77">
        <f t="shared" si="224"/>
        <v>10</v>
      </c>
      <c r="DA54" s="65"/>
      <c r="DB54" s="76" t="s">
        <v>1944</v>
      </c>
      <c r="DC54" s="77">
        <f t="shared" si="224"/>
        <v>0</v>
      </c>
      <c r="DD54" s="65"/>
      <c r="DE54" s="76" t="s">
        <v>1957</v>
      </c>
      <c r="DF54" s="77">
        <f t="shared" si="224"/>
        <v>0</v>
      </c>
      <c r="DG54" s="65"/>
      <c r="DH54" s="76" t="s">
        <v>2133</v>
      </c>
      <c r="DI54" s="77">
        <f t="shared" si="224"/>
        <v>0</v>
      </c>
      <c r="DJ54" s="65"/>
      <c r="DK54" s="76" t="s">
        <v>1954</v>
      </c>
      <c r="DL54" s="77">
        <f t="shared" si="224"/>
        <v>0</v>
      </c>
      <c r="DM54" s="65"/>
      <c r="DN54" s="76" t="s">
        <v>1953</v>
      </c>
      <c r="DO54" s="77">
        <f t="shared" si="224"/>
        <v>10</v>
      </c>
      <c r="DP54" s="65"/>
      <c r="DQ54" s="76" t="s">
        <v>2000</v>
      </c>
      <c r="DR54" s="77">
        <f t="shared" si="224"/>
        <v>10</v>
      </c>
      <c r="DS54" s="65"/>
      <c r="DT54" s="76" t="s">
        <v>1957</v>
      </c>
      <c r="DU54" s="77">
        <f t="shared" si="224"/>
        <v>0</v>
      </c>
      <c r="DV54" s="65"/>
      <c r="DW54" s="76" t="s">
        <v>1944</v>
      </c>
      <c r="DX54" s="77">
        <f t="shared" si="222"/>
        <v>0</v>
      </c>
      <c r="DY54" s="65"/>
      <c r="DZ54" s="76" t="s">
        <v>1957</v>
      </c>
      <c r="EA54" s="77">
        <f t="shared" si="222"/>
        <v>0</v>
      </c>
      <c r="EB54" s="65"/>
      <c r="EC54" s="76" t="s">
        <v>1957</v>
      </c>
      <c r="ED54" s="77">
        <f t="shared" si="222"/>
        <v>0</v>
      </c>
      <c r="EE54" s="65"/>
      <c r="EF54" s="76" t="s">
        <v>1955</v>
      </c>
      <c r="EG54" s="77">
        <f t="shared" si="222"/>
        <v>10</v>
      </c>
      <c r="EH54" s="65"/>
      <c r="EI54" s="76" t="s">
        <v>1957</v>
      </c>
      <c r="EJ54" s="77">
        <f t="shared" si="222"/>
        <v>0</v>
      </c>
      <c r="EK54" s="65"/>
      <c r="EL54" s="76" t="s">
        <v>1957</v>
      </c>
      <c r="EM54" s="77">
        <f t="shared" si="222"/>
        <v>0</v>
      </c>
      <c r="EN54" s="65"/>
      <c r="EO54" s="76" t="s">
        <v>2000</v>
      </c>
      <c r="EP54" s="77">
        <f t="shared" si="222"/>
        <v>10</v>
      </c>
      <c r="EQ54" s="65"/>
      <c r="ER54" s="76" t="s">
        <v>1950</v>
      </c>
      <c r="ES54" s="77">
        <f t="shared" si="222"/>
        <v>0</v>
      </c>
      <c r="ET54" s="65"/>
      <c r="EU54" s="76" t="s">
        <v>1957</v>
      </c>
      <c r="EV54" s="77">
        <f t="shared" si="222"/>
        <v>0</v>
      </c>
      <c r="EW54" s="65"/>
      <c r="EX54" s="76" t="s">
        <v>1953</v>
      </c>
      <c r="EY54" s="77">
        <f t="shared" si="222"/>
        <v>10</v>
      </c>
      <c r="EZ54" s="65"/>
      <c r="FA54" s="76" t="s">
        <v>1957</v>
      </c>
      <c r="FB54" s="77">
        <f t="shared" si="222"/>
        <v>0</v>
      </c>
      <c r="FC54" s="65"/>
      <c r="FD54" s="76" t="s">
        <v>1960</v>
      </c>
      <c r="FE54" s="77">
        <f t="shared" si="222"/>
        <v>10</v>
      </c>
      <c r="FF54" s="65"/>
      <c r="FG54" s="76" t="s">
        <v>1955</v>
      </c>
      <c r="FH54" s="77">
        <f t="shared" si="222"/>
        <v>10</v>
      </c>
      <c r="FI54" s="65"/>
      <c r="FJ54" s="76" t="s">
        <v>1953</v>
      </c>
      <c r="FK54" s="77">
        <f t="shared" si="222"/>
        <v>10</v>
      </c>
      <c r="FL54" s="65"/>
      <c r="FM54" s="76" t="s">
        <v>1953</v>
      </c>
      <c r="FN54" s="77">
        <f t="shared" si="222"/>
        <v>10</v>
      </c>
      <c r="FO54" s="65"/>
      <c r="FP54" s="76" t="s">
        <v>1957</v>
      </c>
      <c r="FQ54" s="77">
        <f t="shared" si="222"/>
        <v>0</v>
      </c>
      <c r="FR54" s="65"/>
      <c r="FS54" s="76" t="s">
        <v>1944</v>
      </c>
      <c r="FT54" s="77">
        <f t="shared" si="222"/>
        <v>0</v>
      </c>
      <c r="FU54" s="65"/>
      <c r="FV54" s="76" t="s">
        <v>1953</v>
      </c>
      <c r="FW54" s="77">
        <f t="shared" si="222"/>
        <v>10</v>
      </c>
      <c r="FX54" s="65"/>
      <c r="FY54" s="76" t="s">
        <v>1957</v>
      </c>
      <c r="FZ54" s="77">
        <f t="shared" si="222"/>
        <v>0</v>
      </c>
      <c r="GA54" s="65"/>
      <c r="GB54" s="76" t="s">
        <v>1953</v>
      </c>
      <c r="GC54" s="77">
        <f t="shared" si="222"/>
        <v>10</v>
      </c>
      <c r="GD54" s="65"/>
      <c r="GE54" s="76" t="s">
        <v>1957</v>
      </c>
      <c r="GF54" s="77">
        <f t="shared" si="222"/>
        <v>0</v>
      </c>
      <c r="GG54" s="65"/>
      <c r="GH54" s="76" t="s">
        <v>1953</v>
      </c>
      <c r="GI54" s="77">
        <f t="shared" si="222"/>
        <v>10</v>
      </c>
      <c r="GJ54" s="65"/>
      <c r="GK54" s="76" t="s">
        <v>1957</v>
      </c>
      <c r="GL54" s="77">
        <f t="shared" si="221"/>
        <v>0</v>
      </c>
      <c r="GM54" s="65"/>
      <c r="GN54" s="76" t="str">
        <f>Idiomas!$D$366</f>
        <v>Paste Values (R3)</v>
      </c>
      <c r="GO54" s="77">
        <f t="shared" si="221"/>
        <v>0</v>
      </c>
      <c r="GP54" s="65"/>
      <c r="GQ54" s="76" t="str">
        <f>Idiomas!$D$366</f>
        <v>Paste Values (R3)</v>
      </c>
      <c r="GR54" s="77">
        <f t="shared" si="221"/>
        <v>0</v>
      </c>
      <c r="GS54" s="65"/>
      <c r="GT54" s="76" t="str">
        <f>Idiomas!$D$366</f>
        <v>Paste Values (R3)</v>
      </c>
      <c r="GU54" s="77">
        <f t="shared" si="221"/>
        <v>0</v>
      </c>
      <c r="GV54" s="65"/>
      <c r="GW54" s="76" t="str">
        <f>Idiomas!$D$366</f>
        <v>Paste Values (R3)</v>
      </c>
      <c r="GX54" s="77">
        <f t="shared" si="221"/>
        <v>0</v>
      </c>
      <c r="GY54" s="65"/>
      <c r="GZ54" s="76" t="str">
        <f>Idiomas!$D$366</f>
        <v>Paste Values (R3)</v>
      </c>
      <c r="HA54" s="77">
        <f t="shared" si="221"/>
        <v>0</v>
      </c>
      <c r="HB54" s="65"/>
      <c r="HC54" s="76" t="str">
        <f>Idiomas!$D$366</f>
        <v>Paste Values (R3)</v>
      </c>
      <c r="HD54" s="77">
        <f t="shared" si="221"/>
        <v>0</v>
      </c>
      <c r="HE54" s="65"/>
      <c r="HF54" s="76" t="str">
        <f>Idiomas!$D$366</f>
        <v>Paste Values (R3)</v>
      </c>
      <c r="HG54" s="77">
        <f t="shared" si="221"/>
        <v>0</v>
      </c>
      <c r="HH54" s="65"/>
      <c r="HI54" s="76" t="str">
        <f>Idiomas!$D$366</f>
        <v>Paste Values (R3)</v>
      </c>
      <c r="HJ54" s="77">
        <f t="shared" si="221"/>
        <v>0</v>
      </c>
      <c r="HK54" s="65"/>
      <c r="HL54" s="76" t="str">
        <f>Idiomas!$D$366</f>
        <v>Paste Values (R3)</v>
      </c>
      <c r="HM54" s="77">
        <f t="shared" si="221"/>
        <v>0</v>
      </c>
      <c r="HN54" s="65"/>
      <c r="HO54" s="76" t="str">
        <f>Idiomas!$D$366</f>
        <v>Paste Values (R3)</v>
      </c>
      <c r="HP54" s="77">
        <f t="shared" si="221"/>
        <v>0</v>
      </c>
      <c r="HQ54" s="65"/>
      <c r="HR54" s="76" t="str">
        <f>Idiomas!$D$366</f>
        <v>Paste Values (R3)</v>
      </c>
      <c r="HS54" s="77">
        <f t="shared" si="221"/>
        <v>0</v>
      </c>
      <c r="HT54" s="65"/>
      <c r="HU54" s="76" t="str">
        <f>Idiomas!$D$366</f>
        <v>Paste Values (R3)</v>
      </c>
      <c r="HV54" s="77">
        <f t="shared" si="221"/>
        <v>0</v>
      </c>
      <c r="HW54" s="65"/>
      <c r="HX54" s="76" t="str">
        <f>Idiomas!$D$366</f>
        <v>Paste Values (R3)</v>
      </c>
      <c r="HY54" s="77">
        <f t="shared" si="223"/>
        <v>0</v>
      </c>
      <c r="HZ54" s="65"/>
      <c r="IA54" s="76" t="str">
        <f>Idiomas!$D$366</f>
        <v>Paste Values (R3)</v>
      </c>
      <c r="IB54" s="77">
        <f t="shared" si="223"/>
        <v>0</v>
      </c>
      <c r="IC54" s="65"/>
      <c r="ID54" s="76" t="str">
        <f>Idiomas!$D$366</f>
        <v>Paste Values (R3)</v>
      </c>
      <c r="IE54" s="77">
        <f t="shared" si="223"/>
        <v>0</v>
      </c>
      <c r="IF54" s="65"/>
      <c r="IG54" s="76" t="str">
        <f>Idiomas!$D$366</f>
        <v>Paste Values (R3)</v>
      </c>
      <c r="IH54" s="77">
        <f t="shared" si="223"/>
        <v>0</v>
      </c>
      <c r="II54" s="65"/>
      <c r="IJ54" s="76" t="str">
        <f>Idiomas!$D$366</f>
        <v>Paste Values (R3)</v>
      </c>
      <c r="IK54" s="77">
        <f t="shared" si="223"/>
        <v>0</v>
      </c>
      <c r="IL54" s="65"/>
      <c r="IM54" s="76" t="str">
        <f>Idiomas!$D$366</f>
        <v>Paste Values (R3)</v>
      </c>
      <c r="IN54" s="77">
        <f t="shared" si="223"/>
        <v>0</v>
      </c>
      <c r="IO54" s="65"/>
      <c r="IP54" s="76" t="str">
        <f>Idiomas!$D$366</f>
        <v>Paste Values (R3)</v>
      </c>
      <c r="IQ54" s="77">
        <f t="shared" si="223"/>
        <v>0</v>
      </c>
      <c r="IR54" s="65"/>
      <c r="IS54" s="76" t="str">
        <f>Idiomas!$D$366</f>
        <v>Paste Values (R3)</v>
      </c>
      <c r="IT54" s="77">
        <f t="shared" si="223"/>
        <v>0</v>
      </c>
      <c r="IU54" s="65"/>
      <c r="IV54" s="76" t="str">
        <f>Idiomas!$D$366</f>
        <v>Paste Values (R3)</v>
      </c>
      <c r="IW54" s="77">
        <f t="shared" si="223"/>
        <v>0</v>
      </c>
      <c r="IX54" s="65"/>
      <c r="IY54" s="76" t="str">
        <f>Idiomas!$D$366</f>
        <v>Paste Values (R3)</v>
      </c>
      <c r="IZ54" s="77">
        <f t="shared" si="223"/>
        <v>0</v>
      </c>
      <c r="JA54" s="65"/>
      <c r="JB54" s="76" t="str">
        <f>Idiomas!$D$366</f>
        <v>Paste Values (R3)</v>
      </c>
      <c r="JC54" s="77">
        <f t="shared" si="223"/>
        <v>0</v>
      </c>
      <c r="JD54" s="65"/>
      <c r="JE54" s="76" t="str">
        <f>Idiomas!$D$366</f>
        <v>Paste Values (R3)</v>
      </c>
      <c r="JF54" s="77">
        <f t="shared" si="223"/>
        <v>0</v>
      </c>
      <c r="JG54" s="65"/>
      <c r="JH54" s="76" t="str">
        <f>Idiomas!$D$366</f>
        <v>Paste Values (R3)</v>
      </c>
      <c r="JI54" s="77">
        <f t="shared" si="223"/>
        <v>0</v>
      </c>
      <c r="JJ54" s="65"/>
      <c r="JK54" s="76" t="str">
        <f>Idiomas!$D$366</f>
        <v>Paste Values (R3)</v>
      </c>
      <c r="JL54" s="77">
        <f t="shared" si="223"/>
        <v>0</v>
      </c>
      <c r="JM54" s="65"/>
      <c r="JN54" s="76" t="str">
        <f>Idiomas!$D$366</f>
        <v>Paste Values (R3)</v>
      </c>
      <c r="JO54" s="77">
        <f t="shared" si="223"/>
        <v>0</v>
      </c>
      <c r="JP54" s="65"/>
      <c r="JQ54" s="76" t="str">
        <f>Idiomas!$D$366</f>
        <v>Paste Values (R3)</v>
      </c>
      <c r="JR54" s="77">
        <f t="shared" si="223"/>
        <v>0</v>
      </c>
      <c r="JS54" s="65"/>
      <c r="JT54" s="76" t="str">
        <f>Idiomas!$D$366</f>
        <v>Paste Values (R3)</v>
      </c>
      <c r="JU54" s="77">
        <f t="shared" si="223"/>
        <v>0</v>
      </c>
      <c r="JV54" s="65"/>
      <c r="JW54" s="76" t="str">
        <f>Idiomas!$D$366</f>
        <v>Paste Values (R3)</v>
      </c>
      <c r="JX54" s="77">
        <f t="shared" si="223"/>
        <v>0</v>
      </c>
      <c r="JY54" s="65"/>
      <c r="JZ54" s="76" t="str">
        <f>Idiomas!$D$366</f>
        <v>Paste Values (R3)</v>
      </c>
      <c r="KA54" s="77">
        <f t="shared" si="223"/>
        <v>0</v>
      </c>
      <c r="KB54" s="65"/>
      <c r="KC54" s="76" t="str">
        <f>Idiomas!$D$366</f>
        <v>Paste Values (R3)</v>
      </c>
      <c r="KD54" s="77">
        <f t="shared" si="223"/>
        <v>0</v>
      </c>
      <c r="KE54" s="65"/>
      <c r="KF54" s="76" t="str">
        <f>Idiomas!$D$366</f>
        <v>Paste Values (R3)</v>
      </c>
      <c r="KG54" s="77">
        <f t="shared" si="223"/>
        <v>0</v>
      </c>
      <c r="KH54" s="65"/>
      <c r="KI54" s="76" t="str">
        <f>Idiomas!$D$366</f>
        <v>Paste Values (R3)</v>
      </c>
      <c r="KJ54" s="77">
        <f t="shared" si="223"/>
        <v>0</v>
      </c>
      <c r="KK54" s="65"/>
      <c r="KL54" s="76" t="str">
        <f>Idiomas!$D$366</f>
        <v>Paste Values (R3)</v>
      </c>
      <c r="KM54" s="77">
        <f t="shared" si="218"/>
        <v>0</v>
      </c>
      <c r="KN54" s="65"/>
      <c r="KO54" s="76" t="str">
        <f>Idiomas!$D$366</f>
        <v>Paste Values (R3)</v>
      </c>
      <c r="KP54" s="77">
        <f t="shared" si="216"/>
        <v>0</v>
      </c>
      <c r="KQ54" s="65"/>
      <c r="KR54" s="76" t="str">
        <f>Idiomas!$D$366</f>
        <v>Paste Values (R3)</v>
      </c>
      <c r="KS54" s="77">
        <f t="shared" si="216"/>
        <v>0</v>
      </c>
      <c r="KT54" s="65"/>
      <c r="KU54" s="76" t="str">
        <f>Idiomas!$D$366</f>
        <v>Paste Values (R3)</v>
      </c>
      <c r="KV54" s="77">
        <f t="shared" si="216"/>
        <v>0</v>
      </c>
      <c r="KW54" s="65"/>
      <c r="KX54" s="76" t="str">
        <f>Idiomas!$D$366</f>
        <v>Paste Values (R3)</v>
      </c>
      <c r="KY54" s="77">
        <f t="shared" si="216"/>
        <v>0</v>
      </c>
      <c r="KZ54" s="65"/>
      <c r="LA54" s="76" t="str">
        <f>Idiomas!$D$366</f>
        <v>Paste Values (R3)</v>
      </c>
      <c r="LB54" s="77">
        <f t="shared" si="216"/>
        <v>0</v>
      </c>
      <c r="LC54" s="65"/>
      <c r="LD54" s="76" t="str">
        <f>Idiomas!$D$366</f>
        <v>Paste Values (R3)</v>
      </c>
      <c r="LE54" s="77">
        <f t="shared" si="216"/>
        <v>0</v>
      </c>
      <c r="LF54" s="65"/>
      <c r="LG54" s="65"/>
    </row>
    <row r="55" spans="1:319">
      <c r="A55" s="49"/>
      <c r="B55" s="49"/>
      <c r="C55" s="17"/>
      <c r="D55" s="17"/>
      <c r="E55" s="89"/>
      <c r="F55" s="445">
        <f t="shared" si="197"/>
        <v>20</v>
      </c>
      <c r="G55" s="445">
        <f ca="1">VLOOKUP(H55,Equipos!$Q$1:$R$25,2,0)</f>
        <v>15</v>
      </c>
      <c r="H55" s="446">
        <f ca="1">TRUNC(INDEX(WORLDCUP!$X$4:$X$147,MATCH(ADMIN!K55,WORLDCUP!$DT$4:$DT$147,0))+INDEX(Horarios!$R$3:$R$86,MATCH(Horarios!$C$3,Horarios!$P$3:$P$86,0))/24)</f>
        <v>46198</v>
      </c>
      <c r="I55" s="48">
        <v>1</v>
      </c>
      <c r="J55" s="95" t="s">
        <v>124</v>
      </c>
      <c r="K55" s="53" t="str">
        <f ca="1">CONCATENATE(WORLDCUP!AA9,"-",WORLDCUP!AF9)</f>
        <v>South Africa-South Korea</v>
      </c>
      <c r="L55" s="53"/>
      <c r="M55" s="55" t="str">
        <f>IF(OR(WORLDCUP!AC9="",WORLDCUP!AD9=""),"-",N55&amp;"|"&amp;O55&amp;"-"&amp;P55)</f>
        <v>1|1-0</v>
      </c>
      <c r="N55" s="25" t="str">
        <f>IF(OR(WORLDCUP!AC9="",WORLDCUP!AD9=""),"",IF(WORLDCUP!AC9&gt;WORLDCUP!AD9,"1",IF(WORLDCUP!AC9&lt;WORLDCUP!AD9,"2","X")))</f>
        <v>1</v>
      </c>
      <c r="O55" s="25">
        <f>WORLDCUP!AC9</f>
        <v>1</v>
      </c>
      <c r="P55" s="25">
        <f>WORLDCUP!AD9</f>
        <v>0</v>
      </c>
      <c r="Q55" s="25">
        <f t="shared" si="201"/>
        <v>1</v>
      </c>
      <c r="R55" s="49"/>
      <c r="S55" s="74" t="s">
        <v>1946</v>
      </c>
      <c r="T55" s="73">
        <f t="shared" si="198"/>
        <v>0</v>
      </c>
      <c r="U55" s="65"/>
      <c r="V55" s="74" t="s">
        <v>1944</v>
      </c>
      <c r="W55" s="73">
        <f t="shared" si="219"/>
        <v>0</v>
      </c>
      <c r="X55" s="65"/>
      <c r="Y55" s="74" t="s">
        <v>2000</v>
      </c>
      <c r="Z55" s="73">
        <f t="shared" ref="Z55:CH66" si="225">IFERROR(IF($M55=Y55,($D$8+$D$9+$D$10)*$I55,IF($N55=LEFT(Y55,1),($D$8+MAX(0,IF($D$50=1,$D$9*(1-(ABS($Q55-ABS(VALUE(MID(Y55,FIND("|",Y55)+1,FIND("-",Y55)-FIND("|",Y55)-1))-VALUE(MID(Y55,FIND("-",Y55)+1,10)))))*$D$50),$D$9*(1-(IF($N55="X",ABS($O55-VALUE(MID(Y55,FIND("|",Y55)+1,FIND("-",Y55)-FIND("|",Y55)-1))),ABS($Q55-ABS(VALUE(MID(Y55,FIND("|",Y55)+1,FIND("-",Y55)-FIND("|",Y55)-1))-VALUE(MID(Y55,FIND("-",Y55)+1,10)))))*$D$50)))))*$I55,0)),0)</f>
        <v>0</v>
      </c>
      <c r="AA55" s="65"/>
      <c r="AB55" s="74" t="s">
        <v>1960</v>
      </c>
      <c r="AC55" s="73">
        <f t="shared" si="225"/>
        <v>0</v>
      </c>
      <c r="AD55" s="65"/>
      <c r="AE55" s="74" t="s">
        <v>1960</v>
      </c>
      <c r="AF55" s="73">
        <f t="shared" si="225"/>
        <v>0</v>
      </c>
      <c r="AG55" s="65"/>
      <c r="AH55" s="74" t="s">
        <v>2000</v>
      </c>
      <c r="AI55" s="73">
        <f t="shared" si="225"/>
        <v>0</v>
      </c>
      <c r="AJ55" s="65"/>
      <c r="AK55" s="74" t="s">
        <v>1955</v>
      </c>
      <c r="AL55" s="73">
        <f t="shared" si="225"/>
        <v>0</v>
      </c>
      <c r="AM55" s="65"/>
      <c r="AN55" s="74" t="s">
        <v>1960</v>
      </c>
      <c r="AO55" s="73">
        <f t="shared" si="225"/>
        <v>0</v>
      </c>
      <c r="AP55" s="65"/>
      <c r="AQ55" s="74" t="s">
        <v>1953</v>
      </c>
      <c r="AR55" s="73">
        <f t="shared" si="225"/>
        <v>0</v>
      </c>
      <c r="AS55" s="65"/>
      <c r="AT55" s="74" t="s">
        <v>1946</v>
      </c>
      <c r="AU55" s="73">
        <f t="shared" si="225"/>
        <v>0</v>
      </c>
      <c r="AV55" s="65"/>
      <c r="AW55" s="74" t="s">
        <v>2000</v>
      </c>
      <c r="AX55" s="73">
        <f t="shared" si="225"/>
        <v>0</v>
      </c>
      <c r="AY55" s="65"/>
      <c r="AZ55" s="74" t="s">
        <v>1953</v>
      </c>
      <c r="BA55" s="73">
        <f t="shared" si="225"/>
        <v>0</v>
      </c>
      <c r="BB55" s="65"/>
      <c r="BC55" s="74" t="s">
        <v>1944</v>
      </c>
      <c r="BD55" s="73">
        <f t="shared" si="225"/>
        <v>0</v>
      </c>
      <c r="BE55" s="65"/>
      <c r="BF55" s="74" t="s">
        <v>1959</v>
      </c>
      <c r="BG55" s="73">
        <f t="shared" si="225"/>
        <v>20</v>
      </c>
      <c r="BH55" s="65"/>
      <c r="BI55" s="74" t="s">
        <v>1957</v>
      </c>
      <c r="BJ55" s="73">
        <f t="shared" si="225"/>
        <v>0</v>
      </c>
      <c r="BK55" s="65"/>
      <c r="BL55" s="74" t="s">
        <v>1960</v>
      </c>
      <c r="BM55" s="73">
        <f t="shared" si="225"/>
        <v>0</v>
      </c>
      <c r="BN55" s="65"/>
      <c r="BO55" s="74" t="s">
        <v>1960</v>
      </c>
      <c r="BP55" s="73">
        <f t="shared" si="225"/>
        <v>0</v>
      </c>
      <c r="BQ55" s="65"/>
      <c r="BR55" s="74" t="s">
        <v>2000</v>
      </c>
      <c r="BS55" s="73">
        <f t="shared" si="225"/>
        <v>0</v>
      </c>
      <c r="BT55" s="65"/>
      <c r="BU55" s="74" t="s">
        <v>2000</v>
      </c>
      <c r="BV55" s="73">
        <f t="shared" si="225"/>
        <v>0</v>
      </c>
      <c r="BW55" s="65"/>
      <c r="BX55" s="74" t="s">
        <v>1959</v>
      </c>
      <c r="BY55" s="73">
        <f t="shared" si="225"/>
        <v>20</v>
      </c>
      <c r="BZ55" s="65"/>
      <c r="CA55" s="74" t="s">
        <v>1959</v>
      </c>
      <c r="CB55" s="73">
        <f t="shared" si="225"/>
        <v>20</v>
      </c>
      <c r="CC55" s="65"/>
      <c r="CD55" s="74" t="s">
        <v>1955</v>
      </c>
      <c r="CE55" s="73">
        <f t="shared" si="225"/>
        <v>0</v>
      </c>
      <c r="CF55" s="65"/>
      <c r="CG55" s="74" t="s">
        <v>1960</v>
      </c>
      <c r="CH55" s="73">
        <f t="shared" si="225"/>
        <v>0</v>
      </c>
      <c r="CI55" s="65"/>
      <c r="CJ55" s="74" t="s">
        <v>1954</v>
      </c>
      <c r="CK55" s="73">
        <f t="shared" si="224"/>
        <v>12</v>
      </c>
      <c r="CL55" s="65"/>
      <c r="CM55" s="74" t="s">
        <v>1960</v>
      </c>
      <c r="CN55" s="73">
        <f t="shared" si="224"/>
        <v>0</v>
      </c>
      <c r="CO55" s="65"/>
      <c r="CP55" s="74" t="s">
        <v>2000</v>
      </c>
      <c r="CQ55" s="73">
        <f t="shared" si="224"/>
        <v>0</v>
      </c>
      <c r="CR55" s="65"/>
      <c r="CS55" s="74" t="s">
        <v>2133</v>
      </c>
      <c r="CT55" s="73">
        <f t="shared" si="224"/>
        <v>0</v>
      </c>
      <c r="CU55" s="65"/>
      <c r="CV55" s="74" t="s">
        <v>1957</v>
      </c>
      <c r="CW55" s="73">
        <f t="shared" si="224"/>
        <v>0</v>
      </c>
      <c r="CX55" s="65"/>
      <c r="CY55" s="74" t="s">
        <v>1952</v>
      </c>
      <c r="CZ55" s="73">
        <f t="shared" si="224"/>
        <v>10</v>
      </c>
      <c r="DA55" s="65"/>
      <c r="DB55" s="74" t="s">
        <v>2000</v>
      </c>
      <c r="DC55" s="73">
        <f t="shared" si="224"/>
        <v>0</v>
      </c>
      <c r="DD55" s="65"/>
      <c r="DE55" s="74" t="s">
        <v>1953</v>
      </c>
      <c r="DF55" s="73">
        <f t="shared" si="224"/>
        <v>0</v>
      </c>
      <c r="DG55" s="65"/>
      <c r="DH55" s="74" t="s">
        <v>1944</v>
      </c>
      <c r="DI55" s="73">
        <f t="shared" si="224"/>
        <v>0</v>
      </c>
      <c r="DJ55" s="65"/>
      <c r="DK55" s="74" t="s">
        <v>1960</v>
      </c>
      <c r="DL55" s="73">
        <f t="shared" si="224"/>
        <v>0</v>
      </c>
      <c r="DM55" s="65"/>
      <c r="DN55" s="74" t="s">
        <v>2133</v>
      </c>
      <c r="DO55" s="73">
        <f t="shared" si="224"/>
        <v>0</v>
      </c>
      <c r="DP55" s="65"/>
      <c r="DQ55" s="74" t="s">
        <v>1955</v>
      </c>
      <c r="DR55" s="73">
        <f t="shared" si="224"/>
        <v>0</v>
      </c>
      <c r="DS55" s="65"/>
      <c r="DT55" s="74" t="s">
        <v>1953</v>
      </c>
      <c r="DU55" s="73">
        <f t="shared" si="224"/>
        <v>0</v>
      </c>
      <c r="DV55" s="65"/>
      <c r="DW55" s="74" t="s">
        <v>1959</v>
      </c>
      <c r="DX55" s="73">
        <f t="shared" si="222"/>
        <v>20</v>
      </c>
      <c r="DY55" s="65"/>
      <c r="DZ55" s="74" t="s">
        <v>1957</v>
      </c>
      <c r="EA55" s="73">
        <f t="shared" si="222"/>
        <v>0</v>
      </c>
      <c r="EB55" s="65"/>
      <c r="EC55" s="74" t="s">
        <v>1960</v>
      </c>
      <c r="ED55" s="73">
        <f t="shared" si="222"/>
        <v>0</v>
      </c>
      <c r="EE55" s="65"/>
      <c r="EF55" s="74" t="s">
        <v>1954</v>
      </c>
      <c r="EG55" s="73">
        <f t="shared" si="222"/>
        <v>12</v>
      </c>
      <c r="EH55" s="65"/>
      <c r="EI55" s="74" t="s">
        <v>1953</v>
      </c>
      <c r="EJ55" s="73">
        <f t="shared" si="222"/>
        <v>0</v>
      </c>
      <c r="EK55" s="65"/>
      <c r="EL55" s="74" t="s">
        <v>2000</v>
      </c>
      <c r="EM55" s="73">
        <f t="shared" si="222"/>
        <v>0</v>
      </c>
      <c r="EN55" s="65"/>
      <c r="EO55" s="74" t="s">
        <v>1953</v>
      </c>
      <c r="EP55" s="73">
        <f t="shared" si="222"/>
        <v>0</v>
      </c>
      <c r="EQ55" s="65"/>
      <c r="ER55" s="74" t="s">
        <v>1960</v>
      </c>
      <c r="ES55" s="73">
        <f t="shared" si="222"/>
        <v>0</v>
      </c>
      <c r="ET55" s="65"/>
      <c r="EU55" s="74" t="s">
        <v>1960</v>
      </c>
      <c r="EV55" s="73">
        <f t="shared" si="222"/>
        <v>0</v>
      </c>
      <c r="EW55" s="65"/>
      <c r="EX55" s="74" t="s">
        <v>1953</v>
      </c>
      <c r="EY55" s="73">
        <f t="shared" si="222"/>
        <v>0</v>
      </c>
      <c r="EZ55" s="65"/>
      <c r="FA55" s="74" t="s">
        <v>2000</v>
      </c>
      <c r="FB55" s="73">
        <f t="shared" si="222"/>
        <v>0</v>
      </c>
      <c r="FC55" s="65"/>
      <c r="FD55" s="74" t="s">
        <v>2000</v>
      </c>
      <c r="FE55" s="73">
        <f t="shared" si="222"/>
        <v>0</v>
      </c>
      <c r="FF55" s="65"/>
      <c r="FG55" s="74" t="s">
        <v>1960</v>
      </c>
      <c r="FH55" s="73">
        <f t="shared" si="222"/>
        <v>0</v>
      </c>
      <c r="FI55" s="65"/>
      <c r="FJ55" s="74" t="s">
        <v>2000</v>
      </c>
      <c r="FK55" s="73">
        <f t="shared" ref="FK55:HV66" si="226">IFERROR(IF($M55=FJ55,($D$8+$D$9+$D$10)*$I55,IF($N55=LEFT(FJ55,1),($D$8+MAX(0,IF($D$50=1,$D$9*(1-(ABS($Q55-ABS(VALUE(MID(FJ55,FIND("|",FJ55)+1,FIND("-",FJ55)-FIND("|",FJ55)-1))-VALUE(MID(FJ55,FIND("-",FJ55)+1,10)))))*$D$50),$D$9*(1-(IF($N55="X",ABS($O55-VALUE(MID(FJ55,FIND("|",FJ55)+1,FIND("-",FJ55)-FIND("|",FJ55)-1))),ABS($Q55-ABS(VALUE(MID(FJ55,FIND("|",FJ55)+1,FIND("-",FJ55)-FIND("|",FJ55)-1))-VALUE(MID(FJ55,FIND("-",FJ55)+1,10)))))*$D$50)))))*$I55,0)),0)</f>
        <v>0</v>
      </c>
      <c r="FL55" s="65"/>
      <c r="FM55" s="74" t="s">
        <v>1960</v>
      </c>
      <c r="FN55" s="73">
        <f t="shared" si="226"/>
        <v>0</v>
      </c>
      <c r="FO55" s="65"/>
      <c r="FP55" s="74" t="s">
        <v>2000</v>
      </c>
      <c r="FQ55" s="73">
        <f t="shared" si="226"/>
        <v>0</v>
      </c>
      <c r="FR55" s="65"/>
      <c r="FS55" s="74" t="s">
        <v>1953</v>
      </c>
      <c r="FT55" s="73">
        <f t="shared" si="226"/>
        <v>0</v>
      </c>
      <c r="FU55" s="65"/>
      <c r="FV55" s="74" t="s">
        <v>2000</v>
      </c>
      <c r="FW55" s="73">
        <f t="shared" si="226"/>
        <v>0</v>
      </c>
      <c r="FX55" s="65"/>
      <c r="FY55" s="74" t="s">
        <v>1950</v>
      </c>
      <c r="FZ55" s="73">
        <f t="shared" si="226"/>
        <v>10</v>
      </c>
      <c r="GA55" s="65"/>
      <c r="GB55" s="74" t="s">
        <v>1957</v>
      </c>
      <c r="GC55" s="73">
        <f t="shared" si="226"/>
        <v>0</v>
      </c>
      <c r="GD55" s="65"/>
      <c r="GE55" s="74" t="s">
        <v>1960</v>
      </c>
      <c r="GF55" s="73">
        <f t="shared" si="226"/>
        <v>0</v>
      </c>
      <c r="GG55" s="65"/>
      <c r="GH55" s="74" t="s">
        <v>2000</v>
      </c>
      <c r="GI55" s="73">
        <f t="shared" si="226"/>
        <v>0</v>
      </c>
      <c r="GJ55" s="65"/>
      <c r="GK55" s="74" t="s">
        <v>1957</v>
      </c>
      <c r="GL55" s="73">
        <f t="shared" si="226"/>
        <v>0</v>
      </c>
      <c r="GM55" s="65"/>
      <c r="GN55" s="74"/>
      <c r="GO55" s="73">
        <f t="shared" si="226"/>
        <v>0</v>
      </c>
      <c r="GP55" s="65"/>
      <c r="GQ55" s="74"/>
      <c r="GR55" s="73">
        <f t="shared" si="226"/>
        <v>0</v>
      </c>
      <c r="GS55" s="65"/>
      <c r="GT55" s="74"/>
      <c r="GU55" s="73">
        <f t="shared" si="226"/>
        <v>0</v>
      </c>
      <c r="GV55" s="65"/>
      <c r="GW55" s="74"/>
      <c r="GX55" s="73">
        <f t="shared" si="226"/>
        <v>0</v>
      </c>
      <c r="GY55" s="65"/>
      <c r="GZ55" s="74"/>
      <c r="HA55" s="73">
        <f t="shared" si="226"/>
        <v>0</v>
      </c>
      <c r="HB55" s="65"/>
      <c r="HC55" s="74"/>
      <c r="HD55" s="73">
        <f t="shared" si="226"/>
        <v>0</v>
      </c>
      <c r="HE55" s="65"/>
      <c r="HF55" s="74"/>
      <c r="HG55" s="73">
        <f t="shared" si="226"/>
        <v>0</v>
      </c>
      <c r="HH55" s="65"/>
      <c r="HI55" s="74"/>
      <c r="HJ55" s="73">
        <f t="shared" si="226"/>
        <v>0</v>
      </c>
      <c r="HK55" s="65"/>
      <c r="HL55" s="74"/>
      <c r="HM55" s="73">
        <f t="shared" si="226"/>
        <v>0</v>
      </c>
      <c r="HN55" s="65"/>
      <c r="HO55" s="74"/>
      <c r="HP55" s="73">
        <f t="shared" si="226"/>
        <v>0</v>
      </c>
      <c r="HQ55" s="65"/>
      <c r="HR55" s="74"/>
      <c r="HS55" s="73">
        <f t="shared" si="226"/>
        <v>0</v>
      </c>
      <c r="HT55" s="65"/>
      <c r="HU55" s="74"/>
      <c r="HV55" s="73">
        <f t="shared" si="226"/>
        <v>0</v>
      </c>
      <c r="HW55" s="65"/>
      <c r="HX55" s="74"/>
      <c r="HY55" s="73">
        <f t="shared" si="223"/>
        <v>0</v>
      </c>
      <c r="HZ55" s="65"/>
      <c r="IA55" s="74"/>
      <c r="IB55" s="73">
        <f t="shared" si="223"/>
        <v>0</v>
      </c>
      <c r="IC55" s="65"/>
      <c r="ID55" s="74"/>
      <c r="IE55" s="73">
        <f t="shared" si="223"/>
        <v>0</v>
      </c>
      <c r="IF55" s="65"/>
      <c r="IG55" s="74"/>
      <c r="IH55" s="73">
        <f t="shared" si="223"/>
        <v>0</v>
      </c>
      <c r="II55" s="65"/>
      <c r="IJ55" s="74"/>
      <c r="IK55" s="73">
        <f t="shared" si="223"/>
        <v>0</v>
      </c>
      <c r="IL55" s="65"/>
      <c r="IM55" s="74"/>
      <c r="IN55" s="73">
        <f t="shared" si="223"/>
        <v>0</v>
      </c>
      <c r="IO55" s="65"/>
      <c r="IP55" s="74"/>
      <c r="IQ55" s="73">
        <f t="shared" si="223"/>
        <v>0</v>
      </c>
      <c r="IR55" s="65"/>
      <c r="IS55" s="74"/>
      <c r="IT55" s="73">
        <f t="shared" si="223"/>
        <v>0</v>
      </c>
      <c r="IU55" s="65"/>
      <c r="IV55" s="74"/>
      <c r="IW55" s="73">
        <f t="shared" si="223"/>
        <v>0</v>
      </c>
      <c r="IX55" s="65"/>
      <c r="IY55" s="74"/>
      <c r="IZ55" s="73">
        <f t="shared" si="223"/>
        <v>0</v>
      </c>
      <c r="JA55" s="65"/>
      <c r="JB55" s="74"/>
      <c r="JC55" s="73">
        <f t="shared" si="223"/>
        <v>0</v>
      </c>
      <c r="JD55" s="65"/>
      <c r="JE55" s="74"/>
      <c r="JF55" s="73">
        <f t="shared" si="223"/>
        <v>0</v>
      </c>
      <c r="JG55" s="65"/>
      <c r="JH55" s="74"/>
      <c r="JI55" s="73">
        <f t="shared" si="223"/>
        <v>0</v>
      </c>
      <c r="JJ55" s="65"/>
      <c r="JK55" s="74"/>
      <c r="JL55" s="73">
        <f t="shared" si="223"/>
        <v>0</v>
      </c>
      <c r="JM55" s="65"/>
      <c r="JN55" s="74"/>
      <c r="JO55" s="73">
        <f t="shared" si="223"/>
        <v>0</v>
      </c>
      <c r="JP55" s="65"/>
      <c r="JQ55" s="74"/>
      <c r="JR55" s="73">
        <f t="shared" si="223"/>
        <v>0</v>
      </c>
      <c r="JS55" s="65"/>
      <c r="JT55" s="74"/>
      <c r="JU55" s="73">
        <f t="shared" si="223"/>
        <v>0</v>
      </c>
      <c r="JV55" s="65"/>
      <c r="JW55" s="74"/>
      <c r="JX55" s="73">
        <f t="shared" si="223"/>
        <v>0</v>
      </c>
      <c r="JY55" s="65"/>
      <c r="JZ55" s="74"/>
      <c r="KA55" s="73">
        <f t="shared" si="223"/>
        <v>0</v>
      </c>
      <c r="KB55" s="65"/>
      <c r="KC55" s="74"/>
      <c r="KD55" s="73">
        <f t="shared" si="223"/>
        <v>0</v>
      </c>
      <c r="KE55" s="65"/>
      <c r="KF55" s="74"/>
      <c r="KG55" s="73">
        <f t="shared" si="223"/>
        <v>0</v>
      </c>
      <c r="KH55" s="65"/>
      <c r="KI55" s="74"/>
      <c r="KJ55" s="73">
        <f t="shared" si="223"/>
        <v>0</v>
      </c>
      <c r="KK55" s="65"/>
      <c r="KL55" s="74"/>
      <c r="KM55" s="73">
        <f t="shared" si="218"/>
        <v>0</v>
      </c>
      <c r="KN55" s="65"/>
      <c r="KO55" s="74"/>
      <c r="KP55" s="73">
        <f t="shared" si="216"/>
        <v>0</v>
      </c>
      <c r="KQ55" s="65"/>
      <c r="KR55" s="74"/>
      <c r="KS55" s="73">
        <f t="shared" si="216"/>
        <v>0</v>
      </c>
      <c r="KT55" s="65"/>
      <c r="KU55" s="74"/>
      <c r="KV55" s="73">
        <f t="shared" si="216"/>
        <v>0</v>
      </c>
      <c r="KW55" s="65"/>
      <c r="KX55" s="74"/>
      <c r="KY55" s="73">
        <f t="shared" si="216"/>
        <v>0</v>
      </c>
      <c r="KZ55" s="65"/>
      <c r="LA55" s="74"/>
      <c r="LB55" s="73">
        <f t="shared" si="216"/>
        <v>0</v>
      </c>
      <c r="LC55" s="65"/>
      <c r="LD55" s="74"/>
      <c r="LE55" s="73">
        <f t="shared" si="216"/>
        <v>0</v>
      </c>
      <c r="LF55" s="65"/>
      <c r="LG55" s="65"/>
    </row>
    <row r="56" spans="1:319">
      <c r="A56" s="49"/>
      <c r="B56" s="49"/>
      <c r="C56" s="119" t="str">
        <f>"MAX. "&amp;K5</f>
        <v>MAX. GROUP STAGE</v>
      </c>
      <c r="D56" s="122">
        <f>SUM($D$8:$D$10)*SUM($I$6:$I$77)+SUM($D$11:$D$14)*12+$D$15*32</f>
        <v>2056</v>
      </c>
      <c r="E56" s="111"/>
      <c r="F56" s="445">
        <f t="shared" si="197"/>
        <v>20</v>
      </c>
      <c r="G56" s="445">
        <f ca="1">VLOOKUP(H56,Equipos!$Q$1:$R$25,2,0)</f>
        <v>14</v>
      </c>
      <c r="H56" s="446">
        <f ca="1">TRUNC(INDEX(WORLDCUP!$X$4:$X$147,MATCH(ADMIN!K56,WORLDCUP!$DT$4:$DT$147,0))+INDEX(Horarios!$R$3:$R$86,MATCH(Horarios!$C$3,Horarios!$P$3:$P$86,0))/24)</f>
        <v>46197</v>
      </c>
      <c r="I56" s="48">
        <v>1</v>
      </c>
      <c r="J56" s="96" t="s">
        <v>125</v>
      </c>
      <c r="K56" s="56" t="str">
        <f ca="1">CONCATENATE(WORLDCUP!AA16,"-",WORLDCUP!AF16)</f>
        <v>Switzerland-Canada</v>
      </c>
      <c r="L56" s="53"/>
      <c r="M56" s="55" t="str">
        <f>IF(OR(WORLDCUP!AC16="",WORLDCUP!AD16=""),"-",N56&amp;"|"&amp;O56&amp;"-"&amp;P56)</f>
        <v>1|2-1</v>
      </c>
      <c r="N56" s="25" t="str">
        <f>IF(OR(WORLDCUP!AC16="",WORLDCUP!AD16=""),"",IF(WORLDCUP!AC16&gt;WORLDCUP!AD16,"1",IF(WORLDCUP!AC16&lt;WORLDCUP!AD16,"2","X")))</f>
        <v>1</v>
      </c>
      <c r="O56" s="25">
        <f>WORLDCUP!AC16</f>
        <v>2</v>
      </c>
      <c r="P56" s="25">
        <f>WORLDCUP!AD16</f>
        <v>1</v>
      </c>
      <c r="Q56" s="25">
        <f t="shared" si="201"/>
        <v>1</v>
      </c>
      <c r="R56" s="49"/>
      <c r="S56" s="74" t="s">
        <v>1943</v>
      </c>
      <c r="T56" s="73">
        <f t="shared" si="198"/>
        <v>12</v>
      </c>
      <c r="U56" s="65"/>
      <c r="V56" s="74" t="s">
        <v>1959</v>
      </c>
      <c r="W56" s="73">
        <f t="shared" si="219"/>
        <v>12</v>
      </c>
      <c r="X56" s="65"/>
      <c r="Y56" s="74" t="s">
        <v>1954</v>
      </c>
      <c r="Z56" s="73">
        <f t="shared" si="225"/>
        <v>20</v>
      </c>
      <c r="AA56" s="65"/>
      <c r="AB56" s="74" t="s">
        <v>1957</v>
      </c>
      <c r="AC56" s="73">
        <f t="shared" si="225"/>
        <v>0</v>
      </c>
      <c r="AD56" s="65"/>
      <c r="AE56" s="74" t="s">
        <v>1954</v>
      </c>
      <c r="AF56" s="73">
        <f t="shared" si="225"/>
        <v>20</v>
      </c>
      <c r="AG56" s="65"/>
      <c r="AH56" s="74" t="s">
        <v>1958</v>
      </c>
      <c r="AI56" s="73">
        <f t="shared" si="225"/>
        <v>10</v>
      </c>
      <c r="AJ56" s="65"/>
      <c r="AK56" s="74" t="s">
        <v>2133</v>
      </c>
      <c r="AL56" s="73">
        <f t="shared" si="225"/>
        <v>0</v>
      </c>
      <c r="AM56" s="65"/>
      <c r="AN56" s="74" t="s">
        <v>1953</v>
      </c>
      <c r="AO56" s="73">
        <f t="shared" si="225"/>
        <v>0</v>
      </c>
      <c r="AP56" s="65"/>
      <c r="AQ56" s="74" t="s">
        <v>1957</v>
      </c>
      <c r="AR56" s="73">
        <f t="shared" si="225"/>
        <v>0</v>
      </c>
      <c r="AS56" s="65"/>
      <c r="AT56" s="74" t="s">
        <v>1954</v>
      </c>
      <c r="AU56" s="73">
        <f t="shared" si="225"/>
        <v>20</v>
      </c>
      <c r="AV56" s="65"/>
      <c r="AW56" s="74" t="s">
        <v>1957</v>
      </c>
      <c r="AX56" s="73">
        <f t="shared" si="225"/>
        <v>0</v>
      </c>
      <c r="AY56" s="65"/>
      <c r="AZ56" s="74" t="s">
        <v>1959</v>
      </c>
      <c r="BA56" s="73">
        <f t="shared" si="225"/>
        <v>12</v>
      </c>
      <c r="BB56" s="65"/>
      <c r="BC56" s="74" t="s">
        <v>1950</v>
      </c>
      <c r="BD56" s="73">
        <f t="shared" si="225"/>
        <v>10</v>
      </c>
      <c r="BE56" s="65"/>
      <c r="BF56" s="74" t="s">
        <v>1957</v>
      </c>
      <c r="BG56" s="73">
        <f t="shared" si="225"/>
        <v>0</v>
      </c>
      <c r="BH56" s="65"/>
      <c r="BI56" s="74" t="s">
        <v>1950</v>
      </c>
      <c r="BJ56" s="73">
        <f t="shared" si="225"/>
        <v>10</v>
      </c>
      <c r="BK56" s="65"/>
      <c r="BL56" s="74" t="s">
        <v>1957</v>
      </c>
      <c r="BM56" s="73">
        <f t="shared" si="225"/>
        <v>0</v>
      </c>
      <c r="BN56" s="65"/>
      <c r="BO56" s="74" t="s">
        <v>1954</v>
      </c>
      <c r="BP56" s="73">
        <f t="shared" si="225"/>
        <v>20</v>
      </c>
      <c r="BQ56" s="65"/>
      <c r="BR56" s="74" t="s">
        <v>1957</v>
      </c>
      <c r="BS56" s="73">
        <f t="shared" si="225"/>
        <v>0</v>
      </c>
      <c r="BT56" s="65"/>
      <c r="BU56" s="74" t="s">
        <v>1950</v>
      </c>
      <c r="BV56" s="73">
        <f t="shared" si="225"/>
        <v>10</v>
      </c>
      <c r="BW56" s="65"/>
      <c r="BX56" s="74" t="s">
        <v>1957</v>
      </c>
      <c r="BY56" s="73">
        <f t="shared" si="225"/>
        <v>0</v>
      </c>
      <c r="BZ56" s="65"/>
      <c r="CA56" s="74" t="s">
        <v>1949</v>
      </c>
      <c r="CB56" s="73">
        <f t="shared" si="225"/>
        <v>10</v>
      </c>
      <c r="CC56" s="65"/>
      <c r="CD56" s="74" t="s">
        <v>1954</v>
      </c>
      <c r="CE56" s="73">
        <f t="shared" si="225"/>
        <v>20</v>
      </c>
      <c r="CF56" s="65"/>
      <c r="CG56" s="74" t="s">
        <v>1957</v>
      </c>
      <c r="CH56" s="73">
        <f t="shared" si="225"/>
        <v>0</v>
      </c>
      <c r="CI56" s="65"/>
      <c r="CJ56" s="74" t="s">
        <v>1950</v>
      </c>
      <c r="CK56" s="73">
        <f t="shared" si="224"/>
        <v>10</v>
      </c>
      <c r="CL56" s="65"/>
      <c r="CM56" s="74" t="s">
        <v>1943</v>
      </c>
      <c r="CN56" s="73">
        <f t="shared" si="224"/>
        <v>12</v>
      </c>
      <c r="CO56" s="65"/>
      <c r="CP56" s="74" t="s">
        <v>1950</v>
      </c>
      <c r="CQ56" s="73">
        <f t="shared" si="224"/>
        <v>10</v>
      </c>
      <c r="CR56" s="65"/>
      <c r="CS56" s="74" t="s">
        <v>1950</v>
      </c>
      <c r="CT56" s="73">
        <f t="shared" si="224"/>
        <v>10</v>
      </c>
      <c r="CU56" s="65"/>
      <c r="CV56" s="74" t="s">
        <v>1957</v>
      </c>
      <c r="CW56" s="73">
        <f t="shared" si="224"/>
        <v>0</v>
      </c>
      <c r="CX56" s="65"/>
      <c r="CY56" s="74" t="s">
        <v>1947</v>
      </c>
      <c r="CZ56" s="73">
        <f t="shared" si="224"/>
        <v>10</v>
      </c>
      <c r="DA56" s="65"/>
      <c r="DB56" s="74" t="s">
        <v>1954</v>
      </c>
      <c r="DC56" s="73">
        <f t="shared" si="224"/>
        <v>20</v>
      </c>
      <c r="DD56" s="65"/>
      <c r="DE56" s="74" t="s">
        <v>1944</v>
      </c>
      <c r="DF56" s="73">
        <f t="shared" si="224"/>
        <v>0</v>
      </c>
      <c r="DG56" s="65"/>
      <c r="DH56" s="74" t="s">
        <v>2000</v>
      </c>
      <c r="DI56" s="73">
        <f t="shared" si="224"/>
        <v>0</v>
      </c>
      <c r="DJ56" s="65"/>
      <c r="DK56" s="74" t="s">
        <v>1957</v>
      </c>
      <c r="DL56" s="73">
        <f t="shared" si="224"/>
        <v>0</v>
      </c>
      <c r="DM56" s="65"/>
      <c r="DN56" s="74" t="s">
        <v>1959</v>
      </c>
      <c r="DO56" s="73">
        <f t="shared" si="224"/>
        <v>12</v>
      </c>
      <c r="DP56" s="65"/>
      <c r="DQ56" s="74" t="s">
        <v>1957</v>
      </c>
      <c r="DR56" s="73">
        <f t="shared" si="224"/>
        <v>0</v>
      </c>
      <c r="DS56" s="65"/>
      <c r="DT56" s="74" t="s">
        <v>1957</v>
      </c>
      <c r="DU56" s="73">
        <f t="shared" si="224"/>
        <v>0</v>
      </c>
      <c r="DV56" s="65"/>
      <c r="DW56" s="74" t="s">
        <v>1954</v>
      </c>
      <c r="DX56" s="73">
        <f t="shared" ref="DX56:GI67" si="227">IFERROR(IF($M56=DW56,($D$8+$D$9+$D$10)*$I56,IF($N56=LEFT(DW56,1),($D$8+MAX(0,IF($D$50=1,$D$9*(1-(ABS($Q56-ABS(VALUE(MID(DW56,FIND("|",DW56)+1,FIND("-",DW56)-FIND("|",DW56)-1))-VALUE(MID(DW56,FIND("-",DW56)+1,10)))))*$D$50),$D$9*(1-(IF($N56="X",ABS($O56-VALUE(MID(DW56,FIND("|",DW56)+1,FIND("-",DW56)-FIND("|",DW56)-1))),ABS($Q56-ABS(VALUE(MID(DW56,FIND("|",DW56)+1,FIND("-",DW56)-FIND("|",DW56)-1))-VALUE(MID(DW56,FIND("-",DW56)+1,10)))))*$D$50)))))*$I56,0)),0)</f>
        <v>20</v>
      </c>
      <c r="DY56" s="65"/>
      <c r="DZ56" s="74" t="s">
        <v>1957</v>
      </c>
      <c r="EA56" s="73">
        <f t="shared" si="227"/>
        <v>0</v>
      </c>
      <c r="EB56" s="65"/>
      <c r="EC56" s="74" t="s">
        <v>1957</v>
      </c>
      <c r="ED56" s="73">
        <f t="shared" si="227"/>
        <v>0</v>
      </c>
      <c r="EE56" s="65"/>
      <c r="EF56" s="74" t="s">
        <v>1959</v>
      </c>
      <c r="EG56" s="73">
        <f t="shared" si="227"/>
        <v>12</v>
      </c>
      <c r="EH56" s="65"/>
      <c r="EI56" s="74" t="s">
        <v>2133</v>
      </c>
      <c r="EJ56" s="73">
        <f t="shared" si="227"/>
        <v>0</v>
      </c>
      <c r="EK56" s="65"/>
      <c r="EL56" s="74" t="s">
        <v>1954</v>
      </c>
      <c r="EM56" s="73">
        <f t="shared" si="227"/>
        <v>20</v>
      </c>
      <c r="EN56" s="65"/>
      <c r="EO56" s="74" t="s">
        <v>1954</v>
      </c>
      <c r="EP56" s="73">
        <f t="shared" si="227"/>
        <v>20</v>
      </c>
      <c r="EQ56" s="65"/>
      <c r="ER56" s="74" t="s">
        <v>1957</v>
      </c>
      <c r="ES56" s="73">
        <f t="shared" si="227"/>
        <v>0</v>
      </c>
      <c r="ET56" s="65"/>
      <c r="EU56" s="74" t="s">
        <v>1957</v>
      </c>
      <c r="EV56" s="73">
        <f t="shared" si="227"/>
        <v>0</v>
      </c>
      <c r="EW56" s="65"/>
      <c r="EX56" s="74" t="s">
        <v>1957</v>
      </c>
      <c r="EY56" s="73">
        <f t="shared" si="227"/>
        <v>0</v>
      </c>
      <c r="EZ56" s="65"/>
      <c r="FA56" s="74" t="s">
        <v>1957</v>
      </c>
      <c r="FB56" s="73">
        <f t="shared" si="227"/>
        <v>0</v>
      </c>
      <c r="FC56" s="65"/>
      <c r="FD56" s="74" t="s">
        <v>1957</v>
      </c>
      <c r="FE56" s="73">
        <f t="shared" si="227"/>
        <v>0</v>
      </c>
      <c r="FF56" s="65"/>
      <c r="FG56" s="74" t="s">
        <v>1944</v>
      </c>
      <c r="FH56" s="73">
        <f t="shared" si="227"/>
        <v>0</v>
      </c>
      <c r="FI56" s="65"/>
      <c r="FJ56" s="74" t="s">
        <v>1954</v>
      </c>
      <c r="FK56" s="73">
        <f t="shared" si="227"/>
        <v>20</v>
      </c>
      <c r="FL56" s="65"/>
      <c r="FM56" s="74" t="s">
        <v>1954</v>
      </c>
      <c r="FN56" s="73">
        <f t="shared" si="227"/>
        <v>20</v>
      </c>
      <c r="FO56" s="65"/>
      <c r="FP56" s="74" t="s">
        <v>1959</v>
      </c>
      <c r="FQ56" s="73">
        <f t="shared" si="227"/>
        <v>12</v>
      </c>
      <c r="FR56" s="65"/>
      <c r="FS56" s="74" t="s">
        <v>1959</v>
      </c>
      <c r="FT56" s="73">
        <f t="shared" si="227"/>
        <v>12</v>
      </c>
      <c r="FU56" s="65"/>
      <c r="FV56" s="74" t="s">
        <v>1957</v>
      </c>
      <c r="FW56" s="73">
        <f t="shared" si="227"/>
        <v>0</v>
      </c>
      <c r="FX56" s="65"/>
      <c r="FY56" s="74" t="s">
        <v>2133</v>
      </c>
      <c r="FZ56" s="73">
        <f t="shared" si="227"/>
        <v>0</v>
      </c>
      <c r="GA56" s="65"/>
      <c r="GB56" s="74" t="s">
        <v>1957</v>
      </c>
      <c r="GC56" s="73">
        <f t="shared" si="227"/>
        <v>0</v>
      </c>
      <c r="GD56" s="65"/>
      <c r="GE56" s="74" t="s">
        <v>1954</v>
      </c>
      <c r="GF56" s="73">
        <f t="shared" si="227"/>
        <v>20</v>
      </c>
      <c r="GG56" s="65"/>
      <c r="GH56" s="74" t="s">
        <v>1944</v>
      </c>
      <c r="GI56" s="73">
        <f t="shared" si="227"/>
        <v>0</v>
      </c>
      <c r="GJ56" s="65"/>
      <c r="GK56" s="74" t="s">
        <v>1954</v>
      </c>
      <c r="GL56" s="73">
        <f t="shared" si="226"/>
        <v>20</v>
      </c>
      <c r="GM56" s="65"/>
      <c r="GN56" s="74"/>
      <c r="GO56" s="73">
        <f t="shared" si="226"/>
        <v>0</v>
      </c>
      <c r="GP56" s="65"/>
      <c r="GQ56" s="74"/>
      <c r="GR56" s="73">
        <f t="shared" si="226"/>
        <v>0</v>
      </c>
      <c r="GS56" s="65"/>
      <c r="GT56" s="74"/>
      <c r="GU56" s="73">
        <f t="shared" si="226"/>
        <v>0</v>
      </c>
      <c r="GV56" s="65"/>
      <c r="GW56" s="74"/>
      <c r="GX56" s="73">
        <f t="shared" si="226"/>
        <v>0</v>
      </c>
      <c r="GY56" s="65"/>
      <c r="GZ56" s="74"/>
      <c r="HA56" s="73">
        <f t="shared" si="226"/>
        <v>0</v>
      </c>
      <c r="HB56" s="65"/>
      <c r="HC56" s="74"/>
      <c r="HD56" s="73">
        <f t="shared" si="226"/>
        <v>0</v>
      </c>
      <c r="HE56" s="65"/>
      <c r="HF56" s="74"/>
      <c r="HG56" s="73">
        <f t="shared" si="226"/>
        <v>0</v>
      </c>
      <c r="HH56" s="65"/>
      <c r="HI56" s="74"/>
      <c r="HJ56" s="73">
        <f t="shared" si="226"/>
        <v>0</v>
      </c>
      <c r="HK56" s="65"/>
      <c r="HL56" s="74"/>
      <c r="HM56" s="73">
        <f t="shared" si="226"/>
        <v>0</v>
      </c>
      <c r="HN56" s="65"/>
      <c r="HO56" s="74"/>
      <c r="HP56" s="73">
        <f t="shared" si="226"/>
        <v>0</v>
      </c>
      <c r="HQ56" s="65"/>
      <c r="HR56" s="74"/>
      <c r="HS56" s="73">
        <f t="shared" si="226"/>
        <v>0</v>
      </c>
      <c r="HT56" s="65"/>
      <c r="HU56" s="74"/>
      <c r="HV56" s="73">
        <f t="shared" si="226"/>
        <v>0</v>
      </c>
      <c r="HW56" s="65"/>
      <c r="HX56" s="74"/>
      <c r="HY56" s="73">
        <f t="shared" si="223"/>
        <v>0</v>
      </c>
      <c r="HZ56" s="65"/>
      <c r="IA56" s="74"/>
      <c r="IB56" s="73">
        <f t="shared" si="223"/>
        <v>0</v>
      </c>
      <c r="IC56" s="65"/>
      <c r="ID56" s="74"/>
      <c r="IE56" s="73">
        <f t="shared" si="223"/>
        <v>0</v>
      </c>
      <c r="IF56" s="65"/>
      <c r="IG56" s="74"/>
      <c r="IH56" s="73">
        <f t="shared" si="223"/>
        <v>0</v>
      </c>
      <c r="II56" s="65"/>
      <c r="IJ56" s="74"/>
      <c r="IK56" s="73">
        <f t="shared" si="223"/>
        <v>0</v>
      </c>
      <c r="IL56" s="65"/>
      <c r="IM56" s="74"/>
      <c r="IN56" s="73">
        <f t="shared" si="223"/>
        <v>0</v>
      </c>
      <c r="IO56" s="65"/>
      <c r="IP56" s="74"/>
      <c r="IQ56" s="73">
        <f t="shared" si="223"/>
        <v>0</v>
      </c>
      <c r="IR56" s="65"/>
      <c r="IS56" s="74"/>
      <c r="IT56" s="73">
        <f t="shared" si="223"/>
        <v>0</v>
      </c>
      <c r="IU56" s="65"/>
      <c r="IV56" s="74"/>
      <c r="IW56" s="73">
        <f t="shared" si="223"/>
        <v>0</v>
      </c>
      <c r="IX56" s="65"/>
      <c r="IY56" s="74"/>
      <c r="IZ56" s="73">
        <f t="shared" si="223"/>
        <v>0</v>
      </c>
      <c r="JA56" s="65"/>
      <c r="JB56" s="74"/>
      <c r="JC56" s="73">
        <f t="shared" si="223"/>
        <v>0</v>
      </c>
      <c r="JD56" s="65"/>
      <c r="JE56" s="74"/>
      <c r="JF56" s="73">
        <f t="shared" si="223"/>
        <v>0</v>
      </c>
      <c r="JG56" s="65"/>
      <c r="JH56" s="74"/>
      <c r="JI56" s="73">
        <f t="shared" si="223"/>
        <v>0</v>
      </c>
      <c r="JJ56" s="65"/>
      <c r="JK56" s="74"/>
      <c r="JL56" s="73">
        <f t="shared" si="223"/>
        <v>0</v>
      </c>
      <c r="JM56" s="65"/>
      <c r="JN56" s="74"/>
      <c r="JO56" s="73">
        <f t="shared" si="223"/>
        <v>0</v>
      </c>
      <c r="JP56" s="65"/>
      <c r="JQ56" s="74"/>
      <c r="JR56" s="73">
        <f t="shared" si="223"/>
        <v>0</v>
      </c>
      <c r="JS56" s="65"/>
      <c r="JT56" s="74"/>
      <c r="JU56" s="73">
        <f t="shared" si="223"/>
        <v>0</v>
      </c>
      <c r="JV56" s="65"/>
      <c r="JW56" s="74"/>
      <c r="JX56" s="73">
        <f t="shared" si="223"/>
        <v>0</v>
      </c>
      <c r="JY56" s="65"/>
      <c r="JZ56" s="74"/>
      <c r="KA56" s="73">
        <f t="shared" si="223"/>
        <v>0</v>
      </c>
      <c r="KB56" s="65"/>
      <c r="KC56" s="74"/>
      <c r="KD56" s="73">
        <f t="shared" si="223"/>
        <v>0</v>
      </c>
      <c r="KE56" s="65"/>
      <c r="KF56" s="74"/>
      <c r="KG56" s="73">
        <f t="shared" si="223"/>
        <v>0</v>
      </c>
      <c r="KH56" s="65"/>
      <c r="KI56" s="74"/>
      <c r="KJ56" s="73">
        <f t="shared" si="223"/>
        <v>0</v>
      </c>
      <c r="KK56" s="65"/>
      <c r="KL56" s="74"/>
      <c r="KM56" s="73">
        <f t="shared" si="218"/>
        <v>0</v>
      </c>
      <c r="KN56" s="65"/>
      <c r="KO56" s="74"/>
      <c r="KP56" s="73">
        <f t="shared" si="216"/>
        <v>0</v>
      </c>
      <c r="KQ56" s="65"/>
      <c r="KR56" s="74"/>
      <c r="KS56" s="73">
        <f t="shared" si="216"/>
        <v>0</v>
      </c>
      <c r="KT56" s="65"/>
      <c r="KU56" s="74"/>
      <c r="KV56" s="73">
        <f t="shared" si="216"/>
        <v>0</v>
      </c>
      <c r="KW56" s="65"/>
      <c r="KX56" s="74"/>
      <c r="KY56" s="73">
        <f t="shared" si="216"/>
        <v>0</v>
      </c>
      <c r="KZ56" s="65"/>
      <c r="LA56" s="74"/>
      <c r="LB56" s="73">
        <f t="shared" si="216"/>
        <v>0</v>
      </c>
      <c r="LC56" s="65"/>
      <c r="LD56" s="74"/>
      <c r="LE56" s="73">
        <f t="shared" si="216"/>
        <v>0</v>
      </c>
      <c r="LF56" s="65"/>
      <c r="LG56" s="65"/>
    </row>
    <row r="57" spans="1:319">
      <c r="A57" s="49"/>
      <c r="B57" s="49"/>
      <c r="C57" s="120" t="str">
        <f>"MAX. "&amp;UPPER(Idiomas!D260)</f>
        <v>MAX. ROUND OF 32</v>
      </c>
      <c r="D57" s="123">
        <f>SUM($D$16:$D$18)*SUM($I$164:$I$179)+$D$19*16</f>
        <v>480</v>
      </c>
      <c r="E57" s="111"/>
      <c r="F57" s="445">
        <f t="shared" si="197"/>
        <v>20</v>
      </c>
      <c r="G57" s="445">
        <f ca="1">VLOOKUP(H57,Equipos!$Q$1:$R$25,2,0)</f>
        <v>14</v>
      </c>
      <c r="H57" s="446">
        <f ca="1">TRUNC(INDEX(WORLDCUP!$X$4:$X$147,MATCH(ADMIN!K57,WORLDCUP!$DT$4:$DT$147,0))+INDEX(Horarios!$R$3:$R$86,MATCH(Horarios!$C$3,Horarios!$P$3:$P$86,0))/24)</f>
        <v>46197</v>
      </c>
      <c r="I57" s="48">
        <v>1</v>
      </c>
      <c r="J57" s="96" t="s">
        <v>125</v>
      </c>
      <c r="K57" s="53" t="str">
        <f ca="1">CONCATENATE(WORLDCUP!AA17,"-",WORLDCUP!AF17)</f>
        <v>Bosnia and Herzegovina-Qatar</v>
      </c>
      <c r="L57" s="53"/>
      <c r="M57" s="55" t="str">
        <f>IF(OR(WORLDCUP!AC17="",WORLDCUP!AD17=""),"-",N57&amp;"|"&amp;O57&amp;"-"&amp;P57)</f>
        <v>1|3-1</v>
      </c>
      <c r="N57" s="25" t="str">
        <f>IF(OR(WORLDCUP!AC17="",WORLDCUP!AD17=""),"",IF(WORLDCUP!AC17&gt;WORLDCUP!AD17,"1",IF(WORLDCUP!AC17&lt;WORLDCUP!AD17,"2","X")))</f>
        <v>1</v>
      </c>
      <c r="O57" s="25">
        <f>WORLDCUP!AC17</f>
        <v>3</v>
      </c>
      <c r="P57" s="25">
        <f>WORLDCUP!AD17</f>
        <v>1</v>
      </c>
      <c r="Q57" s="25">
        <f t="shared" si="201"/>
        <v>2</v>
      </c>
      <c r="R57" s="49"/>
      <c r="S57" s="74" t="s">
        <v>1955</v>
      </c>
      <c r="T57" s="73">
        <f t="shared" si="198"/>
        <v>0</v>
      </c>
      <c r="U57" s="65"/>
      <c r="V57" s="74" t="s">
        <v>1959</v>
      </c>
      <c r="W57" s="73">
        <f t="shared" si="219"/>
        <v>10</v>
      </c>
      <c r="X57" s="65"/>
      <c r="Y57" s="74" t="s">
        <v>1959</v>
      </c>
      <c r="Z57" s="73">
        <f t="shared" si="225"/>
        <v>10</v>
      </c>
      <c r="AA57" s="65"/>
      <c r="AB57" s="74" t="s">
        <v>1954</v>
      </c>
      <c r="AC57" s="73">
        <f t="shared" si="225"/>
        <v>10</v>
      </c>
      <c r="AD57" s="65"/>
      <c r="AE57" s="74" t="s">
        <v>1959</v>
      </c>
      <c r="AF57" s="73">
        <f t="shared" si="225"/>
        <v>10</v>
      </c>
      <c r="AG57" s="65"/>
      <c r="AH57" s="74" t="s">
        <v>1950</v>
      </c>
      <c r="AI57" s="73">
        <f t="shared" si="225"/>
        <v>12</v>
      </c>
      <c r="AJ57" s="65"/>
      <c r="AK57" s="74" t="s">
        <v>1957</v>
      </c>
      <c r="AL57" s="73">
        <f t="shared" si="225"/>
        <v>0</v>
      </c>
      <c r="AM57" s="65"/>
      <c r="AN57" s="74" t="s">
        <v>1957</v>
      </c>
      <c r="AO57" s="73">
        <f t="shared" si="225"/>
        <v>0</v>
      </c>
      <c r="AP57" s="65"/>
      <c r="AQ57" s="74" t="s">
        <v>1950</v>
      </c>
      <c r="AR57" s="73">
        <f t="shared" si="225"/>
        <v>12</v>
      </c>
      <c r="AS57" s="65"/>
      <c r="AT57" s="74" t="s">
        <v>1957</v>
      </c>
      <c r="AU57" s="73">
        <f t="shared" si="225"/>
        <v>0</v>
      </c>
      <c r="AV57" s="65"/>
      <c r="AW57" s="74" t="s">
        <v>1959</v>
      </c>
      <c r="AX57" s="73">
        <f t="shared" si="225"/>
        <v>10</v>
      </c>
      <c r="AY57" s="65"/>
      <c r="AZ57" s="74" t="s">
        <v>1954</v>
      </c>
      <c r="BA57" s="73">
        <f t="shared" si="225"/>
        <v>10</v>
      </c>
      <c r="BB57" s="65"/>
      <c r="BC57" s="74" t="s">
        <v>1954</v>
      </c>
      <c r="BD57" s="73">
        <f t="shared" si="225"/>
        <v>10</v>
      </c>
      <c r="BE57" s="65"/>
      <c r="BF57" s="74" t="s">
        <v>1959</v>
      </c>
      <c r="BG57" s="73">
        <f t="shared" si="225"/>
        <v>10</v>
      </c>
      <c r="BH57" s="65"/>
      <c r="BI57" s="74" t="s">
        <v>1954</v>
      </c>
      <c r="BJ57" s="73">
        <f t="shared" si="225"/>
        <v>10</v>
      </c>
      <c r="BK57" s="65"/>
      <c r="BL57" s="74" t="s">
        <v>1954</v>
      </c>
      <c r="BM57" s="73">
        <f t="shared" si="225"/>
        <v>10</v>
      </c>
      <c r="BN57" s="65"/>
      <c r="BO57" s="74" t="s">
        <v>1959</v>
      </c>
      <c r="BP57" s="73">
        <f t="shared" si="225"/>
        <v>10</v>
      </c>
      <c r="BQ57" s="65"/>
      <c r="BR57" s="74" t="s">
        <v>1950</v>
      </c>
      <c r="BS57" s="73">
        <f t="shared" si="225"/>
        <v>12</v>
      </c>
      <c r="BT57" s="65"/>
      <c r="BU57" s="74" t="s">
        <v>1954</v>
      </c>
      <c r="BV57" s="73">
        <f t="shared" si="225"/>
        <v>10</v>
      </c>
      <c r="BW57" s="65"/>
      <c r="BX57" s="74" t="s">
        <v>2133</v>
      </c>
      <c r="BY57" s="73">
        <f t="shared" si="225"/>
        <v>0</v>
      </c>
      <c r="BZ57" s="65"/>
      <c r="CA57" s="74" t="s">
        <v>1959</v>
      </c>
      <c r="CB57" s="73">
        <f t="shared" si="225"/>
        <v>10</v>
      </c>
      <c r="CC57" s="65"/>
      <c r="CD57" s="74" t="s">
        <v>1953</v>
      </c>
      <c r="CE57" s="73">
        <f t="shared" si="225"/>
        <v>0</v>
      </c>
      <c r="CF57" s="65"/>
      <c r="CG57" s="74" t="s">
        <v>1954</v>
      </c>
      <c r="CH57" s="73">
        <f t="shared" si="225"/>
        <v>10</v>
      </c>
      <c r="CI57" s="65"/>
      <c r="CJ57" s="74" t="s">
        <v>1957</v>
      </c>
      <c r="CK57" s="73">
        <f t="shared" si="224"/>
        <v>0</v>
      </c>
      <c r="CL57" s="65"/>
      <c r="CM57" s="74" t="s">
        <v>1954</v>
      </c>
      <c r="CN57" s="73">
        <f t="shared" si="224"/>
        <v>10</v>
      </c>
      <c r="CO57" s="65"/>
      <c r="CP57" s="74" t="s">
        <v>1950</v>
      </c>
      <c r="CQ57" s="73">
        <f t="shared" si="224"/>
        <v>12</v>
      </c>
      <c r="CR57" s="65"/>
      <c r="CS57" s="74" t="s">
        <v>1957</v>
      </c>
      <c r="CT57" s="73">
        <f t="shared" si="224"/>
        <v>0</v>
      </c>
      <c r="CU57" s="65"/>
      <c r="CV57" s="74" t="s">
        <v>2000</v>
      </c>
      <c r="CW57" s="73">
        <f t="shared" si="224"/>
        <v>0</v>
      </c>
      <c r="CX57" s="65"/>
      <c r="CY57" s="74" t="s">
        <v>1954</v>
      </c>
      <c r="CZ57" s="73">
        <f t="shared" si="224"/>
        <v>10</v>
      </c>
      <c r="DA57" s="65"/>
      <c r="DB57" s="74" t="s">
        <v>1953</v>
      </c>
      <c r="DC57" s="73">
        <f t="shared" si="224"/>
        <v>0</v>
      </c>
      <c r="DD57" s="65"/>
      <c r="DE57" s="74" t="s">
        <v>1944</v>
      </c>
      <c r="DF57" s="73">
        <f t="shared" si="224"/>
        <v>0</v>
      </c>
      <c r="DG57" s="65"/>
      <c r="DH57" s="74" t="s">
        <v>1954</v>
      </c>
      <c r="DI57" s="73">
        <f t="shared" si="224"/>
        <v>10</v>
      </c>
      <c r="DJ57" s="65"/>
      <c r="DK57" s="74" t="s">
        <v>1954</v>
      </c>
      <c r="DL57" s="73">
        <f t="shared" si="224"/>
        <v>10</v>
      </c>
      <c r="DM57" s="65"/>
      <c r="DN57" s="74" t="s">
        <v>1950</v>
      </c>
      <c r="DO57" s="73">
        <f t="shared" si="224"/>
        <v>12</v>
      </c>
      <c r="DP57" s="65"/>
      <c r="DQ57" s="74" t="s">
        <v>2133</v>
      </c>
      <c r="DR57" s="73">
        <f t="shared" si="224"/>
        <v>0</v>
      </c>
      <c r="DS57" s="65"/>
      <c r="DT57" s="74" t="s">
        <v>1954</v>
      </c>
      <c r="DU57" s="73">
        <f t="shared" si="224"/>
        <v>10</v>
      </c>
      <c r="DV57" s="65"/>
      <c r="DW57" s="74" t="s">
        <v>1958</v>
      </c>
      <c r="DX57" s="73">
        <f t="shared" si="227"/>
        <v>10</v>
      </c>
      <c r="DY57" s="65"/>
      <c r="DZ57" s="74" t="s">
        <v>1954</v>
      </c>
      <c r="EA57" s="73">
        <f t="shared" si="227"/>
        <v>10</v>
      </c>
      <c r="EB57" s="65"/>
      <c r="EC57" s="74" t="s">
        <v>1950</v>
      </c>
      <c r="ED57" s="73">
        <f t="shared" si="227"/>
        <v>12</v>
      </c>
      <c r="EE57" s="65"/>
      <c r="EF57" s="74" t="s">
        <v>1959</v>
      </c>
      <c r="EG57" s="73">
        <f t="shared" si="227"/>
        <v>10</v>
      </c>
      <c r="EH57" s="65"/>
      <c r="EI57" s="74" t="s">
        <v>1950</v>
      </c>
      <c r="EJ57" s="73">
        <f t="shared" si="227"/>
        <v>12</v>
      </c>
      <c r="EK57" s="65"/>
      <c r="EL57" s="74" t="s">
        <v>1957</v>
      </c>
      <c r="EM57" s="73">
        <f t="shared" si="227"/>
        <v>0</v>
      </c>
      <c r="EN57" s="65"/>
      <c r="EO57" s="74" t="s">
        <v>1950</v>
      </c>
      <c r="EP57" s="73">
        <f t="shared" si="227"/>
        <v>12</v>
      </c>
      <c r="EQ57" s="65"/>
      <c r="ER57" s="74" t="s">
        <v>1957</v>
      </c>
      <c r="ES57" s="73">
        <f t="shared" si="227"/>
        <v>0</v>
      </c>
      <c r="ET57" s="65"/>
      <c r="EU57" s="74" t="s">
        <v>1957</v>
      </c>
      <c r="EV57" s="73">
        <f t="shared" si="227"/>
        <v>0</v>
      </c>
      <c r="EW57" s="65"/>
      <c r="EX57" s="74" t="s">
        <v>1954</v>
      </c>
      <c r="EY57" s="73">
        <f t="shared" si="227"/>
        <v>10</v>
      </c>
      <c r="EZ57" s="65"/>
      <c r="FA57" s="74" t="s">
        <v>1950</v>
      </c>
      <c r="FB57" s="73">
        <f t="shared" si="227"/>
        <v>12</v>
      </c>
      <c r="FC57" s="65"/>
      <c r="FD57" s="74" t="s">
        <v>2000</v>
      </c>
      <c r="FE57" s="73">
        <f t="shared" si="227"/>
        <v>0</v>
      </c>
      <c r="FF57" s="65"/>
      <c r="FG57" s="74" t="s">
        <v>1959</v>
      </c>
      <c r="FH57" s="73">
        <f t="shared" si="227"/>
        <v>10</v>
      </c>
      <c r="FI57" s="65"/>
      <c r="FJ57" s="74" t="s">
        <v>1959</v>
      </c>
      <c r="FK57" s="73">
        <f t="shared" si="227"/>
        <v>10</v>
      </c>
      <c r="FL57" s="65"/>
      <c r="FM57" s="74" t="s">
        <v>1959</v>
      </c>
      <c r="FN57" s="73">
        <f t="shared" si="227"/>
        <v>10</v>
      </c>
      <c r="FO57" s="65"/>
      <c r="FP57" s="74" t="s">
        <v>1950</v>
      </c>
      <c r="FQ57" s="73">
        <f t="shared" si="227"/>
        <v>12</v>
      </c>
      <c r="FR57" s="65"/>
      <c r="FS57" s="74" t="s">
        <v>1950</v>
      </c>
      <c r="FT57" s="73">
        <f t="shared" si="227"/>
        <v>12</v>
      </c>
      <c r="FU57" s="65"/>
      <c r="FV57" s="74" t="s">
        <v>1959</v>
      </c>
      <c r="FW57" s="73">
        <f t="shared" si="227"/>
        <v>10</v>
      </c>
      <c r="FX57" s="65"/>
      <c r="FY57" s="74" t="s">
        <v>1949</v>
      </c>
      <c r="FZ57" s="73">
        <f t="shared" si="227"/>
        <v>20</v>
      </c>
      <c r="GA57" s="65"/>
      <c r="GB57" s="74" t="s">
        <v>1959</v>
      </c>
      <c r="GC57" s="73">
        <f t="shared" si="227"/>
        <v>10</v>
      </c>
      <c r="GD57" s="65"/>
      <c r="GE57" s="74" t="s">
        <v>1954</v>
      </c>
      <c r="GF57" s="73">
        <f t="shared" si="227"/>
        <v>10</v>
      </c>
      <c r="GG57" s="65"/>
      <c r="GH57" s="74" t="s">
        <v>1957</v>
      </c>
      <c r="GI57" s="73">
        <f t="shared" si="227"/>
        <v>0</v>
      </c>
      <c r="GJ57" s="65"/>
      <c r="GK57" s="74" t="s">
        <v>1950</v>
      </c>
      <c r="GL57" s="73">
        <f t="shared" si="226"/>
        <v>12</v>
      </c>
      <c r="GM57" s="65"/>
      <c r="GN57" s="74"/>
      <c r="GO57" s="73">
        <f t="shared" si="226"/>
        <v>0</v>
      </c>
      <c r="GP57" s="65"/>
      <c r="GQ57" s="74"/>
      <c r="GR57" s="73">
        <f t="shared" si="226"/>
        <v>0</v>
      </c>
      <c r="GS57" s="65"/>
      <c r="GT57" s="74"/>
      <c r="GU57" s="73">
        <f t="shared" si="226"/>
        <v>0</v>
      </c>
      <c r="GV57" s="65"/>
      <c r="GW57" s="74"/>
      <c r="GX57" s="73">
        <f t="shared" si="226"/>
        <v>0</v>
      </c>
      <c r="GY57" s="65"/>
      <c r="GZ57" s="74"/>
      <c r="HA57" s="73">
        <f t="shared" si="226"/>
        <v>0</v>
      </c>
      <c r="HB57" s="65"/>
      <c r="HC57" s="74"/>
      <c r="HD57" s="73">
        <f t="shared" si="226"/>
        <v>0</v>
      </c>
      <c r="HE57" s="65"/>
      <c r="HF57" s="74"/>
      <c r="HG57" s="73">
        <f t="shared" si="226"/>
        <v>0</v>
      </c>
      <c r="HH57" s="65"/>
      <c r="HI57" s="74"/>
      <c r="HJ57" s="73">
        <f t="shared" si="226"/>
        <v>0</v>
      </c>
      <c r="HK57" s="65"/>
      <c r="HL57" s="74"/>
      <c r="HM57" s="73">
        <f t="shared" si="226"/>
        <v>0</v>
      </c>
      <c r="HN57" s="65"/>
      <c r="HO57" s="74"/>
      <c r="HP57" s="73">
        <f t="shared" si="226"/>
        <v>0</v>
      </c>
      <c r="HQ57" s="65"/>
      <c r="HR57" s="74"/>
      <c r="HS57" s="73">
        <f t="shared" si="226"/>
        <v>0</v>
      </c>
      <c r="HT57" s="65"/>
      <c r="HU57" s="74"/>
      <c r="HV57" s="73">
        <f t="shared" si="226"/>
        <v>0</v>
      </c>
      <c r="HW57" s="65"/>
      <c r="HX57" s="74"/>
      <c r="HY57" s="73">
        <f t="shared" si="223"/>
        <v>0</v>
      </c>
      <c r="HZ57" s="65"/>
      <c r="IA57" s="74"/>
      <c r="IB57" s="73">
        <f t="shared" si="223"/>
        <v>0</v>
      </c>
      <c r="IC57" s="65"/>
      <c r="ID57" s="74"/>
      <c r="IE57" s="73">
        <f t="shared" si="223"/>
        <v>0</v>
      </c>
      <c r="IF57" s="65"/>
      <c r="IG57" s="74"/>
      <c r="IH57" s="73">
        <f t="shared" si="223"/>
        <v>0</v>
      </c>
      <c r="II57" s="65"/>
      <c r="IJ57" s="74"/>
      <c r="IK57" s="73">
        <f t="shared" si="223"/>
        <v>0</v>
      </c>
      <c r="IL57" s="65"/>
      <c r="IM57" s="74"/>
      <c r="IN57" s="73">
        <f t="shared" si="223"/>
        <v>0</v>
      </c>
      <c r="IO57" s="65"/>
      <c r="IP57" s="74"/>
      <c r="IQ57" s="73">
        <f t="shared" si="223"/>
        <v>0</v>
      </c>
      <c r="IR57" s="65"/>
      <c r="IS57" s="74"/>
      <c r="IT57" s="73">
        <f t="shared" si="223"/>
        <v>0</v>
      </c>
      <c r="IU57" s="65"/>
      <c r="IV57" s="74"/>
      <c r="IW57" s="73">
        <f t="shared" si="223"/>
        <v>0</v>
      </c>
      <c r="IX57" s="65"/>
      <c r="IY57" s="74"/>
      <c r="IZ57" s="73">
        <f t="shared" si="223"/>
        <v>0</v>
      </c>
      <c r="JA57" s="65"/>
      <c r="JB57" s="74"/>
      <c r="JC57" s="73">
        <f t="shared" si="223"/>
        <v>0</v>
      </c>
      <c r="JD57" s="65"/>
      <c r="JE57" s="74"/>
      <c r="JF57" s="73">
        <f t="shared" si="223"/>
        <v>0</v>
      </c>
      <c r="JG57" s="65"/>
      <c r="JH57" s="74"/>
      <c r="JI57" s="73">
        <f t="shared" si="223"/>
        <v>0</v>
      </c>
      <c r="JJ57" s="65"/>
      <c r="JK57" s="74"/>
      <c r="JL57" s="73">
        <f t="shared" si="223"/>
        <v>0</v>
      </c>
      <c r="JM57" s="65"/>
      <c r="JN57" s="74"/>
      <c r="JO57" s="73">
        <f t="shared" si="223"/>
        <v>0</v>
      </c>
      <c r="JP57" s="65"/>
      <c r="JQ57" s="74"/>
      <c r="JR57" s="73">
        <f t="shared" si="223"/>
        <v>0</v>
      </c>
      <c r="JS57" s="65"/>
      <c r="JT57" s="74"/>
      <c r="JU57" s="73">
        <f t="shared" si="223"/>
        <v>0</v>
      </c>
      <c r="JV57" s="65"/>
      <c r="JW57" s="74"/>
      <c r="JX57" s="73">
        <f t="shared" si="223"/>
        <v>0</v>
      </c>
      <c r="JY57" s="65"/>
      <c r="JZ57" s="74"/>
      <c r="KA57" s="73">
        <f t="shared" si="223"/>
        <v>0</v>
      </c>
      <c r="KB57" s="65"/>
      <c r="KC57" s="74"/>
      <c r="KD57" s="73">
        <f t="shared" si="223"/>
        <v>0</v>
      </c>
      <c r="KE57" s="65"/>
      <c r="KF57" s="74"/>
      <c r="KG57" s="73">
        <f t="shared" si="223"/>
        <v>0</v>
      </c>
      <c r="KH57" s="65"/>
      <c r="KI57" s="74"/>
      <c r="KJ57" s="73">
        <f t="shared" si="223"/>
        <v>0</v>
      </c>
      <c r="KK57" s="65"/>
      <c r="KL57" s="74"/>
      <c r="KM57" s="73">
        <f t="shared" si="218"/>
        <v>0</v>
      </c>
      <c r="KN57" s="65"/>
      <c r="KO57" s="74"/>
      <c r="KP57" s="73">
        <f t="shared" ref="KP57:LE57" si="228">IFERROR(IF($M57=KO57,($D$8+$D$9+$D$10)*$I57,IF($N57=LEFT(KO57,1),($D$8+MAX(0,IF($D$50=1,$D$9*(1-(ABS($Q57-ABS(VALUE(MID(KO57,FIND("|",KO57)+1,FIND("-",KO57)-FIND("|",KO57)-1))-VALUE(MID(KO57,FIND("-",KO57)+1,10)))))*$D$50),$D$9*(1-(IF($N57="X",ABS($O57-VALUE(MID(KO57,FIND("|",KO57)+1,FIND("-",KO57)-FIND("|",KO57)-1))),ABS($Q57-ABS(VALUE(MID(KO57,FIND("|",KO57)+1,FIND("-",KO57)-FIND("|",KO57)-1))-VALUE(MID(KO57,FIND("-",KO57)+1,10)))))*$D$50)))))*$I57,0)),0)</f>
        <v>0</v>
      </c>
      <c r="KQ57" s="65"/>
      <c r="KR57" s="74"/>
      <c r="KS57" s="73">
        <f t="shared" si="228"/>
        <v>0</v>
      </c>
      <c r="KT57" s="65"/>
      <c r="KU57" s="74"/>
      <c r="KV57" s="73">
        <f t="shared" si="228"/>
        <v>0</v>
      </c>
      <c r="KW57" s="65"/>
      <c r="KX57" s="74"/>
      <c r="KY57" s="73">
        <f t="shared" si="228"/>
        <v>0</v>
      </c>
      <c r="KZ57" s="65"/>
      <c r="LA57" s="74"/>
      <c r="LB57" s="73">
        <f t="shared" si="228"/>
        <v>0</v>
      </c>
      <c r="LC57" s="65"/>
      <c r="LD57" s="74"/>
      <c r="LE57" s="73">
        <f t="shared" si="228"/>
        <v>0</v>
      </c>
      <c r="LF57" s="65"/>
      <c r="LG57" s="65"/>
    </row>
    <row r="58" spans="1:319">
      <c r="A58" s="49"/>
      <c r="B58" s="49"/>
      <c r="C58" s="121" t="str">
        <f>"MAX. "&amp;UPPER(Idiomas!D261)</f>
        <v>MAX. ROUND OF 16</v>
      </c>
      <c r="D58" s="124">
        <f>SUM($D$20:$D$22)*SUM($I$200:$I$207)+$D$23*8</f>
        <v>320</v>
      </c>
      <c r="E58" s="111"/>
      <c r="F58" s="445">
        <f t="shared" si="197"/>
        <v>20</v>
      </c>
      <c r="G58" s="445">
        <f ca="1">VLOOKUP(H58,Equipos!$Q$1:$R$25,2,0)</f>
        <v>15</v>
      </c>
      <c r="H58" s="446">
        <f ca="1">TRUNC(INDEX(WORLDCUP!$X$4:$X$147,MATCH(ADMIN!K58,WORLDCUP!$DT$4:$DT$147,0))+INDEX(Horarios!$R$3:$R$86,MATCH(Horarios!$C$3,Horarios!$P$3:$P$86,0))/24)</f>
        <v>46198</v>
      </c>
      <c r="I58" s="48">
        <v>1</v>
      </c>
      <c r="J58" s="95" t="s">
        <v>126</v>
      </c>
      <c r="K58" s="56" t="str">
        <f ca="1">CONCATENATE(WORLDCUP!AA24,"-",WORLDCUP!AF24)</f>
        <v>Scotland-Brazil</v>
      </c>
      <c r="L58" s="53"/>
      <c r="M58" s="55" t="str">
        <f>IF(OR(WORLDCUP!AC24="",WORLDCUP!AD24=""),"-",N58&amp;"|"&amp;O58&amp;"-"&amp;P58)</f>
        <v>2|0-3</v>
      </c>
      <c r="N58" s="25" t="str">
        <f>IF(OR(WORLDCUP!AC24="",WORLDCUP!AD24=""),"",IF(WORLDCUP!AC24&gt;WORLDCUP!AD24,"1",IF(WORLDCUP!AC24&lt;WORLDCUP!AD24,"2","X")))</f>
        <v>2</v>
      </c>
      <c r="O58" s="25">
        <f>WORLDCUP!AC24</f>
        <v>0</v>
      </c>
      <c r="P58" s="25">
        <f>WORLDCUP!AD24</f>
        <v>3</v>
      </c>
      <c r="Q58" s="25">
        <f t="shared" si="201"/>
        <v>3</v>
      </c>
      <c r="R58" s="49"/>
      <c r="S58" s="74" t="s">
        <v>1946</v>
      </c>
      <c r="T58" s="73">
        <f t="shared" si="198"/>
        <v>10</v>
      </c>
      <c r="U58" s="65"/>
      <c r="V58" s="74" t="s">
        <v>1953</v>
      </c>
      <c r="W58" s="73">
        <f t="shared" si="219"/>
        <v>10</v>
      </c>
      <c r="X58" s="65"/>
      <c r="Y58" s="74" t="s">
        <v>1960</v>
      </c>
      <c r="Z58" s="73">
        <f t="shared" si="225"/>
        <v>10</v>
      </c>
      <c r="AA58" s="65"/>
      <c r="AB58" s="74" t="s">
        <v>1953</v>
      </c>
      <c r="AC58" s="73">
        <f t="shared" si="225"/>
        <v>10</v>
      </c>
      <c r="AD58" s="65"/>
      <c r="AE58" s="74" t="s">
        <v>1960</v>
      </c>
      <c r="AF58" s="73">
        <f t="shared" si="225"/>
        <v>10</v>
      </c>
      <c r="AG58" s="65"/>
      <c r="AH58" s="74" t="s">
        <v>1955</v>
      </c>
      <c r="AI58" s="73">
        <f t="shared" si="225"/>
        <v>10</v>
      </c>
      <c r="AJ58" s="65"/>
      <c r="AK58" s="74" t="s">
        <v>1960</v>
      </c>
      <c r="AL58" s="73">
        <f t="shared" si="225"/>
        <v>10</v>
      </c>
      <c r="AM58" s="65"/>
      <c r="AN58" s="74" t="s">
        <v>1953</v>
      </c>
      <c r="AO58" s="73">
        <f t="shared" si="225"/>
        <v>10</v>
      </c>
      <c r="AP58" s="65"/>
      <c r="AQ58" s="74" t="s">
        <v>1955</v>
      </c>
      <c r="AR58" s="73">
        <f t="shared" si="225"/>
        <v>10</v>
      </c>
      <c r="AS58" s="65"/>
      <c r="AT58" s="74" t="s">
        <v>1946</v>
      </c>
      <c r="AU58" s="73">
        <f t="shared" si="225"/>
        <v>10</v>
      </c>
      <c r="AV58" s="65"/>
      <c r="AW58" s="74" t="s">
        <v>1955</v>
      </c>
      <c r="AX58" s="73">
        <f t="shared" si="225"/>
        <v>10</v>
      </c>
      <c r="AY58" s="65"/>
      <c r="AZ58" s="74" t="s">
        <v>1957</v>
      </c>
      <c r="BA58" s="73">
        <f t="shared" si="225"/>
        <v>0</v>
      </c>
      <c r="BB58" s="65"/>
      <c r="BC58" s="74" t="s">
        <v>1953</v>
      </c>
      <c r="BD58" s="73">
        <f t="shared" si="225"/>
        <v>10</v>
      </c>
      <c r="BE58" s="65"/>
      <c r="BF58" s="74" t="s">
        <v>1960</v>
      </c>
      <c r="BG58" s="73">
        <f t="shared" si="225"/>
        <v>10</v>
      </c>
      <c r="BH58" s="65"/>
      <c r="BI58" s="74" t="s">
        <v>1957</v>
      </c>
      <c r="BJ58" s="73">
        <f t="shared" si="225"/>
        <v>0</v>
      </c>
      <c r="BK58" s="65"/>
      <c r="BL58" s="74" t="s">
        <v>1960</v>
      </c>
      <c r="BM58" s="73">
        <f t="shared" si="225"/>
        <v>10</v>
      </c>
      <c r="BN58" s="65"/>
      <c r="BO58" s="74" t="s">
        <v>1955</v>
      </c>
      <c r="BP58" s="73">
        <f t="shared" si="225"/>
        <v>10</v>
      </c>
      <c r="BQ58" s="65"/>
      <c r="BR58" s="74" t="s">
        <v>1955</v>
      </c>
      <c r="BS58" s="73">
        <f t="shared" si="225"/>
        <v>10</v>
      </c>
      <c r="BT58" s="65"/>
      <c r="BU58" s="74" t="s">
        <v>1960</v>
      </c>
      <c r="BV58" s="73">
        <f t="shared" si="225"/>
        <v>10</v>
      </c>
      <c r="BW58" s="65"/>
      <c r="BX58" s="74" t="s">
        <v>1953</v>
      </c>
      <c r="BY58" s="73">
        <f t="shared" si="225"/>
        <v>10</v>
      </c>
      <c r="BZ58" s="65"/>
      <c r="CA58" s="74" t="s">
        <v>1948</v>
      </c>
      <c r="CB58" s="73">
        <f t="shared" si="225"/>
        <v>20</v>
      </c>
      <c r="CC58" s="65"/>
      <c r="CD58" s="74" t="s">
        <v>1946</v>
      </c>
      <c r="CE58" s="73">
        <f t="shared" si="225"/>
        <v>10</v>
      </c>
      <c r="CF58" s="65"/>
      <c r="CG58" s="74" t="s">
        <v>1960</v>
      </c>
      <c r="CH58" s="73">
        <f t="shared" si="225"/>
        <v>10</v>
      </c>
      <c r="CI58" s="65"/>
      <c r="CJ58" s="74" t="s">
        <v>1953</v>
      </c>
      <c r="CK58" s="73">
        <f t="shared" si="224"/>
        <v>10</v>
      </c>
      <c r="CL58" s="65"/>
      <c r="CM58" s="74" t="s">
        <v>2000</v>
      </c>
      <c r="CN58" s="73">
        <f t="shared" si="224"/>
        <v>10</v>
      </c>
      <c r="CO58" s="65"/>
      <c r="CP58" s="74" t="s">
        <v>1960</v>
      </c>
      <c r="CQ58" s="73">
        <f t="shared" si="224"/>
        <v>10</v>
      </c>
      <c r="CR58" s="65"/>
      <c r="CS58" s="74" t="s">
        <v>1955</v>
      </c>
      <c r="CT58" s="73">
        <f t="shared" si="224"/>
        <v>10</v>
      </c>
      <c r="CU58" s="65"/>
      <c r="CV58" s="74" t="s">
        <v>1955</v>
      </c>
      <c r="CW58" s="73">
        <f t="shared" si="224"/>
        <v>10</v>
      </c>
      <c r="CX58" s="65"/>
      <c r="CY58" s="74" t="s">
        <v>1949</v>
      </c>
      <c r="CZ58" s="73">
        <f t="shared" si="224"/>
        <v>0</v>
      </c>
      <c r="DA58" s="65"/>
      <c r="DB58" s="74" t="s">
        <v>1951</v>
      </c>
      <c r="DC58" s="73">
        <f t="shared" si="224"/>
        <v>12</v>
      </c>
      <c r="DD58" s="65"/>
      <c r="DE58" s="74" t="s">
        <v>1948</v>
      </c>
      <c r="DF58" s="73">
        <f t="shared" si="224"/>
        <v>20</v>
      </c>
      <c r="DG58" s="65"/>
      <c r="DH58" s="74" t="s">
        <v>1960</v>
      </c>
      <c r="DI58" s="73">
        <f t="shared" si="224"/>
        <v>10</v>
      </c>
      <c r="DJ58" s="65"/>
      <c r="DK58" s="74" t="s">
        <v>1953</v>
      </c>
      <c r="DL58" s="73">
        <f t="shared" si="224"/>
        <v>10</v>
      </c>
      <c r="DM58" s="65"/>
      <c r="DN58" s="74" t="s">
        <v>1960</v>
      </c>
      <c r="DO58" s="73">
        <f t="shared" si="224"/>
        <v>10</v>
      </c>
      <c r="DP58" s="65"/>
      <c r="DQ58" s="74" t="s">
        <v>1957</v>
      </c>
      <c r="DR58" s="73">
        <f t="shared" si="224"/>
        <v>0</v>
      </c>
      <c r="DS58" s="65"/>
      <c r="DT58" s="74" t="s">
        <v>1960</v>
      </c>
      <c r="DU58" s="73">
        <f t="shared" si="224"/>
        <v>10</v>
      </c>
      <c r="DV58" s="65"/>
      <c r="DW58" s="74" t="s">
        <v>1953</v>
      </c>
      <c r="DX58" s="73">
        <f t="shared" si="227"/>
        <v>10</v>
      </c>
      <c r="DY58" s="65"/>
      <c r="DZ58" s="74" t="s">
        <v>1960</v>
      </c>
      <c r="EA58" s="73">
        <f t="shared" si="227"/>
        <v>10</v>
      </c>
      <c r="EB58" s="65"/>
      <c r="EC58" s="74" t="s">
        <v>1955</v>
      </c>
      <c r="ED58" s="73">
        <f t="shared" si="227"/>
        <v>10</v>
      </c>
      <c r="EE58" s="65"/>
      <c r="EF58" s="74" t="s">
        <v>1953</v>
      </c>
      <c r="EG58" s="73">
        <f t="shared" si="227"/>
        <v>10</v>
      </c>
      <c r="EH58" s="65"/>
      <c r="EI58" s="74" t="s">
        <v>1953</v>
      </c>
      <c r="EJ58" s="73">
        <f t="shared" si="227"/>
        <v>10</v>
      </c>
      <c r="EK58" s="65"/>
      <c r="EL58" s="74" t="s">
        <v>1955</v>
      </c>
      <c r="EM58" s="73">
        <f t="shared" si="227"/>
        <v>10</v>
      </c>
      <c r="EN58" s="65"/>
      <c r="EO58" s="74" t="s">
        <v>1960</v>
      </c>
      <c r="EP58" s="73">
        <f t="shared" si="227"/>
        <v>10</v>
      </c>
      <c r="EQ58" s="65"/>
      <c r="ER58" s="74" t="s">
        <v>1960</v>
      </c>
      <c r="ES58" s="73">
        <f t="shared" si="227"/>
        <v>10</v>
      </c>
      <c r="ET58" s="65"/>
      <c r="EU58" s="74" t="s">
        <v>1960</v>
      </c>
      <c r="EV58" s="73">
        <f t="shared" si="227"/>
        <v>10</v>
      </c>
      <c r="EW58" s="65"/>
      <c r="EX58" s="74" t="s">
        <v>1960</v>
      </c>
      <c r="EY58" s="73">
        <f t="shared" si="227"/>
        <v>10</v>
      </c>
      <c r="EZ58" s="65"/>
      <c r="FA58" s="74" t="s">
        <v>1960</v>
      </c>
      <c r="FB58" s="73">
        <f t="shared" si="227"/>
        <v>10</v>
      </c>
      <c r="FC58" s="65"/>
      <c r="FD58" s="74" t="s">
        <v>1957</v>
      </c>
      <c r="FE58" s="73">
        <f t="shared" si="227"/>
        <v>0</v>
      </c>
      <c r="FF58" s="65"/>
      <c r="FG58" s="74" t="s">
        <v>1948</v>
      </c>
      <c r="FH58" s="73">
        <f t="shared" si="227"/>
        <v>20</v>
      </c>
      <c r="FI58" s="65"/>
      <c r="FJ58" s="74" t="s">
        <v>1960</v>
      </c>
      <c r="FK58" s="73">
        <f t="shared" si="227"/>
        <v>10</v>
      </c>
      <c r="FL58" s="65"/>
      <c r="FM58" s="74" t="s">
        <v>1955</v>
      </c>
      <c r="FN58" s="73">
        <f t="shared" si="227"/>
        <v>10</v>
      </c>
      <c r="FO58" s="65"/>
      <c r="FP58" s="74" t="s">
        <v>1960</v>
      </c>
      <c r="FQ58" s="73">
        <f t="shared" si="227"/>
        <v>10</v>
      </c>
      <c r="FR58" s="65"/>
      <c r="FS58" s="74" t="s">
        <v>1960</v>
      </c>
      <c r="FT58" s="73">
        <f t="shared" si="227"/>
        <v>10</v>
      </c>
      <c r="FU58" s="65"/>
      <c r="FV58" s="74" t="s">
        <v>2000</v>
      </c>
      <c r="FW58" s="73">
        <f t="shared" si="227"/>
        <v>10</v>
      </c>
      <c r="FX58" s="65"/>
      <c r="FY58" s="74" t="s">
        <v>1960</v>
      </c>
      <c r="FZ58" s="73">
        <f t="shared" si="227"/>
        <v>10</v>
      </c>
      <c r="GA58" s="65"/>
      <c r="GB58" s="74" t="s">
        <v>1955</v>
      </c>
      <c r="GC58" s="73">
        <f t="shared" si="227"/>
        <v>10</v>
      </c>
      <c r="GD58" s="65"/>
      <c r="GE58" s="74" t="s">
        <v>1953</v>
      </c>
      <c r="GF58" s="73">
        <f t="shared" si="227"/>
        <v>10</v>
      </c>
      <c r="GG58" s="65"/>
      <c r="GH58" s="74" t="s">
        <v>1955</v>
      </c>
      <c r="GI58" s="73">
        <f t="shared" si="227"/>
        <v>10</v>
      </c>
      <c r="GJ58" s="65"/>
      <c r="GK58" s="74" t="s">
        <v>1953</v>
      </c>
      <c r="GL58" s="73">
        <f t="shared" si="226"/>
        <v>10</v>
      </c>
      <c r="GM58" s="65"/>
      <c r="GN58" s="74"/>
      <c r="GO58" s="73">
        <f t="shared" si="226"/>
        <v>0</v>
      </c>
      <c r="GP58" s="65"/>
      <c r="GQ58" s="74"/>
      <c r="GR58" s="73">
        <f t="shared" si="226"/>
        <v>0</v>
      </c>
      <c r="GS58" s="65"/>
      <c r="GT58" s="74"/>
      <c r="GU58" s="73">
        <f t="shared" si="226"/>
        <v>0</v>
      </c>
      <c r="GV58" s="65"/>
      <c r="GW58" s="74"/>
      <c r="GX58" s="73">
        <f t="shared" si="226"/>
        <v>0</v>
      </c>
      <c r="GY58" s="65"/>
      <c r="GZ58" s="74"/>
      <c r="HA58" s="73">
        <f t="shared" si="226"/>
        <v>0</v>
      </c>
      <c r="HB58" s="65"/>
      <c r="HC58" s="74"/>
      <c r="HD58" s="73">
        <f t="shared" si="226"/>
        <v>0</v>
      </c>
      <c r="HE58" s="65"/>
      <c r="HF58" s="74"/>
      <c r="HG58" s="73">
        <f t="shared" si="226"/>
        <v>0</v>
      </c>
      <c r="HH58" s="65"/>
      <c r="HI58" s="74"/>
      <c r="HJ58" s="73">
        <f t="shared" si="226"/>
        <v>0</v>
      </c>
      <c r="HK58" s="65"/>
      <c r="HL58" s="74"/>
      <c r="HM58" s="73">
        <f t="shared" si="226"/>
        <v>0</v>
      </c>
      <c r="HN58" s="65"/>
      <c r="HO58" s="74"/>
      <c r="HP58" s="73">
        <f t="shared" si="226"/>
        <v>0</v>
      </c>
      <c r="HQ58" s="65"/>
      <c r="HR58" s="74"/>
      <c r="HS58" s="73">
        <f t="shared" si="226"/>
        <v>0</v>
      </c>
      <c r="HT58" s="65"/>
      <c r="HU58" s="74"/>
      <c r="HV58" s="73">
        <f t="shared" si="226"/>
        <v>0</v>
      </c>
      <c r="HW58" s="65"/>
      <c r="HX58" s="74"/>
      <c r="HY58" s="73">
        <f t="shared" si="223"/>
        <v>0</v>
      </c>
      <c r="HZ58" s="65"/>
      <c r="IA58" s="74"/>
      <c r="IB58" s="73">
        <f t="shared" si="223"/>
        <v>0</v>
      </c>
      <c r="IC58" s="65"/>
      <c r="ID58" s="74"/>
      <c r="IE58" s="73">
        <f t="shared" si="223"/>
        <v>0</v>
      </c>
      <c r="IF58" s="65"/>
      <c r="IG58" s="74"/>
      <c r="IH58" s="73">
        <f t="shared" si="223"/>
        <v>0</v>
      </c>
      <c r="II58" s="65"/>
      <c r="IJ58" s="74"/>
      <c r="IK58" s="73">
        <f t="shared" si="223"/>
        <v>0</v>
      </c>
      <c r="IL58" s="65"/>
      <c r="IM58" s="74"/>
      <c r="IN58" s="73">
        <f t="shared" si="223"/>
        <v>0</v>
      </c>
      <c r="IO58" s="65"/>
      <c r="IP58" s="74"/>
      <c r="IQ58" s="73">
        <f t="shared" si="223"/>
        <v>0</v>
      </c>
      <c r="IR58" s="65"/>
      <c r="IS58" s="74"/>
      <c r="IT58" s="73">
        <f t="shared" si="223"/>
        <v>0</v>
      </c>
      <c r="IU58" s="65"/>
      <c r="IV58" s="74"/>
      <c r="IW58" s="73">
        <f t="shared" si="223"/>
        <v>0</v>
      </c>
      <c r="IX58" s="65"/>
      <c r="IY58" s="74"/>
      <c r="IZ58" s="73">
        <f t="shared" si="223"/>
        <v>0</v>
      </c>
      <c r="JA58" s="65"/>
      <c r="JB58" s="74"/>
      <c r="JC58" s="73">
        <f t="shared" si="223"/>
        <v>0</v>
      </c>
      <c r="JD58" s="65"/>
      <c r="JE58" s="74"/>
      <c r="JF58" s="73">
        <f t="shared" si="223"/>
        <v>0</v>
      </c>
      <c r="JG58" s="65"/>
      <c r="JH58" s="74"/>
      <c r="JI58" s="73">
        <f t="shared" si="223"/>
        <v>0</v>
      </c>
      <c r="JJ58" s="65"/>
      <c r="JK58" s="74"/>
      <c r="JL58" s="73">
        <f t="shared" ref="JL58:LE69" si="229">IFERROR(IF($M58=JK58,($D$8+$D$9+$D$10)*$I58,IF($N58=LEFT(JK58,1),($D$8+MAX(0,IF($D$50=1,$D$9*(1-(ABS($Q58-ABS(VALUE(MID(JK58,FIND("|",JK58)+1,FIND("-",JK58)-FIND("|",JK58)-1))-VALUE(MID(JK58,FIND("-",JK58)+1,10)))))*$D$50),$D$9*(1-(IF($N58="X",ABS($O58-VALUE(MID(JK58,FIND("|",JK58)+1,FIND("-",JK58)-FIND("|",JK58)-1))),ABS($Q58-ABS(VALUE(MID(JK58,FIND("|",JK58)+1,FIND("-",JK58)-FIND("|",JK58)-1))-VALUE(MID(JK58,FIND("-",JK58)+1,10)))))*$D$50)))))*$I58,0)),0)</f>
        <v>0</v>
      </c>
      <c r="JM58" s="65"/>
      <c r="JN58" s="74"/>
      <c r="JO58" s="73">
        <f t="shared" si="229"/>
        <v>0</v>
      </c>
      <c r="JP58" s="65"/>
      <c r="JQ58" s="74"/>
      <c r="JR58" s="73">
        <f t="shared" si="229"/>
        <v>0</v>
      </c>
      <c r="JS58" s="65"/>
      <c r="JT58" s="74"/>
      <c r="JU58" s="73">
        <f t="shared" si="229"/>
        <v>0</v>
      </c>
      <c r="JV58" s="65"/>
      <c r="JW58" s="74"/>
      <c r="JX58" s="73">
        <f t="shared" si="229"/>
        <v>0</v>
      </c>
      <c r="JY58" s="65"/>
      <c r="JZ58" s="74"/>
      <c r="KA58" s="73">
        <f t="shared" si="229"/>
        <v>0</v>
      </c>
      <c r="KB58" s="65"/>
      <c r="KC58" s="74"/>
      <c r="KD58" s="73">
        <f t="shared" si="229"/>
        <v>0</v>
      </c>
      <c r="KE58" s="65"/>
      <c r="KF58" s="74"/>
      <c r="KG58" s="73">
        <f t="shared" si="229"/>
        <v>0</v>
      </c>
      <c r="KH58" s="65"/>
      <c r="KI58" s="74"/>
      <c r="KJ58" s="73">
        <f t="shared" si="229"/>
        <v>0</v>
      </c>
      <c r="KK58" s="65"/>
      <c r="KL58" s="74"/>
      <c r="KM58" s="73">
        <f t="shared" si="229"/>
        <v>0</v>
      </c>
      <c r="KN58" s="65"/>
      <c r="KO58" s="74"/>
      <c r="KP58" s="73">
        <f t="shared" si="229"/>
        <v>0</v>
      </c>
      <c r="KQ58" s="65"/>
      <c r="KR58" s="74"/>
      <c r="KS58" s="73">
        <f t="shared" si="229"/>
        <v>0</v>
      </c>
      <c r="KT58" s="65"/>
      <c r="KU58" s="74"/>
      <c r="KV58" s="73">
        <f t="shared" si="229"/>
        <v>0</v>
      </c>
      <c r="KW58" s="65"/>
      <c r="KX58" s="74"/>
      <c r="KY58" s="73">
        <f t="shared" si="229"/>
        <v>0</v>
      </c>
      <c r="KZ58" s="65"/>
      <c r="LA58" s="74"/>
      <c r="LB58" s="73">
        <f t="shared" si="229"/>
        <v>0</v>
      </c>
      <c r="LC58" s="65"/>
      <c r="LD58" s="74"/>
      <c r="LE58" s="73">
        <f t="shared" si="229"/>
        <v>0</v>
      </c>
      <c r="LF58" s="65"/>
      <c r="LG58" s="65"/>
    </row>
    <row r="59" spans="1:319">
      <c r="A59" s="49"/>
      <c r="B59" s="49"/>
      <c r="C59" s="120" t="str">
        <f>"MAX. "&amp;UPPER(Idiomas!D262)</f>
        <v>MAX. QUARTERFINALS</v>
      </c>
      <c r="D59" s="123">
        <f>SUM($D$24:$D$26)*SUM($I$220:$I$223)+$D$27*4</f>
        <v>200</v>
      </c>
      <c r="E59" s="111"/>
      <c r="F59" s="445">
        <f t="shared" si="197"/>
        <v>20</v>
      </c>
      <c r="G59" s="445">
        <f ca="1">VLOOKUP(H59,Equipos!$Q$1:$R$25,2,0)</f>
        <v>15</v>
      </c>
      <c r="H59" s="446">
        <f ca="1">TRUNC(INDEX(WORLDCUP!$X$4:$X$147,MATCH(ADMIN!K59,WORLDCUP!$DT$4:$DT$147,0))+INDEX(Horarios!$R$3:$R$86,MATCH(Horarios!$C$3,Horarios!$P$3:$P$86,0))/24)</f>
        <v>46198</v>
      </c>
      <c r="I59" s="48">
        <v>1</v>
      </c>
      <c r="J59" s="95" t="s">
        <v>126</v>
      </c>
      <c r="K59" s="53" t="str">
        <f ca="1">CONCATENATE(WORLDCUP!AA25,"-",WORLDCUP!AF25)</f>
        <v>Morocco-Haiti</v>
      </c>
      <c r="L59" s="53"/>
      <c r="M59" s="55" t="str">
        <f>IF(OR(WORLDCUP!AC25="",WORLDCUP!AD25=""),"-",N59&amp;"|"&amp;O59&amp;"-"&amp;P59)</f>
        <v>1|4-2</v>
      </c>
      <c r="N59" s="25" t="str">
        <f>IF(OR(WORLDCUP!AC25="",WORLDCUP!AD25=""),"",IF(WORLDCUP!AC25&gt;WORLDCUP!AD25,"1",IF(WORLDCUP!AC25&lt;WORLDCUP!AD25,"2","X")))</f>
        <v>1</v>
      </c>
      <c r="O59" s="25">
        <f>WORLDCUP!AC25</f>
        <v>4</v>
      </c>
      <c r="P59" s="25">
        <f>WORLDCUP!AD25</f>
        <v>2</v>
      </c>
      <c r="Q59" s="25">
        <f t="shared" si="201"/>
        <v>2</v>
      </c>
      <c r="R59" s="49"/>
      <c r="S59" s="74" t="s">
        <v>1953</v>
      </c>
      <c r="T59" s="73">
        <f t="shared" si="198"/>
        <v>0</v>
      </c>
      <c r="U59" s="65"/>
      <c r="V59" s="74" t="s">
        <v>1954</v>
      </c>
      <c r="W59" s="73">
        <f t="shared" si="219"/>
        <v>10</v>
      </c>
      <c r="X59" s="65"/>
      <c r="Y59" s="74" t="s">
        <v>1950</v>
      </c>
      <c r="Z59" s="73">
        <f t="shared" si="225"/>
        <v>12</v>
      </c>
      <c r="AA59" s="65"/>
      <c r="AB59" s="74" t="s">
        <v>1958</v>
      </c>
      <c r="AC59" s="73">
        <f t="shared" si="225"/>
        <v>10</v>
      </c>
      <c r="AD59" s="65"/>
      <c r="AE59" s="74" t="s">
        <v>1958</v>
      </c>
      <c r="AF59" s="73">
        <f t="shared" si="225"/>
        <v>10</v>
      </c>
      <c r="AG59" s="65"/>
      <c r="AH59" s="74" t="s">
        <v>1947</v>
      </c>
      <c r="AI59" s="73">
        <f t="shared" si="225"/>
        <v>10</v>
      </c>
      <c r="AJ59" s="65"/>
      <c r="AK59" s="74" t="s">
        <v>1949</v>
      </c>
      <c r="AL59" s="73">
        <f t="shared" si="225"/>
        <v>12</v>
      </c>
      <c r="AM59" s="65"/>
      <c r="AN59" s="74" t="s">
        <v>1950</v>
      </c>
      <c r="AO59" s="73">
        <f t="shared" si="225"/>
        <v>12</v>
      </c>
      <c r="AP59" s="65"/>
      <c r="AQ59" s="74" t="s">
        <v>1947</v>
      </c>
      <c r="AR59" s="73">
        <f t="shared" si="225"/>
        <v>10</v>
      </c>
      <c r="AS59" s="65"/>
      <c r="AT59" s="74" t="s">
        <v>1954</v>
      </c>
      <c r="AU59" s="73">
        <f t="shared" si="225"/>
        <v>10</v>
      </c>
      <c r="AV59" s="65"/>
      <c r="AW59" s="74" t="s">
        <v>1947</v>
      </c>
      <c r="AX59" s="73">
        <f t="shared" si="225"/>
        <v>10</v>
      </c>
      <c r="AY59" s="65"/>
      <c r="AZ59" s="74" t="s">
        <v>1949</v>
      </c>
      <c r="BA59" s="73">
        <f t="shared" si="225"/>
        <v>12</v>
      </c>
      <c r="BB59" s="65"/>
      <c r="BC59" s="74" t="s">
        <v>1947</v>
      </c>
      <c r="BD59" s="73">
        <f t="shared" si="225"/>
        <v>10</v>
      </c>
      <c r="BE59" s="65"/>
      <c r="BF59" s="74" t="s">
        <v>1950</v>
      </c>
      <c r="BG59" s="73">
        <f t="shared" si="225"/>
        <v>12</v>
      </c>
      <c r="BH59" s="65"/>
      <c r="BI59" s="74" t="s">
        <v>1945</v>
      </c>
      <c r="BJ59" s="73">
        <f t="shared" si="225"/>
        <v>10</v>
      </c>
      <c r="BK59" s="65"/>
      <c r="BL59" s="74" t="s">
        <v>1958</v>
      </c>
      <c r="BM59" s="73">
        <f t="shared" si="225"/>
        <v>10</v>
      </c>
      <c r="BN59" s="65"/>
      <c r="BO59" s="74" t="s">
        <v>1958</v>
      </c>
      <c r="BP59" s="73">
        <f t="shared" si="225"/>
        <v>10</v>
      </c>
      <c r="BQ59" s="65"/>
      <c r="BR59" s="74" t="s">
        <v>1950</v>
      </c>
      <c r="BS59" s="73">
        <f t="shared" si="225"/>
        <v>12</v>
      </c>
      <c r="BT59" s="65"/>
      <c r="BU59" s="74" t="s">
        <v>1958</v>
      </c>
      <c r="BV59" s="73">
        <f t="shared" si="225"/>
        <v>10</v>
      </c>
      <c r="BW59" s="65"/>
      <c r="BX59" s="74" t="s">
        <v>1950</v>
      </c>
      <c r="BY59" s="73">
        <f t="shared" si="225"/>
        <v>12</v>
      </c>
      <c r="BZ59" s="65"/>
      <c r="CA59" s="74" t="s">
        <v>1950</v>
      </c>
      <c r="CB59" s="73">
        <f t="shared" si="225"/>
        <v>12</v>
      </c>
      <c r="CC59" s="65"/>
      <c r="CD59" s="74" t="s">
        <v>1959</v>
      </c>
      <c r="CE59" s="73">
        <f t="shared" si="225"/>
        <v>10</v>
      </c>
      <c r="CF59" s="65"/>
      <c r="CG59" s="74" t="s">
        <v>1958</v>
      </c>
      <c r="CH59" s="73">
        <f t="shared" si="225"/>
        <v>10</v>
      </c>
      <c r="CI59" s="65"/>
      <c r="CJ59" s="74" t="s">
        <v>1954</v>
      </c>
      <c r="CK59" s="73">
        <f t="shared" si="224"/>
        <v>10</v>
      </c>
      <c r="CL59" s="65"/>
      <c r="CM59" s="74" t="s">
        <v>1950</v>
      </c>
      <c r="CN59" s="73">
        <f t="shared" si="224"/>
        <v>12</v>
      </c>
      <c r="CO59" s="65"/>
      <c r="CP59" s="74" t="s">
        <v>1950</v>
      </c>
      <c r="CQ59" s="73">
        <f t="shared" si="224"/>
        <v>12</v>
      </c>
      <c r="CR59" s="65"/>
      <c r="CS59" s="74" t="s">
        <v>1947</v>
      </c>
      <c r="CT59" s="73">
        <f t="shared" si="224"/>
        <v>10</v>
      </c>
      <c r="CU59" s="65"/>
      <c r="CV59" s="74" t="s">
        <v>1945</v>
      </c>
      <c r="CW59" s="73">
        <f t="shared" si="224"/>
        <v>10</v>
      </c>
      <c r="CX59" s="65"/>
      <c r="CY59" s="74" t="s">
        <v>1950</v>
      </c>
      <c r="CZ59" s="73">
        <f t="shared" si="224"/>
        <v>12</v>
      </c>
      <c r="DA59" s="65"/>
      <c r="DB59" s="74" t="s">
        <v>1949</v>
      </c>
      <c r="DC59" s="73">
        <f t="shared" si="224"/>
        <v>12</v>
      </c>
      <c r="DD59" s="65"/>
      <c r="DE59" s="74" t="s">
        <v>1958</v>
      </c>
      <c r="DF59" s="73">
        <f t="shared" si="224"/>
        <v>10</v>
      </c>
      <c r="DG59" s="65"/>
      <c r="DH59" s="74" t="s">
        <v>1959</v>
      </c>
      <c r="DI59" s="73">
        <f t="shared" si="224"/>
        <v>10</v>
      </c>
      <c r="DJ59" s="65"/>
      <c r="DK59" s="74" t="s">
        <v>1950</v>
      </c>
      <c r="DL59" s="73">
        <f t="shared" si="224"/>
        <v>12</v>
      </c>
      <c r="DM59" s="65"/>
      <c r="DN59" s="74" t="s">
        <v>1950</v>
      </c>
      <c r="DO59" s="73">
        <f t="shared" si="224"/>
        <v>12</v>
      </c>
      <c r="DP59" s="65"/>
      <c r="DQ59" s="74" t="s">
        <v>1947</v>
      </c>
      <c r="DR59" s="73">
        <f t="shared" si="224"/>
        <v>10</v>
      </c>
      <c r="DS59" s="65"/>
      <c r="DT59" s="74" t="s">
        <v>1958</v>
      </c>
      <c r="DU59" s="73">
        <f t="shared" si="224"/>
        <v>10</v>
      </c>
      <c r="DV59" s="65"/>
      <c r="DW59" s="74" t="s">
        <v>1958</v>
      </c>
      <c r="DX59" s="73">
        <f t="shared" si="227"/>
        <v>10</v>
      </c>
      <c r="DY59" s="65"/>
      <c r="DZ59" s="74" t="s">
        <v>1950</v>
      </c>
      <c r="EA59" s="73">
        <f t="shared" si="227"/>
        <v>12</v>
      </c>
      <c r="EB59" s="65"/>
      <c r="EC59" s="74" t="s">
        <v>1950</v>
      </c>
      <c r="ED59" s="73">
        <f t="shared" si="227"/>
        <v>12</v>
      </c>
      <c r="EE59" s="65"/>
      <c r="EF59" s="74" t="s">
        <v>1949</v>
      </c>
      <c r="EG59" s="73">
        <f t="shared" si="227"/>
        <v>12</v>
      </c>
      <c r="EH59" s="65"/>
      <c r="EI59" s="74" t="s">
        <v>1958</v>
      </c>
      <c r="EJ59" s="73">
        <f t="shared" si="227"/>
        <v>10</v>
      </c>
      <c r="EK59" s="65"/>
      <c r="EL59" s="74" t="s">
        <v>1954</v>
      </c>
      <c r="EM59" s="73">
        <f t="shared" si="227"/>
        <v>10</v>
      </c>
      <c r="EN59" s="65"/>
      <c r="EO59" s="74" t="s">
        <v>1959</v>
      </c>
      <c r="EP59" s="73">
        <f t="shared" si="227"/>
        <v>10</v>
      </c>
      <c r="EQ59" s="65"/>
      <c r="ER59" s="74" t="s">
        <v>1949</v>
      </c>
      <c r="ES59" s="73">
        <f t="shared" si="227"/>
        <v>12</v>
      </c>
      <c r="ET59" s="65"/>
      <c r="EU59" s="74" t="s">
        <v>1958</v>
      </c>
      <c r="EV59" s="73">
        <f t="shared" si="227"/>
        <v>10</v>
      </c>
      <c r="EW59" s="65"/>
      <c r="EX59" s="74" t="s">
        <v>1950</v>
      </c>
      <c r="EY59" s="73">
        <f t="shared" si="227"/>
        <v>12</v>
      </c>
      <c r="EZ59" s="65"/>
      <c r="FA59" s="74" t="s">
        <v>1958</v>
      </c>
      <c r="FB59" s="73">
        <f t="shared" si="227"/>
        <v>10</v>
      </c>
      <c r="FC59" s="65"/>
      <c r="FD59" s="74" t="s">
        <v>1954</v>
      </c>
      <c r="FE59" s="73">
        <f t="shared" si="227"/>
        <v>10</v>
      </c>
      <c r="FF59" s="65"/>
      <c r="FG59" s="74" t="s">
        <v>1945</v>
      </c>
      <c r="FH59" s="73">
        <f t="shared" si="227"/>
        <v>10</v>
      </c>
      <c r="FI59" s="65"/>
      <c r="FJ59" s="74" t="s">
        <v>1950</v>
      </c>
      <c r="FK59" s="73">
        <f t="shared" si="227"/>
        <v>12</v>
      </c>
      <c r="FL59" s="65"/>
      <c r="FM59" s="74" t="s">
        <v>1958</v>
      </c>
      <c r="FN59" s="73">
        <f t="shared" si="227"/>
        <v>10</v>
      </c>
      <c r="FO59" s="65"/>
      <c r="FP59" s="74" t="s">
        <v>1958</v>
      </c>
      <c r="FQ59" s="73">
        <f t="shared" si="227"/>
        <v>10</v>
      </c>
      <c r="FR59" s="65"/>
      <c r="FS59" s="74" t="s">
        <v>1950</v>
      </c>
      <c r="FT59" s="73">
        <f t="shared" si="227"/>
        <v>12</v>
      </c>
      <c r="FU59" s="65"/>
      <c r="FV59" s="74" t="s">
        <v>1958</v>
      </c>
      <c r="FW59" s="73">
        <f t="shared" si="227"/>
        <v>10</v>
      </c>
      <c r="FX59" s="65"/>
      <c r="FY59" s="74" t="s">
        <v>1950</v>
      </c>
      <c r="FZ59" s="73">
        <f t="shared" si="227"/>
        <v>12</v>
      </c>
      <c r="GA59" s="65"/>
      <c r="GB59" s="74" t="s">
        <v>1958</v>
      </c>
      <c r="GC59" s="73">
        <f t="shared" si="227"/>
        <v>10</v>
      </c>
      <c r="GD59" s="65"/>
      <c r="GE59" s="74" t="s">
        <v>1958</v>
      </c>
      <c r="GF59" s="73">
        <f t="shared" si="227"/>
        <v>10</v>
      </c>
      <c r="GG59" s="65"/>
      <c r="GH59" s="74" t="s">
        <v>1958</v>
      </c>
      <c r="GI59" s="73">
        <f t="shared" si="227"/>
        <v>10</v>
      </c>
      <c r="GJ59" s="65"/>
      <c r="GK59" s="74" t="s">
        <v>1945</v>
      </c>
      <c r="GL59" s="73">
        <f t="shared" si="226"/>
        <v>10</v>
      </c>
      <c r="GM59" s="65"/>
      <c r="GN59" s="74"/>
      <c r="GO59" s="73">
        <f t="shared" si="226"/>
        <v>0</v>
      </c>
      <c r="GP59" s="65"/>
      <c r="GQ59" s="74"/>
      <c r="GR59" s="73">
        <f t="shared" si="226"/>
        <v>0</v>
      </c>
      <c r="GS59" s="65"/>
      <c r="GT59" s="74"/>
      <c r="GU59" s="73">
        <f t="shared" si="226"/>
        <v>0</v>
      </c>
      <c r="GV59" s="65"/>
      <c r="GW59" s="74"/>
      <c r="GX59" s="73">
        <f t="shared" si="226"/>
        <v>0</v>
      </c>
      <c r="GY59" s="65"/>
      <c r="GZ59" s="74"/>
      <c r="HA59" s="73">
        <f t="shared" si="226"/>
        <v>0</v>
      </c>
      <c r="HB59" s="65"/>
      <c r="HC59" s="74"/>
      <c r="HD59" s="73">
        <f t="shared" si="226"/>
        <v>0</v>
      </c>
      <c r="HE59" s="65"/>
      <c r="HF59" s="74"/>
      <c r="HG59" s="73">
        <f t="shared" si="226"/>
        <v>0</v>
      </c>
      <c r="HH59" s="65"/>
      <c r="HI59" s="74"/>
      <c r="HJ59" s="73">
        <f t="shared" si="226"/>
        <v>0</v>
      </c>
      <c r="HK59" s="65"/>
      <c r="HL59" s="74"/>
      <c r="HM59" s="73">
        <f t="shared" si="226"/>
        <v>0</v>
      </c>
      <c r="HN59" s="65"/>
      <c r="HO59" s="74"/>
      <c r="HP59" s="73">
        <f t="shared" si="226"/>
        <v>0</v>
      </c>
      <c r="HQ59" s="65"/>
      <c r="HR59" s="74"/>
      <c r="HS59" s="73">
        <f t="shared" si="226"/>
        <v>0</v>
      </c>
      <c r="HT59" s="65"/>
      <c r="HU59" s="74"/>
      <c r="HV59" s="73">
        <f t="shared" si="226"/>
        <v>0</v>
      </c>
      <c r="HW59" s="65"/>
      <c r="HX59" s="74"/>
      <c r="HY59" s="73">
        <f t="shared" ref="HY59:KJ70" si="230">IFERROR(IF($M59=HX59,($D$8+$D$9+$D$10)*$I59,IF($N59=LEFT(HX59,1),($D$8+MAX(0,IF($D$50=1,$D$9*(1-(ABS($Q59-ABS(VALUE(MID(HX59,FIND("|",HX59)+1,FIND("-",HX59)-FIND("|",HX59)-1))-VALUE(MID(HX59,FIND("-",HX59)+1,10)))))*$D$50),$D$9*(1-(IF($N59="X",ABS($O59-VALUE(MID(HX59,FIND("|",HX59)+1,FIND("-",HX59)-FIND("|",HX59)-1))),ABS($Q59-ABS(VALUE(MID(HX59,FIND("|",HX59)+1,FIND("-",HX59)-FIND("|",HX59)-1))-VALUE(MID(HX59,FIND("-",HX59)+1,10)))))*$D$50)))))*$I59,0)),0)</f>
        <v>0</v>
      </c>
      <c r="HZ59" s="65"/>
      <c r="IA59" s="74"/>
      <c r="IB59" s="73">
        <f t="shared" si="230"/>
        <v>0</v>
      </c>
      <c r="IC59" s="65"/>
      <c r="ID59" s="74"/>
      <c r="IE59" s="73">
        <f t="shared" si="230"/>
        <v>0</v>
      </c>
      <c r="IF59" s="65"/>
      <c r="IG59" s="74"/>
      <c r="IH59" s="73">
        <f t="shared" si="230"/>
        <v>0</v>
      </c>
      <c r="II59" s="65"/>
      <c r="IJ59" s="74"/>
      <c r="IK59" s="73">
        <f t="shared" si="230"/>
        <v>0</v>
      </c>
      <c r="IL59" s="65"/>
      <c r="IM59" s="74"/>
      <c r="IN59" s="73">
        <f t="shared" si="230"/>
        <v>0</v>
      </c>
      <c r="IO59" s="65"/>
      <c r="IP59" s="74"/>
      <c r="IQ59" s="73">
        <f t="shared" si="230"/>
        <v>0</v>
      </c>
      <c r="IR59" s="65"/>
      <c r="IS59" s="74"/>
      <c r="IT59" s="73">
        <f t="shared" si="230"/>
        <v>0</v>
      </c>
      <c r="IU59" s="65"/>
      <c r="IV59" s="74"/>
      <c r="IW59" s="73">
        <f t="shared" si="230"/>
        <v>0</v>
      </c>
      <c r="IX59" s="65"/>
      <c r="IY59" s="74"/>
      <c r="IZ59" s="73">
        <f t="shared" si="230"/>
        <v>0</v>
      </c>
      <c r="JA59" s="65"/>
      <c r="JB59" s="74"/>
      <c r="JC59" s="73">
        <f t="shared" si="230"/>
        <v>0</v>
      </c>
      <c r="JD59" s="65"/>
      <c r="JE59" s="74"/>
      <c r="JF59" s="73">
        <f t="shared" si="230"/>
        <v>0</v>
      </c>
      <c r="JG59" s="65"/>
      <c r="JH59" s="74"/>
      <c r="JI59" s="73">
        <f t="shared" si="230"/>
        <v>0</v>
      </c>
      <c r="JJ59" s="65"/>
      <c r="JK59" s="74"/>
      <c r="JL59" s="73">
        <f t="shared" si="230"/>
        <v>0</v>
      </c>
      <c r="JM59" s="65"/>
      <c r="JN59" s="74"/>
      <c r="JO59" s="73">
        <f t="shared" si="230"/>
        <v>0</v>
      </c>
      <c r="JP59" s="65"/>
      <c r="JQ59" s="74"/>
      <c r="JR59" s="73">
        <f t="shared" si="230"/>
        <v>0</v>
      </c>
      <c r="JS59" s="65"/>
      <c r="JT59" s="74"/>
      <c r="JU59" s="73">
        <f t="shared" si="230"/>
        <v>0</v>
      </c>
      <c r="JV59" s="65"/>
      <c r="JW59" s="74"/>
      <c r="JX59" s="73">
        <f t="shared" si="230"/>
        <v>0</v>
      </c>
      <c r="JY59" s="65"/>
      <c r="JZ59" s="74"/>
      <c r="KA59" s="73">
        <f t="shared" si="230"/>
        <v>0</v>
      </c>
      <c r="KB59" s="65"/>
      <c r="KC59" s="74"/>
      <c r="KD59" s="73">
        <f t="shared" si="230"/>
        <v>0</v>
      </c>
      <c r="KE59" s="65"/>
      <c r="KF59" s="74"/>
      <c r="KG59" s="73">
        <f t="shared" si="230"/>
        <v>0</v>
      </c>
      <c r="KH59" s="65"/>
      <c r="KI59" s="74"/>
      <c r="KJ59" s="73">
        <f t="shared" si="230"/>
        <v>0</v>
      </c>
      <c r="KK59" s="65"/>
      <c r="KL59" s="74"/>
      <c r="KM59" s="73">
        <f t="shared" si="229"/>
        <v>0</v>
      </c>
      <c r="KN59" s="65"/>
      <c r="KO59" s="74"/>
      <c r="KP59" s="73">
        <f t="shared" si="229"/>
        <v>0</v>
      </c>
      <c r="KQ59" s="65"/>
      <c r="KR59" s="74"/>
      <c r="KS59" s="73">
        <f t="shared" si="229"/>
        <v>0</v>
      </c>
      <c r="KT59" s="65"/>
      <c r="KU59" s="74"/>
      <c r="KV59" s="73">
        <f t="shared" si="229"/>
        <v>0</v>
      </c>
      <c r="KW59" s="65"/>
      <c r="KX59" s="74"/>
      <c r="KY59" s="73">
        <f t="shared" si="229"/>
        <v>0</v>
      </c>
      <c r="KZ59" s="65"/>
      <c r="LA59" s="74"/>
      <c r="LB59" s="73">
        <f t="shared" si="229"/>
        <v>0</v>
      </c>
      <c r="LC59" s="65"/>
      <c r="LD59" s="74"/>
      <c r="LE59" s="73">
        <f t="shared" si="229"/>
        <v>0</v>
      </c>
      <c r="LF59" s="65"/>
      <c r="LG59" s="65"/>
    </row>
    <row r="60" spans="1:319">
      <c r="A60" s="49"/>
      <c r="B60" s="49"/>
      <c r="C60" s="121" t="str">
        <f>"MAX. "&amp;UPPER(Idiomas!D263)</f>
        <v>MAX. SEMIFINALS</v>
      </c>
      <c r="D60" s="124">
        <f>SUM($D$28:$D$30)*SUM($I$232:$I$233)+$D$31*2+$D$32*2</f>
        <v>160</v>
      </c>
      <c r="E60" s="111"/>
      <c r="F60" s="445">
        <f t="shared" si="197"/>
        <v>20</v>
      </c>
      <c r="G60" s="445">
        <f ca="1">VLOOKUP(H60,Equipos!$Q$1:$R$25,2,0)</f>
        <v>16</v>
      </c>
      <c r="H60" s="446">
        <f ca="1">TRUNC(INDEX(WORLDCUP!$X$4:$X$147,MATCH(ADMIN!K60,WORLDCUP!$DT$4:$DT$147,0))+INDEX(Horarios!$R$3:$R$86,MATCH(Horarios!$C$3,Horarios!$P$3:$P$86,0))/24)</f>
        <v>46199</v>
      </c>
      <c r="I60" s="48">
        <v>1</v>
      </c>
      <c r="J60" s="96" t="s">
        <v>127</v>
      </c>
      <c r="K60" s="56" t="str">
        <f ca="1">CONCATENATE(WORLDCUP!AA32,"-",WORLDCUP!AF32)</f>
        <v>Turkey-United States</v>
      </c>
      <c r="L60" s="53"/>
      <c r="M60" s="55" t="str">
        <f>IF(OR(WORLDCUP!AC32="",WORLDCUP!AD32=""),"-",N60&amp;"|"&amp;O60&amp;"-"&amp;P60)</f>
        <v>1|3-2</v>
      </c>
      <c r="N60" s="25" t="str">
        <f>IF(OR(WORLDCUP!AC32="",WORLDCUP!AD32=""),"",IF(WORLDCUP!AC32&gt;WORLDCUP!AD32,"1",IF(WORLDCUP!AC32&lt;WORLDCUP!AD32,"2","X")))</f>
        <v>1</v>
      </c>
      <c r="O60" s="25">
        <f>WORLDCUP!AC32</f>
        <v>3</v>
      </c>
      <c r="P60" s="25">
        <f>WORLDCUP!AD32</f>
        <v>2</v>
      </c>
      <c r="Q60" s="25">
        <f t="shared" si="201"/>
        <v>1</v>
      </c>
      <c r="R60" s="49"/>
      <c r="S60" s="76" t="s">
        <v>1955</v>
      </c>
      <c r="T60" s="77">
        <f t="shared" si="198"/>
        <v>0</v>
      </c>
      <c r="U60" s="65"/>
      <c r="V60" s="76" t="s">
        <v>1957</v>
      </c>
      <c r="W60" s="77">
        <f t="shared" si="219"/>
        <v>0</v>
      </c>
      <c r="X60" s="65"/>
      <c r="Y60" s="76" t="s">
        <v>1953</v>
      </c>
      <c r="Z60" s="77">
        <f t="shared" si="225"/>
        <v>0</v>
      </c>
      <c r="AA60" s="65"/>
      <c r="AB60" s="76" t="s">
        <v>1957</v>
      </c>
      <c r="AC60" s="77">
        <f t="shared" si="225"/>
        <v>0</v>
      </c>
      <c r="AD60" s="65"/>
      <c r="AE60" s="76" t="s">
        <v>1953</v>
      </c>
      <c r="AF60" s="77">
        <f t="shared" si="225"/>
        <v>0</v>
      </c>
      <c r="AG60" s="65"/>
      <c r="AH60" s="76" t="s">
        <v>1950</v>
      </c>
      <c r="AI60" s="77">
        <f t="shared" si="225"/>
        <v>10</v>
      </c>
      <c r="AJ60" s="65"/>
      <c r="AK60" s="76" t="s">
        <v>1953</v>
      </c>
      <c r="AL60" s="77">
        <f t="shared" si="225"/>
        <v>0</v>
      </c>
      <c r="AM60" s="65"/>
      <c r="AN60" s="76" t="s">
        <v>1944</v>
      </c>
      <c r="AO60" s="77">
        <f t="shared" si="225"/>
        <v>0</v>
      </c>
      <c r="AP60" s="65"/>
      <c r="AQ60" s="76" t="s">
        <v>1944</v>
      </c>
      <c r="AR60" s="77">
        <f t="shared" si="225"/>
        <v>0</v>
      </c>
      <c r="AS60" s="65"/>
      <c r="AT60" s="76" t="s">
        <v>1943</v>
      </c>
      <c r="AU60" s="77">
        <f t="shared" si="225"/>
        <v>20</v>
      </c>
      <c r="AV60" s="65"/>
      <c r="AW60" s="76" t="s">
        <v>1950</v>
      </c>
      <c r="AX60" s="77">
        <f t="shared" si="225"/>
        <v>10</v>
      </c>
      <c r="AY60" s="65"/>
      <c r="AZ60" s="76" t="s">
        <v>1954</v>
      </c>
      <c r="BA60" s="77">
        <f t="shared" si="225"/>
        <v>12</v>
      </c>
      <c r="BB60" s="65"/>
      <c r="BC60" s="76" t="s">
        <v>1959</v>
      </c>
      <c r="BD60" s="77">
        <f t="shared" si="225"/>
        <v>12</v>
      </c>
      <c r="BE60" s="65"/>
      <c r="BF60" s="76" t="s">
        <v>1957</v>
      </c>
      <c r="BG60" s="77">
        <f t="shared" si="225"/>
        <v>0</v>
      </c>
      <c r="BH60" s="65"/>
      <c r="BI60" s="76" t="s">
        <v>1950</v>
      </c>
      <c r="BJ60" s="77">
        <f t="shared" si="225"/>
        <v>10</v>
      </c>
      <c r="BK60" s="65"/>
      <c r="BL60" s="76" t="s">
        <v>1957</v>
      </c>
      <c r="BM60" s="77">
        <f t="shared" si="225"/>
        <v>0</v>
      </c>
      <c r="BN60" s="65"/>
      <c r="BO60" s="76" t="s">
        <v>2133</v>
      </c>
      <c r="BP60" s="77">
        <f t="shared" si="225"/>
        <v>0</v>
      </c>
      <c r="BQ60" s="65"/>
      <c r="BR60" s="76" t="s">
        <v>1950</v>
      </c>
      <c r="BS60" s="77">
        <f t="shared" si="225"/>
        <v>10</v>
      </c>
      <c r="BT60" s="65"/>
      <c r="BU60" s="76" t="s">
        <v>1957</v>
      </c>
      <c r="BV60" s="77">
        <f t="shared" si="225"/>
        <v>0</v>
      </c>
      <c r="BW60" s="65"/>
      <c r="BX60" s="76" t="s">
        <v>1953</v>
      </c>
      <c r="BY60" s="77">
        <f t="shared" si="225"/>
        <v>0</v>
      </c>
      <c r="BZ60" s="65"/>
      <c r="CA60" s="76" t="s">
        <v>1957</v>
      </c>
      <c r="CB60" s="77">
        <f t="shared" si="225"/>
        <v>0</v>
      </c>
      <c r="CC60" s="65"/>
      <c r="CD60" s="76" t="s">
        <v>1944</v>
      </c>
      <c r="CE60" s="77">
        <f t="shared" si="225"/>
        <v>0</v>
      </c>
      <c r="CF60" s="65"/>
      <c r="CG60" s="76" t="s">
        <v>1944</v>
      </c>
      <c r="CH60" s="77">
        <f t="shared" si="225"/>
        <v>0</v>
      </c>
      <c r="CI60" s="65"/>
      <c r="CJ60" s="76" t="s">
        <v>1954</v>
      </c>
      <c r="CK60" s="77">
        <f t="shared" si="224"/>
        <v>12</v>
      </c>
      <c r="CL60" s="65"/>
      <c r="CM60" s="76" t="s">
        <v>1959</v>
      </c>
      <c r="CN60" s="77">
        <f t="shared" si="224"/>
        <v>12</v>
      </c>
      <c r="CO60" s="65"/>
      <c r="CP60" s="76" t="s">
        <v>1957</v>
      </c>
      <c r="CQ60" s="77">
        <f t="shared" si="224"/>
        <v>0</v>
      </c>
      <c r="CR60" s="65"/>
      <c r="CS60" s="76" t="s">
        <v>1944</v>
      </c>
      <c r="CT60" s="77">
        <f t="shared" si="224"/>
        <v>0</v>
      </c>
      <c r="CU60" s="65"/>
      <c r="CV60" s="76" t="s">
        <v>2000</v>
      </c>
      <c r="CW60" s="77">
        <f t="shared" si="224"/>
        <v>0</v>
      </c>
      <c r="CX60" s="65"/>
      <c r="CY60" s="76" t="s">
        <v>1944</v>
      </c>
      <c r="CZ60" s="77">
        <f t="shared" si="224"/>
        <v>0</v>
      </c>
      <c r="DA60" s="65"/>
      <c r="DB60" s="76" t="s">
        <v>1958</v>
      </c>
      <c r="DC60" s="77">
        <f t="shared" si="224"/>
        <v>10</v>
      </c>
      <c r="DD60" s="65"/>
      <c r="DE60" s="76" t="s">
        <v>1957</v>
      </c>
      <c r="DF60" s="77">
        <f t="shared" si="224"/>
        <v>0</v>
      </c>
      <c r="DG60" s="65"/>
      <c r="DH60" s="76" t="s">
        <v>1954</v>
      </c>
      <c r="DI60" s="77">
        <f t="shared" si="224"/>
        <v>12</v>
      </c>
      <c r="DJ60" s="65"/>
      <c r="DK60" s="76" t="s">
        <v>1953</v>
      </c>
      <c r="DL60" s="77">
        <f t="shared" si="224"/>
        <v>0</v>
      </c>
      <c r="DM60" s="65"/>
      <c r="DN60" s="76" t="s">
        <v>2133</v>
      </c>
      <c r="DO60" s="77">
        <f t="shared" si="224"/>
        <v>0</v>
      </c>
      <c r="DP60" s="65"/>
      <c r="DQ60" s="76" t="s">
        <v>1960</v>
      </c>
      <c r="DR60" s="77">
        <f t="shared" si="224"/>
        <v>0</v>
      </c>
      <c r="DS60" s="65"/>
      <c r="DT60" s="76" t="s">
        <v>1957</v>
      </c>
      <c r="DU60" s="77">
        <f t="shared" si="224"/>
        <v>0</v>
      </c>
      <c r="DV60" s="65"/>
      <c r="DW60" s="76" t="s">
        <v>1953</v>
      </c>
      <c r="DX60" s="77">
        <f t="shared" si="227"/>
        <v>0</v>
      </c>
      <c r="DY60" s="65"/>
      <c r="DZ60" s="76" t="s">
        <v>1957</v>
      </c>
      <c r="EA60" s="77">
        <f t="shared" si="227"/>
        <v>0</v>
      </c>
      <c r="EB60" s="65"/>
      <c r="EC60" s="76" t="s">
        <v>1957</v>
      </c>
      <c r="ED60" s="77">
        <f t="shared" si="227"/>
        <v>0</v>
      </c>
      <c r="EE60" s="65"/>
      <c r="EF60" s="76" t="s">
        <v>1955</v>
      </c>
      <c r="EG60" s="77">
        <f t="shared" si="227"/>
        <v>0</v>
      </c>
      <c r="EH60" s="65"/>
      <c r="EI60" s="76" t="s">
        <v>1957</v>
      </c>
      <c r="EJ60" s="77">
        <f t="shared" si="227"/>
        <v>0</v>
      </c>
      <c r="EK60" s="65"/>
      <c r="EL60" s="76" t="s">
        <v>1954</v>
      </c>
      <c r="EM60" s="77">
        <f t="shared" si="227"/>
        <v>12</v>
      </c>
      <c r="EN60" s="65"/>
      <c r="EO60" s="76" t="s">
        <v>1957</v>
      </c>
      <c r="EP60" s="77">
        <f t="shared" si="227"/>
        <v>0</v>
      </c>
      <c r="EQ60" s="65"/>
      <c r="ER60" s="76" t="s">
        <v>1957</v>
      </c>
      <c r="ES60" s="77">
        <f t="shared" si="227"/>
        <v>0</v>
      </c>
      <c r="ET60" s="65"/>
      <c r="EU60" s="76" t="s">
        <v>1957</v>
      </c>
      <c r="EV60" s="77">
        <f t="shared" si="227"/>
        <v>0</v>
      </c>
      <c r="EW60" s="65"/>
      <c r="EX60" s="76" t="s">
        <v>1954</v>
      </c>
      <c r="EY60" s="77">
        <f t="shared" si="227"/>
        <v>12</v>
      </c>
      <c r="EZ60" s="65"/>
      <c r="FA60" s="76" t="s">
        <v>1957</v>
      </c>
      <c r="FB60" s="77">
        <f t="shared" si="227"/>
        <v>0</v>
      </c>
      <c r="FC60" s="65"/>
      <c r="FD60" s="76" t="s">
        <v>1960</v>
      </c>
      <c r="FE60" s="77">
        <f t="shared" si="227"/>
        <v>0</v>
      </c>
      <c r="FF60" s="65"/>
      <c r="FG60" s="76" t="s">
        <v>1944</v>
      </c>
      <c r="FH60" s="77">
        <f t="shared" si="227"/>
        <v>0</v>
      </c>
      <c r="FI60" s="65"/>
      <c r="FJ60" s="76" t="s">
        <v>1957</v>
      </c>
      <c r="FK60" s="77">
        <f t="shared" si="227"/>
        <v>0</v>
      </c>
      <c r="FL60" s="65"/>
      <c r="FM60" s="76" t="s">
        <v>1950</v>
      </c>
      <c r="FN60" s="77">
        <f t="shared" si="227"/>
        <v>10</v>
      </c>
      <c r="FO60" s="65"/>
      <c r="FP60" s="76" t="s">
        <v>1957</v>
      </c>
      <c r="FQ60" s="77">
        <f t="shared" si="227"/>
        <v>0</v>
      </c>
      <c r="FR60" s="65"/>
      <c r="FS60" s="76" t="s">
        <v>1954</v>
      </c>
      <c r="FT60" s="77">
        <f t="shared" si="227"/>
        <v>12</v>
      </c>
      <c r="FU60" s="65"/>
      <c r="FV60" s="76" t="s">
        <v>1954</v>
      </c>
      <c r="FW60" s="77">
        <f t="shared" si="227"/>
        <v>12</v>
      </c>
      <c r="FX60" s="65"/>
      <c r="FY60" s="76" t="s">
        <v>1959</v>
      </c>
      <c r="FZ60" s="77">
        <f t="shared" si="227"/>
        <v>12</v>
      </c>
      <c r="GA60" s="65"/>
      <c r="GB60" s="76" t="s">
        <v>1957</v>
      </c>
      <c r="GC60" s="77">
        <f t="shared" si="227"/>
        <v>0</v>
      </c>
      <c r="GD60" s="65"/>
      <c r="GE60" s="76" t="s">
        <v>1953</v>
      </c>
      <c r="GF60" s="77">
        <f t="shared" si="227"/>
        <v>0</v>
      </c>
      <c r="GG60" s="65"/>
      <c r="GH60" s="76" t="s">
        <v>1957</v>
      </c>
      <c r="GI60" s="77">
        <f t="shared" si="227"/>
        <v>0</v>
      </c>
      <c r="GJ60" s="65"/>
      <c r="GK60" s="76" t="s">
        <v>1950</v>
      </c>
      <c r="GL60" s="77">
        <f t="shared" si="226"/>
        <v>10</v>
      </c>
      <c r="GM60" s="65"/>
      <c r="GN60" s="76"/>
      <c r="GO60" s="77">
        <f t="shared" si="226"/>
        <v>0</v>
      </c>
      <c r="GP60" s="65"/>
      <c r="GQ60" s="76"/>
      <c r="GR60" s="77">
        <f t="shared" si="226"/>
        <v>0</v>
      </c>
      <c r="GS60" s="65"/>
      <c r="GT60" s="76"/>
      <c r="GU60" s="77">
        <f t="shared" si="226"/>
        <v>0</v>
      </c>
      <c r="GV60" s="65"/>
      <c r="GW60" s="76"/>
      <c r="GX60" s="77">
        <f t="shared" si="226"/>
        <v>0</v>
      </c>
      <c r="GY60" s="65"/>
      <c r="GZ60" s="76"/>
      <c r="HA60" s="77">
        <f t="shared" si="226"/>
        <v>0</v>
      </c>
      <c r="HB60" s="65"/>
      <c r="HC60" s="76"/>
      <c r="HD60" s="77">
        <f t="shared" si="226"/>
        <v>0</v>
      </c>
      <c r="HE60" s="65"/>
      <c r="HF60" s="76"/>
      <c r="HG60" s="77">
        <f t="shared" si="226"/>
        <v>0</v>
      </c>
      <c r="HH60" s="65"/>
      <c r="HI60" s="76"/>
      <c r="HJ60" s="77">
        <f t="shared" si="226"/>
        <v>0</v>
      </c>
      <c r="HK60" s="65"/>
      <c r="HL60" s="76"/>
      <c r="HM60" s="77">
        <f t="shared" si="226"/>
        <v>0</v>
      </c>
      <c r="HN60" s="65"/>
      <c r="HO60" s="76"/>
      <c r="HP60" s="77">
        <f t="shared" si="226"/>
        <v>0</v>
      </c>
      <c r="HQ60" s="65"/>
      <c r="HR60" s="76"/>
      <c r="HS60" s="77">
        <f t="shared" si="226"/>
        <v>0</v>
      </c>
      <c r="HT60" s="65"/>
      <c r="HU60" s="76"/>
      <c r="HV60" s="77">
        <f t="shared" si="226"/>
        <v>0</v>
      </c>
      <c r="HW60" s="65"/>
      <c r="HX60" s="76"/>
      <c r="HY60" s="77">
        <f t="shared" si="230"/>
        <v>0</v>
      </c>
      <c r="HZ60" s="65"/>
      <c r="IA60" s="76"/>
      <c r="IB60" s="77">
        <f t="shared" si="230"/>
        <v>0</v>
      </c>
      <c r="IC60" s="65"/>
      <c r="ID60" s="76"/>
      <c r="IE60" s="77">
        <f t="shared" si="230"/>
        <v>0</v>
      </c>
      <c r="IF60" s="65"/>
      <c r="IG60" s="76"/>
      <c r="IH60" s="77">
        <f t="shared" si="230"/>
        <v>0</v>
      </c>
      <c r="II60" s="65"/>
      <c r="IJ60" s="76"/>
      <c r="IK60" s="77">
        <f t="shared" si="230"/>
        <v>0</v>
      </c>
      <c r="IL60" s="65"/>
      <c r="IM60" s="76"/>
      <c r="IN60" s="77">
        <f t="shared" si="230"/>
        <v>0</v>
      </c>
      <c r="IO60" s="65"/>
      <c r="IP60" s="76"/>
      <c r="IQ60" s="77">
        <f t="shared" si="230"/>
        <v>0</v>
      </c>
      <c r="IR60" s="65"/>
      <c r="IS60" s="76"/>
      <c r="IT60" s="77">
        <f t="shared" si="230"/>
        <v>0</v>
      </c>
      <c r="IU60" s="65"/>
      <c r="IV60" s="76"/>
      <c r="IW60" s="77">
        <f t="shared" si="230"/>
        <v>0</v>
      </c>
      <c r="IX60" s="65"/>
      <c r="IY60" s="76"/>
      <c r="IZ60" s="77">
        <f t="shared" si="230"/>
        <v>0</v>
      </c>
      <c r="JA60" s="65"/>
      <c r="JB60" s="76"/>
      <c r="JC60" s="77">
        <f t="shared" si="230"/>
        <v>0</v>
      </c>
      <c r="JD60" s="65"/>
      <c r="JE60" s="76"/>
      <c r="JF60" s="77">
        <f t="shared" si="230"/>
        <v>0</v>
      </c>
      <c r="JG60" s="65"/>
      <c r="JH60" s="76"/>
      <c r="JI60" s="77">
        <f t="shared" si="230"/>
        <v>0</v>
      </c>
      <c r="JJ60" s="65"/>
      <c r="JK60" s="76"/>
      <c r="JL60" s="77">
        <f t="shared" si="230"/>
        <v>0</v>
      </c>
      <c r="JM60" s="65"/>
      <c r="JN60" s="76"/>
      <c r="JO60" s="77">
        <f t="shared" si="230"/>
        <v>0</v>
      </c>
      <c r="JP60" s="65"/>
      <c r="JQ60" s="76"/>
      <c r="JR60" s="77">
        <f t="shared" si="230"/>
        <v>0</v>
      </c>
      <c r="JS60" s="65"/>
      <c r="JT60" s="76"/>
      <c r="JU60" s="77">
        <f t="shared" si="230"/>
        <v>0</v>
      </c>
      <c r="JV60" s="65"/>
      <c r="JW60" s="76"/>
      <c r="JX60" s="77">
        <f t="shared" si="230"/>
        <v>0</v>
      </c>
      <c r="JY60" s="65"/>
      <c r="JZ60" s="76"/>
      <c r="KA60" s="77">
        <f t="shared" si="230"/>
        <v>0</v>
      </c>
      <c r="KB60" s="65"/>
      <c r="KC60" s="76"/>
      <c r="KD60" s="77">
        <f t="shared" si="230"/>
        <v>0</v>
      </c>
      <c r="KE60" s="65"/>
      <c r="KF60" s="76"/>
      <c r="KG60" s="77">
        <f t="shared" si="230"/>
        <v>0</v>
      </c>
      <c r="KH60" s="65"/>
      <c r="KI60" s="76"/>
      <c r="KJ60" s="77">
        <f t="shared" si="230"/>
        <v>0</v>
      </c>
      <c r="KK60" s="65"/>
      <c r="KL60" s="76"/>
      <c r="KM60" s="77">
        <f t="shared" si="229"/>
        <v>0</v>
      </c>
      <c r="KN60" s="65"/>
      <c r="KO60" s="76"/>
      <c r="KP60" s="77">
        <f t="shared" si="229"/>
        <v>0</v>
      </c>
      <c r="KQ60" s="65"/>
      <c r="KR60" s="76"/>
      <c r="KS60" s="77">
        <f t="shared" si="229"/>
        <v>0</v>
      </c>
      <c r="KT60" s="65"/>
      <c r="KU60" s="76"/>
      <c r="KV60" s="77">
        <f t="shared" si="229"/>
        <v>0</v>
      </c>
      <c r="KW60" s="65"/>
      <c r="KX60" s="76"/>
      <c r="KY60" s="77">
        <f t="shared" si="229"/>
        <v>0</v>
      </c>
      <c r="KZ60" s="65"/>
      <c r="LA60" s="76"/>
      <c r="LB60" s="77">
        <f t="shared" si="229"/>
        <v>0</v>
      </c>
      <c r="LC60" s="65"/>
      <c r="LD60" s="76"/>
      <c r="LE60" s="77">
        <f t="shared" si="229"/>
        <v>0</v>
      </c>
      <c r="LF60" s="65"/>
      <c r="LG60" s="65"/>
    </row>
    <row r="61" spans="1:319">
      <c r="A61" s="49"/>
      <c r="B61" s="49"/>
      <c r="C61" s="120" t="str">
        <f>"MAX. "&amp;UPPER(Idiomas!D264)</f>
        <v>MAX. 3-4 &amp; FINAL</v>
      </c>
      <c r="D61" s="123">
        <f>SUM($D$33:$D$35)*$I$244+SUM($D$36:$D$38)*$I$247</f>
        <v>40</v>
      </c>
      <c r="E61" s="111"/>
      <c r="F61" s="445">
        <f t="shared" si="197"/>
        <v>20</v>
      </c>
      <c r="G61" s="445">
        <f ca="1">VLOOKUP(H61,Equipos!$Q$1:$R$25,2,0)</f>
        <v>16</v>
      </c>
      <c r="H61" s="446">
        <f ca="1">TRUNC(INDEX(WORLDCUP!$X$4:$X$147,MATCH(ADMIN!K61,WORLDCUP!$DT$4:$DT$147,0))+INDEX(Horarios!$R$3:$R$86,MATCH(Horarios!$C$3,Horarios!$P$3:$P$86,0))/24)</f>
        <v>46199</v>
      </c>
      <c r="I61" s="48">
        <v>1</v>
      </c>
      <c r="J61" s="96" t="s">
        <v>127</v>
      </c>
      <c r="K61" s="53" t="str">
        <f ca="1">CONCATENATE(WORLDCUP!AA33,"-",WORLDCUP!AF33)</f>
        <v>Paraguay-Australia</v>
      </c>
      <c r="L61" s="53"/>
      <c r="M61" s="55" t="str">
        <f>IF(OR(WORLDCUP!AC33="",WORLDCUP!AD33=""),"-",N61&amp;"|"&amp;O61&amp;"-"&amp;P61)</f>
        <v>X|0-0</v>
      </c>
      <c r="N61" s="25" t="str">
        <f>IF(OR(WORLDCUP!AC33="",WORLDCUP!AD33=""),"",IF(WORLDCUP!AC33&gt;WORLDCUP!AD33,"1",IF(WORLDCUP!AC33&lt;WORLDCUP!AD33,"2","X")))</f>
        <v>X</v>
      </c>
      <c r="O61" s="25">
        <f>WORLDCUP!AC33</f>
        <v>0</v>
      </c>
      <c r="P61" s="25">
        <f>WORLDCUP!AD33</f>
        <v>0</v>
      </c>
      <c r="Q61" s="25">
        <f t="shared" si="201"/>
        <v>0</v>
      </c>
      <c r="R61" s="49"/>
      <c r="S61" s="74" t="s">
        <v>1960</v>
      </c>
      <c r="T61" s="73">
        <f t="shared" si="198"/>
        <v>0</v>
      </c>
      <c r="U61" s="65"/>
      <c r="V61" s="74" t="s">
        <v>2000</v>
      </c>
      <c r="W61" s="73">
        <f t="shared" si="219"/>
        <v>0</v>
      </c>
      <c r="X61" s="65"/>
      <c r="Y61" s="74" t="s">
        <v>1959</v>
      </c>
      <c r="Z61" s="73">
        <f t="shared" si="225"/>
        <v>0</v>
      </c>
      <c r="AA61" s="65"/>
      <c r="AB61" s="74" t="s">
        <v>2000</v>
      </c>
      <c r="AC61" s="73">
        <f t="shared" si="225"/>
        <v>0</v>
      </c>
      <c r="AD61" s="65"/>
      <c r="AE61" s="74" t="s">
        <v>1959</v>
      </c>
      <c r="AF61" s="73">
        <f t="shared" si="225"/>
        <v>0</v>
      </c>
      <c r="AG61" s="65"/>
      <c r="AH61" s="74" t="s">
        <v>1953</v>
      </c>
      <c r="AI61" s="73">
        <f t="shared" si="225"/>
        <v>0</v>
      </c>
      <c r="AJ61" s="65"/>
      <c r="AK61" s="74" t="s">
        <v>1960</v>
      </c>
      <c r="AL61" s="73">
        <f t="shared" si="225"/>
        <v>0</v>
      </c>
      <c r="AM61" s="65"/>
      <c r="AN61" s="74" t="s">
        <v>1959</v>
      </c>
      <c r="AO61" s="73">
        <f t="shared" si="225"/>
        <v>0</v>
      </c>
      <c r="AP61" s="65"/>
      <c r="AQ61" s="74" t="s">
        <v>1953</v>
      </c>
      <c r="AR61" s="73">
        <f t="shared" si="225"/>
        <v>0</v>
      </c>
      <c r="AS61" s="65"/>
      <c r="AT61" s="74" t="s">
        <v>1954</v>
      </c>
      <c r="AU61" s="73">
        <f t="shared" si="225"/>
        <v>0</v>
      </c>
      <c r="AV61" s="65"/>
      <c r="AW61" s="74" t="s">
        <v>1957</v>
      </c>
      <c r="AX61" s="73">
        <f t="shared" si="225"/>
        <v>12</v>
      </c>
      <c r="AY61" s="65"/>
      <c r="AZ61" s="74" t="s">
        <v>1959</v>
      </c>
      <c r="BA61" s="73">
        <f t="shared" si="225"/>
        <v>0</v>
      </c>
      <c r="BB61" s="65"/>
      <c r="BC61" s="74" t="s">
        <v>1953</v>
      </c>
      <c r="BD61" s="73">
        <f t="shared" si="225"/>
        <v>0</v>
      </c>
      <c r="BE61" s="65"/>
      <c r="BF61" s="74" t="s">
        <v>2000</v>
      </c>
      <c r="BG61" s="73">
        <f t="shared" si="225"/>
        <v>0</v>
      </c>
      <c r="BH61" s="65"/>
      <c r="BI61" s="74" t="s">
        <v>1953</v>
      </c>
      <c r="BJ61" s="73">
        <f t="shared" si="225"/>
        <v>0</v>
      </c>
      <c r="BK61" s="65"/>
      <c r="BL61" s="74" t="s">
        <v>1954</v>
      </c>
      <c r="BM61" s="73">
        <f t="shared" si="225"/>
        <v>0</v>
      </c>
      <c r="BN61" s="65"/>
      <c r="BO61" s="74" t="s">
        <v>1954</v>
      </c>
      <c r="BP61" s="73">
        <f t="shared" si="225"/>
        <v>0</v>
      </c>
      <c r="BQ61" s="65"/>
      <c r="BR61" s="74" t="s">
        <v>2000</v>
      </c>
      <c r="BS61" s="73">
        <f t="shared" si="225"/>
        <v>0</v>
      </c>
      <c r="BT61" s="65"/>
      <c r="BU61" s="74" t="s">
        <v>1957</v>
      </c>
      <c r="BV61" s="73">
        <f t="shared" si="225"/>
        <v>12</v>
      </c>
      <c r="BW61" s="65"/>
      <c r="BX61" s="74" t="s">
        <v>1957</v>
      </c>
      <c r="BY61" s="73">
        <f t="shared" si="225"/>
        <v>12</v>
      </c>
      <c r="BZ61" s="65"/>
      <c r="CA61" s="74" t="s">
        <v>1950</v>
      </c>
      <c r="CB61" s="73">
        <f t="shared" si="225"/>
        <v>0</v>
      </c>
      <c r="CC61" s="65"/>
      <c r="CD61" s="74" t="s">
        <v>1960</v>
      </c>
      <c r="CE61" s="73">
        <f t="shared" si="225"/>
        <v>0</v>
      </c>
      <c r="CF61" s="65"/>
      <c r="CG61" s="74" t="s">
        <v>2000</v>
      </c>
      <c r="CH61" s="73">
        <f t="shared" si="225"/>
        <v>0</v>
      </c>
      <c r="CI61" s="65"/>
      <c r="CJ61" s="74" t="s">
        <v>1949</v>
      </c>
      <c r="CK61" s="73">
        <f t="shared" si="224"/>
        <v>0</v>
      </c>
      <c r="CL61" s="65"/>
      <c r="CM61" s="74" t="s">
        <v>1959</v>
      </c>
      <c r="CN61" s="73">
        <f t="shared" si="224"/>
        <v>0</v>
      </c>
      <c r="CO61" s="65"/>
      <c r="CP61" s="74" t="s">
        <v>1959</v>
      </c>
      <c r="CQ61" s="73">
        <f t="shared" si="224"/>
        <v>0</v>
      </c>
      <c r="CR61" s="65"/>
      <c r="CS61" s="74" t="s">
        <v>1953</v>
      </c>
      <c r="CT61" s="73">
        <f t="shared" si="224"/>
        <v>0</v>
      </c>
      <c r="CU61" s="65"/>
      <c r="CV61" s="74" t="s">
        <v>1950</v>
      </c>
      <c r="CW61" s="73">
        <f t="shared" si="224"/>
        <v>0</v>
      </c>
      <c r="CX61" s="65"/>
      <c r="CY61" s="74" t="s">
        <v>1959</v>
      </c>
      <c r="CZ61" s="73">
        <f t="shared" si="224"/>
        <v>0</v>
      </c>
      <c r="DA61" s="65"/>
      <c r="DB61" s="74" t="s">
        <v>1957</v>
      </c>
      <c r="DC61" s="73">
        <f t="shared" si="224"/>
        <v>12</v>
      </c>
      <c r="DD61" s="65"/>
      <c r="DE61" s="74" t="s">
        <v>1957</v>
      </c>
      <c r="DF61" s="73">
        <f t="shared" si="224"/>
        <v>12</v>
      </c>
      <c r="DG61" s="65"/>
      <c r="DH61" s="74" t="s">
        <v>1953</v>
      </c>
      <c r="DI61" s="73">
        <f t="shared" si="224"/>
        <v>0</v>
      </c>
      <c r="DJ61" s="65"/>
      <c r="DK61" s="74" t="s">
        <v>1954</v>
      </c>
      <c r="DL61" s="73">
        <f t="shared" si="224"/>
        <v>0</v>
      </c>
      <c r="DM61" s="65"/>
      <c r="DN61" s="74" t="s">
        <v>1960</v>
      </c>
      <c r="DO61" s="73">
        <f t="shared" si="224"/>
        <v>0</v>
      </c>
      <c r="DP61" s="65"/>
      <c r="DQ61" s="74" t="s">
        <v>2000</v>
      </c>
      <c r="DR61" s="73">
        <f t="shared" si="224"/>
        <v>0</v>
      </c>
      <c r="DS61" s="65"/>
      <c r="DT61" s="74" t="s">
        <v>1950</v>
      </c>
      <c r="DU61" s="73">
        <f t="shared" si="224"/>
        <v>0</v>
      </c>
      <c r="DV61" s="65"/>
      <c r="DW61" s="74" t="s">
        <v>1957</v>
      </c>
      <c r="DX61" s="73">
        <f t="shared" si="227"/>
        <v>12</v>
      </c>
      <c r="DY61" s="65"/>
      <c r="DZ61" s="74" t="s">
        <v>1957</v>
      </c>
      <c r="EA61" s="73">
        <f t="shared" si="227"/>
        <v>12</v>
      </c>
      <c r="EB61" s="65"/>
      <c r="EC61" s="74" t="s">
        <v>1954</v>
      </c>
      <c r="ED61" s="73">
        <f t="shared" si="227"/>
        <v>0</v>
      </c>
      <c r="EE61" s="65"/>
      <c r="EF61" s="74" t="s">
        <v>1954</v>
      </c>
      <c r="EG61" s="73">
        <f t="shared" si="227"/>
        <v>0</v>
      </c>
      <c r="EH61" s="65"/>
      <c r="EI61" s="74" t="s">
        <v>1957</v>
      </c>
      <c r="EJ61" s="73">
        <f t="shared" si="227"/>
        <v>12</v>
      </c>
      <c r="EK61" s="65"/>
      <c r="EL61" s="74" t="s">
        <v>1954</v>
      </c>
      <c r="EM61" s="73">
        <f t="shared" si="227"/>
        <v>0</v>
      </c>
      <c r="EN61" s="65"/>
      <c r="EO61" s="74" t="s">
        <v>1954</v>
      </c>
      <c r="EP61" s="73">
        <f t="shared" si="227"/>
        <v>0</v>
      </c>
      <c r="EQ61" s="65"/>
      <c r="ER61" s="74" t="s">
        <v>1960</v>
      </c>
      <c r="ES61" s="73">
        <f t="shared" si="227"/>
        <v>0</v>
      </c>
      <c r="ET61" s="65"/>
      <c r="EU61" s="74" t="s">
        <v>1957</v>
      </c>
      <c r="EV61" s="73">
        <f t="shared" si="227"/>
        <v>12</v>
      </c>
      <c r="EW61" s="65"/>
      <c r="EX61" s="74" t="s">
        <v>1959</v>
      </c>
      <c r="EY61" s="73">
        <f t="shared" si="227"/>
        <v>0</v>
      </c>
      <c r="EZ61" s="65"/>
      <c r="FA61" s="74" t="s">
        <v>1954</v>
      </c>
      <c r="FB61" s="73">
        <f t="shared" si="227"/>
        <v>0</v>
      </c>
      <c r="FC61" s="65"/>
      <c r="FD61" s="74" t="s">
        <v>2000</v>
      </c>
      <c r="FE61" s="73">
        <f t="shared" si="227"/>
        <v>0</v>
      </c>
      <c r="FF61" s="65"/>
      <c r="FG61" s="74" t="s">
        <v>1954</v>
      </c>
      <c r="FH61" s="73">
        <f t="shared" si="227"/>
        <v>0</v>
      </c>
      <c r="FI61" s="65"/>
      <c r="FJ61" s="74" t="s">
        <v>1959</v>
      </c>
      <c r="FK61" s="73">
        <f t="shared" si="227"/>
        <v>0</v>
      </c>
      <c r="FL61" s="65"/>
      <c r="FM61" s="74" t="s">
        <v>1959</v>
      </c>
      <c r="FN61" s="73">
        <f t="shared" si="227"/>
        <v>0</v>
      </c>
      <c r="FO61" s="65"/>
      <c r="FP61" s="74" t="s">
        <v>1957</v>
      </c>
      <c r="FQ61" s="73">
        <f t="shared" si="227"/>
        <v>12</v>
      </c>
      <c r="FR61" s="65"/>
      <c r="FS61" s="74" t="s">
        <v>1959</v>
      </c>
      <c r="FT61" s="73">
        <f t="shared" si="227"/>
        <v>0</v>
      </c>
      <c r="FU61" s="65"/>
      <c r="FV61" s="74" t="s">
        <v>1954</v>
      </c>
      <c r="FW61" s="73">
        <f t="shared" si="227"/>
        <v>0</v>
      </c>
      <c r="FX61" s="65"/>
      <c r="FY61" s="74" t="s">
        <v>1959</v>
      </c>
      <c r="FZ61" s="73">
        <f t="shared" si="227"/>
        <v>0</v>
      </c>
      <c r="GA61" s="65"/>
      <c r="GB61" s="74" t="s">
        <v>1953</v>
      </c>
      <c r="GC61" s="73">
        <f t="shared" si="227"/>
        <v>0</v>
      </c>
      <c r="GD61" s="65"/>
      <c r="GE61" s="74" t="s">
        <v>1953</v>
      </c>
      <c r="GF61" s="73">
        <f t="shared" si="227"/>
        <v>0</v>
      </c>
      <c r="GG61" s="65"/>
      <c r="GH61" s="74" t="s">
        <v>1957</v>
      </c>
      <c r="GI61" s="73">
        <f t="shared" si="227"/>
        <v>12</v>
      </c>
      <c r="GJ61" s="65"/>
      <c r="GK61" s="74" t="s">
        <v>1950</v>
      </c>
      <c r="GL61" s="73">
        <f t="shared" si="226"/>
        <v>0</v>
      </c>
      <c r="GM61" s="65"/>
      <c r="GN61" s="74"/>
      <c r="GO61" s="73">
        <f t="shared" si="226"/>
        <v>0</v>
      </c>
      <c r="GP61" s="65"/>
      <c r="GQ61" s="74"/>
      <c r="GR61" s="73">
        <f t="shared" si="226"/>
        <v>0</v>
      </c>
      <c r="GS61" s="65"/>
      <c r="GT61" s="74"/>
      <c r="GU61" s="73">
        <f t="shared" si="226"/>
        <v>0</v>
      </c>
      <c r="GV61" s="65"/>
      <c r="GW61" s="74"/>
      <c r="GX61" s="73">
        <f t="shared" si="226"/>
        <v>0</v>
      </c>
      <c r="GY61" s="65"/>
      <c r="GZ61" s="74"/>
      <c r="HA61" s="73">
        <f t="shared" si="226"/>
        <v>0</v>
      </c>
      <c r="HB61" s="65"/>
      <c r="HC61" s="74"/>
      <c r="HD61" s="73">
        <f t="shared" si="226"/>
        <v>0</v>
      </c>
      <c r="HE61" s="65"/>
      <c r="HF61" s="74"/>
      <c r="HG61" s="73">
        <f t="shared" si="226"/>
        <v>0</v>
      </c>
      <c r="HH61" s="65"/>
      <c r="HI61" s="74"/>
      <c r="HJ61" s="73">
        <f t="shared" si="226"/>
        <v>0</v>
      </c>
      <c r="HK61" s="65"/>
      <c r="HL61" s="74"/>
      <c r="HM61" s="73">
        <f t="shared" si="226"/>
        <v>0</v>
      </c>
      <c r="HN61" s="65"/>
      <c r="HO61" s="74"/>
      <c r="HP61" s="73">
        <f t="shared" si="226"/>
        <v>0</v>
      </c>
      <c r="HQ61" s="65"/>
      <c r="HR61" s="74"/>
      <c r="HS61" s="73">
        <f t="shared" si="226"/>
        <v>0</v>
      </c>
      <c r="HT61" s="65"/>
      <c r="HU61" s="74"/>
      <c r="HV61" s="73">
        <f t="shared" si="226"/>
        <v>0</v>
      </c>
      <c r="HW61" s="65"/>
      <c r="HX61" s="74"/>
      <c r="HY61" s="73">
        <f t="shared" si="230"/>
        <v>0</v>
      </c>
      <c r="HZ61" s="65"/>
      <c r="IA61" s="74"/>
      <c r="IB61" s="73">
        <f t="shared" si="230"/>
        <v>0</v>
      </c>
      <c r="IC61" s="65"/>
      <c r="ID61" s="74"/>
      <c r="IE61" s="73">
        <f t="shared" si="230"/>
        <v>0</v>
      </c>
      <c r="IF61" s="65"/>
      <c r="IG61" s="74"/>
      <c r="IH61" s="73">
        <f t="shared" si="230"/>
        <v>0</v>
      </c>
      <c r="II61" s="65"/>
      <c r="IJ61" s="74"/>
      <c r="IK61" s="73">
        <f t="shared" si="230"/>
        <v>0</v>
      </c>
      <c r="IL61" s="65"/>
      <c r="IM61" s="74"/>
      <c r="IN61" s="73">
        <f t="shared" si="230"/>
        <v>0</v>
      </c>
      <c r="IO61" s="65"/>
      <c r="IP61" s="74"/>
      <c r="IQ61" s="73">
        <f t="shared" si="230"/>
        <v>0</v>
      </c>
      <c r="IR61" s="65"/>
      <c r="IS61" s="74"/>
      <c r="IT61" s="73">
        <f t="shared" si="230"/>
        <v>0</v>
      </c>
      <c r="IU61" s="65"/>
      <c r="IV61" s="74"/>
      <c r="IW61" s="73">
        <f t="shared" si="230"/>
        <v>0</v>
      </c>
      <c r="IX61" s="65"/>
      <c r="IY61" s="74"/>
      <c r="IZ61" s="73">
        <f t="shared" si="230"/>
        <v>0</v>
      </c>
      <c r="JA61" s="65"/>
      <c r="JB61" s="74"/>
      <c r="JC61" s="73">
        <f t="shared" si="230"/>
        <v>0</v>
      </c>
      <c r="JD61" s="65"/>
      <c r="JE61" s="74"/>
      <c r="JF61" s="73">
        <f t="shared" si="230"/>
        <v>0</v>
      </c>
      <c r="JG61" s="65"/>
      <c r="JH61" s="74"/>
      <c r="JI61" s="73">
        <f t="shared" si="230"/>
        <v>0</v>
      </c>
      <c r="JJ61" s="65"/>
      <c r="JK61" s="74"/>
      <c r="JL61" s="73">
        <f t="shared" si="230"/>
        <v>0</v>
      </c>
      <c r="JM61" s="65"/>
      <c r="JN61" s="74"/>
      <c r="JO61" s="73">
        <f t="shared" si="230"/>
        <v>0</v>
      </c>
      <c r="JP61" s="65"/>
      <c r="JQ61" s="74"/>
      <c r="JR61" s="73">
        <f t="shared" si="230"/>
        <v>0</v>
      </c>
      <c r="JS61" s="65"/>
      <c r="JT61" s="74"/>
      <c r="JU61" s="73">
        <f t="shared" si="230"/>
        <v>0</v>
      </c>
      <c r="JV61" s="65"/>
      <c r="JW61" s="74"/>
      <c r="JX61" s="73">
        <f t="shared" si="230"/>
        <v>0</v>
      </c>
      <c r="JY61" s="65"/>
      <c r="JZ61" s="74"/>
      <c r="KA61" s="73">
        <f t="shared" si="230"/>
        <v>0</v>
      </c>
      <c r="KB61" s="65"/>
      <c r="KC61" s="74"/>
      <c r="KD61" s="73">
        <f t="shared" si="230"/>
        <v>0</v>
      </c>
      <c r="KE61" s="65"/>
      <c r="KF61" s="74"/>
      <c r="KG61" s="73">
        <f t="shared" si="230"/>
        <v>0</v>
      </c>
      <c r="KH61" s="65"/>
      <c r="KI61" s="74"/>
      <c r="KJ61" s="73">
        <f t="shared" si="230"/>
        <v>0</v>
      </c>
      <c r="KK61" s="65"/>
      <c r="KL61" s="74"/>
      <c r="KM61" s="73">
        <f t="shared" si="229"/>
        <v>0</v>
      </c>
      <c r="KN61" s="65"/>
      <c r="KO61" s="74"/>
      <c r="KP61" s="73">
        <f t="shared" si="229"/>
        <v>0</v>
      </c>
      <c r="KQ61" s="65"/>
      <c r="KR61" s="74"/>
      <c r="KS61" s="73">
        <f t="shared" si="229"/>
        <v>0</v>
      </c>
      <c r="KT61" s="65"/>
      <c r="KU61" s="74"/>
      <c r="KV61" s="73">
        <f t="shared" si="229"/>
        <v>0</v>
      </c>
      <c r="KW61" s="65"/>
      <c r="KX61" s="74"/>
      <c r="KY61" s="73">
        <f t="shared" si="229"/>
        <v>0</v>
      </c>
      <c r="KZ61" s="65"/>
      <c r="LA61" s="74"/>
      <c r="LB61" s="73">
        <f t="shared" si="229"/>
        <v>0</v>
      </c>
      <c r="LC61" s="65"/>
      <c r="LD61" s="74"/>
      <c r="LE61" s="73">
        <f t="shared" si="229"/>
        <v>0</v>
      </c>
      <c r="LF61" s="65"/>
      <c r="LG61" s="65"/>
    </row>
    <row r="62" spans="1:319">
      <c r="A62" s="49"/>
      <c r="B62" s="49"/>
      <c r="C62" s="47" t="str">
        <f>"MAX. "&amp;$K$249</f>
        <v>MAX. HONOR BOX</v>
      </c>
      <c r="D62" s="126">
        <f>SUM($D$39:$D$47)</f>
        <v>162</v>
      </c>
      <c r="E62" s="111"/>
      <c r="F62" s="445">
        <f t="shared" si="197"/>
        <v>20</v>
      </c>
      <c r="G62" s="445">
        <f ca="1">VLOOKUP(H62,Equipos!$Q$1:$R$25,2,0)</f>
        <v>16</v>
      </c>
      <c r="H62" s="446">
        <f ca="1">TRUNC(INDEX(WORLDCUP!$X$4:$X$147,MATCH(ADMIN!K62,WORLDCUP!$DT$4:$DT$147,0))+INDEX(Horarios!$R$3:$R$86,MATCH(Horarios!$C$3,Horarios!$P$3:$P$86,0))/24)</f>
        <v>46199</v>
      </c>
      <c r="I62" s="48">
        <v>1</v>
      </c>
      <c r="J62" s="95" t="s">
        <v>128</v>
      </c>
      <c r="K62" s="56" t="str">
        <f ca="1">CONCATENATE(WORLDCUP!AA40,"-",WORLDCUP!AF40)</f>
        <v>Curaçao-Ivory Coast</v>
      </c>
      <c r="L62" s="53"/>
      <c r="M62" s="55" t="str">
        <f>IF(OR(WORLDCUP!AC40="",WORLDCUP!AD40=""),"-",N62&amp;"|"&amp;O62&amp;"-"&amp;P62)</f>
        <v>2|0-2</v>
      </c>
      <c r="N62" s="25" t="str">
        <f>IF(OR(WORLDCUP!AC40="",WORLDCUP!AD40=""),"",IF(WORLDCUP!AC40&gt;WORLDCUP!AD40,"1",IF(WORLDCUP!AC40&lt;WORLDCUP!AD40,"2","X")))</f>
        <v>2</v>
      </c>
      <c r="O62" s="25">
        <f>WORLDCUP!AC40</f>
        <v>0</v>
      </c>
      <c r="P62" s="25">
        <f>WORLDCUP!AD40</f>
        <v>2</v>
      </c>
      <c r="Q62" s="25">
        <f t="shared" si="201"/>
        <v>2</v>
      </c>
      <c r="R62" s="49"/>
      <c r="S62" s="74" t="s">
        <v>1953</v>
      </c>
      <c r="T62" s="73">
        <f t="shared" si="198"/>
        <v>10</v>
      </c>
      <c r="U62" s="65"/>
      <c r="V62" s="74" t="s">
        <v>1957</v>
      </c>
      <c r="W62" s="73">
        <f t="shared" si="219"/>
        <v>0</v>
      </c>
      <c r="X62" s="65"/>
      <c r="Y62" s="74" t="s">
        <v>2000</v>
      </c>
      <c r="Z62" s="73">
        <f t="shared" si="225"/>
        <v>10</v>
      </c>
      <c r="AA62" s="65"/>
      <c r="AB62" s="74" t="s">
        <v>2000</v>
      </c>
      <c r="AC62" s="73">
        <f t="shared" si="225"/>
        <v>10</v>
      </c>
      <c r="AD62" s="65"/>
      <c r="AE62" s="74" t="s">
        <v>1960</v>
      </c>
      <c r="AF62" s="73">
        <f t="shared" si="225"/>
        <v>20</v>
      </c>
      <c r="AG62" s="65"/>
      <c r="AH62" s="74" t="s">
        <v>1948</v>
      </c>
      <c r="AI62" s="73">
        <f t="shared" si="225"/>
        <v>10</v>
      </c>
      <c r="AJ62" s="65"/>
      <c r="AK62" s="74" t="s">
        <v>1954</v>
      </c>
      <c r="AL62" s="73">
        <f t="shared" si="225"/>
        <v>0</v>
      </c>
      <c r="AM62" s="65"/>
      <c r="AN62" s="74" t="s">
        <v>1957</v>
      </c>
      <c r="AO62" s="73">
        <f t="shared" si="225"/>
        <v>0</v>
      </c>
      <c r="AP62" s="65"/>
      <c r="AQ62" s="74" t="s">
        <v>1957</v>
      </c>
      <c r="AR62" s="73">
        <f t="shared" si="225"/>
        <v>0</v>
      </c>
      <c r="AS62" s="65"/>
      <c r="AT62" s="74" t="s">
        <v>1957</v>
      </c>
      <c r="AU62" s="73">
        <f t="shared" si="225"/>
        <v>0</v>
      </c>
      <c r="AV62" s="65"/>
      <c r="AW62" s="74" t="s">
        <v>1955</v>
      </c>
      <c r="AX62" s="73">
        <f t="shared" si="225"/>
        <v>12</v>
      </c>
      <c r="AY62" s="65"/>
      <c r="AZ62" s="74" t="s">
        <v>1960</v>
      </c>
      <c r="BA62" s="73">
        <f t="shared" si="225"/>
        <v>20</v>
      </c>
      <c r="BB62" s="65"/>
      <c r="BC62" s="74" t="s">
        <v>1948</v>
      </c>
      <c r="BD62" s="73">
        <f t="shared" si="225"/>
        <v>10</v>
      </c>
      <c r="BE62" s="65"/>
      <c r="BF62" s="74" t="s">
        <v>2133</v>
      </c>
      <c r="BG62" s="73">
        <f t="shared" si="225"/>
        <v>0</v>
      </c>
      <c r="BH62" s="65"/>
      <c r="BI62" s="74" t="s">
        <v>1944</v>
      </c>
      <c r="BJ62" s="73">
        <f t="shared" si="225"/>
        <v>0</v>
      </c>
      <c r="BK62" s="65"/>
      <c r="BL62" s="74" t="s">
        <v>1960</v>
      </c>
      <c r="BM62" s="73">
        <f t="shared" si="225"/>
        <v>20</v>
      </c>
      <c r="BN62" s="65"/>
      <c r="BO62" s="74" t="s">
        <v>1960</v>
      </c>
      <c r="BP62" s="73">
        <f t="shared" si="225"/>
        <v>20</v>
      </c>
      <c r="BQ62" s="65"/>
      <c r="BR62" s="74" t="s">
        <v>1960</v>
      </c>
      <c r="BS62" s="73">
        <f t="shared" si="225"/>
        <v>20</v>
      </c>
      <c r="BT62" s="65"/>
      <c r="BU62" s="74" t="s">
        <v>1960</v>
      </c>
      <c r="BV62" s="73">
        <f t="shared" si="225"/>
        <v>20</v>
      </c>
      <c r="BW62" s="65"/>
      <c r="BX62" s="74" t="s">
        <v>2000</v>
      </c>
      <c r="BY62" s="73">
        <f t="shared" si="225"/>
        <v>10</v>
      </c>
      <c r="BZ62" s="65"/>
      <c r="CA62" s="74" t="s">
        <v>1955</v>
      </c>
      <c r="CB62" s="73">
        <f t="shared" si="225"/>
        <v>12</v>
      </c>
      <c r="CC62" s="65"/>
      <c r="CD62" s="74" t="s">
        <v>1959</v>
      </c>
      <c r="CE62" s="73">
        <f t="shared" si="225"/>
        <v>0</v>
      </c>
      <c r="CF62" s="65"/>
      <c r="CG62" s="74" t="s">
        <v>2106</v>
      </c>
      <c r="CH62" s="73">
        <f t="shared" si="225"/>
        <v>10</v>
      </c>
      <c r="CI62" s="65"/>
      <c r="CJ62" s="74" t="s">
        <v>1953</v>
      </c>
      <c r="CK62" s="73">
        <f t="shared" si="224"/>
        <v>10</v>
      </c>
      <c r="CL62" s="65"/>
      <c r="CM62" s="74" t="s">
        <v>2133</v>
      </c>
      <c r="CN62" s="73">
        <f t="shared" si="224"/>
        <v>0</v>
      </c>
      <c r="CO62" s="65"/>
      <c r="CP62" s="74" t="s">
        <v>1960</v>
      </c>
      <c r="CQ62" s="73">
        <f t="shared" si="224"/>
        <v>20</v>
      </c>
      <c r="CR62" s="65"/>
      <c r="CS62" s="74" t="s">
        <v>2106</v>
      </c>
      <c r="CT62" s="73">
        <f t="shared" si="224"/>
        <v>10</v>
      </c>
      <c r="CU62" s="65"/>
      <c r="CV62" s="74" t="s">
        <v>1944</v>
      </c>
      <c r="CW62" s="73">
        <f t="shared" si="224"/>
        <v>0</v>
      </c>
      <c r="CX62" s="65"/>
      <c r="CY62" s="74" t="s">
        <v>1953</v>
      </c>
      <c r="CZ62" s="73">
        <f t="shared" si="224"/>
        <v>10</v>
      </c>
      <c r="DA62" s="65"/>
      <c r="DB62" s="74" t="s">
        <v>1948</v>
      </c>
      <c r="DC62" s="73">
        <f t="shared" si="224"/>
        <v>10</v>
      </c>
      <c r="DD62" s="65"/>
      <c r="DE62" s="74" t="s">
        <v>1953</v>
      </c>
      <c r="DF62" s="73">
        <f t="shared" si="224"/>
        <v>10</v>
      </c>
      <c r="DG62" s="65"/>
      <c r="DH62" s="74" t="s">
        <v>1953</v>
      </c>
      <c r="DI62" s="73">
        <f t="shared" si="224"/>
        <v>10</v>
      </c>
      <c r="DJ62" s="65"/>
      <c r="DK62" s="74" t="s">
        <v>1960</v>
      </c>
      <c r="DL62" s="73">
        <f t="shared" si="224"/>
        <v>20</v>
      </c>
      <c r="DM62" s="65"/>
      <c r="DN62" s="74" t="s">
        <v>1957</v>
      </c>
      <c r="DO62" s="73">
        <f t="shared" si="224"/>
        <v>0</v>
      </c>
      <c r="DP62" s="65"/>
      <c r="DQ62" s="74" t="s">
        <v>2000</v>
      </c>
      <c r="DR62" s="73">
        <f t="shared" si="224"/>
        <v>10</v>
      </c>
      <c r="DS62" s="65"/>
      <c r="DT62" s="74" t="s">
        <v>1948</v>
      </c>
      <c r="DU62" s="73">
        <f t="shared" si="224"/>
        <v>10</v>
      </c>
      <c r="DV62" s="65"/>
      <c r="DW62" s="74" t="s">
        <v>1954</v>
      </c>
      <c r="DX62" s="73">
        <f t="shared" si="227"/>
        <v>0</v>
      </c>
      <c r="DY62" s="65"/>
      <c r="DZ62" s="74" t="s">
        <v>1960</v>
      </c>
      <c r="EA62" s="73">
        <f t="shared" si="227"/>
        <v>20</v>
      </c>
      <c r="EB62" s="65"/>
      <c r="EC62" s="74" t="s">
        <v>1960</v>
      </c>
      <c r="ED62" s="73">
        <f t="shared" si="227"/>
        <v>20</v>
      </c>
      <c r="EE62" s="65"/>
      <c r="EF62" s="74" t="s">
        <v>1957</v>
      </c>
      <c r="EG62" s="73">
        <f t="shared" si="227"/>
        <v>0</v>
      </c>
      <c r="EH62" s="65"/>
      <c r="EI62" s="74" t="s">
        <v>1948</v>
      </c>
      <c r="EJ62" s="73">
        <f t="shared" si="227"/>
        <v>10</v>
      </c>
      <c r="EK62" s="65"/>
      <c r="EL62" s="74" t="s">
        <v>1960</v>
      </c>
      <c r="EM62" s="73">
        <f t="shared" si="227"/>
        <v>20</v>
      </c>
      <c r="EN62" s="65"/>
      <c r="EO62" s="74" t="s">
        <v>2000</v>
      </c>
      <c r="EP62" s="73">
        <f t="shared" si="227"/>
        <v>10</v>
      </c>
      <c r="EQ62" s="65"/>
      <c r="ER62" s="74" t="s">
        <v>1953</v>
      </c>
      <c r="ES62" s="73">
        <f t="shared" si="227"/>
        <v>10</v>
      </c>
      <c r="ET62" s="65"/>
      <c r="EU62" s="74" t="s">
        <v>1960</v>
      </c>
      <c r="EV62" s="73">
        <f t="shared" si="227"/>
        <v>20</v>
      </c>
      <c r="EW62" s="65"/>
      <c r="EX62" s="74" t="s">
        <v>1953</v>
      </c>
      <c r="EY62" s="73">
        <f t="shared" si="227"/>
        <v>10</v>
      </c>
      <c r="EZ62" s="65"/>
      <c r="FA62" s="74" t="s">
        <v>1960</v>
      </c>
      <c r="FB62" s="73">
        <f t="shared" si="227"/>
        <v>20</v>
      </c>
      <c r="FC62" s="65"/>
      <c r="FD62" s="74" t="s">
        <v>1950</v>
      </c>
      <c r="FE62" s="73">
        <f t="shared" si="227"/>
        <v>0</v>
      </c>
      <c r="FF62" s="65"/>
      <c r="FG62" s="74" t="s">
        <v>1948</v>
      </c>
      <c r="FH62" s="73">
        <f t="shared" si="227"/>
        <v>10</v>
      </c>
      <c r="FI62" s="65"/>
      <c r="FJ62" s="74" t="s">
        <v>2000</v>
      </c>
      <c r="FK62" s="73">
        <f t="shared" si="227"/>
        <v>10</v>
      </c>
      <c r="FL62" s="65"/>
      <c r="FM62" s="74" t="s">
        <v>1957</v>
      </c>
      <c r="FN62" s="73">
        <f t="shared" si="227"/>
        <v>0</v>
      </c>
      <c r="FO62" s="65"/>
      <c r="FP62" s="74" t="s">
        <v>1960</v>
      </c>
      <c r="FQ62" s="73">
        <f t="shared" si="227"/>
        <v>20</v>
      </c>
      <c r="FR62" s="65"/>
      <c r="FS62" s="74" t="s">
        <v>1960</v>
      </c>
      <c r="FT62" s="73">
        <f t="shared" si="227"/>
        <v>20</v>
      </c>
      <c r="FU62" s="65"/>
      <c r="FV62" s="74" t="s">
        <v>1953</v>
      </c>
      <c r="FW62" s="73">
        <f t="shared" si="227"/>
        <v>10</v>
      </c>
      <c r="FX62" s="65"/>
      <c r="FY62" s="74" t="s">
        <v>1953</v>
      </c>
      <c r="FZ62" s="73">
        <f t="shared" si="227"/>
        <v>10</v>
      </c>
      <c r="GA62" s="65"/>
      <c r="GB62" s="74" t="s">
        <v>1953</v>
      </c>
      <c r="GC62" s="73">
        <f t="shared" si="227"/>
        <v>10</v>
      </c>
      <c r="GD62" s="65"/>
      <c r="GE62" s="74" t="s">
        <v>1948</v>
      </c>
      <c r="GF62" s="73">
        <f t="shared" si="227"/>
        <v>10</v>
      </c>
      <c r="GG62" s="65"/>
      <c r="GH62" s="74" t="s">
        <v>1960</v>
      </c>
      <c r="GI62" s="73">
        <f t="shared" si="227"/>
        <v>20</v>
      </c>
      <c r="GJ62" s="65"/>
      <c r="GK62" s="74" t="s">
        <v>1959</v>
      </c>
      <c r="GL62" s="73">
        <f t="shared" si="226"/>
        <v>0</v>
      </c>
      <c r="GM62" s="65"/>
      <c r="GN62" s="74"/>
      <c r="GO62" s="73">
        <f t="shared" si="226"/>
        <v>0</v>
      </c>
      <c r="GP62" s="65"/>
      <c r="GQ62" s="74"/>
      <c r="GR62" s="73">
        <f t="shared" si="226"/>
        <v>0</v>
      </c>
      <c r="GS62" s="65"/>
      <c r="GT62" s="74"/>
      <c r="GU62" s="73">
        <f t="shared" si="226"/>
        <v>0</v>
      </c>
      <c r="GV62" s="65"/>
      <c r="GW62" s="74"/>
      <c r="GX62" s="73">
        <f t="shared" si="226"/>
        <v>0</v>
      </c>
      <c r="GY62" s="65"/>
      <c r="GZ62" s="74"/>
      <c r="HA62" s="73">
        <f t="shared" si="226"/>
        <v>0</v>
      </c>
      <c r="HB62" s="65"/>
      <c r="HC62" s="74"/>
      <c r="HD62" s="73">
        <f t="shared" si="226"/>
        <v>0</v>
      </c>
      <c r="HE62" s="65"/>
      <c r="HF62" s="74"/>
      <c r="HG62" s="73">
        <f t="shared" si="226"/>
        <v>0</v>
      </c>
      <c r="HH62" s="65"/>
      <c r="HI62" s="74"/>
      <c r="HJ62" s="73">
        <f t="shared" si="226"/>
        <v>0</v>
      </c>
      <c r="HK62" s="65"/>
      <c r="HL62" s="74"/>
      <c r="HM62" s="73">
        <f t="shared" si="226"/>
        <v>0</v>
      </c>
      <c r="HN62" s="65"/>
      <c r="HO62" s="74"/>
      <c r="HP62" s="73">
        <f t="shared" si="226"/>
        <v>0</v>
      </c>
      <c r="HQ62" s="65"/>
      <c r="HR62" s="74"/>
      <c r="HS62" s="73">
        <f t="shared" si="226"/>
        <v>0</v>
      </c>
      <c r="HT62" s="65"/>
      <c r="HU62" s="74"/>
      <c r="HV62" s="73">
        <f t="shared" si="226"/>
        <v>0</v>
      </c>
      <c r="HW62" s="65"/>
      <c r="HX62" s="74"/>
      <c r="HY62" s="73">
        <f t="shared" si="230"/>
        <v>0</v>
      </c>
      <c r="HZ62" s="65"/>
      <c r="IA62" s="74"/>
      <c r="IB62" s="73">
        <f t="shared" si="230"/>
        <v>0</v>
      </c>
      <c r="IC62" s="65"/>
      <c r="ID62" s="74"/>
      <c r="IE62" s="73">
        <f t="shared" si="230"/>
        <v>0</v>
      </c>
      <c r="IF62" s="65"/>
      <c r="IG62" s="74"/>
      <c r="IH62" s="73">
        <f t="shared" si="230"/>
        <v>0</v>
      </c>
      <c r="II62" s="65"/>
      <c r="IJ62" s="74"/>
      <c r="IK62" s="73">
        <f t="shared" si="230"/>
        <v>0</v>
      </c>
      <c r="IL62" s="65"/>
      <c r="IM62" s="74"/>
      <c r="IN62" s="73">
        <f t="shared" si="230"/>
        <v>0</v>
      </c>
      <c r="IO62" s="65"/>
      <c r="IP62" s="74"/>
      <c r="IQ62" s="73">
        <f t="shared" si="230"/>
        <v>0</v>
      </c>
      <c r="IR62" s="65"/>
      <c r="IS62" s="74"/>
      <c r="IT62" s="73">
        <f t="shared" si="230"/>
        <v>0</v>
      </c>
      <c r="IU62" s="65"/>
      <c r="IV62" s="74"/>
      <c r="IW62" s="73">
        <f t="shared" si="230"/>
        <v>0</v>
      </c>
      <c r="IX62" s="65"/>
      <c r="IY62" s="74"/>
      <c r="IZ62" s="73">
        <f t="shared" si="230"/>
        <v>0</v>
      </c>
      <c r="JA62" s="65"/>
      <c r="JB62" s="74"/>
      <c r="JC62" s="73">
        <f t="shared" si="230"/>
        <v>0</v>
      </c>
      <c r="JD62" s="65"/>
      <c r="JE62" s="74"/>
      <c r="JF62" s="73">
        <f t="shared" si="230"/>
        <v>0</v>
      </c>
      <c r="JG62" s="65"/>
      <c r="JH62" s="74"/>
      <c r="JI62" s="73">
        <f t="shared" si="230"/>
        <v>0</v>
      </c>
      <c r="JJ62" s="65"/>
      <c r="JK62" s="74"/>
      <c r="JL62" s="73">
        <f t="shared" si="230"/>
        <v>0</v>
      </c>
      <c r="JM62" s="65"/>
      <c r="JN62" s="74"/>
      <c r="JO62" s="73">
        <f t="shared" si="230"/>
        <v>0</v>
      </c>
      <c r="JP62" s="65"/>
      <c r="JQ62" s="74"/>
      <c r="JR62" s="73">
        <f t="shared" si="230"/>
        <v>0</v>
      </c>
      <c r="JS62" s="65"/>
      <c r="JT62" s="74"/>
      <c r="JU62" s="73">
        <f t="shared" si="230"/>
        <v>0</v>
      </c>
      <c r="JV62" s="65"/>
      <c r="JW62" s="74"/>
      <c r="JX62" s="73">
        <f t="shared" si="230"/>
        <v>0</v>
      </c>
      <c r="JY62" s="65"/>
      <c r="JZ62" s="74"/>
      <c r="KA62" s="73">
        <f t="shared" si="230"/>
        <v>0</v>
      </c>
      <c r="KB62" s="65"/>
      <c r="KC62" s="74"/>
      <c r="KD62" s="73">
        <f t="shared" si="230"/>
        <v>0</v>
      </c>
      <c r="KE62" s="65"/>
      <c r="KF62" s="74"/>
      <c r="KG62" s="73">
        <f t="shared" si="230"/>
        <v>0</v>
      </c>
      <c r="KH62" s="65"/>
      <c r="KI62" s="74"/>
      <c r="KJ62" s="73">
        <f t="shared" si="230"/>
        <v>0</v>
      </c>
      <c r="KK62" s="65"/>
      <c r="KL62" s="74"/>
      <c r="KM62" s="73">
        <f t="shared" si="229"/>
        <v>0</v>
      </c>
      <c r="KN62" s="65"/>
      <c r="KO62" s="74"/>
      <c r="KP62" s="73">
        <f t="shared" si="229"/>
        <v>0</v>
      </c>
      <c r="KQ62" s="65"/>
      <c r="KR62" s="74"/>
      <c r="KS62" s="73">
        <f t="shared" si="229"/>
        <v>0</v>
      </c>
      <c r="KT62" s="65"/>
      <c r="KU62" s="74"/>
      <c r="KV62" s="73">
        <f t="shared" si="229"/>
        <v>0</v>
      </c>
      <c r="KW62" s="65"/>
      <c r="KX62" s="74"/>
      <c r="KY62" s="73">
        <f t="shared" si="229"/>
        <v>0</v>
      </c>
      <c r="KZ62" s="65"/>
      <c r="LA62" s="74"/>
      <c r="LB62" s="73">
        <f t="shared" si="229"/>
        <v>0</v>
      </c>
      <c r="LC62" s="65"/>
      <c r="LD62" s="74"/>
      <c r="LE62" s="73">
        <f t="shared" si="229"/>
        <v>0</v>
      </c>
      <c r="LF62" s="65"/>
      <c r="LG62" s="65"/>
    </row>
    <row r="63" spans="1:319">
      <c r="A63" s="49"/>
      <c r="B63" s="49"/>
      <c r="C63" s="49"/>
      <c r="D63" s="49"/>
      <c r="E63" s="111"/>
      <c r="F63" s="445">
        <f t="shared" si="197"/>
        <v>20</v>
      </c>
      <c r="G63" s="445">
        <f ca="1">VLOOKUP(H63,Equipos!$Q$1:$R$25,2,0)</f>
        <v>16</v>
      </c>
      <c r="H63" s="446">
        <f ca="1">TRUNC(INDEX(WORLDCUP!$X$4:$X$147,MATCH(ADMIN!K63,WORLDCUP!$DT$4:$DT$147,0))+INDEX(Horarios!$R$3:$R$86,MATCH(Horarios!$C$3,Horarios!$P$3:$P$86,0))/24)</f>
        <v>46199</v>
      </c>
      <c r="I63" s="48">
        <v>1</v>
      </c>
      <c r="J63" s="95" t="s">
        <v>128</v>
      </c>
      <c r="K63" s="53" t="str">
        <f ca="1">CONCATENATE(WORLDCUP!AA41,"-",WORLDCUP!AF41)</f>
        <v>Ecuador-Germany</v>
      </c>
      <c r="L63" s="53"/>
      <c r="M63" s="55" t="str">
        <f>IF(OR(WORLDCUP!AC41="",WORLDCUP!AD41=""),"-",N63&amp;"|"&amp;O63&amp;"-"&amp;P63)</f>
        <v>1|2-1</v>
      </c>
      <c r="N63" s="25" t="str">
        <f>IF(OR(WORLDCUP!AC41="",WORLDCUP!AD41=""),"",IF(WORLDCUP!AC41&gt;WORLDCUP!AD41,"1",IF(WORLDCUP!AC41&lt;WORLDCUP!AD41,"2","X")))</f>
        <v>1</v>
      </c>
      <c r="O63" s="25">
        <f>WORLDCUP!AC41</f>
        <v>2</v>
      </c>
      <c r="P63" s="25">
        <f>WORLDCUP!AD41</f>
        <v>1</v>
      </c>
      <c r="Q63" s="25">
        <f t="shared" si="201"/>
        <v>1</v>
      </c>
      <c r="R63" s="49"/>
      <c r="S63" s="74" t="s">
        <v>1955</v>
      </c>
      <c r="T63" s="73">
        <f t="shared" si="198"/>
        <v>0</v>
      </c>
      <c r="U63" s="65"/>
      <c r="V63" s="74" t="s">
        <v>1946</v>
      </c>
      <c r="W63" s="73">
        <f t="shared" si="219"/>
        <v>0</v>
      </c>
      <c r="X63" s="65"/>
      <c r="Y63" s="74" t="s">
        <v>1953</v>
      </c>
      <c r="Z63" s="73">
        <f t="shared" si="225"/>
        <v>0</v>
      </c>
      <c r="AA63" s="65"/>
      <c r="AB63" s="74" t="s">
        <v>1953</v>
      </c>
      <c r="AC63" s="73">
        <f t="shared" si="225"/>
        <v>0</v>
      </c>
      <c r="AD63" s="65"/>
      <c r="AE63" s="74" t="s">
        <v>1960</v>
      </c>
      <c r="AF63" s="73">
        <f t="shared" si="225"/>
        <v>0</v>
      </c>
      <c r="AG63" s="65"/>
      <c r="AH63" s="74" t="s">
        <v>1955</v>
      </c>
      <c r="AI63" s="73">
        <f t="shared" si="225"/>
        <v>0</v>
      </c>
      <c r="AJ63" s="65"/>
      <c r="AK63" s="74" t="s">
        <v>1960</v>
      </c>
      <c r="AL63" s="73">
        <f t="shared" si="225"/>
        <v>0</v>
      </c>
      <c r="AM63" s="65"/>
      <c r="AN63" s="74" t="s">
        <v>1953</v>
      </c>
      <c r="AO63" s="73">
        <f t="shared" si="225"/>
        <v>0</v>
      </c>
      <c r="AP63" s="65"/>
      <c r="AQ63" s="74" t="s">
        <v>1960</v>
      </c>
      <c r="AR63" s="73">
        <f t="shared" si="225"/>
        <v>0</v>
      </c>
      <c r="AS63" s="65"/>
      <c r="AT63" s="74" t="s">
        <v>1953</v>
      </c>
      <c r="AU63" s="73">
        <f t="shared" si="225"/>
        <v>0</v>
      </c>
      <c r="AV63" s="65"/>
      <c r="AW63" s="74" t="s">
        <v>1946</v>
      </c>
      <c r="AX63" s="73">
        <f t="shared" si="225"/>
        <v>0</v>
      </c>
      <c r="AY63" s="65"/>
      <c r="AZ63" s="74" t="s">
        <v>1957</v>
      </c>
      <c r="BA63" s="73">
        <f t="shared" si="225"/>
        <v>0</v>
      </c>
      <c r="BB63" s="65"/>
      <c r="BC63" s="74" t="s">
        <v>1944</v>
      </c>
      <c r="BD63" s="73">
        <f t="shared" si="225"/>
        <v>0</v>
      </c>
      <c r="BE63" s="65"/>
      <c r="BF63" s="74" t="s">
        <v>1955</v>
      </c>
      <c r="BG63" s="73">
        <f t="shared" si="225"/>
        <v>0</v>
      </c>
      <c r="BH63" s="65"/>
      <c r="BI63" s="74" t="s">
        <v>1946</v>
      </c>
      <c r="BJ63" s="73">
        <f t="shared" si="225"/>
        <v>0</v>
      </c>
      <c r="BK63" s="65"/>
      <c r="BL63" s="74" t="s">
        <v>1953</v>
      </c>
      <c r="BM63" s="73">
        <f t="shared" si="225"/>
        <v>0</v>
      </c>
      <c r="BN63" s="65"/>
      <c r="BO63" s="74" t="s">
        <v>2133</v>
      </c>
      <c r="BP63" s="73">
        <f t="shared" si="225"/>
        <v>0</v>
      </c>
      <c r="BQ63" s="65"/>
      <c r="BR63" s="74" t="s">
        <v>1948</v>
      </c>
      <c r="BS63" s="73">
        <f t="shared" si="225"/>
        <v>0</v>
      </c>
      <c r="BT63" s="65"/>
      <c r="BU63" s="74" t="s">
        <v>1955</v>
      </c>
      <c r="BV63" s="73">
        <f t="shared" si="225"/>
        <v>0</v>
      </c>
      <c r="BW63" s="65"/>
      <c r="BX63" s="74" t="s">
        <v>1948</v>
      </c>
      <c r="BY63" s="73">
        <f t="shared" si="225"/>
        <v>0</v>
      </c>
      <c r="BZ63" s="65"/>
      <c r="CA63" s="74" t="s">
        <v>1955</v>
      </c>
      <c r="CB63" s="73">
        <f t="shared" si="225"/>
        <v>0</v>
      </c>
      <c r="CC63" s="65"/>
      <c r="CD63" s="74" t="s">
        <v>1953</v>
      </c>
      <c r="CE63" s="73">
        <f t="shared" si="225"/>
        <v>0</v>
      </c>
      <c r="CF63" s="65"/>
      <c r="CG63" s="74" t="s">
        <v>1953</v>
      </c>
      <c r="CH63" s="73">
        <f t="shared" si="225"/>
        <v>0</v>
      </c>
      <c r="CI63" s="65"/>
      <c r="CJ63" s="74" t="s">
        <v>1943</v>
      </c>
      <c r="CK63" s="73">
        <f t="shared" si="224"/>
        <v>12</v>
      </c>
      <c r="CL63" s="65"/>
      <c r="CM63" s="74" t="s">
        <v>2572</v>
      </c>
      <c r="CN63" s="73">
        <f t="shared" si="224"/>
        <v>0</v>
      </c>
      <c r="CO63" s="65"/>
      <c r="CP63" s="74" t="s">
        <v>1960</v>
      </c>
      <c r="CQ63" s="73">
        <f t="shared" si="224"/>
        <v>0</v>
      </c>
      <c r="CR63" s="65"/>
      <c r="CS63" s="74" t="s">
        <v>1953</v>
      </c>
      <c r="CT63" s="73">
        <f t="shared" si="224"/>
        <v>0</v>
      </c>
      <c r="CU63" s="65"/>
      <c r="CV63" s="74" t="s">
        <v>1948</v>
      </c>
      <c r="CW63" s="73">
        <f t="shared" si="224"/>
        <v>0</v>
      </c>
      <c r="CX63" s="65"/>
      <c r="CY63" s="74" t="s">
        <v>1958</v>
      </c>
      <c r="CZ63" s="73">
        <f t="shared" si="224"/>
        <v>10</v>
      </c>
      <c r="DA63" s="65"/>
      <c r="DB63" s="74" t="s">
        <v>1951</v>
      </c>
      <c r="DC63" s="73">
        <f t="shared" si="224"/>
        <v>0</v>
      </c>
      <c r="DD63" s="65"/>
      <c r="DE63" s="74" t="s">
        <v>2000</v>
      </c>
      <c r="DF63" s="73">
        <f t="shared" si="224"/>
        <v>0</v>
      </c>
      <c r="DG63" s="65"/>
      <c r="DH63" s="74" t="s">
        <v>1951</v>
      </c>
      <c r="DI63" s="73">
        <f t="shared" si="224"/>
        <v>0</v>
      </c>
      <c r="DJ63" s="65"/>
      <c r="DK63" s="74" t="s">
        <v>1953</v>
      </c>
      <c r="DL63" s="73">
        <f t="shared" si="224"/>
        <v>0</v>
      </c>
      <c r="DM63" s="65"/>
      <c r="DN63" s="74" t="s">
        <v>1960</v>
      </c>
      <c r="DO63" s="73">
        <f t="shared" si="224"/>
        <v>0</v>
      </c>
      <c r="DP63" s="65"/>
      <c r="DQ63" s="74" t="s">
        <v>1953</v>
      </c>
      <c r="DR63" s="73">
        <f t="shared" si="224"/>
        <v>0</v>
      </c>
      <c r="DS63" s="65"/>
      <c r="DT63" s="74" t="s">
        <v>1953</v>
      </c>
      <c r="DU63" s="73">
        <f t="shared" si="224"/>
        <v>0</v>
      </c>
      <c r="DV63" s="65"/>
      <c r="DW63" s="74" t="s">
        <v>1955</v>
      </c>
      <c r="DX63" s="73">
        <f t="shared" si="227"/>
        <v>0</v>
      </c>
      <c r="DY63" s="65"/>
      <c r="DZ63" s="74" t="s">
        <v>1960</v>
      </c>
      <c r="EA63" s="73">
        <f t="shared" si="227"/>
        <v>0</v>
      </c>
      <c r="EB63" s="65"/>
      <c r="EC63" s="74" t="s">
        <v>1955</v>
      </c>
      <c r="ED63" s="73">
        <f t="shared" si="227"/>
        <v>0</v>
      </c>
      <c r="EE63" s="65"/>
      <c r="EF63" s="74" t="s">
        <v>1953</v>
      </c>
      <c r="EG63" s="73">
        <f t="shared" si="227"/>
        <v>0</v>
      </c>
      <c r="EH63" s="65"/>
      <c r="EI63" s="74" t="s">
        <v>1953</v>
      </c>
      <c r="EJ63" s="73">
        <f t="shared" si="227"/>
        <v>0</v>
      </c>
      <c r="EK63" s="65"/>
      <c r="EL63" s="74" t="s">
        <v>1953</v>
      </c>
      <c r="EM63" s="73">
        <f t="shared" si="227"/>
        <v>0</v>
      </c>
      <c r="EN63" s="65"/>
      <c r="EO63" s="74" t="s">
        <v>1960</v>
      </c>
      <c r="EP63" s="73">
        <f t="shared" si="227"/>
        <v>0</v>
      </c>
      <c r="EQ63" s="65"/>
      <c r="ER63" s="74" t="s">
        <v>1957</v>
      </c>
      <c r="ES63" s="73">
        <f t="shared" si="227"/>
        <v>0</v>
      </c>
      <c r="ET63" s="65"/>
      <c r="EU63" s="74" t="s">
        <v>1957</v>
      </c>
      <c r="EV63" s="73">
        <f t="shared" si="227"/>
        <v>0</v>
      </c>
      <c r="EW63" s="65"/>
      <c r="EX63" s="74" t="s">
        <v>1955</v>
      </c>
      <c r="EY63" s="73">
        <f t="shared" si="227"/>
        <v>0</v>
      </c>
      <c r="EZ63" s="65"/>
      <c r="FA63" s="74" t="s">
        <v>1953</v>
      </c>
      <c r="FB63" s="73">
        <f t="shared" si="227"/>
        <v>0</v>
      </c>
      <c r="FC63" s="65"/>
      <c r="FD63" s="74" t="s">
        <v>1960</v>
      </c>
      <c r="FE63" s="73">
        <f t="shared" si="227"/>
        <v>0</v>
      </c>
      <c r="FF63" s="65"/>
      <c r="FG63" s="74" t="s">
        <v>2572</v>
      </c>
      <c r="FH63" s="73">
        <f t="shared" si="227"/>
        <v>0</v>
      </c>
      <c r="FI63" s="65"/>
      <c r="FJ63" s="74" t="s">
        <v>1953</v>
      </c>
      <c r="FK63" s="73">
        <f t="shared" si="227"/>
        <v>0</v>
      </c>
      <c r="FL63" s="65"/>
      <c r="FM63" s="74" t="s">
        <v>1948</v>
      </c>
      <c r="FN63" s="73">
        <f t="shared" si="227"/>
        <v>0</v>
      </c>
      <c r="FO63" s="65"/>
      <c r="FP63" s="74" t="s">
        <v>2000</v>
      </c>
      <c r="FQ63" s="73">
        <f t="shared" si="227"/>
        <v>0</v>
      </c>
      <c r="FR63" s="65"/>
      <c r="FS63" s="74" t="s">
        <v>1953</v>
      </c>
      <c r="FT63" s="73">
        <f t="shared" si="227"/>
        <v>0</v>
      </c>
      <c r="FU63" s="65"/>
      <c r="FV63" s="74" t="s">
        <v>1953</v>
      </c>
      <c r="FW63" s="73">
        <f t="shared" si="227"/>
        <v>0</v>
      </c>
      <c r="FX63" s="65"/>
      <c r="FY63" s="74" t="s">
        <v>1957</v>
      </c>
      <c r="FZ63" s="73">
        <f t="shared" si="227"/>
        <v>0</v>
      </c>
      <c r="GA63" s="65"/>
      <c r="GB63" s="74" t="s">
        <v>1957</v>
      </c>
      <c r="GC63" s="73">
        <f t="shared" si="227"/>
        <v>0</v>
      </c>
      <c r="GD63" s="65"/>
      <c r="GE63" s="74" t="s">
        <v>2000</v>
      </c>
      <c r="GF63" s="73">
        <f t="shared" si="227"/>
        <v>0</v>
      </c>
      <c r="GG63" s="65"/>
      <c r="GH63" s="74" t="s">
        <v>1955</v>
      </c>
      <c r="GI63" s="73">
        <f t="shared" si="227"/>
        <v>0</v>
      </c>
      <c r="GJ63" s="65"/>
      <c r="GK63" s="74" t="s">
        <v>1957</v>
      </c>
      <c r="GL63" s="73">
        <f t="shared" si="226"/>
        <v>0</v>
      </c>
      <c r="GM63" s="65"/>
      <c r="GN63" s="74"/>
      <c r="GO63" s="73">
        <f t="shared" si="226"/>
        <v>0</v>
      </c>
      <c r="GP63" s="65"/>
      <c r="GQ63" s="74"/>
      <c r="GR63" s="73">
        <f t="shared" si="226"/>
        <v>0</v>
      </c>
      <c r="GS63" s="65"/>
      <c r="GT63" s="74"/>
      <c r="GU63" s="73">
        <f t="shared" si="226"/>
        <v>0</v>
      </c>
      <c r="GV63" s="65"/>
      <c r="GW63" s="74"/>
      <c r="GX63" s="73">
        <f t="shared" si="226"/>
        <v>0</v>
      </c>
      <c r="GY63" s="65"/>
      <c r="GZ63" s="74"/>
      <c r="HA63" s="73">
        <f t="shared" si="226"/>
        <v>0</v>
      </c>
      <c r="HB63" s="65"/>
      <c r="HC63" s="74"/>
      <c r="HD63" s="73">
        <f t="shared" si="226"/>
        <v>0</v>
      </c>
      <c r="HE63" s="65"/>
      <c r="HF63" s="74"/>
      <c r="HG63" s="73">
        <f t="shared" si="226"/>
        <v>0</v>
      </c>
      <c r="HH63" s="65"/>
      <c r="HI63" s="74"/>
      <c r="HJ63" s="73">
        <f t="shared" si="226"/>
        <v>0</v>
      </c>
      <c r="HK63" s="65"/>
      <c r="HL63" s="74"/>
      <c r="HM63" s="73">
        <f t="shared" si="226"/>
        <v>0</v>
      </c>
      <c r="HN63" s="65"/>
      <c r="HO63" s="74"/>
      <c r="HP63" s="73">
        <f t="shared" si="226"/>
        <v>0</v>
      </c>
      <c r="HQ63" s="65"/>
      <c r="HR63" s="74"/>
      <c r="HS63" s="73">
        <f t="shared" si="226"/>
        <v>0</v>
      </c>
      <c r="HT63" s="65"/>
      <c r="HU63" s="74"/>
      <c r="HV63" s="73">
        <f t="shared" si="226"/>
        <v>0</v>
      </c>
      <c r="HW63" s="65"/>
      <c r="HX63" s="74"/>
      <c r="HY63" s="73">
        <f t="shared" si="230"/>
        <v>0</v>
      </c>
      <c r="HZ63" s="65"/>
      <c r="IA63" s="74"/>
      <c r="IB63" s="73">
        <f t="shared" si="230"/>
        <v>0</v>
      </c>
      <c r="IC63" s="65"/>
      <c r="ID63" s="74"/>
      <c r="IE63" s="73">
        <f t="shared" si="230"/>
        <v>0</v>
      </c>
      <c r="IF63" s="65"/>
      <c r="IG63" s="74"/>
      <c r="IH63" s="73">
        <f t="shared" si="230"/>
        <v>0</v>
      </c>
      <c r="II63" s="65"/>
      <c r="IJ63" s="74"/>
      <c r="IK63" s="73">
        <f t="shared" si="230"/>
        <v>0</v>
      </c>
      <c r="IL63" s="65"/>
      <c r="IM63" s="74"/>
      <c r="IN63" s="73">
        <f t="shared" si="230"/>
        <v>0</v>
      </c>
      <c r="IO63" s="65"/>
      <c r="IP63" s="74"/>
      <c r="IQ63" s="73">
        <f t="shared" si="230"/>
        <v>0</v>
      </c>
      <c r="IR63" s="65"/>
      <c r="IS63" s="74"/>
      <c r="IT63" s="73">
        <f t="shared" si="230"/>
        <v>0</v>
      </c>
      <c r="IU63" s="65"/>
      <c r="IV63" s="74"/>
      <c r="IW63" s="73">
        <f t="shared" si="230"/>
        <v>0</v>
      </c>
      <c r="IX63" s="65"/>
      <c r="IY63" s="74"/>
      <c r="IZ63" s="73">
        <f t="shared" si="230"/>
        <v>0</v>
      </c>
      <c r="JA63" s="65"/>
      <c r="JB63" s="74"/>
      <c r="JC63" s="73">
        <f t="shared" si="230"/>
        <v>0</v>
      </c>
      <c r="JD63" s="65"/>
      <c r="JE63" s="74"/>
      <c r="JF63" s="73">
        <f t="shared" si="230"/>
        <v>0</v>
      </c>
      <c r="JG63" s="65"/>
      <c r="JH63" s="74"/>
      <c r="JI63" s="73">
        <f t="shared" si="230"/>
        <v>0</v>
      </c>
      <c r="JJ63" s="65"/>
      <c r="JK63" s="74"/>
      <c r="JL63" s="73">
        <f t="shared" si="230"/>
        <v>0</v>
      </c>
      <c r="JM63" s="65"/>
      <c r="JN63" s="74"/>
      <c r="JO63" s="73">
        <f t="shared" si="230"/>
        <v>0</v>
      </c>
      <c r="JP63" s="65"/>
      <c r="JQ63" s="74"/>
      <c r="JR63" s="73">
        <f t="shared" si="230"/>
        <v>0</v>
      </c>
      <c r="JS63" s="65"/>
      <c r="JT63" s="74"/>
      <c r="JU63" s="73">
        <f t="shared" si="230"/>
        <v>0</v>
      </c>
      <c r="JV63" s="65"/>
      <c r="JW63" s="74"/>
      <c r="JX63" s="73">
        <f t="shared" si="230"/>
        <v>0</v>
      </c>
      <c r="JY63" s="65"/>
      <c r="JZ63" s="74"/>
      <c r="KA63" s="73">
        <f t="shared" si="230"/>
        <v>0</v>
      </c>
      <c r="KB63" s="65"/>
      <c r="KC63" s="74"/>
      <c r="KD63" s="73">
        <f t="shared" si="230"/>
        <v>0</v>
      </c>
      <c r="KE63" s="65"/>
      <c r="KF63" s="74"/>
      <c r="KG63" s="73">
        <f t="shared" si="230"/>
        <v>0</v>
      </c>
      <c r="KH63" s="65"/>
      <c r="KI63" s="74"/>
      <c r="KJ63" s="73">
        <f t="shared" si="230"/>
        <v>0</v>
      </c>
      <c r="KK63" s="65"/>
      <c r="KL63" s="74"/>
      <c r="KM63" s="73">
        <f t="shared" si="229"/>
        <v>0</v>
      </c>
      <c r="KN63" s="65"/>
      <c r="KO63" s="74"/>
      <c r="KP63" s="73">
        <f t="shared" si="229"/>
        <v>0</v>
      </c>
      <c r="KQ63" s="65"/>
      <c r="KR63" s="74"/>
      <c r="KS63" s="73">
        <f t="shared" si="229"/>
        <v>0</v>
      </c>
      <c r="KT63" s="65"/>
      <c r="KU63" s="74"/>
      <c r="KV63" s="73">
        <f t="shared" si="229"/>
        <v>0</v>
      </c>
      <c r="KW63" s="65"/>
      <c r="KX63" s="74"/>
      <c r="KY63" s="73">
        <f t="shared" si="229"/>
        <v>0</v>
      </c>
      <c r="KZ63" s="65"/>
      <c r="LA63" s="74"/>
      <c r="LB63" s="73">
        <f t="shared" si="229"/>
        <v>0</v>
      </c>
      <c r="LC63" s="65"/>
      <c r="LD63" s="74"/>
      <c r="LE63" s="73">
        <f t="shared" si="229"/>
        <v>0</v>
      </c>
      <c r="LF63" s="65"/>
      <c r="LG63" s="65"/>
    </row>
    <row r="64" spans="1:319">
      <c r="A64" s="49"/>
      <c r="B64" s="49"/>
      <c r="C64" s="119" t="str">
        <f>"MAX. "&amp;K5</f>
        <v>MAX. GROUP STAGE</v>
      </c>
      <c r="D64" s="122">
        <f>D56</f>
        <v>2056</v>
      </c>
      <c r="E64" s="111"/>
      <c r="F64" s="445">
        <f t="shared" si="197"/>
        <v>20</v>
      </c>
      <c r="G64" s="445">
        <f ca="1">VLOOKUP(H64,Equipos!$Q$1:$R$25,2,0)</f>
        <v>16</v>
      </c>
      <c r="H64" s="446">
        <f ca="1">TRUNC(INDEX(WORLDCUP!$X$4:$X$147,MATCH(ADMIN!K64,WORLDCUP!$DT$4:$DT$147,0))+INDEX(Horarios!$R$3:$R$86,MATCH(Horarios!$C$3,Horarios!$P$3:$P$86,0))/24)</f>
        <v>46199</v>
      </c>
      <c r="I64" s="48">
        <v>1</v>
      </c>
      <c r="J64" s="96" t="s">
        <v>129</v>
      </c>
      <c r="K64" s="56" t="str">
        <f ca="1">CONCATENATE(WORLDCUP!AA48,"-",WORLDCUP!AF48)</f>
        <v>Japan-Sweden</v>
      </c>
      <c r="L64" s="53"/>
      <c r="M64" s="55" t="str">
        <f>IF(OR(WORLDCUP!AC48="",WORLDCUP!AD48=""),"-",N64&amp;"|"&amp;O64&amp;"-"&amp;P64)</f>
        <v>X|1-1</v>
      </c>
      <c r="N64" s="25" t="str">
        <f>IF(OR(WORLDCUP!AC48="",WORLDCUP!AD48=""),"",IF(WORLDCUP!AC48&gt;WORLDCUP!AD48,"1",IF(WORLDCUP!AC48&lt;WORLDCUP!AD48,"2","X")))</f>
        <v>X</v>
      </c>
      <c r="O64" s="25">
        <f>WORLDCUP!AC48</f>
        <v>1</v>
      </c>
      <c r="P64" s="25">
        <f>WORLDCUP!AD48</f>
        <v>1</v>
      </c>
      <c r="Q64" s="25">
        <f t="shared" si="201"/>
        <v>0</v>
      </c>
      <c r="R64" s="49"/>
      <c r="S64" s="74" t="s">
        <v>1955</v>
      </c>
      <c r="T64" s="73">
        <f t="shared" si="198"/>
        <v>0</v>
      </c>
      <c r="U64" s="65"/>
      <c r="V64" s="74" t="s">
        <v>1957</v>
      </c>
      <c r="W64" s="73">
        <f t="shared" si="219"/>
        <v>20</v>
      </c>
      <c r="X64" s="65"/>
      <c r="Y64" s="74" t="s">
        <v>1954</v>
      </c>
      <c r="Z64" s="73">
        <f t="shared" si="225"/>
        <v>0</v>
      </c>
      <c r="AA64" s="65"/>
      <c r="AB64" s="74" t="s">
        <v>1954</v>
      </c>
      <c r="AC64" s="73">
        <f t="shared" si="225"/>
        <v>0</v>
      </c>
      <c r="AD64" s="65"/>
      <c r="AE64" s="74" t="s">
        <v>1953</v>
      </c>
      <c r="AF64" s="73">
        <f t="shared" si="225"/>
        <v>0</v>
      </c>
      <c r="AG64" s="65"/>
      <c r="AH64" s="74" t="s">
        <v>1957</v>
      </c>
      <c r="AI64" s="73">
        <f t="shared" si="225"/>
        <v>20</v>
      </c>
      <c r="AJ64" s="65"/>
      <c r="AK64" s="74" t="s">
        <v>1944</v>
      </c>
      <c r="AL64" s="73">
        <f t="shared" si="225"/>
        <v>12</v>
      </c>
      <c r="AM64" s="65"/>
      <c r="AN64" s="74" t="s">
        <v>1954</v>
      </c>
      <c r="AO64" s="73">
        <f t="shared" si="225"/>
        <v>0</v>
      </c>
      <c r="AP64" s="65"/>
      <c r="AQ64" s="74" t="s">
        <v>1944</v>
      </c>
      <c r="AR64" s="73">
        <f t="shared" si="225"/>
        <v>12</v>
      </c>
      <c r="AS64" s="65"/>
      <c r="AT64" s="74" t="s">
        <v>1959</v>
      </c>
      <c r="AU64" s="73">
        <f t="shared" si="225"/>
        <v>0</v>
      </c>
      <c r="AV64" s="65"/>
      <c r="AW64" s="74" t="s">
        <v>1955</v>
      </c>
      <c r="AX64" s="73">
        <f t="shared" si="225"/>
        <v>0</v>
      </c>
      <c r="AY64" s="65"/>
      <c r="AZ64" s="74" t="s">
        <v>1957</v>
      </c>
      <c r="BA64" s="73">
        <f t="shared" si="225"/>
        <v>20</v>
      </c>
      <c r="BB64" s="65"/>
      <c r="BC64" s="74" t="s">
        <v>1954</v>
      </c>
      <c r="BD64" s="73">
        <f t="shared" si="225"/>
        <v>0</v>
      </c>
      <c r="BE64" s="65"/>
      <c r="BF64" s="74" t="s">
        <v>1957</v>
      </c>
      <c r="BG64" s="73">
        <f t="shared" si="225"/>
        <v>20</v>
      </c>
      <c r="BH64" s="65"/>
      <c r="BI64" s="74" t="s">
        <v>1959</v>
      </c>
      <c r="BJ64" s="73">
        <f t="shared" si="225"/>
        <v>0</v>
      </c>
      <c r="BK64" s="65"/>
      <c r="BL64" s="74" t="s">
        <v>1957</v>
      </c>
      <c r="BM64" s="73">
        <f t="shared" si="225"/>
        <v>20</v>
      </c>
      <c r="BN64" s="65"/>
      <c r="BO64" s="74" t="s">
        <v>1957</v>
      </c>
      <c r="BP64" s="73">
        <f t="shared" si="225"/>
        <v>20</v>
      </c>
      <c r="BQ64" s="65"/>
      <c r="BR64" s="74" t="s">
        <v>1944</v>
      </c>
      <c r="BS64" s="73">
        <f t="shared" si="225"/>
        <v>12</v>
      </c>
      <c r="BT64" s="65"/>
      <c r="BU64" s="74" t="s">
        <v>1953</v>
      </c>
      <c r="BV64" s="73">
        <f t="shared" si="225"/>
        <v>0</v>
      </c>
      <c r="BW64" s="65"/>
      <c r="BX64" s="74" t="s">
        <v>1955</v>
      </c>
      <c r="BY64" s="73">
        <f t="shared" si="225"/>
        <v>0</v>
      </c>
      <c r="BZ64" s="65"/>
      <c r="CA64" s="74" t="s">
        <v>1959</v>
      </c>
      <c r="CB64" s="73">
        <f t="shared" si="225"/>
        <v>0</v>
      </c>
      <c r="CC64" s="65"/>
      <c r="CD64" s="74" t="s">
        <v>1953</v>
      </c>
      <c r="CE64" s="73">
        <f t="shared" si="225"/>
        <v>0</v>
      </c>
      <c r="CF64" s="65"/>
      <c r="CG64" s="74" t="s">
        <v>1954</v>
      </c>
      <c r="CH64" s="73">
        <f t="shared" si="225"/>
        <v>0</v>
      </c>
      <c r="CI64" s="65"/>
      <c r="CJ64" s="74" t="s">
        <v>1944</v>
      </c>
      <c r="CK64" s="73">
        <f t="shared" si="224"/>
        <v>12</v>
      </c>
      <c r="CL64" s="65"/>
      <c r="CM64" s="74" t="s">
        <v>1944</v>
      </c>
      <c r="CN64" s="73">
        <f t="shared" si="224"/>
        <v>12</v>
      </c>
      <c r="CO64" s="65"/>
      <c r="CP64" s="74" t="s">
        <v>1954</v>
      </c>
      <c r="CQ64" s="73">
        <f t="shared" si="224"/>
        <v>0</v>
      </c>
      <c r="CR64" s="65"/>
      <c r="CS64" s="74" t="s">
        <v>1949</v>
      </c>
      <c r="CT64" s="73">
        <f t="shared" si="224"/>
        <v>0</v>
      </c>
      <c r="CU64" s="65"/>
      <c r="CV64" s="74" t="s">
        <v>1944</v>
      </c>
      <c r="CW64" s="73">
        <f t="shared" si="224"/>
        <v>12</v>
      </c>
      <c r="CX64" s="65"/>
      <c r="CY64" s="74" t="s">
        <v>1944</v>
      </c>
      <c r="CZ64" s="73">
        <f t="shared" si="224"/>
        <v>12</v>
      </c>
      <c r="DA64" s="65"/>
      <c r="DB64" s="74" t="s">
        <v>1957</v>
      </c>
      <c r="DC64" s="73">
        <f t="shared" si="224"/>
        <v>20</v>
      </c>
      <c r="DD64" s="65"/>
      <c r="DE64" s="74" t="s">
        <v>1954</v>
      </c>
      <c r="DF64" s="73">
        <f t="shared" si="224"/>
        <v>0</v>
      </c>
      <c r="DG64" s="65"/>
      <c r="DH64" s="74" t="s">
        <v>1950</v>
      </c>
      <c r="DI64" s="73">
        <f t="shared" si="224"/>
        <v>0</v>
      </c>
      <c r="DJ64" s="65"/>
      <c r="DK64" s="74" t="s">
        <v>1957</v>
      </c>
      <c r="DL64" s="73">
        <f t="shared" si="224"/>
        <v>20</v>
      </c>
      <c r="DM64" s="65"/>
      <c r="DN64" s="74" t="s">
        <v>1954</v>
      </c>
      <c r="DO64" s="73">
        <f t="shared" si="224"/>
        <v>0</v>
      </c>
      <c r="DP64" s="65"/>
      <c r="DQ64" s="74" t="s">
        <v>1957</v>
      </c>
      <c r="DR64" s="73">
        <f t="shared" si="224"/>
        <v>20</v>
      </c>
      <c r="DS64" s="65"/>
      <c r="DT64" s="74" t="s">
        <v>1957</v>
      </c>
      <c r="DU64" s="73">
        <f t="shared" si="224"/>
        <v>20</v>
      </c>
      <c r="DV64" s="65"/>
      <c r="DW64" s="74" t="s">
        <v>1959</v>
      </c>
      <c r="DX64" s="73">
        <f t="shared" si="227"/>
        <v>0</v>
      </c>
      <c r="DY64" s="65"/>
      <c r="DZ64" s="74" t="s">
        <v>1953</v>
      </c>
      <c r="EA64" s="73">
        <f t="shared" si="227"/>
        <v>0</v>
      </c>
      <c r="EB64" s="65"/>
      <c r="EC64" s="74" t="s">
        <v>1957</v>
      </c>
      <c r="ED64" s="73">
        <f t="shared" si="227"/>
        <v>20</v>
      </c>
      <c r="EE64" s="65"/>
      <c r="EF64" s="74" t="s">
        <v>1954</v>
      </c>
      <c r="EG64" s="73">
        <f t="shared" si="227"/>
        <v>0</v>
      </c>
      <c r="EH64" s="65"/>
      <c r="EI64" s="74" t="s">
        <v>1957</v>
      </c>
      <c r="EJ64" s="73">
        <f t="shared" si="227"/>
        <v>20</v>
      </c>
      <c r="EK64" s="65"/>
      <c r="EL64" s="74" t="s">
        <v>1954</v>
      </c>
      <c r="EM64" s="73">
        <f t="shared" si="227"/>
        <v>0</v>
      </c>
      <c r="EN64" s="65"/>
      <c r="EO64" s="74" t="s">
        <v>1954</v>
      </c>
      <c r="EP64" s="73">
        <f t="shared" si="227"/>
        <v>0</v>
      </c>
      <c r="EQ64" s="65"/>
      <c r="ER64" s="74" t="s">
        <v>1957</v>
      </c>
      <c r="ES64" s="73">
        <f t="shared" si="227"/>
        <v>20</v>
      </c>
      <c r="ET64" s="65"/>
      <c r="EU64" s="74" t="s">
        <v>1957</v>
      </c>
      <c r="EV64" s="73">
        <f t="shared" si="227"/>
        <v>20</v>
      </c>
      <c r="EW64" s="65"/>
      <c r="EX64" s="74" t="s">
        <v>1957</v>
      </c>
      <c r="EY64" s="73">
        <f t="shared" si="227"/>
        <v>20</v>
      </c>
      <c r="EZ64" s="65"/>
      <c r="FA64" s="74" t="s">
        <v>1957</v>
      </c>
      <c r="FB64" s="73">
        <f t="shared" si="227"/>
        <v>20</v>
      </c>
      <c r="FC64" s="65"/>
      <c r="FD64" s="74" t="s">
        <v>2000</v>
      </c>
      <c r="FE64" s="73">
        <f t="shared" si="227"/>
        <v>0</v>
      </c>
      <c r="FF64" s="65"/>
      <c r="FG64" s="74" t="s">
        <v>2369</v>
      </c>
      <c r="FH64" s="73">
        <f t="shared" si="227"/>
        <v>12</v>
      </c>
      <c r="FI64" s="65"/>
      <c r="FJ64" s="74" t="s">
        <v>1957</v>
      </c>
      <c r="FK64" s="73">
        <f t="shared" si="227"/>
        <v>20</v>
      </c>
      <c r="FL64" s="65"/>
      <c r="FM64" s="74" t="s">
        <v>1957</v>
      </c>
      <c r="FN64" s="73">
        <f t="shared" si="227"/>
        <v>20</v>
      </c>
      <c r="FO64" s="65"/>
      <c r="FP64" s="74" t="s">
        <v>1957</v>
      </c>
      <c r="FQ64" s="73">
        <f t="shared" si="227"/>
        <v>20</v>
      </c>
      <c r="FR64" s="65"/>
      <c r="FS64" s="74" t="s">
        <v>1957</v>
      </c>
      <c r="FT64" s="73">
        <f t="shared" si="227"/>
        <v>20</v>
      </c>
      <c r="FU64" s="65"/>
      <c r="FV64" s="74" t="s">
        <v>1944</v>
      </c>
      <c r="FW64" s="73">
        <f t="shared" si="227"/>
        <v>12</v>
      </c>
      <c r="FX64" s="65"/>
      <c r="FY64" s="74" t="s">
        <v>1960</v>
      </c>
      <c r="FZ64" s="73">
        <f t="shared" si="227"/>
        <v>0</v>
      </c>
      <c r="GA64" s="65"/>
      <c r="GB64" s="74" t="s">
        <v>1954</v>
      </c>
      <c r="GC64" s="73">
        <f t="shared" si="227"/>
        <v>0</v>
      </c>
      <c r="GD64" s="65"/>
      <c r="GE64" s="74" t="s">
        <v>1957</v>
      </c>
      <c r="GF64" s="73">
        <f t="shared" si="227"/>
        <v>20</v>
      </c>
      <c r="GG64" s="65"/>
      <c r="GH64" s="74" t="s">
        <v>1957</v>
      </c>
      <c r="GI64" s="73">
        <f t="shared" si="227"/>
        <v>20</v>
      </c>
      <c r="GJ64" s="65"/>
      <c r="GK64" s="74" t="s">
        <v>1953</v>
      </c>
      <c r="GL64" s="73">
        <f t="shared" si="226"/>
        <v>0</v>
      </c>
      <c r="GM64" s="65"/>
      <c r="GN64" s="74"/>
      <c r="GO64" s="73">
        <f t="shared" si="226"/>
        <v>0</v>
      </c>
      <c r="GP64" s="65"/>
      <c r="GQ64" s="74"/>
      <c r="GR64" s="73">
        <f t="shared" si="226"/>
        <v>0</v>
      </c>
      <c r="GS64" s="65"/>
      <c r="GT64" s="74"/>
      <c r="GU64" s="73">
        <f t="shared" si="226"/>
        <v>0</v>
      </c>
      <c r="GV64" s="65"/>
      <c r="GW64" s="74"/>
      <c r="GX64" s="73">
        <f t="shared" si="226"/>
        <v>0</v>
      </c>
      <c r="GY64" s="65"/>
      <c r="GZ64" s="74"/>
      <c r="HA64" s="73">
        <f t="shared" si="226"/>
        <v>0</v>
      </c>
      <c r="HB64" s="65"/>
      <c r="HC64" s="74"/>
      <c r="HD64" s="73">
        <f t="shared" si="226"/>
        <v>0</v>
      </c>
      <c r="HE64" s="65"/>
      <c r="HF64" s="74"/>
      <c r="HG64" s="73">
        <f t="shared" si="226"/>
        <v>0</v>
      </c>
      <c r="HH64" s="65"/>
      <c r="HI64" s="74"/>
      <c r="HJ64" s="73">
        <f t="shared" si="226"/>
        <v>0</v>
      </c>
      <c r="HK64" s="65"/>
      <c r="HL64" s="74"/>
      <c r="HM64" s="73">
        <f t="shared" si="226"/>
        <v>0</v>
      </c>
      <c r="HN64" s="65"/>
      <c r="HO64" s="74"/>
      <c r="HP64" s="73">
        <f t="shared" si="226"/>
        <v>0</v>
      </c>
      <c r="HQ64" s="65"/>
      <c r="HR64" s="74"/>
      <c r="HS64" s="73">
        <f t="shared" si="226"/>
        <v>0</v>
      </c>
      <c r="HT64" s="65"/>
      <c r="HU64" s="74"/>
      <c r="HV64" s="73">
        <f t="shared" si="226"/>
        <v>0</v>
      </c>
      <c r="HW64" s="65"/>
      <c r="HX64" s="74"/>
      <c r="HY64" s="73">
        <f t="shared" si="230"/>
        <v>0</v>
      </c>
      <c r="HZ64" s="65"/>
      <c r="IA64" s="74"/>
      <c r="IB64" s="73">
        <f t="shared" si="230"/>
        <v>0</v>
      </c>
      <c r="IC64" s="65"/>
      <c r="ID64" s="74"/>
      <c r="IE64" s="73">
        <f t="shared" si="230"/>
        <v>0</v>
      </c>
      <c r="IF64" s="65"/>
      <c r="IG64" s="74"/>
      <c r="IH64" s="73">
        <f t="shared" si="230"/>
        <v>0</v>
      </c>
      <c r="II64" s="65"/>
      <c r="IJ64" s="74"/>
      <c r="IK64" s="73">
        <f t="shared" si="230"/>
        <v>0</v>
      </c>
      <c r="IL64" s="65"/>
      <c r="IM64" s="74"/>
      <c r="IN64" s="73">
        <f t="shared" si="230"/>
        <v>0</v>
      </c>
      <c r="IO64" s="65"/>
      <c r="IP64" s="74"/>
      <c r="IQ64" s="73">
        <f t="shared" si="230"/>
        <v>0</v>
      </c>
      <c r="IR64" s="65"/>
      <c r="IS64" s="74"/>
      <c r="IT64" s="73">
        <f t="shared" si="230"/>
        <v>0</v>
      </c>
      <c r="IU64" s="65"/>
      <c r="IV64" s="74"/>
      <c r="IW64" s="73">
        <f t="shared" si="230"/>
        <v>0</v>
      </c>
      <c r="IX64" s="65"/>
      <c r="IY64" s="74"/>
      <c r="IZ64" s="73">
        <f t="shared" si="230"/>
        <v>0</v>
      </c>
      <c r="JA64" s="65"/>
      <c r="JB64" s="74"/>
      <c r="JC64" s="73">
        <f t="shared" si="230"/>
        <v>0</v>
      </c>
      <c r="JD64" s="65"/>
      <c r="JE64" s="74"/>
      <c r="JF64" s="73">
        <f t="shared" si="230"/>
        <v>0</v>
      </c>
      <c r="JG64" s="65"/>
      <c r="JH64" s="74"/>
      <c r="JI64" s="73">
        <f t="shared" si="230"/>
        <v>0</v>
      </c>
      <c r="JJ64" s="65"/>
      <c r="JK64" s="74"/>
      <c r="JL64" s="73">
        <f t="shared" si="230"/>
        <v>0</v>
      </c>
      <c r="JM64" s="65"/>
      <c r="JN64" s="74"/>
      <c r="JO64" s="73">
        <f t="shared" si="230"/>
        <v>0</v>
      </c>
      <c r="JP64" s="65"/>
      <c r="JQ64" s="74"/>
      <c r="JR64" s="73">
        <f t="shared" si="230"/>
        <v>0</v>
      </c>
      <c r="JS64" s="65"/>
      <c r="JT64" s="74"/>
      <c r="JU64" s="73">
        <f t="shared" si="230"/>
        <v>0</v>
      </c>
      <c r="JV64" s="65"/>
      <c r="JW64" s="74"/>
      <c r="JX64" s="73">
        <f t="shared" si="230"/>
        <v>0</v>
      </c>
      <c r="JY64" s="65"/>
      <c r="JZ64" s="74"/>
      <c r="KA64" s="73">
        <f t="shared" si="230"/>
        <v>0</v>
      </c>
      <c r="KB64" s="65"/>
      <c r="KC64" s="74"/>
      <c r="KD64" s="73">
        <f t="shared" si="230"/>
        <v>0</v>
      </c>
      <c r="KE64" s="65"/>
      <c r="KF64" s="74"/>
      <c r="KG64" s="73">
        <f t="shared" si="230"/>
        <v>0</v>
      </c>
      <c r="KH64" s="65"/>
      <c r="KI64" s="74"/>
      <c r="KJ64" s="73">
        <f t="shared" si="230"/>
        <v>0</v>
      </c>
      <c r="KK64" s="65"/>
      <c r="KL64" s="74"/>
      <c r="KM64" s="73">
        <f t="shared" si="229"/>
        <v>0</v>
      </c>
      <c r="KN64" s="65"/>
      <c r="KO64" s="74"/>
      <c r="KP64" s="73">
        <f t="shared" si="229"/>
        <v>0</v>
      </c>
      <c r="KQ64" s="65"/>
      <c r="KR64" s="74"/>
      <c r="KS64" s="73">
        <f t="shared" si="229"/>
        <v>0</v>
      </c>
      <c r="KT64" s="65"/>
      <c r="KU64" s="74"/>
      <c r="KV64" s="73">
        <f t="shared" si="229"/>
        <v>0</v>
      </c>
      <c r="KW64" s="65"/>
      <c r="KX64" s="74"/>
      <c r="KY64" s="73">
        <f t="shared" si="229"/>
        <v>0</v>
      </c>
      <c r="KZ64" s="65"/>
      <c r="LA64" s="74"/>
      <c r="LB64" s="73">
        <f t="shared" si="229"/>
        <v>0</v>
      </c>
      <c r="LC64" s="65"/>
      <c r="LD64" s="74"/>
      <c r="LE64" s="73">
        <f t="shared" si="229"/>
        <v>0</v>
      </c>
      <c r="LF64" s="65"/>
      <c r="LG64" s="65"/>
    </row>
    <row r="65" spans="1:319">
      <c r="A65" s="49"/>
      <c r="B65" s="49"/>
      <c r="C65" s="46" t="s">
        <v>1646</v>
      </c>
      <c r="D65" s="125">
        <f>SUM($D$57:$D$62)</f>
        <v>1362</v>
      </c>
      <c r="E65" s="111"/>
      <c r="F65" s="445">
        <f t="shared" si="197"/>
        <v>20</v>
      </c>
      <c r="G65" s="445">
        <f ca="1">VLOOKUP(H65,Equipos!$Q$1:$R$25,2,0)</f>
        <v>16</v>
      </c>
      <c r="H65" s="446">
        <f ca="1">TRUNC(INDEX(WORLDCUP!$X$4:$X$147,MATCH(ADMIN!K65,WORLDCUP!$DT$4:$DT$147,0))+INDEX(Horarios!$R$3:$R$86,MATCH(Horarios!$C$3,Horarios!$P$3:$P$86,0))/24)</f>
        <v>46199</v>
      </c>
      <c r="I65" s="48">
        <v>1</v>
      </c>
      <c r="J65" s="96" t="s">
        <v>129</v>
      </c>
      <c r="K65" s="56" t="str">
        <f ca="1">CONCATENATE(WORLDCUP!AA49,"-",WORLDCUP!AF49)</f>
        <v>Tunisia-Netherlands</v>
      </c>
      <c r="L65" s="53"/>
      <c r="M65" s="55" t="str">
        <f>IF(OR(WORLDCUP!AC49="",WORLDCUP!AD49=""),"-",N65&amp;"|"&amp;O65&amp;"-"&amp;P65)</f>
        <v>2|1-3</v>
      </c>
      <c r="N65" s="25" t="str">
        <f>IF(OR(WORLDCUP!AC49="",WORLDCUP!AD49=""),"",IF(WORLDCUP!AC49&gt;WORLDCUP!AD49,"1",IF(WORLDCUP!AC49&lt;WORLDCUP!AD49,"2","X")))</f>
        <v>2</v>
      </c>
      <c r="O65" s="25">
        <f>WORLDCUP!AC49</f>
        <v>1</v>
      </c>
      <c r="P65" s="25">
        <f>WORLDCUP!AD49</f>
        <v>3</v>
      </c>
      <c r="Q65" s="25">
        <f t="shared" si="201"/>
        <v>2</v>
      </c>
      <c r="R65" s="49"/>
      <c r="S65" s="74" t="s">
        <v>1953</v>
      </c>
      <c r="T65" s="73">
        <f t="shared" si="198"/>
        <v>10</v>
      </c>
      <c r="U65" s="65"/>
      <c r="V65" s="74" t="s">
        <v>1953</v>
      </c>
      <c r="W65" s="73">
        <f t="shared" si="219"/>
        <v>10</v>
      </c>
      <c r="X65" s="65"/>
      <c r="Y65" s="74" t="s">
        <v>1948</v>
      </c>
      <c r="Z65" s="73">
        <f t="shared" si="225"/>
        <v>10</v>
      </c>
      <c r="AA65" s="65"/>
      <c r="AB65" s="74" t="s">
        <v>1948</v>
      </c>
      <c r="AC65" s="73">
        <f t="shared" si="225"/>
        <v>10</v>
      </c>
      <c r="AD65" s="65"/>
      <c r="AE65" s="74" t="s">
        <v>1960</v>
      </c>
      <c r="AF65" s="73">
        <f t="shared" si="225"/>
        <v>12</v>
      </c>
      <c r="AG65" s="65"/>
      <c r="AH65" s="74" t="s">
        <v>1948</v>
      </c>
      <c r="AI65" s="73">
        <f t="shared" si="225"/>
        <v>10</v>
      </c>
      <c r="AJ65" s="65"/>
      <c r="AK65" s="74" t="s">
        <v>1955</v>
      </c>
      <c r="AL65" s="73">
        <f t="shared" si="225"/>
        <v>20</v>
      </c>
      <c r="AM65" s="65"/>
      <c r="AN65" s="74" t="s">
        <v>2000</v>
      </c>
      <c r="AO65" s="73">
        <f t="shared" si="225"/>
        <v>10</v>
      </c>
      <c r="AP65" s="65"/>
      <c r="AQ65" s="74" t="s">
        <v>2131</v>
      </c>
      <c r="AR65" s="73">
        <f t="shared" si="225"/>
        <v>10</v>
      </c>
      <c r="AS65" s="65"/>
      <c r="AT65" s="74" t="s">
        <v>1955</v>
      </c>
      <c r="AU65" s="73">
        <f t="shared" si="225"/>
        <v>20</v>
      </c>
      <c r="AV65" s="65"/>
      <c r="AW65" s="74" t="s">
        <v>1953</v>
      </c>
      <c r="AX65" s="73">
        <f t="shared" si="225"/>
        <v>10</v>
      </c>
      <c r="AY65" s="65"/>
      <c r="AZ65" s="74" t="s">
        <v>1960</v>
      </c>
      <c r="BA65" s="73">
        <f t="shared" si="225"/>
        <v>12</v>
      </c>
      <c r="BB65" s="65"/>
      <c r="BC65" s="74" t="s">
        <v>1953</v>
      </c>
      <c r="BD65" s="73">
        <f t="shared" si="225"/>
        <v>10</v>
      </c>
      <c r="BE65" s="65"/>
      <c r="BF65" s="74" t="s">
        <v>1960</v>
      </c>
      <c r="BG65" s="73">
        <f t="shared" si="225"/>
        <v>12</v>
      </c>
      <c r="BH65" s="65"/>
      <c r="BI65" s="74" t="s">
        <v>2000</v>
      </c>
      <c r="BJ65" s="73">
        <f t="shared" si="225"/>
        <v>10</v>
      </c>
      <c r="BK65" s="65"/>
      <c r="BL65" s="74" t="s">
        <v>1948</v>
      </c>
      <c r="BM65" s="73">
        <f t="shared" si="225"/>
        <v>10</v>
      </c>
      <c r="BN65" s="65"/>
      <c r="BO65" s="74" t="s">
        <v>1955</v>
      </c>
      <c r="BP65" s="73">
        <f t="shared" si="225"/>
        <v>20</v>
      </c>
      <c r="BQ65" s="65"/>
      <c r="BR65" s="74" t="s">
        <v>2106</v>
      </c>
      <c r="BS65" s="73">
        <f t="shared" si="225"/>
        <v>10</v>
      </c>
      <c r="BT65" s="65"/>
      <c r="BU65" s="74" t="s">
        <v>1960</v>
      </c>
      <c r="BV65" s="73">
        <f t="shared" si="225"/>
        <v>12</v>
      </c>
      <c r="BW65" s="65"/>
      <c r="BX65" s="74" t="s">
        <v>1948</v>
      </c>
      <c r="BY65" s="73">
        <f t="shared" si="225"/>
        <v>10</v>
      </c>
      <c r="BZ65" s="65"/>
      <c r="CA65" s="74" t="s">
        <v>1955</v>
      </c>
      <c r="CB65" s="73">
        <f t="shared" si="225"/>
        <v>20</v>
      </c>
      <c r="CC65" s="65"/>
      <c r="CD65" s="74" t="s">
        <v>1960</v>
      </c>
      <c r="CE65" s="73">
        <f t="shared" si="225"/>
        <v>12</v>
      </c>
      <c r="CF65" s="65"/>
      <c r="CG65" s="74" t="s">
        <v>1948</v>
      </c>
      <c r="CH65" s="73">
        <f t="shared" si="225"/>
        <v>10</v>
      </c>
      <c r="CI65" s="65"/>
      <c r="CJ65" s="74" t="s">
        <v>1955</v>
      </c>
      <c r="CK65" s="73">
        <f t="shared" si="224"/>
        <v>20</v>
      </c>
      <c r="CL65" s="65"/>
      <c r="CM65" s="74" t="s">
        <v>1960</v>
      </c>
      <c r="CN65" s="73">
        <f t="shared" si="224"/>
        <v>12</v>
      </c>
      <c r="CO65" s="65"/>
      <c r="CP65" s="74" t="s">
        <v>1960</v>
      </c>
      <c r="CQ65" s="73">
        <f t="shared" si="224"/>
        <v>12</v>
      </c>
      <c r="CR65" s="65"/>
      <c r="CS65" s="74" t="s">
        <v>1957</v>
      </c>
      <c r="CT65" s="73">
        <f t="shared" si="224"/>
        <v>0</v>
      </c>
      <c r="CU65" s="65"/>
      <c r="CV65" s="74" t="s">
        <v>1948</v>
      </c>
      <c r="CW65" s="73">
        <f t="shared" si="224"/>
        <v>10</v>
      </c>
      <c r="CX65" s="65"/>
      <c r="CY65" s="74" t="s">
        <v>1955</v>
      </c>
      <c r="CZ65" s="73">
        <f t="shared" si="224"/>
        <v>20</v>
      </c>
      <c r="DA65" s="65"/>
      <c r="DB65" s="74" t="s">
        <v>1953</v>
      </c>
      <c r="DC65" s="73">
        <f t="shared" si="224"/>
        <v>10</v>
      </c>
      <c r="DD65" s="65"/>
      <c r="DE65" s="74" t="s">
        <v>1960</v>
      </c>
      <c r="DF65" s="73">
        <f t="shared" si="224"/>
        <v>12</v>
      </c>
      <c r="DG65" s="65"/>
      <c r="DH65" s="74" t="s">
        <v>1955</v>
      </c>
      <c r="DI65" s="73">
        <f t="shared" si="224"/>
        <v>20</v>
      </c>
      <c r="DJ65" s="65"/>
      <c r="DK65" s="74" t="s">
        <v>1960</v>
      </c>
      <c r="DL65" s="73">
        <f t="shared" si="224"/>
        <v>12</v>
      </c>
      <c r="DM65" s="65"/>
      <c r="DN65" s="74" t="s">
        <v>1953</v>
      </c>
      <c r="DO65" s="73">
        <f t="shared" si="224"/>
        <v>10</v>
      </c>
      <c r="DP65" s="65"/>
      <c r="DQ65" s="74" t="s">
        <v>2000</v>
      </c>
      <c r="DR65" s="73">
        <f t="shared" si="224"/>
        <v>10</v>
      </c>
      <c r="DS65" s="65"/>
      <c r="DT65" s="74" t="s">
        <v>1960</v>
      </c>
      <c r="DU65" s="73">
        <f t="shared" si="224"/>
        <v>12</v>
      </c>
      <c r="DV65" s="65"/>
      <c r="DW65" s="74" t="s">
        <v>2106</v>
      </c>
      <c r="DX65" s="73">
        <f t="shared" si="227"/>
        <v>10</v>
      </c>
      <c r="DY65" s="65"/>
      <c r="DZ65" s="74" t="s">
        <v>1960</v>
      </c>
      <c r="EA65" s="73">
        <f t="shared" si="227"/>
        <v>12</v>
      </c>
      <c r="EB65" s="65"/>
      <c r="EC65" s="74" t="s">
        <v>1948</v>
      </c>
      <c r="ED65" s="73">
        <f t="shared" si="227"/>
        <v>10</v>
      </c>
      <c r="EE65" s="65"/>
      <c r="EF65" s="74" t="s">
        <v>1955</v>
      </c>
      <c r="EG65" s="73">
        <f t="shared" si="227"/>
        <v>20</v>
      </c>
      <c r="EH65" s="65"/>
      <c r="EI65" s="74" t="s">
        <v>1960</v>
      </c>
      <c r="EJ65" s="73">
        <f t="shared" si="227"/>
        <v>12</v>
      </c>
      <c r="EK65" s="65"/>
      <c r="EL65" s="74" t="s">
        <v>2000</v>
      </c>
      <c r="EM65" s="73">
        <f t="shared" si="227"/>
        <v>10</v>
      </c>
      <c r="EN65" s="65"/>
      <c r="EO65" s="74" t="s">
        <v>1960</v>
      </c>
      <c r="EP65" s="73">
        <f t="shared" si="227"/>
        <v>12</v>
      </c>
      <c r="EQ65" s="65"/>
      <c r="ER65" s="74" t="s">
        <v>1955</v>
      </c>
      <c r="ES65" s="73">
        <f t="shared" si="227"/>
        <v>20</v>
      </c>
      <c r="ET65" s="65"/>
      <c r="EU65" s="74" t="s">
        <v>1949</v>
      </c>
      <c r="EV65" s="73">
        <f t="shared" si="227"/>
        <v>0</v>
      </c>
      <c r="EW65" s="65"/>
      <c r="EX65" s="74" t="s">
        <v>1960</v>
      </c>
      <c r="EY65" s="73">
        <f t="shared" si="227"/>
        <v>12</v>
      </c>
      <c r="EZ65" s="65"/>
      <c r="FA65" s="74" t="s">
        <v>1948</v>
      </c>
      <c r="FB65" s="73">
        <f t="shared" si="227"/>
        <v>10</v>
      </c>
      <c r="FC65" s="65"/>
      <c r="FD65" s="74" t="s">
        <v>2000</v>
      </c>
      <c r="FE65" s="73">
        <f t="shared" si="227"/>
        <v>10</v>
      </c>
      <c r="FF65" s="65"/>
      <c r="FG65" s="74" t="s">
        <v>2106</v>
      </c>
      <c r="FH65" s="73">
        <f t="shared" si="227"/>
        <v>10</v>
      </c>
      <c r="FI65" s="65"/>
      <c r="FJ65" s="74" t="s">
        <v>1960</v>
      </c>
      <c r="FK65" s="73">
        <f t="shared" si="227"/>
        <v>12</v>
      </c>
      <c r="FL65" s="65"/>
      <c r="FM65" s="74" t="s">
        <v>1948</v>
      </c>
      <c r="FN65" s="73">
        <f t="shared" si="227"/>
        <v>10</v>
      </c>
      <c r="FO65" s="65"/>
      <c r="FP65" s="74" t="s">
        <v>1960</v>
      </c>
      <c r="FQ65" s="73">
        <f t="shared" si="227"/>
        <v>12</v>
      </c>
      <c r="FR65" s="65"/>
      <c r="FS65" s="74" t="s">
        <v>1960</v>
      </c>
      <c r="FT65" s="73">
        <f t="shared" si="227"/>
        <v>12</v>
      </c>
      <c r="FU65" s="65"/>
      <c r="FV65" s="74" t="s">
        <v>1948</v>
      </c>
      <c r="FW65" s="73">
        <f t="shared" si="227"/>
        <v>10</v>
      </c>
      <c r="FX65" s="65"/>
      <c r="FY65" s="74" t="s">
        <v>1960</v>
      </c>
      <c r="FZ65" s="73">
        <f t="shared" si="227"/>
        <v>12</v>
      </c>
      <c r="GA65" s="65"/>
      <c r="GB65" s="74" t="s">
        <v>1960</v>
      </c>
      <c r="GC65" s="73">
        <f t="shared" si="227"/>
        <v>12</v>
      </c>
      <c r="GD65" s="65"/>
      <c r="GE65" s="74" t="s">
        <v>2000</v>
      </c>
      <c r="GF65" s="73">
        <f t="shared" si="227"/>
        <v>10</v>
      </c>
      <c r="GG65" s="65"/>
      <c r="GH65" s="74" t="s">
        <v>1960</v>
      </c>
      <c r="GI65" s="73">
        <f t="shared" si="227"/>
        <v>12</v>
      </c>
      <c r="GJ65" s="65"/>
      <c r="GK65" s="74" t="s">
        <v>1960</v>
      </c>
      <c r="GL65" s="73">
        <f t="shared" si="226"/>
        <v>12</v>
      </c>
      <c r="GM65" s="65"/>
      <c r="GN65" s="74"/>
      <c r="GO65" s="73">
        <f t="shared" si="226"/>
        <v>0</v>
      </c>
      <c r="GP65" s="65"/>
      <c r="GQ65" s="74"/>
      <c r="GR65" s="73">
        <f t="shared" si="226"/>
        <v>0</v>
      </c>
      <c r="GS65" s="65"/>
      <c r="GT65" s="74"/>
      <c r="GU65" s="73">
        <f t="shared" si="226"/>
        <v>0</v>
      </c>
      <c r="GV65" s="65"/>
      <c r="GW65" s="74"/>
      <c r="GX65" s="73">
        <f t="shared" si="226"/>
        <v>0</v>
      </c>
      <c r="GY65" s="65"/>
      <c r="GZ65" s="74"/>
      <c r="HA65" s="73">
        <f t="shared" si="226"/>
        <v>0</v>
      </c>
      <c r="HB65" s="65"/>
      <c r="HC65" s="74"/>
      <c r="HD65" s="73">
        <f t="shared" si="226"/>
        <v>0</v>
      </c>
      <c r="HE65" s="65"/>
      <c r="HF65" s="74"/>
      <c r="HG65" s="73">
        <f t="shared" si="226"/>
        <v>0</v>
      </c>
      <c r="HH65" s="65"/>
      <c r="HI65" s="74"/>
      <c r="HJ65" s="73">
        <f t="shared" si="226"/>
        <v>0</v>
      </c>
      <c r="HK65" s="65"/>
      <c r="HL65" s="74"/>
      <c r="HM65" s="73">
        <f t="shared" si="226"/>
        <v>0</v>
      </c>
      <c r="HN65" s="65"/>
      <c r="HO65" s="74"/>
      <c r="HP65" s="73">
        <f t="shared" si="226"/>
        <v>0</v>
      </c>
      <c r="HQ65" s="65"/>
      <c r="HR65" s="74"/>
      <c r="HS65" s="73">
        <f t="shared" si="226"/>
        <v>0</v>
      </c>
      <c r="HT65" s="65"/>
      <c r="HU65" s="74"/>
      <c r="HV65" s="73">
        <f t="shared" si="226"/>
        <v>0</v>
      </c>
      <c r="HW65" s="65"/>
      <c r="HX65" s="74"/>
      <c r="HY65" s="73">
        <f t="shared" si="230"/>
        <v>0</v>
      </c>
      <c r="HZ65" s="65"/>
      <c r="IA65" s="74"/>
      <c r="IB65" s="73">
        <f t="shared" si="230"/>
        <v>0</v>
      </c>
      <c r="IC65" s="65"/>
      <c r="ID65" s="74"/>
      <c r="IE65" s="73">
        <f t="shared" si="230"/>
        <v>0</v>
      </c>
      <c r="IF65" s="65"/>
      <c r="IG65" s="74"/>
      <c r="IH65" s="73">
        <f t="shared" si="230"/>
        <v>0</v>
      </c>
      <c r="II65" s="65"/>
      <c r="IJ65" s="74"/>
      <c r="IK65" s="73">
        <f t="shared" si="230"/>
        <v>0</v>
      </c>
      <c r="IL65" s="65"/>
      <c r="IM65" s="74"/>
      <c r="IN65" s="73">
        <f t="shared" si="230"/>
        <v>0</v>
      </c>
      <c r="IO65" s="65"/>
      <c r="IP65" s="74"/>
      <c r="IQ65" s="73">
        <f t="shared" si="230"/>
        <v>0</v>
      </c>
      <c r="IR65" s="65"/>
      <c r="IS65" s="74"/>
      <c r="IT65" s="73">
        <f t="shared" si="230"/>
        <v>0</v>
      </c>
      <c r="IU65" s="65"/>
      <c r="IV65" s="74"/>
      <c r="IW65" s="73">
        <f t="shared" si="230"/>
        <v>0</v>
      </c>
      <c r="IX65" s="65"/>
      <c r="IY65" s="74"/>
      <c r="IZ65" s="73">
        <f t="shared" si="230"/>
        <v>0</v>
      </c>
      <c r="JA65" s="65"/>
      <c r="JB65" s="74"/>
      <c r="JC65" s="73">
        <f t="shared" si="230"/>
        <v>0</v>
      </c>
      <c r="JD65" s="65"/>
      <c r="JE65" s="74"/>
      <c r="JF65" s="73">
        <f t="shared" si="230"/>
        <v>0</v>
      </c>
      <c r="JG65" s="65"/>
      <c r="JH65" s="74"/>
      <c r="JI65" s="73">
        <f t="shared" si="230"/>
        <v>0</v>
      </c>
      <c r="JJ65" s="65"/>
      <c r="JK65" s="74"/>
      <c r="JL65" s="73">
        <f t="shared" si="230"/>
        <v>0</v>
      </c>
      <c r="JM65" s="65"/>
      <c r="JN65" s="74"/>
      <c r="JO65" s="73">
        <f t="shared" si="230"/>
        <v>0</v>
      </c>
      <c r="JP65" s="65"/>
      <c r="JQ65" s="74"/>
      <c r="JR65" s="73">
        <f t="shared" si="230"/>
        <v>0</v>
      </c>
      <c r="JS65" s="65"/>
      <c r="JT65" s="74"/>
      <c r="JU65" s="73">
        <f t="shared" si="230"/>
        <v>0</v>
      </c>
      <c r="JV65" s="65"/>
      <c r="JW65" s="74"/>
      <c r="JX65" s="73">
        <f t="shared" si="230"/>
        <v>0</v>
      </c>
      <c r="JY65" s="65"/>
      <c r="JZ65" s="74"/>
      <c r="KA65" s="73">
        <f t="shared" si="230"/>
        <v>0</v>
      </c>
      <c r="KB65" s="65"/>
      <c r="KC65" s="74"/>
      <c r="KD65" s="73">
        <f t="shared" si="230"/>
        <v>0</v>
      </c>
      <c r="KE65" s="65"/>
      <c r="KF65" s="74"/>
      <c r="KG65" s="73">
        <f t="shared" si="230"/>
        <v>0</v>
      </c>
      <c r="KH65" s="65"/>
      <c r="KI65" s="74"/>
      <c r="KJ65" s="73">
        <f t="shared" si="230"/>
        <v>0</v>
      </c>
      <c r="KK65" s="65"/>
      <c r="KL65" s="74"/>
      <c r="KM65" s="73">
        <f t="shared" si="229"/>
        <v>0</v>
      </c>
      <c r="KN65" s="65"/>
      <c r="KO65" s="74"/>
      <c r="KP65" s="73">
        <f t="shared" si="229"/>
        <v>0</v>
      </c>
      <c r="KQ65" s="65"/>
      <c r="KR65" s="74"/>
      <c r="KS65" s="73">
        <f t="shared" si="229"/>
        <v>0</v>
      </c>
      <c r="KT65" s="65"/>
      <c r="KU65" s="74"/>
      <c r="KV65" s="73">
        <f t="shared" si="229"/>
        <v>0</v>
      </c>
      <c r="KW65" s="65"/>
      <c r="KX65" s="74"/>
      <c r="KY65" s="73">
        <f t="shared" si="229"/>
        <v>0</v>
      </c>
      <c r="KZ65" s="65"/>
      <c r="LA65" s="74"/>
      <c r="LB65" s="73">
        <f t="shared" si="229"/>
        <v>0</v>
      </c>
      <c r="LC65" s="65"/>
      <c r="LD65" s="74"/>
      <c r="LE65" s="73">
        <f t="shared" si="229"/>
        <v>0</v>
      </c>
      <c r="LF65" s="65"/>
      <c r="LG65" s="65"/>
    </row>
    <row r="66" spans="1:319">
      <c r="A66" s="49"/>
      <c r="B66" s="49"/>
      <c r="C66" s="17"/>
      <c r="D66" s="17"/>
      <c r="E66" s="111"/>
      <c r="F66" s="445">
        <f t="shared" si="197"/>
        <v>20</v>
      </c>
      <c r="G66" s="445">
        <f ca="1">VLOOKUP(H66,Equipos!$Q$1:$R$25,2,0)</f>
        <v>17</v>
      </c>
      <c r="H66" s="446">
        <f ca="1">TRUNC(INDEX(WORLDCUP!$X$4:$X$147,MATCH(ADMIN!K66,WORLDCUP!$DT$4:$DT$147,0))+INDEX(Horarios!$R$3:$R$86,MATCH(Horarios!$C$3,Horarios!$P$3:$P$86,0))/24)</f>
        <v>46200</v>
      </c>
      <c r="I66" s="48">
        <v>1</v>
      </c>
      <c r="J66" s="95" t="s">
        <v>180</v>
      </c>
      <c r="K66" s="53" t="str">
        <f ca="1">CONCATENATE(WORLDCUP!AA56,"-",WORLDCUP!AF56)</f>
        <v>Egypt-Iran</v>
      </c>
      <c r="L66" s="53"/>
      <c r="M66" s="55" t="str">
        <f>IF(OR(WORLDCUP!AC56="",WORLDCUP!AD56=""),"-",N66&amp;"|"&amp;O66&amp;"-"&amp;P66)</f>
        <v>X|1-1</v>
      </c>
      <c r="N66" s="25" t="str">
        <f>IF(OR(WORLDCUP!AC56="",WORLDCUP!AD56=""),"",IF(WORLDCUP!AC56&gt;WORLDCUP!AD56,"1",IF(WORLDCUP!AC56&lt;WORLDCUP!AD56,"2","X")))</f>
        <v>X</v>
      </c>
      <c r="O66" s="25">
        <f>WORLDCUP!AC56</f>
        <v>1</v>
      </c>
      <c r="P66" s="25">
        <f>WORLDCUP!AD56</f>
        <v>1</v>
      </c>
      <c r="Q66" s="25">
        <f t="shared" si="201"/>
        <v>0</v>
      </c>
      <c r="R66" s="49"/>
      <c r="S66" s="74" t="s">
        <v>1949</v>
      </c>
      <c r="T66" s="73">
        <f t="shared" si="198"/>
        <v>0</v>
      </c>
      <c r="U66" s="65"/>
      <c r="V66" s="74" t="s">
        <v>1957</v>
      </c>
      <c r="W66" s="73">
        <f t="shared" si="219"/>
        <v>20</v>
      </c>
      <c r="X66" s="65"/>
      <c r="Y66" s="74" t="s">
        <v>1954</v>
      </c>
      <c r="Z66" s="73">
        <f t="shared" si="225"/>
        <v>0</v>
      </c>
      <c r="AA66" s="65"/>
      <c r="AB66" s="74" t="s">
        <v>1954</v>
      </c>
      <c r="AC66" s="73">
        <f t="shared" si="225"/>
        <v>0</v>
      </c>
      <c r="AD66" s="65"/>
      <c r="AE66" s="74" t="s">
        <v>1950</v>
      </c>
      <c r="AF66" s="73">
        <f t="shared" si="225"/>
        <v>0</v>
      </c>
      <c r="AG66" s="65"/>
      <c r="AH66" s="74" t="s">
        <v>1947</v>
      </c>
      <c r="AI66" s="73">
        <f t="shared" si="225"/>
        <v>0</v>
      </c>
      <c r="AJ66" s="65"/>
      <c r="AK66" s="74" t="s">
        <v>1953</v>
      </c>
      <c r="AL66" s="73">
        <f t="shared" si="225"/>
        <v>0</v>
      </c>
      <c r="AM66" s="65"/>
      <c r="AN66" s="74" t="s">
        <v>2000</v>
      </c>
      <c r="AO66" s="73">
        <f t="shared" si="225"/>
        <v>0</v>
      </c>
      <c r="AP66" s="65"/>
      <c r="AQ66" s="74" t="s">
        <v>1950</v>
      </c>
      <c r="AR66" s="73">
        <f t="shared" si="225"/>
        <v>0</v>
      </c>
      <c r="AS66" s="65"/>
      <c r="AT66" s="74" t="s">
        <v>1954</v>
      </c>
      <c r="AU66" s="73">
        <f t="shared" si="225"/>
        <v>0</v>
      </c>
      <c r="AV66" s="65"/>
      <c r="AW66" s="74" t="s">
        <v>1958</v>
      </c>
      <c r="AX66" s="73">
        <f t="shared" si="225"/>
        <v>0</v>
      </c>
      <c r="AY66" s="65"/>
      <c r="AZ66" s="74" t="s">
        <v>1954</v>
      </c>
      <c r="BA66" s="73">
        <f t="shared" si="225"/>
        <v>0</v>
      </c>
      <c r="BB66" s="65"/>
      <c r="BC66" s="74" t="s">
        <v>1950</v>
      </c>
      <c r="BD66" s="73">
        <f t="shared" si="225"/>
        <v>0</v>
      </c>
      <c r="BE66" s="65"/>
      <c r="BF66" s="74" t="s">
        <v>2000</v>
      </c>
      <c r="BG66" s="73">
        <f t="shared" si="225"/>
        <v>0</v>
      </c>
      <c r="BH66" s="65"/>
      <c r="BI66" s="74" t="s">
        <v>1944</v>
      </c>
      <c r="BJ66" s="73">
        <f t="shared" ref="BJ66:DU77" si="231">IFERROR(IF($M66=BI66,($D$8+$D$9+$D$10)*$I66,IF($N66=LEFT(BI66,1),($D$8+MAX(0,IF($D$50=1,$D$9*(1-(ABS($Q66-ABS(VALUE(MID(BI66,FIND("|",BI66)+1,FIND("-",BI66)-FIND("|",BI66)-1))-VALUE(MID(BI66,FIND("-",BI66)+1,10)))))*$D$50),$D$9*(1-(IF($N66="X",ABS($O66-VALUE(MID(BI66,FIND("|",BI66)+1,FIND("-",BI66)-FIND("|",BI66)-1))),ABS($Q66-ABS(VALUE(MID(BI66,FIND("|",BI66)+1,FIND("-",BI66)-FIND("|",BI66)-1))-VALUE(MID(BI66,FIND("-",BI66)+1,10)))))*$D$50)))))*$I66,0)),0)</f>
        <v>12</v>
      </c>
      <c r="BK66" s="65"/>
      <c r="BL66" s="74" t="s">
        <v>1957</v>
      </c>
      <c r="BM66" s="73">
        <f t="shared" si="231"/>
        <v>20</v>
      </c>
      <c r="BN66" s="65"/>
      <c r="BO66" s="74" t="s">
        <v>1958</v>
      </c>
      <c r="BP66" s="73">
        <f t="shared" si="231"/>
        <v>0</v>
      </c>
      <c r="BQ66" s="65"/>
      <c r="BR66" s="74" t="s">
        <v>1958</v>
      </c>
      <c r="BS66" s="73">
        <f t="shared" si="231"/>
        <v>0</v>
      </c>
      <c r="BT66" s="65"/>
      <c r="BU66" s="74" t="s">
        <v>1957</v>
      </c>
      <c r="BV66" s="73">
        <f t="shared" si="231"/>
        <v>20</v>
      </c>
      <c r="BW66" s="65"/>
      <c r="BX66" s="74" t="s">
        <v>1959</v>
      </c>
      <c r="BY66" s="73">
        <f t="shared" si="231"/>
        <v>0</v>
      </c>
      <c r="BZ66" s="65"/>
      <c r="CA66" s="74" t="s">
        <v>1950</v>
      </c>
      <c r="CB66" s="73">
        <f t="shared" si="231"/>
        <v>0</v>
      </c>
      <c r="CC66" s="65"/>
      <c r="CD66" s="74" t="s">
        <v>2133</v>
      </c>
      <c r="CE66" s="73">
        <f t="shared" si="231"/>
        <v>12</v>
      </c>
      <c r="CF66" s="65"/>
      <c r="CG66" s="74" t="s">
        <v>1957</v>
      </c>
      <c r="CH66" s="73">
        <f t="shared" si="231"/>
        <v>20</v>
      </c>
      <c r="CI66" s="65"/>
      <c r="CJ66" s="74" t="s">
        <v>1957</v>
      </c>
      <c r="CK66" s="73">
        <f t="shared" si="231"/>
        <v>20</v>
      </c>
      <c r="CL66" s="65"/>
      <c r="CM66" s="74" t="s">
        <v>1959</v>
      </c>
      <c r="CN66" s="73">
        <f t="shared" si="231"/>
        <v>0</v>
      </c>
      <c r="CO66" s="65"/>
      <c r="CP66" s="74" t="s">
        <v>1957</v>
      </c>
      <c r="CQ66" s="73">
        <f t="shared" si="231"/>
        <v>20</v>
      </c>
      <c r="CR66" s="65"/>
      <c r="CS66" s="74" t="s">
        <v>1947</v>
      </c>
      <c r="CT66" s="73">
        <f t="shared" si="231"/>
        <v>0</v>
      </c>
      <c r="CU66" s="65"/>
      <c r="CV66" s="74" t="s">
        <v>1954</v>
      </c>
      <c r="CW66" s="73">
        <f t="shared" si="231"/>
        <v>0</v>
      </c>
      <c r="CX66" s="65"/>
      <c r="CY66" s="74" t="s">
        <v>1953</v>
      </c>
      <c r="CZ66" s="73">
        <f t="shared" si="231"/>
        <v>0</v>
      </c>
      <c r="DA66" s="65"/>
      <c r="DB66" s="74" t="s">
        <v>1954</v>
      </c>
      <c r="DC66" s="73">
        <f t="shared" si="231"/>
        <v>0</v>
      </c>
      <c r="DD66" s="65"/>
      <c r="DE66" s="74" t="s">
        <v>1944</v>
      </c>
      <c r="DF66" s="73">
        <f t="shared" si="231"/>
        <v>12</v>
      </c>
      <c r="DG66" s="65"/>
      <c r="DH66" s="74" t="s">
        <v>2133</v>
      </c>
      <c r="DI66" s="73">
        <f t="shared" si="231"/>
        <v>12</v>
      </c>
      <c r="DJ66" s="65"/>
      <c r="DK66" s="74" t="s">
        <v>1957</v>
      </c>
      <c r="DL66" s="73">
        <f t="shared" si="231"/>
        <v>20</v>
      </c>
      <c r="DM66" s="65"/>
      <c r="DN66" s="74" t="s">
        <v>1953</v>
      </c>
      <c r="DO66" s="73">
        <f t="shared" si="231"/>
        <v>0</v>
      </c>
      <c r="DP66" s="65"/>
      <c r="DQ66" s="74" t="s">
        <v>1959</v>
      </c>
      <c r="DR66" s="73">
        <f t="shared" si="231"/>
        <v>0</v>
      </c>
      <c r="DS66" s="65"/>
      <c r="DT66" s="74" t="s">
        <v>1957</v>
      </c>
      <c r="DU66" s="73">
        <f t="shared" si="231"/>
        <v>20</v>
      </c>
      <c r="DV66" s="65"/>
      <c r="DW66" s="74" t="s">
        <v>1959</v>
      </c>
      <c r="DX66" s="73">
        <f t="shared" si="227"/>
        <v>0</v>
      </c>
      <c r="DY66" s="65"/>
      <c r="DZ66" s="74" t="s">
        <v>1957</v>
      </c>
      <c r="EA66" s="73">
        <f t="shared" si="227"/>
        <v>20</v>
      </c>
      <c r="EB66" s="65"/>
      <c r="EC66" s="74" t="s">
        <v>1957</v>
      </c>
      <c r="ED66" s="73">
        <f t="shared" si="227"/>
        <v>20</v>
      </c>
      <c r="EE66" s="65"/>
      <c r="EF66" s="74" t="s">
        <v>1954</v>
      </c>
      <c r="EG66" s="73">
        <f t="shared" si="227"/>
        <v>0</v>
      </c>
      <c r="EH66" s="65"/>
      <c r="EI66" s="74" t="s">
        <v>1957</v>
      </c>
      <c r="EJ66" s="73">
        <f t="shared" si="227"/>
        <v>20</v>
      </c>
      <c r="EK66" s="65"/>
      <c r="EL66" s="74" t="s">
        <v>1954</v>
      </c>
      <c r="EM66" s="73">
        <f t="shared" si="227"/>
        <v>0</v>
      </c>
      <c r="EN66" s="65"/>
      <c r="EO66" s="74" t="s">
        <v>2133</v>
      </c>
      <c r="EP66" s="73">
        <f t="shared" si="227"/>
        <v>12</v>
      </c>
      <c r="EQ66" s="65"/>
      <c r="ER66" s="74" t="s">
        <v>1957</v>
      </c>
      <c r="ES66" s="73">
        <f t="shared" si="227"/>
        <v>20</v>
      </c>
      <c r="ET66" s="65"/>
      <c r="EU66" s="74" t="s">
        <v>1959</v>
      </c>
      <c r="EV66" s="73">
        <f t="shared" si="227"/>
        <v>0</v>
      </c>
      <c r="EW66" s="65"/>
      <c r="EX66" s="74" t="s">
        <v>1959</v>
      </c>
      <c r="EY66" s="73">
        <f t="shared" si="227"/>
        <v>0</v>
      </c>
      <c r="EZ66" s="65"/>
      <c r="FA66" s="74" t="s">
        <v>1957</v>
      </c>
      <c r="FB66" s="73">
        <f t="shared" si="227"/>
        <v>20</v>
      </c>
      <c r="FC66" s="65"/>
      <c r="FD66" s="74" t="s">
        <v>2000</v>
      </c>
      <c r="FE66" s="73">
        <f t="shared" si="227"/>
        <v>0</v>
      </c>
      <c r="FF66" s="65"/>
      <c r="FG66" s="74" t="s">
        <v>1954</v>
      </c>
      <c r="FH66" s="73">
        <f t="shared" si="227"/>
        <v>0</v>
      </c>
      <c r="FI66" s="65"/>
      <c r="FJ66" s="74" t="s">
        <v>1957</v>
      </c>
      <c r="FK66" s="73">
        <f t="shared" si="227"/>
        <v>20</v>
      </c>
      <c r="FL66" s="65"/>
      <c r="FM66" s="74" t="s">
        <v>2000</v>
      </c>
      <c r="FN66" s="73">
        <f t="shared" si="227"/>
        <v>0</v>
      </c>
      <c r="FO66" s="65"/>
      <c r="FP66" s="74" t="s">
        <v>1959</v>
      </c>
      <c r="FQ66" s="73">
        <f t="shared" si="227"/>
        <v>0</v>
      </c>
      <c r="FR66" s="65"/>
      <c r="FS66" s="74" t="s">
        <v>1957</v>
      </c>
      <c r="FT66" s="73">
        <f t="shared" si="227"/>
        <v>20</v>
      </c>
      <c r="FU66" s="65"/>
      <c r="FV66" s="74" t="s">
        <v>1959</v>
      </c>
      <c r="FW66" s="73">
        <f t="shared" si="227"/>
        <v>0</v>
      </c>
      <c r="FX66" s="65"/>
      <c r="FY66" s="74" t="s">
        <v>2000</v>
      </c>
      <c r="FZ66" s="73">
        <f t="shared" si="227"/>
        <v>0</v>
      </c>
      <c r="GA66" s="65"/>
      <c r="GB66" s="74" t="s">
        <v>1950</v>
      </c>
      <c r="GC66" s="73">
        <f t="shared" si="227"/>
        <v>0</v>
      </c>
      <c r="GD66" s="65"/>
      <c r="GE66" s="74" t="s">
        <v>1944</v>
      </c>
      <c r="GF66" s="73">
        <f t="shared" si="227"/>
        <v>12</v>
      </c>
      <c r="GG66" s="65"/>
      <c r="GH66" s="74" t="s">
        <v>1959</v>
      </c>
      <c r="GI66" s="73">
        <f t="shared" si="227"/>
        <v>0</v>
      </c>
      <c r="GJ66" s="65"/>
      <c r="GK66" s="74" t="s">
        <v>1950</v>
      </c>
      <c r="GL66" s="73">
        <f t="shared" si="226"/>
        <v>0</v>
      </c>
      <c r="GM66" s="65"/>
      <c r="GN66" s="74"/>
      <c r="GO66" s="73">
        <f t="shared" si="226"/>
        <v>0</v>
      </c>
      <c r="GP66" s="65"/>
      <c r="GQ66" s="74"/>
      <c r="GR66" s="73">
        <f t="shared" si="226"/>
        <v>0</v>
      </c>
      <c r="GS66" s="65"/>
      <c r="GT66" s="74"/>
      <c r="GU66" s="73">
        <f t="shared" si="226"/>
        <v>0</v>
      </c>
      <c r="GV66" s="65"/>
      <c r="GW66" s="74"/>
      <c r="GX66" s="73">
        <f t="shared" si="226"/>
        <v>0</v>
      </c>
      <c r="GY66" s="65"/>
      <c r="GZ66" s="74"/>
      <c r="HA66" s="73">
        <f t="shared" si="226"/>
        <v>0</v>
      </c>
      <c r="HB66" s="65"/>
      <c r="HC66" s="74"/>
      <c r="HD66" s="73">
        <f t="shared" si="226"/>
        <v>0</v>
      </c>
      <c r="HE66" s="65"/>
      <c r="HF66" s="74"/>
      <c r="HG66" s="73">
        <f t="shared" si="226"/>
        <v>0</v>
      </c>
      <c r="HH66" s="65"/>
      <c r="HI66" s="74"/>
      <c r="HJ66" s="73">
        <f t="shared" si="226"/>
        <v>0</v>
      </c>
      <c r="HK66" s="65"/>
      <c r="HL66" s="74"/>
      <c r="HM66" s="73">
        <f t="shared" si="226"/>
        <v>0</v>
      </c>
      <c r="HN66" s="65"/>
      <c r="HO66" s="74"/>
      <c r="HP66" s="73">
        <f t="shared" si="226"/>
        <v>0</v>
      </c>
      <c r="HQ66" s="65"/>
      <c r="HR66" s="74"/>
      <c r="HS66" s="73">
        <f t="shared" si="226"/>
        <v>0</v>
      </c>
      <c r="HT66" s="65"/>
      <c r="HU66" s="74"/>
      <c r="HV66" s="73">
        <f t="shared" si="226"/>
        <v>0</v>
      </c>
      <c r="HW66" s="65"/>
      <c r="HX66" s="74"/>
      <c r="HY66" s="73">
        <f t="shared" si="230"/>
        <v>0</v>
      </c>
      <c r="HZ66" s="65"/>
      <c r="IA66" s="74"/>
      <c r="IB66" s="73">
        <f t="shared" si="230"/>
        <v>0</v>
      </c>
      <c r="IC66" s="65"/>
      <c r="ID66" s="74"/>
      <c r="IE66" s="73">
        <f t="shared" si="230"/>
        <v>0</v>
      </c>
      <c r="IF66" s="65"/>
      <c r="IG66" s="74"/>
      <c r="IH66" s="73">
        <f t="shared" si="230"/>
        <v>0</v>
      </c>
      <c r="II66" s="65"/>
      <c r="IJ66" s="74"/>
      <c r="IK66" s="73">
        <f t="shared" si="230"/>
        <v>0</v>
      </c>
      <c r="IL66" s="65"/>
      <c r="IM66" s="74"/>
      <c r="IN66" s="73">
        <f t="shared" si="230"/>
        <v>0</v>
      </c>
      <c r="IO66" s="65"/>
      <c r="IP66" s="74"/>
      <c r="IQ66" s="73">
        <f t="shared" si="230"/>
        <v>0</v>
      </c>
      <c r="IR66" s="65"/>
      <c r="IS66" s="74"/>
      <c r="IT66" s="73">
        <f t="shared" si="230"/>
        <v>0</v>
      </c>
      <c r="IU66" s="65"/>
      <c r="IV66" s="74"/>
      <c r="IW66" s="73">
        <f t="shared" si="230"/>
        <v>0</v>
      </c>
      <c r="IX66" s="65"/>
      <c r="IY66" s="74"/>
      <c r="IZ66" s="73">
        <f t="shared" si="230"/>
        <v>0</v>
      </c>
      <c r="JA66" s="65"/>
      <c r="JB66" s="74"/>
      <c r="JC66" s="73">
        <f t="shared" si="230"/>
        <v>0</v>
      </c>
      <c r="JD66" s="65"/>
      <c r="JE66" s="74"/>
      <c r="JF66" s="73">
        <f t="shared" si="230"/>
        <v>0</v>
      </c>
      <c r="JG66" s="65"/>
      <c r="JH66" s="74"/>
      <c r="JI66" s="73">
        <f t="shared" si="230"/>
        <v>0</v>
      </c>
      <c r="JJ66" s="65"/>
      <c r="JK66" s="74"/>
      <c r="JL66" s="73">
        <f t="shared" si="230"/>
        <v>0</v>
      </c>
      <c r="JM66" s="65"/>
      <c r="JN66" s="74"/>
      <c r="JO66" s="73">
        <f t="shared" si="230"/>
        <v>0</v>
      </c>
      <c r="JP66" s="65"/>
      <c r="JQ66" s="74"/>
      <c r="JR66" s="73">
        <f t="shared" si="230"/>
        <v>0</v>
      </c>
      <c r="JS66" s="65"/>
      <c r="JT66" s="74"/>
      <c r="JU66" s="73">
        <f t="shared" si="230"/>
        <v>0</v>
      </c>
      <c r="JV66" s="65"/>
      <c r="JW66" s="74"/>
      <c r="JX66" s="73">
        <f t="shared" si="230"/>
        <v>0</v>
      </c>
      <c r="JY66" s="65"/>
      <c r="JZ66" s="74"/>
      <c r="KA66" s="73">
        <f t="shared" si="230"/>
        <v>0</v>
      </c>
      <c r="KB66" s="65"/>
      <c r="KC66" s="74"/>
      <c r="KD66" s="73">
        <f t="shared" si="230"/>
        <v>0</v>
      </c>
      <c r="KE66" s="65"/>
      <c r="KF66" s="74"/>
      <c r="KG66" s="73">
        <f t="shared" si="230"/>
        <v>0</v>
      </c>
      <c r="KH66" s="65"/>
      <c r="KI66" s="74"/>
      <c r="KJ66" s="73">
        <f t="shared" si="230"/>
        <v>0</v>
      </c>
      <c r="KK66" s="65"/>
      <c r="KL66" s="74"/>
      <c r="KM66" s="73">
        <f t="shared" si="229"/>
        <v>0</v>
      </c>
      <c r="KN66" s="65"/>
      <c r="KO66" s="74"/>
      <c r="KP66" s="73">
        <f t="shared" si="229"/>
        <v>0</v>
      </c>
      <c r="KQ66" s="65"/>
      <c r="KR66" s="74"/>
      <c r="KS66" s="73">
        <f t="shared" si="229"/>
        <v>0</v>
      </c>
      <c r="KT66" s="65"/>
      <c r="KU66" s="74"/>
      <c r="KV66" s="73">
        <f t="shared" si="229"/>
        <v>0</v>
      </c>
      <c r="KW66" s="65"/>
      <c r="KX66" s="74"/>
      <c r="KY66" s="73">
        <f t="shared" si="229"/>
        <v>0</v>
      </c>
      <c r="KZ66" s="65"/>
      <c r="LA66" s="74"/>
      <c r="LB66" s="73">
        <f t="shared" si="229"/>
        <v>0</v>
      </c>
      <c r="LC66" s="65"/>
      <c r="LD66" s="74"/>
      <c r="LE66" s="73">
        <f t="shared" si="229"/>
        <v>0</v>
      </c>
      <c r="LF66" s="65"/>
      <c r="LG66" s="65"/>
    </row>
    <row r="67" spans="1:319">
      <c r="A67" s="49"/>
      <c r="B67" s="49"/>
      <c r="C67" s="17"/>
      <c r="D67" s="17"/>
      <c r="E67" s="111"/>
      <c r="F67" s="445">
        <f t="shared" si="197"/>
        <v>20</v>
      </c>
      <c r="G67" s="445">
        <f ca="1">VLOOKUP(H67,Equipos!$Q$1:$R$25,2,0)</f>
        <v>17</v>
      </c>
      <c r="H67" s="446">
        <f ca="1">TRUNC(INDEX(WORLDCUP!$X$4:$X$147,MATCH(ADMIN!K67,WORLDCUP!$DT$4:$DT$147,0))+INDEX(Horarios!$R$3:$R$86,MATCH(Horarios!$C$3,Horarios!$P$3:$P$86,0))/24)</f>
        <v>46200</v>
      </c>
      <c r="I67" s="48">
        <v>1</v>
      </c>
      <c r="J67" s="95" t="s">
        <v>180</v>
      </c>
      <c r="K67" s="53" t="str">
        <f ca="1">CONCATENATE(WORLDCUP!AA57,"-",WORLDCUP!AF57)</f>
        <v>New Zealand-Belgium</v>
      </c>
      <c r="L67" s="53"/>
      <c r="M67" s="55" t="str">
        <f>IF(OR(WORLDCUP!AC57="",WORLDCUP!AD57=""),"-",N67&amp;"|"&amp;O67&amp;"-"&amp;P67)</f>
        <v>2|1-5</v>
      </c>
      <c r="N67" s="25" t="str">
        <f>IF(OR(WORLDCUP!AC57="",WORLDCUP!AD57=""),"",IF(WORLDCUP!AC57&gt;WORLDCUP!AD57,"1",IF(WORLDCUP!AC57&lt;WORLDCUP!AD57,"2","X")))</f>
        <v>2</v>
      </c>
      <c r="O67" s="25">
        <f>WORLDCUP!AC57</f>
        <v>1</v>
      </c>
      <c r="P67" s="25">
        <f>WORLDCUP!AD57</f>
        <v>5</v>
      </c>
      <c r="Q67" s="25">
        <f t="shared" si="201"/>
        <v>4</v>
      </c>
      <c r="R67" s="49"/>
      <c r="S67" s="74" t="s">
        <v>1956</v>
      </c>
      <c r="T67" s="73">
        <f t="shared" si="198"/>
        <v>0</v>
      </c>
      <c r="U67" s="65"/>
      <c r="V67" s="74" t="s">
        <v>1953</v>
      </c>
      <c r="W67" s="73">
        <f t="shared" si="219"/>
        <v>10</v>
      </c>
      <c r="X67" s="65"/>
      <c r="Y67" s="74" t="s">
        <v>1948</v>
      </c>
      <c r="Z67" s="73">
        <f t="shared" ref="Z67:CH77" si="232">IFERROR(IF($M67=Y67,($D$8+$D$9+$D$10)*$I67,IF($N67=LEFT(Y67,1),($D$8+MAX(0,IF($D$50=1,$D$9*(1-(ABS($Q67-ABS(VALUE(MID(Y67,FIND("|",Y67)+1,FIND("-",Y67)-FIND("|",Y67)-1))-VALUE(MID(Y67,FIND("-",Y67)+1,10)))))*$D$50),$D$9*(1-(IF($N67="X",ABS($O67-VALUE(MID(Y67,FIND("|",Y67)+1,FIND("-",Y67)-FIND("|",Y67)-1))),ABS($Q67-ABS(VALUE(MID(Y67,FIND("|",Y67)+1,FIND("-",Y67)-FIND("|",Y67)-1))-VALUE(MID(Y67,FIND("-",Y67)+1,10)))))*$D$50)))))*$I67,0)),0)</f>
        <v>10</v>
      </c>
      <c r="AA67" s="65"/>
      <c r="AB67" s="74" t="s">
        <v>1960</v>
      </c>
      <c r="AC67" s="73">
        <f t="shared" si="232"/>
        <v>10</v>
      </c>
      <c r="AD67" s="65"/>
      <c r="AE67" s="74" t="s">
        <v>1948</v>
      </c>
      <c r="AF67" s="73">
        <f t="shared" si="232"/>
        <v>10</v>
      </c>
      <c r="AG67" s="65"/>
      <c r="AH67" s="74" t="s">
        <v>1948</v>
      </c>
      <c r="AI67" s="73">
        <f t="shared" si="232"/>
        <v>10</v>
      </c>
      <c r="AJ67" s="65"/>
      <c r="AK67" s="74" t="s">
        <v>1953</v>
      </c>
      <c r="AL67" s="73">
        <f t="shared" si="232"/>
        <v>10</v>
      </c>
      <c r="AM67" s="65"/>
      <c r="AN67" s="74" t="s">
        <v>2000</v>
      </c>
      <c r="AO67" s="73">
        <f t="shared" si="232"/>
        <v>10</v>
      </c>
      <c r="AP67" s="65"/>
      <c r="AQ67" s="74" t="s">
        <v>1957</v>
      </c>
      <c r="AR67" s="73">
        <f t="shared" si="232"/>
        <v>0</v>
      </c>
      <c r="AS67" s="65"/>
      <c r="AT67" s="74" t="s">
        <v>1944</v>
      </c>
      <c r="AU67" s="73">
        <f t="shared" si="232"/>
        <v>0</v>
      </c>
      <c r="AV67" s="65"/>
      <c r="AW67" s="74" t="s">
        <v>1953</v>
      </c>
      <c r="AX67" s="73">
        <f t="shared" si="232"/>
        <v>10</v>
      </c>
      <c r="AY67" s="65"/>
      <c r="AZ67" s="74" t="s">
        <v>2133</v>
      </c>
      <c r="BA67" s="73">
        <f t="shared" si="232"/>
        <v>0</v>
      </c>
      <c r="BB67" s="65"/>
      <c r="BC67" s="74" t="s">
        <v>1951</v>
      </c>
      <c r="BD67" s="73">
        <f t="shared" si="232"/>
        <v>10</v>
      </c>
      <c r="BE67" s="65"/>
      <c r="BF67" s="74" t="s">
        <v>1953</v>
      </c>
      <c r="BG67" s="73">
        <f t="shared" si="232"/>
        <v>10</v>
      </c>
      <c r="BH67" s="65"/>
      <c r="BI67" s="74" t="s">
        <v>1955</v>
      </c>
      <c r="BJ67" s="73">
        <f t="shared" si="232"/>
        <v>10</v>
      </c>
      <c r="BK67" s="65"/>
      <c r="BL67" s="74" t="s">
        <v>1948</v>
      </c>
      <c r="BM67" s="73">
        <f t="shared" si="232"/>
        <v>10</v>
      </c>
      <c r="BN67" s="65"/>
      <c r="BO67" s="74" t="s">
        <v>2000</v>
      </c>
      <c r="BP67" s="73">
        <f t="shared" si="232"/>
        <v>10</v>
      </c>
      <c r="BQ67" s="65"/>
      <c r="BR67" s="74" t="s">
        <v>2106</v>
      </c>
      <c r="BS67" s="73">
        <f t="shared" si="232"/>
        <v>12</v>
      </c>
      <c r="BT67" s="65"/>
      <c r="BU67" s="74" t="s">
        <v>1960</v>
      </c>
      <c r="BV67" s="73">
        <f t="shared" si="232"/>
        <v>10</v>
      </c>
      <c r="BW67" s="65"/>
      <c r="BX67" s="74" t="s">
        <v>1960</v>
      </c>
      <c r="BY67" s="73">
        <f t="shared" si="232"/>
        <v>10</v>
      </c>
      <c r="BZ67" s="65"/>
      <c r="CA67" s="74" t="s">
        <v>1955</v>
      </c>
      <c r="CB67" s="73">
        <f t="shared" si="232"/>
        <v>10</v>
      </c>
      <c r="CC67" s="65"/>
      <c r="CD67" s="74" t="s">
        <v>1953</v>
      </c>
      <c r="CE67" s="73">
        <f t="shared" si="232"/>
        <v>10</v>
      </c>
      <c r="CF67" s="65"/>
      <c r="CG67" s="74" t="s">
        <v>2106</v>
      </c>
      <c r="CH67" s="73">
        <f t="shared" si="232"/>
        <v>12</v>
      </c>
      <c r="CI67" s="65"/>
      <c r="CJ67" s="74" t="s">
        <v>1953</v>
      </c>
      <c r="CK67" s="73">
        <f t="shared" si="231"/>
        <v>10</v>
      </c>
      <c r="CL67" s="65"/>
      <c r="CM67" s="74" t="s">
        <v>1948</v>
      </c>
      <c r="CN67" s="73">
        <f t="shared" si="231"/>
        <v>10</v>
      </c>
      <c r="CO67" s="65"/>
      <c r="CP67" s="74" t="s">
        <v>1948</v>
      </c>
      <c r="CQ67" s="73">
        <f t="shared" si="231"/>
        <v>10</v>
      </c>
      <c r="CR67" s="65"/>
      <c r="CS67" s="74" t="s">
        <v>1960</v>
      </c>
      <c r="CT67" s="73">
        <f t="shared" si="231"/>
        <v>10</v>
      </c>
      <c r="CU67" s="65"/>
      <c r="CV67" s="74" t="s">
        <v>1948</v>
      </c>
      <c r="CW67" s="73">
        <f t="shared" si="231"/>
        <v>10</v>
      </c>
      <c r="CX67" s="65"/>
      <c r="CY67" s="74" t="s">
        <v>2106</v>
      </c>
      <c r="CZ67" s="73">
        <f t="shared" si="231"/>
        <v>12</v>
      </c>
      <c r="DA67" s="65"/>
      <c r="DB67" s="74" t="s">
        <v>1960</v>
      </c>
      <c r="DC67" s="73">
        <f t="shared" si="231"/>
        <v>10</v>
      </c>
      <c r="DD67" s="65"/>
      <c r="DE67" s="74" t="s">
        <v>1955</v>
      </c>
      <c r="DF67" s="73">
        <f t="shared" si="231"/>
        <v>10</v>
      </c>
      <c r="DG67" s="65"/>
      <c r="DH67" s="74" t="s">
        <v>1953</v>
      </c>
      <c r="DI67" s="73">
        <f t="shared" si="231"/>
        <v>10</v>
      </c>
      <c r="DJ67" s="65"/>
      <c r="DK67" s="74" t="s">
        <v>1948</v>
      </c>
      <c r="DL67" s="73">
        <f t="shared" si="231"/>
        <v>10</v>
      </c>
      <c r="DM67" s="65"/>
      <c r="DN67" s="74" t="s">
        <v>1948</v>
      </c>
      <c r="DO67" s="73">
        <f t="shared" si="231"/>
        <v>10</v>
      </c>
      <c r="DP67" s="65"/>
      <c r="DQ67" s="74" t="s">
        <v>1948</v>
      </c>
      <c r="DR67" s="73">
        <f t="shared" si="231"/>
        <v>10</v>
      </c>
      <c r="DS67" s="65"/>
      <c r="DT67" s="74" t="s">
        <v>1948</v>
      </c>
      <c r="DU67" s="73">
        <f t="shared" si="231"/>
        <v>10</v>
      </c>
      <c r="DV67" s="65"/>
      <c r="DW67" s="74" t="s">
        <v>1948</v>
      </c>
      <c r="DX67" s="73">
        <f t="shared" si="227"/>
        <v>10</v>
      </c>
      <c r="DY67" s="65"/>
      <c r="DZ67" s="74" t="s">
        <v>1960</v>
      </c>
      <c r="EA67" s="73">
        <f t="shared" si="227"/>
        <v>10</v>
      </c>
      <c r="EB67" s="65"/>
      <c r="EC67" s="74" t="s">
        <v>1955</v>
      </c>
      <c r="ED67" s="73">
        <f t="shared" si="227"/>
        <v>10</v>
      </c>
      <c r="EE67" s="65"/>
      <c r="EF67" s="74" t="s">
        <v>1955</v>
      </c>
      <c r="EG67" s="73">
        <f t="shared" si="227"/>
        <v>10</v>
      </c>
      <c r="EH67" s="65"/>
      <c r="EI67" s="74" t="s">
        <v>1948</v>
      </c>
      <c r="EJ67" s="73">
        <f t="shared" si="227"/>
        <v>10</v>
      </c>
      <c r="EK67" s="65"/>
      <c r="EL67" s="74" t="s">
        <v>1960</v>
      </c>
      <c r="EM67" s="73">
        <f t="shared" si="227"/>
        <v>10</v>
      </c>
      <c r="EN67" s="65"/>
      <c r="EO67" s="74" t="s">
        <v>2000</v>
      </c>
      <c r="EP67" s="73">
        <f t="shared" si="227"/>
        <v>10</v>
      </c>
      <c r="EQ67" s="65"/>
      <c r="ER67" s="74" t="s">
        <v>1948</v>
      </c>
      <c r="ES67" s="73">
        <f t="shared" si="227"/>
        <v>10</v>
      </c>
      <c r="ET67" s="65"/>
      <c r="EU67" s="74" t="s">
        <v>1957</v>
      </c>
      <c r="EV67" s="73">
        <f t="shared" si="227"/>
        <v>0</v>
      </c>
      <c r="EW67" s="65"/>
      <c r="EX67" s="74" t="s">
        <v>1960</v>
      </c>
      <c r="EY67" s="73">
        <f t="shared" si="227"/>
        <v>10</v>
      </c>
      <c r="EZ67" s="65"/>
      <c r="FA67" s="74" t="s">
        <v>1948</v>
      </c>
      <c r="FB67" s="73">
        <f t="shared" si="227"/>
        <v>10</v>
      </c>
      <c r="FC67" s="65"/>
      <c r="FD67" s="74" t="s">
        <v>1953</v>
      </c>
      <c r="FE67" s="73">
        <f t="shared" si="227"/>
        <v>10</v>
      </c>
      <c r="FF67" s="65"/>
      <c r="FG67" s="74" t="s">
        <v>1948</v>
      </c>
      <c r="FH67" s="73">
        <f t="shared" si="227"/>
        <v>10</v>
      </c>
      <c r="FI67" s="65"/>
      <c r="FJ67" s="74" t="s">
        <v>1948</v>
      </c>
      <c r="FK67" s="73">
        <f t="shared" ref="FK67:HV77" si="233">IFERROR(IF($M67=FJ67,($D$8+$D$9+$D$10)*$I67,IF($N67=LEFT(FJ67,1),($D$8+MAX(0,IF($D$50=1,$D$9*(1-(ABS($Q67-ABS(VALUE(MID(FJ67,FIND("|",FJ67)+1,FIND("-",FJ67)-FIND("|",FJ67)-1))-VALUE(MID(FJ67,FIND("-",FJ67)+1,10)))))*$D$50),$D$9*(1-(IF($N67="X",ABS($O67-VALUE(MID(FJ67,FIND("|",FJ67)+1,FIND("-",FJ67)-FIND("|",FJ67)-1))),ABS($Q67-ABS(VALUE(MID(FJ67,FIND("|",FJ67)+1,FIND("-",FJ67)-FIND("|",FJ67)-1))-VALUE(MID(FJ67,FIND("-",FJ67)+1,10)))))*$D$50)))))*$I67,0)),0)</f>
        <v>10</v>
      </c>
      <c r="FL67" s="65"/>
      <c r="FM67" s="74" t="s">
        <v>1948</v>
      </c>
      <c r="FN67" s="73">
        <f t="shared" si="233"/>
        <v>10</v>
      </c>
      <c r="FO67" s="65"/>
      <c r="FP67" s="74" t="s">
        <v>1960</v>
      </c>
      <c r="FQ67" s="73">
        <f t="shared" si="233"/>
        <v>10</v>
      </c>
      <c r="FR67" s="65"/>
      <c r="FS67" s="74" t="s">
        <v>1960</v>
      </c>
      <c r="FT67" s="73">
        <f t="shared" si="233"/>
        <v>10</v>
      </c>
      <c r="FU67" s="65"/>
      <c r="FV67" s="74" t="s">
        <v>1960</v>
      </c>
      <c r="FW67" s="73">
        <f t="shared" si="233"/>
        <v>10</v>
      </c>
      <c r="FX67" s="65"/>
      <c r="FY67" s="74" t="s">
        <v>1955</v>
      </c>
      <c r="FZ67" s="73">
        <f t="shared" si="233"/>
        <v>10</v>
      </c>
      <c r="GA67" s="65"/>
      <c r="GB67" s="74" t="s">
        <v>1957</v>
      </c>
      <c r="GC67" s="73">
        <f t="shared" si="233"/>
        <v>0</v>
      </c>
      <c r="GD67" s="65"/>
      <c r="GE67" s="74" t="s">
        <v>1948</v>
      </c>
      <c r="GF67" s="73">
        <f t="shared" si="233"/>
        <v>10</v>
      </c>
      <c r="GG67" s="65"/>
      <c r="GH67" s="74" t="s">
        <v>1960</v>
      </c>
      <c r="GI67" s="73">
        <f t="shared" si="233"/>
        <v>10</v>
      </c>
      <c r="GJ67" s="65"/>
      <c r="GK67" s="74" t="s">
        <v>1948</v>
      </c>
      <c r="GL67" s="73">
        <f t="shared" si="233"/>
        <v>10</v>
      </c>
      <c r="GM67" s="65"/>
      <c r="GN67" s="74"/>
      <c r="GO67" s="73">
        <f t="shared" si="233"/>
        <v>0</v>
      </c>
      <c r="GP67" s="65"/>
      <c r="GQ67" s="74"/>
      <c r="GR67" s="73">
        <f t="shared" si="233"/>
        <v>0</v>
      </c>
      <c r="GS67" s="65"/>
      <c r="GT67" s="74"/>
      <c r="GU67" s="73">
        <f t="shared" si="233"/>
        <v>0</v>
      </c>
      <c r="GV67" s="65"/>
      <c r="GW67" s="74"/>
      <c r="GX67" s="73">
        <f t="shared" si="233"/>
        <v>0</v>
      </c>
      <c r="GY67" s="65"/>
      <c r="GZ67" s="74"/>
      <c r="HA67" s="73">
        <f t="shared" si="233"/>
        <v>0</v>
      </c>
      <c r="HB67" s="65"/>
      <c r="HC67" s="74"/>
      <c r="HD67" s="73">
        <f t="shared" si="233"/>
        <v>0</v>
      </c>
      <c r="HE67" s="65"/>
      <c r="HF67" s="74"/>
      <c r="HG67" s="73">
        <f t="shared" si="233"/>
        <v>0</v>
      </c>
      <c r="HH67" s="65"/>
      <c r="HI67" s="74"/>
      <c r="HJ67" s="73">
        <f t="shared" si="233"/>
        <v>0</v>
      </c>
      <c r="HK67" s="65"/>
      <c r="HL67" s="74"/>
      <c r="HM67" s="73">
        <f t="shared" si="233"/>
        <v>0</v>
      </c>
      <c r="HN67" s="65"/>
      <c r="HO67" s="74"/>
      <c r="HP67" s="73">
        <f t="shared" si="233"/>
        <v>0</v>
      </c>
      <c r="HQ67" s="65"/>
      <c r="HR67" s="74"/>
      <c r="HS67" s="73">
        <f t="shared" si="233"/>
        <v>0</v>
      </c>
      <c r="HT67" s="65"/>
      <c r="HU67" s="74"/>
      <c r="HV67" s="73">
        <f t="shared" si="233"/>
        <v>0</v>
      </c>
      <c r="HW67" s="65"/>
      <c r="HX67" s="74"/>
      <c r="HY67" s="73">
        <f t="shared" si="230"/>
        <v>0</v>
      </c>
      <c r="HZ67" s="65"/>
      <c r="IA67" s="74"/>
      <c r="IB67" s="73">
        <f t="shared" si="230"/>
        <v>0</v>
      </c>
      <c r="IC67" s="65"/>
      <c r="ID67" s="74"/>
      <c r="IE67" s="73">
        <f t="shared" si="230"/>
        <v>0</v>
      </c>
      <c r="IF67" s="65"/>
      <c r="IG67" s="74"/>
      <c r="IH67" s="73">
        <f t="shared" si="230"/>
        <v>0</v>
      </c>
      <c r="II67" s="65"/>
      <c r="IJ67" s="74"/>
      <c r="IK67" s="73">
        <f t="shared" si="230"/>
        <v>0</v>
      </c>
      <c r="IL67" s="65"/>
      <c r="IM67" s="74"/>
      <c r="IN67" s="73">
        <f t="shared" si="230"/>
        <v>0</v>
      </c>
      <c r="IO67" s="65"/>
      <c r="IP67" s="74"/>
      <c r="IQ67" s="73">
        <f t="shared" si="230"/>
        <v>0</v>
      </c>
      <c r="IR67" s="65"/>
      <c r="IS67" s="74"/>
      <c r="IT67" s="73">
        <f t="shared" si="230"/>
        <v>0</v>
      </c>
      <c r="IU67" s="65"/>
      <c r="IV67" s="74"/>
      <c r="IW67" s="73">
        <f t="shared" si="230"/>
        <v>0</v>
      </c>
      <c r="IX67" s="65"/>
      <c r="IY67" s="74"/>
      <c r="IZ67" s="73">
        <f t="shared" si="230"/>
        <v>0</v>
      </c>
      <c r="JA67" s="65"/>
      <c r="JB67" s="74"/>
      <c r="JC67" s="73">
        <f t="shared" si="230"/>
        <v>0</v>
      </c>
      <c r="JD67" s="65"/>
      <c r="JE67" s="74"/>
      <c r="JF67" s="73">
        <f t="shared" si="230"/>
        <v>0</v>
      </c>
      <c r="JG67" s="65"/>
      <c r="JH67" s="74"/>
      <c r="JI67" s="73">
        <f t="shared" si="230"/>
        <v>0</v>
      </c>
      <c r="JJ67" s="65"/>
      <c r="JK67" s="74"/>
      <c r="JL67" s="73">
        <f t="shared" si="230"/>
        <v>0</v>
      </c>
      <c r="JM67" s="65"/>
      <c r="JN67" s="74"/>
      <c r="JO67" s="73">
        <f t="shared" si="230"/>
        <v>0</v>
      </c>
      <c r="JP67" s="65"/>
      <c r="JQ67" s="74"/>
      <c r="JR67" s="73">
        <f t="shared" si="230"/>
        <v>0</v>
      </c>
      <c r="JS67" s="65"/>
      <c r="JT67" s="74"/>
      <c r="JU67" s="73">
        <f t="shared" si="230"/>
        <v>0</v>
      </c>
      <c r="JV67" s="65"/>
      <c r="JW67" s="74"/>
      <c r="JX67" s="73">
        <f t="shared" si="230"/>
        <v>0</v>
      </c>
      <c r="JY67" s="65"/>
      <c r="JZ67" s="74"/>
      <c r="KA67" s="73">
        <f t="shared" si="230"/>
        <v>0</v>
      </c>
      <c r="KB67" s="65"/>
      <c r="KC67" s="74"/>
      <c r="KD67" s="73">
        <f t="shared" si="230"/>
        <v>0</v>
      </c>
      <c r="KE67" s="65"/>
      <c r="KF67" s="74"/>
      <c r="KG67" s="73">
        <f t="shared" si="230"/>
        <v>0</v>
      </c>
      <c r="KH67" s="65"/>
      <c r="KI67" s="74"/>
      <c r="KJ67" s="73">
        <f t="shared" si="230"/>
        <v>0</v>
      </c>
      <c r="KK67" s="65"/>
      <c r="KL67" s="74"/>
      <c r="KM67" s="73">
        <f t="shared" si="229"/>
        <v>0</v>
      </c>
      <c r="KN67" s="65"/>
      <c r="KO67" s="74"/>
      <c r="KP67" s="73">
        <f t="shared" si="229"/>
        <v>0</v>
      </c>
      <c r="KQ67" s="65"/>
      <c r="KR67" s="74"/>
      <c r="KS67" s="73">
        <f t="shared" si="229"/>
        <v>0</v>
      </c>
      <c r="KT67" s="65"/>
      <c r="KU67" s="74"/>
      <c r="KV67" s="73">
        <f t="shared" si="229"/>
        <v>0</v>
      </c>
      <c r="KW67" s="65"/>
      <c r="KX67" s="74"/>
      <c r="KY67" s="73">
        <f t="shared" si="229"/>
        <v>0</v>
      </c>
      <c r="KZ67" s="65"/>
      <c r="LA67" s="74"/>
      <c r="LB67" s="73">
        <f t="shared" si="229"/>
        <v>0</v>
      </c>
      <c r="LC67" s="65"/>
      <c r="LD67" s="74"/>
      <c r="LE67" s="73">
        <f t="shared" si="229"/>
        <v>0</v>
      </c>
      <c r="LF67" s="65"/>
      <c r="LG67" s="65"/>
    </row>
    <row r="68" spans="1:319">
      <c r="A68" s="49"/>
      <c r="B68" s="49"/>
      <c r="C68" s="17"/>
      <c r="D68" s="17"/>
      <c r="E68" s="111"/>
      <c r="F68" s="445">
        <f t="shared" si="197"/>
        <v>20</v>
      </c>
      <c r="G68" s="445">
        <f ca="1">VLOOKUP(H68,Equipos!$Q$1:$R$25,2,0)</f>
        <v>17</v>
      </c>
      <c r="H68" s="446">
        <f ca="1">TRUNC(INDEX(WORLDCUP!$X$4:$X$147,MATCH(ADMIN!K68,WORLDCUP!$DT$4:$DT$147,0))+INDEX(Horarios!$R$3:$R$86,MATCH(Horarios!$C$3,Horarios!$P$3:$P$86,0))/24)</f>
        <v>46200</v>
      </c>
      <c r="I68" s="48">
        <v>1</v>
      </c>
      <c r="J68" s="96" t="s">
        <v>181</v>
      </c>
      <c r="K68" s="56" t="str">
        <f ca="1">CONCATENATE(WORLDCUP!AA64,"-",WORLDCUP!AF64)</f>
        <v>Cape Verde-Saudi Arabia</v>
      </c>
      <c r="L68" s="53"/>
      <c r="M68" s="55" t="str">
        <f>IF(OR(WORLDCUP!AC64="",WORLDCUP!AD64=""),"-",N68&amp;"|"&amp;O68&amp;"-"&amp;P68)</f>
        <v>X|0-0</v>
      </c>
      <c r="N68" s="25" t="str">
        <f>IF(OR(WORLDCUP!AC64="",WORLDCUP!AD64=""),"",IF(WORLDCUP!AC64&gt;WORLDCUP!AD64,"1",IF(WORLDCUP!AC64&lt;WORLDCUP!AD64,"2","X")))</f>
        <v>X</v>
      </c>
      <c r="O68" s="25">
        <f>WORLDCUP!AC64</f>
        <v>0</v>
      </c>
      <c r="P68" s="25">
        <f>WORLDCUP!AD64</f>
        <v>0</v>
      </c>
      <c r="Q68" s="25">
        <f t="shared" si="201"/>
        <v>0</v>
      </c>
      <c r="R68" s="49"/>
      <c r="S68" s="74" t="s">
        <v>1951</v>
      </c>
      <c r="T68" s="73">
        <f t="shared" si="198"/>
        <v>0</v>
      </c>
      <c r="U68" s="65"/>
      <c r="V68" s="74" t="s">
        <v>1953</v>
      </c>
      <c r="W68" s="73">
        <f t="shared" si="219"/>
        <v>0</v>
      </c>
      <c r="X68" s="65"/>
      <c r="Y68" s="74" t="s">
        <v>1959</v>
      </c>
      <c r="Z68" s="73">
        <f t="shared" si="232"/>
        <v>0</v>
      </c>
      <c r="AA68" s="65"/>
      <c r="AB68" s="74" t="s">
        <v>1957</v>
      </c>
      <c r="AC68" s="73">
        <f t="shared" si="232"/>
        <v>12</v>
      </c>
      <c r="AD68" s="65"/>
      <c r="AE68" s="74" t="s">
        <v>1960</v>
      </c>
      <c r="AF68" s="73">
        <f t="shared" si="232"/>
        <v>0</v>
      </c>
      <c r="AG68" s="65"/>
      <c r="AH68" s="74" t="s">
        <v>1948</v>
      </c>
      <c r="AI68" s="73">
        <f t="shared" si="232"/>
        <v>0</v>
      </c>
      <c r="AJ68" s="65"/>
      <c r="AK68" s="74" t="s">
        <v>1957</v>
      </c>
      <c r="AL68" s="73">
        <f t="shared" si="232"/>
        <v>12</v>
      </c>
      <c r="AM68" s="65"/>
      <c r="AN68" s="74" t="s">
        <v>1957</v>
      </c>
      <c r="AO68" s="73">
        <f t="shared" si="232"/>
        <v>12</v>
      </c>
      <c r="AP68" s="65"/>
      <c r="AQ68" s="74" t="s">
        <v>1957</v>
      </c>
      <c r="AR68" s="73">
        <f t="shared" si="232"/>
        <v>12</v>
      </c>
      <c r="AS68" s="65"/>
      <c r="AT68" s="74" t="s">
        <v>1960</v>
      </c>
      <c r="AU68" s="73">
        <f t="shared" si="232"/>
        <v>0</v>
      </c>
      <c r="AV68" s="65"/>
      <c r="AW68" s="74" t="s">
        <v>1953</v>
      </c>
      <c r="AX68" s="73">
        <f t="shared" si="232"/>
        <v>0</v>
      </c>
      <c r="AY68" s="65"/>
      <c r="AZ68" s="74" t="s">
        <v>1957</v>
      </c>
      <c r="BA68" s="73">
        <f t="shared" si="232"/>
        <v>12</v>
      </c>
      <c r="BB68" s="65"/>
      <c r="BC68" s="74" t="s">
        <v>1960</v>
      </c>
      <c r="BD68" s="73">
        <f t="shared" si="232"/>
        <v>0</v>
      </c>
      <c r="BE68" s="65"/>
      <c r="BF68" s="74" t="s">
        <v>2000</v>
      </c>
      <c r="BG68" s="73">
        <f t="shared" si="232"/>
        <v>0</v>
      </c>
      <c r="BH68" s="65"/>
      <c r="BI68" s="74" t="s">
        <v>1959</v>
      </c>
      <c r="BJ68" s="73">
        <f t="shared" si="232"/>
        <v>0</v>
      </c>
      <c r="BK68" s="65"/>
      <c r="BL68" s="74" t="s">
        <v>1957</v>
      </c>
      <c r="BM68" s="73">
        <f t="shared" si="232"/>
        <v>12</v>
      </c>
      <c r="BN68" s="65"/>
      <c r="BO68" s="74" t="s">
        <v>2000</v>
      </c>
      <c r="BP68" s="73">
        <f t="shared" si="232"/>
        <v>0</v>
      </c>
      <c r="BQ68" s="65"/>
      <c r="BR68" s="74" t="s">
        <v>1957</v>
      </c>
      <c r="BS68" s="73">
        <f t="shared" si="232"/>
        <v>12</v>
      </c>
      <c r="BT68" s="65"/>
      <c r="BU68" s="74" t="s">
        <v>2000</v>
      </c>
      <c r="BV68" s="73">
        <f t="shared" si="232"/>
        <v>0</v>
      </c>
      <c r="BW68" s="65"/>
      <c r="BX68" s="74" t="s">
        <v>2133</v>
      </c>
      <c r="BY68" s="73">
        <f t="shared" si="232"/>
        <v>20</v>
      </c>
      <c r="BZ68" s="65"/>
      <c r="CA68" s="74" t="s">
        <v>1953</v>
      </c>
      <c r="CB68" s="73">
        <f t="shared" si="232"/>
        <v>0</v>
      </c>
      <c r="CC68" s="65"/>
      <c r="CD68" s="74" t="s">
        <v>2133</v>
      </c>
      <c r="CE68" s="73">
        <f t="shared" si="232"/>
        <v>20</v>
      </c>
      <c r="CF68" s="65"/>
      <c r="CG68" s="74" t="s">
        <v>1953</v>
      </c>
      <c r="CH68" s="73">
        <f t="shared" si="232"/>
        <v>0</v>
      </c>
      <c r="CI68" s="65"/>
      <c r="CJ68" s="74" t="s">
        <v>1957</v>
      </c>
      <c r="CK68" s="73">
        <f t="shared" si="231"/>
        <v>12</v>
      </c>
      <c r="CL68" s="65"/>
      <c r="CM68" s="74" t="s">
        <v>2000</v>
      </c>
      <c r="CN68" s="73">
        <f t="shared" si="231"/>
        <v>0</v>
      </c>
      <c r="CO68" s="65"/>
      <c r="CP68" s="74" t="s">
        <v>1957</v>
      </c>
      <c r="CQ68" s="73">
        <f t="shared" si="231"/>
        <v>12</v>
      </c>
      <c r="CR68" s="65"/>
      <c r="CS68" s="74" t="s">
        <v>2133</v>
      </c>
      <c r="CT68" s="73">
        <f t="shared" si="231"/>
        <v>20</v>
      </c>
      <c r="CU68" s="65"/>
      <c r="CV68" s="74" t="s">
        <v>2133</v>
      </c>
      <c r="CW68" s="73">
        <f t="shared" si="231"/>
        <v>20</v>
      </c>
      <c r="CX68" s="65"/>
      <c r="CY68" s="74" t="s">
        <v>1950</v>
      </c>
      <c r="CZ68" s="73">
        <f t="shared" si="231"/>
        <v>0</v>
      </c>
      <c r="DA68" s="65"/>
      <c r="DB68" s="74" t="s">
        <v>1953</v>
      </c>
      <c r="DC68" s="73">
        <f t="shared" si="231"/>
        <v>0</v>
      </c>
      <c r="DD68" s="65"/>
      <c r="DE68" s="74" t="s">
        <v>1944</v>
      </c>
      <c r="DF68" s="73">
        <f t="shared" si="231"/>
        <v>12</v>
      </c>
      <c r="DG68" s="65"/>
      <c r="DH68" s="74" t="s">
        <v>1957</v>
      </c>
      <c r="DI68" s="73">
        <f t="shared" si="231"/>
        <v>12</v>
      </c>
      <c r="DJ68" s="65"/>
      <c r="DK68" s="74" t="s">
        <v>1957</v>
      </c>
      <c r="DL68" s="73">
        <f t="shared" si="231"/>
        <v>12</v>
      </c>
      <c r="DM68" s="65"/>
      <c r="DN68" s="74" t="s">
        <v>1953</v>
      </c>
      <c r="DO68" s="73">
        <f t="shared" si="231"/>
        <v>0</v>
      </c>
      <c r="DP68" s="65"/>
      <c r="DQ68" s="74" t="s">
        <v>1957</v>
      </c>
      <c r="DR68" s="73">
        <f t="shared" si="231"/>
        <v>12</v>
      </c>
      <c r="DS68" s="65"/>
      <c r="DT68" s="74" t="s">
        <v>1957</v>
      </c>
      <c r="DU68" s="73">
        <f t="shared" si="231"/>
        <v>12</v>
      </c>
      <c r="DV68" s="65"/>
      <c r="DW68" s="74" t="s">
        <v>1959</v>
      </c>
      <c r="DX68" s="73">
        <f t="shared" ref="DX68:GI77" si="234">IFERROR(IF($M68=DW68,($D$8+$D$9+$D$10)*$I68,IF($N68=LEFT(DW68,1),($D$8+MAX(0,IF($D$50=1,$D$9*(1-(ABS($Q68-ABS(VALUE(MID(DW68,FIND("|",DW68)+1,FIND("-",DW68)-FIND("|",DW68)-1))-VALUE(MID(DW68,FIND("-",DW68)+1,10)))))*$D$50),$D$9*(1-(IF($N68="X",ABS($O68-VALUE(MID(DW68,FIND("|",DW68)+1,FIND("-",DW68)-FIND("|",DW68)-1))),ABS($Q68-ABS(VALUE(MID(DW68,FIND("|",DW68)+1,FIND("-",DW68)-FIND("|",DW68)-1))-VALUE(MID(DW68,FIND("-",DW68)+1,10)))))*$D$50)))))*$I68,0)),0)</f>
        <v>0</v>
      </c>
      <c r="DY68" s="65"/>
      <c r="DZ68" s="74" t="s">
        <v>1957</v>
      </c>
      <c r="EA68" s="73">
        <f t="shared" si="234"/>
        <v>12</v>
      </c>
      <c r="EB68" s="65"/>
      <c r="EC68" s="74" t="s">
        <v>1959</v>
      </c>
      <c r="ED68" s="73">
        <f t="shared" si="234"/>
        <v>0</v>
      </c>
      <c r="EE68" s="65"/>
      <c r="EF68" s="74" t="s">
        <v>2000</v>
      </c>
      <c r="EG68" s="73">
        <f t="shared" si="234"/>
        <v>0</v>
      </c>
      <c r="EH68" s="65"/>
      <c r="EI68" s="74" t="s">
        <v>1957</v>
      </c>
      <c r="EJ68" s="73">
        <f t="shared" si="234"/>
        <v>12</v>
      </c>
      <c r="EK68" s="65"/>
      <c r="EL68" s="74" t="s">
        <v>1960</v>
      </c>
      <c r="EM68" s="73">
        <f t="shared" si="234"/>
        <v>0</v>
      </c>
      <c r="EN68" s="65"/>
      <c r="EO68" s="74" t="s">
        <v>1959</v>
      </c>
      <c r="EP68" s="73">
        <f t="shared" si="234"/>
        <v>0</v>
      </c>
      <c r="EQ68" s="65"/>
      <c r="ER68" s="74" t="s">
        <v>1953</v>
      </c>
      <c r="ES68" s="73">
        <f t="shared" si="234"/>
        <v>0</v>
      </c>
      <c r="ET68" s="65"/>
      <c r="EU68" s="74" t="s">
        <v>1959</v>
      </c>
      <c r="EV68" s="73">
        <f t="shared" si="234"/>
        <v>0</v>
      </c>
      <c r="EW68" s="65"/>
      <c r="EX68" s="74" t="s">
        <v>2000</v>
      </c>
      <c r="EY68" s="73">
        <f t="shared" si="234"/>
        <v>0</v>
      </c>
      <c r="EZ68" s="65"/>
      <c r="FA68" s="74" t="s">
        <v>1957</v>
      </c>
      <c r="FB68" s="73">
        <f t="shared" si="234"/>
        <v>12</v>
      </c>
      <c r="FC68" s="65"/>
      <c r="FD68" s="74" t="s">
        <v>1954</v>
      </c>
      <c r="FE68" s="73">
        <f t="shared" si="234"/>
        <v>0</v>
      </c>
      <c r="FF68" s="65"/>
      <c r="FG68" s="74" t="s">
        <v>1953</v>
      </c>
      <c r="FH68" s="73">
        <f t="shared" si="234"/>
        <v>0</v>
      </c>
      <c r="FI68" s="65"/>
      <c r="FJ68" s="74" t="s">
        <v>2000</v>
      </c>
      <c r="FK68" s="73">
        <f t="shared" si="234"/>
        <v>0</v>
      </c>
      <c r="FL68" s="65"/>
      <c r="FM68" s="74" t="s">
        <v>1957</v>
      </c>
      <c r="FN68" s="73">
        <f t="shared" si="234"/>
        <v>12</v>
      </c>
      <c r="FO68" s="65"/>
      <c r="FP68" s="74" t="s">
        <v>1957</v>
      </c>
      <c r="FQ68" s="73">
        <f t="shared" si="234"/>
        <v>12</v>
      </c>
      <c r="FR68" s="65"/>
      <c r="FS68" s="74" t="s">
        <v>1957</v>
      </c>
      <c r="FT68" s="73">
        <f t="shared" si="234"/>
        <v>12</v>
      </c>
      <c r="FU68" s="65"/>
      <c r="FV68" s="74" t="s">
        <v>1957</v>
      </c>
      <c r="FW68" s="73">
        <f t="shared" si="234"/>
        <v>12</v>
      </c>
      <c r="FX68" s="65"/>
      <c r="FY68" s="74" t="s">
        <v>2000</v>
      </c>
      <c r="FZ68" s="73">
        <f t="shared" si="234"/>
        <v>0</v>
      </c>
      <c r="GA68" s="65"/>
      <c r="GB68" s="74" t="s">
        <v>1957</v>
      </c>
      <c r="GC68" s="73">
        <f t="shared" si="234"/>
        <v>12</v>
      </c>
      <c r="GD68" s="65"/>
      <c r="GE68" s="74" t="s">
        <v>1954</v>
      </c>
      <c r="GF68" s="73">
        <f t="shared" si="234"/>
        <v>0</v>
      </c>
      <c r="GG68" s="65"/>
      <c r="GH68" s="74" t="s">
        <v>1953</v>
      </c>
      <c r="GI68" s="73">
        <f t="shared" si="234"/>
        <v>0</v>
      </c>
      <c r="GJ68" s="65"/>
      <c r="GK68" s="74" t="s">
        <v>2000</v>
      </c>
      <c r="GL68" s="73">
        <f t="shared" si="233"/>
        <v>0</v>
      </c>
      <c r="GM68" s="65"/>
      <c r="GN68" s="74"/>
      <c r="GO68" s="73">
        <f t="shared" si="233"/>
        <v>0</v>
      </c>
      <c r="GP68" s="65"/>
      <c r="GQ68" s="74"/>
      <c r="GR68" s="73">
        <f t="shared" si="233"/>
        <v>0</v>
      </c>
      <c r="GS68" s="65"/>
      <c r="GT68" s="74"/>
      <c r="GU68" s="73">
        <f t="shared" si="233"/>
        <v>0</v>
      </c>
      <c r="GV68" s="65"/>
      <c r="GW68" s="74"/>
      <c r="GX68" s="73">
        <f t="shared" si="233"/>
        <v>0</v>
      </c>
      <c r="GY68" s="65"/>
      <c r="GZ68" s="74"/>
      <c r="HA68" s="73">
        <f t="shared" si="233"/>
        <v>0</v>
      </c>
      <c r="HB68" s="65"/>
      <c r="HC68" s="74"/>
      <c r="HD68" s="73">
        <f t="shared" si="233"/>
        <v>0</v>
      </c>
      <c r="HE68" s="65"/>
      <c r="HF68" s="74"/>
      <c r="HG68" s="73">
        <f t="shared" si="233"/>
        <v>0</v>
      </c>
      <c r="HH68" s="65"/>
      <c r="HI68" s="74"/>
      <c r="HJ68" s="73">
        <f t="shared" si="233"/>
        <v>0</v>
      </c>
      <c r="HK68" s="65"/>
      <c r="HL68" s="74"/>
      <c r="HM68" s="73">
        <f t="shared" si="233"/>
        <v>0</v>
      </c>
      <c r="HN68" s="65"/>
      <c r="HO68" s="74"/>
      <c r="HP68" s="73">
        <f t="shared" si="233"/>
        <v>0</v>
      </c>
      <c r="HQ68" s="65"/>
      <c r="HR68" s="74"/>
      <c r="HS68" s="73">
        <f t="shared" si="233"/>
        <v>0</v>
      </c>
      <c r="HT68" s="65"/>
      <c r="HU68" s="74"/>
      <c r="HV68" s="73">
        <f t="shared" si="233"/>
        <v>0</v>
      </c>
      <c r="HW68" s="65"/>
      <c r="HX68" s="74"/>
      <c r="HY68" s="73">
        <f t="shared" si="230"/>
        <v>0</v>
      </c>
      <c r="HZ68" s="65"/>
      <c r="IA68" s="74"/>
      <c r="IB68" s="73">
        <f t="shared" si="230"/>
        <v>0</v>
      </c>
      <c r="IC68" s="65"/>
      <c r="ID68" s="74"/>
      <c r="IE68" s="73">
        <f t="shared" si="230"/>
        <v>0</v>
      </c>
      <c r="IF68" s="65"/>
      <c r="IG68" s="74"/>
      <c r="IH68" s="73">
        <f t="shared" si="230"/>
        <v>0</v>
      </c>
      <c r="II68" s="65"/>
      <c r="IJ68" s="74"/>
      <c r="IK68" s="73">
        <f t="shared" si="230"/>
        <v>0</v>
      </c>
      <c r="IL68" s="65"/>
      <c r="IM68" s="74"/>
      <c r="IN68" s="73">
        <f t="shared" si="230"/>
        <v>0</v>
      </c>
      <c r="IO68" s="65"/>
      <c r="IP68" s="74"/>
      <c r="IQ68" s="73">
        <f t="shared" si="230"/>
        <v>0</v>
      </c>
      <c r="IR68" s="65"/>
      <c r="IS68" s="74"/>
      <c r="IT68" s="73">
        <f t="shared" si="230"/>
        <v>0</v>
      </c>
      <c r="IU68" s="65"/>
      <c r="IV68" s="74"/>
      <c r="IW68" s="73">
        <f t="shared" si="230"/>
        <v>0</v>
      </c>
      <c r="IX68" s="65"/>
      <c r="IY68" s="74"/>
      <c r="IZ68" s="73">
        <f t="shared" si="230"/>
        <v>0</v>
      </c>
      <c r="JA68" s="65"/>
      <c r="JB68" s="74"/>
      <c r="JC68" s="73">
        <f t="shared" si="230"/>
        <v>0</v>
      </c>
      <c r="JD68" s="65"/>
      <c r="JE68" s="74"/>
      <c r="JF68" s="73">
        <f t="shared" si="230"/>
        <v>0</v>
      </c>
      <c r="JG68" s="65"/>
      <c r="JH68" s="74"/>
      <c r="JI68" s="73">
        <f t="shared" si="230"/>
        <v>0</v>
      </c>
      <c r="JJ68" s="65"/>
      <c r="JK68" s="74"/>
      <c r="JL68" s="73">
        <f t="shared" si="230"/>
        <v>0</v>
      </c>
      <c r="JM68" s="65"/>
      <c r="JN68" s="74"/>
      <c r="JO68" s="73">
        <f t="shared" si="230"/>
        <v>0</v>
      </c>
      <c r="JP68" s="65"/>
      <c r="JQ68" s="74"/>
      <c r="JR68" s="73">
        <f t="shared" si="230"/>
        <v>0</v>
      </c>
      <c r="JS68" s="65"/>
      <c r="JT68" s="74"/>
      <c r="JU68" s="73">
        <f t="shared" si="230"/>
        <v>0</v>
      </c>
      <c r="JV68" s="65"/>
      <c r="JW68" s="74"/>
      <c r="JX68" s="73">
        <f t="shared" si="230"/>
        <v>0</v>
      </c>
      <c r="JY68" s="65"/>
      <c r="JZ68" s="74"/>
      <c r="KA68" s="73">
        <f t="shared" si="230"/>
        <v>0</v>
      </c>
      <c r="KB68" s="65"/>
      <c r="KC68" s="74"/>
      <c r="KD68" s="73">
        <f t="shared" si="230"/>
        <v>0</v>
      </c>
      <c r="KE68" s="65"/>
      <c r="KF68" s="74"/>
      <c r="KG68" s="73">
        <f t="shared" si="230"/>
        <v>0</v>
      </c>
      <c r="KH68" s="65"/>
      <c r="KI68" s="74"/>
      <c r="KJ68" s="73">
        <f t="shared" si="230"/>
        <v>0</v>
      </c>
      <c r="KK68" s="65"/>
      <c r="KL68" s="74"/>
      <c r="KM68" s="73">
        <f t="shared" si="229"/>
        <v>0</v>
      </c>
      <c r="KN68" s="65"/>
      <c r="KO68" s="74"/>
      <c r="KP68" s="73">
        <f t="shared" si="229"/>
        <v>0</v>
      </c>
      <c r="KQ68" s="65"/>
      <c r="KR68" s="74"/>
      <c r="KS68" s="73">
        <f t="shared" si="229"/>
        <v>0</v>
      </c>
      <c r="KT68" s="65"/>
      <c r="KU68" s="74"/>
      <c r="KV68" s="73">
        <f t="shared" si="229"/>
        <v>0</v>
      </c>
      <c r="KW68" s="65"/>
      <c r="KX68" s="74"/>
      <c r="KY68" s="73">
        <f t="shared" si="229"/>
        <v>0</v>
      </c>
      <c r="KZ68" s="65"/>
      <c r="LA68" s="74"/>
      <c r="LB68" s="73">
        <f t="shared" si="229"/>
        <v>0</v>
      </c>
      <c r="LC68" s="65"/>
      <c r="LD68" s="74"/>
      <c r="LE68" s="73">
        <f t="shared" si="229"/>
        <v>0</v>
      </c>
      <c r="LF68" s="65"/>
      <c r="LG68" s="65"/>
    </row>
    <row r="69" spans="1:319">
      <c r="A69" s="49"/>
      <c r="B69" s="49"/>
      <c r="C69" s="17"/>
      <c r="D69" s="17"/>
      <c r="E69" s="111"/>
      <c r="F69" s="445">
        <f t="shared" si="197"/>
        <v>20</v>
      </c>
      <c r="G69" s="445">
        <f ca="1">VLOOKUP(H69,Equipos!$Q$1:$R$25,2,0)</f>
        <v>17</v>
      </c>
      <c r="H69" s="446">
        <f ca="1">TRUNC(INDEX(WORLDCUP!$X$4:$X$147,MATCH(ADMIN!K69,WORLDCUP!$DT$4:$DT$147,0))+INDEX(Horarios!$R$3:$R$86,MATCH(Horarios!$C$3,Horarios!$P$3:$P$86,0))/24)</f>
        <v>46200</v>
      </c>
      <c r="I69" s="48">
        <v>1</v>
      </c>
      <c r="J69" s="96" t="s">
        <v>181</v>
      </c>
      <c r="K69" s="53" t="str">
        <f ca="1">CONCATENATE(WORLDCUP!AA65,"-",WORLDCUP!AF65)</f>
        <v>Uruguay-Spain</v>
      </c>
      <c r="L69" s="53"/>
      <c r="M69" s="53" t="str">
        <f>IF(OR(WORLDCUP!AC65="",WORLDCUP!AD65=""),"-",N69&amp;"|"&amp;O69&amp;"-"&amp;P69)</f>
        <v>2|0-1</v>
      </c>
      <c r="N69" s="25" t="str">
        <f>IF(OR(WORLDCUP!AC65="",WORLDCUP!AD65=""),"",IF(WORLDCUP!AC65&gt;WORLDCUP!AD65,"1",IF(WORLDCUP!AC65&lt;WORLDCUP!AD65,"2","X")))</f>
        <v>2</v>
      </c>
      <c r="O69" s="25">
        <f>WORLDCUP!AC65</f>
        <v>0</v>
      </c>
      <c r="P69" s="25">
        <f>WORLDCUP!AD65</f>
        <v>1</v>
      </c>
      <c r="Q69" s="25">
        <f t="shared" si="201"/>
        <v>1</v>
      </c>
      <c r="R69" s="49"/>
      <c r="S69" s="74" t="s">
        <v>1961</v>
      </c>
      <c r="T69" s="73">
        <f t="shared" si="198"/>
        <v>10</v>
      </c>
      <c r="U69" s="65"/>
      <c r="V69" s="74" t="s">
        <v>1944</v>
      </c>
      <c r="W69" s="73">
        <f t="shared" si="219"/>
        <v>0</v>
      </c>
      <c r="X69" s="65"/>
      <c r="Y69" s="74" t="s">
        <v>1953</v>
      </c>
      <c r="Z69" s="73">
        <f t="shared" si="232"/>
        <v>12</v>
      </c>
      <c r="AA69" s="65"/>
      <c r="AB69" s="74" t="s">
        <v>1953</v>
      </c>
      <c r="AC69" s="73">
        <f t="shared" si="232"/>
        <v>12</v>
      </c>
      <c r="AD69" s="65"/>
      <c r="AE69" s="74" t="s">
        <v>1960</v>
      </c>
      <c r="AF69" s="73">
        <f t="shared" si="232"/>
        <v>10</v>
      </c>
      <c r="AG69" s="65"/>
      <c r="AH69" s="74" t="s">
        <v>1953</v>
      </c>
      <c r="AI69" s="73">
        <f t="shared" si="232"/>
        <v>12</v>
      </c>
      <c r="AJ69" s="65"/>
      <c r="AK69" s="74" t="s">
        <v>1944</v>
      </c>
      <c r="AL69" s="73">
        <f t="shared" si="232"/>
        <v>0</v>
      </c>
      <c r="AM69" s="65"/>
      <c r="AN69" s="74" t="s">
        <v>1954</v>
      </c>
      <c r="AO69" s="73">
        <f t="shared" si="232"/>
        <v>0</v>
      </c>
      <c r="AP69" s="65"/>
      <c r="AQ69" s="74" t="s">
        <v>1953</v>
      </c>
      <c r="AR69" s="73">
        <f t="shared" si="232"/>
        <v>12</v>
      </c>
      <c r="AS69" s="65"/>
      <c r="AT69" s="74" t="s">
        <v>1946</v>
      </c>
      <c r="AU69" s="73">
        <f t="shared" si="232"/>
        <v>12</v>
      </c>
      <c r="AV69" s="65"/>
      <c r="AW69" s="74" t="s">
        <v>1944</v>
      </c>
      <c r="AX69" s="73">
        <f t="shared" si="232"/>
        <v>0</v>
      </c>
      <c r="AY69" s="65"/>
      <c r="AZ69" s="74" t="s">
        <v>1960</v>
      </c>
      <c r="BA69" s="73">
        <f t="shared" si="232"/>
        <v>10</v>
      </c>
      <c r="BB69" s="65"/>
      <c r="BC69" s="74" t="s">
        <v>1953</v>
      </c>
      <c r="BD69" s="73">
        <f t="shared" si="232"/>
        <v>12</v>
      </c>
      <c r="BE69" s="65"/>
      <c r="BF69" s="74" t="s">
        <v>1948</v>
      </c>
      <c r="BG69" s="73">
        <f t="shared" si="232"/>
        <v>10</v>
      </c>
      <c r="BH69" s="65"/>
      <c r="BI69" s="74" t="s">
        <v>1946</v>
      </c>
      <c r="BJ69" s="73">
        <f t="shared" si="232"/>
        <v>12</v>
      </c>
      <c r="BK69" s="65"/>
      <c r="BL69" s="74" t="s">
        <v>1953</v>
      </c>
      <c r="BM69" s="73">
        <f t="shared" si="232"/>
        <v>12</v>
      </c>
      <c r="BN69" s="65"/>
      <c r="BO69" s="74" t="s">
        <v>1955</v>
      </c>
      <c r="BP69" s="73">
        <f t="shared" si="232"/>
        <v>10</v>
      </c>
      <c r="BQ69" s="65"/>
      <c r="BR69" s="74" t="s">
        <v>1953</v>
      </c>
      <c r="BS69" s="73">
        <f t="shared" si="232"/>
        <v>12</v>
      </c>
      <c r="BT69" s="65"/>
      <c r="BU69" s="74" t="s">
        <v>1955</v>
      </c>
      <c r="BV69" s="73">
        <f t="shared" si="232"/>
        <v>10</v>
      </c>
      <c r="BW69" s="65"/>
      <c r="BX69" s="74" t="s">
        <v>1960</v>
      </c>
      <c r="BY69" s="73">
        <f t="shared" si="232"/>
        <v>10</v>
      </c>
      <c r="BZ69" s="65"/>
      <c r="CA69" s="74" t="s">
        <v>1953</v>
      </c>
      <c r="CB69" s="73">
        <f t="shared" si="232"/>
        <v>12</v>
      </c>
      <c r="CC69" s="65"/>
      <c r="CD69" s="74" t="s">
        <v>1957</v>
      </c>
      <c r="CE69" s="73">
        <f t="shared" si="232"/>
        <v>0</v>
      </c>
      <c r="CF69" s="65"/>
      <c r="CG69" s="74" t="s">
        <v>1953</v>
      </c>
      <c r="CH69" s="73">
        <f t="shared" si="232"/>
        <v>12</v>
      </c>
      <c r="CI69" s="65"/>
      <c r="CJ69" s="74" t="s">
        <v>1955</v>
      </c>
      <c r="CK69" s="73">
        <f t="shared" si="231"/>
        <v>10</v>
      </c>
      <c r="CL69" s="65"/>
      <c r="CM69" s="74" t="s">
        <v>1946</v>
      </c>
      <c r="CN69" s="73">
        <f t="shared" si="231"/>
        <v>12</v>
      </c>
      <c r="CO69" s="65"/>
      <c r="CP69" s="74" t="s">
        <v>2000</v>
      </c>
      <c r="CQ69" s="73">
        <f t="shared" si="231"/>
        <v>20</v>
      </c>
      <c r="CR69" s="65"/>
      <c r="CS69" s="74" t="s">
        <v>1946</v>
      </c>
      <c r="CT69" s="73">
        <f t="shared" si="231"/>
        <v>12</v>
      </c>
      <c r="CU69" s="65"/>
      <c r="CV69" s="74" t="s">
        <v>1946</v>
      </c>
      <c r="CW69" s="73">
        <f t="shared" si="231"/>
        <v>12</v>
      </c>
      <c r="CX69" s="65"/>
      <c r="CY69" s="74" t="s">
        <v>1944</v>
      </c>
      <c r="CZ69" s="73">
        <f t="shared" si="231"/>
        <v>0</v>
      </c>
      <c r="DA69" s="65"/>
      <c r="DB69" s="74" t="s">
        <v>1955</v>
      </c>
      <c r="DC69" s="73">
        <f t="shared" si="231"/>
        <v>10</v>
      </c>
      <c r="DD69" s="65"/>
      <c r="DE69" s="74" t="s">
        <v>1944</v>
      </c>
      <c r="DF69" s="73">
        <f t="shared" si="231"/>
        <v>0</v>
      </c>
      <c r="DG69" s="65"/>
      <c r="DH69" s="74" t="s">
        <v>1946</v>
      </c>
      <c r="DI69" s="73">
        <f t="shared" si="231"/>
        <v>12</v>
      </c>
      <c r="DJ69" s="65"/>
      <c r="DK69" s="74" t="s">
        <v>1953</v>
      </c>
      <c r="DL69" s="73">
        <f t="shared" si="231"/>
        <v>12</v>
      </c>
      <c r="DM69" s="65"/>
      <c r="DN69" s="74" t="s">
        <v>1955</v>
      </c>
      <c r="DO69" s="73">
        <f t="shared" si="231"/>
        <v>10</v>
      </c>
      <c r="DP69" s="65"/>
      <c r="DQ69" s="74" t="s">
        <v>1944</v>
      </c>
      <c r="DR69" s="73">
        <f t="shared" si="231"/>
        <v>0</v>
      </c>
      <c r="DS69" s="65"/>
      <c r="DT69" s="74" t="s">
        <v>1953</v>
      </c>
      <c r="DU69" s="73">
        <f t="shared" si="231"/>
        <v>12</v>
      </c>
      <c r="DV69" s="65"/>
      <c r="DW69" s="74" t="s">
        <v>1955</v>
      </c>
      <c r="DX69" s="73">
        <f t="shared" si="234"/>
        <v>10</v>
      </c>
      <c r="DY69" s="65"/>
      <c r="DZ69" s="74" t="s">
        <v>1957</v>
      </c>
      <c r="EA69" s="73">
        <f t="shared" si="234"/>
        <v>0</v>
      </c>
      <c r="EB69" s="65"/>
      <c r="EC69" s="74" t="s">
        <v>1951</v>
      </c>
      <c r="ED69" s="73">
        <f t="shared" si="234"/>
        <v>10</v>
      </c>
      <c r="EE69" s="65"/>
      <c r="EF69" s="74" t="s">
        <v>1953</v>
      </c>
      <c r="EG69" s="73">
        <f t="shared" si="234"/>
        <v>12</v>
      </c>
      <c r="EH69" s="65"/>
      <c r="EI69" s="74" t="s">
        <v>1953</v>
      </c>
      <c r="EJ69" s="73">
        <f t="shared" si="234"/>
        <v>12</v>
      </c>
      <c r="EK69" s="65"/>
      <c r="EL69" s="74" t="s">
        <v>1953</v>
      </c>
      <c r="EM69" s="73">
        <f t="shared" si="234"/>
        <v>12</v>
      </c>
      <c r="EN69" s="65"/>
      <c r="EO69" s="74" t="s">
        <v>1960</v>
      </c>
      <c r="EP69" s="73">
        <f t="shared" si="234"/>
        <v>10</v>
      </c>
      <c r="EQ69" s="65"/>
      <c r="ER69" s="74" t="s">
        <v>1957</v>
      </c>
      <c r="ES69" s="73">
        <f t="shared" si="234"/>
        <v>0</v>
      </c>
      <c r="ET69" s="65"/>
      <c r="EU69" s="74" t="s">
        <v>1955</v>
      </c>
      <c r="EV69" s="73">
        <f t="shared" si="234"/>
        <v>10</v>
      </c>
      <c r="EW69" s="65"/>
      <c r="EX69" s="74" t="s">
        <v>1953</v>
      </c>
      <c r="EY69" s="73">
        <f t="shared" si="234"/>
        <v>12</v>
      </c>
      <c r="EZ69" s="65"/>
      <c r="FA69" s="74" t="s">
        <v>1953</v>
      </c>
      <c r="FB69" s="73">
        <f t="shared" si="234"/>
        <v>12</v>
      </c>
      <c r="FC69" s="65"/>
      <c r="FD69" s="74" t="s">
        <v>1960</v>
      </c>
      <c r="FE69" s="73">
        <f t="shared" si="234"/>
        <v>10</v>
      </c>
      <c r="FF69" s="65"/>
      <c r="FG69" s="74" t="s">
        <v>1946</v>
      </c>
      <c r="FH69" s="73">
        <f t="shared" si="234"/>
        <v>12</v>
      </c>
      <c r="FI69" s="65"/>
      <c r="FJ69" s="74" t="s">
        <v>1953</v>
      </c>
      <c r="FK69" s="73">
        <f t="shared" si="234"/>
        <v>12</v>
      </c>
      <c r="FL69" s="65"/>
      <c r="FM69" s="74" t="s">
        <v>1953</v>
      </c>
      <c r="FN69" s="73">
        <f t="shared" si="234"/>
        <v>12</v>
      </c>
      <c r="FO69" s="65"/>
      <c r="FP69" s="74" t="s">
        <v>2000</v>
      </c>
      <c r="FQ69" s="73">
        <f t="shared" si="234"/>
        <v>20</v>
      </c>
      <c r="FR69" s="65"/>
      <c r="FS69" s="74" t="s">
        <v>1957</v>
      </c>
      <c r="FT69" s="73">
        <f t="shared" si="234"/>
        <v>0</v>
      </c>
      <c r="FU69" s="65"/>
      <c r="FV69" s="74" t="s">
        <v>1957</v>
      </c>
      <c r="FW69" s="73">
        <f t="shared" si="234"/>
        <v>0</v>
      </c>
      <c r="FX69" s="65"/>
      <c r="FY69" s="74" t="s">
        <v>1957</v>
      </c>
      <c r="FZ69" s="73">
        <f t="shared" si="234"/>
        <v>0</v>
      </c>
      <c r="GA69" s="65"/>
      <c r="GB69" s="74" t="s">
        <v>1955</v>
      </c>
      <c r="GC69" s="73">
        <f t="shared" si="234"/>
        <v>10</v>
      </c>
      <c r="GD69" s="65"/>
      <c r="GE69" s="74" t="s">
        <v>1944</v>
      </c>
      <c r="GF69" s="73">
        <f t="shared" si="234"/>
        <v>0</v>
      </c>
      <c r="GG69" s="65"/>
      <c r="GH69" s="74" t="s">
        <v>1955</v>
      </c>
      <c r="GI69" s="73">
        <f t="shared" si="234"/>
        <v>10</v>
      </c>
      <c r="GJ69" s="65"/>
      <c r="GK69" s="74" t="s">
        <v>1953</v>
      </c>
      <c r="GL69" s="73">
        <f t="shared" si="233"/>
        <v>12</v>
      </c>
      <c r="GM69" s="65"/>
      <c r="GN69" s="74"/>
      <c r="GO69" s="73">
        <f t="shared" si="233"/>
        <v>0</v>
      </c>
      <c r="GP69" s="65"/>
      <c r="GQ69" s="74"/>
      <c r="GR69" s="73">
        <f t="shared" si="233"/>
        <v>0</v>
      </c>
      <c r="GS69" s="65"/>
      <c r="GT69" s="74"/>
      <c r="GU69" s="73">
        <f t="shared" si="233"/>
        <v>0</v>
      </c>
      <c r="GV69" s="65"/>
      <c r="GW69" s="74"/>
      <c r="GX69" s="73">
        <f t="shared" si="233"/>
        <v>0</v>
      </c>
      <c r="GY69" s="65"/>
      <c r="GZ69" s="74"/>
      <c r="HA69" s="73">
        <f t="shared" si="233"/>
        <v>0</v>
      </c>
      <c r="HB69" s="65"/>
      <c r="HC69" s="74"/>
      <c r="HD69" s="73">
        <f t="shared" si="233"/>
        <v>0</v>
      </c>
      <c r="HE69" s="65"/>
      <c r="HF69" s="74"/>
      <c r="HG69" s="73">
        <f t="shared" si="233"/>
        <v>0</v>
      </c>
      <c r="HH69" s="65"/>
      <c r="HI69" s="74"/>
      <c r="HJ69" s="73">
        <f t="shared" si="233"/>
        <v>0</v>
      </c>
      <c r="HK69" s="65"/>
      <c r="HL69" s="74"/>
      <c r="HM69" s="73">
        <f t="shared" si="233"/>
        <v>0</v>
      </c>
      <c r="HN69" s="65"/>
      <c r="HO69" s="74"/>
      <c r="HP69" s="73">
        <f t="shared" si="233"/>
        <v>0</v>
      </c>
      <c r="HQ69" s="65"/>
      <c r="HR69" s="74"/>
      <c r="HS69" s="73">
        <f t="shared" si="233"/>
        <v>0</v>
      </c>
      <c r="HT69" s="65"/>
      <c r="HU69" s="74"/>
      <c r="HV69" s="73">
        <f t="shared" si="233"/>
        <v>0</v>
      </c>
      <c r="HW69" s="65"/>
      <c r="HX69" s="74"/>
      <c r="HY69" s="73">
        <f t="shared" si="230"/>
        <v>0</v>
      </c>
      <c r="HZ69" s="65"/>
      <c r="IA69" s="74"/>
      <c r="IB69" s="73">
        <f t="shared" si="230"/>
        <v>0</v>
      </c>
      <c r="IC69" s="65"/>
      <c r="ID69" s="74"/>
      <c r="IE69" s="73">
        <f t="shared" si="230"/>
        <v>0</v>
      </c>
      <c r="IF69" s="65"/>
      <c r="IG69" s="74"/>
      <c r="IH69" s="73">
        <f t="shared" si="230"/>
        <v>0</v>
      </c>
      <c r="II69" s="65"/>
      <c r="IJ69" s="74"/>
      <c r="IK69" s="73">
        <f t="shared" si="230"/>
        <v>0</v>
      </c>
      <c r="IL69" s="65"/>
      <c r="IM69" s="74"/>
      <c r="IN69" s="73">
        <f t="shared" si="230"/>
        <v>0</v>
      </c>
      <c r="IO69" s="65"/>
      <c r="IP69" s="74"/>
      <c r="IQ69" s="73">
        <f t="shared" si="230"/>
        <v>0</v>
      </c>
      <c r="IR69" s="65"/>
      <c r="IS69" s="74"/>
      <c r="IT69" s="73">
        <f t="shared" si="230"/>
        <v>0</v>
      </c>
      <c r="IU69" s="65"/>
      <c r="IV69" s="74"/>
      <c r="IW69" s="73">
        <f t="shared" si="230"/>
        <v>0</v>
      </c>
      <c r="IX69" s="65"/>
      <c r="IY69" s="74"/>
      <c r="IZ69" s="73">
        <f t="shared" si="230"/>
        <v>0</v>
      </c>
      <c r="JA69" s="65"/>
      <c r="JB69" s="74"/>
      <c r="JC69" s="73">
        <f t="shared" si="230"/>
        <v>0</v>
      </c>
      <c r="JD69" s="65"/>
      <c r="JE69" s="74"/>
      <c r="JF69" s="73">
        <f t="shared" si="230"/>
        <v>0</v>
      </c>
      <c r="JG69" s="65"/>
      <c r="JH69" s="74"/>
      <c r="JI69" s="73">
        <f t="shared" si="230"/>
        <v>0</v>
      </c>
      <c r="JJ69" s="65"/>
      <c r="JK69" s="74"/>
      <c r="JL69" s="73">
        <f t="shared" si="230"/>
        <v>0</v>
      </c>
      <c r="JM69" s="65"/>
      <c r="JN69" s="74"/>
      <c r="JO69" s="73">
        <f t="shared" si="230"/>
        <v>0</v>
      </c>
      <c r="JP69" s="65"/>
      <c r="JQ69" s="74"/>
      <c r="JR69" s="73">
        <f t="shared" si="230"/>
        <v>0</v>
      </c>
      <c r="JS69" s="65"/>
      <c r="JT69" s="74"/>
      <c r="JU69" s="73">
        <f t="shared" si="230"/>
        <v>0</v>
      </c>
      <c r="JV69" s="65"/>
      <c r="JW69" s="74"/>
      <c r="JX69" s="73">
        <f t="shared" si="230"/>
        <v>0</v>
      </c>
      <c r="JY69" s="65"/>
      <c r="JZ69" s="74"/>
      <c r="KA69" s="73">
        <f t="shared" si="230"/>
        <v>0</v>
      </c>
      <c r="KB69" s="65"/>
      <c r="KC69" s="74"/>
      <c r="KD69" s="73">
        <f t="shared" si="230"/>
        <v>0</v>
      </c>
      <c r="KE69" s="65"/>
      <c r="KF69" s="74"/>
      <c r="KG69" s="73">
        <f t="shared" si="230"/>
        <v>0</v>
      </c>
      <c r="KH69" s="65"/>
      <c r="KI69" s="74"/>
      <c r="KJ69" s="73">
        <f t="shared" si="230"/>
        <v>0</v>
      </c>
      <c r="KK69" s="65"/>
      <c r="KL69" s="74"/>
      <c r="KM69" s="73">
        <f t="shared" si="229"/>
        <v>0</v>
      </c>
      <c r="KN69" s="65"/>
      <c r="KO69" s="74"/>
      <c r="KP69" s="73">
        <f t="shared" si="229"/>
        <v>0</v>
      </c>
      <c r="KQ69" s="65"/>
      <c r="KR69" s="74"/>
      <c r="KS69" s="73">
        <f t="shared" si="229"/>
        <v>0</v>
      </c>
      <c r="KT69" s="65"/>
      <c r="KU69" s="74"/>
      <c r="KV69" s="73">
        <f t="shared" si="229"/>
        <v>0</v>
      </c>
      <c r="KW69" s="65"/>
      <c r="KX69" s="74"/>
      <c r="KY69" s="73">
        <f t="shared" si="229"/>
        <v>0</v>
      </c>
      <c r="KZ69" s="65"/>
      <c r="LA69" s="74"/>
      <c r="LB69" s="73">
        <f t="shared" si="229"/>
        <v>0</v>
      </c>
      <c r="LC69" s="65"/>
      <c r="LD69" s="74"/>
      <c r="LE69" s="73">
        <f t="shared" si="229"/>
        <v>0</v>
      </c>
      <c r="LF69" s="65"/>
      <c r="LG69" s="65"/>
    </row>
    <row r="70" spans="1:319">
      <c r="A70" s="49"/>
      <c r="B70" s="49"/>
      <c r="C70" s="17"/>
      <c r="D70" s="17"/>
      <c r="E70" s="111"/>
      <c r="F70" s="445">
        <f t="shared" si="197"/>
        <v>20</v>
      </c>
      <c r="G70" s="445">
        <f ca="1">VLOOKUP(H70,Equipos!$Q$1:$R$25,2,0)</f>
        <v>16</v>
      </c>
      <c r="H70" s="446">
        <f ca="1">TRUNC(INDEX(WORLDCUP!$X$4:$X$147,MATCH(ADMIN!K70,WORLDCUP!$DT$4:$DT$147,0))+INDEX(Horarios!$R$3:$R$86,MATCH(Horarios!$C$3,Horarios!$P$3:$P$86,0))/24)</f>
        <v>46199</v>
      </c>
      <c r="I70" s="48">
        <v>1</v>
      </c>
      <c r="J70" s="95" t="s">
        <v>182</v>
      </c>
      <c r="K70" s="53" t="str">
        <f ca="1">CONCATENATE(WORLDCUP!AA72,"-",WORLDCUP!AF72)</f>
        <v>Norway-France</v>
      </c>
      <c r="L70" s="53"/>
      <c r="M70" s="55" t="str">
        <f>IF(OR(WORLDCUP!AC72="",WORLDCUP!AD72=""),"-",N70&amp;"|"&amp;O70&amp;"-"&amp;P70)</f>
        <v>2|1-4</v>
      </c>
      <c r="N70" s="25" t="str">
        <f>IF(OR(WORLDCUP!AC72="",WORLDCUP!AD72=""),"",IF(WORLDCUP!AC72&gt;WORLDCUP!AD72,"1",IF(WORLDCUP!AC72&lt;WORLDCUP!AD72,"2","X")))</f>
        <v>2</v>
      </c>
      <c r="O70" s="25">
        <f>WORLDCUP!AC72</f>
        <v>1</v>
      </c>
      <c r="P70" s="25">
        <f>WORLDCUP!AD72</f>
        <v>4</v>
      </c>
      <c r="Q70" s="25">
        <f t="shared" si="201"/>
        <v>3</v>
      </c>
      <c r="R70" s="49"/>
      <c r="S70" s="74" t="s">
        <v>1955</v>
      </c>
      <c r="T70" s="73">
        <f t="shared" si="198"/>
        <v>10</v>
      </c>
      <c r="U70" s="65"/>
      <c r="V70" s="74" t="s">
        <v>1944</v>
      </c>
      <c r="W70" s="73">
        <f t="shared" si="219"/>
        <v>0</v>
      </c>
      <c r="X70" s="65"/>
      <c r="Y70" s="74" t="s">
        <v>1953</v>
      </c>
      <c r="Z70" s="73">
        <f t="shared" si="232"/>
        <v>10</v>
      </c>
      <c r="AA70" s="65"/>
      <c r="AB70" s="74" t="s">
        <v>1953</v>
      </c>
      <c r="AC70" s="73">
        <f t="shared" si="232"/>
        <v>10</v>
      </c>
      <c r="AD70" s="65"/>
      <c r="AE70" s="74" t="s">
        <v>1960</v>
      </c>
      <c r="AF70" s="73">
        <f t="shared" si="232"/>
        <v>10</v>
      </c>
      <c r="AG70" s="65"/>
      <c r="AH70" s="74" t="s">
        <v>1960</v>
      </c>
      <c r="AI70" s="73">
        <f t="shared" si="232"/>
        <v>10</v>
      </c>
      <c r="AJ70" s="65"/>
      <c r="AK70" s="74" t="s">
        <v>1955</v>
      </c>
      <c r="AL70" s="73">
        <f t="shared" si="232"/>
        <v>10</v>
      </c>
      <c r="AM70" s="65"/>
      <c r="AN70" s="74" t="s">
        <v>1953</v>
      </c>
      <c r="AO70" s="73">
        <f t="shared" si="232"/>
        <v>10</v>
      </c>
      <c r="AP70" s="65"/>
      <c r="AQ70" s="74" t="s">
        <v>2106</v>
      </c>
      <c r="AR70" s="73">
        <f t="shared" si="232"/>
        <v>10</v>
      </c>
      <c r="AS70" s="65"/>
      <c r="AT70" s="74" t="s">
        <v>1953</v>
      </c>
      <c r="AU70" s="73">
        <f t="shared" si="232"/>
        <v>10</v>
      </c>
      <c r="AV70" s="65"/>
      <c r="AW70" s="74" t="s">
        <v>1960</v>
      </c>
      <c r="AX70" s="73">
        <f t="shared" si="232"/>
        <v>10</v>
      </c>
      <c r="AY70" s="65"/>
      <c r="AZ70" s="74" t="s">
        <v>1957</v>
      </c>
      <c r="BA70" s="73">
        <f t="shared" si="232"/>
        <v>0</v>
      </c>
      <c r="BB70" s="65"/>
      <c r="BC70" s="74" t="s">
        <v>1944</v>
      </c>
      <c r="BD70" s="73">
        <f t="shared" si="232"/>
        <v>0</v>
      </c>
      <c r="BE70" s="65"/>
      <c r="BF70" s="74" t="s">
        <v>1953</v>
      </c>
      <c r="BG70" s="73">
        <f t="shared" si="232"/>
        <v>10</v>
      </c>
      <c r="BH70" s="65"/>
      <c r="BI70" s="74" t="s">
        <v>1959</v>
      </c>
      <c r="BJ70" s="73">
        <f t="shared" si="232"/>
        <v>0</v>
      </c>
      <c r="BK70" s="65"/>
      <c r="BL70" s="74" t="s">
        <v>1953</v>
      </c>
      <c r="BM70" s="73">
        <f t="shared" si="232"/>
        <v>10</v>
      </c>
      <c r="BN70" s="65"/>
      <c r="BO70" s="74" t="s">
        <v>1948</v>
      </c>
      <c r="BP70" s="73">
        <f t="shared" si="232"/>
        <v>12</v>
      </c>
      <c r="BQ70" s="65"/>
      <c r="BR70" s="74" t="s">
        <v>1953</v>
      </c>
      <c r="BS70" s="73">
        <f t="shared" si="232"/>
        <v>10</v>
      </c>
      <c r="BT70" s="65"/>
      <c r="BU70" s="74" t="s">
        <v>1953</v>
      </c>
      <c r="BV70" s="73">
        <f t="shared" si="232"/>
        <v>10</v>
      </c>
      <c r="BW70" s="65"/>
      <c r="BX70" s="74" t="s">
        <v>1955</v>
      </c>
      <c r="BY70" s="73">
        <f t="shared" si="232"/>
        <v>10</v>
      </c>
      <c r="BZ70" s="65"/>
      <c r="CA70" s="74" t="s">
        <v>1955</v>
      </c>
      <c r="CB70" s="73">
        <f t="shared" si="232"/>
        <v>10</v>
      </c>
      <c r="CC70" s="65"/>
      <c r="CD70" s="74" t="s">
        <v>1944</v>
      </c>
      <c r="CE70" s="73">
        <f t="shared" si="232"/>
        <v>0</v>
      </c>
      <c r="CF70" s="65"/>
      <c r="CG70" s="74" t="s">
        <v>1953</v>
      </c>
      <c r="CH70" s="73">
        <f t="shared" si="232"/>
        <v>10</v>
      </c>
      <c r="CI70" s="65"/>
      <c r="CJ70" s="74" t="s">
        <v>1944</v>
      </c>
      <c r="CK70" s="73">
        <f t="shared" si="231"/>
        <v>0</v>
      </c>
      <c r="CL70" s="65"/>
      <c r="CM70" s="74" t="s">
        <v>1957</v>
      </c>
      <c r="CN70" s="73">
        <f t="shared" si="231"/>
        <v>0</v>
      </c>
      <c r="CO70" s="65"/>
      <c r="CP70" s="74" t="s">
        <v>1953</v>
      </c>
      <c r="CQ70" s="73">
        <f t="shared" si="231"/>
        <v>10</v>
      </c>
      <c r="CR70" s="65"/>
      <c r="CS70" s="74" t="s">
        <v>1957</v>
      </c>
      <c r="CT70" s="73">
        <f t="shared" si="231"/>
        <v>0</v>
      </c>
      <c r="CU70" s="65"/>
      <c r="CV70" s="74" t="s">
        <v>2634</v>
      </c>
      <c r="CW70" s="73">
        <f t="shared" si="231"/>
        <v>10</v>
      </c>
      <c r="CX70" s="65"/>
      <c r="CY70" s="74" t="s">
        <v>1953</v>
      </c>
      <c r="CZ70" s="73">
        <f t="shared" si="231"/>
        <v>10</v>
      </c>
      <c r="DA70" s="65"/>
      <c r="DB70" s="74" t="s">
        <v>1953</v>
      </c>
      <c r="DC70" s="73">
        <f t="shared" si="231"/>
        <v>10</v>
      </c>
      <c r="DD70" s="65"/>
      <c r="DE70" s="74" t="s">
        <v>1955</v>
      </c>
      <c r="DF70" s="73">
        <f t="shared" si="231"/>
        <v>10</v>
      </c>
      <c r="DG70" s="65"/>
      <c r="DH70" s="74" t="s">
        <v>1955</v>
      </c>
      <c r="DI70" s="73">
        <f t="shared" si="231"/>
        <v>10</v>
      </c>
      <c r="DJ70" s="65"/>
      <c r="DK70" s="74" t="s">
        <v>1957</v>
      </c>
      <c r="DL70" s="73">
        <f t="shared" si="231"/>
        <v>0</v>
      </c>
      <c r="DM70" s="65"/>
      <c r="DN70" s="74" t="s">
        <v>1953</v>
      </c>
      <c r="DO70" s="73">
        <f t="shared" si="231"/>
        <v>10</v>
      </c>
      <c r="DP70" s="65"/>
      <c r="DQ70" s="74" t="s">
        <v>1953</v>
      </c>
      <c r="DR70" s="73">
        <f t="shared" si="231"/>
        <v>10</v>
      </c>
      <c r="DS70" s="65"/>
      <c r="DT70" s="74" t="s">
        <v>1957</v>
      </c>
      <c r="DU70" s="73">
        <f t="shared" si="231"/>
        <v>0</v>
      </c>
      <c r="DV70" s="65"/>
      <c r="DW70" s="74" t="s">
        <v>1955</v>
      </c>
      <c r="DX70" s="73">
        <f t="shared" si="234"/>
        <v>10</v>
      </c>
      <c r="DY70" s="65"/>
      <c r="DZ70" s="74" t="s">
        <v>1957</v>
      </c>
      <c r="EA70" s="73">
        <f t="shared" si="234"/>
        <v>0</v>
      </c>
      <c r="EB70" s="65"/>
      <c r="EC70" s="74" t="s">
        <v>1957</v>
      </c>
      <c r="ED70" s="73">
        <f t="shared" si="234"/>
        <v>0</v>
      </c>
      <c r="EE70" s="65"/>
      <c r="EF70" s="74" t="s">
        <v>1953</v>
      </c>
      <c r="EG70" s="73">
        <f t="shared" si="234"/>
        <v>10</v>
      </c>
      <c r="EH70" s="65"/>
      <c r="EI70" s="74" t="s">
        <v>1953</v>
      </c>
      <c r="EJ70" s="73">
        <f t="shared" si="234"/>
        <v>10</v>
      </c>
      <c r="EK70" s="65"/>
      <c r="EL70" s="74" t="s">
        <v>1955</v>
      </c>
      <c r="EM70" s="73">
        <f t="shared" si="234"/>
        <v>10</v>
      </c>
      <c r="EN70" s="65"/>
      <c r="EO70" s="74" t="s">
        <v>1960</v>
      </c>
      <c r="EP70" s="73">
        <f t="shared" si="234"/>
        <v>10</v>
      </c>
      <c r="EQ70" s="65"/>
      <c r="ER70" s="74" t="s">
        <v>1953</v>
      </c>
      <c r="ES70" s="73">
        <f t="shared" si="234"/>
        <v>10</v>
      </c>
      <c r="ET70" s="65"/>
      <c r="EU70" s="74" t="s">
        <v>1953</v>
      </c>
      <c r="EV70" s="73">
        <f t="shared" si="234"/>
        <v>10</v>
      </c>
      <c r="EW70" s="65"/>
      <c r="EX70" s="74" t="s">
        <v>1953</v>
      </c>
      <c r="EY70" s="73">
        <f t="shared" si="234"/>
        <v>10</v>
      </c>
      <c r="EZ70" s="65"/>
      <c r="FA70" s="74" t="s">
        <v>1953</v>
      </c>
      <c r="FB70" s="73">
        <f t="shared" si="234"/>
        <v>10</v>
      </c>
      <c r="FC70" s="65"/>
      <c r="FD70" s="74" t="s">
        <v>1953</v>
      </c>
      <c r="FE70" s="73">
        <f t="shared" si="234"/>
        <v>10</v>
      </c>
      <c r="FF70" s="65"/>
      <c r="FG70" s="74" t="s">
        <v>2572</v>
      </c>
      <c r="FH70" s="73">
        <f t="shared" si="234"/>
        <v>10</v>
      </c>
      <c r="FI70" s="65"/>
      <c r="FJ70" s="74" t="s">
        <v>1953</v>
      </c>
      <c r="FK70" s="73">
        <f t="shared" si="234"/>
        <v>10</v>
      </c>
      <c r="FL70" s="65"/>
      <c r="FM70" s="74" t="s">
        <v>1955</v>
      </c>
      <c r="FN70" s="73">
        <f t="shared" si="234"/>
        <v>10</v>
      </c>
      <c r="FO70" s="65"/>
      <c r="FP70" s="74" t="s">
        <v>1953</v>
      </c>
      <c r="FQ70" s="73">
        <f t="shared" si="234"/>
        <v>10</v>
      </c>
      <c r="FR70" s="65"/>
      <c r="FS70" s="74" t="s">
        <v>1953</v>
      </c>
      <c r="FT70" s="73">
        <f t="shared" si="234"/>
        <v>10</v>
      </c>
      <c r="FU70" s="65"/>
      <c r="FV70" s="74" t="s">
        <v>1944</v>
      </c>
      <c r="FW70" s="73">
        <f t="shared" si="234"/>
        <v>0</v>
      </c>
      <c r="FX70" s="65"/>
      <c r="FY70" s="74" t="s">
        <v>2000</v>
      </c>
      <c r="FZ70" s="73">
        <f t="shared" si="234"/>
        <v>10</v>
      </c>
      <c r="GA70" s="65"/>
      <c r="GB70" s="74" t="s">
        <v>1953</v>
      </c>
      <c r="GC70" s="73">
        <f t="shared" si="234"/>
        <v>10</v>
      </c>
      <c r="GD70" s="65"/>
      <c r="GE70" s="74" t="s">
        <v>1953</v>
      </c>
      <c r="GF70" s="73">
        <f t="shared" si="234"/>
        <v>10</v>
      </c>
      <c r="GG70" s="65"/>
      <c r="GH70" s="74" t="s">
        <v>1953</v>
      </c>
      <c r="GI70" s="73">
        <f t="shared" si="234"/>
        <v>10</v>
      </c>
      <c r="GJ70" s="65"/>
      <c r="GK70" s="74" t="s">
        <v>1955</v>
      </c>
      <c r="GL70" s="73">
        <f t="shared" si="233"/>
        <v>10</v>
      </c>
      <c r="GM70" s="65"/>
      <c r="GN70" s="74"/>
      <c r="GO70" s="73">
        <f t="shared" si="233"/>
        <v>0</v>
      </c>
      <c r="GP70" s="65"/>
      <c r="GQ70" s="74"/>
      <c r="GR70" s="73">
        <f t="shared" si="233"/>
        <v>0</v>
      </c>
      <c r="GS70" s="65"/>
      <c r="GT70" s="74"/>
      <c r="GU70" s="73">
        <f t="shared" si="233"/>
        <v>0</v>
      </c>
      <c r="GV70" s="65"/>
      <c r="GW70" s="74"/>
      <c r="GX70" s="73">
        <f t="shared" si="233"/>
        <v>0</v>
      </c>
      <c r="GY70" s="65"/>
      <c r="GZ70" s="74"/>
      <c r="HA70" s="73">
        <f t="shared" si="233"/>
        <v>0</v>
      </c>
      <c r="HB70" s="65"/>
      <c r="HC70" s="74"/>
      <c r="HD70" s="73">
        <f t="shared" si="233"/>
        <v>0</v>
      </c>
      <c r="HE70" s="65"/>
      <c r="HF70" s="74"/>
      <c r="HG70" s="73">
        <f t="shared" si="233"/>
        <v>0</v>
      </c>
      <c r="HH70" s="65"/>
      <c r="HI70" s="74"/>
      <c r="HJ70" s="73">
        <f t="shared" si="233"/>
        <v>0</v>
      </c>
      <c r="HK70" s="65"/>
      <c r="HL70" s="74"/>
      <c r="HM70" s="73">
        <f t="shared" si="233"/>
        <v>0</v>
      </c>
      <c r="HN70" s="65"/>
      <c r="HO70" s="74"/>
      <c r="HP70" s="73">
        <f t="shared" si="233"/>
        <v>0</v>
      </c>
      <c r="HQ70" s="65"/>
      <c r="HR70" s="74"/>
      <c r="HS70" s="73">
        <f t="shared" si="233"/>
        <v>0</v>
      </c>
      <c r="HT70" s="65"/>
      <c r="HU70" s="74"/>
      <c r="HV70" s="73">
        <f t="shared" si="233"/>
        <v>0</v>
      </c>
      <c r="HW70" s="65"/>
      <c r="HX70" s="74"/>
      <c r="HY70" s="73">
        <f t="shared" si="230"/>
        <v>0</v>
      </c>
      <c r="HZ70" s="65"/>
      <c r="IA70" s="74"/>
      <c r="IB70" s="73">
        <f t="shared" si="230"/>
        <v>0</v>
      </c>
      <c r="IC70" s="65"/>
      <c r="ID70" s="74"/>
      <c r="IE70" s="73">
        <f t="shared" si="230"/>
        <v>0</v>
      </c>
      <c r="IF70" s="65"/>
      <c r="IG70" s="74"/>
      <c r="IH70" s="73">
        <f t="shared" si="230"/>
        <v>0</v>
      </c>
      <c r="II70" s="65"/>
      <c r="IJ70" s="74"/>
      <c r="IK70" s="73">
        <f t="shared" si="230"/>
        <v>0</v>
      </c>
      <c r="IL70" s="65"/>
      <c r="IM70" s="74"/>
      <c r="IN70" s="73">
        <f t="shared" si="230"/>
        <v>0</v>
      </c>
      <c r="IO70" s="65"/>
      <c r="IP70" s="74"/>
      <c r="IQ70" s="73">
        <f t="shared" si="230"/>
        <v>0</v>
      </c>
      <c r="IR70" s="65"/>
      <c r="IS70" s="74"/>
      <c r="IT70" s="73">
        <f t="shared" si="230"/>
        <v>0</v>
      </c>
      <c r="IU70" s="65"/>
      <c r="IV70" s="74"/>
      <c r="IW70" s="73">
        <f t="shared" si="230"/>
        <v>0</v>
      </c>
      <c r="IX70" s="65"/>
      <c r="IY70" s="74"/>
      <c r="IZ70" s="73">
        <f t="shared" si="230"/>
        <v>0</v>
      </c>
      <c r="JA70" s="65"/>
      <c r="JB70" s="74"/>
      <c r="JC70" s="73">
        <f t="shared" si="230"/>
        <v>0</v>
      </c>
      <c r="JD70" s="65"/>
      <c r="JE70" s="74"/>
      <c r="JF70" s="73">
        <f t="shared" si="230"/>
        <v>0</v>
      </c>
      <c r="JG70" s="65"/>
      <c r="JH70" s="74"/>
      <c r="JI70" s="73">
        <f t="shared" si="230"/>
        <v>0</v>
      </c>
      <c r="JJ70" s="65"/>
      <c r="JK70" s="74"/>
      <c r="JL70" s="73">
        <f t="shared" ref="JL70:LE77" si="235">IFERROR(IF($M70=JK70,($D$8+$D$9+$D$10)*$I70,IF($N70=LEFT(JK70,1),($D$8+MAX(0,IF($D$50=1,$D$9*(1-(ABS($Q70-ABS(VALUE(MID(JK70,FIND("|",JK70)+1,FIND("-",JK70)-FIND("|",JK70)-1))-VALUE(MID(JK70,FIND("-",JK70)+1,10)))))*$D$50),$D$9*(1-(IF($N70="X",ABS($O70-VALUE(MID(JK70,FIND("|",JK70)+1,FIND("-",JK70)-FIND("|",JK70)-1))),ABS($Q70-ABS(VALUE(MID(JK70,FIND("|",JK70)+1,FIND("-",JK70)-FIND("|",JK70)-1))-VALUE(MID(JK70,FIND("-",JK70)+1,10)))))*$D$50)))))*$I70,0)),0)</f>
        <v>0</v>
      </c>
      <c r="JM70" s="65"/>
      <c r="JN70" s="74"/>
      <c r="JO70" s="73">
        <f t="shared" si="235"/>
        <v>0</v>
      </c>
      <c r="JP70" s="65"/>
      <c r="JQ70" s="74"/>
      <c r="JR70" s="73">
        <f t="shared" si="235"/>
        <v>0</v>
      </c>
      <c r="JS70" s="65"/>
      <c r="JT70" s="74"/>
      <c r="JU70" s="73">
        <f t="shared" si="235"/>
        <v>0</v>
      </c>
      <c r="JV70" s="65"/>
      <c r="JW70" s="74"/>
      <c r="JX70" s="73">
        <f t="shared" si="235"/>
        <v>0</v>
      </c>
      <c r="JY70" s="65"/>
      <c r="JZ70" s="74"/>
      <c r="KA70" s="73">
        <f t="shared" si="235"/>
        <v>0</v>
      </c>
      <c r="KB70" s="65"/>
      <c r="KC70" s="74"/>
      <c r="KD70" s="73">
        <f t="shared" si="235"/>
        <v>0</v>
      </c>
      <c r="KE70" s="65"/>
      <c r="KF70" s="74"/>
      <c r="KG70" s="73">
        <f t="shared" si="235"/>
        <v>0</v>
      </c>
      <c r="KH70" s="65"/>
      <c r="KI70" s="74"/>
      <c r="KJ70" s="73">
        <f t="shared" si="235"/>
        <v>0</v>
      </c>
      <c r="KK70" s="65"/>
      <c r="KL70" s="74"/>
      <c r="KM70" s="73">
        <f t="shared" si="235"/>
        <v>0</v>
      </c>
      <c r="KN70" s="65"/>
      <c r="KO70" s="74"/>
      <c r="KP70" s="73">
        <f t="shared" si="235"/>
        <v>0</v>
      </c>
      <c r="KQ70" s="65"/>
      <c r="KR70" s="74"/>
      <c r="KS70" s="73">
        <f t="shared" si="235"/>
        <v>0</v>
      </c>
      <c r="KT70" s="65"/>
      <c r="KU70" s="74"/>
      <c r="KV70" s="73">
        <f t="shared" si="235"/>
        <v>0</v>
      </c>
      <c r="KW70" s="65"/>
      <c r="KX70" s="74"/>
      <c r="KY70" s="73">
        <f t="shared" si="235"/>
        <v>0</v>
      </c>
      <c r="KZ70" s="65"/>
      <c r="LA70" s="74"/>
      <c r="LB70" s="73">
        <f t="shared" si="235"/>
        <v>0</v>
      </c>
      <c r="LC70" s="65"/>
      <c r="LD70" s="74"/>
      <c r="LE70" s="73">
        <f t="shared" si="235"/>
        <v>0</v>
      </c>
      <c r="LF70" s="65"/>
      <c r="LG70" s="65"/>
    </row>
    <row r="71" spans="1:319">
      <c r="A71" s="49"/>
      <c r="B71" s="49"/>
      <c r="C71" s="17"/>
      <c r="D71" s="17"/>
      <c r="E71" s="111"/>
      <c r="F71" s="445">
        <f t="shared" ref="F71:F77" si="236">SUM($D$8:$D$10)*I71</f>
        <v>20</v>
      </c>
      <c r="G71" s="445">
        <f ca="1">VLOOKUP(H71,Equipos!$Q$1:$R$25,2,0)</f>
        <v>16</v>
      </c>
      <c r="H71" s="446">
        <f ca="1">TRUNC(INDEX(WORLDCUP!$X$4:$X$147,MATCH(ADMIN!K71,WORLDCUP!$DT$4:$DT$147,0))+INDEX(Horarios!$R$3:$R$86,MATCH(Horarios!$C$3,Horarios!$P$3:$P$86,0))/24)</f>
        <v>46199</v>
      </c>
      <c r="I71" s="48">
        <v>1</v>
      </c>
      <c r="J71" s="95" t="s">
        <v>182</v>
      </c>
      <c r="K71" s="56" t="str">
        <f ca="1">CONCATENATE(WORLDCUP!AA73,"-",WORLDCUP!AF73)</f>
        <v>Senegal-Iraq</v>
      </c>
      <c r="L71" s="53"/>
      <c r="M71" s="55" t="str">
        <f>IF(OR(WORLDCUP!AC73="",WORLDCUP!AD73=""),"-",N71&amp;"|"&amp;O71&amp;"-"&amp;P71)</f>
        <v>1|5-0</v>
      </c>
      <c r="N71" s="25" t="str">
        <f>IF(OR(WORLDCUP!AC73="",WORLDCUP!AD73=""),"",IF(WORLDCUP!AC73&gt;WORLDCUP!AD73,"1",IF(WORLDCUP!AC73&lt;WORLDCUP!AD73,"2","X")))</f>
        <v>1</v>
      </c>
      <c r="O71" s="25">
        <f>WORLDCUP!AC73</f>
        <v>5</v>
      </c>
      <c r="P71" s="25">
        <f>WORLDCUP!AD73</f>
        <v>0</v>
      </c>
      <c r="Q71" s="25">
        <f t="shared" ref="Q71:Q77" si="237">ABS(O71-P71)</f>
        <v>5</v>
      </c>
      <c r="R71" s="49"/>
      <c r="S71" s="74" t="s">
        <v>1956</v>
      </c>
      <c r="T71" s="73">
        <f t="shared" ref="T71:T77" si="238">IFERROR(IF($M71=S71,($D$8+$D$9+$D$10)*$I71,IF($N71=LEFT(S71,1),($D$8+MAX(0,IF($D$50=1,$D$9*(1-(ABS($Q71-ABS(VALUE(MID(S71,FIND("|",S71)+1,FIND("-",S71)-FIND("|",S71)-1))-VALUE(MID(S71,FIND("-",S71)+1,10)))))*$D$50),$D$9*(1-(IF($N71="X",ABS($O71-VALUE(MID(S71,FIND("|",S71)+1,FIND("-",S71)-FIND("|",S71)-1))),ABS($Q71-ABS(VALUE(MID(S71,FIND("|",S71)+1,FIND("-",S71)-FIND("|",S71)-1))-VALUE(MID(S71,FIND("-",S71)+1,10)))))*$D$50)))))*$I71,0)),0)</f>
        <v>10</v>
      </c>
      <c r="U71" s="65"/>
      <c r="V71" s="74" t="s">
        <v>1958</v>
      </c>
      <c r="W71" s="73">
        <f t="shared" si="219"/>
        <v>10</v>
      </c>
      <c r="X71" s="65"/>
      <c r="Y71" s="74" t="s">
        <v>1959</v>
      </c>
      <c r="Z71" s="73">
        <f t="shared" si="232"/>
        <v>10</v>
      </c>
      <c r="AA71" s="65"/>
      <c r="AB71" s="74" t="s">
        <v>1950</v>
      </c>
      <c r="AC71" s="73">
        <f t="shared" si="232"/>
        <v>10</v>
      </c>
      <c r="AD71" s="65"/>
      <c r="AE71" s="74" t="s">
        <v>1950</v>
      </c>
      <c r="AF71" s="73">
        <f t="shared" si="232"/>
        <v>10</v>
      </c>
      <c r="AG71" s="65"/>
      <c r="AH71" s="74" t="s">
        <v>1958</v>
      </c>
      <c r="AI71" s="73">
        <f t="shared" si="232"/>
        <v>10</v>
      </c>
      <c r="AJ71" s="65"/>
      <c r="AK71" s="74" t="s">
        <v>1954</v>
      </c>
      <c r="AL71" s="73">
        <f t="shared" si="232"/>
        <v>10</v>
      </c>
      <c r="AM71" s="65"/>
      <c r="AN71" s="74" t="s">
        <v>1959</v>
      </c>
      <c r="AO71" s="73">
        <f t="shared" si="232"/>
        <v>10</v>
      </c>
      <c r="AP71" s="65"/>
      <c r="AQ71" s="74" t="s">
        <v>1950</v>
      </c>
      <c r="AR71" s="73">
        <f t="shared" si="232"/>
        <v>10</v>
      </c>
      <c r="AS71" s="65"/>
      <c r="AT71" s="74" t="s">
        <v>1957</v>
      </c>
      <c r="AU71" s="73">
        <f t="shared" si="232"/>
        <v>0</v>
      </c>
      <c r="AV71" s="65"/>
      <c r="AW71" s="74" t="s">
        <v>1958</v>
      </c>
      <c r="AX71" s="73">
        <f t="shared" si="232"/>
        <v>10</v>
      </c>
      <c r="AY71" s="65"/>
      <c r="AZ71" s="74" t="s">
        <v>1950</v>
      </c>
      <c r="BA71" s="73">
        <f t="shared" si="232"/>
        <v>10</v>
      </c>
      <c r="BB71" s="65"/>
      <c r="BC71" s="74" t="s">
        <v>1954</v>
      </c>
      <c r="BD71" s="73">
        <f t="shared" si="232"/>
        <v>10</v>
      </c>
      <c r="BE71" s="65"/>
      <c r="BF71" s="74" t="s">
        <v>1957</v>
      </c>
      <c r="BG71" s="73">
        <f t="shared" si="232"/>
        <v>0</v>
      </c>
      <c r="BH71" s="65"/>
      <c r="BI71" s="74" t="s">
        <v>1957</v>
      </c>
      <c r="BJ71" s="73">
        <f t="shared" si="232"/>
        <v>0</v>
      </c>
      <c r="BK71" s="65"/>
      <c r="BL71" s="74" t="s">
        <v>1950</v>
      </c>
      <c r="BM71" s="73">
        <f t="shared" si="232"/>
        <v>10</v>
      </c>
      <c r="BN71" s="65"/>
      <c r="BO71" s="74" t="s">
        <v>1944</v>
      </c>
      <c r="BP71" s="73">
        <f t="shared" si="232"/>
        <v>0</v>
      </c>
      <c r="BQ71" s="65"/>
      <c r="BR71" s="74" t="s">
        <v>1950</v>
      </c>
      <c r="BS71" s="73">
        <f t="shared" si="232"/>
        <v>10</v>
      </c>
      <c r="BT71" s="65"/>
      <c r="BU71" s="74" t="s">
        <v>1950</v>
      </c>
      <c r="BV71" s="73">
        <f t="shared" si="232"/>
        <v>10</v>
      </c>
      <c r="BW71" s="65"/>
      <c r="BX71" s="74" t="s">
        <v>1959</v>
      </c>
      <c r="BY71" s="73">
        <f t="shared" si="232"/>
        <v>10</v>
      </c>
      <c r="BZ71" s="65"/>
      <c r="CA71" s="74" t="s">
        <v>1950</v>
      </c>
      <c r="CB71" s="73">
        <f t="shared" si="232"/>
        <v>10</v>
      </c>
      <c r="CC71" s="65"/>
      <c r="CD71" s="74" t="s">
        <v>1950</v>
      </c>
      <c r="CE71" s="73">
        <f t="shared" si="232"/>
        <v>10</v>
      </c>
      <c r="CF71" s="65"/>
      <c r="CG71" s="74" t="s">
        <v>1950</v>
      </c>
      <c r="CH71" s="73">
        <f t="shared" si="232"/>
        <v>10</v>
      </c>
      <c r="CI71" s="65"/>
      <c r="CJ71" s="74" t="s">
        <v>1954</v>
      </c>
      <c r="CK71" s="73">
        <f t="shared" si="231"/>
        <v>10</v>
      </c>
      <c r="CL71" s="65"/>
      <c r="CM71" s="74" t="s">
        <v>1959</v>
      </c>
      <c r="CN71" s="73">
        <f t="shared" si="231"/>
        <v>10</v>
      </c>
      <c r="CO71" s="65"/>
      <c r="CP71" s="74" t="s">
        <v>1944</v>
      </c>
      <c r="CQ71" s="73">
        <f t="shared" si="231"/>
        <v>0</v>
      </c>
      <c r="CR71" s="65"/>
      <c r="CS71" s="74" t="s">
        <v>1959</v>
      </c>
      <c r="CT71" s="73">
        <f t="shared" si="231"/>
        <v>10</v>
      </c>
      <c r="CU71" s="65"/>
      <c r="CV71" s="74" t="s">
        <v>1950</v>
      </c>
      <c r="CW71" s="73">
        <f t="shared" si="231"/>
        <v>10</v>
      </c>
      <c r="CX71" s="65"/>
      <c r="CY71" s="74" t="s">
        <v>1958</v>
      </c>
      <c r="CZ71" s="73">
        <f t="shared" si="231"/>
        <v>10</v>
      </c>
      <c r="DA71" s="65"/>
      <c r="DB71" s="74" t="s">
        <v>1958</v>
      </c>
      <c r="DC71" s="73">
        <f t="shared" si="231"/>
        <v>10</v>
      </c>
      <c r="DD71" s="65"/>
      <c r="DE71" s="74" t="s">
        <v>1954</v>
      </c>
      <c r="DF71" s="73">
        <f t="shared" si="231"/>
        <v>10</v>
      </c>
      <c r="DG71" s="65"/>
      <c r="DH71" s="74" t="s">
        <v>1954</v>
      </c>
      <c r="DI71" s="73">
        <f t="shared" si="231"/>
        <v>10</v>
      </c>
      <c r="DJ71" s="65"/>
      <c r="DK71" s="74" t="s">
        <v>1950</v>
      </c>
      <c r="DL71" s="73">
        <f t="shared" si="231"/>
        <v>10</v>
      </c>
      <c r="DM71" s="65"/>
      <c r="DN71" s="74" t="s">
        <v>1947</v>
      </c>
      <c r="DO71" s="73">
        <f t="shared" si="231"/>
        <v>10</v>
      </c>
      <c r="DP71" s="65"/>
      <c r="DQ71" s="74" t="s">
        <v>1950</v>
      </c>
      <c r="DR71" s="73">
        <f t="shared" si="231"/>
        <v>10</v>
      </c>
      <c r="DS71" s="65"/>
      <c r="DT71" s="74" t="s">
        <v>1950</v>
      </c>
      <c r="DU71" s="73">
        <f t="shared" si="231"/>
        <v>10</v>
      </c>
      <c r="DV71" s="65"/>
      <c r="DW71" s="74" t="s">
        <v>1950</v>
      </c>
      <c r="DX71" s="73">
        <f t="shared" si="234"/>
        <v>10</v>
      </c>
      <c r="DY71" s="65"/>
      <c r="DZ71" s="74" t="s">
        <v>1950</v>
      </c>
      <c r="EA71" s="73">
        <f t="shared" si="234"/>
        <v>10</v>
      </c>
      <c r="EB71" s="65"/>
      <c r="EC71" s="74" t="s">
        <v>1950</v>
      </c>
      <c r="ED71" s="73">
        <f t="shared" si="234"/>
        <v>10</v>
      </c>
      <c r="EE71" s="65"/>
      <c r="EF71" s="74" t="s">
        <v>1949</v>
      </c>
      <c r="EG71" s="73">
        <f t="shared" si="234"/>
        <v>10</v>
      </c>
      <c r="EH71" s="65"/>
      <c r="EI71" s="74" t="s">
        <v>1950</v>
      </c>
      <c r="EJ71" s="73">
        <f t="shared" si="234"/>
        <v>10</v>
      </c>
      <c r="EK71" s="65"/>
      <c r="EL71" s="74" t="s">
        <v>1949</v>
      </c>
      <c r="EM71" s="73">
        <f t="shared" si="234"/>
        <v>10</v>
      </c>
      <c r="EN71" s="65"/>
      <c r="EO71" s="74" t="s">
        <v>1950</v>
      </c>
      <c r="EP71" s="73">
        <f t="shared" si="234"/>
        <v>10</v>
      </c>
      <c r="EQ71" s="65"/>
      <c r="ER71" s="74" t="s">
        <v>1950</v>
      </c>
      <c r="ES71" s="73">
        <f t="shared" si="234"/>
        <v>10</v>
      </c>
      <c r="ET71" s="65"/>
      <c r="EU71" s="74" t="s">
        <v>1950</v>
      </c>
      <c r="EV71" s="73">
        <f t="shared" si="234"/>
        <v>10</v>
      </c>
      <c r="EW71" s="65"/>
      <c r="EX71" s="74" t="s">
        <v>1959</v>
      </c>
      <c r="EY71" s="73">
        <f t="shared" si="234"/>
        <v>10</v>
      </c>
      <c r="EZ71" s="65"/>
      <c r="FA71" s="74" t="s">
        <v>1950</v>
      </c>
      <c r="FB71" s="73">
        <f t="shared" si="234"/>
        <v>10</v>
      </c>
      <c r="FC71" s="65"/>
      <c r="FD71" s="74" t="s">
        <v>1957</v>
      </c>
      <c r="FE71" s="73">
        <f t="shared" si="234"/>
        <v>0</v>
      </c>
      <c r="FF71" s="65"/>
      <c r="FG71" s="74" t="s">
        <v>1949</v>
      </c>
      <c r="FH71" s="73">
        <f t="shared" si="234"/>
        <v>10</v>
      </c>
      <c r="FI71" s="65"/>
      <c r="FJ71" s="74" t="s">
        <v>1950</v>
      </c>
      <c r="FK71" s="73">
        <f t="shared" si="234"/>
        <v>10</v>
      </c>
      <c r="FL71" s="65"/>
      <c r="FM71" s="74" t="s">
        <v>1959</v>
      </c>
      <c r="FN71" s="73">
        <f t="shared" si="234"/>
        <v>10</v>
      </c>
      <c r="FO71" s="65"/>
      <c r="FP71" s="74" t="s">
        <v>1950</v>
      </c>
      <c r="FQ71" s="73">
        <f t="shared" si="234"/>
        <v>10</v>
      </c>
      <c r="FR71" s="65"/>
      <c r="FS71" s="74" t="s">
        <v>1950</v>
      </c>
      <c r="FT71" s="73">
        <f t="shared" si="234"/>
        <v>10</v>
      </c>
      <c r="FU71" s="65"/>
      <c r="FV71" s="74" t="s">
        <v>1958</v>
      </c>
      <c r="FW71" s="73">
        <f t="shared" si="234"/>
        <v>10</v>
      </c>
      <c r="FX71" s="65"/>
      <c r="FY71" s="74" t="s">
        <v>1957</v>
      </c>
      <c r="FZ71" s="73">
        <f t="shared" si="234"/>
        <v>0</v>
      </c>
      <c r="GA71" s="65"/>
      <c r="GB71" s="74" t="s">
        <v>1959</v>
      </c>
      <c r="GC71" s="73">
        <f t="shared" si="234"/>
        <v>10</v>
      </c>
      <c r="GD71" s="65"/>
      <c r="GE71" s="74" t="s">
        <v>1958</v>
      </c>
      <c r="GF71" s="73">
        <f t="shared" si="234"/>
        <v>10</v>
      </c>
      <c r="GG71" s="65"/>
      <c r="GH71" s="74" t="s">
        <v>1959</v>
      </c>
      <c r="GI71" s="73">
        <f t="shared" si="234"/>
        <v>10</v>
      </c>
      <c r="GJ71" s="65"/>
      <c r="GK71" s="74" t="s">
        <v>1957</v>
      </c>
      <c r="GL71" s="73">
        <f t="shared" si="233"/>
        <v>0</v>
      </c>
      <c r="GM71" s="65"/>
      <c r="GN71" s="74"/>
      <c r="GO71" s="73">
        <f t="shared" si="233"/>
        <v>0</v>
      </c>
      <c r="GP71" s="65"/>
      <c r="GQ71" s="74"/>
      <c r="GR71" s="73">
        <f t="shared" si="233"/>
        <v>0</v>
      </c>
      <c r="GS71" s="65"/>
      <c r="GT71" s="74"/>
      <c r="GU71" s="73">
        <f t="shared" si="233"/>
        <v>0</v>
      </c>
      <c r="GV71" s="65"/>
      <c r="GW71" s="74"/>
      <c r="GX71" s="73">
        <f t="shared" si="233"/>
        <v>0</v>
      </c>
      <c r="GY71" s="65"/>
      <c r="GZ71" s="74"/>
      <c r="HA71" s="73">
        <f t="shared" si="233"/>
        <v>0</v>
      </c>
      <c r="HB71" s="65"/>
      <c r="HC71" s="74"/>
      <c r="HD71" s="73">
        <f t="shared" si="233"/>
        <v>0</v>
      </c>
      <c r="HE71" s="65"/>
      <c r="HF71" s="74"/>
      <c r="HG71" s="73">
        <f t="shared" si="233"/>
        <v>0</v>
      </c>
      <c r="HH71" s="65"/>
      <c r="HI71" s="74"/>
      <c r="HJ71" s="73">
        <f t="shared" si="233"/>
        <v>0</v>
      </c>
      <c r="HK71" s="65"/>
      <c r="HL71" s="74"/>
      <c r="HM71" s="73">
        <f t="shared" si="233"/>
        <v>0</v>
      </c>
      <c r="HN71" s="65"/>
      <c r="HO71" s="74"/>
      <c r="HP71" s="73">
        <f t="shared" si="233"/>
        <v>0</v>
      </c>
      <c r="HQ71" s="65"/>
      <c r="HR71" s="74"/>
      <c r="HS71" s="73">
        <f t="shared" si="233"/>
        <v>0</v>
      </c>
      <c r="HT71" s="65"/>
      <c r="HU71" s="74"/>
      <c r="HV71" s="73">
        <f t="shared" si="233"/>
        <v>0</v>
      </c>
      <c r="HW71" s="65"/>
      <c r="HX71" s="74"/>
      <c r="HY71" s="73">
        <f t="shared" ref="HY71:KJ77" si="239">IFERROR(IF($M71=HX71,($D$8+$D$9+$D$10)*$I71,IF($N71=LEFT(HX71,1),($D$8+MAX(0,IF($D$50=1,$D$9*(1-(ABS($Q71-ABS(VALUE(MID(HX71,FIND("|",HX71)+1,FIND("-",HX71)-FIND("|",HX71)-1))-VALUE(MID(HX71,FIND("-",HX71)+1,10)))))*$D$50),$D$9*(1-(IF($N71="X",ABS($O71-VALUE(MID(HX71,FIND("|",HX71)+1,FIND("-",HX71)-FIND("|",HX71)-1))),ABS($Q71-ABS(VALUE(MID(HX71,FIND("|",HX71)+1,FIND("-",HX71)-FIND("|",HX71)-1))-VALUE(MID(HX71,FIND("-",HX71)+1,10)))))*$D$50)))))*$I71,0)),0)</f>
        <v>0</v>
      </c>
      <c r="HZ71" s="65"/>
      <c r="IA71" s="74"/>
      <c r="IB71" s="73">
        <f t="shared" si="239"/>
        <v>0</v>
      </c>
      <c r="IC71" s="65"/>
      <c r="ID71" s="74"/>
      <c r="IE71" s="73">
        <f t="shared" si="239"/>
        <v>0</v>
      </c>
      <c r="IF71" s="65"/>
      <c r="IG71" s="74"/>
      <c r="IH71" s="73">
        <f t="shared" si="239"/>
        <v>0</v>
      </c>
      <c r="II71" s="65"/>
      <c r="IJ71" s="74"/>
      <c r="IK71" s="73">
        <f t="shared" si="239"/>
        <v>0</v>
      </c>
      <c r="IL71" s="65"/>
      <c r="IM71" s="74"/>
      <c r="IN71" s="73">
        <f t="shared" si="239"/>
        <v>0</v>
      </c>
      <c r="IO71" s="65"/>
      <c r="IP71" s="74"/>
      <c r="IQ71" s="73">
        <f t="shared" si="239"/>
        <v>0</v>
      </c>
      <c r="IR71" s="65"/>
      <c r="IS71" s="74"/>
      <c r="IT71" s="73">
        <f t="shared" si="239"/>
        <v>0</v>
      </c>
      <c r="IU71" s="65"/>
      <c r="IV71" s="74"/>
      <c r="IW71" s="73">
        <f t="shared" si="239"/>
        <v>0</v>
      </c>
      <c r="IX71" s="65"/>
      <c r="IY71" s="74"/>
      <c r="IZ71" s="73">
        <f t="shared" si="239"/>
        <v>0</v>
      </c>
      <c r="JA71" s="65"/>
      <c r="JB71" s="74"/>
      <c r="JC71" s="73">
        <f t="shared" si="239"/>
        <v>0</v>
      </c>
      <c r="JD71" s="65"/>
      <c r="JE71" s="74"/>
      <c r="JF71" s="73">
        <f t="shared" si="239"/>
        <v>0</v>
      </c>
      <c r="JG71" s="65"/>
      <c r="JH71" s="74"/>
      <c r="JI71" s="73">
        <f t="shared" si="239"/>
        <v>0</v>
      </c>
      <c r="JJ71" s="65"/>
      <c r="JK71" s="74"/>
      <c r="JL71" s="73">
        <f t="shared" si="239"/>
        <v>0</v>
      </c>
      <c r="JM71" s="65"/>
      <c r="JN71" s="74"/>
      <c r="JO71" s="73">
        <f t="shared" si="239"/>
        <v>0</v>
      </c>
      <c r="JP71" s="65"/>
      <c r="JQ71" s="74"/>
      <c r="JR71" s="73">
        <f t="shared" si="239"/>
        <v>0</v>
      </c>
      <c r="JS71" s="65"/>
      <c r="JT71" s="74"/>
      <c r="JU71" s="73">
        <f t="shared" si="239"/>
        <v>0</v>
      </c>
      <c r="JV71" s="65"/>
      <c r="JW71" s="74"/>
      <c r="JX71" s="73">
        <f t="shared" si="239"/>
        <v>0</v>
      </c>
      <c r="JY71" s="65"/>
      <c r="JZ71" s="74"/>
      <c r="KA71" s="73">
        <f t="shared" si="239"/>
        <v>0</v>
      </c>
      <c r="KB71" s="65"/>
      <c r="KC71" s="74"/>
      <c r="KD71" s="73">
        <f t="shared" si="239"/>
        <v>0</v>
      </c>
      <c r="KE71" s="65"/>
      <c r="KF71" s="74"/>
      <c r="KG71" s="73">
        <f t="shared" si="239"/>
        <v>0</v>
      </c>
      <c r="KH71" s="65"/>
      <c r="KI71" s="74"/>
      <c r="KJ71" s="73">
        <f t="shared" si="239"/>
        <v>0</v>
      </c>
      <c r="KK71" s="65"/>
      <c r="KL71" s="74"/>
      <c r="KM71" s="73">
        <f t="shared" si="235"/>
        <v>0</v>
      </c>
      <c r="KN71" s="65"/>
      <c r="KO71" s="74"/>
      <c r="KP71" s="73">
        <f t="shared" si="235"/>
        <v>0</v>
      </c>
      <c r="KQ71" s="65"/>
      <c r="KR71" s="74"/>
      <c r="KS71" s="73">
        <f t="shared" si="235"/>
        <v>0</v>
      </c>
      <c r="KT71" s="65"/>
      <c r="KU71" s="74"/>
      <c r="KV71" s="73">
        <f t="shared" si="235"/>
        <v>0</v>
      </c>
      <c r="KW71" s="65"/>
      <c r="KX71" s="74"/>
      <c r="KY71" s="73">
        <f t="shared" si="235"/>
        <v>0</v>
      </c>
      <c r="KZ71" s="65"/>
      <c r="LA71" s="74"/>
      <c r="LB71" s="73">
        <f t="shared" si="235"/>
        <v>0</v>
      </c>
      <c r="LC71" s="65"/>
      <c r="LD71" s="74"/>
      <c r="LE71" s="73">
        <f t="shared" si="235"/>
        <v>0</v>
      </c>
      <c r="LF71" s="65"/>
      <c r="LG71" s="65"/>
    </row>
    <row r="72" spans="1:319">
      <c r="A72" s="49"/>
      <c r="B72" s="49"/>
      <c r="C72" s="17"/>
      <c r="D72" s="17"/>
      <c r="E72" s="111"/>
      <c r="F72" s="445">
        <f t="shared" si="236"/>
        <v>20</v>
      </c>
      <c r="G72" s="445">
        <f ca="1">VLOOKUP(H72,Equipos!$Q$1:$R$25,2,0)</f>
        <v>18</v>
      </c>
      <c r="H72" s="446">
        <f ca="1">TRUNC(INDEX(WORLDCUP!$X$4:$X$147,MATCH(ADMIN!K72,WORLDCUP!$DT$4:$DT$147,0))+INDEX(Horarios!$R$3:$R$86,MATCH(Horarios!$C$3,Horarios!$P$3:$P$86,0))/24)</f>
        <v>46201</v>
      </c>
      <c r="I72" s="48">
        <v>1</v>
      </c>
      <c r="J72" s="96" t="s">
        <v>28</v>
      </c>
      <c r="K72" s="53" t="str">
        <f ca="1">CONCATENATE(WORLDCUP!AA80,"-",WORLDCUP!AF80)</f>
        <v>Algeria-Austria</v>
      </c>
      <c r="L72" s="53"/>
      <c r="M72" s="55" t="str">
        <f>IF(OR(WORLDCUP!AC80="",WORLDCUP!AD80=""),"-",N72&amp;"|"&amp;O72&amp;"-"&amp;P72)</f>
        <v>X|3-3</v>
      </c>
      <c r="N72" s="25" t="str">
        <f>IF(OR(WORLDCUP!AC80="",WORLDCUP!AD80=""),"",IF(WORLDCUP!AC80&gt;WORLDCUP!AD80,"1",IF(WORLDCUP!AC80&lt;WORLDCUP!AD80,"2","X")))</f>
        <v>X</v>
      </c>
      <c r="O72" s="25">
        <f>WORLDCUP!AC80</f>
        <v>3</v>
      </c>
      <c r="P72" s="25">
        <f>WORLDCUP!AD80</f>
        <v>3</v>
      </c>
      <c r="Q72" s="25">
        <f t="shared" si="237"/>
        <v>0</v>
      </c>
      <c r="R72" s="49"/>
      <c r="S72" s="74" t="s">
        <v>1954</v>
      </c>
      <c r="T72" s="73">
        <f t="shared" si="238"/>
        <v>0</v>
      </c>
      <c r="U72" s="65"/>
      <c r="V72" s="74" t="s">
        <v>2000</v>
      </c>
      <c r="W72" s="73">
        <f t="shared" si="219"/>
        <v>0</v>
      </c>
      <c r="X72" s="65"/>
      <c r="Y72" s="74" t="s">
        <v>1953</v>
      </c>
      <c r="Z72" s="73">
        <f t="shared" si="232"/>
        <v>0</v>
      </c>
      <c r="AA72" s="65"/>
      <c r="AB72" s="74" t="s">
        <v>1944</v>
      </c>
      <c r="AC72" s="73">
        <f t="shared" si="232"/>
        <v>12</v>
      </c>
      <c r="AD72" s="65"/>
      <c r="AE72" s="74" t="s">
        <v>1960</v>
      </c>
      <c r="AF72" s="73">
        <f t="shared" si="232"/>
        <v>0</v>
      </c>
      <c r="AG72" s="65"/>
      <c r="AH72" s="74" t="s">
        <v>2133</v>
      </c>
      <c r="AI72" s="73">
        <f t="shared" si="232"/>
        <v>12</v>
      </c>
      <c r="AJ72" s="65"/>
      <c r="AK72" s="74" t="s">
        <v>1955</v>
      </c>
      <c r="AL72" s="73">
        <f t="shared" si="232"/>
        <v>0</v>
      </c>
      <c r="AM72" s="65"/>
      <c r="AN72" s="74" t="s">
        <v>1954</v>
      </c>
      <c r="AO72" s="73">
        <f t="shared" si="232"/>
        <v>0</v>
      </c>
      <c r="AP72" s="65"/>
      <c r="AQ72" s="74" t="s">
        <v>1957</v>
      </c>
      <c r="AR72" s="73">
        <f t="shared" si="232"/>
        <v>12</v>
      </c>
      <c r="AS72" s="65"/>
      <c r="AT72" s="74" t="s">
        <v>2133</v>
      </c>
      <c r="AU72" s="73">
        <f t="shared" si="232"/>
        <v>12</v>
      </c>
      <c r="AV72" s="65"/>
      <c r="AW72" s="74" t="s">
        <v>1953</v>
      </c>
      <c r="AX72" s="73">
        <f t="shared" si="232"/>
        <v>0</v>
      </c>
      <c r="AY72" s="65"/>
      <c r="AZ72" s="74" t="s">
        <v>1954</v>
      </c>
      <c r="BA72" s="73">
        <f t="shared" si="232"/>
        <v>0</v>
      </c>
      <c r="BB72" s="65"/>
      <c r="BC72" s="74" t="s">
        <v>1953</v>
      </c>
      <c r="BD72" s="73">
        <f t="shared" si="232"/>
        <v>0</v>
      </c>
      <c r="BE72" s="65"/>
      <c r="BF72" s="74" t="s">
        <v>1957</v>
      </c>
      <c r="BG72" s="73">
        <f t="shared" si="232"/>
        <v>12</v>
      </c>
      <c r="BH72" s="65"/>
      <c r="BI72" s="74" t="s">
        <v>2000</v>
      </c>
      <c r="BJ72" s="73">
        <f t="shared" si="232"/>
        <v>0</v>
      </c>
      <c r="BK72" s="65"/>
      <c r="BL72" s="74" t="s">
        <v>1957</v>
      </c>
      <c r="BM72" s="73">
        <f t="shared" si="232"/>
        <v>12</v>
      </c>
      <c r="BN72" s="65"/>
      <c r="BO72" s="74" t="s">
        <v>2133</v>
      </c>
      <c r="BP72" s="73">
        <f t="shared" si="232"/>
        <v>12</v>
      </c>
      <c r="BQ72" s="65"/>
      <c r="BR72" s="74" t="s">
        <v>1959</v>
      </c>
      <c r="BS72" s="73">
        <f t="shared" si="232"/>
        <v>0</v>
      </c>
      <c r="BT72" s="65"/>
      <c r="BU72" s="74" t="s">
        <v>1953</v>
      </c>
      <c r="BV72" s="73">
        <f t="shared" si="232"/>
        <v>0</v>
      </c>
      <c r="BW72" s="65"/>
      <c r="BX72" s="74" t="s">
        <v>2000</v>
      </c>
      <c r="BY72" s="73">
        <f t="shared" si="232"/>
        <v>0</v>
      </c>
      <c r="BZ72" s="65"/>
      <c r="CA72" s="74" t="s">
        <v>1953</v>
      </c>
      <c r="CB72" s="73">
        <f t="shared" si="232"/>
        <v>0</v>
      </c>
      <c r="CC72" s="65"/>
      <c r="CD72" s="74" t="s">
        <v>2000</v>
      </c>
      <c r="CE72" s="73">
        <f t="shared" si="232"/>
        <v>0</v>
      </c>
      <c r="CF72" s="65"/>
      <c r="CG72" s="74" t="s">
        <v>1953</v>
      </c>
      <c r="CH72" s="73">
        <f t="shared" si="232"/>
        <v>0</v>
      </c>
      <c r="CI72" s="65"/>
      <c r="CJ72" s="74" t="s">
        <v>1944</v>
      </c>
      <c r="CK72" s="73">
        <f t="shared" si="231"/>
        <v>12</v>
      </c>
      <c r="CL72" s="65"/>
      <c r="CM72" s="74" t="s">
        <v>1954</v>
      </c>
      <c r="CN72" s="73">
        <f t="shared" si="231"/>
        <v>0</v>
      </c>
      <c r="CO72" s="65"/>
      <c r="CP72" s="74" t="s">
        <v>2000</v>
      </c>
      <c r="CQ72" s="73">
        <f t="shared" si="231"/>
        <v>0</v>
      </c>
      <c r="CR72" s="65"/>
      <c r="CS72" s="74" t="s">
        <v>1955</v>
      </c>
      <c r="CT72" s="73">
        <f t="shared" si="231"/>
        <v>0</v>
      </c>
      <c r="CU72" s="65"/>
      <c r="CV72" s="74" t="s">
        <v>1957</v>
      </c>
      <c r="CW72" s="73">
        <f t="shared" si="231"/>
        <v>12</v>
      </c>
      <c r="CX72" s="65"/>
      <c r="CY72" s="74" t="s">
        <v>2106</v>
      </c>
      <c r="CZ72" s="73">
        <f t="shared" si="231"/>
        <v>0</v>
      </c>
      <c r="DA72" s="65"/>
      <c r="DB72" s="74" t="s">
        <v>2572</v>
      </c>
      <c r="DC72" s="73">
        <f t="shared" si="231"/>
        <v>0</v>
      </c>
      <c r="DD72" s="65"/>
      <c r="DE72" s="74" t="s">
        <v>1955</v>
      </c>
      <c r="DF72" s="73">
        <f t="shared" si="231"/>
        <v>0</v>
      </c>
      <c r="DG72" s="65"/>
      <c r="DH72" s="74" t="s">
        <v>1959</v>
      </c>
      <c r="DI72" s="73">
        <f t="shared" si="231"/>
        <v>0</v>
      </c>
      <c r="DJ72" s="65"/>
      <c r="DK72" s="74" t="s">
        <v>1953</v>
      </c>
      <c r="DL72" s="73">
        <f t="shared" si="231"/>
        <v>0</v>
      </c>
      <c r="DM72" s="65"/>
      <c r="DN72" s="74" t="s">
        <v>1960</v>
      </c>
      <c r="DO72" s="73">
        <f t="shared" si="231"/>
        <v>0</v>
      </c>
      <c r="DP72" s="65"/>
      <c r="DQ72" s="74" t="s">
        <v>1957</v>
      </c>
      <c r="DR72" s="73">
        <f t="shared" si="231"/>
        <v>12</v>
      </c>
      <c r="DS72" s="65"/>
      <c r="DT72" s="74" t="s">
        <v>1953</v>
      </c>
      <c r="DU72" s="73">
        <f t="shared" si="231"/>
        <v>0</v>
      </c>
      <c r="DV72" s="65"/>
      <c r="DW72" s="74" t="s">
        <v>1957</v>
      </c>
      <c r="DX72" s="73">
        <f t="shared" si="234"/>
        <v>12</v>
      </c>
      <c r="DY72" s="65"/>
      <c r="DZ72" s="74" t="s">
        <v>1957</v>
      </c>
      <c r="EA72" s="73">
        <f t="shared" si="234"/>
        <v>12</v>
      </c>
      <c r="EB72" s="65"/>
      <c r="EC72" s="74" t="s">
        <v>1957</v>
      </c>
      <c r="ED72" s="73">
        <f t="shared" si="234"/>
        <v>12</v>
      </c>
      <c r="EE72" s="65"/>
      <c r="EF72" s="74" t="s">
        <v>1954</v>
      </c>
      <c r="EG72" s="73">
        <f t="shared" si="234"/>
        <v>0</v>
      </c>
      <c r="EH72" s="65"/>
      <c r="EI72" s="74" t="s">
        <v>1957</v>
      </c>
      <c r="EJ72" s="73">
        <f t="shared" si="234"/>
        <v>12</v>
      </c>
      <c r="EK72" s="65"/>
      <c r="EL72" s="74" t="s">
        <v>1944</v>
      </c>
      <c r="EM72" s="73">
        <f t="shared" si="234"/>
        <v>12</v>
      </c>
      <c r="EN72" s="65"/>
      <c r="EO72" s="74" t="s">
        <v>1953</v>
      </c>
      <c r="EP72" s="73">
        <f t="shared" si="234"/>
        <v>0</v>
      </c>
      <c r="EQ72" s="65"/>
      <c r="ER72" s="74" t="s">
        <v>1953</v>
      </c>
      <c r="ES72" s="73">
        <f t="shared" si="234"/>
        <v>0</v>
      </c>
      <c r="ET72" s="65"/>
      <c r="EU72" s="74" t="s">
        <v>1957</v>
      </c>
      <c r="EV72" s="73">
        <f t="shared" si="234"/>
        <v>12</v>
      </c>
      <c r="EW72" s="65"/>
      <c r="EX72" s="74" t="s">
        <v>1960</v>
      </c>
      <c r="EY72" s="73">
        <f t="shared" si="234"/>
        <v>0</v>
      </c>
      <c r="EZ72" s="65"/>
      <c r="FA72" s="74" t="s">
        <v>1957</v>
      </c>
      <c r="FB72" s="73">
        <f t="shared" si="234"/>
        <v>12</v>
      </c>
      <c r="FC72" s="65"/>
      <c r="FD72" s="74" t="s">
        <v>1953</v>
      </c>
      <c r="FE72" s="73">
        <f t="shared" si="234"/>
        <v>0</v>
      </c>
      <c r="FF72" s="65"/>
      <c r="FG72" s="74" t="s">
        <v>1944</v>
      </c>
      <c r="FH72" s="73">
        <f t="shared" si="234"/>
        <v>12</v>
      </c>
      <c r="FI72" s="65"/>
      <c r="FJ72" s="74" t="s">
        <v>1957</v>
      </c>
      <c r="FK72" s="73">
        <f t="shared" si="234"/>
        <v>12</v>
      </c>
      <c r="FL72" s="65"/>
      <c r="FM72" s="74" t="s">
        <v>1953</v>
      </c>
      <c r="FN72" s="73">
        <f t="shared" si="234"/>
        <v>0</v>
      </c>
      <c r="FO72" s="65"/>
      <c r="FP72" s="74" t="s">
        <v>1957</v>
      </c>
      <c r="FQ72" s="73">
        <f t="shared" si="234"/>
        <v>12</v>
      </c>
      <c r="FR72" s="65"/>
      <c r="FS72" s="74" t="s">
        <v>1957</v>
      </c>
      <c r="FT72" s="73">
        <f t="shared" si="234"/>
        <v>12</v>
      </c>
      <c r="FU72" s="65"/>
      <c r="FV72" s="74" t="s">
        <v>1954</v>
      </c>
      <c r="FW72" s="73">
        <f t="shared" si="234"/>
        <v>0</v>
      </c>
      <c r="FX72" s="65"/>
      <c r="FY72" s="74" t="s">
        <v>1957</v>
      </c>
      <c r="FZ72" s="73">
        <f t="shared" si="234"/>
        <v>12</v>
      </c>
      <c r="GA72" s="65"/>
      <c r="GB72" s="74" t="s">
        <v>1957</v>
      </c>
      <c r="GC72" s="73">
        <f t="shared" si="234"/>
        <v>12</v>
      </c>
      <c r="GD72" s="65"/>
      <c r="GE72" s="74" t="s">
        <v>1957</v>
      </c>
      <c r="GF72" s="73">
        <f t="shared" si="234"/>
        <v>12</v>
      </c>
      <c r="GG72" s="65"/>
      <c r="GH72" s="74" t="s">
        <v>1953</v>
      </c>
      <c r="GI72" s="73">
        <f t="shared" si="234"/>
        <v>0</v>
      </c>
      <c r="GJ72" s="65"/>
      <c r="GK72" s="74" t="s">
        <v>1957</v>
      </c>
      <c r="GL72" s="73">
        <f t="shared" si="233"/>
        <v>12</v>
      </c>
      <c r="GM72" s="65"/>
      <c r="GN72" s="74"/>
      <c r="GO72" s="73">
        <f t="shared" si="233"/>
        <v>0</v>
      </c>
      <c r="GP72" s="65"/>
      <c r="GQ72" s="74"/>
      <c r="GR72" s="73">
        <f t="shared" si="233"/>
        <v>0</v>
      </c>
      <c r="GS72" s="65"/>
      <c r="GT72" s="74"/>
      <c r="GU72" s="73">
        <f t="shared" si="233"/>
        <v>0</v>
      </c>
      <c r="GV72" s="65"/>
      <c r="GW72" s="74"/>
      <c r="GX72" s="73">
        <f t="shared" si="233"/>
        <v>0</v>
      </c>
      <c r="GY72" s="65"/>
      <c r="GZ72" s="74"/>
      <c r="HA72" s="73">
        <f t="shared" si="233"/>
        <v>0</v>
      </c>
      <c r="HB72" s="65"/>
      <c r="HC72" s="74"/>
      <c r="HD72" s="73">
        <f t="shared" si="233"/>
        <v>0</v>
      </c>
      <c r="HE72" s="65"/>
      <c r="HF72" s="74"/>
      <c r="HG72" s="73">
        <f t="shared" si="233"/>
        <v>0</v>
      </c>
      <c r="HH72" s="65"/>
      <c r="HI72" s="74"/>
      <c r="HJ72" s="73">
        <f t="shared" si="233"/>
        <v>0</v>
      </c>
      <c r="HK72" s="65"/>
      <c r="HL72" s="74"/>
      <c r="HM72" s="73">
        <f t="shared" si="233"/>
        <v>0</v>
      </c>
      <c r="HN72" s="65"/>
      <c r="HO72" s="74"/>
      <c r="HP72" s="73">
        <f t="shared" si="233"/>
        <v>0</v>
      </c>
      <c r="HQ72" s="65"/>
      <c r="HR72" s="74"/>
      <c r="HS72" s="73">
        <f t="shared" si="233"/>
        <v>0</v>
      </c>
      <c r="HT72" s="65"/>
      <c r="HU72" s="74"/>
      <c r="HV72" s="73">
        <f t="shared" si="233"/>
        <v>0</v>
      </c>
      <c r="HW72" s="65"/>
      <c r="HX72" s="74"/>
      <c r="HY72" s="73">
        <f t="shared" si="239"/>
        <v>0</v>
      </c>
      <c r="HZ72" s="65"/>
      <c r="IA72" s="74"/>
      <c r="IB72" s="73">
        <f t="shared" si="239"/>
        <v>0</v>
      </c>
      <c r="IC72" s="65"/>
      <c r="ID72" s="74"/>
      <c r="IE72" s="73">
        <f t="shared" si="239"/>
        <v>0</v>
      </c>
      <c r="IF72" s="65"/>
      <c r="IG72" s="74"/>
      <c r="IH72" s="73">
        <f t="shared" si="239"/>
        <v>0</v>
      </c>
      <c r="II72" s="65"/>
      <c r="IJ72" s="74"/>
      <c r="IK72" s="73">
        <f t="shared" si="239"/>
        <v>0</v>
      </c>
      <c r="IL72" s="65"/>
      <c r="IM72" s="74"/>
      <c r="IN72" s="73">
        <f t="shared" si="239"/>
        <v>0</v>
      </c>
      <c r="IO72" s="65"/>
      <c r="IP72" s="74"/>
      <c r="IQ72" s="73">
        <f t="shared" si="239"/>
        <v>0</v>
      </c>
      <c r="IR72" s="65"/>
      <c r="IS72" s="74"/>
      <c r="IT72" s="73">
        <f t="shared" si="239"/>
        <v>0</v>
      </c>
      <c r="IU72" s="65"/>
      <c r="IV72" s="74"/>
      <c r="IW72" s="73">
        <f t="shared" si="239"/>
        <v>0</v>
      </c>
      <c r="IX72" s="65"/>
      <c r="IY72" s="74"/>
      <c r="IZ72" s="73">
        <f t="shared" si="239"/>
        <v>0</v>
      </c>
      <c r="JA72" s="65"/>
      <c r="JB72" s="74"/>
      <c r="JC72" s="73">
        <f t="shared" si="239"/>
        <v>0</v>
      </c>
      <c r="JD72" s="65"/>
      <c r="JE72" s="74"/>
      <c r="JF72" s="73">
        <f t="shared" si="239"/>
        <v>0</v>
      </c>
      <c r="JG72" s="65"/>
      <c r="JH72" s="74"/>
      <c r="JI72" s="73">
        <f t="shared" si="239"/>
        <v>0</v>
      </c>
      <c r="JJ72" s="65"/>
      <c r="JK72" s="74"/>
      <c r="JL72" s="73">
        <f t="shared" si="239"/>
        <v>0</v>
      </c>
      <c r="JM72" s="65"/>
      <c r="JN72" s="74"/>
      <c r="JO72" s="73">
        <f t="shared" si="239"/>
        <v>0</v>
      </c>
      <c r="JP72" s="65"/>
      <c r="JQ72" s="74"/>
      <c r="JR72" s="73">
        <f t="shared" si="239"/>
        <v>0</v>
      </c>
      <c r="JS72" s="65"/>
      <c r="JT72" s="74"/>
      <c r="JU72" s="73">
        <f t="shared" si="239"/>
        <v>0</v>
      </c>
      <c r="JV72" s="65"/>
      <c r="JW72" s="74"/>
      <c r="JX72" s="73">
        <f t="shared" si="239"/>
        <v>0</v>
      </c>
      <c r="JY72" s="65"/>
      <c r="JZ72" s="74"/>
      <c r="KA72" s="73">
        <f t="shared" si="239"/>
        <v>0</v>
      </c>
      <c r="KB72" s="65"/>
      <c r="KC72" s="74"/>
      <c r="KD72" s="73">
        <f t="shared" si="239"/>
        <v>0</v>
      </c>
      <c r="KE72" s="65"/>
      <c r="KF72" s="74"/>
      <c r="KG72" s="73">
        <f t="shared" si="239"/>
        <v>0</v>
      </c>
      <c r="KH72" s="65"/>
      <c r="KI72" s="74"/>
      <c r="KJ72" s="73">
        <f t="shared" si="239"/>
        <v>0</v>
      </c>
      <c r="KK72" s="65"/>
      <c r="KL72" s="74"/>
      <c r="KM72" s="73">
        <f t="shared" si="235"/>
        <v>0</v>
      </c>
      <c r="KN72" s="65"/>
      <c r="KO72" s="74"/>
      <c r="KP72" s="73">
        <f t="shared" si="235"/>
        <v>0</v>
      </c>
      <c r="KQ72" s="65"/>
      <c r="KR72" s="74"/>
      <c r="KS72" s="73">
        <f t="shared" si="235"/>
        <v>0</v>
      </c>
      <c r="KT72" s="65"/>
      <c r="KU72" s="74"/>
      <c r="KV72" s="73">
        <f t="shared" si="235"/>
        <v>0</v>
      </c>
      <c r="KW72" s="65"/>
      <c r="KX72" s="74"/>
      <c r="KY72" s="73">
        <f t="shared" si="235"/>
        <v>0</v>
      </c>
      <c r="KZ72" s="65"/>
      <c r="LA72" s="74"/>
      <c r="LB72" s="73">
        <f t="shared" si="235"/>
        <v>0</v>
      </c>
      <c r="LC72" s="65"/>
      <c r="LD72" s="74"/>
      <c r="LE72" s="73">
        <f t="shared" si="235"/>
        <v>0</v>
      </c>
      <c r="LF72" s="65"/>
      <c r="LG72" s="65"/>
    </row>
    <row r="73" spans="1:319">
      <c r="A73" s="49"/>
      <c r="B73" s="49"/>
      <c r="C73" s="49"/>
      <c r="D73" s="49"/>
      <c r="E73" s="111"/>
      <c r="F73" s="445">
        <f t="shared" si="236"/>
        <v>20</v>
      </c>
      <c r="G73" s="445">
        <f ca="1">VLOOKUP(H73,Equipos!$Q$1:$R$25,2,0)</f>
        <v>18</v>
      </c>
      <c r="H73" s="446">
        <f ca="1">TRUNC(INDEX(WORLDCUP!$X$4:$X$147,MATCH(ADMIN!K73,WORLDCUP!$DT$4:$DT$147,0))+INDEX(Horarios!$R$3:$R$86,MATCH(Horarios!$C$3,Horarios!$P$3:$P$86,0))/24)</f>
        <v>46201</v>
      </c>
      <c r="I73" s="48">
        <v>1</v>
      </c>
      <c r="J73" s="96" t="s">
        <v>28</v>
      </c>
      <c r="K73" s="56" t="str">
        <f ca="1">CONCATENATE(WORLDCUP!AA81,"-",WORLDCUP!AF81)</f>
        <v>Jordan-Argentina</v>
      </c>
      <c r="L73" s="53"/>
      <c r="M73" s="55" t="str">
        <f>IF(OR(WORLDCUP!AC81="",WORLDCUP!AD81=""),"-",N73&amp;"|"&amp;O73&amp;"-"&amp;P73)</f>
        <v>2|1-3</v>
      </c>
      <c r="N73" s="25" t="str">
        <f>IF(OR(WORLDCUP!AC81="",WORLDCUP!AD81=""),"",IF(WORLDCUP!AC81&gt;WORLDCUP!AD81,"1",IF(WORLDCUP!AC81&lt;WORLDCUP!AD81,"2","X")))</f>
        <v>2</v>
      </c>
      <c r="O73" s="25">
        <f>WORLDCUP!AC81</f>
        <v>1</v>
      </c>
      <c r="P73" s="25">
        <f>WORLDCUP!AD81</f>
        <v>3</v>
      </c>
      <c r="Q73" s="25">
        <f t="shared" si="237"/>
        <v>2</v>
      </c>
      <c r="R73" s="49"/>
      <c r="S73" s="74" t="s">
        <v>1957</v>
      </c>
      <c r="T73" s="73">
        <f t="shared" si="238"/>
        <v>0</v>
      </c>
      <c r="U73" s="65"/>
      <c r="V73" s="74" t="s">
        <v>1948</v>
      </c>
      <c r="W73" s="73">
        <f t="shared" si="219"/>
        <v>10</v>
      </c>
      <c r="X73" s="65"/>
      <c r="Y73" s="74" t="s">
        <v>1948</v>
      </c>
      <c r="Z73" s="73">
        <f t="shared" si="232"/>
        <v>10</v>
      </c>
      <c r="AA73" s="65"/>
      <c r="AB73" s="74" t="s">
        <v>1951</v>
      </c>
      <c r="AC73" s="73">
        <f t="shared" si="232"/>
        <v>10</v>
      </c>
      <c r="AD73" s="65"/>
      <c r="AE73" s="74" t="s">
        <v>2106</v>
      </c>
      <c r="AF73" s="73">
        <f t="shared" si="232"/>
        <v>10</v>
      </c>
      <c r="AG73" s="65"/>
      <c r="AH73" s="74" t="s">
        <v>2106</v>
      </c>
      <c r="AI73" s="73">
        <f t="shared" si="232"/>
        <v>10</v>
      </c>
      <c r="AJ73" s="65"/>
      <c r="AK73" s="74" t="s">
        <v>1960</v>
      </c>
      <c r="AL73" s="73">
        <f t="shared" si="232"/>
        <v>12</v>
      </c>
      <c r="AM73" s="65"/>
      <c r="AN73" s="74" t="s">
        <v>2000</v>
      </c>
      <c r="AO73" s="73">
        <f t="shared" si="232"/>
        <v>10</v>
      </c>
      <c r="AP73" s="65"/>
      <c r="AQ73" s="74" t="s">
        <v>1951</v>
      </c>
      <c r="AR73" s="73">
        <f t="shared" si="232"/>
        <v>10</v>
      </c>
      <c r="AS73" s="65"/>
      <c r="AT73" s="74" t="s">
        <v>1960</v>
      </c>
      <c r="AU73" s="73">
        <f t="shared" si="232"/>
        <v>12</v>
      </c>
      <c r="AV73" s="65"/>
      <c r="AW73" s="74" t="s">
        <v>1948</v>
      </c>
      <c r="AX73" s="73">
        <f t="shared" si="232"/>
        <v>10</v>
      </c>
      <c r="AY73" s="65"/>
      <c r="AZ73" s="74" t="s">
        <v>1960</v>
      </c>
      <c r="BA73" s="73">
        <f t="shared" si="232"/>
        <v>12</v>
      </c>
      <c r="BB73" s="65"/>
      <c r="BC73" s="74" t="s">
        <v>1948</v>
      </c>
      <c r="BD73" s="73">
        <f t="shared" si="232"/>
        <v>10</v>
      </c>
      <c r="BE73" s="65"/>
      <c r="BF73" s="74" t="s">
        <v>1955</v>
      </c>
      <c r="BG73" s="73">
        <f t="shared" si="232"/>
        <v>20</v>
      </c>
      <c r="BH73" s="65"/>
      <c r="BI73" s="74" t="s">
        <v>2106</v>
      </c>
      <c r="BJ73" s="73">
        <f t="shared" si="232"/>
        <v>10</v>
      </c>
      <c r="BK73" s="65"/>
      <c r="BL73" s="74" t="s">
        <v>1948</v>
      </c>
      <c r="BM73" s="73">
        <f t="shared" si="232"/>
        <v>10</v>
      </c>
      <c r="BN73" s="65"/>
      <c r="BO73" s="74" t="s">
        <v>1948</v>
      </c>
      <c r="BP73" s="73">
        <f t="shared" si="232"/>
        <v>10</v>
      </c>
      <c r="BQ73" s="65"/>
      <c r="BR73" s="74" t="s">
        <v>2106</v>
      </c>
      <c r="BS73" s="73">
        <f t="shared" si="232"/>
        <v>10</v>
      </c>
      <c r="BT73" s="65"/>
      <c r="BU73" s="74" t="s">
        <v>1948</v>
      </c>
      <c r="BV73" s="73">
        <f t="shared" si="232"/>
        <v>10</v>
      </c>
      <c r="BW73" s="65"/>
      <c r="BX73" s="74" t="s">
        <v>1960</v>
      </c>
      <c r="BY73" s="73">
        <f t="shared" si="232"/>
        <v>12</v>
      </c>
      <c r="BZ73" s="65"/>
      <c r="CA73" s="74" t="s">
        <v>1948</v>
      </c>
      <c r="CB73" s="73">
        <f t="shared" si="232"/>
        <v>10</v>
      </c>
      <c r="CC73" s="65"/>
      <c r="CD73" s="74" t="s">
        <v>1960</v>
      </c>
      <c r="CE73" s="73">
        <f t="shared" si="232"/>
        <v>12</v>
      </c>
      <c r="CF73" s="65"/>
      <c r="CG73" s="74" t="s">
        <v>2131</v>
      </c>
      <c r="CH73" s="73">
        <f t="shared" si="232"/>
        <v>10</v>
      </c>
      <c r="CI73" s="65"/>
      <c r="CJ73" s="74" t="s">
        <v>1953</v>
      </c>
      <c r="CK73" s="73">
        <f t="shared" si="231"/>
        <v>10</v>
      </c>
      <c r="CL73" s="65"/>
      <c r="CM73" s="74" t="s">
        <v>1951</v>
      </c>
      <c r="CN73" s="73">
        <f t="shared" si="231"/>
        <v>10</v>
      </c>
      <c r="CO73" s="65"/>
      <c r="CP73" s="74" t="s">
        <v>1948</v>
      </c>
      <c r="CQ73" s="73">
        <f t="shared" si="231"/>
        <v>10</v>
      </c>
      <c r="CR73" s="65"/>
      <c r="CS73" s="74" t="s">
        <v>1951</v>
      </c>
      <c r="CT73" s="73">
        <f t="shared" si="231"/>
        <v>10</v>
      </c>
      <c r="CU73" s="65"/>
      <c r="CV73" s="74" t="s">
        <v>2131</v>
      </c>
      <c r="CW73" s="73">
        <f t="shared" si="231"/>
        <v>10</v>
      </c>
      <c r="CX73" s="65"/>
      <c r="CY73" s="74" t="s">
        <v>1953</v>
      </c>
      <c r="CZ73" s="73">
        <f t="shared" si="231"/>
        <v>10</v>
      </c>
      <c r="DA73" s="65"/>
      <c r="DB73" s="74" t="s">
        <v>2634</v>
      </c>
      <c r="DC73" s="73">
        <f t="shared" si="231"/>
        <v>10</v>
      </c>
      <c r="DD73" s="65"/>
      <c r="DE73" s="74" t="s">
        <v>1953</v>
      </c>
      <c r="DF73" s="73">
        <f t="shared" si="231"/>
        <v>10</v>
      </c>
      <c r="DG73" s="65"/>
      <c r="DH73" s="74" t="s">
        <v>1960</v>
      </c>
      <c r="DI73" s="73">
        <f t="shared" si="231"/>
        <v>12</v>
      </c>
      <c r="DJ73" s="65"/>
      <c r="DK73" s="74" t="s">
        <v>1960</v>
      </c>
      <c r="DL73" s="73">
        <f t="shared" si="231"/>
        <v>12</v>
      </c>
      <c r="DM73" s="65"/>
      <c r="DN73" s="74" t="s">
        <v>1948</v>
      </c>
      <c r="DO73" s="73">
        <f t="shared" si="231"/>
        <v>10</v>
      </c>
      <c r="DP73" s="65"/>
      <c r="DQ73" s="74" t="s">
        <v>1948</v>
      </c>
      <c r="DR73" s="73">
        <f t="shared" si="231"/>
        <v>10</v>
      </c>
      <c r="DS73" s="65"/>
      <c r="DT73" s="74" t="s">
        <v>1948</v>
      </c>
      <c r="DU73" s="73">
        <f t="shared" si="231"/>
        <v>10</v>
      </c>
      <c r="DV73" s="65"/>
      <c r="DW73" s="74" t="s">
        <v>1948</v>
      </c>
      <c r="DX73" s="73">
        <f t="shared" si="234"/>
        <v>10</v>
      </c>
      <c r="DY73" s="65"/>
      <c r="DZ73" s="74" t="s">
        <v>1948</v>
      </c>
      <c r="EA73" s="73">
        <f t="shared" si="234"/>
        <v>10</v>
      </c>
      <c r="EB73" s="65"/>
      <c r="EC73" s="74" t="s">
        <v>1948</v>
      </c>
      <c r="ED73" s="73">
        <f t="shared" si="234"/>
        <v>10</v>
      </c>
      <c r="EE73" s="65"/>
      <c r="EF73" s="74" t="s">
        <v>1955</v>
      </c>
      <c r="EG73" s="73">
        <f t="shared" si="234"/>
        <v>20</v>
      </c>
      <c r="EH73" s="65"/>
      <c r="EI73" s="74" t="s">
        <v>1948</v>
      </c>
      <c r="EJ73" s="73">
        <f t="shared" si="234"/>
        <v>10</v>
      </c>
      <c r="EK73" s="65"/>
      <c r="EL73" s="74" t="s">
        <v>1948</v>
      </c>
      <c r="EM73" s="73">
        <f t="shared" si="234"/>
        <v>10</v>
      </c>
      <c r="EN73" s="65"/>
      <c r="EO73" s="74" t="s">
        <v>2000</v>
      </c>
      <c r="EP73" s="73">
        <f t="shared" si="234"/>
        <v>10</v>
      </c>
      <c r="EQ73" s="65"/>
      <c r="ER73" s="74" t="s">
        <v>1960</v>
      </c>
      <c r="ES73" s="73">
        <f t="shared" si="234"/>
        <v>12</v>
      </c>
      <c r="ET73" s="65"/>
      <c r="EU73" s="74" t="s">
        <v>1948</v>
      </c>
      <c r="EV73" s="73">
        <f t="shared" si="234"/>
        <v>10</v>
      </c>
      <c r="EW73" s="65"/>
      <c r="EX73" s="74" t="s">
        <v>1948</v>
      </c>
      <c r="EY73" s="73">
        <f t="shared" si="234"/>
        <v>10</v>
      </c>
      <c r="EZ73" s="65"/>
      <c r="FA73" s="74" t="s">
        <v>1948</v>
      </c>
      <c r="FB73" s="73">
        <f t="shared" si="234"/>
        <v>10</v>
      </c>
      <c r="FC73" s="65"/>
      <c r="FD73" s="74" t="s">
        <v>1960</v>
      </c>
      <c r="FE73" s="73">
        <f t="shared" si="234"/>
        <v>12</v>
      </c>
      <c r="FF73" s="65"/>
      <c r="FG73" s="74" t="s">
        <v>2106</v>
      </c>
      <c r="FH73" s="73">
        <f t="shared" si="234"/>
        <v>10</v>
      </c>
      <c r="FI73" s="65"/>
      <c r="FJ73" s="74" t="s">
        <v>1948</v>
      </c>
      <c r="FK73" s="73">
        <f t="shared" si="234"/>
        <v>10</v>
      </c>
      <c r="FL73" s="65"/>
      <c r="FM73" s="74" t="s">
        <v>1955</v>
      </c>
      <c r="FN73" s="73">
        <f t="shared" si="234"/>
        <v>20</v>
      </c>
      <c r="FO73" s="65"/>
      <c r="FP73" s="74" t="s">
        <v>1960</v>
      </c>
      <c r="FQ73" s="73">
        <f t="shared" si="234"/>
        <v>12</v>
      </c>
      <c r="FR73" s="65"/>
      <c r="FS73" s="74" t="s">
        <v>1948</v>
      </c>
      <c r="FT73" s="73">
        <f t="shared" si="234"/>
        <v>10</v>
      </c>
      <c r="FU73" s="65"/>
      <c r="FV73" s="74" t="s">
        <v>1955</v>
      </c>
      <c r="FW73" s="73">
        <f t="shared" si="234"/>
        <v>20</v>
      </c>
      <c r="FX73" s="65"/>
      <c r="FY73" s="74" t="s">
        <v>1960</v>
      </c>
      <c r="FZ73" s="73">
        <f t="shared" si="234"/>
        <v>12</v>
      </c>
      <c r="GA73" s="65"/>
      <c r="GB73" s="74" t="s">
        <v>2106</v>
      </c>
      <c r="GC73" s="73">
        <f t="shared" si="234"/>
        <v>10</v>
      </c>
      <c r="GD73" s="65"/>
      <c r="GE73" s="74" t="s">
        <v>2106</v>
      </c>
      <c r="GF73" s="73">
        <f t="shared" si="234"/>
        <v>10</v>
      </c>
      <c r="GG73" s="65"/>
      <c r="GH73" s="74" t="s">
        <v>1948</v>
      </c>
      <c r="GI73" s="73">
        <f t="shared" si="234"/>
        <v>10</v>
      </c>
      <c r="GJ73" s="65"/>
      <c r="GK73" s="74" t="s">
        <v>1960</v>
      </c>
      <c r="GL73" s="73">
        <f t="shared" si="233"/>
        <v>12</v>
      </c>
      <c r="GM73" s="65"/>
      <c r="GN73" s="74"/>
      <c r="GO73" s="73">
        <f t="shared" si="233"/>
        <v>0</v>
      </c>
      <c r="GP73" s="65"/>
      <c r="GQ73" s="74"/>
      <c r="GR73" s="73">
        <f t="shared" si="233"/>
        <v>0</v>
      </c>
      <c r="GS73" s="65"/>
      <c r="GT73" s="74"/>
      <c r="GU73" s="73">
        <f t="shared" si="233"/>
        <v>0</v>
      </c>
      <c r="GV73" s="65"/>
      <c r="GW73" s="74"/>
      <c r="GX73" s="73">
        <f t="shared" si="233"/>
        <v>0</v>
      </c>
      <c r="GY73" s="65"/>
      <c r="GZ73" s="74"/>
      <c r="HA73" s="73">
        <f t="shared" si="233"/>
        <v>0</v>
      </c>
      <c r="HB73" s="65"/>
      <c r="HC73" s="74"/>
      <c r="HD73" s="73">
        <f t="shared" si="233"/>
        <v>0</v>
      </c>
      <c r="HE73" s="65"/>
      <c r="HF73" s="74"/>
      <c r="HG73" s="73">
        <f t="shared" si="233"/>
        <v>0</v>
      </c>
      <c r="HH73" s="65"/>
      <c r="HI73" s="74"/>
      <c r="HJ73" s="73">
        <f t="shared" si="233"/>
        <v>0</v>
      </c>
      <c r="HK73" s="65"/>
      <c r="HL73" s="74"/>
      <c r="HM73" s="73">
        <f t="shared" si="233"/>
        <v>0</v>
      </c>
      <c r="HN73" s="65"/>
      <c r="HO73" s="74"/>
      <c r="HP73" s="73">
        <f t="shared" si="233"/>
        <v>0</v>
      </c>
      <c r="HQ73" s="65"/>
      <c r="HR73" s="74"/>
      <c r="HS73" s="73">
        <f t="shared" si="233"/>
        <v>0</v>
      </c>
      <c r="HT73" s="65"/>
      <c r="HU73" s="74"/>
      <c r="HV73" s="73">
        <f t="shared" si="233"/>
        <v>0</v>
      </c>
      <c r="HW73" s="65"/>
      <c r="HX73" s="74"/>
      <c r="HY73" s="73">
        <f t="shared" si="239"/>
        <v>0</v>
      </c>
      <c r="HZ73" s="65"/>
      <c r="IA73" s="74"/>
      <c r="IB73" s="73">
        <f t="shared" si="239"/>
        <v>0</v>
      </c>
      <c r="IC73" s="65"/>
      <c r="ID73" s="74"/>
      <c r="IE73" s="73">
        <f t="shared" si="239"/>
        <v>0</v>
      </c>
      <c r="IF73" s="65"/>
      <c r="IG73" s="74"/>
      <c r="IH73" s="73">
        <f t="shared" si="239"/>
        <v>0</v>
      </c>
      <c r="II73" s="65"/>
      <c r="IJ73" s="74"/>
      <c r="IK73" s="73">
        <f t="shared" si="239"/>
        <v>0</v>
      </c>
      <c r="IL73" s="65"/>
      <c r="IM73" s="74"/>
      <c r="IN73" s="73">
        <f t="shared" si="239"/>
        <v>0</v>
      </c>
      <c r="IO73" s="65"/>
      <c r="IP73" s="74"/>
      <c r="IQ73" s="73">
        <f t="shared" si="239"/>
        <v>0</v>
      </c>
      <c r="IR73" s="65"/>
      <c r="IS73" s="74"/>
      <c r="IT73" s="73">
        <f t="shared" si="239"/>
        <v>0</v>
      </c>
      <c r="IU73" s="65"/>
      <c r="IV73" s="74"/>
      <c r="IW73" s="73">
        <f t="shared" si="239"/>
        <v>0</v>
      </c>
      <c r="IX73" s="65"/>
      <c r="IY73" s="74"/>
      <c r="IZ73" s="73">
        <f t="shared" si="239"/>
        <v>0</v>
      </c>
      <c r="JA73" s="65"/>
      <c r="JB73" s="74"/>
      <c r="JC73" s="73">
        <f t="shared" si="239"/>
        <v>0</v>
      </c>
      <c r="JD73" s="65"/>
      <c r="JE73" s="74"/>
      <c r="JF73" s="73">
        <f t="shared" si="239"/>
        <v>0</v>
      </c>
      <c r="JG73" s="65"/>
      <c r="JH73" s="74"/>
      <c r="JI73" s="73">
        <f t="shared" si="239"/>
        <v>0</v>
      </c>
      <c r="JJ73" s="65"/>
      <c r="JK73" s="74"/>
      <c r="JL73" s="73">
        <f t="shared" si="239"/>
        <v>0</v>
      </c>
      <c r="JM73" s="65"/>
      <c r="JN73" s="74"/>
      <c r="JO73" s="73">
        <f t="shared" si="239"/>
        <v>0</v>
      </c>
      <c r="JP73" s="65"/>
      <c r="JQ73" s="74"/>
      <c r="JR73" s="73">
        <f t="shared" si="239"/>
        <v>0</v>
      </c>
      <c r="JS73" s="65"/>
      <c r="JT73" s="74"/>
      <c r="JU73" s="73">
        <f t="shared" si="239"/>
        <v>0</v>
      </c>
      <c r="JV73" s="65"/>
      <c r="JW73" s="74"/>
      <c r="JX73" s="73">
        <f t="shared" si="239"/>
        <v>0</v>
      </c>
      <c r="JY73" s="65"/>
      <c r="JZ73" s="74"/>
      <c r="KA73" s="73">
        <f t="shared" si="239"/>
        <v>0</v>
      </c>
      <c r="KB73" s="65"/>
      <c r="KC73" s="74"/>
      <c r="KD73" s="73">
        <f t="shared" si="239"/>
        <v>0</v>
      </c>
      <c r="KE73" s="65"/>
      <c r="KF73" s="74"/>
      <c r="KG73" s="73">
        <f t="shared" si="239"/>
        <v>0</v>
      </c>
      <c r="KH73" s="65"/>
      <c r="KI73" s="74"/>
      <c r="KJ73" s="73">
        <f t="shared" si="239"/>
        <v>0</v>
      </c>
      <c r="KK73" s="65"/>
      <c r="KL73" s="74"/>
      <c r="KM73" s="73">
        <f t="shared" si="235"/>
        <v>0</v>
      </c>
      <c r="KN73" s="65"/>
      <c r="KO73" s="74"/>
      <c r="KP73" s="73">
        <f t="shared" si="235"/>
        <v>0</v>
      </c>
      <c r="KQ73" s="65"/>
      <c r="KR73" s="74"/>
      <c r="KS73" s="73">
        <f t="shared" si="235"/>
        <v>0</v>
      </c>
      <c r="KT73" s="65"/>
      <c r="KU73" s="74"/>
      <c r="KV73" s="73">
        <f t="shared" si="235"/>
        <v>0</v>
      </c>
      <c r="KW73" s="65"/>
      <c r="KX73" s="74"/>
      <c r="KY73" s="73">
        <f t="shared" si="235"/>
        <v>0</v>
      </c>
      <c r="KZ73" s="65"/>
      <c r="LA73" s="74"/>
      <c r="LB73" s="73">
        <f t="shared" si="235"/>
        <v>0</v>
      </c>
      <c r="LC73" s="65"/>
      <c r="LD73" s="74"/>
      <c r="LE73" s="73">
        <f t="shared" si="235"/>
        <v>0</v>
      </c>
      <c r="LF73" s="65"/>
      <c r="LG73" s="65"/>
    </row>
    <row r="74" spans="1:319">
      <c r="A74" s="49"/>
      <c r="B74" s="49"/>
      <c r="C74" s="49"/>
      <c r="D74" s="49"/>
      <c r="E74" s="111"/>
      <c r="F74" s="445">
        <f t="shared" si="236"/>
        <v>20</v>
      </c>
      <c r="G74" s="445">
        <f ca="1">VLOOKUP(H74,Equipos!$Q$1:$R$25,2,0)</f>
        <v>18</v>
      </c>
      <c r="H74" s="446">
        <f ca="1">TRUNC(INDEX(WORLDCUP!$X$4:$X$147,MATCH(ADMIN!K74,WORLDCUP!$DT$4:$DT$147,0))+INDEX(Horarios!$R$3:$R$86,MATCH(Horarios!$C$3,Horarios!$P$3:$P$86,0))/24)</f>
        <v>46201</v>
      </c>
      <c r="I74" s="48">
        <v>1</v>
      </c>
      <c r="J74" s="95" t="s">
        <v>188</v>
      </c>
      <c r="K74" s="53" t="str">
        <f ca="1">CONCATENATE(WORLDCUP!AA88,"-",WORLDCUP!AF88)</f>
        <v>Colombia-Portugal</v>
      </c>
      <c r="L74" s="53"/>
      <c r="M74" s="55" t="str">
        <f>IF(OR(WORLDCUP!AC88="",WORLDCUP!AD88=""),"-",N74&amp;"|"&amp;O74&amp;"-"&amp;P74)</f>
        <v>X|0-0</v>
      </c>
      <c r="N74" s="25" t="str">
        <f>IF(OR(WORLDCUP!AC88="",WORLDCUP!AD88=""),"",IF(WORLDCUP!AC88&gt;WORLDCUP!AD88,"1",IF(WORLDCUP!AC88&lt;WORLDCUP!AD88,"2","X")))</f>
        <v>X</v>
      </c>
      <c r="O74" s="25">
        <f>WORLDCUP!AC88</f>
        <v>0</v>
      </c>
      <c r="P74" s="25">
        <f>WORLDCUP!AD88</f>
        <v>0</v>
      </c>
      <c r="Q74" s="25">
        <f t="shared" si="237"/>
        <v>0</v>
      </c>
      <c r="R74" s="49"/>
      <c r="S74" s="74" t="s">
        <v>1954</v>
      </c>
      <c r="T74" s="73">
        <f>IFERROR(IF($M74=S74,($D$8+$D$9+$D$10)*$I74,IF($N74=LEFT(S74,1),($D$8+MAX(0,IF($D$50=1,$D$9*(1-(ABS($Q74-ABS(VALUE(MID(S74,FIND("|",S74)+1,FIND("-",S74)-FIND("|",S74)-1))-VALUE(MID(S74,FIND("-",S74)+1,10)))))*$D$50),$D$9*(1-(IF($N74="X",ABS($O74-VALUE(MID(S74,FIND("|",S74)+1,FIND("-",S74)-FIND("|",S74)-1))),ABS($Q74-ABS(VALUE(MID(S74,FIND("|",S74)+1,FIND("-",S74)-FIND("|",S74)-1))-VALUE(MID(S74,FIND("-",S74)+1,10)))))*$D$50)))))*$I74,0)),0)</f>
        <v>0</v>
      </c>
      <c r="U74" s="65"/>
      <c r="V74" s="74" t="s">
        <v>1954</v>
      </c>
      <c r="W74" s="73">
        <f>IFERROR(IF($M74=V74,($D$8+$D$9+$D$10)*$I74,IF($N74=LEFT(V74,1),($D$8+MAX(0,IF($D$50=1,$D$9*(1-(ABS($Q74-ABS(VALUE(MID(V74,FIND("|",V74)+1,FIND("-",V74)-FIND("|",V74)-1))-VALUE(MID(V74,FIND("-",V74)+1,10)))))*$D$50),$D$9*(1-(IF($N74="X",ABS($O74-VALUE(MID(V74,FIND("|",V74)+1,FIND("-",V74)-FIND("|",V74)-1))),ABS($Q74-ABS(VALUE(MID(V74,FIND("|",V74)+1,FIND("-",V74)-FIND("|",V74)-1))-VALUE(MID(V74,FIND("-",V74)+1,10)))))*$D$50)))))*$I74,0)),0)</f>
        <v>0</v>
      </c>
      <c r="X74" s="65"/>
      <c r="Y74" s="74" t="s">
        <v>1953</v>
      </c>
      <c r="Z74" s="73">
        <f t="shared" si="232"/>
        <v>0</v>
      </c>
      <c r="AA74" s="65"/>
      <c r="AB74" s="74" t="s">
        <v>1953</v>
      </c>
      <c r="AC74" s="73">
        <f t="shared" si="232"/>
        <v>0</v>
      </c>
      <c r="AD74" s="65"/>
      <c r="AE74" s="74" t="s">
        <v>1953</v>
      </c>
      <c r="AF74" s="73">
        <f t="shared" si="232"/>
        <v>0</v>
      </c>
      <c r="AG74" s="65"/>
      <c r="AH74" s="74" t="s">
        <v>1960</v>
      </c>
      <c r="AI74" s="73">
        <f t="shared" si="232"/>
        <v>0</v>
      </c>
      <c r="AJ74" s="65"/>
      <c r="AK74" s="74" t="s">
        <v>1955</v>
      </c>
      <c r="AL74" s="73">
        <f t="shared" si="232"/>
        <v>0</v>
      </c>
      <c r="AM74" s="65"/>
      <c r="AN74" s="74" t="s">
        <v>1954</v>
      </c>
      <c r="AO74" s="73">
        <f t="shared" si="232"/>
        <v>0</v>
      </c>
      <c r="AP74" s="65"/>
      <c r="AQ74" s="74" t="s">
        <v>1953</v>
      </c>
      <c r="AR74" s="73">
        <f t="shared" si="232"/>
        <v>0</v>
      </c>
      <c r="AS74" s="65"/>
      <c r="AT74" s="74" t="s">
        <v>2133</v>
      </c>
      <c r="AU74" s="73">
        <f t="shared" si="232"/>
        <v>20</v>
      </c>
      <c r="AV74" s="65"/>
      <c r="AW74" s="74" t="s">
        <v>1944</v>
      </c>
      <c r="AX74" s="73">
        <f t="shared" si="232"/>
        <v>12</v>
      </c>
      <c r="AY74" s="65"/>
      <c r="AZ74" s="74" t="s">
        <v>1957</v>
      </c>
      <c r="BA74" s="73">
        <f t="shared" si="232"/>
        <v>12</v>
      </c>
      <c r="BB74" s="65"/>
      <c r="BC74" s="74" t="s">
        <v>1946</v>
      </c>
      <c r="BD74" s="73">
        <f t="shared" si="232"/>
        <v>0</v>
      </c>
      <c r="BE74" s="65"/>
      <c r="BF74" s="74" t="s">
        <v>1953</v>
      </c>
      <c r="BG74" s="73">
        <f t="shared" si="232"/>
        <v>0</v>
      </c>
      <c r="BH74" s="65"/>
      <c r="BI74" s="74" t="s">
        <v>1944</v>
      </c>
      <c r="BJ74" s="73">
        <f t="shared" si="232"/>
        <v>12</v>
      </c>
      <c r="BK74" s="65"/>
      <c r="BL74" s="74" t="s">
        <v>1953</v>
      </c>
      <c r="BM74" s="73">
        <f t="shared" si="232"/>
        <v>0</v>
      </c>
      <c r="BN74" s="65"/>
      <c r="BO74" s="74" t="s">
        <v>1957</v>
      </c>
      <c r="BP74" s="73">
        <f t="shared" si="232"/>
        <v>12</v>
      </c>
      <c r="BQ74" s="65"/>
      <c r="BR74" s="74" t="s">
        <v>1953</v>
      </c>
      <c r="BS74" s="73">
        <f t="shared" si="232"/>
        <v>0</v>
      </c>
      <c r="BT74" s="65"/>
      <c r="BU74" s="74" t="s">
        <v>1953</v>
      </c>
      <c r="BV74" s="73">
        <f t="shared" si="232"/>
        <v>0</v>
      </c>
      <c r="BW74" s="65"/>
      <c r="BX74" s="74" t="s">
        <v>1960</v>
      </c>
      <c r="BY74" s="73">
        <f t="shared" si="232"/>
        <v>0</v>
      </c>
      <c r="BZ74" s="65"/>
      <c r="CA74" s="74" t="s">
        <v>1953</v>
      </c>
      <c r="CB74" s="73">
        <f t="shared" si="232"/>
        <v>0</v>
      </c>
      <c r="CC74" s="65"/>
      <c r="CD74" s="74" t="s">
        <v>1946</v>
      </c>
      <c r="CE74" s="73">
        <f t="shared" si="232"/>
        <v>0</v>
      </c>
      <c r="CF74" s="65"/>
      <c r="CG74" s="74" t="s">
        <v>1957</v>
      </c>
      <c r="CH74" s="73">
        <f t="shared" si="232"/>
        <v>12</v>
      </c>
      <c r="CI74" s="65"/>
      <c r="CJ74" s="74" t="s">
        <v>1946</v>
      </c>
      <c r="CK74" s="73">
        <f t="shared" si="231"/>
        <v>0</v>
      </c>
      <c r="CL74" s="65"/>
      <c r="CM74" s="74" t="s">
        <v>1944</v>
      </c>
      <c r="CN74" s="73">
        <f t="shared" si="231"/>
        <v>12</v>
      </c>
      <c r="CO74" s="65"/>
      <c r="CP74" s="74" t="s">
        <v>1957</v>
      </c>
      <c r="CQ74" s="73">
        <f t="shared" si="231"/>
        <v>12</v>
      </c>
      <c r="CR74" s="65"/>
      <c r="CS74" s="74" t="s">
        <v>1955</v>
      </c>
      <c r="CT74" s="73">
        <f t="shared" si="231"/>
        <v>0</v>
      </c>
      <c r="CU74" s="65"/>
      <c r="CV74" s="74" t="s">
        <v>1955</v>
      </c>
      <c r="CW74" s="73">
        <f t="shared" si="231"/>
        <v>0</v>
      </c>
      <c r="CX74" s="65"/>
      <c r="CY74" s="74" t="s">
        <v>1944</v>
      </c>
      <c r="CZ74" s="73">
        <f t="shared" si="231"/>
        <v>12</v>
      </c>
      <c r="DA74" s="65"/>
      <c r="DB74" s="74" t="s">
        <v>1955</v>
      </c>
      <c r="DC74" s="73">
        <f t="shared" si="231"/>
        <v>0</v>
      </c>
      <c r="DD74" s="65"/>
      <c r="DE74" s="74" t="s">
        <v>1953</v>
      </c>
      <c r="DF74" s="73">
        <f t="shared" si="231"/>
        <v>0</v>
      </c>
      <c r="DG74" s="65"/>
      <c r="DH74" s="74" t="s">
        <v>1946</v>
      </c>
      <c r="DI74" s="73">
        <f t="shared" si="231"/>
        <v>0</v>
      </c>
      <c r="DJ74" s="65"/>
      <c r="DK74" s="74" t="s">
        <v>1957</v>
      </c>
      <c r="DL74" s="73">
        <f t="shared" si="231"/>
        <v>12</v>
      </c>
      <c r="DM74" s="65"/>
      <c r="DN74" s="74" t="s">
        <v>1944</v>
      </c>
      <c r="DO74" s="73">
        <f t="shared" si="231"/>
        <v>12</v>
      </c>
      <c r="DP74" s="65"/>
      <c r="DQ74" s="74" t="s">
        <v>1953</v>
      </c>
      <c r="DR74" s="73">
        <f t="shared" si="231"/>
        <v>0</v>
      </c>
      <c r="DS74" s="65"/>
      <c r="DT74" s="74" t="s">
        <v>1957</v>
      </c>
      <c r="DU74" s="73">
        <f t="shared" si="231"/>
        <v>12</v>
      </c>
      <c r="DV74" s="65"/>
      <c r="DW74" s="74" t="s">
        <v>2000</v>
      </c>
      <c r="DX74" s="73">
        <f t="shared" si="234"/>
        <v>0</v>
      </c>
      <c r="DY74" s="65"/>
      <c r="DZ74" s="74" t="s">
        <v>1957</v>
      </c>
      <c r="EA74" s="73">
        <f t="shared" si="234"/>
        <v>12</v>
      </c>
      <c r="EB74" s="65"/>
      <c r="EC74" s="74" t="s">
        <v>1957</v>
      </c>
      <c r="ED74" s="73">
        <f t="shared" si="234"/>
        <v>12</v>
      </c>
      <c r="EE74" s="65"/>
      <c r="EF74" s="74" t="s">
        <v>1955</v>
      </c>
      <c r="EG74" s="73">
        <f t="shared" si="234"/>
        <v>0</v>
      </c>
      <c r="EH74" s="65"/>
      <c r="EI74" s="74" t="s">
        <v>1960</v>
      </c>
      <c r="EJ74" s="73">
        <f t="shared" si="234"/>
        <v>0</v>
      </c>
      <c r="EK74" s="65"/>
      <c r="EL74" s="74" t="s">
        <v>1960</v>
      </c>
      <c r="EM74" s="73">
        <f t="shared" si="234"/>
        <v>0</v>
      </c>
      <c r="EN74" s="65"/>
      <c r="EO74" s="74" t="s">
        <v>1953</v>
      </c>
      <c r="EP74" s="73">
        <f t="shared" si="234"/>
        <v>0</v>
      </c>
      <c r="EQ74" s="65"/>
      <c r="ER74" s="74" t="s">
        <v>1957</v>
      </c>
      <c r="ES74" s="73">
        <f t="shared" si="234"/>
        <v>12</v>
      </c>
      <c r="ET74" s="65"/>
      <c r="EU74" s="74" t="s">
        <v>1953</v>
      </c>
      <c r="EV74" s="73">
        <f t="shared" si="234"/>
        <v>0</v>
      </c>
      <c r="EW74" s="65"/>
      <c r="EX74" s="74" t="s">
        <v>1953</v>
      </c>
      <c r="EY74" s="73">
        <f t="shared" si="234"/>
        <v>0</v>
      </c>
      <c r="EZ74" s="65"/>
      <c r="FA74" s="74" t="s">
        <v>1957</v>
      </c>
      <c r="FB74" s="73">
        <f t="shared" si="234"/>
        <v>12</v>
      </c>
      <c r="FC74" s="65"/>
      <c r="FD74" s="74" t="s">
        <v>1948</v>
      </c>
      <c r="FE74" s="73">
        <f t="shared" si="234"/>
        <v>0</v>
      </c>
      <c r="FF74" s="65"/>
      <c r="FG74" s="74" t="s">
        <v>1946</v>
      </c>
      <c r="FH74" s="73">
        <f t="shared" si="234"/>
        <v>0</v>
      </c>
      <c r="FI74" s="65"/>
      <c r="FJ74" s="74" t="s">
        <v>1957</v>
      </c>
      <c r="FK74" s="73">
        <f t="shared" si="234"/>
        <v>12</v>
      </c>
      <c r="FL74" s="65"/>
      <c r="FM74" s="74" t="s">
        <v>1944</v>
      </c>
      <c r="FN74" s="73">
        <f t="shared" si="234"/>
        <v>12</v>
      </c>
      <c r="FO74" s="65"/>
      <c r="FP74" s="74" t="s">
        <v>1953</v>
      </c>
      <c r="FQ74" s="73">
        <f t="shared" si="234"/>
        <v>0</v>
      </c>
      <c r="FR74" s="65"/>
      <c r="FS74" s="74" t="s">
        <v>1957</v>
      </c>
      <c r="FT74" s="73">
        <f t="shared" si="234"/>
        <v>12</v>
      </c>
      <c r="FU74" s="65"/>
      <c r="FV74" s="74" t="s">
        <v>1944</v>
      </c>
      <c r="FW74" s="73">
        <f t="shared" si="234"/>
        <v>12</v>
      </c>
      <c r="FX74" s="65"/>
      <c r="FY74" s="74" t="s">
        <v>1955</v>
      </c>
      <c r="FZ74" s="73">
        <f t="shared" si="234"/>
        <v>0</v>
      </c>
      <c r="GA74" s="65"/>
      <c r="GB74" s="74" t="s">
        <v>1957</v>
      </c>
      <c r="GC74" s="73">
        <f t="shared" si="234"/>
        <v>12</v>
      </c>
      <c r="GD74" s="65"/>
      <c r="GE74" s="74" t="s">
        <v>1953</v>
      </c>
      <c r="GF74" s="73">
        <f t="shared" si="234"/>
        <v>0</v>
      </c>
      <c r="GG74" s="65"/>
      <c r="GH74" s="74" t="s">
        <v>1957</v>
      </c>
      <c r="GI74" s="73">
        <f t="shared" si="234"/>
        <v>12</v>
      </c>
      <c r="GJ74" s="65"/>
      <c r="GK74" s="74" t="s">
        <v>1953</v>
      </c>
      <c r="GL74" s="73">
        <f t="shared" si="233"/>
        <v>0</v>
      </c>
      <c r="GM74" s="65"/>
      <c r="GN74" s="74"/>
      <c r="GO74" s="73">
        <f t="shared" si="233"/>
        <v>0</v>
      </c>
      <c r="GP74" s="65"/>
      <c r="GQ74" s="74"/>
      <c r="GR74" s="73">
        <f t="shared" si="233"/>
        <v>0</v>
      </c>
      <c r="GS74" s="65"/>
      <c r="GT74" s="74"/>
      <c r="GU74" s="73">
        <f t="shared" si="233"/>
        <v>0</v>
      </c>
      <c r="GV74" s="65"/>
      <c r="GW74" s="74"/>
      <c r="GX74" s="73">
        <f t="shared" si="233"/>
        <v>0</v>
      </c>
      <c r="GY74" s="65"/>
      <c r="GZ74" s="74"/>
      <c r="HA74" s="73">
        <f t="shared" si="233"/>
        <v>0</v>
      </c>
      <c r="HB74" s="65"/>
      <c r="HC74" s="74"/>
      <c r="HD74" s="73">
        <f t="shared" si="233"/>
        <v>0</v>
      </c>
      <c r="HE74" s="65"/>
      <c r="HF74" s="74"/>
      <c r="HG74" s="73">
        <f t="shared" si="233"/>
        <v>0</v>
      </c>
      <c r="HH74" s="65"/>
      <c r="HI74" s="74"/>
      <c r="HJ74" s="73">
        <f t="shared" si="233"/>
        <v>0</v>
      </c>
      <c r="HK74" s="65"/>
      <c r="HL74" s="74"/>
      <c r="HM74" s="73">
        <f t="shared" si="233"/>
        <v>0</v>
      </c>
      <c r="HN74" s="65"/>
      <c r="HO74" s="74"/>
      <c r="HP74" s="73">
        <f t="shared" si="233"/>
        <v>0</v>
      </c>
      <c r="HQ74" s="65"/>
      <c r="HR74" s="74"/>
      <c r="HS74" s="73">
        <f t="shared" si="233"/>
        <v>0</v>
      </c>
      <c r="HT74" s="65"/>
      <c r="HU74" s="74"/>
      <c r="HV74" s="73">
        <f t="shared" si="233"/>
        <v>0</v>
      </c>
      <c r="HW74" s="65"/>
      <c r="HX74" s="74"/>
      <c r="HY74" s="73">
        <f t="shared" si="239"/>
        <v>0</v>
      </c>
      <c r="HZ74" s="65"/>
      <c r="IA74" s="74"/>
      <c r="IB74" s="73">
        <f t="shared" si="239"/>
        <v>0</v>
      </c>
      <c r="IC74" s="65"/>
      <c r="ID74" s="74"/>
      <c r="IE74" s="73">
        <f t="shared" si="239"/>
        <v>0</v>
      </c>
      <c r="IF74" s="65"/>
      <c r="IG74" s="74"/>
      <c r="IH74" s="73">
        <f t="shared" si="239"/>
        <v>0</v>
      </c>
      <c r="II74" s="65"/>
      <c r="IJ74" s="74"/>
      <c r="IK74" s="73">
        <f t="shared" si="239"/>
        <v>0</v>
      </c>
      <c r="IL74" s="65"/>
      <c r="IM74" s="74"/>
      <c r="IN74" s="73">
        <f t="shared" si="239"/>
        <v>0</v>
      </c>
      <c r="IO74" s="65"/>
      <c r="IP74" s="74"/>
      <c r="IQ74" s="73">
        <f t="shared" si="239"/>
        <v>0</v>
      </c>
      <c r="IR74" s="65"/>
      <c r="IS74" s="74"/>
      <c r="IT74" s="73">
        <f t="shared" si="239"/>
        <v>0</v>
      </c>
      <c r="IU74" s="65"/>
      <c r="IV74" s="74"/>
      <c r="IW74" s="73">
        <f t="shared" si="239"/>
        <v>0</v>
      </c>
      <c r="IX74" s="65"/>
      <c r="IY74" s="74"/>
      <c r="IZ74" s="73">
        <f t="shared" si="239"/>
        <v>0</v>
      </c>
      <c r="JA74" s="65"/>
      <c r="JB74" s="74"/>
      <c r="JC74" s="73">
        <f t="shared" si="239"/>
        <v>0</v>
      </c>
      <c r="JD74" s="65"/>
      <c r="JE74" s="74"/>
      <c r="JF74" s="73">
        <f t="shared" si="239"/>
        <v>0</v>
      </c>
      <c r="JG74" s="65"/>
      <c r="JH74" s="74"/>
      <c r="JI74" s="73">
        <f t="shared" si="239"/>
        <v>0</v>
      </c>
      <c r="JJ74" s="65"/>
      <c r="JK74" s="74"/>
      <c r="JL74" s="73">
        <f t="shared" si="239"/>
        <v>0</v>
      </c>
      <c r="JM74" s="65"/>
      <c r="JN74" s="74"/>
      <c r="JO74" s="73">
        <f t="shared" si="239"/>
        <v>0</v>
      </c>
      <c r="JP74" s="65"/>
      <c r="JQ74" s="74"/>
      <c r="JR74" s="73">
        <f t="shared" si="239"/>
        <v>0</v>
      </c>
      <c r="JS74" s="65"/>
      <c r="JT74" s="74"/>
      <c r="JU74" s="73">
        <f t="shared" si="239"/>
        <v>0</v>
      </c>
      <c r="JV74" s="65"/>
      <c r="JW74" s="74"/>
      <c r="JX74" s="73">
        <f t="shared" si="239"/>
        <v>0</v>
      </c>
      <c r="JY74" s="65"/>
      <c r="JZ74" s="74"/>
      <c r="KA74" s="73">
        <f t="shared" si="239"/>
        <v>0</v>
      </c>
      <c r="KB74" s="65"/>
      <c r="KC74" s="74"/>
      <c r="KD74" s="73">
        <f t="shared" si="239"/>
        <v>0</v>
      </c>
      <c r="KE74" s="65"/>
      <c r="KF74" s="74"/>
      <c r="KG74" s="73">
        <f t="shared" si="239"/>
        <v>0</v>
      </c>
      <c r="KH74" s="65"/>
      <c r="KI74" s="74"/>
      <c r="KJ74" s="73">
        <f t="shared" si="239"/>
        <v>0</v>
      </c>
      <c r="KK74" s="65"/>
      <c r="KL74" s="74"/>
      <c r="KM74" s="73">
        <f t="shared" si="235"/>
        <v>0</v>
      </c>
      <c r="KN74" s="65"/>
      <c r="KO74" s="74"/>
      <c r="KP74" s="73">
        <f t="shared" si="235"/>
        <v>0</v>
      </c>
      <c r="KQ74" s="65"/>
      <c r="KR74" s="74"/>
      <c r="KS74" s="73">
        <f t="shared" si="235"/>
        <v>0</v>
      </c>
      <c r="KT74" s="65"/>
      <c r="KU74" s="74"/>
      <c r="KV74" s="73">
        <f t="shared" si="235"/>
        <v>0</v>
      </c>
      <c r="KW74" s="65"/>
      <c r="KX74" s="74"/>
      <c r="KY74" s="73">
        <f t="shared" si="235"/>
        <v>0</v>
      </c>
      <c r="KZ74" s="65"/>
      <c r="LA74" s="74"/>
      <c r="LB74" s="73">
        <f t="shared" si="235"/>
        <v>0</v>
      </c>
      <c r="LC74" s="65"/>
      <c r="LD74" s="74"/>
      <c r="LE74" s="73">
        <f t="shared" si="235"/>
        <v>0</v>
      </c>
      <c r="LF74" s="65"/>
      <c r="LG74" s="65"/>
    </row>
    <row r="75" spans="1:319">
      <c r="A75" s="49"/>
      <c r="B75" s="49"/>
      <c r="C75" s="49"/>
      <c r="D75" s="49"/>
      <c r="E75" s="111"/>
      <c r="F75" s="445">
        <f t="shared" si="236"/>
        <v>20</v>
      </c>
      <c r="G75" s="445">
        <f ca="1">VLOOKUP(H75,Equipos!$Q$1:$R$25,2,0)</f>
        <v>18</v>
      </c>
      <c r="H75" s="446">
        <f ca="1">TRUNC(INDEX(WORLDCUP!$X$4:$X$147,MATCH(ADMIN!K75,WORLDCUP!$DT$4:$DT$147,0))+INDEX(Horarios!$R$3:$R$86,MATCH(Horarios!$C$3,Horarios!$P$3:$P$86,0))/24)</f>
        <v>46201</v>
      </c>
      <c r="I75" s="48">
        <v>1</v>
      </c>
      <c r="J75" s="95" t="s">
        <v>188</v>
      </c>
      <c r="K75" s="56" t="str">
        <f ca="1">CONCATENATE(WORLDCUP!AA89,"-",WORLDCUP!AF89)</f>
        <v>DR Congo-Uzbekistan</v>
      </c>
      <c r="L75" s="53"/>
      <c r="M75" s="55" t="str">
        <f>IF(OR(WORLDCUP!AC89="",WORLDCUP!AD89=""),"-",N75&amp;"|"&amp;O75&amp;"-"&amp;P75)</f>
        <v>1|3-1</v>
      </c>
      <c r="N75" s="25" t="str">
        <f>IF(OR(WORLDCUP!AC89="",WORLDCUP!AD89=""),"",IF(WORLDCUP!AC89&gt;WORLDCUP!AD89,"1",IF(WORLDCUP!AC89&lt;WORLDCUP!AD89,"2","X")))</f>
        <v>1</v>
      </c>
      <c r="O75" s="25">
        <f>WORLDCUP!AC89</f>
        <v>3</v>
      </c>
      <c r="P75" s="25">
        <f>WORLDCUP!AD89</f>
        <v>1</v>
      </c>
      <c r="Q75" s="25">
        <f t="shared" si="237"/>
        <v>2</v>
      </c>
      <c r="R75" s="49"/>
      <c r="S75" s="74" t="s">
        <v>1955</v>
      </c>
      <c r="T75" s="73">
        <f t="shared" si="238"/>
        <v>0</v>
      </c>
      <c r="U75" s="65"/>
      <c r="V75" s="74" t="s">
        <v>1959</v>
      </c>
      <c r="W75" s="73">
        <f t="shared" ref="W75:W77" si="240">IFERROR(IF($M75=V75,($D$8+$D$9+$D$10)*$I75,IF($N75=LEFT(V75,1),($D$8+MAX(0,IF($D$50=1,$D$9*(1-(ABS($Q75-ABS(VALUE(MID(V75,FIND("|",V75)+1,FIND("-",V75)-FIND("|",V75)-1))-VALUE(MID(V75,FIND("-",V75)+1,10)))))*$D$50),$D$9*(1-(IF($N75="X",ABS($O75-VALUE(MID(V75,FIND("|",V75)+1,FIND("-",V75)-FIND("|",V75)-1))),ABS($Q75-ABS(VALUE(MID(V75,FIND("|",V75)+1,FIND("-",V75)-FIND("|",V75)-1))-VALUE(MID(V75,FIND("-",V75)+1,10)))))*$D$50)))))*$I75,0)),0)</f>
        <v>10</v>
      </c>
      <c r="X75" s="65"/>
      <c r="Y75" s="74" t="s">
        <v>1959</v>
      </c>
      <c r="Z75" s="73">
        <f t="shared" si="232"/>
        <v>10</v>
      </c>
      <c r="AA75" s="65"/>
      <c r="AB75" s="74" t="s">
        <v>1944</v>
      </c>
      <c r="AC75" s="73">
        <f t="shared" si="232"/>
        <v>0</v>
      </c>
      <c r="AD75" s="65"/>
      <c r="AE75" s="74" t="s">
        <v>1959</v>
      </c>
      <c r="AF75" s="73">
        <f t="shared" si="232"/>
        <v>10</v>
      </c>
      <c r="AG75" s="65"/>
      <c r="AH75" s="74" t="s">
        <v>1950</v>
      </c>
      <c r="AI75" s="73">
        <f t="shared" si="232"/>
        <v>12</v>
      </c>
      <c r="AJ75" s="65"/>
      <c r="AK75" s="74" t="s">
        <v>1957</v>
      </c>
      <c r="AL75" s="73">
        <f t="shared" si="232"/>
        <v>0</v>
      </c>
      <c r="AM75" s="65"/>
      <c r="AN75" s="74" t="s">
        <v>1954</v>
      </c>
      <c r="AO75" s="73">
        <f t="shared" si="232"/>
        <v>10</v>
      </c>
      <c r="AP75" s="65"/>
      <c r="AQ75" s="74" t="s">
        <v>1959</v>
      </c>
      <c r="AR75" s="73">
        <f t="shared" si="232"/>
        <v>10</v>
      </c>
      <c r="AS75" s="65"/>
      <c r="AT75" s="74" t="s">
        <v>1957</v>
      </c>
      <c r="AU75" s="73">
        <f t="shared" si="232"/>
        <v>0</v>
      </c>
      <c r="AV75" s="65"/>
      <c r="AW75" s="74" t="s">
        <v>1950</v>
      </c>
      <c r="AX75" s="73">
        <f t="shared" si="232"/>
        <v>12</v>
      </c>
      <c r="AY75" s="65"/>
      <c r="AZ75" s="74" t="s">
        <v>1954</v>
      </c>
      <c r="BA75" s="73">
        <f t="shared" si="232"/>
        <v>10</v>
      </c>
      <c r="BB75" s="65"/>
      <c r="BC75" s="74" t="s">
        <v>1953</v>
      </c>
      <c r="BD75" s="73">
        <f t="shared" si="232"/>
        <v>0</v>
      </c>
      <c r="BE75" s="65"/>
      <c r="BF75" s="74" t="s">
        <v>1957</v>
      </c>
      <c r="BG75" s="73">
        <f t="shared" si="232"/>
        <v>0</v>
      </c>
      <c r="BH75" s="65"/>
      <c r="BI75" s="74" t="s">
        <v>2133</v>
      </c>
      <c r="BJ75" s="73">
        <f t="shared" si="232"/>
        <v>0</v>
      </c>
      <c r="BK75" s="65"/>
      <c r="BL75" s="74" t="s">
        <v>1957</v>
      </c>
      <c r="BM75" s="73">
        <f t="shared" si="232"/>
        <v>0</v>
      </c>
      <c r="BN75" s="65"/>
      <c r="BO75" s="74" t="s">
        <v>2000</v>
      </c>
      <c r="BP75" s="73">
        <f t="shared" si="232"/>
        <v>0</v>
      </c>
      <c r="BQ75" s="65"/>
      <c r="BR75" s="74" t="s">
        <v>1957</v>
      </c>
      <c r="BS75" s="73">
        <f t="shared" si="232"/>
        <v>0</v>
      </c>
      <c r="BT75" s="65"/>
      <c r="BU75" s="74" t="s">
        <v>1959</v>
      </c>
      <c r="BV75" s="73">
        <f t="shared" si="232"/>
        <v>10</v>
      </c>
      <c r="BW75" s="65"/>
      <c r="BX75" s="74" t="s">
        <v>2133</v>
      </c>
      <c r="BY75" s="73">
        <f t="shared" si="232"/>
        <v>0</v>
      </c>
      <c r="BZ75" s="65"/>
      <c r="CA75" s="74" t="s">
        <v>1954</v>
      </c>
      <c r="CB75" s="73">
        <f t="shared" si="232"/>
        <v>10</v>
      </c>
      <c r="CC75" s="65"/>
      <c r="CD75" s="74" t="s">
        <v>2133</v>
      </c>
      <c r="CE75" s="73">
        <f t="shared" si="232"/>
        <v>0</v>
      </c>
      <c r="CF75" s="65"/>
      <c r="CG75" s="74" t="s">
        <v>1953</v>
      </c>
      <c r="CH75" s="73">
        <f t="shared" si="232"/>
        <v>0</v>
      </c>
      <c r="CI75" s="65"/>
      <c r="CJ75" s="74" t="s">
        <v>1944</v>
      </c>
      <c r="CK75" s="73">
        <f t="shared" si="231"/>
        <v>0</v>
      </c>
      <c r="CL75" s="65"/>
      <c r="CM75" s="74" t="s">
        <v>1957</v>
      </c>
      <c r="CN75" s="73">
        <f t="shared" si="231"/>
        <v>0</v>
      </c>
      <c r="CO75" s="65"/>
      <c r="CP75" s="74" t="s">
        <v>1957</v>
      </c>
      <c r="CQ75" s="73">
        <f t="shared" si="231"/>
        <v>0</v>
      </c>
      <c r="CR75" s="65"/>
      <c r="CS75" s="74" t="s">
        <v>2133</v>
      </c>
      <c r="CT75" s="73">
        <f t="shared" si="231"/>
        <v>0</v>
      </c>
      <c r="CU75" s="65"/>
      <c r="CV75" s="74" t="s">
        <v>2133</v>
      </c>
      <c r="CW75" s="73">
        <f t="shared" si="231"/>
        <v>0</v>
      </c>
      <c r="CX75" s="65"/>
      <c r="CY75" s="74" t="s">
        <v>1957</v>
      </c>
      <c r="CZ75" s="73">
        <f t="shared" si="231"/>
        <v>0</v>
      </c>
      <c r="DA75" s="65"/>
      <c r="DB75" s="74" t="s">
        <v>1957</v>
      </c>
      <c r="DC75" s="73">
        <f t="shared" si="231"/>
        <v>0</v>
      </c>
      <c r="DD75" s="65"/>
      <c r="DE75" s="74" t="s">
        <v>1953</v>
      </c>
      <c r="DF75" s="73">
        <f t="shared" si="231"/>
        <v>0</v>
      </c>
      <c r="DG75" s="65"/>
      <c r="DH75" s="74" t="s">
        <v>1944</v>
      </c>
      <c r="DI75" s="73">
        <f t="shared" si="231"/>
        <v>0</v>
      </c>
      <c r="DJ75" s="65"/>
      <c r="DK75" s="74" t="s">
        <v>1957</v>
      </c>
      <c r="DL75" s="73">
        <f t="shared" si="231"/>
        <v>0</v>
      </c>
      <c r="DM75" s="65"/>
      <c r="DN75" s="74" t="s">
        <v>2133</v>
      </c>
      <c r="DO75" s="73">
        <f t="shared" si="231"/>
        <v>0</v>
      </c>
      <c r="DP75" s="65"/>
      <c r="DQ75" s="74" t="s">
        <v>1944</v>
      </c>
      <c r="DR75" s="73">
        <f t="shared" si="231"/>
        <v>0</v>
      </c>
      <c r="DS75" s="65"/>
      <c r="DT75" s="74" t="s">
        <v>1957</v>
      </c>
      <c r="DU75" s="73">
        <f t="shared" si="231"/>
        <v>0</v>
      </c>
      <c r="DV75" s="65"/>
      <c r="DW75" s="74" t="s">
        <v>1948</v>
      </c>
      <c r="DX75" s="73">
        <f t="shared" si="234"/>
        <v>0</v>
      </c>
      <c r="DY75" s="65"/>
      <c r="DZ75" s="74" t="s">
        <v>1957</v>
      </c>
      <c r="EA75" s="73">
        <f t="shared" si="234"/>
        <v>0</v>
      </c>
      <c r="EB75" s="65"/>
      <c r="EC75" s="74" t="s">
        <v>2000</v>
      </c>
      <c r="ED75" s="73">
        <f t="shared" si="234"/>
        <v>0</v>
      </c>
      <c r="EE75" s="65"/>
      <c r="EF75" s="74" t="s">
        <v>1959</v>
      </c>
      <c r="EG75" s="73">
        <f t="shared" si="234"/>
        <v>10</v>
      </c>
      <c r="EH75" s="65"/>
      <c r="EI75" s="74" t="s">
        <v>1959</v>
      </c>
      <c r="EJ75" s="73">
        <f t="shared" si="234"/>
        <v>10</v>
      </c>
      <c r="EK75" s="65"/>
      <c r="EL75" s="74" t="s">
        <v>1944</v>
      </c>
      <c r="EM75" s="73">
        <f t="shared" si="234"/>
        <v>0</v>
      </c>
      <c r="EN75" s="65"/>
      <c r="EO75" s="74" t="s">
        <v>1957</v>
      </c>
      <c r="EP75" s="73">
        <f t="shared" si="234"/>
        <v>0</v>
      </c>
      <c r="EQ75" s="65"/>
      <c r="ER75" s="74" t="s">
        <v>1953</v>
      </c>
      <c r="ES75" s="73">
        <f t="shared" si="234"/>
        <v>0</v>
      </c>
      <c r="ET75" s="65"/>
      <c r="EU75" s="74" t="s">
        <v>1959</v>
      </c>
      <c r="EV75" s="73">
        <f t="shared" si="234"/>
        <v>10</v>
      </c>
      <c r="EW75" s="65"/>
      <c r="EX75" s="74" t="s">
        <v>1957</v>
      </c>
      <c r="EY75" s="73">
        <f t="shared" si="234"/>
        <v>0</v>
      </c>
      <c r="EZ75" s="65"/>
      <c r="FA75" s="74" t="s">
        <v>1957</v>
      </c>
      <c r="FB75" s="73">
        <f t="shared" si="234"/>
        <v>0</v>
      </c>
      <c r="FC75" s="65"/>
      <c r="FD75" s="74" t="s">
        <v>1957</v>
      </c>
      <c r="FE75" s="73">
        <f t="shared" si="234"/>
        <v>0</v>
      </c>
      <c r="FF75" s="65"/>
      <c r="FG75" s="74" t="s">
        <v>2000</v>
      </c>
      <c r="FH75" s="73">
        <f t="shared" si="234"/>
        <v>0</v>
      </c>
      <c r="FI75" s="65"/>
      <c r="FJ75" s="74" t="s">
        <v>1957</v>
      </c>
      <c r="FK75" s="73">
        <f t="shared" si="234"/>
        <v>0</v>
      </c>
      <c r="FL75" s="65"/>
      <c r="FM75" s="74" t="s">
        <v>1957</v>
      </c>
      <c r="FN75" s="73">
        <f t="shared" si="234"/>
        <v>0</v>
      </c>
      <c r="FO75" s="65"/>
      <c r="FP75" s="74" t="s">
        <v>1959</v>
      </c>
      <c r="FQ75" s="73">
        <f t="shared" si="234"/>
        <v>10</v>
      </c>
      <c r="FR75" s="65"/>
      <c r="FS75" s="74" t="s">
        <v>1957</v>
      </c>
      <c r="FT75" s="73">
        <f t="shared" si="234"/>
        <v>0</v>
      </c>
      <c r="FU75" s="65"/>
      <c r="FV75" s="74" t="s">
        <v>2000</v>
      </c>
      <c r="FW75" s="73">
        <f t="shared" si="234"/>
        <v>0</v>
      </c>
      <c r="FX75" s="65"/>
      <c r="FY75" s="74" t="s">
        <v>1953</v>
      </c>
      <c r="FZ75" s="73">
        <f t="shared" si="234"/>
        <v>0</v>
      </c>
      <c r="GA75" s="65"/>
      <c r="GB75" s="74" t="s">
        <v>1957</v>
      </c>
      <c r="GC75" s="73">
        <f t="shared" si="234"/>
        <v>0</v>
      </c>
      <c r="GD75" s="65"/>
      <c r="GE75" s="74" t="s">
        <v>1957</v>
      </c>
      <c r="GF75" s="73">
        <f t="shared" si="234"/>
        <v>0</v>
      </c>
      <c r="GG75" s="65"/>
      <c r="GH75" s="74" t="s">
        <v>2133</v>
      </c>
      <c r="GI75" s="73">
        <f t="shared" si="234"/>
        <v>0</v>
      </c>
      <c r="GJ75" s="65"/>
      <c r="GK75" s="74" t="s">
        <v>1957</v>
      </c>
      <c r="GL75" s="73">
        <f t="shared" si="233"/>
        <v>0</v>
      </c>
      <c r="GM75" s="65"/>
      <c r="GN75" s="74"/>
      <c r="GO75" s="73">
        <f t="shared" si="233"/>
        <v>0</v>
      </c>
      <c r="GP75" s="65"/>
      <c r="GQ75" s="74"/>
      <c r="GR75" s="73">
        <f t="shared" si="233"/>
        <v>0</v>
      </c>
      <c r="GS75" s="65"/>
      <c r="GT75" s="74"/>
      <c r="GU75" s="73">
        <f t="shared" si="233"/>
        <v>0</v>
      </c>
      <c r="GV75" s="65"/>
      <c r="GW75" s="74"/>
      <c r="GX75" s="73">
        <f t="shared" si="233"/>
        <v>0</v>
      </c>
      <c r="GY75" s="65"/>
      <c r="GZ75" s="74"/>
      <c r="HA75" s="73">
        <f t="shared" si="233"/>
        <v>0</v>
      </c>
      <c r="HB75" s="65"/>
      <c r="HC75" s="74"/>
      <c r="HD75" s="73">
        <f t="shared" si="233"/>
        <v>0</v>
      </c>
      <c r="HE75" s="65"/>
      <c r="HF75" s="74"/>
      <c r="HG75" s="73">
        <f t="shared" si="233"/>
        <v>0</v>
      </c>
      <c r="HH75" s="65"/>
      <c r="HI75" s="74"/>
      <c r="HJ75" s="73">
        <f t="shared" si="233"/>
        <v>0</v>
      </c>
      <c r="HK75" s="65"/>
      <c r="HL75" s="74"/>
      <c r="HM75" s="73">
        <f t="shared" si="233"/>
        <v>0</v>
      </c>
      <c r="HN75" s="65"/>
      <c r="HO75" s="74"/>
      <c r="HP75" s="73">
        <f t="shared" si="233"/>
        <v>0</v>
      </c>
      <c r="HQ75" s="65"/>
      <c r="HR75" s="74"/>
      <c r="HS75" s="73">
        <f t="shared" si="233"/>
        <v>0</v>
      </c>
      <c r="HT75" s="65"/>
      <c r="HU75" s="74"/>
      <c r="HV75" s="73">
        <f t="shared" si="233"/>
        <v>0</v>
      </c>
      <c r="HW75" s="65"/>
      <c r="HX75" s="74"/>
      <c r="HY75" s="73">
        <f t="shared" si="239"/>
        <v>0</v>
      </c>
      <c r="HZ75" s="65"/>
      <c r="IA75" s="74"/>
      <c r="IB75" s="73">
        <f t="shared" si="239"/>
        <v>0</v>
      </c>
      <c r="IC75" s="65"/>
      <c r="ID75" s="74"/>
      <c r="IE75" s="73">
        <f t="shared" si="239"/>
        <v>0</v>
      </c>
      <c r="IF75" s="65"/>
      <c r="IG75" s="74"/>
      <c r="IH75" s="73">
        <f t="shared" si="239"/>
        <v>0</v>
      </c>
      <c r="II75" s="65"/>
      <c r="IJ75" s="74"/>
      <c r="IK75" s="73">
        <f t="shared" si="239"/>
        <v>0</v>
      </c>
      <c r="IL75" s="65"/>
      <c r="IM75" s="74"/>
      <c r="IN75" s="73">
        <f t="shared" si="239"/>
        <v>0</v>
      </c>
      <c r="IO75" s="65"/>
      <c r="IP75" s="74"/>
      <c r="IQ75" s="73">
        <f t="shared" si="239"/>
        <v>0</v>
      </c>
      <c r="IR75" s="65"/>
      <c r="IS75" s="74"/>
      <c r="IT75" s="73">
        <f t="shared" si="239"/>
        <v>0</v>
      </c>
      <c r="IU75" s="65"/>
      <c r="IV75" s="74"/>
      <c r="IW75" s="73">
        <f t="shared" si="239"/>
        <v>0</v>
      </c>
      <c r="IX75" s="65"/>
      <c r="IY75" s="74"/>
      <c r="IZ75" s="73">
        <f t="shared" si="239"/>
        <v>0</v>
      </c>
      <c r="JA75" s="65"/>
      <c r="JB75" s="74"/>
      <c r="JC75" s="73">
        <f t="shared" si="239"/>
        <v>0</v>
      </c>
      <c r="JD75" s="65"/>
      <c r="JE75" s="74"/>
      <c r="JF75" s="73">
        <f t="shared" si="239"/>
        <v>0</v>
      </c>
      <c r="JG75" s="65"/>
      <c r="JH75" s="74"/>
      <c r="JI75" s="73">
        <f t="shared" si="239"/>
        <v>0</v>
      </c>
      <c r="JJ75" s="65"/>
      <c r="JK75" s="74"/>
      <c r="JL75" s="73">
        <f t="shared" si="239"/>
        <v>0</v>
      </c>
      <c r="JM75" s="65"/>
      <c r="JN75" s="74"/>
      <c r="JO75" s="73">
        <f t="shared" si="239"/>
        <v>0</v>
      </c>
      <c r="JP75" s="65"/>
      <c r="JQ75" s="74"/>
      <c r="JR75" s="73">
        <f t="shared" si="239"/>
        <v>0</v>
      </c>
      <c r="JS75" s="65"/>
      <c r="JT75" s="74"/>
      <c r="JU75" s="73">
        <f t="shared" si="239"/>
        <v>0</v>
      </c>
      <c r="JV75" s="65"/>
      <c r="JW75" s="74"/>
      <c r="JX75" s="73">
        <f t="shared" si="239"/>
        <v>0</v>
      </c>
      <c r="JY75" s="65"/>
      <c r="JZ75" s="74"/>
      <c r="KA75" s="73">
        <f t="shared" si="239"/>
        <v>0</v>
      </c>
      <c r="KB75" s="65"/>
      <c r="KC75" s="74"/>
      <c r="KD75" s="73">
        <f t="shared" si="239"/>
        <v>0</v>
      </c>
      <c r="KE75" s="65"/>
      <c r="KF75" s="74"/>
      <c r="KG75" s="73">
        <f t="shared" si="239"/>
        <v>0</v>
      </c>
      <c r="KH75" s="65"/>
      <c r="KI75" s="74"/>
      <c r="KJ75" s="73">
        <f t="shared" si="239"/>
        <v>0</v>
      </c>
      <c r="KK75" s="65"/>
      <c r="KL75" s="74"/>
      <c r="KM75" s="73">
        <f t="shared" si="235"/>
        <v>0</v>
      </c>
      <c r="KN75" s="65"/>
      <c r="KO75" s="74"/>
      <c r="KP75" s="73">
        <f t="shared" si="235"/>
        <v>0</v>
      </c>
      <c r="KQ75" s="65"/>
      <c r="KR75" s="74"/>
      <c r="KS75" s="73">
        <f t="shared" si="235"/>
        <v>0</v>
      </c>
      <c r="KT75" s="65"/>
      <c r="KU75" s="74"/>
      <c r="KV75" s="73">
        <f t="shared" si="235"/>
        <v>0</v>
      </c>
      <c r="KW75" s="65"/>
      <c r="KX75" s="74"/>
      <c r="KY75" s="73">
        <f t="shared" si="235"/>
        <v>0</v>
      </c>
      <c r="KZ75" s="65"/>
      <c r="LA75" s="74"/>
      <c r="LB75" s="73">
        <f t="shared" si="235"/>
        <v>0</v>
      </c>
      <c r="LC75" s="65"/>
      <c r="LD75" s="74"/>
      <c r="LE75" s="73">
        <f t="shared" si="235"/>
        <v>0</v>
      </c>
      <c r="LF75" s="65"/>
      <c r="LG75" s="65"/>
    </row>
    <row r="76" spans="1:319">
      <c r="A76" s="49"/>
      <c r="B76" s="49"/>
      <c r="C76" s="17"/>
      <c r="D76" s="17"/>
      <c r="E76" s="111"/>
      <c r="F76" s="445">
        <f t="shared" si="236"/>
        <v>20</v>
      </c>
      <c r="G76" s="445">
        <f ca="1">VLOOKUP(H76,Equipos!$Q$1:$R$25,2,0)</f>
        <v>18</v>
      </c>
      <c r="H76" s="446">
        <f ca="1">TRUNC(INDEX(WORLDCUP!$X$4:$X$147,MATCH(ADMIN!K76,WORLDCUP!$DT$4:$DT$147,0))+INDEX(Horarios!$R$3:$R$86,MATCH(Horarios!$C$3,Horarios!$P$3:$P$86,0))/24)</f>
        <v>46201</v>
      </c>
      <c r="I76" s="48">
        <v>1</v>
      </c>
      <c r="J76" s="96" t="s">
        <v>1198</v>
      </c>
      <c r="K76" s="53" t="str">
        <f ca="1">CONCATENATE(WORLDCUP!AA96,"-",WORLDCUP!AF96)</f>
        <v>Panama-England</v>
      </c>
      <c r="L76" s="53"/>
      <c r="M76" s="55" t="str">
        <f>IF(OR(WORLDCUP!AC96="",WORLDCUP!AD96=""),"-",N76&amp;"|"&amp;O76&amp;"-"&amp;P76)</f>
        <v>2|0-2</v>
      </c>
      <c r="N76" s="25" t="str">
        <f>IF(OR(WORLDCUP!AC96="",WORLDCUP!AD96=""),"",IF(WORLDCUP!AC96&gt;WORLDCUP!AD96,"1",IF(WORLDCUP!AC96&lt;WORLDCUP!AD96,"2","X")))</f>
        <v>2</v>
      </c>
      <c r="O76" s="25">
        <f>WORLDCUP!AC96</f>
        <v>0</v>
      </c>
      <c r="P76" s="25">
        <f>WORLDCUP!AD96</f>
        <v>2</v>
      </c>
      <c r="Q76" s="25">
        <f t="shared" si="237"/>
        <v>2</v>
      </c>
      <c r="R76" s="49"/>
      <c r="S76" s="74" t="s">
        <v>1957</v>
      </c>
      <c r="T76" s="73">
        <f t="shared" si="238"/>
        <v>0</v>
      </c>
      <c r="U76" s="65"/>
      <c r="V76" s="74" t="s">
        <v>1960</v>
      </c>
      <c r="W76" s="73">
        <f t="shared" si="240"/>
        <v>20</v>
      </c>
      <c r="X76" s="65"/>
      <c r="Y76" s="74" t="s">
        <v>1948</v>
      </c>
      <c r="Z76" s="73">
        <f t="shared" si="232"/>
        <v>10</v>
      </c>
      <c r="AA76" s="65"/>
      <c r="AB76" s="74" t="s">
        <v>1948</v>
      </c>
      <c r="AC76" s="73">
        <f t="shared" si="232"/>
        <v>10</v>
      </c>
      <c r="AD76" s="65"/>
      <c r="AE76" s="74" t="s">
        <v>1960</v>
      </c>
      <c r="AF76" s="73">
        <f t="shared" si="232"/>
        <v>20</v>
      </c>
      <c r="AG76" s="65"/>
      <c r="AH76" s="74" t="s">
        <v>1948</v>
      </c>
      <c r="AI76" s="73">
        <f t="shared" si="232"/>
        <v>10</v>
      </c>
      <c r="AJ76" s="65"/>
      <c r="AK76" s="74" t="s">
        <v>1955</v>
      </c>
      <c r="AL76" s="73">
        <f t="shared" si="232"/>
        <v>12</v>
      </c>
      <c r="AM76" s="65"/>
      <c r="AN76" s="74" t="s">
        <v>1953</v>
      </c>
      <c r="AO76" s="73">
        <f t="shared" si="232"/>
        <v>10</v>
      </c>
      <c r="AP76" s="65"/>
      <c r="AQ76" s="74" t="s">
        <v>1953</v>
      </c>
      <c r="AR76" s="73">
        <f t="shared" si="232"/>
        <v>10</v>
      </c>
      <c r="AS76" s="65"/>
      <c r="AT76" s="74" t="s">
        <v>2000</v>
      </c>
      <c r="AU76" s="73">
        <f t="shared" si="232"/>
        <v>10</v>
      </c>
      <c r="AV76" s="65"/>
      <c r="AW76" s="74" t="s">
        <v>1953</v>
      </c>
      <c r="AX76" s="73">
        <f t="shared" si="232"/>
        <v>10</v>
      </c>
      <c r="AY76" s="65"/>
      <c r="AZ76" s="74" t="s">
        <v>1953</v>
      </c>
      <c r="BA76" s="73">
        <f t="shared" si="232"/>
        <v>10</v>
      </c>
      <c r="BB76" s="65"/>
      <c r="BC76" s="74" t="s">
        <v>1951</v>
      </c>
      <c r="BD76" s="73">
        <f t="shared" si="232"/>
        <v>10</v>
      </c>
      <c r="BE76" s="65"/>
      <c r="BF76" s="74" t="s">
        <v>1960</v>
      </c>
      <c r="BG76" s="73">
        <f t="shared" si="232"/>
        <v>20</v>
      </c>
      <c r="BH76" s="65"/>
      <c r="BI76" s="74" t="s">
        <v>2000</v>
      </c>
      <c r="BJ76" s="73">
        <f t="shared" si="232"/>
        <v>10</v>
      </c>
      <c r="BK76" s="65"/>
      <c r="BL76" s="74" t="s">
        <v>2106</v>
      </c>
      <c r="BM76" s="73">
        <f t="shared" si="232"/>
        <v>10</v>
      </c>
      <c r="BN76" s="65"/>
      <c r="BO76" s="74" t="s">
        <v>2106</v>
      </c>
      <c r="BP76" s="73">
        <f t="shared" si="232"/>
        <v>10</v>
      </c>
      <c r="BQ76" s="65"/>
      <c r="BR76" s="74" t="s">
        <v>2106</v>
      </c>
      <c r="BS76" s="73">
        <f t="shared" si="232"/>
        <v>10</v>
      </c>
      <c r="BT76" s="65"/>
      <c r="BU76" s="74" t="s">
        <v>1960</v>
      </c>
      <c r="BV76" s="73">
        <f t="shared" si="232"/>
        <v>20</v>
      </c>
      <c r="BW76" s="65"/>
      <c r="BX76" s="74" t="s">
        <v>1948</v>
      </c>
      <c r="BY76" s="73">
        <f t="shared" si="232"/>
        <v>10</v>
      </c>
      <c r="BZ76" s="65"/>
      <c r="CA76" s="74" t="s">
        <v>1955</v>
      </c>
      <c r="CB76" s="73">
        <f t="shared" si="232"/>
        <v>12</v>
      </c>
      <c r="CC76" s="65"/>
      <c r="CD76" s="74" t="s">
        <v>2000</v>
      </c>
      <c r="CE76" s="73">
        <f t="shared" si="232"/>
        <v>10</v>
      </c>
      <c r="CF76" s="65"/>
      <c r="CG76" s="74" t="s">
        <v>2106</v>
      </c>
      <c r="CH76" s="73">
        <f t="shared" si="232"/>
        <v>10</v>
      </c>
      <c r="CI76" s="65"/>
      <c r="CJ76" s="74" t="s">
        <v>1953</v>
      </c>
      <c r="CK76" s="73">
        <f t="shared" si="231"/>
        <v>10</v>
      </c>
      <c r="CL76" s="65"/>
      <c r="CM76" s="74" t="s">
        <v>1960</v>
      </c>
      <c r="CN76" s="73">
        <f t="shared" si="231"/>
        <v>20</v>
      </c>
      <c r="CO76" s="65"/>
      <c r="CP76" s="74" t="s">
        <v>1948</v>
      </c>
      <c r="CQ76" s="73">
        <f t="shared" si="231"/>
        <v>10</v>
      </c>
      <c r="CR76" s="65"/>
      <c r="CS76" s="74" t="s">
        <v>2131</v>
      </c>
      <c r="CT76" s="73">
        <f t="shared" si="231"/>
        <v>10</v>
      </c>
      <c r="CU76" s="65"/>
      <c r="CV76" s="74" t="s">
        <v>1955</v>
      </c>
      <c r="CW76" s="73">
        <f t="shared" si="231"/>
        <v>12</v>
      </c>
      <c r="CX76" s="65"/>
      <c r="CY76" s="74" t="s">
        <v>2106</v>
      </c>
      <c r="CZ76" s="73">
        <f t="shared" si="231"/>
        <v>10</v>
      </c>
      <c r="DA76" s="65"/>
      <c r="DB76" s="74" t="s">
        <v>1955</v>
      </c>
      <c r="DC76" s="73">
        <f t="shared" si="231"/>
        <v>12</v>
      </c>
      <c r="DD76" s="65"/>
      <c r="DE76" s="74" t="s">
        <v>1948</v>
      </c>
      <c r="DF76" s="73">
        <f t="shared" si="231"/>
        <v>10</v>
      </c>
      <c r="DG76" s="65"/>
      <c r="DH76" s="74" t="s">
        <v>2572</v>
      </c>
      <c r="DI76" s="73">
        <f t="shared" si="231"/>
        <v>12</v>
      </c>
      <c r="DJ76" s="65"/>
      <c r="DK76" s="74" t="s">
        <v>1960</v>
      </c>
      <c r="DL76" s="73">
        <f t="shared" si="231"/>
        <v>20</v>
      </c>
      <c r="DM76" s="65"/>
      <c r="DN76" s="74" t="s">
        <v>1948</v>
      </c>
      <c r="DO76" s="73">
        <f t="shared" si="231"/>
        <v>10</v>
      </c>
      <c r="DP76" s="65"/>
      <c r="DQ76" s="74" t="s">
        <v>1948</v>
      </c>
      <c r="DR76" s="73">
        <f t="shared" si="231"/>
        <v>10</v>
      </c>
      <c r="DS76" s="65"/>
      <c r="DT76" s="74" t="s">
        <v>1948</v>
      </c>
      <c r="DU76" s="73">
        <f t="shared" si="231"/>
        <v>10</v>
      </c>
      <c r="DV76" s="65"/>
      <c r="DW76" s="74" t="s">
        <v>1948</v>
      </c>
      <c r="DX76" s="73">
        <f t="shared" si="234"/>
        <v>10</v>
      </c>
      <c r="DY76" s="65"/>
      <c r="DZ76" s="74" t="s">
        <v>1948</v>
      </c>
      <c r="EA76" s="73">
        <f t="shared" si="234"/>
        <v>10</v>
      </c>
      <c r="EB76" s="65"/>
      <c r="EC76" s="74" t="s">
        <v>1948</v>
      </c>
      <c r="ED76" s="73">
        <f t="shared" si="234"/>
        <v>10</v>
      </c>
      <c r="EE76" s="65"/>
      <c r="EF76" s="74" t="s">
        <v>1953</v>
      </c>
      <c r="EG76" s="73">
        <f t="shared" si="234"/>
        <v>10</v>
      </c>
      <c r="EH76" s="65"/>
      <c r="EI76" s="74" t="s">
        <v>1948</v>
      </c>
      <c r="EJ76" s="73">
        <f t="shared" si="234"/>
        <v>10</v>
      </c>
      <c r="EK76" s="65"/>
      <c r="EL76" s="74" t="s">
        <v>1948</v>
      </c>
      <c r="EM76" s="73">
        <f t="shared" si="234"/>
        <v>10</v>
      </c>
      <c r="EN76" s="65"/>
      <c r="EO76" s="74" t="s">
        <v>2000</v>
      </c>
      <c r="EP76" s="73">
        <f t="shared" si="234"/>
        <v>10</v>
      </c>
      <c r="EQ76" s="65"/>
      <c r="ER76" s="74" t="s">
        <v>1953</v>
      </c>
      <c r="ES76" s="73">
        <f t="shared" si="234"/>
        <v>10</v>
      </c>
      <c r="ET76" s="65"/>
      <c r="EU76" s="74" t="s">
        <v>2106</v>
      </c>
      <c r="EV76" s="73">
        <f t="shared" si="234"/>
        <v>10</v>
      </c>
      <c r="EW76" s="65"/>
      <c r="EX76" s="74" t="s">
        <v>1948</v>
      </c>
      <c r="EY76" s="73">
        <f t="shared" si="234"/>
        <v>10</v>
      </c>
      <c r="EZ76" s="65"/>
      <c r="FA76" s="74" t="s">
        <v>1948</v>
      </c>
      <c r="FB76" s="73">
        <f t="shared" si="234"/>
        <v>10</v>
      </c>
      <c r="FC76" s="65"/>
      <c r="FD76" s="74" t="s">
        <v>1948</v>
      </c>
      <c r="FE76" s="73">
        <f t="shared" si="234"/>
        <v>10</v>
      </c>
      <c r="FF76" s="65"/>
      <c r="FG76" s="74" t="s">
        <v>2634</v>
      </c>
      <c r="FH76" s="73">
        <f t="shared" si="234"/>
        <v>10</v>
      </c>
      <c r="FI76" s="65"/>
      <c r="FJ76" s="74" t="s">
        <v>1960</v>
      </c>
      <c r="FK76" s="73">
        <f t="shared" si="234"/>
        <v>20</v>
      </c>
      <c r="FL76" s="65"/>
      <c r="FM76" s="74" t="s">
        <v>1948</v>
      </c>
      <c r="FN76" s="73">
        <f t="shared" si="234"/>
        <v>10</v>
      </c>
      <c r="FO76" s="65"/>
      <c r="FP76" s="74" t="s">
        <v>1948</v>
      </c>
      <c r="FQ76" s="73">
        <f t="shared" si="234"/>
        <v>10</v>
      </c>
      <c r="FR76" s="65"/>
      <c r="FS76" s="74" t="s">
        <v>1948</v>
      </c>
      <c r="FT76" s="73">
        <f t="shared" si="234"/>
        <v>10</v>
      </c>
      <c r="FU76" s="65"/>
      <c r="FV76" s="74" t="s">
        <v>1960</v>
      </c>
      <c r="FW76" s="73">
        <f t="shared" si="234"/>
        <v>20</v>
      </c>
      <c r="FX76" s="65"/>
      <c r="FY76" s="74" t="s">
        <v>1948</v>
      </c>
      <c r="FZ76" s="73">
        <f t="shared" si="234"/>
        <v>10</v>
      </c>
      <c r="GA76" s="65"/>
      <c r="GB76" s="74" t="s">
        <v>1955</v>
      </c>
      <c r="GC76" s="73">
        <f t="shared" si="234"/>
        <v>12</v>
      </c>
      <c r="GD76" s="65"/>
      <c r="GE76" s="74" t="s">
        <v>2106</v>
      </c>
      <c r="GF76" s="73">
        <f t="shared" si="234"/>
        <v>10</v>
      </c>
      <c r="GG76" s="65"/>
      <c r="GH76" s="74" t="s">
        <v>2106</v>
      </c>
      <c r="GI76" s="73">
        <f t="shared" si="234"/>
        <v>10</v>
      </c>
      <c r="GJ76" s="65"/>
      <c r="GK76" s="74" t="s">
        <v>2106</v>
      </c>
      <c r="GL76" s="73">
        <f t="shared" si="233"/>
        <v>10</v>
      </c>
      <c r="GM76" s="65"/>
      <c r="GN76" s="74"/>
      <c r="GO76" s="73">
        <f t="shared" si="233"/>
        <v>0</v>
      </c>
      <c r="GP76" s="65"/>
      <c r="GQ76" s="74"/>
      <c r="GR76" s="73">
        <f t="shared" si="233"/>
        <v>0</v>
      </c>
      <c r="GS76" s="65"/>
      <c r="GT76" s="74"/>
      <c r="GU76" s="73">
        <f t="shared" si="233"/>
        <v>0</v>
      </c>
      <c r="GV76" s="65"/>
      <c r="GW76" s="74"/>
      <c r="GX76" s="73">
        <f t="shared" si="233"/>
        <v>0</v>
      </c>
      <c r="GY76" s="65"/>
      <c r="GZ76" s="74"/>
      <c r="HA76" s="73">
        <f t="shared" si="233"/>
        <v>0</v>
      </c>
      <c r="HB76" s="65"/>
      <c r="HC76" s="74"/>
      <c r="HD76" s="73">
        <f t="shared" si="233"/>
        <v>0</v>
      </c>
      <c r="HE76" s="65"/>
      <c r="HF76" s="74"/>
      <c r="HG76" s="73">
        <f t="shared" si="233"/>
        <v>0</v>
      </c>
      <c r="HH76" s="65"/>
      <c r="HI76" s="74"/>
      <c r="HJ76" s="73">
        <f t="shared" si="233"/>
        <v>0</v>
      </c>
      <c r="HK76" s="65"/>
      <c r="HL76" s="74"/>
      <c r="HM76" s="73">
        <f t="shared" si="233"/>
        <v>0</v>
      </c>
      <c r="HN76" s="65"/>
      <c r="HO76" s="74"/>
      <c r="HP76" s="73">
        <f t="shared" si="233"/>
        <v>0</v>
      </c>
      <c r="HQ76" s="65"/>
      <c r="HR76" s="74"/>
      <c r="HS76" s="73">
        <f t="shared" si="233"/>
        <v>0</v>
      </c>
      <c r="HT76" s="65"/>
      <c r="HU76" s="74"/>
      <c r="HV76" s="73">
        <f t="shared" si="233"/>
        <v>0</v>
      </c>
      <c r="HW76" s="65"/>
      <c r="HX76" s="74"/>
      <c r="HY76" s="73">
        <f t="shared" si="239"/>
        <v>0</v>
      </c>
      <c r="HZ76" s="65"/>
      <c r="IA76" s="74"/>
      <c r="IB76" s="73">
        <f t="shared" si="239"/>
        <v>0</v>
      </c>
      <c r="IC76" s="65"/>
      <c r="ID76" s="74"/>
      <c r="IE76" s="73">
        <f t="shared" si="239"/>
        <v>0</v>
      </c>
      <c r="IF76" s="65"/>
      <c r="IG76" s="74"/>
      <c r="IH76" s="73">
        <f t="shared" si="239"/>
        <v>0</v>
      </c>
      <c r="II76" s="65"/>
      <c r="IJ76" s="74"/>
      <c r="IK76" s="73">
        <f t="shared" si="239"/>
        <v>0</v>
      </c>
      <c r="IL76" s="65"/>
      <c r="IM76" s="74"/>
      <c r="IN76" s="73">
        <f t="shared" si="239"/>
        <v>0</v>
      </c>
      <c r="IO76" s="65"/>
      <c r="IP76" s="74"/>
      <c r="IQ76" s="73">
        <f t="shared" si="239"/>
        <v>0</v>
      </c>
      <c r="IR76" s="65"/>
      <c r="IS76" s="74"/>
      <c r="IT76" s="73">
        <f t="shared" si="239"/>
        <v>0</v>
      </c>
      <c r="IU76" s="65"/>
      <c r="IV76" s="74"/>
      <c r="IW76" s="73">
        <f t="shared" si="239"/>
        <v>0</v>
      </c>
      <c r="IX76" s="65"/>
      <c r="IY76" s="74"/>
      <c r="IZ76" s="73">
        <f t="shared" si="239"/>
        <v>0</v>
      </c>
      <c r="JA76" s="65"/>
      <c r="JB76" s="74"/>
      <c r="JC76" s="73">
        <f t="shared" si="239"/>
        <v>0</v>
      </c>
      <c r="JD76" s="65"/>
      <c r="JE76" s="74"/>
      <c r="JF76" s="73">
        <f t="shared" si="239"/>
        <v>0</v>
      </c>
      <c r="JG76" s="65"/>
      <c r="JH76" s="74"/>
      <c r="JI76" s="73">
        <f t="shared" si="239"/>
        <v>0</v>
      </c>
      <c r="JJ76" s="65"/>
      <c r="JK76" s="74"/>
      <c r="JL76" s="73">
        <f t="shared" si="239"/>
        <v>0</v>
      </c>
      <c r="JM76" s="65"/>
      <c r="JN76" s="74"/>
      <c r="JO76" s="73">
        <f t="shared" si="239"/>
        <v>0</v>
      </c>
      <c r="JP76" s="65"/>
      <c r="JQ76" s="74"/>
      <c r="JR76" s="73">
        <f t="shared" si="239"/>
        <v>0</v>
      </c>
      <c r="JS76" s="65"/>
      <c r="JT76" s="74"/>
      <c r="JU76" s="73">
        <f t="shared" si="239"/>
        <v>0</v>
      </c>
      <c r="JV76" s="65"/>
      <c r="JW76" s="74"/>
      <c r="JX76" s="73">
        <f t="shared" si="239"/>
        <v>0</v>
      </c>
      <c r="JY76" s="65"/>
      <c r="JZ76" s="74"/>
      <c r="KA76" s="73">
        <f t="shared" si="239"/>
        <v>0</v>
      </c>
      <c r="KB76" s="65"/>
      <c r="KC76" s="74"/>
      <c r="KD76" s="73">
        <f t="shared" si="239"/>
        <v>0</v>
      </c>
      <c r="KE76" s="65"/>
      <c r="KF76" s="74"/>
      <c r="KG76" s="73">
        <f t="shared" si="239"/>
        <v>0</v>
      </c>
      <c r="KH76" s="65"/>
      <c r="KI76" s="74"/>
      <c r="KJ76" s="73">
        <f t="shared" si="239"/>
        <v>0</v>
      </c>
      <c r="KK76" s="65"/>
      <c r="KL76" s="74"/>
      <c r="KM76" s="73">
        <f t="shared" si="235"/>
        <v>0</v>
      </c>
      <c r="KN76" s="65"/>
      <c r="KO76" s="74"/>
      <c r="KP76" s="73">
        <f t="shared" si="235"/>
        <v>0</v>
      </c>
      <c r="KQ76" s="65"/>
      <c r="KR76" s="74"/>
      <c r="KS76" s="73">
        <f t="shared" si="235"/>
        <v>0</v>
      </c>
      <c r="KT76" s="65"/>
      <c r="KU76" s="74"/>
      <c r="KV76" s="73">
        <f t="shared" si="235"/>
        <v>0</v>
      </c>
      <c r="KW76" s="65"/>
      <c r="KX76" s="74"/>
      <c r="KY76" s="73">
        <f t="shared" si="235"/>
        <v>0</v>
      </c>
      <c r="KZ76" s="65"/>
      <c r="LA76" s="74"/>
      <c r="LB76" s="73">
        <f t="shared" si="235"/>
        <v>0</v>
      </c>
      <c r="LC76" s="65"/>
      <c r="LD76" s="74"/>
      <c r="LE76" s="73">
        <f t="shared" si="235"/>
        <v>0</v>
      </c>
      <c r="LF76" s="65"/>
      <c r="LG76" s="65"/>
    </row>
    <row r="77" spans="1:319">
      <c r="A77" s="49"/>
      <c r="B77" s="49"/>
      <c r="C77" s="17"/>
      <c r="D77" s="17"/>
      <c r="E77" s="111"/>
      <c r="F77" s="445">
        <f t="shared" si="236"/>
        <v>20</v>
      </c>
      <c r="G77" s="445">
        <f ca="1">VLOOKUP(H77,Equipos!$Q$1:$R$25,2,0)</f>
        <v>18</v>
      </c>
      <c r="H77" s="446">
        <f ca="1">TRUNC(INDEX(WORLDCUP!$X$4:$X$147,MATCH(ADMIN!K77,WORLDCUP!$DT$4:$DT$147,0))+INDEX(Horarios!$R$3:$R$86,MATCH(Horarios!$C$3,Horarios!$P$3:$P$86,0))/24)</f>
        <v>46201</v>
      </c>
      <c r="I77" s="48">
        <v>1</v>
      </c>
      <c r="J77" s="96" t="s">
        <v>1198</v>
      </c>
      <c r="K77" s="115" t="str">
        <f ca="1">CONCATENATE(WORLDCUP!AA97,"-",WORLDCUP!AF97)</f>
        <v>Croatia-Ghana</v>
      </c>
      <c r="L77" s="115"/>
      <c r="M77" s="116" t="str">
        <f>IF(OR(WORLDCUP!AC97="",WORLDCUP!AD97=""),"-",N77&amp;"|"&amp;O77&amp;"-"&amp;P77)</f>
        <v>1|2-1</v>
      </c>
      <c r="N77" s="25" t="str">
        <f>IF(OR(WORLDCUP!AC97="",WORLDCUP!AD97=""),"",IF(WORLDCUP!AC97&gt;WORLDCUP!AD97,"1",IF(WORLDCUP!AC97&lt;WORLDCUP!AD97,"2","X")))</f>
        <v>1</v>
      </c>
      <c r="O77" s="25">
        <f>WORLDCUP!AC97</f>
        <v>2</v>
      </c>
      <c r="P77" s="25">
        <f>WORLDCUP!AD97</f>
        <v>1</v>
      </c>
      <c r="Q77" s="25">
        <f t="shared" si="237"/>
        <v>1</v>
      </c>
      <c r="R77" s="49"/>
      <c r="S77" s="80" t="s">
        <v>1944</v>
      </c>
      <c r="T77" s="81">
        <f t="shared" si="238"/>
        <v>0</v>
      </c>
      <c r="U77" s="65"/>
      <c r="V77" s="80" t="s">
        <v>1950</v>
      </c>
      <c r="W77" s="81">
        <f t="shared" si="240"/>
        <v>10</v>
      </c>
      <c r="X77" s="65"/>
      <c r="Y77" s="80" t="s">
        <v>1954</v>
      </c>
      <c r="Z77" s="81">
        <f t="shared" si="232"/>
        <v>20</v>
      </c>
      <c r="AA77" s="65"/>
      <c r="AB77" s="80" t="s">
        <v>1954</v>
      </c>
      <c r="AC77" s="81">
        <f t="shared" si="232"/>
        <v>20</v>
      </c>
      <c r="AD77" s="65"/>
      <c r="AE77" s="80" t="s">
        <v>1959</v>
      </c>
      <c r="AF77" s="81">
        <f t="shared" si="232"/>
        <v>12</v>
      </c>
      <c r="AG77" s="65"/>
      <c r="AH77" s="80" t="s">
        <v>1950</v>
      </c>
      <c r="AI77" s="81">
        <f t="shared" si="232"/>
        <v>10</v>
      </c>
      <c r="AJ77" s="65"/>
      <c r="AK77" s="80" t="s">
        <v>1950</v>
      </c>
      <c r="AL77" s="81">
        <f t="shared" si="232"/>
        <v>10</v>
      </c>
      <c r="AM77" s="65"/>
      <c r="AN77" s="80" t="s">
        <v>1953</v>
      </c>
      <c r="AO77" s="81">
        <f t="shared" si="232"/>
        <v>0</v>
      </c>
      <c r="AP77" s="65"/>
      <c r="AQ77" s="80" t="s">
        <v>1950</v>
      </c>
      <c r="AR77" s="81">
        <f t="shared" si="232"/>
        <v>10</v>
      </c>
      <c r="AS77" s="65"/>
      <c r="AT77" s="80" t="s">
        <v>1957</v>
      </c>
      <c r="AU77" s="81">
        <f t="shared" si="232"/>
        <v>0</v>
      </c>
      <c r="AV77" s="65"/>
      <c r="AW77" s="80" t="s">
        <v>1946</v>
      </c>
      <c r="AX77" s="81">
        <f t="shared" si="232"/>
        <v>0</v>
      </c>
      <c r="AY77" s="65"/>
      <c r="AZ77" s="80" t="s">
        <v>1954</v>
      </c>
      <c r="BA77" s="81">
        <f t="shared" si="232"/>
        <v>20</v>
      </c>
      <c r="BB77" s="65"/>
      <c r="BC77" s="80" t="s">
        <v>1954</v>
      </c>
      <c r="BD77" s="81">
        <f t="shared" si="232"/>
        <v>20</v>
      </c>
      <c r="BE77" s="65"/>
      <c r="BF77" s="80" t="s">
        <v>1954</v>
      </c>
      <c r="BG77" s="81">
        <f t="shared" si="232"/>
        <v>20</v>
      </c>
      <c r="BH77" s="65"/>
      <c r="BI77" s="80" t="s">
        <v>1957</v>
      </c>
      <c r="BJ77" s="81">
        <f t="shared" si="232"/>
        <v>0</v>
      </c>
      <c r="BK77" s="65"/>
      <c r="BL77" s="80" t="s">
        <v>1957</v>
      </c>
      <c r="BM77" s="81">
        <f t="shared" si="232"/>
        <v>0</v>
      </c>
      <c r="BN77" s="65"/>
      <c r="BO77" s="80" t="s">
        <v>1954</v>
      </c>
      <c r="BP77" s="81">
        <f t="shared" si="232"/>
        <v>20</v>
      </c>
      <c r="BQ77" s="65"/>
      <c r="BR77" s="80" t="s">
        <v>1959</v>
      </c>
      <c r="BS77" s="81">
        <f t="shared" si="232"/>
        <v>12</v>
      </c>
      <c r="BT77" s="65"/>
      <c r="BU77" s="80" t="s">
        <v>1959</v>
      </c>
      <c r="BV77" s="81">
        <f t="shared" si="232"/>
        <v>12</v>
      </c>
      <c r="BW77" s="65"/>
      <c r="BX77" s="80" t="s">
        <v>1954</v>
      </c>
      <c r="BY77" s="81">
        <f t="shared" si="232"/>
        <v>20</v>
      </c>
      <c r="BZ77" s="65"/>
      <c r="CA77" s="80" t="s">
        <v>1954</v>
      </c>
      <c r="CB77" s="81">
        <f t="shared" si="232"/>
        <v>20</v>
      </c>
      <c r="CC77" s="65"/>
      <c r="CD77" s="80" t="s">
        <v>1959</v>
      </c>
      <c r="CE77" s="81">
        <f t="shared" si="232"/>
        <v>12</v>
      </c>
      <c r="CF77" s="65"/>
      <c r="CG77" s="80" t="s">
        <v>1957</v>
      </c>
      <c r="CH77" s="81">
        <f t="shared" si="232"/>
        <v>0</v>
      </c>
      <c r="CI77" s="65"/>
      <c r="CJ77" s="80" t="s">
        <v>1944</v>
      </c>
      <c r="CK77" s="81">
        <f t="shared" si="231"/>
        <v>0</v>
      </c>
      <c r="CL77" s="65"/>
      <c r="CM77" s="80" t="s">
        <v>1954</v>
      </c>
      <c r="CN77" s="81">
        <f t="shared" si="231"/>
        <v>20</v>
      </c>
      <c r="CO77" s="65"/>
      <c r="CP77" s="80" t="s">
        <v>1959</v>
      </c>
      <c r="CQ77" s="81">
        <f t="shared" si="231"/>
        <v>12</v>
      </c>
      <c r="CR77" s="65"/>
      <c r="CS77" s="80" t="s">
        <v>1944</v>
      </c>
      <c r="CT77" s="81">
        <f t="shared" si="231"/>
        <v>0</v>
      </c>
      <c r="CU77" s="65"/>
      <c r="CV77" s="80" t="s">
        <v>1950</v>
      </c>
      <c r="CW77" s="81">
        <f t="shared" si="231"/>
        <v>10</v>
      </c>
      <c r="CX77" s="65"/>
      <c r="CY77" s="80" t="s">
        <v>1957</v>
      </c>
      <c r="CZ77" s="81">
        <f t="shared" si="231"/>
        <v>0</v>
      </c>
      <c r="DA77" s="65"/>
      <c r="DB77" s="80" t="s">
        <v>1949</v>
      </c>
      <c r="DC77" s="81">
        <f t="shared" si="231"/>
        <v>10</v>
      </c>
      <c r="DD77" s="65"/>
      <c r="DE77" s="80" t="s">
        <v>1950</v>
      </c>
      <c r="DF77" s="81">
        <f t="shared" si="231"/>
        <v>10</v>
      </c>
      <c r="DG77" s="65"/>
      <c r="DH77" s="80" t="s">
        <v>1950</v>
      </c>
      <c r="DI77" s="81">
        <f t="shared" si="231"/>
        <v>10</v>
      </c>
      <c r="DJ77" s="65"/>
      <c r="DK77" s="80" t="s">
        <v>1954</v>
      </c>
      <c r="DL77" s="81">
        <f t="shared" si="231"/>
        <v>20</v>
      </c>
      <c r="DM77" s="65"/>
      <c r="DN77" s="80" t="s">
        <v>1957</v>
      </c>
      <c r="DO77" s="81">
        <f t="shared" si="231"/>
        <v>0</v>
      </c>
      <c r="DP77" s="65"/>
      <c r="DQ77" s="80" t="s">
        <v>1957</v>
      </c>
      <c r="DR77" s="81">
        <f t="shared" si="231"/>
        <v>0</v>
      </c>
      <c r="DS77" s="65"/>
      <c r="DT77" s="80" t="s">
        <v>1957</v>
      </c>
      <c r="DU77" s="81">
        <f t="shared" si="231"/>
        <v>0</v>
      </c>
      <c r="DV77" s="65"/>
      <c r="DW77" s="80" t="s">
        <v>1950</v>
      </c>
      <c r="DX77" s="81">
        <f t="shared" si="234"/>
        <v>10</v>
      </c>
      <c r="DY77" s="65"/>
      <c r="DZ77" s="80" t="s">
        <v>1957</v>
      </c>
      <c r="EA77" s="81">
        <f t="shared" si="234"/>
        <v>0</v>
      </c>
      <c r="EB77" s="65"/>
      <c r="EC77" s="80" t="s">
        <v>1957</v>
      </c>
      <c r="ED77" s="81">
        <f t="shared" si="234"/>
        <v>0</v>
      </c>
      <c r="EE77" s="65"/>
      <c r="EF77" s="80" t="s">
        <v>2000</v>
      </c>
      <c r="EG77" s="81">
        <f t="shared" si="234"/>
        <v>0</v>
      </c>
      <c r="EH77" s="65"/>
      <c r="EI77" s="80" t="s">
        <v>1950</v>
      </c>
      <c r="EJ77" s="81">
        <f t="shared" si="234"/>
        <v>10</v>
      </c>
      <c r="EK77" s="65"/>
      <c r="EL77" s="80" t="s">
        <v>1954</v>
      </c>
      <c r="EM77" s="81">
        <f t="shared" si="234"/>
        <v>20</v>
      </c>
      <c r="EN77" s="65"/>
      <c r="EO77" s="80" t="s">
        <v>1950</v>
      </c>
      <c r="EP77" s="81">
        <f t="shared" si="234"/>
        <v>10</v>
      </c>
      <c r="EQ77" s="65"/>
      <c r="ER77" s="80" t="s">
        <v>1958</v>
      </c>
      <c r="ES77" s="81">
        <f t="shared" si="234"/>
        <v>10</v>
      </c>
      <c r="ET77" s="65"/>
      <c r="EU77" s="80" t="s">
        <v>1960</v>
      </c>
      <c r="EV77" s="81">
        <f t="shared" si="234"/>
        <v>0</v>
      </c>
      <c r="EW77" s="65"/>
      <c r="EX77" s="80" t="s">
        <v>1954</v>
      </c>
      <c r="EY77" s="81">
        <f t="shared" si="234"/>
        <v>20</v>
      </c>
      <c r="EZ77" s="65"/>
      <c r="FA77" s="80" t="s">
        <v>1957</v>
      </c>
      <c r="FB77" s="81">
        <f t="shared" si="234"/>
        <v>0</v>
      </c>
      <c r="FC77" s="65"/>
      <c r="FD77" s="80" t="s">
        <v>1957</v>
      </c>
      <c r="FE77" s="81">
        <f t="shared" si="234"/>
        <v>0</v>
      </c>
      <c r="FF77" s="65"/>
      <c r="FG77" s="80" t="s">
        <v>1954</v>
      </c>
      <c r="FH77" s="81">
        <f t="shared" si="234"/>
        <v>20</v>
      </c>
      <c r="FI77" s="65"/>
      <c r="FJ77" s="80" t="s">
        <v>1957</v>
      </c>
      <c r="FK77" s="81">
        <f t="shared" si="234"/>
        <v>0</v>
      </c>
      <c r="FL77" s="65"/>
      <c r="FM77" s="80" t="s">
        <v>1954</v>
      </c>
      <c r="FN77" s="81">
        <f t="shared" si="234"/>
        <v>20</v>
      </c>
      <c r="FO77" s="65"/>
      <c r="FP77" s="80" t="s">
        <v>1959</v>
      </c>
      <c r="FQ77" s="81">
        <f t="shared" si="234"/>
        <v>12</v>
      </c>
      <c r="FR77" s="65"/>
      <c r="FS77" s="80" t="s">
        <v>1954</v>
      </c>
      <c r="FT77" s="81">
        <f t="shared" si="234"/>
        <v>20</v>
      </c>
      <c r="FU77" s="65"/>
      <c r="FV77" s="80" t="s">
        <v>1957</v>
      </c>
      <c r="FW77" s="81">
        <f t="shared" si="234"/>
        <v>0</v>
      </c>
      <c r="FX77" s="65"/>
      <c r="FY77" s="80" t="s">
        <v>1954</v>
      </c>
      <c r="FZ77" s="81">
        <f t="shared" si="234"/>
        <v>20</v>
      </c>
      <c r="GA77" s="65"/>
      <c r="GB77" s="80" t="s">
        <v>1957</v>
      </c>
      <c r="GC77" s="81">
        <f t="shared" si="234"/>
        <v>0</v>
      </c>
      <c r="GD77" s="65"/>
      <c r="GE77" s="80" t="s">
        <v>1944</v>
      </c>
      <c r="GF77" s="81">
        <f t="shared" si="234"/>
        <v>0</v>
      </c>
      <c r="GG77" s="65"/>
      <c r="GH77" s="80" t="s">
        <v>1950</v>
      </c>
      <c r="GI77" s="81">
        <f t="shared" si="234"/>
        <v>10</v>
      </c>
      <c r="GJ77" s="65"/>
      <c r="GK77" s="80" t="s">
        <v>1957</v>
      </c>
      <c r="GL77" s="81">
        <f t="shared" si="233"/>
        <v>0</v>
      </c>
      <c r="GM77" s="65"/>
      <c r="GN77" s="80"/>
      <c r="GO77" s="81">
        <f t="shared" si="233"/>
        <v>0</v>
      </c>
      <c r="GP77" s="65"/>
      <c r="GQ77" s="80"/>
      <c r="GR77" s="81">
        <f t="shared" si="233"/>
        <v>0</v>
      </c>
      <c r="GS77" s="65"/>
      <c r="GT77" s="80"/>
      <c r="GU77" s="81">
        <f t="shared" si="233"/>
        <v>0</v>
      </c>
      <c r="GV77" s="65"/>
      <c r="GW77" s="80"/>
      <c r="GX77" s="81">
        <f t="shared" si="233"/>
        <v>0</v>
      </c>
      <c r="GY77" s="65"/>
      <c r="GZ77" s="80"/>
      <c r="HA77" s="81">
        <f t="shared" si="233"/>
        <v>0</v>
      </c>
      <c r="HB77" s="65"/>
      <c r="HC77" s="80"/>
      <c r="HD77" s="81">
        <f t="shared" si="233"/>
        <v>0</v>
      </c>
      <c r="HE77" s="65"/>
      <c r="HF77" s="80"/>
      <c r="HG77" s="81">
        <f t="shared" si="233"/>
        <v>0</v>
      </c>
      <c r="HH77" s="65"/>
      <c r="HI77" s="80"/>
      <c r="HJ77" s="81">
        <f t="shared" si="233"/>
        <v>0</v>
      </c>
      <c r="HK77" s="65"/>
      <c r="HL77" s="80"/>
      <c r="HM77" s="81">
        <f t="shared" si="233"/>
        <v>0</v>
      </c>
      <c r="HN77" s="65"/>
      <c r="HO77" s="80"/>
      <c r="HP77" s="81">
        <f t="shared" si="233"/>
        <v>0</v>
      </c>
      <c r="HQ77" s="65"/>
      <c r="HR77" s="80"/>
      <c r="HS77" s="81">
        <f t="shared" si="233"/>
        <v>0</v>
      </c>
      <c r="HT77" s="65"/>
      <c r="HU77" s="80"/>
      <c r="HV77" s="81">
        <f t="shared" si="233"/>
        <v>0</v>
      </c>
      <c r="HW77" s="65"/>
      <c r="HX77" s="80"/>
      <c r="HY77" s="81">
        <f t="shared" si="239"/>
        <v>0</v>
      </c>
      <c r="HZ77" s="65"/>
      <c r="IA77" s="80"/>
      <c r="IB77" s="81">
        <f t="shared" si="239"/>
        <v>0</v>
      </c>
      <c r="IC77" s="65"/>
      <c r="ID77" s="80"/>
      <c r="IE77" s="81">
        <f t="shared" si="239"/>
        <v>0</v>
      </c>
      <c r="IF77" s="65"/>
      <c r="IG77" s="80"/>
      <c r="IH77" s="81">
        <f t="shared" si="239"/>
        <v>0</v>
      </c>
      <c r="II77" s="65"/>
      <c r="IJ77" s="80"/>
      <c r="IK77" s="81">
        <f t="shared" si="239"/>
        <v>0</v>
      </c>
      <c r="IL77" s="65"/>
      <c r="IM77" s="80"/>
      <c r="IN77" s="81">
        <f t="shared" si="239"/>
        <v>0</v>
      </c>
      <c r="IO77" s="65"/>
      <c r="IP77" s="80"/>
      <c r="IQ77" s="81">
        <f t="shared" si="239"/>
        <v>0</v>
      </c>
      <c r="IR77" s="65"/>
      <c r="IS77" s="80"/>
      <c r="IT77" s="81">
        <f t="shared" si="239"/>
        <v>0</v>
      </c>
      <c r="IU77" s="65"/>
      <c r="IV77" s="80"/>
      <c r="IW77" s="81">
        <f t="shared" si="239"/>
        <v>0</v>
      </c>
      <c r="IX77" s="65"/>
      <c r="IY77" s="80"/>
      <c r="IZ77" s="81">
        <f t="shared" si="239"/>
        <v>0</v>
      </c>
      <c r="JA77" s="65"/>
      <c r="JB77" s="80"/>
      <c r="JC77" s="81">
        <f t="shared" si="239"/>
        <v>0</v>
      </c>
      <c r="JD77" s="65"/>
      <c r="JE77" s="80"/>
      <c r="JF77" s="81">
        <f t="shared" si="239"/>
        <v>0</v>
      </c>
      <c r="JG77" s="65"/>
      <c r="JH77" s="80"/>
      <c r="JI77" s="81">
        <f t="shared" si="239"/>
        <v>0</v>
      </c>
      <c r="JJ77" s="65"/>
      <c r="JK77" s="80"/>
      <c r="JL77" s="81">
        <f t="shared" si="239"/>
        <v>0</v>
      </c>
      <c r="JM77" s="65"/>
      <c r="JN77" s="80"/>
      <c r="JO77" s="81">
        <f t="shared" si="239"/>
        <v>0</v>
      </c>
      <c r="JP77" s="65"/>
      <c r="JQ77" s="80"/>
      <c r="JR77" s="81">
        <f t="shared" si="239"/>
        <v>0</v>
      </c>
      <c r="JS77" s="65"/>
      <c r="JT77" s="80"/>
      <c r="JU77" s="81">
        <f t="shared" si="239"/>
        <v>0</v>
      </c>
      <c r="JV77" s="65"/>
      <c r="JW77" s="80"/>
      <c r="JX77" s="81">
        <f t="shared" si="239"/>
        <v>0</v>
      </c>
      <c r="JY77" s="65"/>
      <c r="JZ77" s="80"/>
      <c r="KA77" s="81">
        <f t="shared" si="239"/>
        <v>0</v>
      </c>
      <c r="KB77" s="65"/>
      <c r="KC77" s="80"/>
      <c r="KD77" s="81">
        <f t="shared" si="239"/>
        <v>0</v>
      </c>
      <c r="KE77" s="65"/>
      <c r="KF77" s="80"/>
      <c r="KG77" s="81">
        <f t="shared" si="239"/>
        <v>0</v>
      </c>
      <c r="KH77" s="65"/>
      <c r="KI77" s="80"/>
      <c r="KJ77" s="81">
        <f t="shared" si="239"/>
        <v>0</v>
      </c>
      <c r="KK77" s="65"/>
      <c r="KL77" s="80"/>
      <c r="KM77" s="81">
        <f t="shared" si="235"/>
        <v>0</v>
      </c>
      <c r="KN77" s="65"/>
      <c r="KO77" s="80"/>
      <c r="KP77" s="81">
        <f t="shared" si="235"/>
        <v>0</v>
      </c>
      <c r="KQ77" s="65"/>
      <c r="KR77" s="80"/>
      <c r="KS77" s="81">
        <f t="shared" si="235"/>
        <v>0</v>
      </c>
      <c r="KT77" s="65"/>
      <c r="KU77" s="80"/>
      <c r="KV77" s="81">
        <f t="shared" si="235"/>
        <v>0</v>
      </c>
      <c r="KW77" s="65"/>
      <c r="KX77" s="80"/>
      <c r="KY77" s="81">
        <f t="shared" si="235"/>
        <v>0</v>
      </c>
      <c r="KZ77" s="65"/>
      <c r="LA77" s="80"/>
      <c r="LB77" s="81">
        <f t="shared" si="235"/>
        <v>0</v>
      </c>
      <c r="LC77" s="65"/>
      <c r="LD77" s="80"/>
      <c r="LE77" s="81">
        <f t="shared" si="235"/>
        <v>0</v>
      </c>
      <c r="LF77" s="65"/>
      <c r="LG77" s="65"/>
    </row>
    <row r="78" spans="1:319">
      <c r="A78" s="49"/>
      <c r="B78" s="49"/>
      <c r="C78" s="49"/>
      <c r="D78" s="49"/>
      <c r="E78" s="111"/>
      <c r="F78" s="127"/>
      <c r="G78" s="445"/>
      <c r="H78" s="65"/>
      <c r="I78" s="60"/>
      <c r="J78" s="97"/>
      <c r="K78" s="432" t="str">
        <f>Idiomas!D455</f>
        <v xml:space="preserve">Group stage </v>
      </c>
      <c r="L78" s="433"/>
      <c r="M78" s="432" t="str">
        <f>"Max: "&amp;SUM($D$8:$D$10)*SUM($I$6:$I$77)</f>
        <v>Max: 1440</v>
      </c>
      <c r="N78" s="25"/>
      <c r="O78" s="25"/>
      <c r="P78" s="25"/>
      <c r="Q78" s="25"/>
      <c r="R78" s="110"/>
      <c r="S78" s="82"/>
      <c r="T78" s="83">
        <f>SUM(T6:T77)</f>
        <v>348</v>
      </c>
      <c r="U78" s="64"/>
      <c r="V78" s="82"/>
      <c r="W78" s="83">
        <f>SUM(W6:W77)</f>
        <v>450</v>
      </c>
      <c r="X78" s="64"/>
      <c r="Y78" s="82"/>
      <c r="Z78" s="83">
        <f t="shared" ref="Z78" si="241">SUM(Z6:Z77)</f>
        <v>530</v>
      </c>
      <c r="AA78" s="64"/>
      <c r="AB78" s="82"/>
      <c r="AC78" s="83">
        <f t="shared" ref="AC78" si="242">SUM(AC6:AC77)</f>
        <v>558</v>
      </c>
      <c r="AD78" s="64"/>
      <c r="AE78" s="82"/>
      <c r="AF78" s="83">
        <f t="shared" ref="AF78" si="243">SUM(AF6:AF77)</f>
        <v>544</v>
      </c>
      <c r="AG78" s="64"/>
      <c r="AH78" s="82"/>
      <c r="AI78" s="83">
        <f t="shared" ref="AI78" si="244">SUM(AI6:AI77)</f>
        <v>514</v>
      </c>
      <c r="AJ78" s="64"/>
      <c r="AK78" s="82"/>
      <c r="AL78" s="83">
        <f t="shared" ref="AL78" si="245">SUM(AL6:AL77)</f>
        <v>436</v>
      </c>
      <c r="AM78" s="64"/>
      <c r="AN78" s="82"/>
      <c r="AO78" s="83">
        <f t="shared" ref="AO78" si="246">SUM(AO6:AO77)</f>
        <v>334</v>
      </c>
      <c r="AP78" s="64"/>
      <c r="AQ78" s="82"/>
      <c r="AR78" s="83">
        <f t="shared" ref="AR78" si="247">SUM(AR6:AR77)</f>
        <v>464</v>
      </c>
      <c r="AS78" s="64"/>
      <c r="AT78" s="82"/>
      <c r="AU78" s="83">
        <f t="shared" ref="AU78" si="248">SUM(AU6:AU77)</f>
        <v>412</v>
      </c>
      <c r="AV78" s="64"/>
      <c r="AW78" s="82"/>
      <c r="AX78" s="83">
        <f t="shared" ref="AX78" si="249">SUM(AX6:AX77)</f>
        <v>486</v>
      </c>
      <c r="AY78" s="64"/>
      <c r="AZ78" s="82"/>
      <c r="BA78" s="83">
        <f t="shared" ref="BA78" si="250">SUM(BA6:BA77)</f>
        <v>556</v>
      </c>
      <c r="BB78" s="64"/>
      <c r="BC78" s="82"/>
      <c r="BD78" s="83">
        <f t="shared" ref="BD78" si="251">SUM(BD6:BD77)</f>
        <v>446</v>
      </c>
      <c r="BE78" s="64"/>
      <c r="BF78" s="82"/>
      <c r="BG78" s="83">
        <f t="shared" ref="BG78" si="252">SUM(BG6:BG77)</f>
        <v>522</v>
      </c>
      <c r="BH78" s="64"/>
      <c r="BI78" s="82"/>
      <c r="BJ78" s="83">
        <f t="shared" ref="BJ78" si="253">SUM(BJ6:BJ77)</f>
        <v>454</v>
      </c>
      <c r="BK78" s="64"/>
      <c r="BL78" s="82"/>
      <c r="BM78" s="83">
        <f t="shared" ref="BM78" si="254">SUM(BM6:BM77)</f>
        <v>528</v>
      </c>
      <c r="BN78" s="64"/>
      <c r="BO78" s="82"/>
      <c r="BP78" s="83">
        <f t="shared" ref="BP78" si="255">SUM(BP6:BP77)</f>
        <v>566</v>
      </c>
      <c r="BQ78" s="64"/>
      <c r="BR78" s="82"/>
      <c r="BS78" s="83">
        <f t="shared" ref="BS78" si="256">SUM(BS6:BS77)</f>
        <v>456</v>
      </c>
      <c r="BT78" s="64"/>
      <c r="BU78" s="82"/>
      <c r="BV78" s="83">
        <f t="shared" ref="BV78" si="257">SUM(BV6:BV77)</f>
        <v>580</v>
      </c>
      <c r="BW78" s="64"/>
      <c r="BX78" s="82"/>
      <c r="BY78" s="83">
        <f t="shared" ref="BY78" si="258">SUM(BY6:BY77)</f>
        <v>510</v>
      </c>
      <c r="BZ78" s="64"/>
      <c r="CA78" s="82"/>
      <c r="CB78" s="83">
        <f t="shared" ref="CB78" si="259">SUM(CB6:CB77)</f>
        <v>542</v>
      </c>
      <c r="CC78" s="64"/>
      <c r="CD78" s="82"/>
      <c r="CE78" s="83">
        <f t="shared" ref="CE78" si="260">SUM(CE6:CE77)</f>
        <v>436</v>
      </c>
      <c r="CF78" s="64"/>
      <c r="CG78" s="82"/>
      <c r="CH78" s="83">
        <f t="shared" ref="CH78" si="261">SUM(CH6:CH77)</f>
        <v>530</v>
      </c>
      <c r="CI78" s="64"/>
      <c r="CJ78" s="82"/>
      <c r="CK78" s="83">
        <f t="shared" ref="CK78" si="262">SUM(CK6:CK77)</f>
        <v>504</v>
      </c>
      <c r="CL78" s="64"/>
      <c r="CM78" s="82"/>
      <c r="CN78" s="83">
        <f t="shared" ref="CN78" si="263">SUM(CN6:CN77)</f>
        <v>606</v>
      </c>
      <c r="CO78" s="64"/>
      <c r="CP78" s="82"/>
      <c r="CQ78" s="83">
        <f t="shared" ref="CQ78" si="264">SUM(CQ6:CQ77)</f>
        <v>618</v>
      </c>
      <c r="CR78" s="64"/>
      <c r="CS78" s="82"/>
      <c r="CT78" s="83">
        <f t="shared" ref="CT78" si="265">SUM(CT6:CT77)</f>
        <v>418</v>
      </c>
      <c r="CU78" s="64"/>
      <c r="CV78" s="82"/>
      <c r="CW78" s="83">
        <f t="shared" ref="CW78" si="266">SUM(CW6:CW77)</f>
        <v>408</v>
      </c>
      <c r="CX78" s="64"/>
      <c r="CY78" s="82"/>
      <c r="CZ78" s="83">
        <f t="shared" ref="CZ78" si="267">SUM(CZ6:CZ77)</f>
        <v>446</v>
      </c>
      <c r="DA78" s="64"/>
      <c r="DB78" s="82"/>
      <c r="DC78" s="83">
        <f t="shared" ref="DC78" si="268">SUM(DC6:DC77)</f>
        <v>492</v>
      </c>
      <c r="DD78" s="64"/>
      <c r="DE78" s="82"/>
      <c r="DF78" s="83">
        <f t="shared" ref="DF78" si="269">SUM(DF6:DF77)</f>
        <v>480</v>
      </c>
      <c r="DG78" s="64"/>
      <c r="DH78" s="82"/>
      <c r="DI78" s="83">
        <f t="shared" ref="DI78" si="270">SUM(DI6:DI77)</f>
        <v>534</v>
      </c>
      <c r="DJ78" s="64"/>
      <c r="DK78" s="82"/>
      <c r="DL78" s="83">
        <f t="shared" ref="DL78" si="271">SUM(DL6:DL77)</f>
        <v>592</v>
      </c>
      <c r="DM78" s="64"/>
      <c r="DN78" s="82"/>
      <c r="DO78" s="83">
        <f t="shared" ref="DO78" si="272">SUM(DO6:DO77)</f>
        <v>380</v>
      </c>
      <c r="DP78" s="64"/>
      <c r="DQ78" s="82"/>
      <c r="DR78" s="83">
        <f t="shared" ref="DR78" si="273">SUM(DR6:DR77)</f>
        <v>396</v>
      </c>
      <c r="DS78" s="64"/>
      <c r="DT78" s="82"/>
      <c r="DU78" s="83">
        <f t="shared" ref="DU78" si="274">SUM(DU6:DU77)</f>
        <v>490</v>
      </c>
      <c r="DV78" s="64"/>
      <c r="DW78" s="82"/>
      <c r="DX78" s="83">
        <f t="shared" ref="DX78" si="275">SUM(DX6:DX77)</f>
        <v>492</v>
      </c>
      <c r="DY78" s="64"/>
      <c r="DZ78" s="82"/>
      <c r="EA78" s="83">
        <f t="shared" ref="EA78" si="276">SUM(EA6:EA77)</f>
        <v>442</v>
      </c>
      <c r="EB78" s="64"/>
      <c r="EC78" s="82"/>
      <c r="ED78" s="83">
        <f t="shared" ref="ED78" si="277">SUM(ED6:ED77)</f>
        <v>590</v>
      </c>
      <c r="EE78" s="64"/>
      <c r="EF78" s="82"/>
      <c r="EG78" s="83">
        <f t="shared" ref="EG78" si="278">SUM(EG6:EG77)</f>
        <v>476</v>
      </c>
      <c r="EH78" s="64"/>
      <c r="EI78" s="82"/>
      <c r="EJ78" s="83">
        <f t="shared" ref="EJ78" si="279">SUM(EJ6:EJ77)</f>
        <v>564</v>
      </c>
      <c r="EK78" s="64"/>
      <c r="EL78" s="82"/>
      <c r="EM78" s="83">
        <f t="shared" ref="EM78" si="280">SUM(EM6:EM77)</f>
        <v>522</v>
      </c>
      <c r="EN78" s="64"/>
      <c r="EO78" s="82"/>
      <c r="EP78" s="83">
        <f t="shared" ref="EP78" si="281">SUM(EP6:EP77)</f>
        <v>516</v>
      </c>
      <c r="EQ78" s="64"/>
      <c r="ER78" s="82"/>
      <c r="ES78" s="83">
        <f t="shared" ref="ES78" si="282">SUM(ES6:ES77)</f>
        <v>522</v>
      </c>
      <c r="ET78" s="64"/>
      <c r="EU78" s="82"/>
      <c r="EV78" s="83">
        <f t="shared" ref="EV78" si="283">SUM(EV6:EV77)</f>
        <v>476</v>
      </c>
      <c r="EW78" s="64"/>
      <c r="EX78" s="82"/>
      <c r="EY78" s="83">
        <f t="shared" ref="EY78" si="284">SUM(EY6:EY77)</f>
        <v>582</v>
      </c>
      <c r="EZ78" s="64"/>
      <c r="FA78" s="82"/>
      <c r="FB78" s="83">
        <f t="shared" ref="FB78" si="285">SUM(FB6:FB77)</f>
        <v>488</v>
      </c>
      <c r="FC78" s="64"/>
      <c r="FD78" s="82"/>
      <c r="FE78" s="83">
        <f t="shared" ref="FE78" si="286">SUM(FE6:FE77)</f>
        <v>386</v>
      </c>
      <c r="FF78" s="64"/>
      <c r="FG78" s="82"/>
      <c r="FH78" s="83">
        <f t="shared" ref="FH78" si="287">SUM(FH6:FH77)</f>
        <v>514</v>
      </c>
      <c r="FI78" s="64"/>
      <c r="FJ78" s="82"/>
      <c r="FK78" s="83">
        <f t="shared" ref="FK78" si="288">SUM(FK6:FK77)</f>
        <v>556</v>
      </c>
      <c r="FL78" s="64"/>
      <c r="FM78" s="82"/>
      <c r="FN78" s="83">
        <f t="shared" ref="FN78" si="289">SUM(FN6:FN77)</f>
        <v>544</v>
      </c>
      <c r="FO78" s="64"/>
      <c r="FP78" s="82"/>
      <c r="FQ78" s="83">
        <f t="shared" ref="FQ78" si="290">SUM(FQ6:FQ77)</f>
        <v>596</v>
      </c>
      <c r="FR78" s="64"/>
      <c r="FS78" s="82"/>
      <c r="FT78" s="83">
        <f t="shared" ref="FT78" si="291">SUM(FT6:FT77)</f>
        <v>556</v>
      </c>
      <c r="FU78" s="64"/>
      <c r="FV78" s="82"/>
      <c r="FW78" s="83">
        <f t="shared" ref="FW78" si="292">SUM(FW6:FW77)</f>
        <v>542</v>
      </c>
      <c r="FX78" s="64"/>
      <c r="FY78" s="82"/>
      <c r="FZ78" s="83">
        <f t="shared" ref="FZ78" si="293">SUM(FZ6:FZ77)</f>
        <v>464</v>
      </c>
      <c r="GA78" s="64"/>
      <c r="GB78" s="82"/>
      <c r="GC78" s="83">
        <f t="shared" ref="GC78" si="294">SUM(GC6:GC77)</f>
        <v>456</v>
      </c>
      <c r="GD78" s="64"/>
      <c r="GE78" s="82"/>
      <c r="GF78" s="83">
        <f t="shared" ref="GF78" si="295">SUM(GF6:GF77)</f>
        <v>490</v>
      </c>
      <c r="GG78" s="64"/>
      <c r="GH78" s="82"/>
      <c r="GI78" s="83">
        <f t="shared" ref="GI78" si="296">SUM(GI6:GI77)</f>
        <v>564</v>
      </c>
      <c r="GJ78" s="64"/>
      <c r="GK78" s="82"/>
      <c r="GL78" s="83">
        <f t="shared" ref="GL78" si="297">SUM(GL6:GL77)</f>
        <v>514</v>
      </c>
      <c r="GM78" s="64"/>
      <c r="GN78" s="82"/>
      <c r="GO78" s="83">
        <f t="shared" ref="GO78" si="298">SUM(GO6:GO77)</f>
        <v>0</v>
      </c>
      <c r="GP78" s="64"/>
      <c r="GQ78" s="82"/>
      <c r="GR78" s="83">
        <f t="shared" ref="GR78" si="299">SUM(GR6:GR77)</f>
        <v>0</v>
      </c>
      <c r="GS78" s="64"/>
      <c r="GT78" s="82"/>
      <c r="GU78" s="83">
        <f t="shared" ref="GU78" si="300">SUM(GU6:GU77)</f>
        <v>0</v>
      </c>
      <c r="GV78" s="64"/>
      <c r="GW78" s="82"/>
      <c r="GX78" s="83">
        <f t="shared" ref="GX78" si="301">SUM(GX6:GX77)</f>
        <v>0</v>
      </c>
      <c r="GY78" s="64"/>
      <c r="GZ78" s="82"/>
      <c r="HA78" s="83">
        <f t="shared" ref="HA78" si="302">SUM(HA6:HA77)</f>
        <v>0</v>
      </c>
      <c r="HB78" s="64"/>
      <c r="HC78" s="82"/>
      <c r="HD78" s="83">
        <f t="shared" ref="HD78" si="303">SUM(HD6:HD77)</f>
        <v>0</v>
      </c>
      <c r="HE78" s="64"/>
      <c r="HF78" s="82"/>
      <c r="HG78" s="83">
        <f t="shared" ref="HG78" si="304">SUM(HG6:HG77)</f>
        <v>0</v>
      </c>
      <c r="HH78" s="64"/>
      <c r="HI78" s="82"/>
      <c r="HJ78" s="83">
        <f t="shared" ref="HJ78" si="305">SUM(HJ6:HJ77)</f>
        <v>0</v>
      </c>
      <c r="HK78" s="64"/>
      <c r="HL78" s="82"/>
      <c r="HM78" s="83">
        <f t="shared" ref="HM78" si="306">SUM(HM6:HM77)</f>
        <v>0</v>
      </c>
      <c r="HN78" s="64"/>
      <c r="HO78" s="82"/>
      <c r="HP78" s="83">
        <f t="shared" ref="HP78" si="307">SUM(HP6:HP77)</f>
        <v>0</v>
      </c>
      <c r="HQ78" s="64"/>
      <c r="HR78" s="82"/>
      <c r="HS78" s="83">
        <f t="shared" ref="HS78" si="308">SUM(HS6:HS77)</f>
        <v>0</v>
      </c>
      <c r="HT78" s="64"/>
      <c r="HU78" s="82"/>
      <c r="HV78" s="83">
        <f t="shared" ref="HV78" si="309">SUM(HV6:HV77)</f>
        <v>0</v>
      </c>
      <c r="HW78" s="64"/>
      <c r="HX78" s="82"/>
      <c r="HY78" s="83">
        <f t="shared" ref="HY78" si="310">SUM(HY6:HY77)</f>
        <v>0</v>
      </c>
      <c r="HZ78" s="64"/>
      <c r="IA78" s="82"/>
      <c r="IB78" s="83">
        <f t="shared" ref="IB78" si="311">SUM(IB6:IB77)</f>
        <v>0</v>
      </c>
      <c r="IC78" s="64"/>
      <c r="ID78" s="82"/>
      <c r="IE78" s="83">
        <f t="shared" ref="IE78" si="312">SUM(IE6:IE77)</f>
        <v>0</v>
      </c>
      <c r="IF78" s="64"/>
      <c r="IG78" s="82"/>
      <c r="IH78" s="83">
        <f t="shared" ref="IH78" si="313">SUM(IH6:IH77)</f>
        <v>0</v>
      </c>
      <c r="II78" s="64"/>
      <c r="IJ78" s="82"/>
      <c r="IK78" s="83">
        <f t="shared" ref="IK78" si="314">SUM(IK6:IK77)</f>
        <v>0</v>
      </c>
      <c r="IL78" s="64"/>
      <c r="IM78" s="82"/>
      <c r="IN78" s="83">
        <f t="shared" ref="IN78" si="315">SUM(IN6:IN77)</f>
        <v>0</v>
      </c>
      <c r="IO78" s="64"/>
      <c r="IP78" s="82"/>
      <c r="IQ78" s="83">
        <f t="shared" ref="IQ78" si="316">SUM(IQ6:IQ77)</f>
        <v>0</v>
      </c>
      <c r="IR78" s="64"/>
      <c r="IS78" s="82"/>
      <c r="IT78" s="83">
        <f t="shared" ref="IT78" si="317">SUM(IT6:IT77)</f>
        <v>0</v>
      </c>
      <c r="IU78" s="64"/>
      <c r="IV78" s="82"/>
      <c r="IW78" s="83">
        <f t="shared" ref="IW78" si="318">SUM(IW6:IW77)</f>
        <v>0</v>
      </c>
      <c r="IX78" s="64"/>
      <c r="IY78" s="82"/>
      <c r="IZ78" s="83">
        <f t="shared" ref="IZ78" si="319">SUM(IZ6:IZ77)</f>
        <v>0</v>
      </c>
      <c r="JA78" s="64"/>
      <c r="JB78" s="82"/>
      <c r="JC78" s="83">
        <f t="shared" ref="JC78" si="320">SUM(JC6:JC77)</f>
        <v>0</v>
      </c>
      <c r="JD78" s="64"/>
      <c r="JE78" s="82"/>
      <c r="JF78" s="83">
        <f t="shared" ref="JF78" si="321">SUM(JF6:JF77)</f>
        <v>0</v>
      </c>
      <c r="JG78" s="64"/>
      <c r="JH78" s="82"/>
      <c r="JI78" s="83">
        <f t="shared" ref="JI78" si="322">SUM(JI6:JI77)</f>
        <v>0</v>
      </c>
      <c r="JJ78" s="64"/>
      <c r="JK78" s="82"/>
      <c r="JL78" s="83">
        <f t="shared" ref="JL78" si="323">SUM(JL6:JL77)</f>
        <v>0</v>
      </c>
      <c r="JM78" s="64"/>
      <c r="JN78" s="82"/>
      <c r="JO78" s="83">
        <f t="shared" ref="JO78" si="324">SUM(JO6:JO77)</f>
        <v>0</v>
      </c>
      <c r="JP78" s="64"/>
      <c r="JQ78" s="82"/>
      <c r="JR78" s="83">
        <f t="shared" ref="JR78" si="325">SUM(JR6:JR77)</f>
        <v>0</v>
      </c>
      <c r="JS78" s="64"/>
      <c r="JT78" s="82"/>
      <c r="JU78" s="83">
        <f t="shared" ref="JU78" si="326">SUM(JU6:JU77)</f>
        <v>0</v>
      </c>
      <c r="JV78" s="64"/>
      <c r="JW78" s="82"/>
      <c r="JX78" s="83">
        <f t="shared" ref="JX78" si="327">SUM(JX6:JX77)</f>
        <v>0</v>
      </c>
      <c r="JY78" s="64"/>
      <c r="JZ78" s="82"/>
      <c r="KA78" s="83">
        <f t="shared" ref="KA78" si="328">SUM(KA6:KA77)</f>
        <v>0</v>
      </c>
      <c r="KB78" s="64"/>
      <c r="KC78" s="82"/>
      <c r="KD78" s="83">
        <f t="shared" ref="KD78" si="329">SUM(KD6:KD77)</f>
        <v>0</v>
      </c>
      <c r="KE78" s="64"/>
      <c r="KF78" s="82"/>
      <c r="KG78" s="83">
        <f t="shared" ref="KG78" si="330">SUM(KG6:KG77)</f>
        <v>0</v>
      </c>
      <c r="KH78" s="64"/>
      <c r="KI78" s="82"/>
      <c r="KJ78" s="83">
        <f t="shared" ref="KJ78" si="331">SUM(KJ6:KJ77)</f>
        <v>0</v>
      </c>
      <c r="KK78" s="64"/>
      <c r="KL78" s="82"/>
      <c r="KM78" s="83">
        <f t="shared" ref="KM78" si="332">SUM(KM6:KM77)</f>
        <v>0</v>
      </c>
      <c r="KN78" s="64"/>
      <c r="KO78" s="82"/>
      <c r="KP78" s="83">
        <f t="shared" ref="KP78" si="333">SUM(KP6:KP77)</f>
        <v>0</v>
      </c>
      <c r="KQ78" s="64"/>
      <c r="KR78" s="82"/>
      <c r="KS78" s="83">
        <f t="shared" ref="KS78" si="334">SUM(KS6:KS77)</f>
        <v>0</v>
      </c>
      <c r="KT78" s="64"/>
      <c r="KU78" s="82"/>
      <c r="KV78" s="83">
        <f t="shared" ref="KV78" si="335">SUM(KV6:KV77)</f>
        <v>0</v>
      </c>
      <c r="KW78" s="64"/>
      <c r="KX78" s="82"/>
      <c r="KY78" s="83">
        <f t="shared" ref="KY78" si="336">SUM(KY6:KY77)</f>
        <v>0</v>
      </c>
      <c r="KZ78" s="64"/>
      <c r="LA78" s="82"/>
      <c r="LB78" s="83">
        <f t="shared" ref="LB78" si="337">SUM(LB6:LB77)</f>
        <v>0</v>
      </c>
      <c r="LC78" s="64"/>
      <c r="LD78" s="82"/>
      <c r="LE78" s="83">
        <f t="shared" ref="LE78" si="338">SUM(LE6:LE77)</f>
        <v>0</v>
      </c>
      <c r="LF78" s="64"/>
      <c r="LG78" s="64"/>
    </row>
    <row r="79" spans="1:319">
      <c r="A79" s="49"/>
      <c r="B79" s="49"/>
      <c r="C79" s="49"/>
      <c r="D79" s="49"/>
      <c r="E79" s="111"/>
      <c r="F79" s="127"/>
      <c r="G79" s="445"/>
      <c r="H79" s="65"/>
      <c r="I79" s="60"/>
      <c r="J79" s="97"/>
      <c r="K79" s="118" t="str">
        <f>Idiomas!D136</f>
        <v>GROUP POSITION</v>
      </c>
      <c r="L79" s="60"/>
      <c r="M79" s="83"/>
      <c r="N79" s="25"/>
      <c r="O79" s="25"/>
      <c r="P79" s="25"/>
      <c r="Q79" s="25"/>
      <c r="R79" s="110"/>
      <c r="S79" s="82"/>
      <c r="T79" s="83"/>
      <c r="U79" s="64"/>
      <c r="V79" s="82"/>
      <c r="W79" s="83"/>
      <c r="X79" s="64"/>
      <c r="Y79" s="82"/>
      <c r="Z79" s="83"/>
      <c r="AA79" s="64"/>
      <c r="AB79" s="82"/>
      <c r="AC79" s="83"/>
      <c r="AD79" s="64"/>
      <c r="AE79" s="82"/>
      <c r="AF79" s="83"/>
      <c r="AG79" s="64"/>
      <c r="AH79" s="82"/>
      <c r="AI79" s="83"/>
      <c r="AJ79" s="64"/>
      <c r="AK79" s="82"/>
      <c r="AL79" s="83"/>
      <c r="AM79" s="64"/>
      <c r="AN79" s="82"/>
      <c r="AO79" s="83"/>
      <c r="AP79" s="64"/>
      <c r="AQ79" s="82"/>
      <c r="AR79" s="83"/>
      <c r="AS79" s="64"/>
      <c r="AT79" s="82"/>
      <c r="AU79" s="83"/>
      <c r="AV79" s="64"/>
      <c r="AW79" s="82"/>
      <c r="AX79" s="83"/>
      <c r="AY79" s="64"/>
      <c r="AZ79" s="82"/>
      <c r="BA79" s="83"/>
      <c r="BB79" s="64"/>
      <c r="BC79" s="82"/>
      <c r="BD79" s="83"/>
      <c r="BE79" s="64"/>
      <c r="BF79" s="82"/>
      <c r="BG79" s="83"/>
      <c r="BH79" s="64"/>
      <c r="BI79" s="82"/>
      <c r="BJ79" s="83"/>
      <c r="BK79" s="64"/>
      <c r="BL79" s="82"/>
      <c r="BM79" s="83"/>
      <c r="BN79" s="64"/>
      <c r="BO79" s="82"/>
      <c r="BP79" s="83"/>
      <c r="BQ79" s="64"/>
      <c r="BR79" s="82"/>
      <c r="BS79" s="83"/>
      <c r="BT79" s="64"/>
      <c r="BU79" s="82"/>
      <c r="BV79" s="83"/>
      <c r="BW79" s="64"/>
      <c r="BX79" s="82"/>
      <c r="BY79" s="83"/>
      <c r="BZ79" s="64"/>
      <c r="CA79" s="82"/>
      <c r="CB79" s="83"/>
      <c r="CC79" s="64"/>
      <c r="CD79" s="82"/>
      <c r="CE79" s="83"/>
      <c r="CF79" s="64"/>
      <c r="CG79" s="82"/>
      <c r="CH79" s="83"/>
      <c r="CI79" s="64"/>
      <c r="CJ79" s="82"/>
      <c r="CK79" s="83"/>
      <c r="CL79" s="64"/>
      <c r="CM79" s="82"/>
      <c r="CN79" s="83"/>
      <c r="CO79" s="64"/>
      <c r="CP79" s="82"/>
      <c r="CQ79" s="83"/>
      <c r="CR79" s="64"/>
      <c r="CS79" s="82"/>
      <c r="CT79" s="83"/>
      <c r="CU79" s="64"/>
      <c r="CV79" s="82"/>
      <c r="CW79" s="83"/>
      <c r="CX79" s="64"/>
      <c r="CY79" s="82"/>
      <c r="CZ79" s="83"/>
      <c r="DA79" s="64"/>
      <c r="DB79" s="82"/>
      <c r="DC79" s="83"/>
      <c r="DD79" s="64"/>
      <c r="DE79" s="82"/>
      <c r="DF79" s="83"/>
      <c r="DG79" s="64"/>
      <c r="DH79" s="82"/>
      <c r="DI79" s="83"/>
      <c r="DJ79" s="64"/>
      <c r="DK79" s="82"/>
      <c r="DL79" s="83"/>
      <c r="DM79" s="64"/>
      <c r="DN79" s="82"/>
      <c r="DO79" s="83"/>
      <c r="DP79" s="64"/>
      <c r="DQ79" s="82"/>
      <c r="DR79" s="83"/>
      <c r="DS79" s="64"/>
      <c r="DT79" s="82"/>
      <c r="DU79" s="83"/>
      <c r="DV79" s="64"/>
      <c r="DW79" s="82"/>
      <c r="DX79" s="83"/>
      <c r="DY79" s="64"/>
      <c r="DZ79" s="82"/>
      <c r="EA79" s="83"/>
      <c r="EB79" s="64"/>
      <c r="EC79" s="82"/>
      <c r="ED79" s="83"/>
      <c r="EE79" s="64"/>
      <c r="EF79" s="82"/>
      <c r="EG79" s="83"/>
      <c r="EH79" s="64"/>
      <c r="EI79" s="82"/>
      <c r="EJ79" s="83"/>
      <c r="EK79" s="64"/>
      <c r="EL79" s="82"/>
      <c r="EM79" s="83"/>
      <c r="EN79" s="64"/>
      <c r="EO79" s="82"/>
      <c r="EP79" s="83"/>
      <c r="EQ79" s="64"/>
      <c r="ER79" s="82"/>
      <c r="ES79" s="83"/>
      <c r="ET79" s="64"/>
      <c r="EU79" s="82"/>
      <c r="EV79" s="83"/>
      <c r="EW79" s="64"/>
      <c r="EX79" s="82"/>
      <c r="EY79" s="83"/>
      <c r="EZ79" s="64"/>
      <c r="FA79" s="82"/>
      <c r="FB79" s="83"/>
      <c r="FC79" s="64"/>
      <c r="FD79" s="82"/>
      <c r="FE79" s="83"/>
      <c r="FF79" s="64"/>
      <c r="FG79" s="82"/>
      <c r="FH79" s="83"/>
      <c r="FI79" s="64"/>
      <c r="FJ79" s="82"/>
      <c r="FK79" s="83"/>
      <c r="FL79" s="64"/>
      <c r="FM79" s="82"/>
      <c r="FN79" s="83"/>
      <c r="FO79" s="64"/>
      <c r="FP79" s="82"/>
      <c r="FQ79" s="83"/>
      <c r="FR79" s="64"/>
      <c r="FS79" s="82"/>
      <c r="FT79" s="83"/>
      <c r="FU79" s="64"/>
      <c r="FV79" s="82"/>
      <c r="FW79" s="83"/>
      <c r="FX79" s="64"/>
      <c r="FY79" s="82"/>
      <c r="FZ79" s="83"/>
      <c r="GA79" s="64"/>
      <c r="GB79" s="82"/>
      <c r="GC79" s="83"/>
      <c r="GD79" s="64"/>
      <c r="GE79" s="82"/>
      <c r="GF79" s="83"/>
      <c r="GG79" s="64"/>
      <c r="GH79" s="82"/>
      <c r="GI79" s="83"/>
      <c r="GJ79" s="64"/>
      <c r="GK79" s="82"/>
      <c r="GL79" s="83"/>
      <c r="GM79" s="64"/>
      <c r="GN79" s="82"/>
      <c r="GO79" s="83"/>
      <c r="GP79" s="64"/>
      <c r="GQ79" s="82"/>
      <c r="GR79" s="83"/>
      <c r="GS79" s="64"/>
      <c r="GT79" s="82"/>
      <c r="GU79" s="83"/>
      <c r="GV79" s="64"/>
      <c r="GW79" s="82"/>
      <c r="GX79" s="83"/>
      <c r="GY79" s="64"/>
      <c r="GZ79" s="82"/>
      <c r="HA79" s="83"/>
      <c r="HB79" s="64"/>
      <c r="HC79" s="82"/>
      <c r="HD79" s="83"/>
      <c r="HE79" s="64"/>
      <c r="HF79" s="82"/>
      <c r="HG79" s="83"/>
      <c r="HH79" s="64"/>
      <c r="HI79" s="82"/>
      <c r="HJ79" s="83"/>
      <c r="HK79" s="64"/>
      <c r="HL79" s="82"/>
      <c r="HM79" s="83"/>
      <c r="HN79" s="64"/>
      <c r="HO79" s="82"/>
      <c r="HP79" s="83"/>
      <c r="HQ79" s="64"/>
      <c r="HR79" s="82"/>
      <c r="HS79" s="83"/>
      <c r="HT79" s="64"/>
      <c r="HU79" s="82"/>
      <c r="HV79" s="83"/>
      <c r="HW79" s="64"/>
      <c r="HX79" s="82"/>
      <c r="HY79" s="83"/>
      <c r="HZ79" s="64"/>
      <c r="IA79" s="82"/>
      <c r="IB79" s="83"/>
      <c r="IC79" s="64"/>
      <c r="ID79" s="82"/>
      <c r="IE79" s="83"/>
      <c r="IF79" s="64"/>
      <c r="IG79" s="82"/>
      <c r="IH79" s="83"/>
      <c r="II79" s="64"/>
      <c r="IJ79" s="82"/>
      <c r="IK79" s="83"/>
      <c r="IL79" s="64"/>
      <c r="IM79" s="82"/>
      <c r="IN79" s="83"/>
      <c r="IO79" s="64"/>
      <c r="IP79" s="82"/>
      <c r="IQ79" s="83"/>
      <c r="IR79" s="64"/>
      <c r="IS79" s="82"/>
      <c r="IT79" s="83"/>
      <c r="IU79" s="64"/>
      <c r="IV79" s="82"/>
      <c r="IW79" s="83"/>
      <c r="IX79" s="64"/>
      <c r="IY79" s="82"/>
      <c r="IZ79" s="83"/>
      <c r="JA79" s="64"/>
      <c r="JB79" s="82"/>
      <c r="JC79" s="83"/>
      <c r="JD79" s="64"/>
      <c r="JE79" s="82"/>
      <c r="JF79" s="83"/>
      <c r="JG79" s="64"/>
      <c r="JH79" s="82"/>
      <c r="JI79" s="83"/>
      <c r="JJ79" s="64"/>
      <c r="JK79" s="82"/>
      <c r="JL79" s="83"/>
      <c r="JM79" s="64"/>
      <c r="JN79" s="82"/>
      <c r="JO79" s="83"/>
      <c r="JP79" s="64"/>
      <c r="JQ79" s="82"/>
      <c r="JR79" s="83"/>
      <c r="JS79" s="64"/>
      <c r="JT79" s="82"/>
      <c r="JU79" s="83"/>
      <c r="JV79" s="64"/>
      <c r="JW79" s="82"/>
      <c r="JX79" s="83"/>
      <c r="JY79" s="64"/>
      <c r="JZ79" s="82"/>
      <c r="KA79" s="83"/>
      <c r="KB79" s="64"/>
      <c r="KC79" s="82"/>
      <c r="KD79" s="83"/>
      <c r="KE79" s="64"/>
      <c r="KF79" s="82"/>
      <c r="KG79" s="83"/>
      <c r="KH79" s="64"/>
      <c r="KI79" s="82"/>
      <c r="KJ79" s="83"/>
      <c r="KK79" s="64"/>
      <c r="KL79" s="82"/>
      <c r="KM79" s="83"/>
      <c r="KN79" s="64"/>
      <c r="KO79" s="82"/>
      <c r="KP79" s="83"/>
      <c r="KQ79" s="64"/>
      <c r="KR79" s="82"/>
      <c r="KS79" s="83"/>
      <c r="KT79" s="64"/>
      <c r="KU79" s="82"/>
      <c r="KV79" s="83"/>
      <c r="KW79" s="64"/>
      <c r="KX79" s="82"/>
      <c r="KY79" s="83"/>
      <c r="KZ79" s="64"/>
      <c r="LA79" s="82"/>
      <c r="LB79" s="83"/>
      <c r="LC79" s="64"/>
      <c r="LD79" s="82"/>
      <c r="LE79" s="83"/>
      <c r="LF79" s="64"/>
      <c r="LG79" s="64"/>
    </row>
    <row r="80" spans="1:319">
      <c r="A80" s="49"/>
      <c r="B80" s="49"/>
      <c r="C80" s="49"/>
      <c r="D80" s="49"/>
      <c r="E80" s="111"/>
      <c r="F80" s="127">
        <f>$D$11</f>
        <v>20</v>
      </c>
      <c r="G80" s="445">
        <f ca="1">VLOOKUP(H80,Equipos!$Q$1:$R$25,2,0)</f>
        <v>15</v>
      </c>
      <c r="H80" s="446">
        <f ca="1">$H$54</f>
        <v>46198</v>
      </c>
      <c r="I80" s="50"/>
      <c r="J80" s="848" t="s">
        <v>0</v>
      </c>
      <c r="K80" s="53" t="str">
        <f>Idiomas!D150</f>
        <v>1st GROUP A</v>
      </c>
      <c r="L80" s="53"/>
      <c r="M80" s="55" t="str">
        <f ca="1">IF(OR(SUM(WORLDCUP!$AN$6:$AN$9)=12,WORLDCUP!$AJ$99=144),WORLDCUP!AL6,LEFT(K80,1)&amp;RIGHT(K80,1))</f>
        <v>Mexico</v>
      </c>
      <c r="N80" s="25"/>
      <c r="O80" s="25"/>
      <c r="P80" s="25"/>
      <c r="Q80" s="25"/>
      <c r="R80" s="110"/>
      <c r="S80" s="76" t="s">
        <v>1288</v>
      </c>
      <c r="T80" s="77">
        <f ca="1">($M80=S80)*$D$11</f>
        <v>20</v>
      </c>
      <c r="U80" s="64"/>
      <c r="V80" s="76" t="s">
        <v>1288</v>
      </c>
      <c r="W80" s="77">
        <f t="shared" ref="W80" ca="1" si="339">($M80=V80)*$D$11</f>
        <v>20</v>
      </c>
      <c r="X80" s="64"/>
      <c r="Y80" s="76" t="s">
        <v>1288</v>
      </c>
      <c r="Z80" s="77">
        <f t="shared" ref="Z80" ca="1" si="340">($M80=Y80)*$D$11</f>
        <v>20</v>
      </c>
      <c r="AA80" s="64"/>
      <c r="AB80" s="76" t="s">
        <v>1278</v>
      </c>
      <c r="AC80" s="77">
        <f t="shared" ref="AC80" ca="1" si="341">($M80=AB80)*$D$11</f>
        <v>0</v>
      </c>
      <c r="AD80" s="64"/>
      <c r="AE80" s="76" t="s">
        <v>1288</v>
      </c>
      <c r="AF80" s="77">
        <f t="shared" ref="AF80" ca="1" si="342">($M80=AE80)*$D$11</f>
        <v>20</v>
      </c>
      <c r="AG80" s="64"/>
      <c r="AH80" s="76" t="s">
        <v>1288</v>
      </c>
      <c r="AI80" s="77">
        <f t="shared" ref="AI80" ca="1" si="343">($M80=AH80)*$D$11</f>
        <v>20</v>
      </c>
      <c r="AJ80" s="64"/>
      <c r="AK80" s="76" t="s">
        <v>1278</v>
      </c>
      <c r="AL80" s="77">
        <f t="shared" ref="AL80" ca="1" si="344">($M80=AK80)*$D$11</f>
        <v>0</v>
      </c>
      <c r="AM80" s="64"/>
      <c r="AN80" s="76" t="s">
        <v>1288</v>
      </c>
      <c r="AO80" s="77">
        <f t="shared" ref="AO80" ca="1" si="345">($M80=AN80)*$D$11</f>
        <v>20</v>
      </c>
      <c r="AP80" s="64"/>
      <c r="AQ80" s="76" t="s">
        <v>1288</v>
      </c>
      <c r="AR80" s="77">
        <f t="shared" ref="AR80" ca="1" si="346">($M80=AQ80)*$D$11</f>
        <v>20</v>
      </c>
      <c r="AS80" s="64"/>
      <c r="AT80" s="76" t="s">
        <v>1844</v>
      </c>
      <c r="AU80" s="77">
        <f t="shared" ref="AU80" ca="1" si="347">($M80=AT80)*$D$11</f>
        <v>0</v>
      </c>
      <c r="AV80" s="64"/>
      <c r="AW80" s="76" t="s">
        <v>1288</v>
      </c>
      <c r="AX80" s="77">
        <f t="shared" ref="AX80" ca="1" si="348">($M80=AW80)*$D$11</f>
        <v>20</v>
      </c>
      <c r="AY80" s="64"/>
      <c r="AZ80" s="76" t="s">
        <v>1288</v>
      </c>
      <c r="BA80" s="77">
        <f t="shared" ref="BA80" ca="1" si="349">($M80=AZ80)*$D$11</f>
        <v>20</v>
      </c>
      <c r="BB80" s="64"/>
      <c r="BC80" s="76" t="s">
        <v>1288</v>
      </c>
      <c r="BD80" s="77">
        <f t="shared" ref="BD80" ca="1" si="350">($M80=BC80)*$D$11</f>
        <v>20</v>
      </c>
      <c r="BE80" s="64"/>
      <c r="BF80" s="76" t="s">
        <v>1844</v>
      </c>
      <c r="BG80" s="77">
        <f t="shared" ref="BG80" ca="1" si="351">($M80=BF80)*$D$11</f>
        <v>0</v>
      </c>
      <c r="BH80" s="64"/>
      <c r="BI80" s="76" t="s">
        <v>1278</v>
      </c>
      <c r="BJ80" s="77">
        <f t="shared" ref="BJ80" ca="1" si="352">($M80=BI80)*$D$11</f>
        <v>0</v>
      </c>
      <c r="BK80" s="64"/>
      <c r="BL80" s="76" t="s">
        <v>1288</v>
      </c>
      <c r="BM80" s="77">
        <f t="shared" ref="BM80" ca="1" si="353">($M80=BL80)*$D$11</f>
        <v>20</v>
      </c>
      <c r="BN80" s="64"/>
      <c r="BO80" s="76" t="s">
        <v>1288</v>
      </c>
      <c r="BP80" s="77">
        <f t="shared" ref="BP80" ca="1" si="354">($M80=BO80)*$D$11</f>
        <v>20</v>
      </c>
      <c r="BQ80" s="64"/>
      <c r="BR80" s="76" t="s">
        <v>1844</v>
      </c>
      <c r="BS80" s="77">
        <f t="shared" ref="BS80" ca="1" si="355">($M80=BR80)*$D$11</f>
        <v>0</v>
      </c>
      <c r="BT80" s="64"/>
      <c r="BU80" s="76" t="s">
        <v>1288</v>
      </c>
      <c r="BV80" s="77">
        <f t="shared" ref="BV80" ca="1" si="356">($M80=BU80)*$D$11</f>
        <v>20</v>
      </c>
      <c r="BW80" s="64"/>
      <c r="BX80" s="76" t="s">
        <v>1288</v>
      </c>
      <c r="BY80" s="77">
        <f t="shared" ref="BY80" ca="1" si="357">($M80=BX80)*$D$11</f>
        <v>20</v>
      </c>
      <c r="BZ80" s="64"/>
      <c r="CA80" s="76" t="s">
        <v>1288</v>
      </c>
      <c r="CB80" s="77">
        <f t="shared" ref="CB80" ca="1" si="358">($M80=CA80)*$D$11</f>
        <v>20</v>
      </c>
      <c r="CC80" s="64"/>
      <c r="CD80" s="76" t="s">
        <v>1278</v>
      </c>
      <c r="CE80" s="77">
        <f t="shared" ref="CE80" ca="1" si="359">($M80=CD80)*$D$11</f>
        <v>0</v>
      </c>
      <c r="CF80" s="64"/>
      <c r="CG80" s="76" t="s">
        <v>1288</v>
      </c>
      <c r="CH80" s="77">
        <f t="shared" ref="CH80" ca="1" si="360">($M80=CG80)*$D$11</f>
        <v>20</v>
      </c>
      <c r="CI80" s="64"/>
      <c r="CJ80" s="76" t="s">
        <v>1288</v>
      </c>
      <c r="CK80" s="77">
        <f t="shared" ref="CK80" ca="1" si="361">($M80=CJ80)*$D$11</f>
        <v>20</v>
      </c>
      <c r="CL80" s="64"/>
      <c r="CM80" s="76" t="s">
        <v>1278</v>
      </c>
      <c r="CN80" s="77">
        <f t="shared" ref="CN80" ca="1" si="362">($M80=CM80)*$D$11</f>
        <v>0</v>
      </c>
      <c r="CO80" s="64"/>
      <c r="CP80" s="76" t="s">
        <v>1288</v>
      </c>
      <c r="CQ80" s="77">
        <f t="shared" ref="CQ80" ca="1" si="363">($M80=CP80)*$D$11</f>
        <v>20</v>
      </c>
      <c r="CR80" s="64"/>
      <c r="CS80" s="76" t="s">
        <v>1288</v>
      </c>
      <c r="CT80" s="77">
        <f t="shared" ref="CT80" ca="1" si="364">($M80=CS80)*$D$11</f>
        <v>20</v>
      </c>
      <c r="CU80" s="64"/>
      <c r="CV80" s="76" t="s">
        <v>1288</v>
      </c>
      <c r="CW80" s="77">
        <f t="shared" ref="CW80" ca="1" si="365">($M80=CV80)*$D$11</f>
        <v>20</v>
      </c>
      <c r="CX80" s="64"/>
      <c r="CY80" s="76" t="s">
        <v>1635</v>
      </c>
      <c r="CZ80" s="77">
        <f t="shared" ref="CZ80" ca="1" si="366">($M80=CY80)*$D$11</f>
        <v>0</v>
      </c>
      <c r="DA80" s="64"/>
      <c r="DB80" s="76" t="s">
        <v>1288</v>
      </c>
      <c r="DC80" s="77">
        <f t="shared" ref="DC80" ca="1" si="367">($M80=DB80)*$D$11</f>
        <v>20</v>
      </c>
      <c r="DD80" s="64"/>
      <c r="DE80" s="76" t="s">
        <v>1288</v>
      </c>
      <c r="DF80" s="77">
        <f t="shared" ref="DF80" ca="1" si="368">($M80=DE80)*$D$11</f>
        <v>20</v>
      </c>
      <c r="DG80" s="64"/>
      <c r="DH80" s="76" t="s">
        <v>1288</v>
      </c>
      <c r="DI80" s="77">
        <f t="shared" ref="DI80" ca="1" si="369">($M80=DH80)*$D$11</f>
        <v>20</v>
      </c>
      <c r="DJ80" s="64"/>
      <c r="DK80" s="76" t="s">
        <v>1288</v>
      </c>
      <c r="DL80" s="77">
        <f t="shared" ref="DL80" ca="1" si="370">($M80=DK80)*$D$11</f>
        <v>20</v>
      </c>
      <c r="DM80" s="64"/>
      <c r="DN80" s="76" t="s">
        <v>1288</v>
      </c>
      <c r="DO80" s="77">
        <f t="shared" ref="DO80" ca="1" si="371">($M80=DN80)*$D$11</f>
        <v>20</v>
      </c>
      <c r="DP80" s="64"/>
      <c r="DQ80" s="76" t="s">
        <v>1288</v>
      </c>
      <c r="DR80" s="77">
        <f t="shared" ref="DR80" ca="1" si="372">($M80=DQ80)*$D$11</f>
        <v>20</v>
      </c>
      <c r="DS80" s="64"/>
      <c r="DT80" s="76" t="s">
        <v>1288</v>
      </c>
      <c r="DU80" s="77">
        <f t="shared" ref="DU80" ca="1" si="373">($M80=DT80)*$D$11</f>
        <v>20</v>
      </c>
      <c r="DV80" s="64"/>
      <c r="DW80" s="76" t="s">
        <v>1288</v>
      </c>
      <c r="DX80" s="77">
        <f t="shared" ref="DX80" ca="1" si="374">($M80=DW80)*$D$11</f>
        <v>20</v>
      </c>
      <c r="DY80" s="64"/>
      <c r="DZ80" s="76" t="s">
        <v>1288</v>
      </c>
      <c r="EA80" s="77">
        <f t="shared" ref="EA80" ca="1" si="375">($M80=DZ80)*$D$11</f>
        <v>20</v>
      </c>
      <c r="EB80" s="64"/>
      <c r="EC80" s="76" t="s">
        <v>1288</v>
      </c>
      <c r="ED80" s="77">
        <f t="shared" ref="ED80" ca="1" si="376">($M80=EC80)*$D$11</f>
        <v>20</v>
      </c>
      <c r="EE80" s="64"/>
      <c r="EF80" s="76" t="s">
        <v>1288</v>
      </c>
      <c r="EG80" s="77">
        <f t="shared" ref="EG80" ca="1" si="377">($M80=EF80)*$D$11</f>
        <v>20</v>
      </c>
      <c r="EH80" s="64"/>
      <c r="EI80" s="76" t="s">
        <v>1288</v>
      </c>
      <c r="EJ80" s="77">
        <f t="shared" ref="EJ80" ca="1" si="378">($M80=EI80)*$D$11</f>
        <v>20</v>
      </c>
      <c r="EK80" s="64"/>
      <c r="EL80" s="76" t="s">
        <v>1288</v>
      </c>
      <c r="EM80" s="77">
        <f t="shared" ref="EM80" ca="1" si="379">($M80=EL80)*$D$11</f>
        <v>20</v>
      </c>
      <c r="EN80" s="64"/>
      <c r="EO80" s="76" t="s">
        <v>1288</v>
      </c>
      <c r="EP80" s="77">
        <f t="shared" ref="EP80" ca="1" si="380">($M80=EO80)*$D$11</f>
        <v>20</v>
      </c>
      <c r="EQ80" s="64"/>
      <c r="ER80" s="76" t="s">
        <v>1288</v>
      </c>
      <c r="ES80" s="77">
        <f t="shared" ref="ES80" ca="1" si="381">($M80=ER80)*$D$11</f>
        <v>20</v>
      </c>
      <c r="ET80" s="64"/>
      <c r="EU80" s="76" t="s">
        <v>1288</v>
      </c>
      <c r="EV80" s="77">
        <f t="shared" ref="EV80" ca="1" si="382">($M80=EU80)*$D$11</f>
        <v>20</v>
      </c>
      <c r="EW80" s="64"/>
      <c r="EX80" s="76" t="s">
        <v>1288</v>
      </c>
      <c r="EY80" s="77">
        <f t="shared" ref="EY80" ca="1" si="383">($M80=EX80)*$D$11</f>
        <v>20</v>
      </c>
      <c r="EZ80" s="64"/>
      <c r="FA80" s="76" t="s">
        <v>1288</v>
      </c>
      <c r="FB80" s="77">
        <f t="shared" ref="FB80" ca="1" si="384">($M80=FA80)*$D$11</f>
        <v>20</v>
      </c>
      <c r="FC80" s="64"/>
      <c r="FD80" s="76" t="s">
        <v>1288</v>
      </c>
      <c r="FE80" s="77">
        <f t="shared" ref="FE80" ca="1" si="385">($M80=FD80)*$D$11</f>
        <v>20</v>
      </c>
      <c r="FF80" s="64"/>
      <c r="FG80" s="76" t="s">
        <v>1278</v>
      </c>
      <c r="FH80" s="77">
        <f t="shared" ref="FH80" ca="1" si="386">($M80=FG80)*$D$11</f>
        <v>0</v>
      </c>
      <c r="FI80" s="64"/>
      <c r="FJ80" s="76" t="s">
        <v>1288</v>
      </c>
      <c r="FK80" s="77">
        <f t="shared" ref="FK80" ca="1" si="387">($M80=FJ80)*$D$11</f>
        <v>20</v>
      </c>
      <c r="FL80" s="64"/>
      <c r="FM80" s="76" t="s">
        <v>1288</v>
      </c>
      <c r="FN80" s="77">
        <f t="shared" ref="FN80" ca="1" si="388">($M80=FM80)*$D$11</f>
        <v>20</v>
      </c>
      <c r="FO80" s="64"/>
      <c r="FP80" s="76" t="s">
        <v>1288</v>
      </c>
      <c r="FQ80" s="77">
        <f t="shared" ref="FQ80" ca="1" si="389">($M80=FP80)*$D$11</f>
        <v>20</v>
      </c>
      <c r="FR80" s="64"/>
      <c r="FS80" s="76" t="s">
        <v>1288</v>
      </c>
      <c r="FT80" s="77">
        <f t="shared" ref="FT80" ca="1" si="390">($M80=FS80)*$D$11</f>
        <v>20</v>
      </c>
      <c r="FU80" s="64"/>
      <c r="FV80" s="76" t="s">
        <v>1288</v>
      </c>
      <c r="FW80" s="77">
        <f t="shared" ref="FW80" ca="1" si="391">($M80=FV80)*$D$11</f>
        <v>20</v>
      </c>
      <c r="FX80" s="64"/>
      <c r="FY80" s="76" t="s">
        <v>1844</v>
      </c>
      <c r="FZ80" s="77">
        <f t="shared" ref="FZ80" ca="1" si="392">($M80=FY80)*$D$11</f>
        <v>0</v>
      </c>
      <c r="GA80" s="64"/>
      <c r="GB80" s="76" t="s">
        <v>1288</v>
      </c>
      <c r="GC80" s="77">
        <f t="shared" ref="GC80" ca="1" si="393">($M80=GB80)*$D$11</f>
        <v>20</v>
      </c>
      <c r="GD80" s="64"/>
      <c r="GE80" s="76" t="s">
        <v>1288</v>
      </c>
      <c r="GF80" s="77">
        <f t="shared" ref="GF80" ca="1" si="394">($M80=GE80)*$D$11</f>
        <v>20</v>
      </c>
      <c r="GG80" s="64"/>
      <c r="GH80" s="76" t="s">
        <v>1288</v>
      </c>
      <c r="GI80" s="77">
        <f t="shared" ref="GI80" ca="1" si="395">($M80=GH80)*$D$11</f>
        <v>20</v>
      </c>
      <c r="GJ80" s="64"/>
      <c r="GK80" s="76" t="s">
        <v>1278</v>
      </c>
      <c r="GL80" s="77">
        <f t="shared" ref="GL80" ca="1" si="396">($M80=GK80)*$D$11</f>
        <v>0</v>
      </c>
      <c r="GM80" s="64"/>
      <c r="GN80" s="76"/>
      <c r="GO80" s="77">
        <f t="shared" ref="GO80" ca="1" si="397">($M80=GN80)*$D$11</f>
        <v>0</v>
      </c>
      <c r="GP80" s="64"/>
      <c r="GQ80" s="76"/>
      <c r="GR80" s="77">
        <f t="shared" ref="GR80" ca="1" si="398">($M80=GQ80)*$D$11</f>
        <v>0</v>
      </c>
      <c r="GS80" s="64"/>
      <c r="GT80" s="76"/>
      <c r="GU80" s="77">
        <f t="shared" ref="GU80" ca="1" si="399">($M80=GT80)*$D$11</f>
        <v>0</v>
      </c>
      <c r="GV80" s="64"/>
      <c r="GW80" s="76"/>
      <c r="GX80" s="77">
        <f t="shared" ref="GX80" ca="1" si="400">($M80=GW80)*$D$11</f>
        <v>0</v>
      </c>
      <c r="GY80" s="64"/>
      <c r="GZ80" s="76"/>
      <c r="HA80" s="77">
        <f t="shared" ref="HA80" ca="1" si="401">($M80=GZ80)*$D$11</f>
        <v>0</v>
      </c>
      <c r="HB80" s="64"/>
      <c r="HC80" s="76"/>
      <c r="HD80" s="77">
        <f t="shared" ref="HD80" ca="1" si="402">($M80=HC80)*$D$11</f>
        <v>0</v>
      </c>
      <c r="HE80" s="64"/>
      <c r="HF80" s="76"/>
      <c r="HG80" s="77">
        <f t="shared" ref="HG80" ca="1" si="403">($M80=HF80)*$D$11</f>
        <v>0</v>
      </c>
      <c r="HH80" s="64"/>
      <c r="HI80" s="76"/>
      <c r="HJ80" s="77">
        <f t="shared" ref="HJ80" ca="1" si="404">($M80=HI80)*$D$11</f>
        <v>0</v>
      </c>
      <c r="HK80" s="64"/>
      <c r="HL80" s="76"/>
      <c r="HM80" s="77">
        <f t="shared" ref="HM80" ca="1" si="405">($M80=HL80)*$D$11</f>
        <v>0</v>
      </c>
      <c r="HN80" s="64"/>
      <c r="HO80" s="76"/>
      <c r="HP80" s="77">
        <f t="shared" ref="HP80" ca="1" si="406">($M80=HO80)*$D$11</f>
        <v>0</v>
      </c>
      <c r="HQ80" s="64"/>
      <c r="HR80" s="76"/>
      <c r="HS80" s="77">
        <f t="shared" ref="HS80" ca="1" si="407">($M80=HR80)*$D$11</f>
        <v>0</v>
      </c>
      <c r="HT80" s="64"/>
      <c r="HU80" s="76"/>
      <c r="HV80" s="77">
        <f t="shared" ref="HV80" ca="1" si="408">($M80=HU80)*$D$11</f>
        <v>0</v>
      </c>
      <c r="HW80" s="64"/>
      <c r="HX80" s="76"/>
      <c r="HY80" s="77">
        <f t="shared" ref="HY80" ca="1" si="409">($M80=HX80)*$D$11</f>
        <v>0</v>
      </c>
      <c r="HZ80" s="64"/>
      <c r="IA80" s="76"/>
      <c r="IB80" s="77">
        <f t="shared" ref="IB80" ca="1" si="410">($M80=IA80)*$D$11</f>
        <v>0</v>
      </c>
      <c r="IC80" s="64"/>
      <c r="ID80" s="76"/>
      <c r="IE80" s="77">
        <f t="shared" ref="IE80" ca="1" si="411">($M80=ID80)*$D$11</f>
        <v>0</v>
      </c>
      <c r="IF80" s="64"/>
      <c r="IG80" s="76"/>
      <c r="IH80" s="77">
        <f t="shared" ref="IH80" ca="1" si="412">($M80=IG80)*$D$11</f>
        <v>0</v>
      </c>
      <c r="II80" s="64"/>
      <c r="IJ80" s="76"/>
      <c r="IK80" s="77">
        <f t="shared" ref="IK80" ca="1" si="413">($M80=IJ80)*$D$11</f>
        <v>0</v>
      </c>
      <c r="IL80" s="64"/>
      <c r="IM80" s="76"/>
      <c r="IN80" s="77">
        <f t="shared" ref="IN80" ca="1" si="414">($M80=IM80)*$D$11</f>
        <v>0</v>
      </c>
      <c r="IO80" s="64"/>
      <c r="IP80" s="76"/>
      <c r="IQ80" s="77">
        <f t="shared" ref="IQ80" ca="1" si="415">($M80=IP80)*$D$11</f>
        <v>0</v>
      </c>
      <c r="IR80" s="64"/>
      <c r="IS80" s="76"/>
      <c r="IT80" s="77">
        <f t="shared" ref="IT80" ca="1" si="416">($M80=IS80)*$D$11</f>
        <v>0</v>
      </c>
      <c r="IU80" s="64"/>
      <c r="IV80" s="76"/>
      <c r="IW80" s="77">
        <f t="shared" ref="IW80" ca="1" si="417">($M80=IV80)*$D$11</f>
        <v>0</v>
      </c>
      <c r="IX80" s="64"/>
      <c r="IY80" s="76"/>
      <c r="IZ80" s="77">
        <f t="shared" ref="IZ80" ca="1" si="418">($M80=IY80)*$D$11</f>
        <v>0</v>
      </c>
      <c r="JA80" s="64"/>
      <c r="JB80" s="76"/>
      <c r="JC80" s="77">
        <f t="shared" ref="JC80" ca="1" si="419">($M80=JB80)*$D$11</f>
        <v>0</v>
      </c>
      <c r="JD80" s="64"/>
      <c r="JE80" s="76"/>
      <c r="JF80" s="77">
        <f t="shared" ref="JF80" ca="1" si="420">($M80=JE80)*$D$11</f>
        <v>0</v>
      </c>
      <c r="JG80" s="64"/>
      <c r="JH80" s="76"/>
      <c r="JI80" s="77">
        <f t="shared" ref="JI80" ca="1" si="421">($M80=JH80)*$D$11</f>
        <v>0</v>
      </c>
      <c r="JJ80" s="64"/>
      <c r="JK80" s="76"/>
      <c r="JL80" s="77">
        <f t="shared" ref="JL80" ca="1" si="422">($M80=JK80)*$D$11</f>
        <v>0</v>
      </c>
      <c r="JM80" s="64"/>
      <c r="JN80" s="76"/>
      <c r="JO80" s="77">
        <f t="shared" ref="JO80" ca="1" si="423">($M80=JN80)*$D$11</f>
        <v>0</v>
      </c>
      <c r="JP80" s="64"/>
      <c r="JQ80" s="76"/>
      <c r="JR80" s="77">
        <f t="shared" ref="JR80" ca="1" si="424">($M80=JQ80)*$D$11</f>
        <v>0</v>
      </c>
      <c r="JS80" s="64"/>
      <c r="JT80" s="76"/>
      <c r="JU80" s="77">
        <f t="shared" ref="JU80" ca="1" si="425">($M80=JT80)*$D$11</f>
        <v>0</v>
      </c>
      <c r="JV80" s="64"/>
      <c r="JW80" s="76"/>
      <c r="JX80" s="77">
        <f t="shared" ref="JX80" ca="1" si="426">($M80=JW80)*$D$11</f>
        <v>0</v>
      </c>
      <c r="JY80" s="64"/>
      <c r="JZ80" s="76"/>
      <c r="KA80" s="77">
        <f t="shared" ref="KA80" ca="1" si="427">($M80=JZ80)*$D$11</f>
        <v>0</v>
      </c>
      <c r="KB80" s="64"/>
      <c r="KC80" s="76"/>
      <c r="KD80" s="77">
        <f t="shared" ref="KD80" ca="1" si="428">($M80=KC80)*$D$11</f>
        <v>0</v>
      </c>
      <c r="KE80" s="64"/>
      <c r="KF80" s="76"/>
      <c r="KG80" s="77">
        <f t="shared" ref="KG80" ca="1" si="429">($M80=KF80)*$D$11</f>
        <v>0</v>
      </c>
      <c r="KH80" s="64"/>
      <c r="KI80" s="76"/>
      <c r="KJ80" s="77">
        <f t="shared" ref="KJ80" ca="1" si="430">($M80=KI80)*$D$11</f>
        <v>0</v>
      </c>
      <c r="KK80" s="64"/>
      <c r="KL80" s="76"/>
      <c r="KM80" s="77">
        <f t="shared" ref="KM80" ca="1" si="431">($M80=KL80)*$D$11</f>
        <v>0</v>
      </c>
      <c r="KN80" s="64"/>
      <c r="KO80" s="76"/>
      <c r="KP80" s="77">
        <f t="shared" ref="KP80" ca="1" si="432">($M80=KO80)*$D$11</f>
        <v>0</v>
      </c>
      <c r="KQ80" s="64"/>
      <c r="KR80" s="76"/>
      <c r="KS80" s="77">
        <f t="shared" ref="KS80" ca="1" si="433">($M80=KR80)*$D$11</f>
        <v>0</v>
      </c>
      <c r="KT80" s="64"/>
      <c r="KU80" s="76"/>
      <c r="KV80" s="77">
        <f t="shared" ref="KV80" ca="1" si="434">($M80=KU80)*$D$11</f>
        <v>0</v>
      </c>
      <c r="KW80" s="64"/>
      <c r="KX80" s="76"/>
      <c r="KY80" s="77">
        <f t="shared" ref="KY80" ca="1" si="435">($M80=KX80)*$D$11</f>
        <v>0</v>
      </c>
      <c r="KZ80" s="64"/>
      <c r="LA80" s="76"/>
      <c r="LB80" s="77">
        <f t="shared" ref="LB80" ca="1" si="436">($M80=LA80)*$D$11</f>
        <v>0</v>
      </c>
      <c r="LC80" s="64"/>
      <c r="LD80" s="76"/>
      <c r="LE80" s="77">
        <f t="shared" ref="LE80" ca="1" si="437">($M80=LD80)*$D$11</f>
        <v>0</v>
      </c>
      <c r="LF80" s="64"/>
      <c r="LG80" s="64"/>
    </row>
    <row r="81" spans="1:319">
      <c r="A81" s="49"/>
      <c r="B81" s="49"/>
      <c r="C81" s="49"/>
      <c r="D81" s="49"/>
      <c r="E81" s="111"/>
      <c r="F81" s="127">
        <f>$D$12</f>
        <v>10</v>
      </c>
      <c r="G81" s="445">
        <f ca="1">VLOOKUP(H81,Equipos!$Q$1:$R$25,2,0)</f>
        <v>15</v>
      </c>
      <c r="H81" s="446">
        <f ca="1">$H$54</f>
        <v>46198</v>
      </c>
      <c r="I81" s="50"/>
      <c r="J81" s="848"/>
      <c r="K81" s="56" t="str">
        <f>Idiomas!D151</f>
        <v>2nd GROUP A</v>
      </c>
      <c r="L81" s="53"/>
      <c r="M81" s="55" t="str">
        <f ca="1">IF(OR(SUM(WORLDCUP!$AN$6:$AN$9)=12,WORLDCUP!$AJ$99=144),WORLDCUP!AL7,LEFT(K81,1)&amp;RIGHT(K81,1))</f>
        <v>South Africa</v>
      </c>
      <c r="N81" s="25"/>
      <c r="O81" s="25"/>
      <c r="P81" s="25"/>
      <c r="Q81" s="25"/>
      <c r="R81" s="110"/>
      <c r="S81" s="74" t="s">
        <v>1278</v>
      </c>
      <c r="T81" s="73">
        <f ca="1">($M81=S81)*$D$12</f>
        <v>0</v>
      </c>
      <c r="U81" s="64"/>
      <c r="V81" s="74" t="s">
        <v>1635</v>
      </c>
      <c r="W81" s="73">
        <f t="shared" ref="W81" ca="1" si="438">($M81=V81)*$D$12</f>
        <v>10</v>
      </c>
      <c r="X81" s="64"/>
      <c r="Y81" s="74" t="s">
        <v>1844</v>
      </c>
      <c r="Z81" s="73">
        <f t="shared" ref="Z81" ca="1" si="439">($M81=Y81)*$D$12</f>
        <v>0</v>
      </c>
      <c r="AA81" s="64"/>
      <c r="AB81" s="74" t="s">
        <v>1288</v>
      </c>
      <c r="AC81" s="73">
        <f t="shared" ref="AC81" ca="1" si="440">($M81=AB81)*$D$12</f>
        <v>0</v>
      </c>
      <c r="AD81" s="64"/>
      <c r="AE81" s="74" t="s">
        <v>1278</v>
      </c>
      <c r="AF81" s="73">
        <f t="shared" ref="AF81" ca="1" si="441">($M81=AE81)*$D$12</f>
        <v>0</v>
      </c>
      <c r="AG81" s="64"/>
      <c r="AH81" s="74" t="s">
        <v>1278</v>
      </c>
      <c r="AI81" s="73">
        <f t="shared" ref="AI81" ca="1" si="442">($M81=AH81)*$D$12</f>
        <v>0</v>
      </c>
      <c r="AJ81" s="64"/>
      <c r="AK81" s="74" t="s">
        <v>1844</v>
      </c>
      <c r="AL81" s="73">
        <f t="shared" ref="AL81" ca="1" si="443">($M81=AK81)*$D$12</f>
        <v>0</v>
      </c>
      <c r="AM81" s="64"/>
      <c r="AN81" s="74" t="s">
        <v>1278</v>
      </c>
      <c r="AO81" s="73">
        <f t="shared" ref="AO81" ca="1" si="444">($M81=AN81)*$D$12</f>
        <v>0</v>
      </c>
      <c r="AP81" s="64"/>
      <c r="AQ81" s="74" t="s">
        <v>1844</v>
      </c>
      <c r="AR81" s="73">
        <f t="shared" ref="AR81" ca="1" si="445">($M81=AQ81)*$D$12</f>
        <v>0</v>
      </c>
      <c r="AS81" s="64"/>
      <c r="AT81" s="74" t="s">
        <v>1288</v>
      </c>
      <c r="AU81" s="73">
        <f t="shared" ref="AU81" ca="1" si="446">($M81=AT81)*$D$12</f>
        <v>0</v>
      </c>
      <c r="AV81" s="64"/>
      <c r="AW81" s="74" t="s">
        <v>1844</v>
      </c>
      <c r="AX81" s="73">
        <f t="shared" ref="AX81" ca="1" si="447">($M81=AW81)*$D$12</f>
        <v>0</v>
      </c>
      <c r="AY81" s="64"/>
      <c r="AZ81" s="74" t="s">
        <v>1844</v>
      </c>
      <c r="BA81" s="73">
        <f t="shared" ref="BA81" ca="1" si="448">($M81=AZ81)*$D$12</f>
        <v>0</v>
      </c>
      <c r="BB81" s="64"/>
      <c r="BC81" s="74" t="s">
        <v>1844</v>
      </c>
      <c r="BD81" s="73">
        <f t="shared" ref="BD81" ca="1" si="449">($M81=BC81)*$D$12</f>
        <v>0</v>
      </c>
      <c r="BE81" s="64"/>
      <c r="BF81" s="74" t="s">
        <v>1288</v>
      </c>
      <c r="BG81" s="73">
        <f t="shared" ref="BG81" ca="1" si="450">($M81=BF81)*$D$12</f>
        <v>0</v>
      </c>
      <c r="BH81" s="64"/>
      <c r="BI81" s="74" t="s">
        <v>1288</v>
      </c>
      <c r="BJ81" s="73">
        <f t="shared" ref="BJ81" ca="1" si="451">($M81=BI81)*$D$12</f>
        <v>0</v>
      </c>
      <c r="BK81" s="64"/>
      <c r="BL81" s="74" t="s">
        <v>1278</v>
      </c>
      <c r="BM81" s="73">
        <f t="shared" ref="BM81" ca="1" si="452">($M81=BL81)*$D$12</f>
        <v>0</v>
      </c>
      <c r="BN81" s="64"/>
      <c r="BO81" s="74" t="s">
        <v>1844</v>
      </c>
      <c r="BP81" s="73">
        <f t="shared" ref="BP81" ca="1" si="453">($M81=BO81)*$D$12</f>
        <v>0</v>
      </c>
      <c r="BQ81" s="64"/>
      <c r="BR81" s="74" t="s">
        <v>1288</v>
      </c>
      <c r="BS81" s="73">
        <f t="shared" ref="BS81" ca="1" si="454">($M81=BR81)*$D$12</f>
        <v>0</v>
      </c>
      <c r="BT81" s="64"/>
      <c r="BU81" s="74" t="s">
        <v>1844</v>
      </c>
      <c r="BV81" s="73">
        <f t="shared" ref="BV81" ca="1" si="455">($M81=BU81)*$D$12</f>
        <v>0</v>
      </c>
      <c r="BW81" s="64"/>
      <c r="BX81" s="74" t="s">
        <v>1844</v>
      </c>
      <c r="BY81" s="73">
        <f t="shared" ref="BY81" ca="1" si="456">($M81=BX81)*$D$12</f>
        <v>0</v>
      </c>
      <c r="BZ81" s="64"/>
      <c r="CA81" s="74" t="s">
        <v>1635</v>
      </c>
      <c r="CB81" s="73">
        <f t="shared" ref="CB81" ca="1" si="457">($M81=CA81)*$D$12</f>
        <v>10</v>
      </c>
      <c r="CC81" s="64"/>
      <c r="CD81" s="74" t="s">
        <v>1288</v>
      </c>
      <c r="CE81" s="73">
        <f t="shared" ref="CE81" ca="1" si="458">($M81=CD81)*$D$12</f>
        <v>0</v>
      </c>
      <c r="CF81" s="64"/>
      <c r="CG81" s="74" t="s">
        <v>1278</v>
      </c>
      <c r="CH81" s="73">
        <f t="shared" ref="CH81" ca="1" si="459">($M81=CG81)*$D$12</f>
        <v>0</v>
      </c>
      <c r="CI81" s="64"/>
      <c r="CJ81" s="74" t="s">
        <v>1844</v>
      </c>
      <c r="CK81" s="73">
        <f t="shared" ref="CK81" ca="1" si="460">($M81=CJ81)*$D$12</f>
        <v>0</v>
      </c>
      <c r="CL81" s="64"/>
      <c r="CM81" s="74" t="s">
        <v>1288</v>
      </c>
      <c r="CN81" s="73">
        <f t="shared" ref="CN81" ca="1" si="461">($M81=CM81)*$D$12</f>
        <v>0</v>
      </c>
      <c r="CO81" s="64"/>
      <c r="CP81" s="74" t="s">
        <v>1278</v>
      </c>
      <c r="CQ81" s="73">
        <f t="shared" ref="CQ81" ca="1" si="462">($M81=CP81)*$D$12</f>
        <v>0</v>
      </c>
      <c r="CR81" s="64"/>
      <c r="CS81" s="74" t="s">
        <v>1844</v>
      </c>
      <c r="CT81" s="73">
        <f t="shared" ref="CT81" ca="1" si="463">($M81=CS81)*$D$12</f>
        <v>0</v>
      </c>
      <c r="CU81" s="64"/>
      <c r="CV81" s="74" t="s">
        <v>1844</v>
      </c>
      <c r="CW81" s="73">
        <f t="shared" ref="CW81" ca="1" si="464">($M81=CV81)*$D$12</f>
        <v>0</v>
      </c>
      <c r="CX81" s="64"/>
      <c r="CY81" s="74" t="s">
        <v>1288</v>
      </c>
      <c r="CZ81" s="73">
        <f t="shared" ref="CZ81" ca="1" si="465">($M81=CY81)*$D$12</f>
        <v>0</v>
      </c>
      <c r="DA81" s="64"/>
      <c r="DB81" s="74" t="s">
        <v>1844</v>
      </c>
      <c r="DC81" s="73">
        <f t="shared" ref="DC81" ca="1" si="466">($M81=DB81)*$D$12</f>
        <v>0</v>
      </c>
      <c r="DD81" s="64"/>
      <c r="DE81" s="74" t="s">
        <v>1844</v>
      </c>
      <c r="DF81" s="73">
        <f t="shared" ref="DF81" ca="1" si="467">($M81=DE81)*$D$12</f>
        <v>0</v>
      </c>
      <c r="DG81" s="64"/>
      <c r="DH81" s="74" t="s">
        <v>1844</v>
      </c>
      <c r="DI81" s="73">
        <f t="shared" ref="DI81" ca="1" si="468">($M81=DH81)*$D$12</f>
        <v>0</v>
      </c>
      <c r="DJ81" s="64"/>
      <c r="DK81" s="74" t="s">
        <v>1844</v>
      </c>
      <c r="DL81" s="73">
        <f t="shared" ref="DL81" ca="1" si="469">($M81=DK81)*$D$12</f>
        <v>0</v>
      </c>
      <c r="DM81" s="64"/>
      <c r="DN81" s="74" t="s">
        <v>1844</v>
      </c>
      <c r="DO81" s="73">
        <f t="shared" ref="DO81" ca="1" si="470">($M81=DN81)*$D$12</f>
        <v>0</v>
      </c>
      <c r="DP81" s="64"/>
      <c r="DQ81" s="74" t="s">
        <v>1278</v>
      </c>
      <c r="DR81" s="73">
        <f t="shared" ref="DR81" ca="1" si="471">($M81=DQ81)*$D$12</f>
        <v>0</v>
      </c>
      <c r="DS81" s="64"/>
      <c r="DT81" s="74" t="s">
        <v>1844</v>
      </c>
      <c r="DU81" s="73">
        <f t="shared" ref="DU81" ca="1" si="472">($M81=DT81)*$D$12</f>
        <v>0</v>
      </c>
      <c r="DV81" s="64"/>
      <c r="DW81" s="74" t="s">
        <v>1844</v>
      </c>
      <c r="DX81" s="73">
        <f t="shared" ref="DX81" ca="1" si="473">($M81=DW81)*$D$12</f>
        <v>0</v>
      </c>
      <c r="DY81" s="64"/>
      <c r="DZ81" s="74" t="s">
        <v>1844</v>
      </c>
      <c r="EA81" s="73">
        <f t="shared" ref="EA81" ca="1" si="474">($M81=DZ81)*$D$12</f>
        <v>0</v>
      </c>
      <c r="EB81" s="64"/>
      <c r="EC81" s="74" t="s">
        <v>1844</v>
      </c>
      <c r="ED81" s="73">
        <f t="shared" ref="ED81" ca="1" si="475">($M81=EC81)*$D$12</f>
        <v>0</v>
      </c>
      <c r="EE81" s="64"/>
      <c r="EF81" s="74" t="s">
        <v>1635</v>
      </c>
      <c r="EG81" s="73">
        <f t="shared" ref="EG81" ca="1" si="476">($M81=EF81)*$D$12</f>
        <v>10</v>
      </c>
      <c r="EH81" s="64"/>
      <c r="EI81" s="74" t="s">
        <v>1844</v>
      </c>
      <c r="EJ81" s="73">
        <f t="shared" ref="EJ81" ca="1" si="477">($M81=EI81)*$D$12</f>
        <v>0</v>
      </c>
      <c r="EK81" s="64"/>
      <c r="EL81" s="74" t="s">
        <v>1844</v>
      </c>
      <c r="EM81" s="73">
        <f t="shared" ref="EM81" ca="1" si="478">($M81=EL81)*$D$12</f>
        <v>0</v>
      </c>
      <c r="EN81" s="64"/>
      <c r="EO81" s="74" t="s">
        <v>1278</v>
      </c>
      <c r="EP81" s="73">
        <f t="shared" ref="EP81" ca="1" si="479">($M81=EO81)*$D$12</f>
        <v>0</v>
      </c>
      <c r="EQ81" s="64"/>
      <c r="ER81" s="74" t="s">
        <v>1278</v>
      </c>
      <c r="ES81" s="73">
        <f t="shared" ref="ES81" ca="1" si="480">($M81=ER81)*$D$12</f>
        <v>0</v>
      </c>
      <c r="ET81" s="64"/>
      <c r="EU81" s="74" t="s">
        <v>1278</v>
      </c>
      <c r="EV81" s="73">
        <f t="shared" ref="EV81" ca="1" si="481">($M81=EU81)*$D$12</f>
        <v>0</v>
      </c>
      <c r="EW81" s="64"/>
      <c r="EX81" s="74" t="s">
        <v>1278</v>
      </c>
      <c r="EY81" s="73">
        <f t="shared" ref="EY81" ca="1" si="482">($M81=EX81)*$D$12</f>
        <v>0</v>
      </c>
      <c r="EZ81" s="64"/>
      <c r="FA81" s="74" t="s">
        <v>1844</v>
      </c>
      <c r="FB81" s="73">
        <f t="shared" ref="FB81" ca="1" si="483">($M81=FA81)*$D$12</f>
        <v>0</v>
      </c>
      <c r="FC81" s="64"/>
      <c r="FD81" s="74" t="s">
        <v>1278</v>
      </c>
      <c r="FE81" s="73">
        <f t="shared" ref="FE81" ca="1" si="484">($M81=FD81)*$D$12</f>
        <v>0</v>
      </c>
      <c r="FF81" s="64"/>
      <c r="FG81" s="74" t="s">
        <v>1288</v>
      </c>
      <c r="FH81" s="73">
        <f t="shared" ref="FH81" ca="1" si="485">($M81=FG81)*$D$12</f>
        <v>0</v>
      </c>
      <c r="FI81" s="64"/>
      <c r="FJ81" s="74" t="s">
        <v>1844</v>
      </c>
      <c r="FK81" s="73">
        <f t="shared" ref="FK81" ca="1" si="486">($M81=FJ81)*$D$12</f>
        <v>0</v>
      </c>
      <c r="FL81" s="64"/>
      <c r="FM81" s="74" t="s">
        <v>1844</v>
      </c>
      <c r="FN81" s="73">
        <f t="shared" ref="FN81" ca="1" si="487">($M81=FM81)*$D$12</f>
        <v>0</v>
      </c>
      <c r="FO81" s="64"/>
      <c r="FP81" s="74" t="s">
        <v>1844</v>
      </c>
      <c r="FQ81" s="73">
        <f t="shared" ref="FQ81" ca="1" si="488">($M81=FP81)*$D$12</f>
        <v>0</v>
      </c>
      <c r="FR81" s="64"/>
      <c r="FS81" s="74" t="s">
        <v>1844</v>
      </c>
      <c r="FT81" s="73">
        <f t="shared" ref="FT81" ca="1" si="489">($M81=FS81)*$D$12</f>
        <v>0</v>
      </c>
      <c r="FU81" s="64"/>
      <c r="FV81" s="74" t="s">
        <v>1278</v>
      </c>
      <c r="FW81" s="73">
        <f t="shared" ref="FW81" ca="1" si="490">($M81=FV81)*$D$12</f>
        <v>0</v>
      </c>
      <c r="FX81" s="64"/>
      <c r="FY81" s="74" t="s">
        <v>1288</v>
      </c>
      <c r="FZ81" s="73">
        <f t="shared" ref="FZ81" ca="1" si="491">($M81=FY81)*$D$12</f>
        <v>0</v>
      </c>
      <c r="GA81" s="64"/>
      <c r="GB81" s="74" t="s">
        <v>1844</v>
      </c>
      <c r="GC81" s="73">
        <f t="shared" ref="GC81" ca="1" si="492">($M81=GB81)*$D$12</f>
        <v>0</v>
      </c>
      <c r="GD81" s="64"/>
      <c r="GE81" s="74" t="s">
        <v>1844</v>
      </c>
      <c r="GF81" s="73">
        <f t="shared" ref="GF81" ca="1" si="493">($M81=GE81)*$D$12</f>
        <v>0</v>
      </c>
      <c r="GG81" s="64"/>
      <c r="GH81" s="74" t="s">
        <v>1278</v>
      </c>
      <c r="GI81" s="73">
        <f t="shared" ref="GI81" ca="1" si="494">($M81=GH81)*$D$12</f>
        <v>0</v>
      </c>
      <c r="GJ81" s="64"/>
      <c r="GK81" s="74" t="s">
        <v>1288</v>
      </c>
      <c r="GL81" s="73">
        <f t="shared" ref="GL81" ca="1" si="495">($M81=GK81)*$D$12</f>
        <v>0</v>
      </c>
      <c r="GM81" s="64"/>
      <c r="GN81" s="74"/>
      <c r="GO81" s="73">
        <f t="shared" ref="GO81" ca="1" si="496">($M81=GN81)*$D$12</f>
        <v>0</v>
      </c>
      <c r="GP81" s="64"/>
      <c r="GQ81" s="74"/>
      <c r="GR81" s="73">
        <f t="shared" ref="GR81" ca="1" si="497">($M81=GQ81)*$D$12</f>
        <v>0</v>
      </c>
      <c r="GS81" s="64"/>
      <c r="GT81" s="74"/>
      <c r="GU81" s="73">
        <f t="shared" ref="GU81" ca="1" si="498">($M81=GT81)*$D$12</f>
        <v>0</v>
      </c>
      <c r="GV81" s="64"/>
      <c r="GW81" s="74"/>
      <c r="GX81" s="73">
        <f t="shared" ref="GX81" ca="1" si="499">($M81=GW81)*$D$12</f>
        <v>0</v>
      </c>
      <c r="GY81" s="64"/>
      <c r="GZ81" s="74"/>
      <c r="HA81" s="73">
        <f t="shared" ref="HA81" ca="1" si="500">($M81=GZ81)*$D$12</f>
        <v>0</v>
      </c>
      <c r="HB81" s="64"/>
      <c r="HC81" s="74"/>
      <c r="HD81" s="73">
        <f t="shared" ref="HD81" ca="1" si="501">($M81=HC81)*$D$12</f>
        <v>0</v>
      </c>
      <c r="HE81" s="64"/>
      <c r="HF81" s="74"/>
      <c r="HG81" s="73">
        <f t="shared" ref="HG81" ca="1" si="502">($M81=HF81)*$D$12</f>
        <v>0</v>
      </c>
      <c r="HH81" s="64"/>
      <c r="HI81" s="74"/>
      <c r="HJ81" s="73">
        <f t="shared" ref="HJ81" ca="1" si="503">($M81=HI81)*$D$12</f>
        <v>0</v>
      </c>
      <c r="HK81" s="64"/>
      <c r="HL81" s="74"/>
      <c r="HM81" s="73">
        <f t="shared" ref="HM81" ca="1" si="504">($M81=HL81)*$D$12</f>
        <v>0</v>
      </c>
      <c r="HN81" s="64"/>
      <c r="HO81" s="74"/>
      <c r="HP81" s="73">
        <f t="shared" ref="HP81" ca="1" si="505">($M81=HO81)*$D$12</f>
        <v>0</v>
      </c>
      <c r="HQ81" s="64"/>
      <c r="HR81" s="74"/>
      <c r="HS81" s="73">
        <f t="shared" ref="HS81" ca="1" si="506">($M81=HR81)*$D$12</f>
        <v>0</v>
      </c>
      <c r="HT81" s="64"/>
      <c r="HU81" s="74"/>
      <c r="HV81" s="73">
        <f t="shared" ref="HV81" ca="1" si="507">($M81=HU81)*$D$12</f>
        <v>0</v>
      </c>
      <c r="HW81" s="64"/>
      <c r="HX81" s="74"/>
      <c r="HY81" s="73">
        <f t="shared" ref="HY81" ca="1" si="508">($M81=HX81)*$D$12</f>
        <v>0</v>
      </c>
      <c r="HZ81" s="64"/>
      <c r="IA81" s="74"/>
      <c r="IB81" s="73">
        <f t="shared" ref="IB81" ca="1" si="509">($M81=IA81)*$D$12</f>
        <v>0</v>
      </c>
      <c r="IC81" s="64"/>
      <c r="ID81" s="74"/>
      <c r="IE81" s="73">
        <f t="shared" ref="IE81" ca="1" si="510">($M81=ID81)*$D$12</f>
        <v>0</v>
      </c>
      <c r="IF81" s="64"/>
      <c r="IG81" s="74"/>
      <c r="IH81" s="73">
        <f t="shared" ref="IH81" ca="1" si="511">($M81=IG81)*$D$12</f>
        <v>0</v>
      </c>
      <c r="II81" s="64"/>
      <c r="IJ81" s="74"/>
      <c r="IK81" s="73">
        <f t="shared" ref="IK81" ca="1" si="512">($M81=IJ81)*$D$12</f>
        <v>0</v>
      </c>
      <c r="IL81" s="64"/>
      <c r="IM81" s="74"/>
      <c r="IN81" s="73">
        <f t="shared" ref="IN81" ca="1" si="513">($M81=IM81)*$D$12</f>
        <v>0</v>
      </c>
      <c r="IO81" s="64"/>
      <c r="IP81" s="74"/>
      <c r="IQ81" s="73">
        <f t="shared" ref="IQ81" ca="1" si="514">($M81=IP81)*$D$12</f>
        <v>0</v>
      </c>
      <c r="IR81" s="64"/>
      <c r="IS81" s="74"/>
      <c r="IT81" s="73">
        <f t="shared" ref="IT81" ca="1" si="515">($M81=IS81)*$D$12</f>
        <v>0</v>
      </c>
      <c r="IU81" s="64"/>
      <c r="IV81" s="74"/>
      <c r="IW81" s="73">
        <f t="shared" ref="IW81" ca="1" si="516">($M81=IV81)*$D$12</f>
        <v>0</v>
      </c>
      <c r="IX81" s="64"/>
      <c r="IY81" s="74"/>
      <c r="IZ81" s="73">
        <f t="shared" ref="IZ81" ca="1" si="517">($M81=IY81)*$D$12</f>
        <v>0</v>
      </c>
      <c r="JA81" s="64"/>
      <c r="JB81" s="74"/>
      <c r="JC81" s="73">
        <f t="shared" ref="JC81" ca="1" si="518">($M81=JB81)*$D$12</f>
        <v>0</v>
      </c>
      <c r="JD81" s="64"/>
      <c r="JE81" s="74"/>
      <c r="JF81" s="73">
        <f t="shared" ref="JF81" ca="1" si="519">($M81=JE81)*$D$12</f>
        <v>0</v>
      </c>
      <c r="JG81" s="64"/>
      <c r="JH81" s="74"/>
      <c r="JI81" s="73">
        <f t="shared" ref="JI81" ca="1" si="520">($M81=JH81)*$D$12</f>
        <v>0</v>
      </c>
      <c r="JJ81" s="64"/>
      <c r="JK81" s="74"/>
      <c r="JL81" s="73">
        <f t="shared" ref="JL81" ca="1" si="521">($M81=JK81)*$D$12</f>
        <v>0</v>
      </c>
      <c r="JM81" s="64"/>
      <c r="JN81" s="74"/>
      <c r="JO81" s="73">
        <f t="shared" ref="JO81" ca="1" si="522">($M81=JN81)*$D$12</f>
        <v>0</v>
      </c>
      <c r="JP81" s="64"/>
      <c r="JQ81" s="74"/>
      <c r="JR81" s="73">
        <f t="shared" ref="JR81" ca="1" si="523">($M81=JQ81)*$D$12</f>
        <v>0</v>
      </c>
      <c r="JS81" s="64"/>
      <c r="JT81" s="74"/>
      <c r="JU81" s="73">
        <f t="shared" ref="JU81" ca="1" si="524">($M81=JT81)*$D$12</f>
        <v>0</v>
      </c>
      <c r="JV81" s="64"/>
      <c r="JW81" s="74"/>
      <c r="JX81" s="73">
        <f t="shared" ref="JX81" ca="1" si="525">($M81=JW81)*$D$12</f>
        <v>0</v>
      </c>
      <c r="JY81" s="64"/>
      <c r="JZ81" s="74"/>
      <c r="KA81" s="73">
        <f t="shared" ref="KA81" ca="1" si="526">($M81=JZ81)*$D$12</f>
        <v>0</v>
      </c>
      <c r="KB81" s="64"/>
      <c r="KC81" s="74"/>
      <c r="KD81" s="73">
        <f t="shared" ref="KD81" ca="1" si="527">($M81=KC81)*$D$12</f>
        <v>0</v>
      </c>
      <c r="KE81" s="64"/>
      <c r="KF81" s="74"/>
      <c r="KG81" s="73">
        <f t="shared" ref="KG81" ca="1" si="528">($M81=KF81)*$D$12</f>
        <v>0</v>
      </c>
      <c r="KH81" s="64"/>
      <c r="KI81" s="74"/>
      <c r="KJ81" s="73">
        <f t="shared" ref="KJ81" ca="1" si="529">($M81=KI81)*$D$12</f>
        <v>0</v>
      </c>
      <c r="KK81" s="64"/>
      <c r="KL81" s="74"/>
      <c r="KM81" s="73">
        <f t="shared" ref="KM81" ca="1" si="530">($M81=KL81)*$D$12</f>
        <v>0</v>
      </c>
      <c r="KN81" s="64"/>
      <c r="KO81" s="74"/>
      <c r="KP81" s="73">
        <f t="shared" ref="KP81" ca="1" si="531">($M81=KO81)*$D$12</f>
        <v>0</v>
      </c>
      <c r="KQ81" s="64"/>
      <c r="KR81" s="74"/>
      <c r="KS81" s="73">
        <f t="shared" ref="KS81" ca="1" si="532">($M81=KR81)*$D$12</f>
        <v>0</v>
      </c>
      <c r="KT81" s="64"/>
      <c r="KU81" s="74"/>
      <c r="KV81" s="73">
        <f t="shared" ref="KV81" ca="1" si="533">($M81=KU81)*$D$12</f>
        <v>0</v>
      </c>
      <c r="KW81" s="64"/>
      <c r="KX81" s="74"/>
      <c r="KY81" s="73">
        <f t="shared" ref="KY81" ca="1" si="534">($M81=KX81)*$D$12</f>
        <v>0</v>
      </c>
      <c r="KZ81" s="64"/>
      <c r="LA81" s="74"/>
      <c r="LB81" s="73">
        <f t="shared" ref="LB81" ca="1" si="535">($M81=LA81)*$D$12</f>
        <v>0</v>
      </c>
      <c r="LC81" s="64"/>
      <c r="LD81" s="74"/>
      <c r="LE81" s="73">
        <f t="shared" ref="LE81" ca="1" si="536">($M81=LD81)*$D$12</f>
        <v>0</v>
      </c>
      <c r="LF81" s="64"/>
      <c r="LG81" s="64"/>
    </row>
    <row r="82" spans="1:319">
      <c r="A82" s="49"/>
      <c r="B82" s="49"/>
      <c r="C82" s="49"/>
      <c r="D82" s="49"/>
      <c r="E82" s="111"/>
      <c r="F82" s="127">
        <f>$D$13</f>
        <v>5</v>
      </c>
      <c r="G82" s="445">
        <f ca="1">VLOOKUP(H82,Equipos!$Q$1:$R$25,2,0)</f>
        <v>15</v>
      </c>
      <c r="H82" s="446">
        <f ca="1">$H$54</f>
        <v>46198</v>
      </c>
      <c r="I82" s="50"/>
      <c r="J82" s="848"/>
      <c r="K82" s="56" t="str">
        <f>Idiomas!D152</f>
        <v>3rd GROUP A</v>
      </c>
      <c r="L82" s="53"/>
      <c r="M82" s="55" t="str">
        <f ca="1">IF(OR(SUM(WORLDCUP!$AN$6:$AN$9)=12,WORLDCUP!$AJ$99=144),WORLDCUP!AL8,LEFT(K82,1)&amp;RIGHT(K82,1))</f>
        <v>South Korea</v>
      </c>
      <c r="N82" s="25"/>
      <c r="O82" s="25"/>
      <c r="P82" s="25"/>
      <c r="Q82" s="25"/>
      <c r="R82" s="110"/>
      <c r="S82" s="74" t="s">
        <v>1844</v>
      </c>
      <c r="T82" s="73">
        <f ca="1">($M82=S82)*$D$13</f>
        <v>0</v>
      </c>
      <c r="U82" s="64"/>
      <c r="V82" s="74" t="s">
        <v>1278</v>
      </c>
      <c r="W82" s="73">
        <f t="shared" ref="W82" ca="1" si="537">($M82=V82)*$D$13</f>
        <v>5</v>
      </c>
      <c r="X82" s="64"/>
      <c r="Y82" s="74" t="s">
        <v>1278</v>
      </c>
      <c r="Z82" s="73">
        <f t="shared" ref="Z82" ca="1" si="538">($M82=Y82)*$D$13</f>
        <v>5</v>
      </c>
      <c r="AA82" s="64"/>
      <c r="AB82" s="74" t="s">
        <v>1844</v>
      </c>
      <c r="AC82" s="73">
        <f t="shared" ref="AC82" ca="1" si="539">($M82=AB82)*$D$13</f>
        <v>0</v>
      </c>
      <c r="AD82" s="64"/>
      <c r="AE82" s="74" t="s">
        <v>1844</v>
      </c>
      <c r="AF82" s="73">
        <f t="shared" ref="AF82" ca="1" si="540">($M82=AE82)*$D$13</f>
        <v>0</v>
      </c>
      <c r="AG82" s="64"/>
      <c r="AH82" s="74" t="s">
        <v>1844</v>
      </c>
      <c r="AI82" s="73">
        <f t="shared" ref="AI82" ca="1" si="541">($M82=AH82)*$D$13</f>
        <v>0</v>
      </c>
      <c r="AJ82" s="64"/>
      <c r="AK82" s="74" t="s">
        <v>1288</v>
      </c>
      <c r="AL82" s="73">
        <f t="shared" ref="AL82" ca="1" si="542">($M82=AK82)*$D$13</f>
        <v>0</v>
      </c>
      <c r="AM82" s="64"/>
      <c r="AN82" s="74" t="s">
        <v>1844</v>
      </c>
      <c r="AO82" s="73">
        <f t="shared" ref="AO82" ca="1" si="543">($M82=AN82)*$D$13</f>
        <v>0</v>
      </c>
      <c r="AP82" s="64"/>
      <c r="AQ82" s="74" t="s">
        <v>1278</v>
      </c>
      <c r="AR82" s="73">
        <f t="shared" ref="AR82" ca="1" si="544">($M82=AQ82)*$D$13</f>
        <v>5</v>
      </c>
      <c r="AS82" s="64"/>
      <c r="AT82" s="74" t="s">
        <v>1278</v>
      </c>
      <c r="AU82" s="73">
        <f t="shared" ref="AU82" ca="1" si="545">($M82=AT82)*$D$13</f>
        <v>5</v>
      </c>
      <c r="AV82" s="64"/>
      <c r="AW82" s="74" t="s">
        <v>1278</v>
      </c>
      <c r="AX82" s="73">
        <f t="shared" ref="AX82" ca="1" si="546">($M82=AW82)*$D$13</f>
        <v>5</v>
      </c>
      <c r="AY82" s="64"/>
      <c r="AZ82" s="74" t="s">
        <v>1278</v>
      </c>
      <c r="BA82" s="73">
        <f t="shared" ref="BA82" ca="1" si="547">($M82=AZ82)*$D$13</f>
        <v>5</v>
      </c>
      <c r="BB82" s="64"/>
      <c r="BC82" s="74" t="s">
        <v>1278</v>
      </c>
      <c r="BD82" s="73">
        <f t="shared" ref="BD82" ca="1" si="548">($M82=BC82)*$D$13</f>
        <v>5</v>
      </c>
      <c r="BE82" s="64"/>
      <c r="BF82" s="74" t="s">
        <v>1635</v>
      </c>
      <c r="BG82" s="73">
        <f t="shared" ref="BG82" ca="1" si="549">($M82=BF82)*$D$13</f>
        <v>0</v>
      </c>
      <c r="BH82" s="64"/>
      <c r="BI82" s="74" t="s">
        <v>1635</v>
      </c>
      <c r="BJ82" s="73">
        <f t="shared" ref="BJ82" ca="1" si="550">($M82=BI82)*$D$13</f>
        <v>0</v>
      </c>
      <c r="BK82" s="64"/>
      <c r="BL82" s="74" t="s">
        <v>1844</v>
      </c>
      <c r="BM82" s="73">
        <f t="shared" ref="BM82" ca="1" si="551">($M82=BL82)*$D$13</f>
        <v>0</v>
      </c>
      <c r="BN82" s="64"/>
      <c r="BO82" s="74" t="s">
        <v>1278</v>
      </c>
      <c r="BP82" s="73">
        <f t="shared" ref="BP82" ca="1" si="552">($M82=BO82)*$D$13</f>
        <v>5</v>
      </c>
      <c r="BQ82" s="64"/>
      <c r="BR82" s="74" t="s">
        <v>1278</v>
      </c>
      <c r="BS82" s="73">
        <f t="shared" ref="BS82" ca="1" si="553">($M82=BR82)*$D$13</f>
        <v>5</v>
      </c>
      <c r="BT82" s="64"/>
      <c r="BU82" s="74" t="s">
        <v>1278</v>
      </c>
      <c r="BV82" s="73">
        <f t="shared" ref="BV82" ca="1" si="554">($M82=BU82)*$D$13</f>
        <v>5</v>
      </c>
      <c r="BW82" s="64"/>
      <c r="BX82" s="74" t="s">
        <v>1635</v>
      </c>
      <c r="BY82" s="73">
        <f t="shared" ref="BY82" ca="1" si="555">($M82=BX82)*$D$13</f>
        <v>0</v>
      </c>
      <c r="BZ82" s="64"/>
      <c r="CA82" s="74" t="s">
        <v>1278</v>
      </c>
      <c r="CB82" s="73">
        <f t="shared" ref="CB82" ca="1" si="556">($M82=CA82)*$D$13</f>
        <v>5</v>
      </c>
      <c r="CC82" s="64"/>
      <c r="CD82" s="74" t="s">
        <v>1844</v>
      </c>
      <c r="CE82" s="73">
        <f t="shared" ref="CE82" ca="1" si="557">($M82=CD82)*$D$13</f>
        <v>0</v>
      </c>
      <c r="CF82" s="64"/>
      <c r="CG82" s="74" t="s">
        <v>1844</v>
      </c>
      <c r="CH82" s="73">
        <f t="shared" ref="CH82" ca="1" si="558">($M82=CG82)*$D$13</f>
        <v>0</v>
      </c>
      <c r="CI82" s="64"/>
      <c r="CJ82" s="74" t="s">
        <v>1635</v>
      </c>
      <c r="CK82" s="73">
        <f t="shared" ref="CK82" ca="1" si="559">($M82=CJ82)*$D$13</f>
        <v>0</v>
      </c>
      <c r="CL82" s="64"/>
      <c r="CM82" s="74" t="s">
        <v>1844</v>
      </c>
      <c r="CN82" s="73">
        <f t="shared" ref="CN82" ca="1" si="560">($M82=CM82)*$D$13</f>
        <v>0</v>
      </c>
      <c r="CO82" s="64"/>
      <c r="CP82" s="74" t="s">
        <v>1844</v>
      </c>
      <c r="CQ82" s="73">
        <f t="shared" ref="CQ82" ca="1" si="561">($M82=CP82)*$D$13</f>
        <v>0</v>
      </c>
      <c r="CR82" s="64"/>
      <c r="CS82" s="74" t="s">
        <v>1635</v>
      </c>
      <c r="CT82" s="73">
        <f t="shared" ref="CT82" ca="1" si="562">($M82=CS82)*$D$13</f>
        <v>0</v>
      </c>
      <c r="CU82" s="64"/>
      <c r="CV82" s="74" t="s">
        <v>1278</v>
      </c>
      <c r="CW82" s="73">
        <f t="shared" ref="CW82" ca="1" si="563">($M82=CV82)*$D$13</f>
        <v>5</v>
      </c>
      <c r="CX82" s="64"/>
      <c r="CY82" s="74" t="s">
        <v>1278</v>
      </c>
      <c r="CZ82" s="73">
        <f t="shared" ref="CZ82" ca="1" si="564">($M82=CY82)*$D$13</f>
        <v>5</v>
      </c>
      <c r="DA82" s="64"/>
      <c r="DB82" s="74" t="s">
        <v>1278</v>
      </c>
      <c r="DC82" s="73">
        <f t="shared" ref="DC82" ca="1" si="565">($M82=DB82)*$D$13</f>
        <v>5</v>
      </c>
      <c r="DD82" s="64"/>
      <c r="DE82" s="74" t="s">
        <v>1278</v>
      </c>
      <c r="DF82" s="73">
        <f t="shared" ref="DF82" ca="1" si="566">($M82=DE82)*$D$13</f>
        <v>5</v>
      </c>
      <c r="DG82" s="64"/>
      <c r="DH82" s="74" t="s">
        <v>1635</v>
      </c>
      <c r="DI82" s="73">
        <f t="shared" ref="DI82" ca="1" si="567">($M82=DH82)*$D$13</f>
        <v>0</v>
      </c>
      <c r="DJ82" s="64"/>
      <c r="DK82" s="74" t="s">
        <v>1278</v>
      </c>
      <c r="DL82" s="73">
        <f t="shared" ref="DL82" ca="1" si="568">($M82=DK82)*$D$13</f>
        <v>5</v>
      </c>
      <c r="DM82" s="64"/>
      <c r="DN82" s="74" t="s">
        <v>1278</v>
      </c>
      <c r="DO82" s="73">
        <f t="shared" ref="DO82" ca="1" si="569">($M82=DN82)*$D$13</f>
        <v>5</v>
      </c>
      <c r="DP82" s="64"/>
      <c r="DQ82" s="74" t="s">
        <v>1844</v>
      </c>
      <c r="DR82" s="73">
        <f t="shared" ref="DR82" ca="1" si="570">($M82=DQ82)*$D$13</f>
        <v>0</v>
      </c>
      <c r="DS82" s="64"/>
      <c r="DT82" s="74" t="s">
        <v>1278</v>
      </c>
      <c r="DU82" s="73">
        <f t="shared" ref="DU82" ca="1" si="571">($M82=DT82)*$D$13</f>
        <v>5</v>
      </c>
      <c r="DV82" s="64"/>
      <c r="DW82" s="74" t="s">
        <v>1635</v>
      </c>
      <c r="DX82" s="73">
        <f t="shared" ref="DX82" ca="1" si="572">($M82=DW82)*$D$13</f>
        <v>0</v>
      </c>
      <c r="DY82" s="64"/>
      <c r="DZ82" s="74" t="s">
        <v>1278</v>
      </c>
      <c r="EA82" s="73">
        <f t="shared" ref="EA82" ca="1" si="573">($M82=DZ82)*$D$13</f>
        <v>5</v>
      </c>
      <c r="EB82" s="64"/>
      <c r="EC82" s="74" t="s">
        <v>1278</v>
      </c>
      <c r="ED82" s="73">
        <f t="shared" ref="ED82" ca="1" si="574">($M82=EC82)*$D$13</f>
        <v>5</v>
      </c>
      <c r="EE82" s="64"/>
      <c r="EF82" s="74" t="s">
        <v>1844</v>
      </c>
      <c r="EG82" s="73">
        <f t="shared" ref="EG82" ca="1" si="575">($M82=EF82)*$D$13</f>
        <v>0</v>
      </c>
      <c r="EH82" s="64"/>
      <c r="EI82" s="74" t="s">
        <v>1278</v>
      </c>
      <c r="EJ82" s="73">
        <f t="shared" ref="EJ82" ca="1" si="576">($M82=EI82)*$D$13</f>
        <v>5</v>
      </c>
      <c r="EK82" s="64"/>
      <c r="EL82" s="74" t="s">
        <v>1278</v>
      </c>
      <c r="EM82" s="73">
        <f t="shared" ref="EM82" ca="1" si="577">($M82=EL82)*$D$13</f>
        <v>5</v>
      </c>
      <c r="EN82" s="64"/>
      <c r="EO82" s="74" t="s">
        <v>1635</v>
      </c>
      <c r="EP82" s="73">
        <f t="shared" ref="EP82" ca="1" si="578">($M82=EO82)*$D$13</f>
        <v>0</v>
      </c>
      <c r="EQ82" s="64"/>
      <c r="ER82" s="74" t="s">
        <v>1844</v>
      </c>
      <c r="ES82" s="73">
        <f t="shared" ref="ES82" ca="1" si="579">($M82=ER82)*$D$13</f>
        <v>0</v>
      </c>
      <c r="ET82" s="64"/>
      <c r="EU82" s="74" t="s">
        <v>1844</v>
      </c>
      <c r="EV82" s="73">
        <f t="shared" ref="EV82" ca="1" si="580">($M82=EU82)*$D$13</f>
        <v>0</v>
      </c>
      <c r="EW82" s="64"/>
      <c r="EX82" s="74" t="s">
        <v>1844</v>
      </c>
      <c r="EY82" s="73">
        <f t="shared" ref="EY82" ca="1" si="581">($M82=EX82)*$D$13</f>
        <v>0</v>
      </c>
      <c r="EZ82" s="64"/>
      <c r="FA82" s="74" t="s">
        <v>1278</v>
      </c>
      <c r="FB82" s="73">
        <f t="shared" ref="FB82" ca="1" si="582">($M82=FA82)*$D$13</f>
        <v>5</v>
      </c>
      <c r="FC82" s="64"/>
      <c r="FD82" s="74" t="s">
        <v>1635</v>
      </c>
      <c r="FE82" s="73">
        <f t="shared" ref="FE82" ca="1" si="583">($M82=FD82)*$D$13</f>
        <v>0</v>
      </c>
      <c r="FF82" s="64"/>
      <c r="FG82" s="74" t="s">
        <v>1635</v>
      </c>
      <c r="FH82" s="73">
        <f t="shared" ref="FH82" ca="1" si="584">($M82=FG82)*$D$13</f>
        <v>0</v>
      </c>
      <c r="FI82" s="64"/>
      <c r="FJ82" s="74" t="s">
        <v>1278</v>
      </c>
      <c r="FK82" s="73">
        <f t="shared" ref="FK82" ca="1" si="585">($M82=FJ82)*$D$13</f>
        <v>5</v>
      </c>
      <c r="FL82" s="64"/>
      <c r="FM82" s="74" t="s">
        <v>1278</v>
      </c>
      <c r="FN82" s="73">
        <f t="shared" ref="FN82" ca="1" si="586">($M82=FM82)*$D$13</f>
        <v>5</v>
      </c>
      <c r="FO82" s="64"/>
      <c r="FP82" s="74" t="s">
        <v>1278</v>
      </c>
      <c r="FQ82" s="73">
        <f t="shared" ref="FQ82" ca="1" si="587">($M82=FP82)*$D$13</f>
        <v>5</v>
      </c>
      <c r="FR82" s="64"/>
      <c r="FS82" s="74" t="s">
        <v>1278</v>
      </c>
      <c r="FT82" s="73">
        <f t="shared" ref="FT82" ca="1" si="588">($M82=FS82)*$D$13</f>
        <v>5</v>
      </c>
      <c r="FU82" s="64"/>
      <c r="FV82" s="74" t="s">
        <v>1844</v>
      </c>
      <c r="FW82" s="73">
        <f t="shared" ref="FW82" ca="1" si="589">($M82=FV82)*$D$13</f>
        <v>0</v>
      </c>
      <c r="FX82" s="64"/>
      <c r="FY82" s="74" t="s">
        <v>1635</v>
      </c>
      <c r="FZ82" s="73">
        <f t="shared" ref="FZ82" ca="1" si="590">($M82=FY82)*$D$13</f>
        <v>0</v>
      </c>
      <c r="GA82" s="64"/>
      <c r="GB82" s="74" t="s">
        <v>1278</v>
      </c>
      <c r="GC82" s="73">
        <f t="shared" ref="GC82" ca="1" si="591">($M82=GB82)*$D$13</f>
        <v>5</v>
      </c>
      <c r="GD82" s="64"/>
      <c r="GE82" s="74" t="s">
        <v>1278</v>
      </c>
      <c r="GF82" s="73">
        <f t="shared" ref="GF82" ca="1" si="592">($M82=GE82)*$D$13</f>
        <v>5</v>
      </c>
      <c r="GG82" s="64"/>
      <c r="GH82" s="74" t="s">
        <v>1844</v>
      </c>
      <c r="GI82" s="73">
        <f t="shared" ref="GI82" ca="1" si="593">($M82=GH82)*$D$13</f>
        <v>0</v>
      </c>
      <c r="GJ82" s="64"/>
      <c r="GK82" s="74" t="s">
        <v>1635</v>
      </c>
      <c r="GL82" s="73">
        <f t="shared" ref="GL82" ca="1" si="594">($M82=GK82)*$D$13</f>
        <v>0</v>
      </c>
      <c r="GM82" s="64"/>
      <c r="GN82" s="74"/>
      <c r="GO82" s="73">
        <f t="shared" ref="GO82" ca="1" si="595">($M82=GN82)*$D$13</f>
        <v>0</v>
      </c>
      <c r="GP82" s="64"/>
      <c r="GQ82" s="74"/>
      <c r="GR82" s="73">
        <f t="shared" ref="GR82" ca="1" si="596">($M82=GQ82)*$D$13</f>
        <v>0</v>
      </c>
      <c r="GS82" s="64"/>
      <c r="GT82" s="74"/>
      <c r="GU82" s="73">
        <f t="shared" ref="GU82" ca="1" si="597">($M82=GT82)*$D$13</f>
        <v>0</v>
      </c>
      <c r="GV82" s="64"/>
      <c r="GW82" s="74"/>
      <c r="GX82" s="73">
        <f t="shared" ref="GX82" ca="1" si="598">($M82=GW82)*$D$13</f>
        <v>0</v>
      </c>
      <c r="GY82" s="64"/>
      <c r="GZ82" s="74"/>
      <c r="HA82" s="73">
        <f t="shared" ref="HA82" ca="1" si="599">($M82=GZ82)*$D$13</f>
        <v>0</v>
      </c>
      <c r="HB82" s="64"/>
      <c r="HC82" s="74"/>
      <c r="HD82" s="73">
        <f t="shared" ref="HD82" ca="1" si="600">($M82=HC82)*$D$13</f>
        <v>0</v>
      </c>
      <c r="HE82" s="64"/>
      <c r="HF82" s="74"/>
      <c r="HG82" s="73">
        <f t="shared" ref="HG82" ca="1" si="601">($M82=HF82)*$D$13</f>
        <v>0</v>
      </c>
      <c r="HH82" s="64"/>
      <c r="HI82" s="74"/>
      <c r="HJ82" s="73">
        <f t="shared" ref="HJ82" ca="1" si="602">($M82=HI82)*$D$13</f>
        <v>0</v>
      </c>
      <c r="HK82" s="64"/>
      <c r="HL82" s="74"/>
      <c r="HM82" s="73">
        <f t="shared" ref="HM82" ca="1" si="603">($M82=HL82)*$D$13</f>
        <v>0</v>
      </c>
      <c r="HN82" s="64"/>
      <c r="HO82" s="74"/>
      <c r="HP82" s="73">
        <f t="shared" ref="HP82" ca="1" si="604">($M82=HO82)*$D$13</f>
        <v>0</v>
      </c>
      <c r="HQ82" s="64"/>
      <c r="HR82" s="74"/>
      <c r="HS82" s="73">
        <f t="shared" ref="HS82" ca="1" si="605">($M82=HR82)*$D$13</f>
        <v>0</v>
      </c>
      <c r="HT82" s="64"/>
      <c r="HU82" s="74"/>
      <c r="HV82" s="73">
        <f t="shared" ref="HV82" ca="1" si="606">($M82=HU82)*$D$13</f>
        <v>0</v>
      </c>
      <c r="HW82" s="64"/>
      <c r="HX82" s="74"/>
      <c r="HY82" s="73">
        <f t="shared" ref="HY82" ca="1" si="607">($M82=HX82)*$D$13</f>
        <v>0</v>
      </c>
      <c r="HZ82" s="64"/>
      <c r="IA82" s="74"/>
      <c r="IB82" s="73">
        <f t="shared" ref="IB82" ca="1" si="608">($M82=IA82)*$D$13</f>
        <v>0</v>
      </c>
      <c r="IC82" s="64"/>
      <c r="ID82" s="74"/>
      <c r="IE82" s="73">
        <f t="shared" ref="IE82" ca="1" si="609">($M82=ID82)*$D$13</f>
        <v>0</v>
      </c>
      <c r="IF82" s="64"/>
      <c r="IG82" s="74"/>
      <c r="IH82" s="73">
        <f t="shared" ref="IH82" ca="1" si="610">($M82=IG82)*$D$13</f>
        <v>0</v>
      </c>
      <c r="II82" s="64"/>
      <c r="IJ82" s="74"/>
      <c r="IK82" s="73">
        <f t="shared" ref="IK82" ca="1" si="611">($M82=IJ82)*$D$13</f>
        <v>0</v>
      </c>
      <c r="IL82" s="64"/>
      <c r="IM82" s="74"/>
      <c r="IN82" s="73">
        <f t="shared" ref="IN82" ca="1" si="612">($M82=IM82)*$D$13</f>
        <v>0</v>
      </c>
      <c r="IO82" s="64"/>
      <c r="IP82" s="74"/>
      <c r="IQ82" s="73">
        <f t="shared" ref="IQ82" ca="1" si="613">($M82=IP82)*$D$13</f>
        <v>0</v>
      </c>
      <c r="IR82" s="64"/>
      <c r="IS82" s="74"/>
      <c r="IT82" s="73">
        <f t="shared" ref="IT82" ca="1" si="614">($M82=IS82)*$D$13</f>
        <v>0</v>
      </c>
      <c r="IU82" s="64"/>
      <c r="IV82" s="74"/>
      <c r="IW82" s="73">
        <f t="shared" ref="IW82" ca="1" si="615">($M82=IV82)*$D$13</f>
        <v>0</v>
      </c>
      <c r="IX82" s="64"/>
      <c r="IY82" s="74"/>
      <c r="IZ82" s="73">
        <f t="shared" ref="IZ82" ca="1" si="616">($M82=IY82)*$D$13</f>
        <v>0</v>
      </c>
      <c r="JA82" s="64"/>
      <c r="JB82" s="74"/>
      <c r="JC82" s="73">
        <f t="shared" ref="JC82" ca="1" si="617">($M82=JB82)*$D$13</f>
        <v>0</v>
      </c>
      <c r="JD82" s="64"/>
      <c r="JE82" s="74"/>
      <c r="JF82" s="73">
        <f t="shared" ref="JF82" ca="1" si="618">($M82=JE82)*$D$13</f>
        <v>0</v>
      </c>
      <c r="JG82" s="64"/>
      <c r="JH82" s="74"/>
      <c r="JI82" s="73">
        <f t="shared" ref="JI82" ca="1" si="619">($M82=JH82)*$D$13</f>
        <v>0</v>
      </c>
      <c r="JJ82" s="64"/>
      <c r="JK82" s="74"/>
      <c r="JL82" s="73">
        <f t="shared" ref="JL82" ca="1" si="620">($M82=JK82)*$D$13</f>
        <v>0</v>
      </c>
      <c r="JM82" s="64"/>
      <c r="JN82" s="74"/>
      <c r="JO82" s="73">
        <f t="shared" ref="JO82" ca="1" si="621">($M82=JN82)*$D$13</f>
        <v>0</v>
      </c>
      <c r="JP82" s="64"/>
      <c r="JQ82" s="74"/>
      <c r="JR82" s="73">
        <f t="shared" ref="JR82" ca="1" si="622">($M82=JQ82)*$D$13</f>
        <v>0</v>
      </c>
      <c r="JS82" s="64"/>
      <c r="JT82" s="74"/>
      <c r="JU82" s="73">
        <f t="shared" ref="JU82" ca="1" si="623">($M82=JT82)*$D$13</f>
        <v>0</v>
      </c>
      <c r="JV82" s="64"/>
      <c r="JW82" s="74"/>
      <c r="JX82" s="73">
        <f t="shared" ref="JX82" ca="1" si="624">($M82=JW82)*$D$13</f>
        <v>0</v>
      </c>
      <c r="JY82" s="64"/>
      <c r="JZ82" s="74"/>
      <c r="KA82" s="73">
        <f t="shared" ref="KA82" ca="1" si="625">($M82=JZ82)*$D$13</f>
        <v>0</v>
      </c>
      <c r="KB82" s="64"/>
      <c r="KC82" s="74"/>
      <c r="KD82" s="73">
        <f t="shared" ref="KD82" ca="1" si="626">($M82=KC82)*$D$13</f>
        <v>0</v>
      </c>
      <c r="KE82" s="64"/>
      <c r="KF82" s="74"/>
      <c r="KG82" s="73">
        <f t="shared" ref="KG82" ca="1" si="627">($M82=KF82)*$D$13</f>
        <v>0</v>
      </c>
      <c r="KH82" s="64"/>
      <c r="KI82" s="74"/>
      <c r="KJ82" s="73">
        <f t="shared" ref="KJ82" ca="1" si="628">($M82=KI82)*$D$13</f>
        <v>0</v>
      </c>
      <c r="KK82" s="64"/>
      <c r="KL82" s="74"/>
      <c r="KM82" s="73">
        <f t="shared" ref="KM82" ca="1" si="629">($M82=KL82)*$D$13</f>
        <v>0</v>
      </c>
      <c r="KN82" s="64"/>
      <c r="KO82" s="74"/>
      <c r="KP82" s="73">
        <f t="shared" ref="KP82" ca="1" si="630">($M82=KO82)*$D$13</f>
        <v>0</v>
      </c>
      <c r="KQ82" s="64"/>
      <c r="KR82" s="74"/>
      <c r="KS82" s="73">
        <f t="shared" ref="KS82" ca="1" si="631">($M82=KR82)*$D$13</f>
        <v>0</v>
      </c>
      <c r="KT82" s="64"/>
      <c r="KU82" s="74"/>
      <c r="KV82" s="73">
        <f t="shared" ref="KV82" ca="1" si="632">($M82=KU82)*$D$13</f>
        <v>0</v>
      </c>
      <c r="KW82" s="64"/>
      <c r="KX82" s="74"/>
      <c r="KY82" s="73">
        <f t="shared" ref="KY82" ca="1" si="633">($M82=KX82)*$D$13</f>
        <v>0</v>
      </c>
      <c r="KZ82" s="64"/>
      <c r="LA82" s="74"/>
      <c r="LB82" s="73">
        <f t="shared" ref="LB82" ca="1" si="634">($M82=LA82)*$D$13</f>
        <v>0</v>
      </c>
      <c r="LC82" s="64"/>
      <c r="LD82" s="74"/>
      <c r="LE82" s="73">
        <f t="shared" ref="LE82" ca="1" si="635">($M82=LD82)*$D$13</f>
        <v>0</v>
      </c>
      <c r="LF82" s="64"/>
      <c r="LG82" s="64"/>
    </row>
    <row r="83" spans="1:319">
      <c r="A83" s="49"/>
      <c r="B83" s="49"/>
      <c r="C83" s="49"/>
      <c r="D83" s="49"/>
      <c r="E83" s="111"/>
      <c r="F83" s="127">
        <f>$D$14</f>
        <v>3</v>
      </c>
      <c r="G83" s="445">
        <f ca="1">VLOOKUP(H83,Equipos!$Q$1:$R$25,2,0)</f>
        <v>15</v>
      </c>
      <c r="H83" s="446">
        <f ca="1">$H$54</f>
        <v>46198</v>
      </c>
      <c r="I83" s="50"/>
      <c r="J83" s="848"/>
      <c r="K83" s="56" t="str">
        <f>Idiomas!D153</f>
        <v>4th GROUP A</v>
      </c>
      <c r="L83" s="53"/>
      <c r="M83" s="55" t="str">
        <f ca="1">IF(OR(SUM(WORLDCUP!$AN$6:$AN$9)=12,WORLDCUP!$AJ$99=144),WORLDCUP!AL9,LEFT(K83,1)&amp;RIGHT(K83,1))</f>
        <v>Czech Republic</v>
      </c>
      <c r="N83" s="25"/>
      <c r="O83" s="25"/>
      <c r="P83" s="25"/>
      <c r="Q83" s="25"/>
      <c r="R83" s="110"/>
      <c r="S83" s="74" t="s">
        <v>1635</v>
      </c>
      <c r="T83" s="73">
        <f ca="1">($M83=S83)*$D$14</f>
        <v>0</v>
      </c>
      <c r="U83" s="64"/>
      <c r="V83" s="74" t="s">
        <v>1844</v>
      </c>
      <c r="W83" s="73">
        <f t="shared" ref="W83" ca="1" si="636">($M83=V83)*$D$14</f>
        <v>3</v>
      </c>
      <c r="X83" s="64"/>
      <c r="Y83" s="74" t="s">
        <v>1635</v>
      </c>
      <c r="Z83" s="73">
        <f t="shared" ref="Z83" ca="1" si="637">($M83=Y83)*$D$14</f>
        <v>0</v>
      </c>
      <c r="AA83" s="64"/>
      <c r="AB83" s="74" t="s">
        <v>1635</v>
      </c>
      <c r="AC83" s="73">
        <f t="shared" ref="AC83" ca="1" si="638">($M83=AB83)*$D$14</f>
        <v>0</v>
      </c>
      <c r="AD83" s="64"/>
      <c r="AE83" s="74" t="s">
        <v>1635</v>
      </c>
      <c r="AF83" s="73">
        <f t="shared" ref="AF83" ca="1" si="639">($M83=AE83)*$D$14</f>
        <v>0</v>
      </c>
      <c r="AG83" s="64"/>
      <c r="AH83" s="74" t="s">
        <v>1635</v>
      </c>
      <c r="AI83" s="73">
        <f t="shared" ref="AI83" ca="1" si="640">($M83=AH83)*$D$14</f>
        <v>0</v>
      </c>
      <c r="AJ83" s="64"/>
      <c r="AK83" s="74" t="s">
        <v>1635</v>
      </c>
      <c r="AL83" s="73">
        <f t="shared" ref="AL83" ca="1" si="641">($M83=AK83)*$D$14</f>
        <v>0</v>
      </c>
      <c r="AM83" s="64"/>
      <c r="AN83" s="74" t="s">
        <v>1635</v>
      </c>
      <c r="AO83" s="73">
        <f t="shared" ref="AO83" ca="1" si="642">($M83=AN83)*$D$14</f>
        <v>0</v>
      </c>
      <c r="AP83" s="64"/>
      <c r="AQ83" s="74" t="s">
        <v>1635</v>
      </c>
      <c r="AR83" s="73">
        <f t="shared" ref="AR83" ca="1" si="643">($M83=AQ83)*$D$14</f>
        <v>0</v>
      </c>
      <c r="AS83" s="64"/>
      <c r="AT83" s="74" t="s">
        <v>1635</v>
      </c>
      <c r="AU83" s="73">
        <f t="shared" ref="AU83" ca="1" si="644">($M83=AT83)*$D$14</f>
        <v>0</v>
      </c>
      <c r="AV83" s="64"/>
      <c r="AW83" s="74" t="s">
        <v>1635</v>
      </c>
      <c r="AX83" s="73">
        <f t="shared" ref="AX83" ca="1" si="645">($M83=AW83)*$D$14</f>
        <v>0</v>
      </c>
      <c r="AY83" s="64"/>
      <c r="AZ83" s="74" t="s">
        <v>1635</v>
      </c>
      <c r="BA83" s="73">
        <f t="shared" ref="BA83" ca="1" si="646">($M83=AZ83)*$D$14</f>
        <v>0</v>
      </c>
      <c r="BB83" s="64"/>
      <c r="BC83" s="74" t="s">
        <v>1635</v>
      </c>
      <c r="BD83" s="73">
        <f t="shared" ref="BD83" ca="1" si="647">($M83=BC83)*$D$14</f>
        <v>0</v>
      </c>
      <c r="BE83" s="64"/>
      <c r="BF83" s="74" t="s">
        <v>1278</v>
      </c>
      <c r="BG83" s="73">
        <f t="shared" ref="BG83" ca="1" si="648">($M83=BF83)*$D$14</f>
        <v>0</v>
      </c>
      <c r="BH83" s="64"/>
      <c r="BI83" s="74" t="s">
        <v>1844</v>
      </c>
      <c r="BJ83" s="73">
        <f t="shared" ref="BJ83" ca="1" si="649">($M83=BI83)*$D$14</f>
        <v>3</v>
      </c>
      <c r="BK83" s="64"/>
      <c r="BL83" s="74" t="s">
        <v>1635</v>
      </c>
      <c r="BM83" s="73">
        <f t="shared" ref="BM83" ca="1" si="650">($M83=BL83)*$D$14</f>
        <v>0</v>
      </c>
      <c r="BN83" s="64"/>
      <c r="BO83" s="74" t="s">
        <v>1635</v>
      </c>
      <c r="BP83" s="73">
        <f t="shared" ref="BP83" ca="1" si="651">($M83=BO83)*$D$14</f>
        <v>0</v>
      </c>
      <c r="BQ83" s="64"/>
      <c r="BR83" s="74" t="s">
        <v>1635</v>
      </c>
      <c r="BS83" s="73">
        <f t="shared" ref="BS83" ca="1" si="652">($M83=BR83)*$D$14</f>
        <v>0</v>
      </c>
      <c r="BT83" s="64"/>
      <c r="BU83" s="74" t="s">
        <v>1635</v>
      </c>
      <c r="BV83" s="73">
        <f t="shared" ref="BV83" ca="1" si="653">($M83=BU83)*$D$14</f>
        <v>0</v>
      </c>
      <c r="BW83" s="64"/>
      <c r="BX83" s="74" t="s">
        <v>1278</v>
      </c>
      <c r="BY83" s="73">
        <f t="shared" ref="BY83" ca="1" si="654">($M83=BX83)*$D$14</f>
        <v>0</v>
      </c>
      <c r="BZ83" s="64"/>
      <c r="CA83" s="74" t="s">
        <v>1844</v>
      </c>
      <c r="CB83" s="73">
        <f t="shared" ref="CB83" ca="1" si="655">($M83=CA83)*$D$14</f>
        <v>3</v>
      </c>
      <c r="CC83" s="64"/>
      <c r="CD83" s="74" t="s">
        <v>1635</v>
      </c>
      <c r="CE83" s="73">
        <f t="shared" ref="CE83" ca="1" si="656">($M83=CD83)*$D$14</f>
        <v>0</v>
      </c>
      <c r="CF83" s="64"/>
      <c r="CG83" s="74" t="s">
        <v>1635</v>
      </c>
      <c r="CH83" s="73">
        <f t="shared" ref="CH83" ca="1" si="657">($M83=CG83)*$D$14</f>
        <v>0</v>
      </c>
      <c r="CI83" s="64"/>
      <c r="CJ83" s="74" t="s">
        <v>1278</v>
      </c>
      <c r="CK83" s="73">
        <f t="shared" ref="CK83" ca="1" si="658">($M83=CJ83)*$D$14</f>
        <v>0</v>
      </c>
      <c r="CL83" s="64"/>
      <c r="CM83" s="74" t="s">
        <v>1635</v>
      </c>
      <c r="CN83" s="73">
        <f t="shared" ref="CN83" ca="1" si="659">($M83=CM83)*$D$14</f>
        <v>0</v>
      </c>
      <c r="CO83" s="64"/>
      <c r="CP83" s="74" t="s">
        <v>1635</v>
      </c>
      <c r="CQ83" s="73">
        <f t="shared" ref="CQ83" ca="1" si="660">($M83=CP83)*$D$14</f>
        <v>0</v>
      </c>
      <c r="CR83" s="64"/>
      <c r="CS83" s="74" t="s">
        <v>1278</v>
      </c>
      <c r="CT83" s="73">
        <f t="shared" ref="CT83" ca="1" si="661">($M83=CS83)*$D$14</f>
        <v>0</v>
      </c>
      <c r="CU83" s="64"/>
      <c r="CV83" s="74" t="s">
        <v>1635</v>
      </c>
      <c r="CW83" s="73">
        <f t="shared" ref="CW83" ca="1" si="662">($M83=CV83)*$D$14</f>
        <v>0</v>
      </c>
      <c r="CX83" s="64"/>
      <c r="CY83" s="74" t="s">
        <v>1844</v>
      </c>
      <c r="CZ83" s="73">
        <f t="shared" ref="CZ83" ca="1" si="663">($M83=CY83)*$D$14</f>
        <v>3</v>
      </c>
      <c r="DA83" s="64"/>
      <c r="DB83" s="74" t="s">
        <v>1635</v>
      </c>
      <c r="DC83" s="73">
        <f t="shared" ref="DC83" ca="1" si="664">($M83=DB83)*$D$14</f>
        <v>0</v>
      </c>
      <c r="DD83" s="64"/>
      <c r="DE83" s="74" t="s">
        <v>1635</v>
      </c>
      <c r="DF83" s="73">
        <f t="shared" ref="DF83" ca="1" si="665">($M83=DE83)*$D$14</f>
        <v>0</v>
      </c>
      <c r="DG83" s="64"/>
      <c r="DH83" s="74" t="s">
        <v>1278</v>
      </c>
      <c r="DI83" s="73">
        <f t="shared" ref="DI83" ca="1" si="666">($M83=DH83)*$D$14</f>
        <v>0</v>
      </c>
      <c r="DJ83" s="64"/>
      <c r="DK83" s="74" t="s">
        <v>1635</v>
      </c>
      <c r="DL83" s="73">
        <f t="shared" ref="DL83" ca="1" si="667">($M83=DK83)*$D$14</f>
        <v>0</v>
      </c>
      <c r="DM83" s="64"/>
      <c r="DN83" s="74" t="s">
        <v>1635</v>
      </c>
      <c r="DO83" s="73">
        <f t="shared" ref="DO83" ca="1" si="668">($M83=DN83)*$D$14</f>
        <v>0</v>
      </c>
      <c r="DP83" s="64"/>
      <c r="DQ83" s="74" t="s">
        <v>1635</v>
      </c>
      <c r="DR83" s="73">
        <f t="shared" ref="DR83" ca="1" si="669">($M83=DQ83)*$D$14</f>
        <v>0</v>
      </c>
      <c r="DS83" s="64"/>
      <c r="DT83" s="74" t="s">
        <v>1635</v>
      </c>
      <c r="DU83" s="73">
        <f t="shared" ref="DU83" ca="1" si="670">($M83=DT83)*$D$14</f>
        <v>0</v>
      </c>
      <c r="DV83" s="64"/>
      <c r="DW83" s="74" t="s">
        <v>1278</v>
      </c>
      <c r="DX83" s="73">
        <f t="shared" ref="DX83" ca="1" si="671">($M83=DW83)*$D$14</f>
        <v>0</v>
      </c>
      <c r="DY83" s="64"/>
      <c r="DZ83" s="74" t="s">
        <v>1635</v>
      </c>
      <c r="EA83" s="73">
        <f t="shared" ref="EA83" ca="1" si="672">($M83=DZ83)*$D$14</f>
        <v>0</v>
      </c>
      <c r="EB83" s="64"/>
      <c r="EC83" s="74" t="s">
        <v>1635</v>
      </c>
      <c r="ED83" s="73">
        <f t="shared" ref="ED83" ca="1" si="673">($M83=EC83)*$D$14</f>
        <v>0</v>
      </c>
      <c r="EE83" s="64"/>
      <c r="EF83" s="74" t="s">
        <v>1278</v>
      </c>
      <c r="EG83" s="73">
        <f t="shared" ref="EG83" ca="1" si="674">($M83=EF83)*$D$14</f>
        <v>0</v>
      </c>
      <c r="EH83" s="64"/>
      <c r="EI83" s="74" t="s">
        <v>1635</v>
      </c>
      <c r="EJ83" s="73">
        <f t="shared" ref="EJ83" ca="1" si="675">($M83=EI83)*$D$14</f>
        <v>0</v>
      </c>
      <c r="EK83" s="64"/>
      <c r="EL83" s="74" t="s">
        <v>1635</v>
      </c>
      <c r="EM83" s="73">
        <f t="shared" ref="EM83" ca="1" si="676">($M83=EL83)*$D$14</f>
        <v>0</v>
      </c>
      <c r="EN83" s="64"/>
      <c r="EO83" s="74" t="s">
        <v>1844</v>
      </c>
      <c r="EP83" s="73">
        <f t="shared" ref="EP83" ca="1" si="677">($M83=EO83)*$D$14</f>
        <v>3</v>
      </c>
      <c r="EQ83" s="64"/>
      <c r="ER83" s="74" t="s">
        <v>1635</v>
      </c>
      <c r="ES83" s="73">
        <f t="shared" ref="ES83" ca="1" si="678">($M83=ER83)*$D$14</f>
        <v>0</v>
      </c>
      <c r="ET83" s="64"/>
      <c r="EU83" s="74" t="s">
        <v>1635</v>
      </c>
      <c r="EV83" s="73">
        <f t="shared" ref="EV83" ca="1" si="679">($M83=EU83)*$D$14</f>
        <v>0</v>
      </c>
      <c r="EW83" s="64"/>
      <c r="EX83" s="74" t="s">
        <v>1635</v>
      </c>
      <c r="EY83" s="73">
        <f t="shared" ref="EY83" ca="1" si="680">($M83=EX83)*$D$14</f>
        <v>0</v>
      </c>
      <c r="EZ83" s="64"/>
      <c r="FA83" s="74" t="s">
        <v>1635</v>
      </c>
      <c r="FB83" s="73">
        <f t="shared" ref="FB83" ca="1" si="681">($M83=FA83)*$D$14</f>
        <v>0</v>
      </c>
      <c r="FC83" s="64"/>
      <c r="FD83" s="74" t="s">
        <v>1844</v>
      </c>
      <c r="FE83" s="73">
        <f t="shared" ref="FE83" ca="1" si="682">($M83=FD83)*$D$14</f>
        <v>3</v>
      </c>
      <c r="FF83" s="64"/>
      <c r="FG83" s="74" t="s">
        <v>1844</v>
      </c>
      <c r="FH83" s="73">
        <f t="shared" ref="FH83" ca="1" si="683">($M83=FG83)*$D$14</f>
        <v>3</v>
      </c>
      <c r="FI83" s="64"/>
      <c r="FJ83" s="74" t="s">
        <v>1635</v>
      </c>
      <c r="FK83" s="73">
        <f t="shared" ref="FK83" ca="1" si="684">($M83=FJ83)*$D$14</f>
        <v>0</v>
      </c>
      <c r="FL83" s="64"/>
      <c r="FM83" s="74" t="s">
        <v>1635</v>
      </c>
      <c r="FN83" s="73">
        <f t="shared" ref="FN83" ca="1" si="685">($M83=FM83)*$D$14</f>
        <v>0</v>
      </c>
      <c r="FO83" s="64"/>
      <c r="FP83" s="74" t="s">
        <v>1635</v>
      </c>
      <c r="FQ83" s="73">
        <f t="shared" ref="FQ83" ca="1" si="686">($M83=FP83)*$D$14</f>
        <v>0</v>
      </c>
      <c r="FR83" s="64"/>
      <c r="FS83" s="74" t="s">
        <v>1635</v>
      </c>
      <c r="FT83" s="73">
        <f t="shared" ref="FT83" ca="1" si="687">($M83=FS83)*$D$14</f>
        <v>0</v>
      </c>
      <c r="FU83" s="64"/>
      <c r="FV83" s="74" t="s">
        <v>1635</v>
      </c>
      <c r="FW83" s="73">
        <f t="shared" ref="FW83" ca="1" si="688">($M83=FV83)*$D$14</f>
        <v>0</v>
      </c>
      <c r="FX83" s="64"/>
      <c r="FY83" s="74" t="s">
        <v>1278</v>
      </c>
      <c r="FZ83" s="73">
        <f t="shared" ref="FZ83" ca="1" si="689">($M83=FY83)*$D$14</f>
        <v>0</v>
      </c>
      <c r="GA83" s="64"/>
      <c r="GB83" s="74" t="s">
        <v>1635</v>
      </c>
      <c r="GC83" s="73">
        <f t="shared" ref="GC83" ca="1" si="690">($M83=GB83)*$D$14</f>
        <v>0</v>
      </c>
      <c r="GD83" s="64"/>
      <c r="GE83" s="74" t="s">
        <v>1635</v>
      </c>
      <c r="GF83" s="73">
        <f t="shared" ref="GF83" ca="1" si="691">($M83=GE83)*$D$14</f>
        <v>0</v>
      </c>
      <c r="GG83" s="64"/>
      <c r="GH83" s="74" t="s">
        <v>1635</v>
      </c>
      <c r="GI83" s="73">
        <f t="shared" ref="GI83" ca="1" si="692">($M83=GH83)*$D$14</f>
        <v>0</v>
      </c>
      <c r="GJ83" s="64"/>
      <c r="GK83" s="74" t="s">
        <v>1844</v>
      </c>
      <c r="GL83" s="73">
        <f t="shared" ref="GL83" ca="1" si="693">($M83=GK83)*$D$14</f>
        <v>3</v>
      </c>
      <c r="GM83" s="64"/>
      <c r="GN83" s="74"/>
      <c r="GO83" s="73">
        <f t="shared" ref="GO83" ca="1" si="694">($M83=GN83)*$D$14</f>
        <v>0</v>
      </c>
      <c r="GP83" s="64"/>
      <c r="GQ83" s="74"/>
      <c r="GR83" s="73">
        <f t="shared" ref="GR83" ca="1" si="695">($M83=GQ83)*$D$14</f>
        <v>0</v>
      </c>
      <c r="GS83" s="64"/>
      <c r="GT83" s="74"/>
      <c r="GU83" s="73">
        <f t="shared" ref="GU83" ca="1" si="696">($M83=GT83)*$D$14</f>
        <v>0</v>
      </c>
      <c r="GV83" s="64"/>
      <c r="GW83" s="74"/>
      <c r="GX83" s="73">
        <f t="shared" ref="GX83" ca="1" si="697">($M83=GW83)*$D$14</f>
        <v>0</v>
      </c>
      <c r="GY83" s="64"/>
      <c r="GZ83" s="74"/>
      <c r="HA83" s="73">
        <f t="shared" ref="HA83" ca="1" si="698">($M83=GZ83)*$D$14</f>
        <v>0</v>
      </c>
      <c r="HB83" s="64"/>
      <c r="HC83" s="74"/>
      <c r="HD83" s="73">
        <f t="shared" ref="HD83" ca="1" si="699">($M83=HC83)*$D$14</f>
        <v>0</v>
      </c>
      <c r="HE83" s="64"/>
      <c r="HF83" s="74"/>
      <c r="HG83" s="73">
        <f t="shared" ref="HG83" ca="1" si="700">($M83=HF83)*$D$14</f>
        <v>0</v>
      </c>
      <c r="HH83" s="64"/>
      <c r="HI83" s="74"/>
      <c r="HJ83" s="73">
        <f t="shared" ref="HJ83" ca="1" si="701">($M83=HI83)*$D$14</f>
        <v>0</v>
      </c>
      <c r="HK83" s="64"/>
      <c r="HL83" s="74"/>
      <c r="HM83" s="73">
        <f t="shared" ref="HM83" ca="1" si="702">($M83=HL83)*$D$14</f>
        <v>0</v>
      </c>
      <c r="HN83" s="64"/>
      <c r="HO83" s="74"/>
      <c r="HP83" s="73">
        <f t="shared" ref="HP83" ca="1" si="703">($M83=HO83)*$D$14</f>
        <v>0</v>
      </c>
      <c r="HQ83" s="64"/>
      <c r="HR83" s="74"/>
      <c r="HS83" s="73">
        <f t="shared" ref="HS83" ca="1" si="704">($M83=HR83)*$D$14</f>
        <v>0</v>
      </c>
      <c r="HT83" s="64"/>
      <c r="HU83" s="74"/>
      <c r="HV83" s="73">
        <f t="shared" ref="HV83" ca="1" si="705">($M83=HU83)*$D$14</f>
        <v>0</v>
      </c>
      <c r="HW83" s="64"/>
      <c r="HX83" s="74"/>
      <c r="HY83" s="73">
        <f t="shared" ref="HY83" ca="1" si="706">($M83=HX83)*$D$14</f>
        <v>0</v>
      </c>
      <c r="HZ83" s="64"/>
      <c r="IA83" s="74"/>
      <c r="IB83" s="73">
        <f t="shared" ref="IB83" ca="1" si="707">($M83=IA83)*$D$14</f>
        <v>0</v>
      </c>
      <c r="IC83" s="64"/>
      <c r="ID83" s="74"/>
      <c r="IE83" s="73">
        <f t="shared" ref="IE83" ca="1" si="708">($M83=ID83)*$D$14</f>
        <v>0</v>
      </c>
      <c r="IF83" s="64"/>
      <c r="IG83" s="74"/>
      <c r="IH83" s="73">
        <f t="shared" ref="IH83" ca="1" si="709">($M83=IG83)*$D$14</f>
        <v>0</v>
      </c>
      <c r="II83" s="64"/>
      <c r="IJ83" s="74"/>
      <c r="IK83" s="73">
        <f t="shared" ref="IK83" ca="1" si="710">($M83=IJ83)*$D$14</f>
        <v>0</v>
      </c>
      <c r="IL83" s="64"/>
      <c r="IM83" s="74"/>
      <c r="IN83" s="73">
        <f t="shared" ref="IN83" ca="1" si="711">($M83=IM83)*$D$14</f>
        <v>0</v>
      </c>
      <c r="IO83" s="64"/>
      <c r="IP83" s="74"/>
      <c r="IQ83" s="73">
        <f t="shared" ref="IQ83" ca="1" si="712">($M83=IP83)*$D$14</f>
        <v>0</v>
      </c>
      <c r="IR83" s="64"/>
      <c r="IS83" s="74"/>
      <c r="IT83" s="73">
        <f t="shared" ref="IT83" ca="1" si="713">($M83=IS83)*$D$14</f>
        <v>0</v>
      </c>
      <c r="IU83" s="64"/>
      <c r="IV83" s="74"/>
      <c r="IW83" s="73">
        <f t="shared" ref="IW83" ca="1" si="714">($M83=IV83)*$D$14</f>
        <v>0</v>
      </c>
      <c r="IX83" s="64"/>
      <c r="IY83" s="74"/>
      <c r="IZ83" s="73">
        <f t="shared" ref="IZ83" ca="1" si="715">($M83=IY83)*$D$14</f>
        <v>0</v>
      </c>
      <c r="JA83" s="64"/>
      <c r="JB83" s="74"/>
      <c r="JC83" s="73">
        <f t="shared" ref="JC83" ca="1" si="716">($M83=JB83)*$D$14</f>
        <v>0</v>
      </c>
      <c r="JD83" s="64"/>
      <c r="JE83" s="74"/>
      <c r="JF83" s="73">
        <f t="shared" ref="JF83" ca="1" si="717">($M83=JE83)*$D$14</f>
        <v>0</v>
      </c>
      <c r="JG83" s="64"/>
      <c r="JH83" s="74"/>
      <c r="JI83" s="73">
        <f t="shared" ref="JI83" ca="1" si="718">($M83=JH83)*$D$14</f>
        <v>0</v>
      </c>
      <c r="JJ83" s="64"/>
      <c r="JK83" s="74"/>
      <c r="JL83" s="73">
        <f t="shared" ref="JL83" ca="1" si="719">($M83=JK83)*$D$14</f>
        <v>0</v>
      </c>
      <c r="JM83" s="64"/>
      <c r="JN83" s="74"/>
      <c r="JO83" s="73">
        <f t="shared" ref="JO83" ca="1" si="720">($M83=JN83)*$D$14</f>
        <v>0</v>
      </c>
      <c r="JP83" s="64"/>
      <c r="JQ83" s="74"/>
      <c r="JR83" s="73">
        <f t="shared" ref="JR83" ca="1" si="721">($M83=JQ83)*$D$14</f>
        <v>0</v>
      </c>
      <c r="JS83" s="64"/>
      <c r="JT83" s="74"/>
      <c r="JU83" s="73">
        <f t="shared" ref="JU83" ca="1" si="722">($M83=JT83)*$D$14</f>
        <v>0</v>
      </c>
      <c r="JV83" s="64"/>
      <c r="JW83" s="74"/>
      <c r="JX83" s="73">
        <f t="shared" ref="JX83" ca="1" si="723">($M83=JW83)*$D$14</f>
        <v>0</v>
      </c>
      <c r="JY83" s="64"/>
      <c r="JZ83" s="74"/>
      <c r="KA83" s="73">
        <f t="shared" ref="KA83" ca="1" si="724">($M83=JZ83)*$D$14</f>
        <v>0</v>
      </c>
      <c r="KB83" s="64"/>
      <c r="KC83" s="74"/>
      <c r="KD83" s="73">
        <f t="shared" ref="KD83" ca="1" si="725">($M83=KC83)*$D$14</f>
        <v>0</v>
      </c>
      <c r="KE83" s="64"/>
      <c r="KF83" s="74"/>
      <c r="KG83" s="73">
        <f t="shared" ref="KG83" ca="1" si="726">($M83=KF83)*$D$14</f>
        <v>0</v>
      </c>
      <c r="KH83" s="64"/>
      <c r="KI83" s="74"/>
      <c r="KJ83" s="73">
        <f t="shared" ref="KJ83" ca="1" si="727">($M83=KI83)*$D$14</f>
        <v>0</v>
      </c>
      <c r="KK83" s="64"/>
      <c r="KL83" s="74"/>
      <c r="KM83" s="73">
        <f t="shared" ref="KM83" ca="1" si="728">($M83=KL83)*$D$14</f>
        <v>0</v>
      </c>
      <c r="KN83" s="64"/>
      <c r="KO83" s="74"/>
      <c r="KP83" s="73">
        <f t="shared" ref="KP83" ca="1" si="729">($M83=KO83)*$D$14</f>
        <v>0</v>
      </c>
      <c r="KQ83" s="64"/>
      <c r="KR83" s="74"/>
      <c r="KS83" s="73">
        <f t="shared" ref="KS83" ca="1" si="730">($M83=KR83)*$D$14</f>
        <v>0</v>
      </c>
      <c r="KT83" s="64"/>
      <c r="KU83" s="74"/>
      <c r="KV83" s="73">
        <f t="shared" ref="KV83" ca="1" si="731">($M83=KU83)*$D$14</f>
        <v>0</v>
      </c>
      <c r="KW83" s="64"/>
      <c r="KX83" s="74"/>
      <c r="KY83" s="73">
        <f t="shared" ref="KY83" ca="1" si="732">($M83=KX83)*$D$14</f>
        <v>0</v>
      </c>
      <c r="KZ83" s="64"/>
      <c r="LA83" s="74"/>
      <c r="LB83" s="73">
        <f t="shared" ref="LB83" ca="1" si="733">($M83=LA83)*$D$14</f>
        <v>0</v>
      </c>
      <c r="LC83" s="64"/>
      <c r="LD83" s="74"/>
      <c r="LE83" s="73">
        <f t="shared" ref="LE83" ca="1" si="734">($M83=LD83)*$D$14</f>
        <v>0</v>
      </c>
      <c r="LF83" s="64"/>
      <c r="LG83" s="64"/>
    </row>
    <row r="84" spans="1:319">
      <c r="A84" s="49"/>
      <c r="B84" s="49"/>
      <c r="C84" s="49"/>
      <c r="D84" s="49"/>
      <c r="E84" s="111"/>
      <c r="F84" s="127">
        <f t="shared" ref="F84" si="735">$D$11</f>
        <v>20</v>
      </c>
      <c r="G84" s="445">
        <f ca="1">VLOOKUP(H84,Equipos!$Q$1:$R$25,2,0)</f>
        <v>14</v>
      </c>
      <c r="H84" s="446">
        <f ca="1">$H$56</f>
        <v>46197</v>
      </c>
      <c r="I84" s="50"/>
      <c r="J84" s="847" t="s">
        <v>1</v>
      </c>
      <c r="K84" s="56" t="str">
        <f>Idiomas!D154</f>
        <v>1st GROUP B</v>
      </c>
      <c r="L84" s="53"/>
      <c r="M84" s="55" t="str">
        <f ca="1">IF(OR(SUM(WORLDCUP!$AN$14:$AN$17)=12,WORLDCUP!$AJ$99=144),WORLDCUP!AL14,LEFT(K84,1)&amp;RIGHT(K84,1))</f>
        <v>Switzerland</v>
      </c>
      <c r="N84" s="25"/>
      <c r="O84" s="25"/>
      <c r="P84" s="25"/>
      <c r="Q84" s="25"/>
      <c r="R84" s="110"/>
      <c r="S84" s="74" t="s">
        <v>290</v>
      </c>
      <c r="T84" s="73">
        <f t="shared" ref="T84" ca="1" si="736">($M84=S84)*$D$11</f>
        <v>20</v>
      </c>
      <c r="U84" s="64"/>
      <c r="V84" s="74" t="s">
        <v>290</v>
      </c>
      <c r="W84" s="73">
        <f t="shared" ref="W84:CH84" ca="1" si="737">($M84=V84)*$D$11</f>
        <v>20</v>
      </c>
      <c r="X84" s="64"/>
      <c r="Y84" s="74" t="s">
        <v>290</v>
      </c>
      <c r="Z84" s="73">
        <f t="shared" ca="1" si="737"/>
        <v>20</v>
      </c>
      <c r="AA84" s="64"/>
      <c r="AB84" s="74" t="s">
        <v>290</v>
      </c>
      <c r="AC84" s="73">
        <f t="shared" ca="1" si="737"/>
        <v>20</v>
      </c>
      <c r="AD84" s="64"/>
      <c r="AE84" s="74" t="s">
        <v>290</v>
      </c>
      <c r="AF84" s="73">
        <f t="shared" ca="1" si="737"/>
        <v>20</v>
      </c>
      <c r="AG84" s="64"/>
      <c r="AH84" s="74" t="s">
        <v>290</v>
      </c>
      <c r="AI84" s="73">
        <f t="shared" ca="1" si="737"/>
        <v>20</v>
      </c>
      <c r="AJ84" s="64"/>
      <c r="AK84" s="74" t="s">
        <v>1276</v>
      </c>
      <c r="AL84" s="73">
        <f t="shared" ca="1" si="737"/>
        <v>0</v>
      </c>
      <c r="AM84" s="64"/>
      <c r="AN84" s="74" t="s">
        <v>1276</v>
      </c>
      <c r="AO84" s="73">
        <f t="shared" ca="1" si="737"/>
        <v>0</v>
      </c>
      <c r="AP84" s="64"/>
      <c r="AQ84" s="74" t="s">
        <v>1842</v>
      </c>
      <c r="AR84" s="73">
        <f t="shared" ca="1" si="737"/>
        <v>0</v>
      </c>
      <c r="AS84" s="64"/>
      <c r="AT84" s="74" t="s">
        <v>290</v>
      </c>
      <c r="AU84" s="73">
        <f t="shared" ca="1" si="737"/>
        <v>20</v>
      </c>
      <c r="AV84" s="64"/>
      <c r="AW84" s="74" t="s">
        <v>1276</v>
      </c>
      <c r="AX84" s="73">
        <f t="shared" ca="1" si="737"/>
        <v>0</v>
      </c>
      <c r="AY84" s="64"/>
      <c r="AZ84" s="74" t="s">
        <v>290</v>
      </c>
      <c r="BA84" s="73">
        <f t="shared" ca="1" si="737"/>
        <v>20</v>
      </c>
      <c r="BB84" s="64"/>
      <c r="BC84" s="74" t="s">
        <v>290</v>
      </c>
      <c r="BD84" s="73">
        <f t="shared" ca="1" si="737"/>
        <v>20</v>
      </c>
      <c r="BE84" s="64"/>
      <c r="BF84" s="74" t="s">
        <v>1276</v>
      </c>
      <c r="BG84" s="73">
        <f t="shared" ca="1" si="737"/>
        <v>0</v>
      </c>
      <c r="BH84" s="64"/>
      <c r="BI84" s="74" t="s">
        <v>290</v>
      </c>
      <c r="BJ84" s="73">
        <f t="shared" ca="1" si="737"/>
        <v>20</v>
      </c>
      <c r="BK84" s="64"/>
      <c r="BL84" s="74" t="s">
        <v>290</v>
      </c>
      <c r="BM84" s="73">
        <f t="shared" ca="1" si="737"/>
        <v>20</v>
      </c>
      <c r="BN84" s="64"/>
      <c r="BO84" s="74" t="s">
        <v>290</v>
      </c>
      <c r="BP84" s="73">
        <f t="shared" ca="1" si="737"/>
        <v>20</v>
      </c>
      <c r="BQ84" s="64"/>
      <c r="BR84" s="74" t="s">
        <v>290</v>
      </c>
      <c r="BS84" s="73">
        <f t="shared" ca="1" si="737"/>
        <v>20</v>
      </c>
      <c r="BT84" s="64"/>
      <c r="BU84" s="74" t="s">
        <v>290</v>
      </c>
      <c r="BV84" s="73">
        <f t="shared" ca="1" si="737"/>
        <v>20</v>
      </c>
      <c r="BW84" s="64"/>
      <c r="BX84" s="74" t="s">
        <v>1276</v>
      </c>
      <c r="BY84" s="73">
        <f t="shared" ca="1" si="737"/>
        <v>0</v>
      </c>
      <c r="BZ84" s="64"/>
      <c r="CA84" s="74" t="s">
        <v>290</v>
      </c>
      <c r="CB84" s="73">
        <f t="shared" ca="1" si="737"/>
        <v>20</v>
      </c>
      <c r="CC84" s="64"/>
      <c r="CD84" s="74" t="s">
        <v>290</v>
      </c>
      <c r="CE84" s="73">
        <f t="shared" ca="1" si="737"/>
        <v>20</v>
      </c>
      <c r="CF84" s="64"/>
      <c r="CG84" s="74" t="s">
        <v>1276</v>
      </c>
      <c r="CH84" s="73">
        <f t="shared" ca="1" si="737"/>
        <v>0</v>
      </c>
      <c r="CI84" s="64"/>
      <c r="CJ84" s="74" t="s">
        <v>290</v>
      </c>
      <c r="CK84" s="73">
        <f t="shared" ref="CK84:EV84" ca="1" si="738">($M84=CJ84)*$D$11</f>
        <v>20</v>
      </c>
      <c r="CL84" s="64"/>
      <c r="CM84" s="74" t="s">
        <v>290</v>
      </c>
      <c r="CN84" s="73">
        <f t="shared" ca="1" si="738"/>
        <v>20</v>
      </c>
      <c r="CO84" s="64"/>
      <c r="CP84" s="74" t="s">
        <v>290</v>
      </c>
      <c r="CQ84" s="73">
        <f t="shared" ca="1" si="738"/>
        <v>20</v>
      </c>
      <c r="CR84" s="64"/>
      <c r="CS84" s="74" t="s">
        <v>290</v>
      </c>
      <c r="CT84" s="73">
        <f t="shared" ca="1" si="738"/>
        <v>20</v>
      </c>
      <c r="CU84" s="64"/>
      <c r="CV84" s="74" t="s">
        <v>1276</v>
      </c>
      <c r="CW84" s="73">
        <f t="shared" ca="1" si="738"/>
        <v>0</v>
      </c>
      <c r="CX84" s="64"/>
      <c r="CY84" s="74" t="s">
        <v>1637</v>
      </c>
      <c r="CZ84" s="73">
        <f t="shared" ca="1" si="738"/>
        <v>0</v>
      </c>
      <c r="DA84" s="64"/>
      <c r="DB84" s="74" t="s">
        <v>290</v>
      </c>
      <c r="DC84" s="73">
        <f t="shared" ca="1" si="738"/>
        <v>20</v>
      </c>
      <c r="DD84" s="64"/>
      <c r="DE84" s="74" t="s">
        <v>290</v>
      </c>
      <c r="DF84" s="73">
        <f t="shared" ca="1" si="738"/>
        <v>20</v>
      </c>
      <c r="DG84" s="64"/>
      <c r="DH84" s="74" t="s">
        <v>1276</v>
      </c>
      <c r="DI84" s="73">
        <f t="shared" ca="1" si="738"/>
        <v>0</v>
      </c>
      <c r="DJ84" s="64"/>
      <c r="DK84" s="74" t="s">
        <v>290</v>
      </c>
      <c r="DL84" s="73">
        <f t="shared" ca="1" si="738"/>
        <v>20</v>
      </c>
      <c r="DM84" s="64"/>
      <c r="DN84" s="74" t="s">
        <v>290</v>
      </c>
      <c r="DO84" s="73">
        <f t="shared" ca="1" si="738"/>
        <v>20</v>
      </c>
      <c r="DP84" s="64"/>
      <c r="DQ84" s="74" t="s">
        <v>290</v>
      </c>
      <c r="DR84" s="73">
        <f t="shared" ca="1" si="738"/>
        <v>20</v>
      </c>
      <c r="DS84" s="64"/>
      <c r="DT84" s="74" t="s">
        <v>290</v>
      </c>
      <c r="DU84" s="73">
        <f t="shared" ca="1" si="738"/>
        <v>20</v>
      </c>
      <c r="DV84" s="64"/>
      <c r="DW84" s="74" t="s">
        <v>290</v>
      </c>
      <c r="DX84" s="73">
        <f t="shared" ca="1" si="738"/>
        <v>20</v>
      </c>
      <c r="DY84" s="64"/>
      <c r="DZ84" s="74" t="s">
        <v>290</v>
      </c>
      <c r="EA84" s="73">
        <f t="shared" ca="1" si="738"/>
        <v>20</v>
      </c>
      <c r="EB84" s="64"/>
      <c r="EC84" s="74" t="s">
        <v>290</v>
      </c>
      <c r="ED84" s="73">
        <f t="shared" ca="1" si="738"/>
        <v>20</v>
      </c>
      <c r="EE84" s="64"/>
      <c r="EF84" s="74" t="s">
        <v>1842</v>
      </c>
      <c r="EG84" s="73">
        <f t="shared" ca="1" si="738"/>
        <v>0</v>
      </c>
      <c r="EH84" s="64"/>
      <c r="EI84" s="74" t="s">
        <v>290</v>
      </c>
      <c r="EJ84" s="73">
        <f t="shared" ca="1" si="738"/>
        <v>20</v>
      </c>
      <c r="EK84" s="64"/>
      <c r="EL84" s="74" t="s">
        <v>290</v>
      </c>
      <c r="EM84" s="73">
        <f t="shared" ca="1" si="738"/>
        <v>20</v>
      </c>
      <c r="EN84" s="64"/>
      <c r="EO84" s="74" t="s">
        <v>290</v>
      </c>
      <c r="EP84" s="73">
        <f t="shared" ca="1" si="738"/>
        <v>20</v>
      </c>
      <c r="EQ84" s="64"/>
      <c r="ER84" s="74" t="s">
        <v>290</v>
      </c>
      <c r="ES84" s="73">
        <f t="shared" ca="1" si="738"/>
        <v>20</v>
      </c>
      <c r="ET84" s="64"/>
      <c r="EU84" s="74" t="s">
        <v>1276</v>
      </c>
      <c r="EV84" s="73">
        <f t="shared" ca="1" si="738"/>
        <v>0</v>
      </c>
      <c r="EW84" s="64"/>
      <c r="EX84" s="74" t="s">
        <v>290</v>
      </c>
      <c r="EY84" s="73">
        <f t="shared" ref="EY84:HJ84" ca="1" si="739">($M84=EX84)*$D$11</f>
        <v>20</v>
      </c>
      <c r="EZ84" s="64"/>
      <c r="FA84" s="74" t="s">
        <v>1276</v>
      </c>
      <c r="FB84" s="73">
        <f t="shared" ca="1" si="739"/>
        <v>0</v>
      </c>
      <c r="FC84" s="64"/>
      <c r="FD84" s="74" t="s">
        <v>290</v>
      </c>
      <c r="FE84" s="73">
        <f t="shared" ca="1" si="739"/>
        <v>20</v>
      </c>
      <c r="FF84" s="64"/>
      <c r="FG84" s="74" t="s">
        <v>1276</v>
      </c>
      <c r="FH84" s="73">
        <f t="shared" ca="1" si="739"/>
        <v>0</v>
      </c>
      <c r="FI84" s="64"/>
      <c r="FJ84" s="74" t="s">
        <v>290</v>
      </c>
      <c r="FK84" s="73">
        <f t="shared" ca="1" si="739"/>
        <v>20</v>
      </c>
      <c r="FL84" s="64"/>
      <c r="FM84" s="74" t="s">
        <v>290</v>
      </c>
      <c r="FN84" s="73">
        <f t="shared" ca="1" si="739"/>
        <v>20</v>
      </c>
      <c r="FO84" s="64"/>
      <c r="FP84" s="74" t="s">
        <v>290</v>
      </c>
      <c r="FQ84" s="73">
        <f t="shared" ca="1" si="739"/>
        <v>20</v>
      </c>
      <c r="FR84" s="64"/>
      <c r="FS84" s="74" t="s">
        <v>290</v>
      </c>
      <c r="FT84" s="73">
        <f t="shared" ca="1" si="739"/>
        <v>20</v>
      </c>
      <c r="FU84" s="64"/>
      <c r="FV84" s="74" t="s">
        <v>1276</v>
      </c>
      <c r="FW84" s="73">
        <f t="shared" ca="1" si="739"/>
        <v>0</v>
      </c>
      <c r="FX84" s="64"/>
      <c r="FY84" s="74" t="s">
        <v>1842</v>
      </c>
      <c r="FZ84" s="73">
        <f t="shared" ca="1" si="739"/>
        <v>0</v>
      </c>
      <c r="GA84" s="64"/>
      <c r="GB84" s="74" t="s">
        <v>290</v>
      </c>
      <c r="GC84" s="73">
        <f t="shared" ca="1" si="739"/>
        <v>20</v>
      </c>
      <c r="GD84" s="64"/>
      <c r="GE84" s="74" t="s">
        <v>290</v>
      </c>
      <c r="GF84" s="73">
        <f t="shared" ca="1" si="739"/>
        <v>20</v>
      </c>
      <c r="GG84" s="64"/>
      <c r="GH84" s="74" t="s">
        <v>290</v>
      </c>
      <c r="GI84" s="73">
        <f t="shared" ca="1" si="739"/>
        <v>20</v>
      </c>
      <c r="GJ84" s="64"/>
      <c r="GK84" s="74" t="s">
        <v>290</v>
      </c>
      <c r="GL84" s="73">
        <f t="shared" ca="1" si="739"/>
        <v>20</v>
      </c>
      <c r="GM84" s="64"/>
      <c r="GN84" s="74"/>
      <c r="GO84" s="73">
        <f t="shared" ca="1" si="739"/>
        <v>0</v>
      </c>
      <c r="GP84" s="64"/>
      <c r="GQ84" s="74"/>
      <c r="GR84" s="73">
        <f t="shared" ca="1" si="739"/>
        <v>0</v>
      </c>
      <c r="GS84" s="64"/>
      <c r="GT84" s="74"/>
      <c r="GU84" s="73">
        <f t="shared" ca="1" si="739"/>
        <v>0</v>
      </c>
      <c r="GV84" s="64"/>
      <c r="GW84" s="74"/>
      <c r="GX84" s="73">
        <f t="shared" ca="1" si="739"/>
        <v>0</v>
      </c>
      <c r="GY84" s="64"/>
      <c r="GZ84" s="74"/>
      <c r="HA84" s="73">
        <f t="shared" ca="1" si="739"/>
        <v>0</v>
      </c>
      <c r="HB84" s="64"/>
      <c r="HC84" s="74"/>
      <c r="HD84" s="73">
        <f t="shared" ca="1" si="739"/>
        <v>0</v>
      </c>
      <c r="HE84" s="64"/>
      <c r="HF84" s="74"/>
      <c r="HG84" s="73">
        <f t="shared" ca="1" si="739"/>
        <v>0</v>
      </c>
      <c r="HH84" s="64"/>
      <c r="HI84" s="74"/>
      <c r="HJ84" s="73">
        <f t="shared" ca="1" si="739"/>
        <v>0</v>
      </c>
      <c r="HK84" s="64"/>
      <c r="HL84" s="74"/>
      <c r="HM84" s="73">
        <f t="shared" ref="HM84:JX84" ca="1" si="740">($M84=HL84)*$D$11</f>
        <v>0</v>
      </c>
      <c r="HN84" s="64"/>
      <c r="HO84" s="74"/>
      <c r="HP84" s="73">
        <f t="shared" ca="1" si="740"/>
        <v>0</v>
      </c>
      <c r="HQ84" s="64"/>
      <c r="HR84" s="74"/>
      <c r="HS84" s="73">
        <f t="shared" ca="1" si="740"/>
        <v>0</v>
      </c>
      <c r="HT84" s="64"/>
      <c r="HU84" s="74"/>
      <c r="HV84" s="73">
        <f t="shared" ca="1" si="740"/>
        <v>0</v>
      </c>
      <c r="HW84" s="64"/>
      <c r="HX84" s="74"/>
      <c r="HY84" s="73">
        <f t="shared" ca="1" si="740"/>
        <v>0</v>
      </c>
      <c r="HZ84" s="64"/>
      <c r="IA84" s="74"/>
      <c r="IB84" s="73">
        <f t="shared" ca="1" si="740"/>
        <v>0</v>
      </c>
      <c r="IC84" s="64"/>
      <c r="ID84" s="74"/>
      <c r="IE84" s="73">
        <f t="shared" ca="1" si="740"/>
        <v>0</v>
      </c>
      <c r="IF84" s="64"/>
      <c r="IG84" s="74"/>
      <c r="IH84" s="73">
        <f t="shared" ca="1" si="740"/>
        <v>0</v>
      </c>
      <c r="II84" s="64"/>
      <c r="IJ84" s="74"/>
      <c r="IK84" s="73">
        <f t="shared" ca="1" si="740"/>
        <v>0</v>
      </c>
      <c r="IL84" s="64"/>
      <c r="IM84" s="74"/>
      <c r="IN84" s="73">
        <f t="shared" ca="1" si="740"/>
        <v>0</v>
      </c>
      <c r="IO84" s="64"/>
      <c r="IP84" s="74"/>
      <c r="IQ84" s="73">
        <f t="shared" ca="1" si="740"/>
        <v>0</v>
      </c>
      <c r="IR84" s="64"/>
      <c r="IS84" s="74"/>
      <c r="IT84" s="73">
        <f t="shared" ca="1" si="740"/>
        <v>0</v>
      </c>
      <c r="IU84" s="64"/>
      <c r="IV84" s="74"/>
      <c r="IW84" s="73">
        <f t="shared" ca="1" si="740"/>
        <v>0</v>
      </c>
      <c r="IX84" s="64"/>
      <c r="IY84" s="74"/>
      <c r="IZ84" s="73">
        <f t="shared" ca="1" si="740"/>
        <v>0</v>
      </c>
      <c r="JA84" s="64"/>
      <c r="JB84" s="74"/>
      <c r="JC84" s="73">
        <f t="shared" ca="1" si="740"/>
        <v>0</v>
      </c>
      <c r="JD84" s="64"/>
      <c r="JE84" s="74"/>
      <c r="JF84" s="73">
        <f t="shared" ca="1" si="740"/>
        <v>0</v>
      </c>
      <c r="JG84" s="64"/>
      <c r="JH84" s="74"/>
      <c r="JI84" s="73">
        <f t="shared" ca="1" si="740"/>
        <v>0</v>
      </c>
      <c r="JJ84" s="64"/>
      <c r="JK84" s="74"/>
      <c r="JL84" s="73">
        <f t="shared" ca="1" si="740"/>
        <v>0</v>
      </c>
      <c r="JM84" s="64"/>
      <c r="JN84" s="74"/>
      <c r="JO84" s="73">
        <f t="shared" ca="1" si="740"/>
        <v>0</v>
      </c>
      <c r="JP84" s="64"/>
      <c r="JQ84" s="74"/>
      <c r="JR84" s="73">
        <f t="shared" ca="1" si="740"/>
        <v>0</v>
      </c>
      <c r="JS84" s="64"/>
      <c r="JT84" s="74"/>
      <c r="JU84" s="73">
        <f t="shared" ca="1" si="740"/>
        <v>0</v>
      </c>
      <c r="JV84" s="64"/>
      <c r="JW84" s="74"/>
      <c r="JX84" s="73">
        <f t="shared" ca="1" si="740"/>
        <v>0</v>
      </c>
      <c r="JY84" s="64"/>
      <c r="JZ84" s="74"/>
      <c r="KA84" s="73">
        <f t="shared" ref="KA84:LE84" ca="1" si="741">($M84=JZ84)*$D$11</f>
        <v>0</v>
      </c>
      <c r="KB84" s="64"/>
      <c r="KC84" s="74"/>
      <c r="KD84" s="73">
        <f t="shared" ca="1" si="741"/>
        <v>0</v>
      </c>
      <c r="KE84" s="64"/>
      <c r="KF84" s="74"/>
      <c r="KG84" s="73">
        <f t="shared" ca="1" si="741"/>
        <v>0</v>
      </c>
      <c r="KH84" s="64"/>
      <c r="KI84" s="74"/>
      <c r="KJ84" s="73">
        <f t="shared" ca="1" si="741"/>
        <v>0</v>
      </c>
      <c r="KK84" s="64"/>
      <c r="KL84" s="74"/>
      <c r="KM84" s="73">
        <f t="shared" ca="1" si="741"/>
        <v>0</v>
      </c>
      <c r="KN84" s="64"/>
      <c r="KO84" s="74"/>
      <c r="KP84" s="73">
        <f t="shared" ca="1" si="741"/>
        <v>0</v>
      </c>
      <c r="KQ84" s="64"/>
      <c r="KR84" s="74"/>
      <c r="KS84" s="73">
        <f t="shared" ca="1" si="741"/>
        <v>0</v>
      </c>
      <c r="KT84" s="64"/>
      <c r="KU84" s="74"/>
      <c r="KV84" s="73">
        <f t="shared" ca="1" si="741"/>
        <v>0</v>
      </c>
      <c r="KW84" s="64"/>
      <c r="KX84" s="74"/>
      <c r="KY84" s="73">
        <f t="shared" ca="1" si="741"/>
        <v>0</v>
      </c>
      <c r="KZ84" s="64"/>
      <c r="LA84" s="74"/>
      <c r="LB84" s="73">
        <f t="shared" ca="1" si="741"/>
        <v>0</v>
      </c>
      <c r="LC84" s="64"/>
      <c r="LD84" s="74"/>
      <c r="LE84" s="73">
        <f t="shared" ca="1" si="741"/>
        <v>0</v>
      </c>
      <c r="LF84" s="64"/>
      <c r="LG84" s="64"/>
    </row>
    <row r="85" spans="1:319">
      <c r="A85" s="49"/>
      <c r="B85" s="49"/>
      <c r="C85" s="49"/>
      <c r="D85" s="49"/>
      <c r="E85" s="111"/>
      <c r="F85" s="127">
        <f t="shared" ref="F85" si="742">$D$12</f>
        <v>10</v>
      </c>
      <c r="G85" s="445">
        <f ca="1">VLOOKUP(H85,Equipos!$Q$1:$R$25,2,0)</f>
        <v>14</v>
      </c>
      <c r="H85" s="446">
        <f ca="1">$H$56</f>
        <v>46197</v>
      </c>
      <c r="I85" s="50"/>
      <c r="J85" s="847"/>
      <c r="K85" s="56" t="str">
        <f>Idiomas!D155</f>
        <v>2nd GROUP B</v>
      </c>
      <c r="L85" s="53"/>
      <c r="M85" s="55" t="str">
        <f ca="1">IF(OR(SUM(WORLDCUP!$AN$14:$AN$17)=12,WORLDCUP!$AJ$99=144),WORLDCUP!AL15,LEFT(K85,1)&amp;RIGHT(K85,1))</f>
        <v>Canada</v>
      </c>
      <c r="N85" s="25"/>
      <c r="O85" s="25"/>
      <c r="P85" s="25"/>
      <c r="Q85" s="25"/>
      <c r="R85" s="110"/>
      <c r="S85" s="74" t="s">
        <v>1637</v>
      </c>
      <c r="T85" s="73">
        <f t="shared" ref="T85" ca="1" si="743">($M85=S85)*$D$12</f>
        <v>0</v>
      </c>
      <c r="U85" s="64"/>
      <c r="V85" s="74" t="s">
        <v>1842</v>
      </c>
      <c r="W85" s="73">
        <f t="shared" ref="W85:CH85" ca="1" si="744">($M85=V85)*$D$12</f>
        <v>0</v>
      </c>
      <c r="X85" s="64"/>
      <c r="Y85" s="74" t="s">
        <v>1276</v>
      </c>
      <c r="Z85" s="73">
        <f t="shared" ca="1" si="744"/>
        <v>10</v>
      </c>
      <c r="AA85" s="64"/>
      <c r="AB85" s="74" t="s">
        <v>1276</v>
      </c>
      <c r="AC85" s="73">
        <f t="shared" ca="1" si="744"/>
        <v>10</v>
      </c>
      <c r="AD85" s="64"/>
      <c r="AE85" s="74" t="s">
        <v>1276</v>
      </c>
      <c r="AF85" s="73">
        <f t="shared" ca="1" si="744"/>
        <v>10</v>
      </c>
      <c r="AG85" s="64"/>
      <c r="AH85" s="74" t="s">
        <v>1842</v>
      </c>
      <c r="AI85" s="73">
        <f t="shared" ca="1" si="744"/>
        <v>0</v>
      </c>
      <c r="AJ85" s="64"/>
      <c r="AK85" s="74" t="s">
        <v>290</v>
      </c>
      <c r="AL85" s="73">
        <f t="shared" ca="1" si="744"/>
        <v>0</v>
      </c>
      <c r="AM85" s="64"/>
      <c r="AN85" s="74" t="s">
        <v>290</v>
      </c>
      <c r="AO85" s="73">
        <f t="shared" ca="1" si="744"/>
        <v>0</v>
      </c>
      <c r="AP85" s="64"/>
      <c r="AQ85" s="74" t="s">
        <v>1276</v>
      </c>
      <c r="AR85" s="73">
        <f t="shared" ca="1" si="744"/>
        <v>10</v>
      </c>
      <c r="AS85" s="64"/>
      <c r="AT85" s="74" t="s">
        <v>1276</v>
      </c>
      <c r="AU85" s="73">
        <f t="shared" ca="1" si="744"/>
        <v>10</v>
      </c>
      <c r="AV85" s="64"/>
      <c r="AW85" s="74" t="s">
        <v>1842</v>
      </c>
      <c r="AX85" s="73">
        <f t="shared" ca="1" si="744"/>
        <v>0</v>
      </c>
      <c r="AY85" s="64"/>
      <c r="AZ85" s="74" t="s">
        <v>1276</v>
      </c>
      <c r="BA85" s="73">
        <f t="shared" ca="1" si="744"/>
        <v>10</v>
      </c>
      <c r="BB85" s="64"/>
      <c r="BC85" s="74" t="s">
        <v>1842</v>
      </c>
      <c r="BD85" s="73">
        <f t="shared" ca="1" si="744"/>
        <v>0</v>
      </c>
      <c r="BE85" s="64"/>
      <c r="BF85" s="74" t="s">
        <v>290</v>
      </c>
      <c r="BG85" s="73">
        <f t="shared" ca="1" si="744"/>
        <v>0</v>
      </c>
      <c r="BH85" s="64"/>
      <c r="BI85" s="74" t="s">
        <v>1842</v>
      </c>
      <c r="BJ85" s="73">
        <f t="shared" ca="1" si="744"/>
        <v>0</v>
      </c>
      <c r="BK85" s="64"/>
      <c r="BL85" s="74" t="s">
        <v>1276</v>
      </c>
      <c r="BM85" s="73">
        <f t="shared" ca="1" si="744"/>
        <v>10</v>
      </c>
      <c r="BN85" s="64"/>
      <c r="BO85" s="74" t="s">
        <v>1276</v>
      </c>
      <c r="BP85" s="73">
        <f t="shared" ca="1" si="744"/>
        <v>10</v>
      </c>
      <c r="BQ85" s="64"/>
      <c r="BR85" s="74" t="s">
        <v>1276</v>
      </c>
      <c r="BS85" s="73">
        <f t="shared" ca="1" si="744"/>
        <v>10</v>
      </c>
      <c r="BT85" s="64"/>
      <c r="BU85" s="74" t="s">
        <v>1276</v>
      </c>
      <c r="BV85" s="73">
        <f t="shared" ca="1" si="744"/>
        <v>10</v>
      </c>
      <c r="BW85" s="64"/>
      <c r="BX85" s="74" t="s">
        <v>290</v>
      </c>
      <c r="BY85" s="73">
        <f t="shared" ca="1" si="744"/>
        <v>0</v>
      </c>
      <c r="BZ85" s="64"/>
      <c r="CA85" s="74" t="s">
        <v>1842</v>
      </c>
      <c r="CB85" s="73">
        <f t="shared" ca="1" si="744"/>
        <v>0</v>
      </c>
      <c r="CC85" s="64"/>
      <c r="CD85" s="74" t="s">
        <v>1276</v>
      </c>
      <c r="CE85" s="73">
        <f t="shared" ca="1" si="744"/>
        <v>10</v>
      </c>
      <c r="CF85" s="64"/>
      <c r="CG85" s="74" t="s">
        <v>290</v>
      </c>
      <c r="CH85" s="73">
        <f t="shared" ca="1" si="744"/>
        <v>0</v>
      </c>
      <c r="CI85" s="64"/>
      <c r="CJ85" s="74" t="s">
        <v>1276</v>
      </c>
      <c r="CK85" s="73">
        <f t="shared" ref="CK85:EV85" ca="1" si="745">($M85=CJ85)*$D$12</f>
        <v>10</v>
      </c>
      <c r="CL85" s="64"/>
      <c r="CM85" s="74" t="s">
        <v>1276</v>
      </c>
      <c r="CN85" s="73">
        <f t="shared" ca="1" si="745"/>
        <v>10</v>
      </c>
      <c r="CO85" s="64"/>
      <c r="CP85" s="74" t="s">
        <v>1842</v>
      </c>
      <c r="CQ85" s="73">
        <f t="shared" ca="1" si="745"/>
        <v>0</v>
      </c>
      <c r="CR85" s="64"/>
      <c r="CS85" s="74" t="s">
        <v>1637</v>
      </c>
      <c r="CT85" s="73">
        <f t="shared" ca="1" si="745"/>
        <v>0</v>
      </c>
      <c r="CU85" s="64"/>
      <c r="CV85" s="74" t="s">
        <v>290</v>
      </c>
      <c r="CW85" s="73">
        <f t="shared" ca="1" si="745"/>
        <v>0</v>
      </c>
      <c r="CX85" s="64"/>
      <c r="CY85" s="74" t="s">
        <v>1842</v>
      </c>
      <c r="CZ85" s="73">
        <f t="shared" ca="1" si="745"/>
        <v>0</v>
      </c>
      <c r="DA85" s="64"/>
      <c r="DB85" s="74" t="s">
        <v>1637</v>
      </c>
      <c r="DC85" s="73">
        <f t="shared" ca="1" si="745"/>
        <v>0</v>
      </c>
      <c r="DD85" s="64"/>
      <c r="DE85" s="74" t="s">
        <v>1276</v>
      </c>
      <c r="DF85" s="73">
        <f t="shared" ca="1" si="745"/>
        <v>10</v>
      </c>
      <c r="DG85" s="64"/>
      <c r="DH85" s="74" t="s">
        <v>290</v>
      </c>
      <c r="DI85" s="73">
        <f t="shared" ca="1" si="745"/>
        <v>0</v>
      </c>
      <c r="DJ85" s="64"/>
      <c r="DK85" s="74" t="s">
        <v>1276</v>
      </c>
      <c r="DL85" s="73">
        <f t="shared" ca="1" si="745"/>
        <v>10</v>
      </c>
      <c r="DM85" s="64"/>
      <c r="DN85" s="74" t="s">
        <v>1276</v>
      </c>
      <c r="DO85" s="73">
        <f t="shared" ca="1" si="745"/>
        <v>10</v>
      </c>
      <c r="DP85" s="64"/>
      <c r="DQ85" s="74" t="s">
        <v>1276</v>
      </c>
      <c r="DR85" s="73">
        <f t="shared" ca="1" si="745"/>
        <v>10</v>
      </c>
      <c r="DS85" s="64"/>
      <c r="DT85" s="74" t="s">
        <v>1276</v>
      </c>
      <c r="DU85" s="73">
        <f t="shared" ca="1" si="745"/>
        <v>10</v>
      </c>
      <c r="DV85" s="64"/>
      <c r="DW85" s="74" t="s">
        <v>1276</v>
      </c>
      <c r="DX85" s="73">
        <f t="shared" ca="1" si="745"/>
        <v>10</v>
      </c>
      <c r="DY85" s="64"/>
      <c r="DZ85" s="74" t="s">
        <v>1276</v>
      </c>
      <c r="EA85" s="73">
        <f t="shared" ca="1" si="745"/>
        <v>10</v>
      </c>
      <c r="EB85" s="64"/>
      <c r="EC85" s="74" t="s">
        <v>1276</v>
      </c>
      <c r="ED85" s="73">
        <f t="shared" ca="1" si="745"/>
        <v>10</v>
      </c>
      <c r="EE85" s="64"/>
      <c r="EF85" s="74" t="s">
        <v>290</v>
      </c>
      <c r="EG85" s="73">
        <f t="shared" ca="1" si="745"/>
        <v>0</v>
      </c>
      <c r="EH85" s="64"/>
      <c r="EI85" s="74" t="s">
        <v>1276</v>
      </c>
      <c r="EJ85" s="73">
        <f t="shared" ca="1" si="745"/>
        <v>10</v>
      </c>
      <c r="EK85" s="64"/>
      <c r="EL85" s="74" t="s">
        <v>1276</v>
      </c>
      <c r="EM85" s="73">
        <f t="shared" ca="1" si="745"/>
        <v>10</v>
      </c>
      <c r="EN85" s="64"/>
      <c r="EO85" s="74" t="s">
        <v>1276</v>
      </c>
      <c r="EP85" s="73">
        <f t="shared" ca="1" si="745"/>
        <v>10</v>
      </c>
      <c r="EQ85" s="64"/>
      <c r="ER85" s="74" t="s">
        <v>1276</v>
      </c>
      <c r="ES85" s="73">
        <f t="shared" ca="1" si="745"/>
        <v>10</v>
      </c>
      <c r="ET85" s="64"/>
      <c r="EU85" s="74" t="s">
        <v>290</v>
      </c>
      <c r="EV85" s="73">
        <f t="shared" ca="1" si="745"/>
        <v>0</v>
      </c>
      <c r="EW85" s="64"/>
      <c r="EX85" s="74" t="s">
        <v>1276</v>
      </c>
      <c r="EY85" s="73">
        <f t="shared" ref="EY85:HJ85" ca="1" si="746">($M85=EX85)*$D$12</f>
        <v>10</v>
      </c>
      <c r="EZ85" s="64"/>
      <c r="FA85" s="74" t="s">
        <v>290</v>
      </c>
      <c r="FB85" s="73">
        <f t="shared" ca="1" si="746"/>
        <v>0</v>
      </c>
      <c r="FC85" s="64"/>
      <c r="FD85" s="74" t="s">
        <v>1276</v>
      </c>
      <c r="FE85" s="73">
        <f t="shared" ca="1" si="746"/>
        <v>10</v>
      </c>
      <c r="FF85" s="64"/>
      <c r="FG85" s="74" t="s">
        <v>290</v>
      </c>
      <c r="FH85" s="73">
        <f t="shared" ca="1" si="746"/>
        <v>0</v>
      </c>
      <c r="FI85" s="64"/>
      <c r="FJ85" s="74" t="s">
        <v>1276</v>
      </c>
      <c r="FK85" s="73">
        <f t="shared" ca="1" si="746"/>
        <v>10</v>
      </c>
      <c r="FL85" s="64"/>
      <c r="FM85" s="74" t="s">
        <v>1276</v>
      </c>
      <c r="FN85" s="73">
        <f t="shared" ca="1" si="746"/>
        <v>10</v>
      </c>
      <c r="FO85" s="64"/>
      <c r="FP85" s="74" t="s">
        <v>1842</v>
      </c>
      <c r="FQ85" s="73">
        <f t="shared" ca="1" si="746"/>
        <v>0</v>
      </c>
      <c r="FR85" s="64"/>
      <c r="FS85" s="74" t="s">
        <v>1842</v>
      </c>
      <c r="FT85" s="73">
        <f t="shared" ca="1" si="746"/>
        <v>0</v>
      </c>
      <c r="FU85" s="64"/>
      <c r="FV85" s="74" t="s">
        <v>290</v>
      </c>
      <c r="FW85" s="73">
        <f t="shared" ca="1" si="746"/>
        <v>0</v>
      </c>
      <c r="FX85" s="64"/>
      <c r="FY85" s="74" t="s">
        <v>1276</v>
      </c>
      <c r="FZ85" s="73">
        <f t="shared" ca="1" si="746"/>
        <v>10</v>
      </c>
      <c r="GA85" s="64"/>
      <c r="GB85" s="74" t="s">
        <v>1276</v>
      </c>
      <c r="GC85" s="73">
        <f t="shared" ca="1" si="746"/>
        <v>10</v>
      </c>
      <c r="GD85" s="64"/>
      <c r="GE85" s="74" t="s">
        <v>1842</v>
      </c>
      <c r="GF85" s="73">
        <f t="shared" ca="1" si="746"/>
        <v>0</v>
      </c>
      <c r="GG85" s="64"/>
      <c r="GH85" s="74" t="s">
        <v>1276</v>
      </c>
      <c r="GI85" s="73">
        <f t="shared" ca="1" si="746"/>
        <v>10</v>
      </c>
      <c r="GJ85" s="64"/>
      <c r="GK85" s="74" t="s">
        <v>1276</v>
      </c>
      <c r="GL85" s="73">
        <f t="shared" ca="1" si="746"/>
        <v>10</v>
      </c>
      <c r="GM85" s="64"/>
      <c r="GN85" s="74"/>
      <c r="GO85" s="73">
        <f t="shared" ca="1" si="746"/>
        <v>0</v>
      </c>
      <c r="GP85" s="64"/>
      <c r="GQ85" s="74"/>
      <c r="GR85" s="73">
        <f t="shared" ca="1" si="746"/>
        <v>0</v>
      </c>
      <c r="GS85" s="64"/>
      <c r="GT85" s="74"/>
      <c r="GU85" s="73">
        <f t="shared" ca="1" si="746"/>
        <v>0</v>
      </c>
      <c r="GV85" s="64"/>
      <c r="GW85" s="74"/>
      <c r="GX85" s="73">
        <f t="shared" ca="1" si="746"/>
        <v>0</v>
      </c>
      <c r="GY85" s="64"/>
      <c r="GZ85" s="74"/>
      <c r="HA85" s="73">
        <f t="shared" ca="1" si="746"/>
        <v>0</v>
      </c>
      <c r="HB85" s="64"/>
      <c r="HC85" s="74"/>
      <c r="HD85" s="73">
        <f t="shared" ca="1" si="746"/>
        <v>0</v>
      </c>
      <c r="HE85" s="64"/>
      <c r="HF85" s="74"/>
      <c r="HG85" s="73">
        <f t="shared" ca="1" si="746"/>
        <v>0</v>
      </c>
      <c r="HH85" s="64"/>
      <c r="HI85" s="74"/>
      <c r="HJ85" s="73">
        <f t="shared" ca="1" si="746"/>
        <v>0</v>
      </c>
      <c r="HK85" s="64"/>
      <c r="HL85" s="74"/>
      <c r="HM85" s="73">
        <f t="shared" ref="HM85:JX85" ca="1" si="747">($M85=HL85)*$D$12</f>
        <v>0</v>
      </c>
      <c r="HN85" s="64"/>
      <c r="HO85" s="74"/>
      <c r="HP85" s="73">
        <f t="shared" ca="1" si="747"/>
        <v>0</v>
      </c>
      <c r="HQ85" s="64"/>
      <c r="HR85" s="74"/>
      <c r="HS85" s="73">
        <f t="shared" ca="1" si="747"/>
        <v>0</v>
      </c>
      <c r="HT85" s="64"/>
      <c r="HU85" s="74"/>
      <c r="HV85" s="73">
        <f t="shared" ca="1" si="747"/>
        <v>0</v>
      </c>
      <c r="HW85" s="64"/>
      <c r="HX85" s="74"/>
      <c r="HY85" s="73">
        <f t="shared" ca="1" si="747"/>
        <v>0</v>
      </c>
      <c r="HZ85" s="64"/>
      <c r="IA85" s="74"/>
      <c r="IB85" s="73">
        <f t="shared" ca="1" si="747"/>
        <v>0</v>
      </c>
      <c r="IC85" s="64"/>
      <c r="ID85" s="74"/>
      <c r="IE85" s="73">
        <f t="shared" ca="1" si="747"/>
        <v>0</v>
      </c>
      <c r="IF85" s="64"/>
      <c r="IG85" s="74"/>
      <c r="IH85" s="73">
        <f t="shared" ca="1" si="747"/>
        <v>0</v>
      </c>
      <c r="II85" s="64"/>
      <c r="IJ85" s="74"/>
      <c r="IK85" s="73">
        <f t="shared" ca="1" si="747"/>
        <v>0</v>
      </c>
      <c r="IL85" s="64"/>
      <c r="IM85" s="74"/>
      <c r="IN85" s="73">
        <f t="shared" ca="1" si="747"/>
        <v>0</v>
      </c>
      <c r="IO85" s="64"/>
      <c r="IP85" s="74"/>
      <c r="IQ85" s="73">
        <f t="shared" ca="1" si="747"/>
        <v>0</v>
      </c>
      <c r="IR85" s="64"/>
      <c r="IS85" s="74"/>
      <c r="IT85" s="73">
        <f t="shared" ca="1" si="747"/>
        <v>0</v>
      </c>
      <c r="IU85" s="64"/>
      <c r="IV85" s="74"/>
      <c r="IW85" s="73">
        <f t="shared" ca="1" si="747"/>
        <v>0</v>
      </c>
      <c r="IX85" s="64"/>
      <c r="IY85" s="74"/>
      <c r="IZ85" s="73">
        <f t="shared" ca="1" si="747"/>
        <v>0</v>
      </c>
      <c r="JA85" s="64"/>
      <c r="JB85" s="74"/>
      <c r="JC85" s="73">
        <f t="shared" ca="1" si="747"/>
        <v>0</v>
      </c>
      <c r="JD85" s="64"/>
      <c r="JE85" s="74"/>
      <c r="JF85" s="73">
        <f t="shared" ca="1" si="747"/>
        <v>0</v>
      </c>
      <c r="JG85" s="64"/>
      <c r="JH85" s="74"/>
      <c r="JI85" s="73">
        <f t="shared" ca="1" si="747"/>
        <v>0</v>
      </c>
      <c r="JJ85" s="64"/>
      <c r="JK85" s="74"/>
      <c r="JL85" s="73">
        <f t="shared" ca="1" si="747"/>
        <v>0</v>
      </c>
      <c r="JM85" s="64"/>
      <c r="JN85" s="74"/>
      <c r="JO85" s="73">
        <f t="shared" ca="1" si="747"/>
        <v>0</v>
      </c>
      <c r="JP85" s="64"/>
      <c r="JQ85" s="74"/>
      <c r="JR85" s="73">
        <f t="shared" ca="1" si="747"/>
        <v>0</v>
      </c>
      <c r="JS85" s="64"/>
      <c r="JT85" s="74"/>
      <c r="JU85" s="73">
        <f t="shared" ca="1" si="747"/>
        <v>0</v>
      </c>
      <c r="JV85" s="64"/>
      <c r="JW85" s="74"/>
      <c r="JX85" s="73">
        <f t="shared" ca="1" si="747"/>
        <v>0</v>
      </c>
      <c r="JY85" s="64"/>
      <c r="JZ85" s="74"/>
      <c r="KA85" s="73">
        <f t="shared" ref="KA85:LE85" ca="1" si="748">($M85=JZ85)*$D$12</f>
        <v>0</v>
      </c>
      <c r="KB85" s="64"/>
      <c r="KC85" s="74"/>
      <c r="KD85" s="73">
        <f t="shared" ca="1" si="748"/>
        <v>0</v>
      </c>
      <c r="KE85" s="64"/>
      <c r="KF85" s="74"/>
      <c r="KG85" s="73">
        <f t="shared" ca="1" si="748"/>
        <v>0</v>
      </c>
      <c r="KH85" s="64"/>
      <c r="KI85" s="74"/>
      <c r="KJ85" s="73">
        <f t="shared" ca="1" si="748"/>
        <v>0</v>
      </c>
      <c r="KK85" s="64"/>
      <c r="KL85" s="74"/>
      <c r="KM85" s="73">
        <f t="shared" ca="1" si="748"/>
        <v>0</v>
      </c>
      <c r="KN85" s="64"/>
      <c r="KO85" s="74"/>
      <c r="KP85" s="73">
        <f t="shared" ca="1" si="748"/>
        <v>0</v>
      </c>
      <c r="KQ85" s="64"/>
      <c r="KR85" s="74"/>
      <c r="KS85" s="73">
        <f t="shared" ca="1" si="748"/>
        <v>0</v>
      </c>
      <c r="KT85" s="64"/>
      <c r="KU85" s="74"/>
      <c r="KV85" s="73">
        <f t="shared" ca="1" si="748"/>
        <v>0</v>
      </c>
      <c r="KW85" s="64"/>
      <c r="KX85" s="74"/>
      <c r="KY85" s="73">
        <f t="shared" ca="1" si="748"/>
        <v>0</v>
      </c>
      <c r="KZ85" s="64"/>
      <c r="LA85" s="74"/>
      <c r="LB85" s="73">
        <f t="shared" ca="1" si="748"/>
        <v>0</v>
      </c>
      <c r="LC85" s="64"/>
      <c r="LD85" s="74"/>
      <c r="LE85" s="73">
        <f t="shared" ca="1" si="748"/>
        <v>0</v>
      </c>
      <c r="LF85" s="64"/>
      <c r="LG85" s="64"/>
    </row>
    <row r="86" spans="1:319">
      <c r="A86" s="49"/>
      <c r="B86" s="49"/>
      <c r="C86" s="49"/>
      <c r="D86" s="49"/>
      <c r="E86" s="111"/>
      <c r="F86" s="127">
        <f t="shared" ref="F86" si="749">$D$13</f>
        <v>5</v>
      </c>
      <c r="G86" s="445">
        <f ca="1">VLOOKUP(H86,Equipos!$Q$1:$R$25,2,0)</f>
        <v>14</v>
      </c>
      <c r="H86" s="446">
        <f ca="1">$H$56</f>
        <v>46197</v>
      </c>
      <c r="I86" s="50"/>
      <c r="J86" s="847"/>
      <c r="K86" s="56" t="str">
        <f>Idiomas!D156</f>
        <v>3rd GROUP B</v>
      </c>
      <c r="L86" s="53"/>
      <c r="M86" s="55" t="str">
        <f ca="1">IF(OR(SUM(WORLDCUP!$AN$14:$AN$17)=12,WORLDCUP!$AJ$99=144),WORLDCUP!AL16,LEFT(K86,1)&amp;RIGHT(K86,1))</f>
        <v>Bosnia and Herzegovina</v>
      </c>
      <c r="N86" s="25"/>
      <c r="O86" s="25"/>
      <c r="P86" s="25"/>
      <c r="Q86" s="25"/>
      <c r="R86" s="110"/>
      <c r="S86" s="74" t="s">
        <v>1276</v>
      </c>
      <c r="T86" s="73">
        <f t="shared" ref="T86" ca="1" si="750">($M86=S86)*$D$13</f>
        <v>0</v>
      </c>
      <c r="U86" s="64"/>
      <c r="V86" s="74" t="s">
        <v>1276</v>
      </c>
      <c r="W86" s="73">
        <f t="shared" ref="W86:CH86" ca="1" si="751">($M86=V86)*$D$13</f>
        <v>0</v>
      </c>
      <c r="X86" s="64"/>
      <c r="Y86" s="74" t="s">
        <v>1842</v>
      </c>
      <c r="Z86" s="73">
        <f t="shared" ca="1" si="751"/>
        <v>5</v>
      </c>
      <c r="AA86" s="64"/>
      <c r="AB86" s="74" t="s">
        <v>1842</v>
      </c>
      <c r="AC86" s="73">
        <f t="shared" ca="1" si="751"/>
        <v>5</v>
      </c>
      <c r="AD86" s="64"/>
      <c r="AE86" s="74" t="s">
        <v>1842</v>
      </c>
      <c r="AF86" s="73">
        <f t="shared" ca="1" si="751"/>
        <v>5</v>
      </c>
      <c r="AG86" s="64"/>
      <c r="AH86" s="74" t="s">
        <v>1276</v>
      </c>
      <c r="AI86" s="73">
        <f t="shared" ca="1" si="751"/>
        <v>0</v>
      </c>
      <c r="AJ86" s="64"/>
      <c r="AK86" s="74" t="s">
        <v>1637</v>
      </c>
      <c r="AL86" s="73">
        <f t="shared" ca="1" si="751"/>
        <v>0</v>
      </c>
      <c r="AM86" s="64"/>
      <c r="AN86" s="74" t="s">
        <v>1842</v>
      </c>
      <c r="AO86" s="73">
        <f t="shared" ca="1" si="751"/>
        <v>5</v>
      </c>
      <c r="AP86" s="64"/>
      <c r="AQ86" s="74" t="s">
        <v>290</v>
      </c>
      <c r="AR86" s="73">
        <f t="shared" ca="1" si="751"/>
        <v>0</v>
      </c>
      <c r="AS86" s="64"/>
      <c r="AT86" s="74" t="s">
        <v>1842</v>
      </c>
      <c r="AU86" s="73">
        <f t="shared" ca="1" si="751"/>
        <v>5</v>
      </c>
      <c r="AV86" s="64"/>
      <c r="AW86" s="74" t="s">
        <v>290</v>
      </c>
      <c r="AX86" s="73">
        <f t="shared" ca="1" si="751"/>
        <v>0</v>
      </c>
      <c r="AY86" s="64"/>
      <c r="AZ86" s="74" t="s">
        <v>1842</v>
      </c>
      <c r="BA86" s="73">
        <f t="shared" ca="1" si="751"/>
        <v>5</v>
      </c>
      <c r="BB86" s="64"/>
      <c r="BC86" s="74" t="s">
        <v>1276</v>
      </c>
      <c r="BD86" s="73">
        <f t="shared" ca="1" si="751"/>
        <v>0</v>
      </c>
      <c r="BE86" s="64"/>
      <c r="BF86" s="74" t="s">
        <v>1842</v>
      </c>
      <c r="BG86" s="73">
        <f t="shared" ca="1" si="751"/>
        <v>5</v>
      </c>
      <c r="BH86" s="64"/>
      <c r="BI86" s="74" t="s">
        <v>1276</v>
      </c>
      <c r="BJ86" s="73">
        <f t="shared" ca="1" si="751"/>
        <v>0</v>
      </c>
      <c r="BK86" s="64"/>
      <c r="BL86" s="74" t="s">
        <v>1842</v>
      </c>
      <c r="BM86" s="73">
        <f t="shared" ca="1" si="751"/>
        <v>5</v>
      </c>
      <c r="BN86" s="64"/>
      <c r="BO86" s="74" t="s">
        <v>1842</v>
      </c>
      <c r="BP86" s="73">
        <f t="shared" ca="1" si="751"/>
        <v>5</v>
      </c>
      <c r="BQ86" s="64"/>
      <c r="BR86" s="74" t="s">
        <v>1842</v>
      </c>
      <c r="BS86" s="73">
        <f t="shared" ca="1" si="751"/>
        <v>5</v>
      </c>
      <c r="BT86" s="64"/>
      <c r="BU86" s="74" t="s">
        <v>1842</v>
      </c>
      <c r="BV86" s="73">
        <f t="shared" ca="1" si="751"/>
        <v>5</v>
      </c>
      <c r="BW86" s="64"/>
      <c r="BX86" s="74" t="s">
        <v>1637</v>
      </c>
      <c r="BY86" s="73">
        <f t="shared" ca="1" si="751"/>
        <v>0</v>
      </c>
      <c r="BZ86" s="64"/>
      <c r="CA86" s="74" t="s">
        <v>1276</v>
      </c>
      <c r="CB86" s="73">
        <f t="shared" ca="1" si="751"/>
        <v>0</v>
      </c>
      <c r="CC86" s="64"/>
      <c r="CD86" s="74" t="s">
        <v>1637</v>
      </c>
      <c r="CE86" s="73">
        <f t="shared" ca="1" si="751"/>
        <v>0</v>
      </c>
      <c r="CF86" s="64"/>
      <c r="CG86" s="74" t="s">
        <v>1842</v>
      </c>
      <c r="CH86" s="73">
        <f t="shared" ca="1" si="751"/>
        <v>5</v>
      </c>
      <c r="CI86" s="64"/>
      <c r="CJ86" s="74" t="s">
        <v>1842</v>
      </c>
      <c r="CK86" s="73">
        <f t="shared" ref="CK86:EV86" ca="1" si="752">($M86=CJ86)*$D$13</f>
        <v>5</v>
      </c>
      <c r="CL86" s="64"/>
      <c r="CM86" s="74" t="s">
        <v>1842</v>
      </c>
      <c r="CN86" s="73">
        <f t="shared" ca="1" si="752"/>
        <v>5</v>
      </c>
      <c r="CO86" s="64"/>
      <c r="CP86" s="74" t="s">
        <v>1276</v>
      </c>
      <c r="CQ86" s="73">
        <f t="shared" ca="1" si="752"/>
        <v>0</v>
      </c>
      <c r="CR86" s="64"/>
      <c r="CS86" s="74" t="s">
        <v>1842</v>
      </c>
      <c r="CT86" s="73">
        <f t="shared" ca="1" si="752"/>
        <v>5</v>
      </c>
      <c r="CU86" s="64"/>
      <c r="CV86" s="74" t="s">
        <v>1637</v>
      </c>
      <c r="CW86" s="73">
        <f t="shared" ca="1" si="752"/>
        <v>0</v>
      </c>
      <c r="CX86" s="64"/>
      <c r="CY86" s="74" t="s">
        <v>290</v>
      </c>
      <c r="CZ86" s="73">
        <f t="shared" ca="1" si="752"/>
        <v>0</v>
      </c>
      <c r="DA86" s="64"/>
      <c r="DB86" s="74" t="s">
        <v>1842</v>
      </c>
      <c r="DC86" s="73">
        <f t="shared" ca="1" si="752"/>
        <v>5</v>
      </c>
      <c r="DD86" s="64"/>
      <c r="DE86" s="74" t="s">
        <v>1842</v>
      </c>
      <c r="DF86" s="73">
        <f t="shared" ca="1" si="752"/>
        <v>5</v>
      </c>
      <c r="DG86" s="64"/>
      <c r="DH86" s="74" t="s">
        <v>1842</v>
      </c>
      <c r="DI86" s="73">
        <f t="shared" ca="1" si="752"/>
        <v>5</v>
      </c>
      <c r="DJ86" s="64"/>
      <c r="DK86" s="74" t="s">
        <v>1842</v>
      </c>
      <c r="DL86" s="73">
        <f t="shared" ca="1" si="752"/>
        <v>5</v>
      </c>
      <c r="DM86" s="64"/>
      <c r="DN86" s="74" t="s">
        <v>1842</v>
      </c>
      <c r="DO86" s="73">
        <f t="shared" ca="1" si="752"/>
        <v>5</v>
      </c>
      <c r="DP86" s="64"/>
      <c r="DQ86" s="74" t="s">
        <v>1842</v>
      </c>
      <c r="DR86" s="73">
        <f t="shared" ca="1" si="752"/>
        <v>5</v>
      </c>
      <c r="DS86" s="64"/>
      <c r="DT86" s="74" t="s">
        <v>1842</v>
      </c>
      <c r="DU86" s="73">
        <f t="shared" ca="1" si="752"/>
        <v>5</v>
      </c>
      <c r="DV86" s="64"/>
      <c r="DW86" s="74" t="s">
        <v>1842</v>
      </c>
      <c r="DX86" s="73">
        <f t="shared" ca="1" si="752"/>
        <v>5</v>
      </c>
      <c r="DY86" s="64"/>
      <c r="DZ86" s="74" t="s">
        <v>1842</v>
      </c>
      <c r="EA86" s="73">
        <f t="shared" ca="1" si="752"/>
        <v>5</v>
      </c>
      <c r="EB86" s="64"/>
      <c r="EC86" s="74" t="s">
        <v>1842</v>
      </c>
      <c r="ED86" s="73">
        <f t="shared" ca="1" si="752"/>
        <v>5</v>
      </c>
      <c r="EE86" s="64"/>
      <c r="EF86" s="74" t="s">
        <v>1637</v>
      </c>
      <c r="EG86" s="73">
        <f t="shared" ca="1" si="752"/>
        <v>0</v>
      </c>
      <c r="EH86" s="64"/>
      <c r="EI86" s="74" t="s">
        <v>1842</v>
      </c>
      <c r="EJ86" s="73">
        <f t="shared" ca="1" si="752"/>
        <v>5</v>
      </c>
      <c r="EK86" s="64"/>
      <c r="EL86" s="74" t="s">
        <v>1842</v>
      </c>
      <c r="EM86" s="73">
        <f t="shared" ca="1" si="752"/>
        <v>5</v>
      </c>
      <c r="EN86" s="64"/>
      <c r="EO86" s="74" t="s">
        <v>1842</v>
      </c>
      <c r="EP86" s="73">
        <f t="shared" ca="1" si="752"/>
        <v>5</v>
      </c>
      <c r="EQ86" s="64"/>
      <c r="ER86" s="74" t="s">
        <v>1842</v>
      </c>
      <c r="ES86" s="73">
        <f t="shared" ca="1" si="752"/>
        <v>5</v>
      </c>
      <c r="ET86" s="64"/>
      <c r="EU86" s="74" t="s">
        <v>1842</v>
      </c>
      <c r="EV86" s="73">
        <f t="shared" ca="1" si="752"/>
        <v>5</v>
      </c>
      <c r="EW86" s="64"/>
      <c r="EX86" s="74" t="s">
        <v>1842</v>
      </c>
      <c r="EY86" s="73">
        <f t="shared" ref="EY86:HJ86" ca="1" si="753">($M86=EX86)*$D$13</f>
        <v>5</v>
      </c>
      <c r="EZ86" s="64"/>
      <c r="FA86" s="74" t="s">
        <v>1842</v>
      </c>
      <c r="FB86" s="73">
        <f t="shared" ca="1" si="753"/>
        <v>5</v>
      </c>
      <c r="FC86" s="64"/>
      <c r="FD86" s="74" t="s">
        <v>1637</v>
      </c>
      <c r="FE86" s="73">
        <f t="shared" ca="1" si="753"/>
        <v>0</v>
      </c>
      <c r="FF86" s="64"/>
      <c r="FG86" s="74" t="s">
        <v>1842</v>
      </c>
      <c r="FH86" s="73">
        <f t="shared" ca="1" si="753"/>
        <v>5</v>
      </c>
      <c r="FI86" s="64"/>
      <c r="FJ86" s="74" t="s">
        <v>1842</v>
      </c>
      <c r="FK86" s="73">
        <f t="shared" ca="1" si="753"/>
        <v>5</v>
      </c>
      <c r="FL86" s="64"/>
      <c r="FM86" s="74" t="s">
        <v>1842</v>
      </c>
      <c r="FN86" s="73">
        <f t="shared" ca="1" si="753"/>
        <v>5</v>
      </c>
      <c r="FO86" s="64"/>
      <c r="FP86" s="74" t="s">
        <v>1276</v>
      </c>
      <c r="FQ86" s="73">
        <f t="shared" ca="1" si="753"/>
        <v>0</v>
      </c>
      <c r="FR86" s="64"/>
      <c r="FS86" s="74" t="s">
        <v>1276</v>
      </c>
      <c r="FT86" s="73">
        <f t="shared" ca="1" si="753"/>
        <v>0</v>
      </c>
      <c r="FU86" s="64"/>
      <c r="FV86" s="74" t="s">
        <v>1842</v>
      </c>
      <c r="FW86" s="73">
        <f t="shared" ca="1" si="753"/>
        <v>5</v>
      </c>
      <c r="FX86" s="64"/>
      <c r="FY86" s="74" t="s">
        <v>290</v>
      </c>
      <c r="FZ86" s="73">
        <f t="shared" ca="1" si="753"/>
        <v>0</v>
      </c>
      <c r="GA86" s="64"/>
      <c r="GB86" s="74" t="s">
        <v>1842</v>
      </c>
      <c r="GC86" s="73">
        <f t="shared" ca="1" si="753"/>
        <v>5</v>
      </c>
      <c r="GD86" s="64"/>
      <c r="GE86" s="74" t="s">
        <v>1276</v>
      </c>
      <c r="GF86" s="73">
        <f t="shared" ca="1" si="753"/>
        <v>0</v>
      </c>
      <c r="GG86" s="64"/>
      <c r="GH86" s="74" t="s">
        <v>1842</v>
      </c>
      <c r="GI86" s="73">
        <f t="shared" ca="1" si="753"/>
        <v>5</v>
      </c>
      <c r="GJ86" s="64"/>
      <c r="GK86" s="74" t="s">
        <v>1842</v>
      </c>
      <c r="GL86" s="73">
        <f t="shared" ca="1" si="753"/>
        <v>5</v>
      </c>
      <c r="GM86" s="64"/>
      <c r="GN86" s="74"/>
      <c r="GO86" s="73">
        <f t="shared" ca="1" si="753"/>
        <v>0</v>
      </c>
      <c r="GP86" s="64"/>
      <c r="GQ86" s="74"/>
      <c r="GR86" s="73">
        <f t="shared" ca="1" si="753"/>
        <v>0</v>
      </c>
      <c r="GS86" s="64"/>
      <c r="GT86" s="74"/>
      <c r="GU86" s="73">
        <f t="shared" ca="1" si="753"/>
        <v>0</v>
      </c>
      <c r="GV86" s="64"/>
      <c r="GW86" s="74"/>
      <c r="GX86" s="73">
        <f t="shared" ca="1" si="753"/>
        <v>0</v>
      </c>
      <c r="GY86" s="64"/>
      <c r="GZ86" s="74"/>
      <c r="HA86" s="73">
        <f t="shared" ca="1" si="753"/>
        <v>0</v>
      </c>
      <c r="HB86" s="64"/>
      <c r="HC86" s="74"/>
      <c r="HD86" s="73">
        <f t="shared" ca="1" si="753"/>
        <v>0</v>
      </c>
      <c r="HE86" s="64"/>
      <c r="HF86" s="74"/>
      <c r="HG86" s="73">
        <f t="shared" ca="1" si="753"/>
        <v>0</v>
      </c>
      <c r="HH86" s="64"/>
      <c r="HI86" s="74"/>
      <c r="HJ86" s="73">
        <f t="shared" ca="1" si="753"/>
        <v>0</v>
      </c>
      <c r="HK86" s="64"/>
      <c r="HL86" s="74"/>
      <c r="HM86" s="73">
        <f t="shared" ref="HM86:JX86" ca="1" si="754">($M86=HL86)*$D$13</f>
        <v>0</v>
      </c>
      <c r="HN86" s="64"/>
      <c r="HO86" s="74"/>
      <c r="HP86" s="73">
        <f t="shared" ca="1" si="754"/>
        <v>0</v>
      </c>
      <c r="HQ86" s="64"/>
      <c r="HR86" s="74"/>
      <c r="HS86" s="73">
        <f t="shared" ca="1" si="754"/>
        <v>0</v>
      </c>
      <c r="HT86" s="64"/>
      <c r="HU86" s="74"/>
      <c r="HV86" s="73">
        <f t="shared" ca="1" si="754"/>
        <v>0</v>
      </c>
      <c r="HW86" s="64"/>
      <c r="HX86" s="74"/>
      <c r="HY86" s="73">
        <f t="shared" ca="1" si="754"/>
        <v>0</v>
      </c>
      <c r="HZ86" s="64"/>
      <c r="IA86" s="74"/>
      <c r="IB86" s="73">
        <f t="shared" ca="1" si="754"/>
        <v>0</v>
      </c>
      <c r="IC86" s="64"/>
      <c r="ID86" s="74"/>
      <c r="IE86" s="73">
        <f t="shared" ca="1" si="754"/>
        <v>0</v>
      </c>
      <c r="IF86" s="64"/>
      <c r="IG86" s="74"/>
      <c r="IH86" s="73">
        <f t="shared" ca="1" si="754"/>
        <v>0</v>
      </c>
      <c r="II86" s="64"/>
      <c r="IJ86" s="74"/>
      <c r="IK86" s="73">
        <f t="shared" ca="1" si="754"/>
        <v>0</v>
      </c>
      <c r="IL86" s="64"/>
      <c r="IM86" s="74"/>
      <c r="IN86" s="73">
        <f t="shared" ca="1" si="754"/>
        <v>0</v>
      </c>
      <c r="IO86" s="64"/>
      <c r="IP86" s="74"/>
      <c r="IQ86" s="73">
        <f t="shared" ca="1" si="754"/>
        <v>0</v>
      </c>
      <c r="IR86" s="64"/>
      <c r="IS86" s="74"/>
      <c r="IT86" s="73">
        <f t="shared" ca="1" si="754"/>
        <v>0</v>
      </c>
      <c r="IU86" s="64"/>
      <c r="IV86" s="74"/>
      <c r="IW86" s="73">
        <f t="shared" ca="1" si="754"/>
        <v>0</v>
      </c>
      <c r="IX86" s="64"/>
      <c r="IY86" s="74"/>
      <c r="IZ86" s="73">
        <f t="shared" ca="1" si="754"/>
        <v>0</v>
      </c>
      <c r="JA86" s="64"/>
      <c r="JB86" s="74"/>
      <c r="JC86" s="73">
        <f t="shared" ca="1" si="754"/>
        <v>0</v>
      </c>
      <c r="JD86" s="64"/>
      <c r="JE86" s="74"/>
      <c r="JF86" s="73">
        <f t="shared" ca="1" si="754"/>
        <v>0</v>
      </c>
      <c r="JG86" s="64"/>
      <c r="JH86" s="74"/>
      <c r="JI86" s="73">
        <f t="shared" ca="1" si="754"/>
        <v>0</v>
      </c>
      <c r="JJ86" s="64"/>
      <c r="JK86" s="74"/>
      <c r="JL86" s="73">
        <f t="shared" ca="1" si="754"/>
        <v>0</v>
      </c>
      <c r="JM86" s="64"/>
      <c r="JN86" s="74"/>
      <c r="JO86" s="73">
        <f t="shared" ca="1" si="754"/>
        <v>0</v>
      </c>
      <c r="JP86" s="64"/>
      <c r="JQ86" s="74"/>
      <c r="JR86" s="73">
        <f t="shared" ca="1" si="754"/>
        <v>0</v>
      </c>
      <c r="JS86" s="64"/>
      <c r="JT86" s="74"/>
      <c r="JU86" s="73">
        <f t="shared" ca="1" si="754"/>
        <v>0</v>
      </c>
      <c r="JV86" s="64"/>
      <c r="JW86" s="74"/>
      <c r="JX86" s="73">
        <f t="shared" ca="1" si="754"/>
        <v>0</v>
      </c>
      <c r="JY86" s="64"/>
      <c r="JZ86" s="74"/>
      <c r="KA86" s="73">
        <f t="shared" ref="KA86:LE86" ca="1" si="755">($M86=JZ86)*$D$13</f>
        <v>0</v>
      </c>
      <c r="KB86" s="64"/>
      <c r="KC86" s="74"/>
      <c r="KD86" s="73">
        <f t="shared" ca="1" si="755"/>
        <v>0</v>
      </c>
      <c r="KE86" s="64"/>
      <c r="KF86" s="74"/>
      <c r="KG86" s="73">
        <f t="shared" ca="1" si="755"/>
        <v>0</v>
      </c>
      <c r="KH86" s="64"/>
      <c r="KI86" s="74"/>
      <c r="KJ86" s="73">
        <f t="shared" ca="1" si="755"/>
        <v>0</v>
      </c>
      <c r="KK86" s="64"/>
      <c r="KL86" s="74"/>
      <c r="KM86" s="73">
        <f t="shared" ca="1" si="755"/>
        <v>0</v>
      </c>
      <c r="KN86" s="64"/>
      <c r="KO86" s="74"/>
      <c r="KP86" s="73">
        <f t="shared" ca="1" si="755"/>
        <v>0</v>
      </c>
      <c r="KQ86" s="64"/>
      <c r="KR86" s="74"/>
      <c r="KS86" s="73">
        <f t="shared" ca="1" si="755"/>
        <v>0</v>
      </c>
      <c r="KT86" s="64"/>
      <c r="KU86" s="74"/>
      <c r="KV86" s="73">
        <f t="shared" ca="1" si="755"/>
        <v>0</v>
      </c>
      <c r="KW86" s="64"/>
      <c r="KX86" s="74"/>
      <c r="KY86" s="73">
        <f t="shared" ca="1" si="755"/>
        <v>0</v>
      </c>
      <c r="KZ86" s="64"/>
      <c r="LA86" s="74"/>
      <c r="LB86" s="73">
        <f t="shared" ca="1" si="755"/>
        <v>0</v>
      </c>
      <c r="LC86" s="64"/>
      <c r="LD86" s="74"/>
      <c r="LE86" s="73">
        <f t="shared" ca="1" si="755"/>
        <v>0</v>
      </c>
      <c r="LF86" s="64"/>
      <c r="LG86" s="64"/>
    </row>
    <row r="87" spans="1:319">
      <c r="A87" s="49"/>
      <c r="B87" s="49"/>
      <c r="C87" s="49"/>
      <c r="D87" s="49"/>
      <c r="E87" s="111"/>
      <c r="F87" s="127">
        <f t="shared" ref="F87" si="756">$D$14</f>
        <v>3</v>
      </c>
      <c r="G87" s="445">
        <f ca="1">VLOOKUP(H87,Equipos!$Q$1:$R$25,2,0)</f>
        <v>14</v>
      </c>
      <c r="H87" s="446">
        <f ca="1">$H$56</f>
        <v>46197</v>
      </c>
      <c r="I87" s="50"/>
      <c r="J87" s="847"/>
      <c r="K87" s="56" t="str">
        <f>Idiomas!D157</f>
        <v>4th GROUP B</v>
      </c>
      <c r="L87" s="53"/>
      <c r="M87" s="55" t="str">
        <f ca="1">IF(OR(SUM(WORLDCUP!$AN$14:$AN$17)=12,WORLDCUP!$AJ$99=144),WORLDCUP!AL17,LEFT(K87,1)&amp;RIGHT(K87,1))</f>
        <v>Qatar</v>
      </c>
      <c r="N87" s="25"/>
      <c r="O87" s="25"/>
      <c r="P87" s="25"/>
      <c r="Q87" s="25"/>
      <c r="R87" s="110"/>
      <c r="S87" s="74" t="s">
        <v>1842</v>
      </c>
      <c r="T87" s="73">
        <f t="shared" ref="T87" ca="1" si="757">($M87=S87)*$D$14</f>
        <v>0</v>
      </c>
      <c r="U87" s="64"/>
      <c r="V87" s="74" t="s">
        <v>1637</v>
      </c>
      <c r="W87" s="73">
        <f t="shared" ref="W87:CH87" ca="1" si="758">($M87=V87)*$D$14</f>
        <v>3</v>
      </c>
      <c r="X87" s="64"/>
      <c r="Y87" s="74" t="s">
        <v>1637</v>
      </c>
      <c r="Z87" s="73">
        <f t="shared" ca="1" si="758"/>
        <v>3</v>
      </c>
      <c r="AA87" s="64"/>
      <c r="AB87" s="74" t="s">
        <v>1637</v>
      </c>
      <c r="AC87" s="73">
        <f t="shared" ca="1" si="758"/>
        <v>3</v>
      </c>
      <c r="AD87" s="64"/>
      <c r="AE87" s="74" t="s">
        <v>1637</v>
      </c>
      <c r="AF87" s="73">
        <f t="shared" ca="1" si="758"/>
        <v>3</v>
      </c>
      <c r="AG87" s="64"/>
      <c r="AH87" s="74" t="s">
        <v>1637</v>
      </c>
      <c r="AI87" s="73">
        <f t="shared" ca="1" si="758"/>
        <v>3</v>
      </c>
      <c r="AJ87" s="64"/>
      <c r="AK87" s="74" t="s">
        <v>1842</v>
      </c>
      <c r="AL87" s="73">
        <f t="shared" ca="1" si="758"/>
        <v>0</v>
      </c>
      <c r="AM87" s="64"/>
      <c r="AN87" s="74" t="s">
        <v>1637</v>
      </c>
      <c r="AO87" s="73">
        <f t="shared" ca="1" si="758"/>
        <v>3</v>
      </c>
      <c r="AP87" s="64"/>
      <c r="AQ87" s="74" t="s">
        <v>1637</v>
      </c>
      <c r="AR87" s="73">
        <f t="shared" ca="1" si="758"/>
        <v>3</v>
      </c>
      <c r="AS87" s="64"/>
      <c r="AT87" s="74" t="s">
        <v>1637</v>
      </c>
      <c r="AU87" s="73">
        <f t="shared" ca="1" si="758"/>
        <v>3</v>
      </c>
      <c r="AV87" s="64"/>
      <c r="AW87" s="74" t="s">
        <v>1637</v>
      </c>
      <c r="AX87" s="73">
        <f t="shared" ca="1" si="758"/>
        <v>3</v>
      </c>
      <c r="AY87" s="64"/>
      <c r="AZ87" s="74" t="s">
        <v>1637</v>
      </c>
      <c r="BA87" s="73">
        <f t="shared" ca="1" si="758"/>
        <v>3</v>
      </c>
      <c r="BB87" s="64"/>
      <c r="BC87" s="74" t="s">
        <v>1637</v>
      </c>
      <c r="BD87" s="73">
        <f t="shared" ca="1" si="758"/>
        <v>3</v>
      </c>
      <c r="BE87" s="64"/>
      <c r="BF87" s="74" t="s">
        <v>1637</v>
      </c>
      <c r="BG87" s="73">
        <f t="shared" ca="1" si="758"/>
        <v>3</v>
      </c>
      <c r="BH87" s="64"/>
      <c r="BI87" s="74" t="s">
        <v>1637</v>
      </c>
      <c r="BJ87" s="73">
        <f t="shared" ca="1" si="758"/>
        <v>3</v>
      </c>
      <c r="BK87" s="64"/>
      <c r="BL87" s="74" t="s">
        <v>1637</v>
      </c>
      <c r="BM87" s="73">
        <f t="shared" ca="1" si="758"/>
        <v>3</v>
      </c>
      <c r="BN87" s="64"/>
      <c r="BO87" s="74" t="s">
        <v>1637</v>
      </c>
      <c r="BP87" s="73">
        <f t="shared" ca="1" si="758"/>
        <v>3</v>
      </c>
      <c r="BQ87" s="64"/>
      <c r="BR87" s="74" t="s">
        <v>1637</v>
      </c>
      <c r="BS87" s="73">
        <f t="shared" ca="1" si="758"/>
        <v>3</v>
      </c>
      <c r="BT87" s="64"/>
      <c r="BU87" s="74" t="s">
        <v>1637</v>
      </c>
      <c r="BV87" s="73">
        <f t="shared" ca="1" si="758"/>
        <v>3</v>
      </c>
      <c r="BW87" s="64"/>
      <c r="BX87" s="74" t="s">
        <v>1842</v>
      </c>
      <c r="BY87" s="73">
        <f t="shared" ca="1" si="758"/>
        <v>0</v>
      </c>
      <c r="BZ87" s="64"/>
      <c r="CA87" s="74" t="s">
        <v>1637</v>
      </c>
      <c r="CB87" s="73">
        <f t="shared" ca="1" si="758"/>
        <v>3</v>
      </c>
      <c r="CC87" s="64"/>
      <c r="CD87" s="74" t="s">
        <v>1842</v>
      </c>
      <c r="CE87" s="73">
        <f t="shared" ca="1" si="758"/>
        <v>0</v>
      </c>
      <c r="CF87" s="64"/>
      <c r="CG87" s="74" t="s">
        <v>1637</v>
      </c>
      <c r="CH87" s="73">
        <f t="shared" ca="1" si="758"/>
        <v>3</v>
      </c>
      <c r="CI87" s="64"/>
      <c r="CJ87" s="74" t="s">
        <v>1637</v>
      </c>
      <c r="CK87" s="73">
        <f t="shared" ref="CK87:EV87" ca="1" si="759">($M87=CJ87)*$D$14</f>
        <v>3</v>
      </c>
      <c r="CL87" s="64"/>
      <c r="CM87" s="74" t="s">
        <v>1637</v>
      </c>
      <c r="CN87" s="73">
        <f t="shared" ca="1" si="759"/>
        <v>3</v>
      </c>
      <c r="CO87" s="64"/>
      <c r="CP87" s="74" t="s">
        <v>1637</v>
      </c>
      <c r="CQ87" s="73">
        <f t="shared" ca="1" si="759"/>
        <v>3</v>
      </c>
      <c r="CR87" s="64"/>
      <c r="CS87" s="74" t="s">
        <v>1276</v>
      </c>
      <c r="CT87" s="73">
        <f t="shared" ca="1" si="759"/>
        <v>0</v>
      </c>
      <c r="CU87" s="64"/>
      <c r="CV87" s="74" t="s">
        <v>1842</v>
      </c>
      <c r="CW87" s="73">
        <f t="shared" ca="1" si="759"/>
        <v>0</v>
      </c>
      <c r="CX87" s="64"/>
      <c r="CY87" s="74" t="s">
        <v>1276</v>
      </c>
      <c r="CZ87" s="73">
        <f t="shared" ca="1" si="759"/>
        <v>0</v>
      </c>
      <c r="DA87" s="64"/>
      <c r="DB87" s="74" t="s">
        <v>1276</v>
      </c>
      <c r="DC87" s="73">
        <f t="shared" ca="1" si="759"/>
        <v>0</v>
      </c>
      <c r="DD87" s="64"/>
      <c r="DE87" s="74" t="s">
        <v>1637</v>
      </c>
      <c r="DF87" s="73">
        <f t="shared" ca="1" si="759"/>
        <v>3</v>
      </c>
      <c r="DG87" s="64"/>
      <c r="DH87" s="74" t="s">
        <v>1637</v>
      </c>
      <c r="DI87" s="73">
        <f t="shared" ca="1" si="759"/>
        <v>3</v>
      </c>
      <c r="DJ87" s="64"/>
      <c r="DK87" s="74" t="s">
        <v>1637</v>
      </c>
      <c r="DL87" s="73">
        <f t="shared" ca="1" si="759"/>
        <v>3</v>
      </c>
      <c r="DM87" s="64"/>
      <c r="DN87" s="74" t="s">
        <v>1637</v>
      </c>
      <c r="DO87" s="73">
        <f t="shared" ca="1" si="759"/>
        <v>3</v>
      </c>
      <c r="DP87" s="64"/>
      <c r="DQ87" s="74" t="s">
        <v>1637</v>
      </c>
      <c r="DR87" s="73">
        <f t="shared" ca="1" si="759"/>
        <v>3</v>
      </c>
      <c r="DS87" s="64"/>
      <c r="DT87" s="74" t="s">
        <v>1637</v>
      </c>
      <c r="DU87" s="73">
        <f t="shared" ca="1" si="759"/>
        <v>3</v>
      </c>
      <c r="DV87" s="64"/>
      <c r="DW87" s="74" t="s">
        <v>1637</v>
      </c>
      <c r="DX87" s="73">
        <f t="shared" ca="1" si="759"/>
        <v>3</v>
      </c>
      <c r="DY87" s="64"/>
      <c r="DZ87" s="74" t="s">
        <v>1637</v>
      </c>
      <c r="EA87" s="73">
        <f t="shared" ca="1" si="759"/>
        <v>3</v>
      </c>
      <c r="EB87" s="64"/>
      <c r="EC87" s="74" t="s">
        <v>1637</v>
      </c>
      <c r="ED87" s="73">
        <f t="shared" ca="1" si="759"/>
        <v>3</v>
      </c>
      <c r="EE87" s="64"/>
      <c r="EF87" s="74" t="s">
        <v>1276</v>
      </c>
      <c r="EG87" s="73">
        <f t="shared" ca="1" si="759"/>
        <v>0</v>
      </c>
      <c r="EH87" s="64"/>
      <c r="EI87" s="74" t="s">
        <v>1637</v>
      </c>
      <c r="EJ87" s="73">
        <f t="shared" ca="1" si="759"/>
        <v>3</v>
      </c>
      <c r="EK87" s="64"/>
      <c r="EL87" s="74" t="s">
        <v>1637</v>
      </c>
      <c r="EM87" s="73">
        <f t="shared" ca="1" si="759"/>
        <v>3</v>
      </c>
      <c r="EN87" s="64"/>
      <c r="EO87" s="74" t="s">
        <v>1637</v>
      </c>
      <c r="EP87" s="73">
        <f t="shared" ca="1" si="759"/>
        <v>3</v>
      </c>
      <c r="EQ87" s="64"/>
      <c r="ER87" s="74" t="s">
        <v>1637</v>
      </c>
      <c r="ES87" s="73">
        <f t="shared" ca="1" si="759"/>
        <v>3</v>
      </c>
      <c r="ET87" s="64"/>
      <c r="EU87" s="74" t="s">
        <v>1637</v>
      </c>
      <c r="EV87" s="73">
        <f t="shared" ca="1" si="759"/>
        <v>3</v>
      </c>
      <c r="EW87" s="64"/>
      <c r="EX87" s="74" t="s">
        <v>1637</v>
      </c>
      <c r="EY87" s="73">
        <f t="shared" ref="EY87:HJ87" ca="1" si="760">($M87=EX87)*$D$14</f>
        <v>3</v>
      </c>
      <c r="EZ87" s="64"/>
      <c r="FA87" s="74" t="s">
        <v>1637</v>
      </c>
      <c r="FB87" s="73">
        <f t="shared" ca="1" si="760"/>
        <v>3</v>
      </c>
      <c r="FC87" s="64"/>
      <c r="FD87" s="74" t="s">
        <v>1842</v>
      </c>
      <c r="FE87" s="73">
        <f t="shared" ca="1" si="760"/>
        <v>0</v>
      </c>
      <c r="FF87" s="64"/>
      <c r="FG87" s="74" t="s">
        <v>1637</v>
      </c>
      <c r="FH87" s="73">
        <f t="shared" ca="1" si="760"/>
        <v>3</v>
      </c>
      <c r="FI87" s="64"/>
      <c r="FJ87" s="74" t="s">
        <v>1637</v>
      </c>
      <c r="FK87" s="73">
        <f t="shared" ca="1" si="760"/>
        <v>3</v>
      </c>
      <c r="FL87" s="64"/>
      <c r="FM87" s="74" t="s">
        <v>1637</v>
      </c>
      <c r="FN87" s="73">
        <f t="shared" ca="1" si="760"/>
        <v>3</v>
      </c>
      <c r="FO87" s="64"/>
      <c r="FP87" s="74" t="s">
        <v>1637</v>
      </c>
      <c r="FQ87" s="73">
        <f t="shared" ca="1" si="760"/>
        <v>3</v>
      </c>
      <c r="FR87" s="64"/>
      <c r="FS87" s="74" t="s">
        <v>1637</v>
      </c>
      <c r="FT87" s="73">
        <f t="shared" ca="1" si="760"/>
        <v>3</v>
      </c>
      <c r="FU87" s="64"/>
      <c r="FV87" s="74" t="s">
        <v>1637</v>
      </c>
      <c r="FW87" s="73">
        <f t="shared" ca="1" si="760"/>
        <v>3</v>
      </c>
      <c r="FX87" s="64"/>
      <c r="FY87" s="74" t="s">
        <v>1637</v>
      </c>
      <c r="FZ87" s="73">
        <f t="shared" ca="1" si="760"/>
        <v>3</v>
      </c>
      <c r="GA87" s="64"/>
      <c r="GB87" s="74" t="s">
        <v>1637</v>
      </c>
      <c r="GC87" s="73">
        <f t="shared" ca="1" si="760"/>
        <v>3</v>
      </c>
      <c r="GD87" s="64"/>
      <c r="GE87" s="74" t="s">
        <v>1637</v>
      </c>
      <c r="GF87" s="73">
        <f t="shared" ca="1" si="760"/>
        <v>3</v>
      </c>
      <c r="GG87" s="64"/>
      <c r="GH87" s="74" t="s">
        <v>1637</v>
      </c>
      <c r="GI87" s="73">
        <f t="shared" ca="1" si="760"/>
        <v>3</v>
      </c>
      <c r="GJ87" s="64"/>
      <c r="GK87" s="74" t="s">
        <v>1637</v>
      </c>
      <c r="GL87" s="73">
        <f t="shared" ca="1" si="760"/>
        <v>3</v>
      </c>
      <c r="GM87" s="64"/>
      <c r="GN87" s="74"/>
      <c r="GO87" s="73">
        <f t="shared" ca="1" si="760"/>
        <v>0</v>
      </c>
      <c r="GP87" s="64"/>
      <c r="GQ87" s="74"/>
      <c r="GR87" s="73">
        <f t="shared" ca="1" si="760"/>
        <v>0</v>
      </c>
      <c r="GS87" s="64"/>
      <c r="GT87" s="74"/>
      <c r="GU87" s="73">
        <f t="shared" ca="1" si="760"/>
        <v>0</v>
      </c>
      <c r="GV87" s="64"/>
      <c r="GW87" s="74"/>
      <c r="GX87" s="73">
        <f t="shared" ca="1" si="760"/>
        <v>0</v>
      </c>
      <c r="GY87" s="64"/>
      <c r="GZ87" s="74"/>
      <c r="HA87" s="73">
        <f t="shared" ca="1" si="760"/>
        <v>0</v>
      </c>
      <c r="HB87" s="64"/>
      <c r="HC87" s="74"/>
      <c r="HD87" s="73">
        <f t="shared" ca="1" si="760"/>
        <v>0</v>
      </c>
      <c r="HE87" s="64"/>
      <c r="HF87" s="74"/>
      <c r="HG87" s="73">
        <f t="shared" ca="1" si="760"/>
        <v>0</v>
      </c>
      <c r="HH87" s="64"/>
      <c r="HI87" s="74"/>
      <c r="HJ87" s="73">
        <f t="shared" ca="1" si="760"/>
        <v>0</v>
      </c>
      <c r="HK87" s="64"/>
      <c r="HL87" s="74"/>
      <c r="HM87" s="73">
        <f t="shared" ref="HM87:JX87" ca="1" si="761">($M87=HL87)*$D$14</f>
        <v>0</v>
      </c>
      <c r="HN87" s="64"/>
      <c r="HO87" s="74"/>
      <c r="HP87" s="73">
        <f t="shared" ca="1" si="761"/>
        <v>0</v>
      </c>
      <c r="HQ87" s="64"/>
      <c r="HR87" s="74"/>
      <c r="HS87" s="73">
        <f t="shared" ca="1" si="761"/>
        <v>0</v>
      </c>
      <c r="HT87" s="64"/>
      <c r="HU87" s="74"/>
      <c r="HV87" s="73">
        <f t="shared" ca="1" si="761"/>
        <v>0</v>
      </c>
      <c r="HW87" s="64"/>
      <c r="HX87" s="74"/>
      <c r="HY87" s="73">
        <f t="shared" ca="1" si="761"/>
        <v>0</v>
      </c>
      <c r="HZ87" s="64"/>
      <c r="IA87" s="74"/>
      <c r="IB87" s="73">
        <f t="shared" ca="1" si="761"/>
        <v>0</v>
      </c>
      <c r="IC87" s="64"/>
      <c r="ID87" s="74"/>
      <c r="IE87" s="73">
        <f t="shared" ca="1" si="761"/>
        <v>0</v>
      </c>
      <c r="IF87" s="64"/>
      <c r="IG87" s="74"/>
      <c r="IH87" s="73">
        <f t="shared" ca="1" si="761"/>
        <v>0</v>
      </c>
      <c r="II87" s="64"/>
      <c r="IJ87" s="74"/>
      <c r="IK87" s="73">
        <f t="shared" ca="1" si="761"/>
        <v>0</v>
      </c>
      <c r="IL87" s="64"/>
      <c r="IM87" s="74"/>
      <c r="IN87" s="73">
        <f t="shared" ca="1" si="761"/>
        <v>0</v>
      </c>
      <c r="IO87" s="64"/>
      <c r="IP87" s="74"/>
      <c r="IQ87" s="73">
        <f t="shared" ca="1" si="761"/>
        <v>0</v>
      </c>
      <c r="IR87" s="64"/>
      <c r="IS87" s="74"/>
      <c r="IT87" s="73">
        <f t="shared" ca="1" si="761"/>
        <v>0</v>
      </c>
      <c r="IU87" s="64"/>
      <c r="IV87" s="74"/>
      <c r="IW87" s="73">
        <f t="shared" ca="1" si="761"/>
        <v>0</v>
      </c>
      <c r="IX87" s="64"/>
      <c r="IY87" s="74"/>
      <c r="IZ87" s="73">
        <f t="shared" ca="1" si="761"/>
        <v>0</v>
      </c>
      <c r="JA87" s="64"/>
      <c r="JB87" s="74"/>
      <c r="JC87" s="73">
        <f t="shared" ca="1" si="761"/>
        <v>0</v>
      </c>
      <c r="JD87" s="64"/>
      <c r="JE87" s="74"/>
      <c r="JF87" s="73">
        <f t="shared" ca="1" si="761"/>
        <v>0</v>
      </c>
      <c r="JG87" s="64"/>
      <c r="JH87" s="74"/>
      <c r="JI87" s="73">
        <f t="shared" ca="1" si="761"/>
        <v>0</v>
      </c>
      <c r="JJ87" s="64"/>
      <c r="JK87" s="74"/>
      <c r="JL87" s="73">
        <f t="shared" ca="1" si="761"/>
        <v>0</v>
      </c>
      <c r="JM87" s="64"/>
      <c r="JN87" s="74"/>
      <c r="JO87" s="73">
        <f t="shared" ca="1" si="761"/>
        <v>0</v>
      </c>
      <c r="JP87" s="64"/>
      <c r="JQ87" s="74"/>
      <c r="JR87" s="73">
        <f t="shared" ca="1" si="761"/>
        <v>0</v>
      </c>
      <c r="JS87" s="64"/>
      <c r="JT87" s="74"/>
      <c r="JU87" s="73">
        <f t="shared" ca="1" si="761"/>
        <v>0</v>
      </c>
      <c r="JV87" s="64"/>
      <c r="JW87" s="74"/>
      <c r="JX87" s="73">
        <f t="shared" ca="1" si="761"/>
        <v>0</v>
      </c>
      <c r="JY87" s="64"/>
      <c r="JZ87" s="74"/>
      <c r="KA87" s="73">
        <f t="shared" ref="KA87:LE87" ca="1" si="762">($M87=JZ87)*$D$14</f>
        <v>0</v>
      </c>
      <c r="KB87" s="64"/>
      <c r="KC87" s="74"/>
      <c r="KD87" s="73">
        <f t="shared" ca="1" si="762"/>
        <v>0</v>
      </c>
      <c r="KE87" s="64"/>
      <c r="KF87" s="74"/>
      <c r="KG87" s="73">
        <f t="shared" ca="1" si="762"/>
        <v>0</v>
      </c>
      <c r="KH87" s="64"/>
      <c r="KI87" s="74"/>
      <c r="KJ87" s="73">
        <f t="shared" ca="1" si="762"/>
        <v>0</v>
      </c>
      <c r="KK87" s="64"/>
      <c r="KL87" s="74"/>
      <c r="KM87" s="73">
        <f t="shared" ca="1" si="762"/>
        <v>0</v>
      </c>
      <c r="KN87" s="64"/>
      <c r="KO87" s="74"/>
      <c r="KP87" s="73">
        <f t="shared" ca="1" si="762"/>
        <v>0</v>
      </c>
      <c r="KQ87" s="64"/>
      <c r="KR87" s="74"/>
      <c r="KS87" s="73">
        <f t="shared" ca="1" si="762"/>
        <v>0</v>
      </c>
      <c r="KT87" s="64"/>
      <c r="KU87" s="74"/>
      <c r="KV87" s="73">
        <f t="shared" ca="1" si="762"/>
        <v>0</v>
      </c>
      <c r="KW87" s="64"/>
      <c r="KX87" s="74"/>
      <c r="KY87" s="73">
        <f t="shared" ca="1" si="762"/>
        <v>0</v>
      </c>
      <c r="KZ87" s="64"/>
      <c r="LA87" s="74"/>
      <c r="LB87" s="73">
        <f t="shared" ca="1" si="762"/>
        <v>0</v>
      </c>
      <c r="LC87" s="64"/>
      <c r="LD87" s="74"/>
      <c r="LE87" s="73">
        <f t="shared" ca="1" si="762"/>
        <v>0</v>
      </c>
      <c r="LF87" s="64"/>
      <c r="LG87" s="64"/>
    </row>
    <row r="88" spans="1:319">
      <c r="A88" s="49"/>
      <c r="B88" s="49"/>
      <c r="C88" s="49"/>
      <c r="D88" s="49"/>
      <c r="E88" s="111"/>
      <c r="F88" s="127">
        <f t="shared" ref="F88" si="763">$D$11</f>
        <v>20</v>
      </c>
      <c r="G88" s="445">
        <f ca="1">VLOOKUP(H88,Equipos!$Q$1:$R$25,2,0)</f>
        <v>15</v>
      </c>
      <c r="H88" s="446">
        <f ca="1">$H$58</f>
        <v>46198</v>
      </c>
      <c r="I88" s="50"/>
      <c r="J88" s="848" t="s">
        <v>2</v>
      </c>
      <c r="K88" s="56" t="str">
        <f>Idiomas!D158</f>
        <v>1st GROUP C</v>
      </c>
      <c r="L88" s="53"/>
      <c r="M88" s="55" t="str">
        <f ca="1">IF(OR(SUM(WORLDCUP!$AN$22:$AN$25)=12,WORLDCUP!$AJ$99=144),WORLDCUP!AL22,LEFT(K88,1)&amp;RIGHT(K88,1))</f>
        <v>Brazil</v>
      </c>
      <c r="N88" s="25"/>
      <c r="O88" s="25"/>
      <c r="P88" s="25"/>
      <c r="Q88" s="25"/>
      <c r="R88" s="110"/>
      <c r="S88" s="74" t="s">
        <v>1274</v>
      </c>
      <c r="T88" s="73">
        <f t="shared" ref="T88" ca="1" si="764">($M88=S88)*$D$11</f>
        <v>20</v>
      </c>
      <c r="U88" s="64"/>
      <c r="V88" s="74" t="s">
        <v>1274</v>
      </c>
      <c r="W88" s="73">
        <f t="shared" ref="W88:CH88" ca="1" si="765">($M88=V88)*$D$11</f>
        <v>20</v>
      </c>
      <c r="X88" s="64"/>
      <c r="Y88" s="74" t="s">
        <v>1274</v>
      </c>
      <c r="Z88" s="73">
        <f t="shared" ca="1" si="765"/>
        <v>20</v>
      </c>
      <c r="AA88" s="64"/>
      <c r="AB88" s="74" t="s">
        <v>1274</v>
      </c>
      <c r="AC88" s="73">
        <f t="shared" ca="1" si="765"/>
        <v>20</v>
      </c>
      <c r="AD88" s="64"/>
      <c r="AE88" s="74" t="s">
        <v>1274</v>
      </c>
      <c r="AF88" s="73">
        <f t="shared" ca="1" si="765"/>
        <v>20</v>
      </c>
      <c r="AG88" s="64"/>
      <c r="AH88" s="74" t="s">
        <v>1274</v>
      </c>
      <c r="AI88" s="73">
        <f t="shared" ca="1" si="765"/>
        <v>20</v>
      </c>
      <c r="AJ88" s="64"/>
      <c r="AK88" s="74" t="s">
        <v>1274</v>
      </c>
      <c r="AL88" s="73">
        <f t="shared" ca="1" si="765"/>
        <v>20</v>
      </c>
      <c r="AM88" s="64"/>
      <c r="AN88" s="74" t="s">
        <v>1274</v>
      </c>
      <c r="AO88" s="73">
        <f t="shared" ca="1" si="765"/>
        <v>20</v>
      </c>
      <c r="AP88" s="64"/>
      <c r="AQ88" s="74" t="s">
        <v>1274</v>
      </c>
      <c r="AR88" s="73">
        <f t="shared" ca="1" si="765"/>
        <v>20</v>
      </c>
      <c r="AS88" s="64"/>
      <c r="AT88" s="74" t="s">
        <v>1274</v>
      </c>
      <c r="AU88" s="73">
        <f t="shared" ca="1" si="765"/>
        <v>20</v>
      </c>
      <c r="AV88" s="64"/>
      <c r="AW88" s="74" t="s">
        <v>1274</v>
      </c>
      <c r="AX88" s="73">
        <f t="shared" ca="1" si="765"/>
        <v>20</v>
      </c>
      <c r="AY88" s="64"/>
      <c r="AZ88" s="74" t="s">
        <v>1274</v>
      </c>
      <c r="BA88" s="73">
        <f t="shared" ca="1" si="765"/>
        <v>20</v>
      </c>
      <c r="BB88" s="64"/>
      <c r="BC88" s="74" t="s">
        <v>1326</v>
      </c>
      <c r="BD88" s="73">
        <f t="shared" ca="1" si="765"/>
        <v>0</v>
      </c>
      <c r="BE88" s="64"/>
      <c r="BF88" s="74" t="s">
        <v>1274</v>
      </c>
      <c r="BG88" s="73">
        <f t="shared" ca="1" si="765"/>
        <v>20</v>
      </c>
      <c r="BH88" s="64"/>
      <c r="BI88" s="74" t="s">
        <v>1274</v>
      </c>
      <c r="BJ88" s="73">
        <f t="shared" ca="1" si="765"/>
        <v>20</v>
      </c>
      <c r="BK88" s="64"/>
      <c r="BL88" s="74" t="s">
        <v>1274</v>
      </c>
      <c r="BM88" s="73">
        <f t="shared" ca="1" si="765"/>
        <v>20</v>
      </c>
      <c r="BN88" s="64"/>
      <c r="BO88" s="74" t="s">
        <v>1274</v>
      </c>
      <c r="BP88" s="73">
        <f t="shared" ca="1" si="765"/>
        <v>20</v>
      </c>
      <c r="BQ88" s="64"/>
      <c r="BR88" s="74" t="s">
        <v>1274</v>
      </c>
      <c r="BS88" s="73">
        <f t="shared" ca="1" si="765"/>
        <v>20</v>
      </c>
      <c r="BT88" s="64"/>
      <c r="BU88" s="74" t="s">
        <v>1274</v>
      </c>
      <c r="BV88" s="73">
        <f t="shared" ca="1" si="765"/>
        <v>20</v>
      </c>
      <c r="BW88" s="64"/>
      <c r="BX88" s="74" t="s">
        <v>1274</v>
      </c>
      <c r="BY88" s="73">
        <f t="shared" ca="1" si="765"/>
        <v>20</v>
      </c>
      <c r="BZ88" s="64"/>
      <c r="CA88" s="74" t="s">
        <v>1274</v>
      </c>
      <c r="CB88" s="73">
        <f t="shared" ca="1" si="765"/>
        <v>20</v>
      </c>
      <c r="CC88" s="64"/>
      <c r="CD88" s="74" t="s">
        <v>1274</v>
      </c>
      <c r="CE88" s="73">
        <f t="shared" ca="1" si="765"/>
        <v>20</v>
      </c>
      <c r="CF88" s="64"/>
      <c r="CG88" s="74" t="s">
        <v>1274</v>
      </c>
      <c r="CH88" s="73">
        <f t="shared" ca="1" si="765"/>
        <v>20</v>
      </c>
      <c r="CI88" s="64"/>
      <c r="CJ88" s="74" t="s">
        <v>1274</v>
      </c>
      <c r="CK88" s="73">
        <f t="shared" ref="CK88:EV88" ca="1" si="766">($M88=CJ88)*$D$11</f>
        <v>20</v>
      </c>
      <c r="CL88" s="64"/>
      <c r="CM88" s="74" t="s">
        <v>1274</v>
      </c>
      <c r="CN88" s="73">
        <f t="shared" ca="1" si="766"/>
        <v>20</v>
      </c>
      <c r="CO88" s="64"/>
      <c r="CP88" s="74" t="s">
        <v>1274</v>
      </c>
      <c r="CQ88" s="73">
        <f t="shared" ca="1" si="766"/>
        <v>20</v>
      </c>
      <c r="CR88" s="64"/>
      <c r="CS88" s="74" t="s">
        <v>1274</v>
      </c>
      <c r="CT88" s="73">
        <f t="shared" ca="1" si="766"/>
        <v>20</v>
      </c>
      <c r="CU88" s="64"/>
      <c r="CV88" s="74" t="s">
        <v>1274</v>
      </c>
      <c r="CW88" s="73">
        <f t="shared" ca="1" si="766"/>
        <v>20</v>
      </c>
      <c r="CX88" s="64"/>
      <c r="CY88" s="74" t="s">
        <v>1326</v>
      </c>
      <c r="CZ88" s="73">
        <f t="shared" ca="1" si="766"/>
        <v>0</v>
      </c>
      <c r="DA88" s="64"/>
      <c r="DB88" s="74" t="s">
        <v>1274</v>
      </c>
      <c r="DC88" s="73">
        <f t="shared" ca="1" si="766"/>
        <v>20</v>
      </c>
      <c r="DD88" s="64"/>
      <c r="DE88" s="74" t="s">
        <v>1274</v>
      </c>
      <c r="DF88" s="73">
        <f t="shared" ca="1" si="766"/>
        <v>20</v>
      </c>
      <c r="DG88" s="64"/>
      <c r="DH88" s="74" t="s">
        <v>1274</v>
      </c>
      <c r="DI88" s="73">
        <f t="shared" ca="1" si="766"/>
        <v>20</v>
      </c>
      <c r="DJ88" s="64"/>
      <c r="DK88" s="74" t="s">
        <v>1274</v>
      </c>
      <c r="DL88" s="73">
        <f t="shared" ca="1" si="766"/>
        <v>20</v>
      </c>
      <c r="DM88" s="64"/>
      <c r="DN88" s="74" t="s">
        <v>1274</v>
      </c>
      <c r="DO88" s="73">
        <f t="shared" ca="1" si="766"/>
        <v>20</v>
      </c>
      <c r="DP88" s="64"/>
      <c r="DQ88" s="74" t="s">
        <v>1326</v>
      </c>
      <c r="DR88" s="73">
        <f t="shared" ca="1" si="766"/>
        <v>0</v>
      </c>
      <c r="DS88" s="64"/>
      <c r="DT88" s="74" t="s">
        <v>1274</v>
      </c>
      <c r="DU88" s="73">
        <f t="shared" ca="1" si="766"/>
        <v>20</v>
      </c>
      <c r="DV88" s="64"/>
      <c r="DW88" s="74" t="s">
        <v>1326</v>
      </c>
      <c r="DX88" s="73">
        <f t="shared" ca="1" si="766"/>
        <v>0</v>
      </c>
      <c r="DY88" s="64"/>
      <c r="DZ88" s="74" t="s">
        <v>1274</v>
      </c>
      <c r="EA88" s="73">
        <f t="shared" ca="1" si="766"/>
        <v>20</v>
      </c>
      <c r="EB88" s="64"/>
      <c r="EC88" s="74" t="s">
        <v>1274</v>
      </c>
      <c r="ED88" s="73">
        <f t="shared" ca="1" si="766"/>
        <v>20</v>
      </c>
      <c r="EE88" s="64"/>
      <c r="EF88" s="74" t="s">
        <v>1274</v>
      </c>
      <c r="EG88" s="73">
        <f t="shared" ca="1" si="766"/>
        <v>20</v>
      </c>
      <c r="EH88" s="64"/>
      <c r="EI88" s="74" t="s">
        <v>1274</v>
      </c>
      <c r="EJ88" s="73">
        <f t="shared" ca="1" si="766"/>
        <v>20</v>
      </c>
      <c r="EK88" s="64"/>
      <c r="EL88" s="74" t="s">
        <v>1274</v>
      </c>
      <c r="EM88" s="73">
        <f t="shared" ca="1" si="766"/>
        <v>20</v>
      </c>
      <c r="EN88" s="64"/>
      <c r="EO88" s="74" t="s">
        <v>1274</v>
      </c>
      <c r="EP88" s="73">
        <f t="shared" ca="1" si="766"/>
        <v>20</v>
      </c>
      <c r="EQ88" s="64"/>
      <c r="ER88" s="74" t="s">
        <v>1274</v>
      </c>
      <c r="ES88" s="73">
        <f t="shared" ca="1" si="766"/>
        <v>20</v>
      </c>
      <c r="ET88" s="64"/>
      <c r="EU88" s="74" t="s">
        <v>1274</v>
      </c>
      <c r="EV88" s="73">
        <f t="shared" ca="1" si="766"/>
        <v>20</v>
      </c>
      <c r="EW88" s="64"/>
      <c r="EX88" s="74" t="s">
        <v>1274</v>
      </c>
      <c r="EY88" s="73">
        <f t="shared" ref="EY88:HJ88" ca="1" si="767">($M88=EX88)*$D$11</f>
        <v>20</v>
      </c>
      <c r="EZ88" s="64"/>
      <c r="FA88" s="74" t="s">
        <v>1274</v>
      </c>
      <c r="FB88" s="73">
        <f t="shared" ca="1" si="767"/>
        <v>20</v>
      </c>
      <c r="FC88" s="64"/>
      <c r="FD88" s="74" t="s">
        <v>1274</v>
      </c>
      <c r="FE88" s="73">
        <f t="shared" ca="1" si="767"/>
        <v>20</v>
      </c>
      <c r="FF88" s="64"/>
      <c r="FG88" s="74" t="s">
        <v>1274</v>
      </c>
      <c r="FH88" s="73">
        <f t="shared" ca="1" si="767"/>
        <v>20</v>
      </c>
      <c r="FI88" s="64"/>
      <c r="FJ88" s="74" t="s">
        <v>1274</v>
      </c>
      <c r="FK88" s="73">
        <f t="shared" ca="1" si="767"/>
        <v>20</v>
      </c>
      <c r="FL88" s="64"/>
      <c r="FM88" s="74" t="s">
        <v>1274</v>
      </c>
      <c r="FN88" s="73">
        <f t="shared" ca="1" si="767"/>
        <v>20</v>
      </c>
      <c r="FO88" s="64"/>
      <c r="FP88" s="74" t="s">
        <v>1274</v>
      </c>
      <c r="FQ88" s="73">
        <f t="shared" ca="1" si="767"/>
        <v>20</v>
      </c>
      <c r="FR88" s="64"/>
      <c r="FS88" s="74" t="s">
        <v>1274</v>
      </c>
      <c r="FT88" s="73">
        <f t="shared" ca="1" si="767"/>
        <v>20</v>
      </c>
      <c r="FU88" s="64"/>
      <c r="FV88" s="74" t="s">
        <v>1274</v>
      </c>
      <c r="FW88" s="73">
        <f t="shared" ca="1" si="767"/>
        <v>20</v>
      </c>
      <c r="FX88" s="64"/>
      <c r="FY88" s="74" t="s">
        <v>1274</v>
      </c>
      <c r="FZ88" s="73">
        <f t="shared" ca="1" si="767"/>
        <v>20</v>
      </c>
      <c r="GA88" s="64"/>
      <c r="GB88" s="74" t="s">
        <v>1274</v>
      </c>
      <c r="GC88" s="73">
        <f t="shared" ca="1" si="767"/>
        <v>20</v>
      </c>
      <c r="GD88" s="64"/>
      <c r="GE88" s="74" t="s">
        <v>1274</v>
      </c>
      <c r="GF88" s="73">
        <f t="shared" ca="1" si="767"/>
        <v>20</v>
      </c>
      <c r="GG88" s="64"/>
      <c r="GH88" s="74" t="s">
        <v>1274</v>
      </c>
      <c r="GI88" s="73">
        <f t="shared" ca="1" si="767"/>
        <v>20</v>
      </c>
      <c r="GJ88" s="64"/>
      <c r="GK88" s="74" t="s">
        <v>1274</v>
      </c>
      <c r="GL88" s="73">
        <f t="shared" ca="1" si="767"/>
        <v>20</v>
      </c>
      <c r="GM88" s="64"/>
      <c r="GN88" s="74"/>
      <c r="GO88" s="73">
        <f t="shared" ca="1" si="767"/>
        <v>0</v>
      </c>
      <c r="GP88" s="64"/>
      <c r="GQ88" s="74"/>
      <c r="GR88" s="73">
        <f t="shared" ca="1" si="767"/>
        <v>0</v>
      </c>
      <c r="GS88" s="64"/>
      <c r="GT88" s="74"/>
      <c r="GU88" s="73">
        <f t="shared" ca="1" si="767"/>
        <v>0</v>
      </c>
      <c r="GV88" s="64"/>
      <c r="GW88" s="74"/>
      <c r="GX88" s="73">
        <f t="shared" ca="1" si="767"/>
        <v>0</v>
      </c>
      <c r="GY88" s="64"/>
      <c r="GZ88" s="74"/>
      <c r="HA88" s="73">
        <f t="shared" ca="1" si="767"/>
        <v>0</v>
      </c>
      <c r="HB88" s="64"/>
      <c r="HC88" s="74"/>
      <c r="HD88" s="73">
        <f t="shared" ca="1" si="767"/>
        <v>0</v>
      </c>
      <c r="HE88" s="64"/>
      <c r="HF88" s="74"/>
      <c r="HG88" s="73">
        <f t="shared" ca="1" si="767"/>
        <v>0</v>
      </c>
      <c r="HH88" s="64"/>
      <c r="HI88" s="74"/>
      <c r="HJ88" s="73">
        <f t="shared" ca="1" si="767"/>
        <v>0</v>
      </c>
      <c r="HK88" s="64"/>
      <c r="HL88" s="74"/>
      <c r="HM88" s="73">
        <f t="shared" ref="HM88:JX88" ca="1" si="768">($M88=HL88)*$D$11</f>
        <v>0</v>
      </c>
      <c r="HN88" s="64"/>
      <c r="HO88" s="74"/>
      <c r="HP88" s="73">
        <f t="shared" ca="1" si="768"/>
        <v>0</v>
      </c>
      <c r="HQ88" s="64"/>
      <c r="HR88" s="74"/>
      <c r="HS88" s="73">
        <f t="shared" ca="1" si="768"/>
        <v>0</v>
      </c>
      <c r="HT88" s="64"/>
      <c r="HU88" s="74"/>
      <c r="HV88" s="73">
        <f t="shared" ca="1" si="768"/>
        <v>0</v>
      </c>
      <c r="HW88" s="64"/>
      <c r="HX88" s="74"/>
      <c r="HY88" s="73">
        <f t="shared" ca="1" si="768"/>
        <v>0</v>
      </c>
      <c r="HZ88" s="64"/>
      <c r="IA88" s="74"/>
      <c r="IB88" s="73">
        <f t="shared" ca="1" si="768"/>
        <v>0</v>
      </c>
      <c r="IC88" s="64"/>
      <c r="ID88" s="74"/>
      <c r="IE88" s="73">
        <f t="shared" ca="1" si="768"/>
        <v>0</v>
      </c>
      <c r="IF88" s="64"/>
      <c r="IG88" s="74"/>
      <c r="IH88" s="73">
        <f t="shared" ca="1" si="768"/>
        <v>0</v>
      </c>
      <c r="II88" s="64"/>
      <c r="IJ88" s="74"/>
      <c r="IK88" s="73">
        <f t="shared" ca="1" si="768"/>
        <v>0</v>
      </c>
      <c r="IL88" s="64"/>
      <c r="IM88" s="74"/>
      <c r="IN88" s="73">
        <f t="shared" ca="1" si="768"/>
        <v>0</v>
      </c>
      <c r="IO88" s="64"/>
      <c r="IP88" s="74"/>
      <c r="IQ88" s="73">
        <f t="shared" ca="1" si="768"/>
        <v>0</v>
      </c>
      <c r="IR88" s="64"/>
      <c r="IS88" s="74"/>
      <c r="IT88" s="73">
        <f t="shared" ca="1" si="768"/>
        <v>0</v>
      </c>
      <c r="IU88" s="64"/>
      <c r="IV88" s="74"/>
      <c r="IW88" s="73">
        <f t="shared" ca="1" si="768"/>
        <v>0</v>
      </c>
      <c r="IX88" s="64"/>
      <c r="IY88" s="74"/>
      <c r="IZ88" s="73">
        <f t="shared" ca="1" si="768"/>
        <v>0</v>
      </c>
      <c r="JA88" s="64"/>
      <c r="JB88" s="74"/>
      <c r="JC88" s="73">
        <f t="shared" ca="1" si="768"/>
        <v>0</v>
      </c>
      <c r="JD88" s="64"/>
      <c r="JE88" s="74"/>
      <c r="JF88" s="73">
        <f t="shared" ca="1" si="768"/>
        <v>0</v>
      </c>
      <c r="JG88" s="64"/>
      <c r="JH88" s="74"/>
      <c r="JI88" s="73">
        <f t="shared" ca="1" si="768"/>
        <v>0</v>
      </c>
      <c r="JJ88" s="64"/>
      <c r="JK88" s="74"/>
      <c r="JL88" s="73">
        <f t="shared" ca="1" si="768"/>
        <v>0</v>
      </c>
      <c r="JM88" s="64"/>
      <c r="JN88" s="74"/>
      <c r="JO88" s="73">
        <f t="shared" ca="1" si="768"/>
        <v>0</v>
      </c>
      <c r="JP88" s="64"/>
      <c r="JQ88" s="74"/>
      <c r="JR88" s="73">
        <f t="shared" ca="1" si="768"/>
        <v>0</v>
      </c>
      <c r="JS88" s="64"/>
      <c r="JT88" s="74"/>
      <c r="JU88" s="73">
        <f t="shared" ca="1" si="768"/>
        <v>0</v>
      </c>
      <c r="JV88" s="64"/>
      <c r="JW88" s="74"/>
      <c r="JX88" s="73">
        <f t="shared" ca="1" si="768"/>
        <v>0</v>
      </c>
      <c r="JY88" s="64"/>
      <c r="JZ88" s="74"/>
      <c r="KA88" s="73">
        <f t="shared" ref="KA88:LE88" ca="1" si="769">($M88=JZ88)*$D$11</f>
        <v>0</v>
      </c>
      <c r="KB88" s="64"/>
      <c r="KC88" s="74"/>
      <c r="KD88" s="73">
        <f t="shared" ca="1" si="769"/>
        <v>0</v>
      </c>
      <c r="KE88" s="64"/>
      <c r="KF88" s="74"/>
      <c r="KG88" s="73">
        <f t="shared" ca="1" si="769"/>
        <v>0</v>
      </c>
      <c r="KH88" s="64"/>
      <c r="KI88" s="74"/>
      <c r="KJ88" s="73">
        <f t="shared" ca="1" si="769"/>
        <v>0</v>
      </c>
      <c r="KK88" s="64"/>
      <c r="KL88" s="74"/>
      <c r="KM88" s="73">
        <f t="shared" ca="1" si="769"/>
        <v>0</v>
      </c>
      <c r="KN88" s="64"/>
      <c r="KO88" s="74"/>
      <c r="KP88" s="73">
        <f t="shared" ca="1" si="769"/>
        <v>0</v>
      </c>
      <c r="KQ88" s="64"/>
      <c r="KR88" s="74"/>
      <c r="KS88" s="73">
        <f t="shared" ca="1" si="769"/>
        <v>0</v>
      </c>
      <c r="KT88" s="64"/>
      <c r="KU88" s="74"/>
      <c r="KV88" s="73">
        <f t="shared" ca="1" si="769"/>
        <v>0</v>
      </c>
      <c r="KW88" s="64"/>
      <c r="KX88" s="74"/>
      <c r="KY88" s="73">
        <f t="shared" ca="1" si="769"/>
        <v>0</v>
      </c>
      <c r="KZ88" s="64"/>
      <c r="LA88" s="74"/>
      <c r="LB88" s="73">
        <f t="shared" ca="1" si="769"/>
        <v>0</v>
      </c>
      <c r="LC88" s="64"/>
      <c r="LD88" s="74"/>
      <c r="LE88" s="73">
        <f t="shared" ca="1" si="769"/>
        <v>0</v>
      </c>
      <c r="LF88" s="64"/>
      <c r="LG88" s="64"/>
    </row>
    <row r="89" spans="1:319">
      <c r="A89" s="49"/>
      <c r="B89" s="49"/>
      <c r="C89" s="49"/>
      <c r="D89" s="49"/>
      <c r="E89" s="111"/>
      <c r="F89" s="127">
        <f t="shared" ref="F89" si="770">$D$12</f>
        <v>10</v>
      </c>
      <c r="G89" s="445">
        <f ca="1">VLOOKUP(H89,Equipos!$Q$1:$R$25,2,0)</f>
        <v>15</v>
      </c>
      <c r="H89" s="446">
        <f ca="1">$H$58</f>
        <v>46198</v>
      </c>
      <c r="I89" s="50"/>
      <c r="J89" s="848"/>
      <c r="K89" s="56" t="str">
        <f>Idiomas!D159</f>
        <v>2nd GROUP C</v>
      </c>
      <c r="L89" s="53"/>
      <c r="M89" s="55" t="str">
        <f ca="1">IF(OR(SUM(WORLDCUP!$AN$22:$AN$25)=12,WORLDCUP!$AJ$99=144),WORLDCUP!AL23,LEFT(K89,1)&amp;RIGHT(K89,1))</f>
        <v>Morocco</v>
      </c>
      <c r="N89" s="25"/>
      <c r="O89" s="25"/>
      <c r="P89" s="25"/>
      <c r="Q89" s="25"/>
      <c r="R89" s="110"/>
      <c r="S89" s="74" t="s">
        <v>298</v>
      </c>
      <c r="T89" s="73">
        <f t="shared" ref="T89" ca="1" si="771">($M89=S89)*$D$12</f>
        <v>0</v>
      </c>
      <c r="U89" s="64"/>
      <c r="V89" s="74" t="s">
        <v>1326</v>
      </c>
      <c r="W89" s="73">
        <f t="shared" ref="W89:CH89" ca="1" si="772">($M89=V89)*$D$12</f>
        <v>10</v>
      </c>
      <c r="X89" s="64"/>
      <c r="Y89" s="74" t="s">
        <v>1326</v>
      </c>
      <c r="Z89" s="73">
        <f t="shared" ca="1" si="772"/>
        <v>10</v>
      </c>
      <c r="AA89" s="64"/>
      <c r="AB89" s="74" t="s">
        <v>1326</v>
      </c>
      <c r="AC89" s="73">
        <f t="shared" ca="1" si="772"/>
        <v>10</v>
      </c>
      <c r="AD89" s="64"/>
      <c r="AE89" s="74" t="s">
        <v>1326</v>
      </c>
      <c r="AF89" s="73">
        <f t="shared" ca="1" si="772"/>
        <v>10</v>
      </c>
      <c r="AG89" s="64"/>
      <c r="AH89" s="74" t="s">
        <v>1326</v>
      </c>
      <c r="AI89" s="73">
        <f t="shared" ca="1" si="772"/>
        <v>10</v>
      </c>
      <c r="AJ89" s="64"/>
      <c r="AK89" s="74" t="s">
        <v>1326</v>
      </c>
      <c r="AL89" s="73">
        <f t="shared" ca="1" si="772"/>
        <v>10</v>
      </c>
      <c r="AM89" s="64"/>
      <c r="AN89" s="74" t="s">
        <v>1326</v>
      </c>
      <c r="AO89" s="73">
        <f t="shared" ca="1" si="772"/>
        <v>10</v>
      </c>
      <c r="AP89" s="64"/>
      <c r="AQ89" s="74" t="s">
        <v>1326</v>
      </c>
      <c r="AR89" s="73">
        <f t="shared" ca="1" si="772"/>
        <v>10</v>
      </c>
      <c r="AS89" s="64"/>
      <c r="AT89" s="74" t="s">
        <v>298</v>
      </c>
      <c r="AU89" s="73">
        <f t="shared" ca="1" si="772"/>
        <v>0</v>
      </c>
      <c r="AV89" s="64"/>
      <c r="AW89" s="74" t="s">
        <v>1326</v>
      </c>
      <c r="AX89" s="73">
        <f t="shared" ca="1" si="772"/>
        <v>10</v>
      </c>
      <c r="AY89" s="64"/>
      <c r="AZ89" s="74" t="s">
        <v>1326</v>
      </c>
      <c r="BA89" s="73">
        <f t="shared" ca="1" si="772"/>
        <v>10</v>
      </c>
      <c r="BB89" s="64"/>
      <c r="BC89" s="74" t="s">
        <v>1274</v>
      </c>
      <c r="BD89" s="73">
        <f t="shared" ca="1" si="772"/>
        <v>0</v>
      </c>
      <c r="BE89" s="64"/>
      <c r="BF89" s="74" t="s">
        <v>298</v>
      </c>
      <c r="BG89" s="73">
        <f t="shared" ca="1" si="772"/>
        <v>0</v>
      </c>
      <c r="BH89" s="64"/>
      <c r="BI89" s="74" t="s">
        <v>1326</v>
      </c>
      <c r="BJ89" s="73">
        <f t="shared" ca="1" si="772"/>
        <v>10</v>
      </c>
      <c r="BK89" s="64"/>
      <c r="BL89" s="74" t="s">
        <v>1326</v>
      </c>
      <c r="BM89" s="73">
        <f t="shared" ca="1" si="772"/>
        <v>10</v>
      </c>
      <c r="BN89" s="64"/>
      <c r="BO89" s="74" t="s">
        <v>1326</v>
      </c>
      <c r="BP89" s="73">
        <f t="shared" ca="1" si="772"/>
        <v>10</v>
      </c>
      <c r="BQ89" s="64"/>
      <c r="BR89" s="74" t="s">
        <v>298</v>
      </c>
      <c r="BS89" s="73">
        <f t="shared" ca="1" si="772"/>
        <v>0</v>
      </c>
      <c r="BT89" s="64"/>
      <c r="BU89" s="74" t="s">
        <v>1326</v>
      </c>
      <c r="BV89" s="73">
        <f t="shared" ca="1" si="772"/>
        <v>10</v>
      </c>
      <c r="BW89" s="64"/>
      <c r="BX89" s="74" t="s">
        <v>1326</v>
      </c>
      <c r="BY89" s="73">
        <f t="shared" ca="1" si="772"/>
        <v>10</v>
      </c>
      <c r="BZ89" s="64"/>
      <c r="CA89" s="74" t="s">
        <v>1326</v>
      </c>
      <c r="CB89" s="73">
        <f t="shared" ca="1" si="772"/>
        <v>10</v>
      </c>
      <c r="CC89" s="64"/>
      <c r="CD89" s="74" t="s">
        <v>1326</v>
      </c>
      <c r="CE89" s="73">
        <f t="shared" ca="1" si="772"/>
        <v>10</v>
      </c>
      <c r="CF89" s="64"/>
      <c r="CG89" s="74" t="s">
        <v>1326</v>
      </c>
      <c r="CH89" s="73">
        <f t="shared" ca="1" si="772"/>
        <v>10</v>
      </c>
      <c r="CI89" s="64"/>
      <c r="CJ89" s="74" t="s">
        <v>1326</v>
      </c>
      <c r="CK89" s="73">
        <f t="shared" ref="CK89:EV89" ca="1" si="773">($M89=CJ89)*$D$12</f>
        <v>10</v>
      </c>
      <c r="CL89" s="64"/>
      <c r="CM89" s="74" t="s">
        <v>1326</v>
      </c>
      <c r="CN89" s="73">
        <f t="shared" ca="1" si="773"/>
        <v>10</v>
      </c>
      <c r="CO89" s="64"/>
      <c r="CP89" s="74" t="s">
        <v>1326</v>
      </c>
      <c r="CQ89" s="73">
        <f t="shared" ca="1" si="773"/>
        <v>10</v>
      </c>
      <c r="CR89" s="64"/>
      <c r="CS89" s="74" t="s">
        <v>1326</v>
      </c>
      <c r="CT89" s="73">
        <f t="shared" ca="1" si="773"/>
        <v>10</v>
      </c>
      <c r="CU89" s="64"/>
      <c r="CV89" s="74" t="s">
        <v>298</v>
      </c>
      <c r="CW89" s="73">
        <f t="shared" ca="1" si="773"/>
        <v>0</v>
      </c>
      <c r="CX89" s="64"/>
      <c r="CY89" s="74" t="s">
        <v>1274</v>
      </c>
      <c r="CZ89" s="73">
        <f t="shared" ca="1" si="773"/>
        <v>0</v>
      </c>
      <c r="DA89" s="64"/>
      <c r="DB89" s="74" t="s">
        <v>1326</v>
      </c>
      <c r="DC89" s="73">
        <f t="shared" ca="1" si="773"/>
        <v>10</v>
      </c>
      <c r="DD89" s="64"/>
      <c r="DE89" s="74" t="s">
        <v>1326</v>
      </c>
      <c r="DF89" s="73">
        <f t="shared" ca="1" si="773"/>
        <v>10</v>
      </c>
      <c r="DG89" s="64"/>
      <c r="DH89" s="74" t="s">
        <v>1326</v>
      </c>
      <c r="DI89" s="73">
        <f t="shared" ca="1" si="773"/>
        <v>10</v>
      </c>
      <c r="DJ89" s="64"/>
      <c r="DK89" s="74" t="s">
        <v>298</v>
      </c>
      <c r="DL89" s="73">
        <f t="shared" ca="1" si="773"/>
        <v>0</v>
      </c>
      <c r="DM89" s="64"/>
      <c r="DN89" s="74" t="s">
        <v>1326</v>
      </c>
      <c r="DO89" s="73">
        <f t="shared" ca="1" si="773"/>
        <v>10</v>
      </c>
      <c r="DP89" s="64"/>
      <c r="DQ89" s="74" t="s">
        <v>1274</v>
      </c>
      <c r="DR89" s="73">
        <f t="shared" ca="1" si="773"/>
        <v>0</v>
      </c>
      <c r="DS89" s="64"/>
      <c r="DT89" s="74" t="s">
        <v>1326</v>
      </c>
      <c r="DU89" s="73">
        <f t="shared" ca="1" si="773"/>
        <v>10</v>
      </c>
      <c r="DV89" s="64"/>
      <c r="DW89" s="74" t="s">
        <v>1274</v>
      </c>
      <c r="DX89" s="73">
        <f t="shared" ca="1" si="773"/>
        <v>0</v>
      </c>
      <c r="DY89" s="64"/>
      <c r="DZ89" s="74" t="s">
        <v>1326</v>
      </c>
      <c r="EA89" s="73">
        <f t="shared" ca="1" si="773"/>
        <v>10</v>
      </c>
      <c r="EB89" s="64"/>
      <c r="EC89" s="74" t="s">
        <v>1326</v>
      </c>
      <c r="ED89" s="73">
        <f t="shared" ca="1" si="773"/>
        <v>10</v>
      </c>
      <c r="EE89" s="64"/>
      <c r="EF89" s="74" t="s">
        <v>1326</v>
      </c>
      <c r="EG89" s="73">
        <f t="shared" ca="1" si="773"/>
        <v>10</v>
      </c>
      <c r="EH89" s="64"/>
      <c r="EI89" s="74" t="s">
        <v>1326</v>
      </c>
      <c r="EJ89" s="73">
        <f t="shared" ca="1" si="773"/>
        <v>10</v>
      </c>
      <c r="EK89" s="64"/>
      <c r="EL89" s="74" t="s">
        <v>1326</v>
      </c>
      <c r="EM89" s="73">
        <f t="shared" ca="1" si="773"/>
        <v>10</v>
      </c>
      <c r="EN89" s="64"/>
      <c r="EO89" s="74" t="s">
        <v>1326</v>
      </c>
      <c r="EP89" s="73">
        <f t="shared" ca="1" si="773"/>
        <v>10</v>
      </c>
      <c r="EQ89" s="64"/>
      <c r="ER89" s="74" t="s">
        <v>1326</v>
      </c>
      <c r="ES89" s="73">
        <f t="shared" ca="1" si="773"/>
        <v>10</v>
      </c>
      <c r="ET89" s="64"/>
      <c r="EU89" s="74" t="s">
        <v>1326</v>
      </c>
      <c r="EV89" s="73">
        <f t="shared" ca="1" si="773"/>
        <v>10</v>
      </c>
      <c r="EW89" s="64"/>
      <c r="EX89" s="74" t="s">
        <v>1326</v>
      </c>
      <c r="EY89" s="73">
        <f t="shared" ref="EY89:HJ89" ca="1" si="774">($M89=EX89)*$D$12</f>
        <v>10</v>
      </c>
      <c r="EZ89" s="64"/>
      <c r="FA89" s="74" t="s">
        <v>1326</v>
      </c>
      <c r="FB89" s="73">
        <f t="shared" ca="1" si="774"/>
        <v>10</v>
      </c>
      <c r="FC89" s="64"/>
      <c r="FD89" s="74" t="s">
        <v>298</v>
      </c>
      <c r="FE89" s="73">
        <f t="shared" ca="1" si="774"/>
        <v>0</v>
      </c>
      <c r="FF89" s="64"/>
      <c r="FG89" s="74" t="s">
        <v>1326</v>
      </c>
      <c r="FH89" s="73">
        <f t="shared" ca="1" si="774"/>
        <v>10</v>
      </c>
      <c r="FI89" s="64"/>
      <c r="FJ89" s="74" t="s">
        <v>1326</v>
      </c>
      <c r="FK89" s="73">
        <f t="shared" ca="1" si="774"/>
        <v>10</v>
      </c>
      <c r="FL89" s="64"/>
      <c r="FM89" s="74" t="s">
        <v>1326</v>
      </c>
      <c r="FN89" s="73">
        <f t="shared" ca="1" si="774"/>
        <v>10</v>
      </c>
      <c r="FO89" s="64"/>
      <c r="FP89" s="74" t="s">
        <v>1326</v>
      </c>
      <c r="FQ89" s="73">
        <f t="shared" ca="1" si="774"/>
        <v>10</v>
      </c>
      <c r="FR89" s="64"/>
      <c r="FS89" s="74" t="s">
        <v>1326</v>
      </c>
      <c r="FT89" s="73">
        <f t="shared" ca="1" si="774"/>
        <v>10</v>
      </c>
      <c r="FU89" s="64"/>
      <c r="FV89" s="74" t="s">
        <v>1326</v>
      </c>
      <c r="FW89" s="73">
        <f t="shared" ca="1" si="774"/>
        <v>10</v>
      </c>
      <c r="FX89" s="64"/>
      <c r="FY89" s="74" t="s">
        <v>1326</v>
      </c>
      <c r="FZ89" s="73">
        <f t="shared" ca="1" si="774"/>
        <v>10</v>
      </c>
      <c r="GA89" s="64"/>
      <c r="GB89" s="74" t="s">
        <v>1326</v>
      </c>
      <c r="GC89" s="73">
        <f t="shared" ca="1" si="774"/>
        <v>10</v>
      </c>
      <c r="GD89" s="64"/>
      <c r="GE89" s="74" t="s">
        <v>1326</v>
      </c>
      <c r="GF89" s="73">
        <f t="shared" ca="1" si="774"/>
        <v>10</v>
      </c>
      <c r="GG89" s="64"/>
      <c r="GH89" s="74" t="s">
        <v>1326</v>
      </c>
      <c r="GI89" s="73">
        <f t="shared" ca="1" si="774"/>
        <v>10</v>
      </c>
      <c r="GJ89" s="64"/>
      <c r="GK89" s="74" t="s">
        <v>1326</v>
      </c>
      <c r="GL89" s="73">
        <f t="shared" ca="1" si="774"/>
        <v>10</v>
      </c>
      <c r="GM89" s="64"/>
      <c r="GN89" s="74"/>
      <c r="GO89" s="73">
        <f t="shared" ca="1" si="774"/>
        <v>0</v>
      </c>
      <c r="GP89" s="64"/>
      <c r="GQ89" s="74"/>
      <c r="GR89" s="73">
        <f t="shared" ca="1" si="774"/>
        <v>0</v>
      </c>
      <c r="GS89" s="64"/>
      <c r="GT89" s="74"/>
      <c r="GU89" s="73">
        <f t="shared" ca="1" si="774"/>
        <v>0</v>
      </c>
      <c r="GV89" s="64"/>
      <c r="GW89" s="74"/>
      <c r="GX89" s="73">
        <f t="shared" ca="1" si="774"/>
        <v>0</v>
      </c>
      <c r="GY89" s="64"/>
      <c r="GZ89" s="74"/>
      <c r="HA89" s="73">
        <f t="shared" ca="1" si="774"/>
        <v>0</v>
      </c>
      <c r="HB89" s="64"/>
      <c r="HC89" s="74"/>
      <c r="HD89" s="73">
        <f t="shared" ca="1" si="774"/>
        <v>0</v>
      </c>
      <c r="HE89" s="64"/>
      <c r="HF89" s="74"/>
      <c r="HG89" s="73">
        <f t="shared" ca="1" si="774"/>
        <v>0</v>
      </c>
      <c r="HH89" s="64"/>
      <c r="HI89" s="74"/>
      <c r="HJ89" s="73">
        <f t="shared" ca="1" si="774"/>
        <v>0</v>
      </c>
      <c r="HK89" s="64"/>
      <c r="HL89" s="74"/>
      <c r="HM89" s="73">
        <f t="shared" ref="HM89:JX89" ca="1" si="775">($M89=HL89)*$D$12</f>
        <v>0</v>
      </c>
      <c r="HN89" s="64"/>
      <c r="HO89" s="74"/>
      <c r="HP89" s="73">
        <f t="shared" ca="1" si="775"/>
        <v>0</v>
      </c>
      <c r="HQ89" s="64"/>
      <c r="HR89" s="74"/>
      <c r="HS89" s="73">
        <f t="shared" ca="1" si="775"/>
        <v>0</v>
      </c>
      <c r="HT89" s="64"/>
      <c r="HU89" s="74"/>
      <c r="HV89" s="73">
        <f t="shared" ca="1" si="775"/>
        <v>0</v>
      </c>
      <c r="HW89" s="64"/>
      <c r="HX89" s="74"/>
      <c r="HY89" s="73">
        <f t="shared" ca="1" si="775"/>
        <v>0</v>
      </c>
      <c r="HZ89" s="64"/>
      <c r="IA89" s="74"/>
      <c r="IB89" s="73">
        <f t="shared" ca="1" si="775"/>
        <v>0</v>
      </c>
      <c r="IC89" s="64"/>
      <c r="ID89" s="74"/>
      <c r="IE89" s="73">
        <f t="shared" ca="1" si="775"/>
        <v>0</v>
      </c>
      <c r="IF89" s="64"/>
      <c r="IG89" s="74"/>
      <c r="IH89" s="73">
        <f t="shared" ca="1" si="775"/>
        <v>0</v>
      </c>
      <c r="II89" s="64"/>
      <c r="IJ89" s="74"/>
      <c r="IK89" s="73">
        <f t="shared" ca="1" si="775"/>
        <v>0</v>
      </c>
      <c r="IL89" s="64"/>
      <c r="IM89" s="74"/>
      <c r="IN89" s="73">
        <f t="shared" ca="1" si="775"/>
        <v>0</v>
      </c>
      <c r="IO89" s="64"/>
      <c r="IP89" s="74"/>
      <c r="IQ89" s="73">
        <f t="shared" ca="1" si="775"/>
        <v>0</v>
      </c>
      <c r="IR89" s="64"/>
      <c r="IS89" s="74"/>
      <c r="IT89" s="73">
        <f t="shared" ca="1" si="775"/>
        <v>0</v>
      </c>
      <c r="IU89" s="64"/>
      <c r="IV89" s="74"/>
      <c r="IW89" s="73">
        <f t="shared" ca="1" si="775"/>
        <v>0</v>
      </c>
      <c r="IX89" s="64"/>
      <c r="IY89" s="74"/>
      <c r="IZ89" s="73">
        <f t="shared" ca="1" si="775"/>
        <v>0</v>
      </c>
      <c r="JA89" s="64"/>
      <c r="JB89" s="74"/>
      <c r="JC89" s="73">
        <f t="shared" ca="1" si="775"/>
        <v>0</v>
      </c>
      <c r="JD89" s="64"/>
      <c r="JE89" s="74"/>
      <c r="JF89" s="73">
        <f t="shared" ca="1" si="775"/>
        <v>0</v>
      </c>
      <c r="JG89" s="64"/>
      <c r="JH89" s="74"/>
      <c r="JI89" s="73">
        <f t="shared" ca="1" si="775"/>
        <v>0</v>
      </c>
      <c r="JJ89" s="64"/>
      <c r="JK89" s="74"/>
      <c r="JL89" s="73">
        <f t="shared" ca="1" si="775"/>
        <v>0</v>
      </c>
      <c r="JM89" s="64"/>
      <c r="JN89" s="74"/>
      <c r="JO89" s="73">
        <f t="shared" ca="1" si="775"/>
        <v>0</v>
      </c>
      <c r="JP89" s="64"/>
      <c r="JQ89" s="74"/>
      <c r="JR89" s="73">
        <f t="shared" ca="1" si="775"/>
        <v>0</v>
      </c>
      <c r="JS89" s="64"/>
      <c r="JT89" s="74"/>
      <c r="JU89" s="73">
        <f t="shared" ca="1" si="775"/>
        <v>0</v>
      </c>
      <c r="JV89" s="64"/>
      <c r="JW89" s="74"/>
      <c r="JX89" s="73">
        <f t="shared" ca="1" si="775"/>
        <v>0</v>
      </c>
      <c r="JY89" s="64"/>
      <c r="JZ89" s="74"/>
      <c r="KA89" s="73">
        <f t="shared" ref="KA89:LE89" ca="1" si="776">($M89=JZ89)*$D$12</f>
        <v>0</v>
      </c>
      <c r="KB89" s="64"/>
      <c r="KC89" s="74"/>
      <c r="KD89" s="73">
        <f t="shared" ca="1" si="776"/>
        <v>0</v>
      </c>
      <c r="KE89" s="64"/>
      <c r="KF89" s="74"/>
      <c r="KG89" s="73">
        <f t="shared" ca="1" si="776"/>
        <v>0</v>
      </c>
      <c r="KH89" s="64"/>
      <c r="KI89" s="74"/>
      <c r="KJ89" s="73">
        <f t="shared" ca="1" si="776"/>
        <v>0</v>
      </c>
      <c r="KK89" s="64"/>
      <c r="KL89" s="74"/>
      <c r="KM89" s="73">
        <f t="shared" ca="1" si="776"/>
        <v>0</v>
      </c>
      <c r="KN89" s="64"/>
      <c r="KO89" s="74"/>
      <c r="KP89" s="73">
        <f t="shared" ca="1" si="776"/>
        <v>0</v>
      </c>
      <c r="KQ89" s="64"/>
      <c r="KR89" s="74"/>
      <c r="KS89" s="73">
        <f t="shared" ca="1" si="776"/>
        <v>0</v>
      </c>
      <c r="KT89" s="64"/>
      <c r="KU89" s="74"/>
      <c r="KV89" s="73">
        <f t="shared" ca="1" si="776"/>
        <v>0</v>
      </c>
      <c r="KW89" s="64"/>
      <c r="KX89" s="74"/>
      <c r="KY89" s="73">
        <f t="shared" ca="1" si="776"/>
        <v>0</v>
      </c>
      <c r="KZ89" s="64"/>
      <c r="LA89" s="74"/>
      <c r="LB89" s="73">
        <f t="shared" ca="1" si="776"/>
        <v>0</v>
      </c>
      <c r="LC89" s="64"/>
      <c r="LD89" s="74"/>
      <c r="LE89" s="73">
        <f t="shared" ca="1" si="776"/>
        <v>0</v>
      </c>
      <c r="LF89" s="64"/>
      <c r="LG89" s="64"/>
    </row>
    <row r="90" spans="1:319">
      <c r="A90" s="49"/>
      <c r="B90" s="49"/>
      <c r="C90" s="49"/>
      <c r="D90" s="49"/>
      <c r="E90" s="111"/>
      <c r="F90" s="127">
        <f t="shared" ref="F90" si="777">$D$13</f>
        <v>5</v>
      </c>
      <c r="G90" s="445">
        <f ca="1">VLOOKUP(H90,Equipos!$Q$1:$R$25,2,0)</f>
        <v>15</v>
      </c>
      <c r="H90" s="446">
        <f ca="1">$H$58</f>
        <v>46198</v>
      </c>
      <c r="I90" s="50"/>
      <c r="J90" s="848"/>
      <c r="K90" s="56" t="str">
        <f>Idiomas!D160</f>
        <v>3rd GROUP C</v>
      </c>
      <c r="L90" s="53"/>
      <c r="M90" s="55" t="str">
        <f ca="1">IF(OR(SUM(WORLDCUP!$AN$22:$AN$25)=12,WORLDCUP!$AJ$99=144),WORLDCUP!AL24,LEFT(K90,1)&amp;RIGHT(K90,1))</f>
        <v>Scotland</v>
      </c>
      <c r="N90" s="25"/>
      <c r="O90" s="25"/>
      <c r="P90" s="25"/>
      <c r="Q90" s="25"/>
      <c r="R90" s="110"/>
      <c r="S90" s="74" t="s">
        <v>1729</v>
      </c>
      <c r="T90" s="73">
        <f t="shared" ref="T90" ca="1" si="778">($M90=S90)*$D$13</f>
        <v>0</v>
      </c>
      <c r="U90" s="64"/>
      <c r="V90" s="74" t="s">
        <v>298</v>
      </c>
      <c r="W90" s="73">
        <f t="shared" ref="W90:CH90" ca="1" si="779">($M90=V90)*$D$13</f>
        <v>5</v>
      </c>
      <c r="X90" s="64"/>
      <c r="Y90" s="74" t="s">
        <v>298</v>
      </c>
      <c r="Z90" s="73">
        <f t="shared" ca="1" si="779"/>
        <v>5</v>
      </c>
      <c r="AA90" s="64"/>
      <c r="AB90" s="74" t="s">
        <v>298</v>
      </c>
      <c r="AC90" s="73">
        <f t="shared" ca="1" si="779"/>
        <v>5</v>
      </c>
      <c r="AD90" s="64"/>
      <c r="AE90" s="74" t="s">
        <v>298</v>
      </c>
      <c r="AF90" s="73">
        <f t="shared" ca="1" si="779"/>
        <v>5</v>
      </c>
      <c r="AG90" s="64"/>
      <c r="AH90" s="74" t="s">
        <v>298</v>
      </c>
      <c r="AI90" s="73">
        <f t="shared" ca="1" si="779"/>
        <v>5</v>
      </c>
      <c r="AJ90" s="64"/>
      <c r="AK90" s="74" t="s">
        <v>298</v>
      </c>
      <c r="AL90" s="73">
        <f t="shared" ca="1" si="779"/>
        <v>5</v>
      </c>
      <c r="AM90" s="64"/>
      <c r="AN90" s="74" t="s">
        <v>298</v>
      </c>
      <c r="AO90" s="73">
        <f t="shared" ca="1" si="779"/>
        <v>5</v>
      </c>
      <c r="AP90" s="64"/>
      <c r="AQ90" s="74" t="s">
        <v>298</v>
      </c>
      <c r="AR90" s="73">
        <f t="shared" ca="1" si="779"/>
        <v>5</v>
      </c>
      <c r="AS90" s="64"/>
      <c r="AT90" s="74" t="s">
        <v>1326</v>
      </c>
      <c r="AU90" s="73">
        <f t="shared" ca="1" si="779"/>
        <v>0</v>
      </c>
      <c r="AV90" s="64"/>
      <c r="AW90" s="74" t="s">
        <v>298</v>
      </c>
      <c r="AX90" s="73">
        <f t="shared" ca="1" si="779"/>
        <v>5</v>
      </c>
      <c r="AY90" s="64"/>
      <c r="AZ90" s="74" t="s">
        <v>298</v>
      </c>
      <c r="BA90" s="73">
        <f t="shared" ca="1" si="779"/>
        <v>5</v>
      </c>
      <c r="BB90" s="64"/>
      <c r="BC90" s="74" t="s">
        <v>298</v>
      </c>
      <c r="BD90" s="73">
        <f t="shared" ca="1" si="779"/>
        <v>5</v>
      </c>
      <c r="BE90" s="64"/>
      <c r="BF90" s="74" t="s">
        <v>1326</v>
      </c>
      <c r="BG90" s="73">
        <f t="shared" ca="1" si="779"/>
        <v>0</v>
      </c>
      <c r="BH90" s="64"/>
      <c r="BI90" s="74" t="s">
        <v>298</v>
      </c>
      <c r="BJ90" s="73">
        <f t="shared" ca="1" si="779"/>
        <v>5</v>
      </c>
      <c r="BK90" s="64"/>
      <c r="BL90" s="74" t="s">
        <v>298</v>
      </c>
      <c r="BM90" s="73">
        <f t="shared" ca="1" si="779"/>
        <v>5</v>
      </c>
      <c r="BN90" s="64"/>
      <c r="BO90" s="74" t="s">
        <v>298</v>
      </c>
      <c r="BP90" s="73">
        <f t="shared" ca="1" si="779"/>
        <v>5</v>
      </c>
      <c r="BQ90" s="64"/>
      <c r="BR90" s="74" t="s">
        <v>1326</v>
      </c>
      <c r="BS90" s="73">
        <f t="shared" ca="1" si="779"/>
        <v>0</v>
      </c>
      <c r="BT90" s="64"/>
      <c r="BU90" s="74" t="s">
        <v>298</v>
      </c>
      <c r="BV90" s="73">
        <f t="shared" ca="1" si="779"/>
        <v>5</v>
      </c>
      <c r="BW90" s="64"/>
      <c r="BX90" s="74" t="s">
        <v>298</v>
      </c>
      <c r="BY90" s="73">
        <f t="shared" ca="1" si="779"/>
        <v>5</v>
      </c>
      <c r="BZ90" s="64"/>
      <c r="CA90" s="74" t="s">
        <v>298</v>
      </c>
      <c r="CB90" s="73">
        <f t="shared" ca="1" si="779"/>
        <v>5</v>
      </c>
      <c r="CC90" s="64"/>
      <c r="CD90" s="74" t="s">
        <v>298</v>
      </c>
      <c r="CE90" s="73">
        <f t="shared" ca="1" si="779"/>
        <v>5</v>
      </c>
      <c r="CF90" s="64"/>
      <c r="CG90" s="74" t="s">
        <v>298</v>
      </c>
      <c r="CH90" s="73">
        <f t="shared" ca="1" si="779"/>
        <v>5</v>
      </c>
      <c r="CI90" s="64"/>
      <c r="CJ90" s="74" t="s">
        <v>298</v>
      </c>
      <c r="CK90" s="73">
        <f t="shared" ref="CK90:EV90" ca="1" si="780">($M90=CJ90)*$D$13</f>
        <v>5</v>
      </c>
      <c r="CL90" s="64"/>
      <c r="CM90" s="74" t="s">
        <v>298</v>
      </c>
      <c r="CN90" s="73">
        <f t="shared" ca="1" si="780"/>
        <v>5</v>
      </c>
      <c r="CO90" s="64"/>
      <c r="CP90" s="74" t="s">
        <v>298</v>
      </c>
      <c r="CQ90" s="73">
        <f t="shared" ca="1" si="780"/>
        <v>5</v>
      </c>
      <c r="CR90" s="64"/>
      <c r="CS90" s="74" t="s">
        <v>298</v>
      </c>
      <c r="CT90" s="73">
        <f t="shared" ca="1" si="780"/>
        <v>5</v>
      </c>
      <c r="CU90" s="64"/>
      <c r="CV90" s="74" t="s">
        <v>1326</v>
      </c>
      <c r="CW90" s="73">
        <f t="shared" ca="1" si="780"/>
        <v>0</v>
      </c>
      <c r="CX90" s="64"/>
      <c r="CY90" s="74" t="s">
        <v>1729</v>
      </c>
      <c r="CZ90" s="73">
        <f t="shared" ca="1" si="780"/>
        <v>0</v>
      </c>
      <c r="DA90" s="64"/>
      <c r="DB90" s="74" t="s">
        <v>298</v>
      </c>
      <c r="DC90" s="73">
        <f t="shared" ca="1" si="780"/>
        <v>5</v>
      </c>
      <c r="DD90" s="64"/>
      <c r="DE90" s="74" t="s">
        <v>298</v>
      </c>
      <c r="DF90" s="73">
        <f t="shared" ca="1" si="780"/>
        <v>5</v>
      </c>
      <c r="DG90" s="64"/>
      <c r="DH90" s="74" t="s">
        <v>298</v>
      </c>
      <c r="DI90" s="73">
        <f t="shared" ca="1" si="780"/>
        <v>5</v>
      </c>
      <c r="DJ90" s="64"/>
      <c r="DK90" s="74" t="s">
        <v>1326</v>
      </c>
      <c r="DL90" s="73">
        <f t="shared" ca="1" si="780"/>
        <v>0</v>
      </c>
      <c r="DM90" s="64"/>
      <c r="DN90" s="74" t="s">
        <v>298</v>
      </c>
      <c r="DO90" s="73">
        <f t="shared" ca="1" si="780"/>
        <v>5</v>
      </c>
      <c r="DP90" s="64"/>
      <c r="DQ90" s="74" t="s">
        <v>298</v>
      </c>
      <c r="DR90" s="73">
        <f t="shared" ca="1" si="780"/>
        <v>5</v>
      </c>
      <c r="DS90" s="64"/>
      <c r="DT90" s="74" t="s">
        <v>298</v>
      </c>
      <c r="DU90" s="73">
        <f t="shared" ca="1" si="780"/>
        <v>5</v>
      </c>
      <c r="DV90" s="64"/>
      <c r="DW90" s="74" t="s">
        <v>298</v>
      </c>
      <c r="DX90" s="73">
        <f t="shared" ca="1" si="780"/>
        <v>5</v>
      </c>
      <c r="DY90" s="64"/>
      <c r="DZ90" s="74" t="s">
        <v>298</v>
      </c>
      <c r="EA90" s="73">
        <f t="shared" ca="1" si="780"/>
        <v>5</v>
      </c>
      <c r="EB90" s="64"/>
      <c r="EC90" s="74" t="s">
        <v>298</v>
      </c>
      <c r="ED90" s="73">
        <f t="shared" ca="1" si="780"/>
        <v>5</v>
      </c>
      <c r="EE90" s="64"/>
      <c r="EF90" s="74" t="s">
        <v>298</v>
      </c>
      <c r="EG90" s="73">
        <f t="shared" ca="1" si="780"/>
        <v>5</v>
      </c>
      <c r="EH90" s="64"/>
      <c r="EI90" s="74" t="s">
        <v>298</v>
      </c>
      <c r="EJ90" s="73">
        <f t="shared" ca="1" si="780"/>
        <v>5</v>
      </c>
      <c r="EK90" s="64"/>
      <c r="EL90" s="74" t="s">
        <v>298</v>
      </c>
      <c r="EM90" s="73">
        <f t="shared" ca="1" si="780"/>
        <v>5</v>
      </c>
      <c r="EN90" s="64"/>
      <c r="EO90" s="74" t="s">
        <v>298</v>
      </c>
      <c r="EP90" s="73">
        <f t="shared" ca="1" si="780"/>
        <v>5</v>
      </c>
      <c r="EQ90" s="64"/>
      <c r="ER90" s="74" t="s">
        <v>298</v>
      </c>
      <c r="ES90" s="73">
        <f t="shared" ca="1" si="780"/>
        <v>5</v>
      </c>
      <c r="ET90" s="64"/>
      <c r="EU90" s="74" t="s">
        <v>298</v>
      </c>
      <c r="EV90" s="73">
        <f t="shared" ca="1" si="780"/>
        <v>5</v>
      </c>
      <c r="EW90" s="64"/>
      <c r="EX90" s="74" t="s">
        <v>298</v>
      </c>
      <c r="EY90" s="73">
        <f t="shared" ref="EY90:HJ90" ca="1" si="781">($M90=EX90)*$D$13</f>
        <v>5</v>
      </c>
      <c r="EZ90" s="64"/>
      <c r="FA90" s="74" t="s">
        <v>298</v>
      </c>
      <c r="FB90" s="73">
        <f t="shared" ca="1" si="781"/>
        <v>5</v>
      </c>
      <c r="FC90" s="64"/>
      <c r="FD90" s="74" t="s">
        <v>1326</v>
      </c>
      <c r="FE90" s="73">
        <f t="shared" ca="1" si="781"/>
        <v>0</v>
      </c>
      <c r="FF90" s="64"/>
      <c r="FG90" s="74" t="s">
        <v>298</v>
      </c>
      <c r="FH90" s="73">
        <f t="shared" ca="1" si="781"/>
        <v>5</v>
      </c>
      <c r="FI90" s="64"/>
      <c r="FJ90" s="74" t="s">
        <v>298</v>
      </c>
      <c r="FK90" s="73">
        <f t="shared" ca="1" si="781"/>
        <v>5</v>
      </c>
      <c r="FL90" s="64"/>
      <c r="FM90" s="74" t="s">
        <v>298</v>
      </c>
      <c r="FN90" s="73">
        <f t="shared" ca="1" si="781"/>
        <v>5</v>
      </c>
      <c r="FO90" s="64"/>
      <c r="FP90" s="74" t="s">
        <v>298</v>
      </c>
      <c r="FQ90" s="73">
        <f t="shared" ca="1" si="781"/>
        <v>5</v>
      </c>
      <c r="FR90" s="64"/>
      <c r="FS90" s="74" t="s">
        <v>298</v>
      </c>
      <c r="FT90" s="73">
        <f t="shared" ca="1" si="781"/>
        <v>5</v>
      </c>
      <c r="FU90" s="64"/>
      <c r="FV90" s="74" t="s">
        <v>298</v>
      </c>
      <c r="FW90" s="73">
        <f t="shared" ca="1" si="781"/>
        <v>5</v>
      </c>
      <c r="FX90" s="64"/>
      <c r="FY90" s="74" t="s">
        <v>298</v>
      </c>
      <c r="FZ90" s="73">
        <f t="shared" ca="1" si="781"/>
        <v>5</v>
      </c>
      <c r="GA90" s="64"/>
      <c r="GB90" s="74" t="s">
        <v>298</v>
      </c>
      <c r="GC90" s="73">
        <f t="shared" ca="1" si="781"/>
        <v>5</v>
      </c>
      <c r="GD90" s="64"/>
      <c r="GE90" s="74" t="s">
        <v>298</v>
      </c>
      <c r="GF90" s="73">
        <f t="shared" ca="1" si="781"/>
        <v>5</v>
      </c>
      <c r="GG90" s="64"/>
      <c r="GH90" s="74" t="s">
        <v>298</v>
      </c>
      <c r="GI90" s="73">
        <f t="shared" ca="1" si="781"/>
        <v>5</v>
      </c>
      <c r="GJ90" s="64"/>
      <c r="GK90" s="74" t="s">
        <v>298</v>
      </c>
      <c r="GL90" s="73">
        <f t="shared" ca="1" si="781"/>
        <v>5</v>
      </c>
      <c r="GM90" s="64"/>
      <c r="GN90" s="74"/>
      <c r="GO90" s="73">
        <f t="shared" ca="1" si="781"/>
        <v>0</v>
      </c>
      <c r="GP90" s="64"/>
      <c r="GQ90" s="74"/>
      <c r="GR90" s="73">
        <f t="shared" ca="1" si="781"/>
        <v>0</v>
      </c>
      <c r="GS90" s="64"/>
      <c r="GT90" s="74"/>
      <c r="GU90" s="73">
        <f t="shared" ca="1" si="781"/>
        <v>0</v>
      </c>
      <c r="GV90" s="64"/>
      <c r="GW90" s="74"/>
      <c r="GX90" s="73">
        <f t="shared" ca="1" si="781"/>
        <v>0</v>
      </c>
      <c r="GY90" s="64"/>
      <c r="GZ90" s="74"/>
      <c r="HA90" s="73">
        <f t="shared" ca="1" si="781"/>
        <v>0</v>
      </c>
      <c r="HB90" s="64"/>
      <c r="HC90" s="74"/>
      <c r="HD90" s="73">
        <f t="shared" ca="1" si="781"/>
        <v>0</v>
      </c>
      <c r="HE90" s="64"/>
      <c r="HF90" s="74"/>
      <c r="HG90" s="73">
        <f t="shared" ca="1" si="781"/>
        <v>0</v>
      </c>
      <c r="HH90" s="64"/>
      <c r="HI90" s="74"/>
      <c r="HJ90" s="73">
        <f t="shared" ca="1" si="781"/>
        <v>0</v>
      </c>
      <c r="HK90" s="64"/>
      <c r="HL90" s="74"/>
      <c r="HM90" s="73">
        <f t="shared" ref="HM90:JX90" ca="1" si="782">($M90=HL90)*$D$13</f>
        <v>0</v>
      </c>
      <c r="HN90" s="64"/>
      <c r="HO90" s="74"/>
      <c r="HP90" s="73">
        <f t="shared" ca="1" si="782"/>
        <v>0</v>
      </c>
      <c r="HQ90" s="64"/>
      <c r="HR90" s="74"/>
      <c r="HS90" s="73">
        <f t="shared" ca="1" si="782"/>
        <v>0</v>
      </c>
      <c r="HT90" s="64"/>
      <c r="HU90" s="74"/>
      <c r="HV90" s="73">
        <f t="shared" ca="1" si="782"/>
        <v>0</v>
      </c>
      <c r="HW90" s="64"/>
      <c r="HX90" s="74"/>
      <c r="HY90" s="73">
        <f t="shared" ca="1" si="782"/>
        <v>0</v>
      </c>
      <c r="HZ90" s="64"/>
      <c r="IA90" s="74"/>
      <c r="IB90" s="73">
        <f t="shared" ca="1" si="782"/>
        <v>0</v>
      </c>
      <c r="IC90" s="64"/>
      <c r="ID90" s="74"/>
      <c r="IE90" s="73">
        <f t="shared" ca="1" si="782"/>
        <v>0</v>
      </c>
      <c r="IF90" s="64"/>
      <c r="IG90" s="74"/>
      <c r="IH90" s="73">
        <f t="shared" ca="1" si="782"/>
        <v>0</v>
      </c>
      <c r="II90" s="64"/>
      <c r="IJ90" s="74"/>
      <c r="IK90" s="73">
        <f t="shared" ca="1" si="782"/>
        <v>0</v>
      </c>
      <c r="IL90" s="64"/>
      <c r="IM90" s="74"/>
      <c r="IN90" s="73">
        <f t="shared" ca="1" si="782"/>
        <v>0</v>
      </c>
      <c r="IO90" s="64"/>
      <c r="IP90" s="74"/>
      <c r="IQ90" s="73">
        <f t="shared" ca="1" si="782"/>
        <v>0</v>
      </c>
      <c r="IR90" s="64"/>
      <c r="IS90" s="74"/>
      <c r="IT90" s="73">
        <f t="shared" ca="1" si="782"/>
        <v>0</v>
      </c>
      <c r="IU90" s="64"/>
      <c r="IV90" s="74"/>
      <c r="IW90" s="73">
        <f t="shared" ca="1" si="782"/>
        <v>0</v>
      </c>
      <c r="IX90" s="64"/>
      <c r="IY90" s="74"/>
      <c r="IZ90" s="73">
        <f t="shared" ca="1" si="782"/>
        <v>0</v>
      </c>
      <c r="JA90" s="64"/>
      <c r="JB90" s="74"/>
      <c r="JC90" s="73">
        <f t="shared" ca="1" si="782"/>
        <v>0</v>
      </c>
      <c r="JD90" s="64"/>
      <c r="JE90" s="74"/>
      <c r="JF90" s="73">
        <f t="shared" ca="1" si="782"/>
        <v>0</v>
      </c>
      <c r="JG90" s="64"/>
      <c r="JH90" s="74"/>
      <c r="JI90" s="73">
        <f t="shared" ca="1" si="782"/>
        <v>0</v>
      </c>
      <c r="JJ90" s="64"/>
      <c r="JK90" s="74"/>
      <c r="JL90" s="73">
        <f t="shared" ca="1" si="782"/>
        <v>0</v>
      </c>
      <c r="JM90" s="64"/>
      <c r="JN90" s="74"/>
      <c r="JO90" s="73">
        <f t="shared" ca="1" si="782"/>
        <v>0</v>
      </c>
      <c r="JP90" s="64"/>
      <c r="JQ90" s="74"/>
      <c r="JR90" s="73">
        <f t="shared" ca="1" si="782"/>
        <v>0</v>
      </c>
      <c r="JS90" s="64"/>
      <c r="JT90" s="74"/>
      <c r="JU90" s="73">
        <f t="shared" ca="1" si="782"/>
        <v>0</v>
      </c>
      <c r="JV90" s="64"/>
      <c r="JW90" s="74"/>
      <c r="JX90" s="73">
        <f t="shared" ca="1" si="782"/>
        <v>0</v>
      </c>
      <c r="JY90" s="64"/>
      <c r="JZ90" s="74"/>
      <c r="KA90" s="73">
        <f t="shared" ref="KA90:LE90" ca="1" si="783">($M90=JZ90)*$D$13</f>
        <v>0</v>
      </c>
      <c r="KB90" s="64"/>
      <c r="KC90" s="74"/>
      <c r="KD90" s="73">
        <f t="shared" ca="1" si="783"/>
        <v>0</v>
      </c>
      <c r="KE90" s="64"/>
      <c r="KF90" s="74"/>
      <c r="KG90" s="73">
        <f t="shared" ca="1" si="783"/>
        <v>0</v>
      </c>
      <c r="KH90" s="64"/>
      <c r="KI90" s="74"/>
      <c r="KJ90" s="73">
        <f t="shared" ca="1" si="783"/>
        <v>0</v>
      </c>
      <c r="KK90" s="64"/>
      <c r="KL90" s="74"/>
      <c r="KM90" s="73">
        <f t="shared" ca="1" si="783"/>
        <v>0</v>
      </c>
      <c r="KN90" s="64"/>
      <c r="KO90" s="74"/>
      <c r="KP90" s="73">
        <f t="shared" ca="1" si="783"/>
        <v>0</v>
      </c>
      <c r="KQ90" s="64"/>
      <c r="KR90" s="74"/>
      <c r="KS90" s="73">
        <f t="shared" ca="1" si="783"/>
        <v>0</v>
      </c>
      <c r="KT90" s="64"/>
      <c r="KU90" s="74"/>
      <c r="KV90" s="73">
        <f t="shared" ca="1" si="783"/>
        <v>0</v>
      </c>
      <c r="KW90" s="64"/>
      <c r="KX90" s="74"/>
      <c r="KY90" s="73">
        <f t="shared" ca="1" si="783"/>
        <v>0</v>
      </c>
      <c r="KZ90" s="64"/>
      <c r="LA90" s="74"/>
      <c r="LB90" s="73">
        <f t="shared" ca="1" si="783"/>
        <v>0</v>
      </c>
      <c r="LC90" s="64"/>
      <c r="LD90" s="74"/>
      <c r="LE90" s="73">
        <f t="shared" ca="1" si="783"/>
        <v>0</v>
      </c>
      <c r="LF90" s="64"/>
      <c r="LG90" s="64"/>
    </row>
    <row r="91" spans="1:319">
      <c r="A91" s="49"/>
      <c r="B91" s="49"/>
      <c r="C91" s="49"/>
      <c r="D91" s="49"/>
      <c r="E91" s="111"/>
      <c r="F91" s="127">
        <f t="shared" ref="F91" si="784">$D$14</f>
        <v>3</v>
      </c>
      <c r="G91" s="445">
        <f ca="1">VLOOKUP(H91,Equipos!$Q$1:$R$25,2,0)</f>
        <v>15</v>
      </c>
      <c r="H91" s="446">
        <f ca="1">$H$58</f>
        <v>46198</v>
      </c>
      <c r="I91" s="50"/>
      <c r="J91" s="848"/>
      <c r="K91" s="56" t="str">
        <f>Idiomas!D161</f>
        <v>4th GROUP C</v>
      </c>
      <c r="L91" s="53"/>
      <c r="M91" s="55" t="str">
        <f ca="1">IF(OR(SUM(WORLDCUP!$AN$22:$AN$25)=12,WORLDCUP!$AJ$99=144),WORLDCUP!AL25,LEFT(K91,1)&amp;RIGHT(K91,1))</f>
        <v>Haiti</v>
      </c>
      <c r="N91" s="25"/>
      <c r="O91" s="25"/>
      <c r="P91" s="25"/>
      <c r="Q91" s="25"/>
      <c r="R91" s="110"/>
      <c r="S91" s="74" t="s">
        <v>1326</v>
      </c>
      <c r="T91" s="73">
        <f t="shared" ref="T91" ca="1" si="785">($M91=S91)*$D$14</f>
        <v>0</v>
      </c>
      <c r="U91" s="64"/>
      <c r="V91" s="74" t="s">
        <v>1729</v>
      </c>
      <c r="W91" s="73">
        <f t="shared" ref="W91:CH91" ca="1" si="786">($M91=V91)*$D$14</f>
        <v>3</v>
      </c>
      <c r="X91" s="64"/>
      <c r="Y91" s="74" t="s">
        <v>1729</v>
      </c>
      <c r="Z91" s="73">
        <f t="shared" ca="1" si="786"/>
        <v>3</v>
      </c>
      <c r="AA91" s="64"/>
      <c r="AB91" s="74" t="s">
        <v>1729</v>
      </c>
      <c r="AC91" s="73">
        <f t="shared" ca="1" si="786"/>
        <v>3</v>
      </c>
      <c r="AD91" s="64"/>
      <c r="AE91" s="74" t="s">
        <v>1729</v>
      </c>
      <c r="AF91" s="73">
        <f t="shared" ca="1" si="786"/>
        <v>3</v>
      </c>
      <c r="AG91" s="64"/>
      <c r="AH91" s="74" t="s">
        <v>1729</v>
      </c>
      <c r="AI91" s="73">
        <f t="shared" ca="1" si="786"/>
        <v>3</v>
      </c>
      <c r="AJ91" s="64"/>
      <c r="AK91" s="74" t="s">
        <v>1729</v>
      </c>
      <c r="AL91" s="73">
        <f t="shared" ca="1" si="786"/>
        <v>3</v>
      </c>
      <c r="AM91" s="64"/>
      <c r="AN91" s="74" t="s">
        <v>1729</v>
      </c>
      <c r="AO91" s="73">
        <f t="shared" ca="1" si="786"/>
        <v>3</v>
      </c>
      <c r="AP91" s="64"/>
      <c r="AQ91" s="74" t="s">
        <v>1729</v>
      </c>
      <c r="AR91" s="73">
        <f t="shared" ca="1" si="786"/>
        <v>3</v>
      </c>
      <c r="AS91" s="64"/>
      <c r="AT91" s="74" t="s">
        <v>1729</v>
      </c>
      <c r="AU91" s="73">
        <f t="shared" ca="1" si="786"/>
        <v>3</v>
      </c>
      <c r="AV91" s="64"/>
      <c r="AW91" s="74" t="s">
        <v>1729</v>
      </c>
      <c r="AX91" s="73">
        <f t="shared" ca="1" si="786"/>
        <v>3</v>
      </c>
      <c r="AY91" s="64"/>
      <c r="AZ91" s="74" t="s">
        <v>1729</v>
      </c>
      <c r="BA91" s="73">
        <f t="shared" ca="1" si="786"/>
        <v>3</v>
      </c>
      <c r="BB91" s="64"/>
      <c r="BC91" s="74" t="s">
        <v>1729</v>
      </c>
      <c r="BD91" s="73">
        <f t="shared" ca="1" si="786"/>
        <v>3</v>
      </c>
      <c r="BE91" s="64"/>
      <c r="BF91" s="74" t="s">
        <v>1729</v>
      </c>
      <c r="BG91" s="73">
        <f t="shared" ca="1" si="786"/>
        <v>3</v>
      </c>
      <c r="BH91" s="64"/>
      <c r="BI91" s="74" t="s">
        <v>1729</v>
      </c>
      <c r="BJ91" s="73">
        <f t="shared" ca="1" si="786"/>
        <v>3</v>
      </c>
      <c r="BK91" s="64"/>
      <c r="BL91" s="74" t="s">
        <v>1729</v>
      </c>
      <c r="BM91" s="73">
        <f t="shared" ca="1" si="786"/>
        <v>3</v>
      </c>
      <c r="BN91" s="64"/>
      <c r="BO91" s="74" t="s">
        <v>1729</v>
      </c>
      <c r="BP91" s="73">
        <f t="shared" ca="1" si="786"/>
        <v>3</v>
      </c>
      <c r="BQ91" s="64"/>
      <c r="BR91" s="74" t="s">
        <v>1729</v>
      </c>
      <c r="BS91" s="73">
        <f t="shared" ca="1" si="786"/>
        <v>3</v>
      </c>
      <c r="BT91" s="64"/>
      <c r="BU91" s="74" t="s">
        <v>1729</v>
      </c>
      <c r="BV91" s="73">
        <f t="shared" ca="1" si="786"/>
        <v>3</v>
      </c>
      <c r="BW91" s="64"/>
      <c r="BX91" s="74" t="s">
        <v>1729</v>
      </c>
      <c r="BY91" s="73">
        <f t="shared" ca="1" si="786"/>
        <v>3</v>
      </c>
      <c r="BZ91" s="64"/>
      <c r="CA91" s="74" t="s">
        <v>1729</v>
      </c>
      <c r="CB91" s="73">
        <f t="shared" ca="1" si="786"/>
        <v>3</v>
      </c>
      <c r="CC91" s="64"/>
      <c r="CD91" s="74" t="s">
        <v>1729</v>
      </c>
      <c r="CE91" s="73">
        <f t="shared" ca="1" si="786"/>
        <v>3</v>
      </c>
      <c r="CF91" s="64"/>
      <c r="CG91" s="74" t="s">
        <v>1729</v>
      </c>
      <c r="CH91" s="73">
        <f t="shared" ca="1" si="786"/>
        <v>3</v>
      </c>
      <c r="CI91" s="64"/>
      <c r="CJ91" s="74" t="s">
        <v>1729</v>
      </c>
      <c r="CK91" s="73">
        <f t="shared" ref="CK91:EV91" ca="1" si="787">($M91=CJ91)*$D$14</f>
        <v>3</v>
      </c>
      <c r="CL91" s="64"/>
      <c r="CM91" s="74" t="s">
        <v>1729</v>
      </c>
      <c r="CN91" s="73">
        <f t="shared" ca="1" si="787"/>
        <v>3</v>
      </c>
      <c r="CO91" s="64"/>
      <c r="CP91" s="74" t="s">
        <v>1729</v>
      </c>
      <c r="CQ91" s="73">
        <f t="shared" ca="1" si="787"/>
        <v>3</v>
      </c>
      <c r="CR91" s="64"/>
      <c r="CS91" s="74" t="s">
        <v>1729</v>
      </c>
      <c r="CT91" s="73">
        <f t="shared" ca="1" si="787"/>
        <v>3</v>
      </c>
      <c r="CU91" s="64"/>
      <c r="CV91" s="74" t="s">
        <v>1729</v>
      </c>
      <c r="CW91" s="73">
        <f t="shared" ca="1" si="787"/>
        <v>3</v>
      </c>
      <c r="CX91" s="64"/>
      <c r="CY91" s="74" t="s">
        <v>298</v>
      </c>
      <c r="CZ91" s="73">
        <f t="shared" ca="1" si="787"/>
        <v>0</v>
      </c>
      <c r="DA91" s="64"/>
      <c r="DB91" s="74" t="s">
        <v>1729</v>
      </c>
      <c r="DC91" s="73">
        <f t="shared" ca="1" si="787"/>
        <v>3</v>
      </c>
      <c r="DD91" s="64"/>
      <c r="DE91" s="74" t="s">
        <v>1729</v>
      </c>
      <c r="DF91" s="73">
        <f t="shared" ca="1" si="787"/>
        <v>3</v>
      </c>
      <c r="DG91" s="64"/>
      <c r="DH91" s="74" t="s">
        <v>1729</v>
      </c>
      <c r="DI91" s="73">
        <f t="shared" ca="1" si="787"/>
        <v>3</v>
      </c>
      <c r="DJ91" s="64"/>
      <c r="DK91" s="74" t="s">
        <v>1729</v>
      </c>
      <c r="DL91" s="73">
        <f t="shared" ca="1" si="787"/>
        <v>3</v>
      </c>
      <c r="DM91" s="64"/>
      <c r="DN91" s="74" t="s">
        <v>1729</v>
      </c>
      <c r="DO91" s="73">
        <f t="shared" ca="1" si="787"/>
        <v>3</v>
      </c>
      <c r="DP91" s="64"/>
      <c r="DQ91" s="74" t="s">
        <v>1729</v>
      </c>
      <c r="DR91" s="73">
        <f t="shared" ca="1" si="787"/>
        <v>3</v>
      </c>
      <c r="DS91" s="64"/>
      <c r="DT91" s="74" t="s">
        <v>1729</v>
      </c>
      <c r="DU91" s="73">
        <f t="shared" ca="1" si="787"/>
        <v>3</v>
      </c>
      <c r="DV91" s="64"/>
      <c r="DW91" s="74" t="s">
        <v>1729</v>
      </c>
      <c r="DX91" s="73">
        <f t="shared" ca="1" si="787"/>
        <v>3</v>
      </c>
      <c r="DY91" s="64"/>
      <c r="DZ91" s="74" t="s">
        <v>1729</v>
      </c>
      <c r="EA91" s="73">
        <f t="shared" ca="1" si="787"/>
        <v>3</v>
      </c>
      <c r="EB91" s="64"/>
      <c r="EC91" s="74" t="s">
        <v>1729</v>
      </c>
      <c r="ED91" s="73">
        <f t="shared" ca="1" si="787"/>
        <v>3</v>
      </c>
      <c r="EE91" s="64"/>
      <c r="EF91" s="74" t="s">
        <v>1729</v>
      </c>
      <c r="EG91" s="73">
        <f t="shared" ca="1" si="787"/>
        <v>3</v>
      </c>
      <c r="EH91" s="64"/>
      <c r="EI91" s="74" t="s">
        <v>1729</v>
      </c>
      <c r="EJ91" s="73">
        <f t="shared" ca="1" si="787"/>
        <v>3</v>
      </c>
      <c r="EK91" s="64"/>
      <c r="EL91" s="74" t="s">
        <v>1729</v>
      </c>
      <c r="EM91" s="73">
        <f t="shared" ca="1" si="787"/>
        <v>3</v>
      </c>
      <c r="EN91" s="64"/>
      <c r="EO91" s="74" t="s">
        <v>1729</v>
      </c>
      <c r="EP91" s="73">
        <f t="shared" ca="1" si="787"/>
        <v>3</v>
      </c>
      <c r="EQ91" s="64"/>
      <c r="ER91" s="74" t="s">
        <v>1729</v>
      </c>
      <c r="ES91" s="73">
        <f t="shared" ca="1" si="787"/>
        <v>3</v>
      </c>
      <c r="ET91" s="64"/>
      <c r="EU91" s="74" t="s">
        <v>1729</v>
      </c>
      <c r="EV91" s="73">
        <f t="shared" ca="1" si="787"/>
        <v>3</v>
      </c>
      <c r="EW91" s="64"/>
      <c r="EX91" s="74" t="s">
        <v>1729</v>
      </c>
      <c r="EY91" s="73">
        <f t="shared" ref="EY91:HJ91" ca="1" si="788">($M91=EX91)*$D$14</f>
        <v>3</v>
      </c>
      <c r="EZ91" s="64"/>
      <c r="FA91" s="74" t="s">
        <v>1729</v>
      </c>
      <c r="FB91" s="73">
        <f t="shared" ca="1" si="788"/>
        <v>3</v>
      </c>
      <c r="FC91" s="64"/>
      <c r="FD91" s="74" t="s">
        <v>1729</v>
      </c>
      <c r="FE91" s="73">
        <f t="shared" ca="1" si="788"/>
        <v>3</v>
      </c>
      <c r="FF91" s="64"/>
      <c r="FG91" s="74" t="s">
        <v>1729</v>
      </c>
      <c r="FH91" s="73">
        <f t="shared" ca="1" si="788"/>
        <v>3</v>
      </c>
      <c r="FI91" s="64"/>
      <c r="FJ91" s="74" t="s">
        <v>1729</v>
      </c>
      <c r="FK91" s="73">
        <f t="shared" ca="1" si="788"/>
        <v>3</v>
      </c>
      <c r="FL91" s="64"/>
      <c r="FM91" s="74" t="s">
        <v>1729</v>
      </c>
      <c r="FN91" s="73">
        <f t="shared" ca="1" si="788"/>
        <v>3</v>
      </c>
      <c r="FO91" s="64"/>
      <c r="FP91" s="74" t="s">
        <v>1729</v>
      </c>
      <c r="FQ91" s="73">
        <f t="shared" ca="1" si="788"/>
        <v>3</v>
      </c>
      <c r="FR91" s="64"/>
      <c r="FS91" s="74" t="s">
        <v>1729</v>
      </c>
      <c r="FT91" s="73">
        <f t="shared" ca="1" si="788"/>
        <v>3</v>
      </c>
      <c r="FU91" s="64"/>
      <c r="FV91" s="74" t="s">
        <v>1729</v>
      </c>
      <c r="FW91" s="73">
        <f t="shared" ca="1" si="788"/>
        <v>3</v>
      </c>
      <c r="FX91" s="64"/>
      <c r="FY91" s="74" t="s">
        <v>1729</v>
      </c>
      <c r="FZ91" s="73">
        <f t="shared" ca="1" si="788"/>
        <v>3</v>
      </c>
      <c r="GA91" s="64"/>
      <c r="GB91" s="74" t="s">
        <v>1729</v>
      </c>
      <c r="GC91" s="73">
        <f t="shared" ca="1" si="788"/>
        <v>3</v>
      </c>
      <c r="GD91" s="64"/>
      <c r="GE91" s="74" t="s">
        <v>1729</v>
      </c>
      <c r="GF91" s="73">
        <f t="shared" ca="1" si="788"/>
        <v>3</v>
      </c>
      <c r="GG91" s="64"/>
      <c r="GH91" s="74" t="s">
        <v>1729</v>
      </c>
      <c r="GI91" s="73">
        <f t="shared" ca="1" si="788"/>
        <v>3</v>
      </c>
      <c r="GJ91" s="64"/>
      <c r="GK91" s="74" t="s">
        <v>1729</v>
      </c>
      <c r="GL91" s="73">
        <f t="shared" ca="1" si="788"/>
        <v>3</v>
      </c>
      <c r="GM91" s="64"/>
      <c r="GN91" s="74"/>
      <c r="GO91" s="73">
        <f t="shared" ca="1" si="788"/>
        <v>0</v>
      </c>
      <c r="GP91" s="64"/>
      <c r="GQ91" s="74"/>
      <c r="GR91" s="73">
        <f t="shared" ca="1" si="788"/>
        <v>0</v>
      </c>
      <c r="GS91" s="64"/>
      <c r="GT91" s="74"/>
      <c r="GU91" s="73">
        <f t="shared" ca="1" si="788"/>
        <v>0</v>
      </c>
      <c r="GV91" s="64"/>
      <c r="GW91" s="74"/>
      <c r="GX91" s="73">
        <f t="shared" ca="1" si="788"/>
        <v>0</v>
      </c>
      <c r="GY91" s="64"/>
      <c r="GZ91" s="74"/>
      <c r="HA91" s="73">
        <f t="shared" ca="1" si="788"/>
        <v>0</v>
      </c>
      <c r="HB91" s="64"/>
      <c r="HC91" s="74"/>
      <c r="HD91" s="73">
        <f t="shared" ca="1" si="788"/>
        <v>0</v>
      </c>
      <c r="HE91" s="64"/>
      <c r="HF91" s="74"/>
      <c r="HG91" s="73">
        <f t="shared" ca="1" si="788"/>
        <v>0</v>
      </c>
      <c r="HH91" s="64"/>
      <c r="HI91" s="74"/>
      <c r="HJ91" s="73">
        <f t="shared" ca="1" si="788"/>
        <v>0</v>
      </c>
      <c r="HK91" s="64"/>
      <c r="HL91" s="74"/>
      <c r="HM91" s="73">
        <f t="shared" ref="HM91:JX91" ca="1" si="789">($M91=HL91)*$D$14</f>
        <v>0</v>
      </c>
      <c r="HN91" s="64"/>
      <c r="HO91" s="74"/>
      <c r="HP91" s="73">
        <f t="shared" ca="1" si="789"/>
        <v>0</v>
      </c>
      <c r="HQ91" s="64"/>
      <c r="HR91" s="74"/>
      <c r="HS91" s="73">
        <f t="shared" ca="1" si="789"/>
        <v>0</v>
      </c>
      <c r="HT91" s="64"/>
      <c r="HU91" s="74"/>
      <c r="HV91" s="73">
        <f t="shared" ca="1" si="789"/>
        <v>0</v>
      </c>
      <c r="HW91" s="64"/>
      <c r="HX91" s="74"/>
      <c r="HY91" s="73">
        <f t="shared" ca="1" si="789"/>
        <v>0</v>
      </c>
      <c r="HZ91" s="64"/>
      <c r="IA91" s="74"/>
      <c r="IB91" s="73">
        <f t="shared" ca="1" si="789"/>
        <v>0</v>
      </c>
      <c r="IC91" s="64"/>
      <c r="ID91" s="74"/>
      <c r="IE91" s="73">
        <f t="shared" ca="1" si="789"/>
        <v>0</v>
      </c>
      <c r="IF91" s="64"/>
      <c r="IG91" s="74"/>
      <c r="IH91" s="73">
        <f t="shared" ca="1" si="789"/>
        <v>0</v>
      </c>
      <c r="II91" s="64"/>
      <c r="IJ91" s="74"/>
      <c r="IK91" s="73">
        <f t="shared" ca="1" si="789"/>
        <v>0</v>
      </c>
      <c r="IL91" s="64"/>
      <c r="IM91" s="74"/>
      <c r="IN91" s="73">
        <f t="shared" ca="1" si="789"/>
        <v>0</v>
      </c>
      <c r="IO91" s="64"/>
      <c r="IP91" s="74"/>
      <c r="IQ91" s="73">
        <f t="shared" ca="1" si="789"/>
        <v>0</v>
      </c>
      <c r="IR91" s="64"/>
      <c r="IS91" s="74"/>
      <c r="IT91" s="73">
        <f t="shared" ca="1" si="789"/>
        <v>0</v>
      </c>
      <c r="IU91" s="64"/>
      <c r="IV91" s="74"/>
      <c r="IW91" s="73">
        <f t="shared" ca="1" si="789"/>
        <v>0</v>
      </c>
      <c r="IX91" s="64"/>
      <c r="IY91" s="74"/>
      <c r="IZ91" s="73">
        <f t="shared" ca="1" si="789"/>
        <v>0</v>
      </c>
      <c r="JA91" s="64"/>
      <c r="JB91" s="74"/>
      <c r="JC91" s="73">
        <f t="shared" ca="1" si="789"/>
        <v>0</v>
      </c>
      <c r="JD91" s="64"/>
      <c r="JE91" s="74"/>
      <c r="JF91" s="73">
        <f t="shared" ca="1" si="789"/>
        <v>0</v>
      </c>
      <c r="JG91" s="64"/>
      <c r="JH91" s="74"/>
      <c r="JI91" s="73">
        <f t="shared" ca="1" si="789"/>
        <v>0</v>
      </c>
      <c r="JJ91" s="64"/>
      <c r="JK91" s="74"/>
      <c r="JL91" s="73">
        <f t="shared" ca="1" si="789"/>
        <v>0</v>
      </c>
      <c r="JM91" s="64"/>
      <c r="JN91" s="74"/>
      <c r="JO91" s="73">
        <f t="shared" ca="1" si="789"/>
        <v>0</v>
      </c>
      <c r="JP91" s="64"/>
      <c r="JQ91" s="74"/>
      <c r="JR91" s="73">
        <f t="shared" ca="1" si="789"/>
        <v>0</v>
      </c>
      <c r="JS91" s="64"/>
      <c r="JT91" s="74"/>
      <c r="JU91" s="73">
        <f t="shared" ca="1" si="789"/>
        <v>0</v>
      </c>
      <c r="JV91" s="64"/>
      <c r="JW91" s="74"/>
      <c r="JX91" s="73">
        <f t="shared" ca="1" si="789"/>
        <v>0</v>
      </c>
      <c r="JY91" s="64"/>
      <c r="JZ91" s="74"/>
      <c r="KA91" s="73">
        <f t="shared" ref="KA91:LE91" ca="1" si="790">($M91=JZ91)*$D$14</f>
        <v>0</v>
      </c>
      <c r="KB91" s="64"/>
      <c r="KC91" s="74"/>
      <c r="KD91" s="73">
        <f t="shared" ca="1" si="790"/>
        <v>0</v>
      </c>
      <c r="KE91" s="64"/>
      <c r="KF91" s="74"/>
      <c r="KG91" s="73">
        <f t="shared" ca="1" si="790"/>
        <v>0</v>
      </c>
      <c r="KH91" s="64"/>
      <c r="KI91" s="74"/>
      <c r="KJ91" s="73">
        <f t="shared" ca="1" si="790"/>
        <v>0</v>
      </c>
      <c r="KK91" s="64"/>
      <c r="KL91" s="74"/>
      <c r="KM91" s="73">
        <f t="shared" ca="1" si="790"/>
        <v>0</v>
      </c>
      <c r="KN91" s="64"/>
      <c r="KO91" s="74"/>
      <c r="KP91" s="73">
        <f t="shared" ca="1" si="790"/>
        <v>0</v>
      </c>
      <c r="KQ91" s="64"/>
      <c r="KR91" s="74"/>
      <c r="KS91" s="73">
        <f t="shared" ca="1" si="790"/>
        <v>0</v>
      </c>
      <c r="KT91" s="64"/>
      <c r="KU91" s="74"/>
      <c r="KV91" s="73">
        <f t="shared" ca="1" si="790"/>
        <v>0</v>
      </c>
      <c r="KW91" s="64"/>
      <c r="KX91" s="74"/>
      <c r="KY91" s="73">
        <f t="shared" ca="1" si="790"/>
        <v>0</v>
      </c>
      <c r="KZ91" s="64"/>
      <c r="LA91" s="74"/>
      <c r="LB91" s="73">
        <f t="shared" ca="1" si="790"/>
        <v>0</v>
      </c>
      <c r="LC91" s="64"/>
      <c r="LD91" s="74"/>
      <c r="LE91" s="73">
        <f t="shared" ca="1" si="790"/>
        <v>0</v>
      </c>
      <c r="LF91" s="64"/>
      <c r="LG91" s="64"/>
    </row>
    <row r="92" spans="1:319">
      <c r="A92" s="49"/>
      <c r="B92" s="49"/>
      <c r="C92" s="49"/>
      <c r="D92" s="49"/>
      <c r="E92" s="111"/>
      <c r="F92" s="127">
        <f t="shared" ref="F92" si="791">$D$11</f>
        <v>20</v>
      </c>
      <c r="G92" s="445">
        <f ca="1">VLOOKUP(H92,Equipos!$Q$1:$R$25,2,0)</f>
        <v>16</v>
      </c>
      <c r="H92" s="446">
        <f ca="1">$H$60</f>
        <v>46199</v>
      </c>
      <c r="I92" s="50"/>
      <c r="J92" s="847" t="s">
        <v>73</v>
      </c>
      <c r="K92" s="56" t="str">
        <f>Idiomas!D162</f>
        <v>1st GROUP D</v>
      </c>
      <c r="L92" s="53"/>
      <c r="M92" s="55" t="str">
        <f ca="1">IF(OR(SUM(WORLDCUP!$AN$30:$AN$33)=12,WORLDCUP!$AJ$99=144),WORLDCUP!AL30,LEFT(K92,1)&amp;RIGHT(K92,1))</f>
        <v>United States</v>
      </c>
      <c r="N92" s="25"/>
      <c r="O92" s="25"/>
      <c r="P92" s="25"/>
      <c r="Q92" s="25"/>
      <c r="R92" s="110"/>
      <c r="S92" s="74" t="s">
        <v>498</v>
      </c>
      <c r="T92" s="73">
        <f t="shared" ref="T92" ca="1" si="792">($M92=S92)*$D$11</f>
        <v>20</v>
      </c>
      <c r="U92" s="64"/>
      <c r="V92" s="74" t="s">
        <v>498</v>
      </c>
      <c r="W92" s="73">
        <f t="shared" ref="W92:CH92" ca="1" si="793">($M92=V92)*$D$11</f>
        <v>20</v>
      </c>
      <c r="X92" s="64"/>
      <c r="Y92" s="74" t="s">
        <v>498</v>
      </c>
      <c r="Z92" s="73">
        <f t="shared" ca="1" si="793"/>
        <v>20</v>
      </c>
      <c r="AA92" s="64"/>
      <c r="AB92" s="74" t="s">
        <v>498</v>
      </c>
      <c r="AC92" s="73">
        <f t="shared" ca="1" si="793"/>
        <v>20</v>
      </c>
      <c r="AD92" s="64"/>
      <c r="AE92" s="74" t="s">
        <v>498</v>
      </c>
      <c r="AF92" s="73">
        <f t="shared" ca="1" si="793"/>
        <v>20</v>
      </c>
      <c r="AG92" s="64"/>
      <c r="AH92" s="74" t="s">
        <v>1836</v>
      </c>
      <c r="AI92" s="73">
        <f t="shared" ca="1" si="793"/>
        <v>0</v>
      </c>
      <c r="AJ92" s="64"/>
      <c r="AK92" s="74" t="s">
        <v>498</v>
      </c>
      <c r="AL92" s="73">
        <f t="shared" ca="1" si="793"/>
        <v>20</v>
      </c>
      <c r="AM92" s="64"/>
      <c r="AN92" s="74" t="s">
        <v>1319</v>
      </c>
      <c r="AO92" s="73">
        <f t="shared" ca="1" si="793"/>
        <v>0</v>
      </c>
      <c r="AP92" s="64"/>
      <c r="AQ92" s="74" t="s">
        <v>498</v>
      </c>
      <c r="AR92" s="73">
        <f t="shared" ca="1" si="793"/>
        <v>20</v>
      </c>
      <c r="AS92" s="64"/>
      <c r="AT92" s="74" t="s">
        <v>1319</v>
      </c>
      <c r="AU92" s="73">
        <f t="shared" ca="1" si="793"/>
        <v>0</v>
      </c>
      <c r="AV92" s="64"/>
      <c r="AW92" s="74" t="s">
        <v>1836</v>
      </c>
      <c r="AX92" s="73">
        <f t="shared" ca="1" si="793"/>
        <v>0</v>
      </c>
      <c r="AY92" s="64"/>
      <c r="AZ92" s="74" t="s">
        <v>1836</v>
      </c>
      <c r="BA92" s="73">
        <f t="shared" ca="1" si="793"/>
        <v>0</v>
      </c>
      <c r="BB92" s="64"/>
      <c r="BC92" s="74" t="s">
        <v>1257</v>
      </c>
      <c r="BD92" s="73">
        <f t="shared" ca="1" si="793"/>
        <v>0</v>
      </c>
      <c r="BE92" s="64"/>
      <c r="BF92" s="74" t="s">
        <v>498</v>
      </c>
      <c r="BG92" s="73">
        <f t="shared" ca="1" si="793"/>
        <v>20</v>
      </c>
      <c r="BH92" s="64"/>
      <c r="BI92" s="74" t="s">
        <v>1836</v>
      </c>
      <c r="BJ92" s="73">
        <f t="shared" ca="1" si="793"/>
        <v>0</v>
      </c>
      <c r="BK92" s="64"/>
      <c r="BL92" s="74" t="s">
        <v>498</v>
      </c>
      <c r="BM92" s="73">
        <f t="shared" ca="1" si="793"/>
        <v>20</v>
      </c>
      <c r="BN92" s="64"/>
      <c r="BO92" s="74" t="s">
        <v>498</v>
      </c>
      <c r="BP92" s="73">
        <f t="shared" ca="1" si="793"/>
        <v>20</v>
      </c>
      <c r="BQ92" s="64"/>
      <c r="BR92" s="74" t="s">
        <v>1836</v>
      </c>
      <c r="BS92" s="73">
        <f t="shared" ca="1" si="793"/>
        <v>0</v>
      </c>
      <c r="BT92" s="64"/>
      <c r="BU92" s="74" t="s">
        <v>1836</v>
      </c>
      <c r="BV92" s="73">
        <f t="shared" ca="1" si="793"/>
        <v>0</v>
      </c>
      <c r="BW92" s="64"/>
      <c r="BX92" s="74" t="s">
        <v>498</v>
      </c>
      <c r="BY92" s="73">
        <f t="shared" ca="1" si="793"/>
        <v>20</v>
      </c>
      <c r="BZ92" s="64"/>
      <c r="CA92" s="74" t="s">
        <v>1836</v>
      </c>
      <c r="CB92" s="73">
        <f t="shared" ca="1" si="793"/>
        <v>0</v>
      </c>
      <c r="CC92" s="64"/>
      <c r="CD92" s="74" t="s">
        <v>1836</v>
      </c>
      <c r="CE92" s="73">
        <f t="shared" ca="1" si="793"/>
        <v>0</v>
      </c>
      <c r="CF92" s="64"/>
      <c r="CG92" s="74" t="s">
        <v>498</v>
      </c>
      <c r="CH92" s="73">
        <f t="shared" ca="1" si="793"/>
        <v>20</v>
      </c>
      <c r="CI92" s="64"/>
      <c r="CJ92" s="74" t="s">
        <v>1319</v>
      </c>
      <c r="CK92" s="73">
        <f t="shared" ref="CK92:EV92" ca="1" si="794">($M92=CJ92)*$D$11</f>
        <v>0</v>
      </c>
      <c r="CL92" s="64"/>
      <c r="CM92" s="74" t="s">
        <v>1836</v>
      </c>
      <c r="CN92" s="73">
        <f t="shared" ca="1" si="794"/>
        <v>0</v>
      </c>
      <c r="CO92" s="64"/>
      <c r="CP92" s="74" t="s">
        <v>498</v>
      </c>
      <c r="CQ92" s="73">
        <f t="shared" ca="1" si="794"/>
        <v>20</v>
      </c>
      <c r="CR92" s="64"/>
      <c r="CS92" s="74" t="s">
        <v>1836</v>
      </c>
      <c r="CT92" s="73">
        <f t="shared" ca="1" si="794"/>
        <v>0</v>
      </c>
      <c r="CU92" s="64"/>
      <c r="CV92" s="74" t="s">
        <v>1319</v>
      </c>
      <c r="CW92" s="73">
        <f t="shared" ca="1" si="794"/>
        <v>0</v>
      </c>
      <c r="CX92" s="64"/>
      <c r="CY92" s="74" t="s">
        <v>1257</v>
      </c>
      <c r="CZ92" s="73">
        <f t="shared" ca="1" si="794"/>
        <v>0</v>
      </c>
      <c r="DA92" s="64"/>
      <c r="DB92" s="74" t="s">
        <v>1836</v>
      </c>
      <c r="DC92" s="73">
        <f t="shared" ca="1" si="794"/>
        <v>0</v>
      </c>
      <c r="DD92" s="64"/>
      <c r="DE92" s="74" t="s">
        <v>498</v>
      </c>
      <c r="DF92" s="73">
        <f t="shared" ca="1" si="794"/>
        <v>20</v>
      </c>
      <c r="DG92" s="64"/>
      <c r="DH92" s="74" t="s">
        <v>1257</v>
      </c>
      <c r="DI92" s="73">
        <f t="shared" ca="1" si="794"/>
        <v>0</v>
      </c>
      <c r="DJ92" s="64"/>
      <c r="DK92" s="74" t="s">
        <v>498</v>
      </c>
      <c r="DL92" s="73">
        <f t="shared" ca="1" si="794"/>
        <v>20</v>
      </c>
      <c r="DM92" s="64"/>
      <c r="DN92" s="74" t="s">
        <v>1257</v>
      </c>
      <c r="DO92" s="73">
        <f t="shared" ca="1" si="794"/>
        <v>0</v>
      </c>
      <c r="DP92" s="64"/>
      <c r="DQ92" s="74" t="s">
        <v>1257</v>
      </c>
      <c r="DR92" s="73">
        <f t="shared" ca="1" si="794"/>
        <v>0</v>
      </c>
      <c r="DS92" s="64"/>
      <c r="DT92" s="74" t="s">
        <v>1319</v>
      </c>
      <c r="DU92" s="73">
        <f t="shared" ca="1" si="794"/>
        <v>0</v>
      </c>
      <c r="DV92" s="64"/>
      <c r="DW92" s="74" t="s">
        <v>498</v>
      </c>
      <c r="DX92" s="73">
        <f t="shared" ca="1" si="794"/>
        <v>20</v>
      </c>
      <c r="DY92" s="64"/>
      <c r="DZ92" s="74" t="s">
        <v>498</v>
      </c>
      <c r="EA92" s="73">
        <f t="shared" ca="1" si="794"/>
        <v>20</v>
      </c>
      <c r="EB92" s="64"/>
      <c r="EC92" s="74" t="s">
        <v>498</v>
      </c>
      <c r="ED92" s="73">
        <f t="shared" ca="1" si="794"/>
        <v>20</v>
      </c>
      <c r="EE92" s="64"/>
      <c r="EF92" s="74" t="s">
        <v>498</v>
      </c>
      <c r="EG92" s="73">
        <f t="shared" ca="1" si="794"/>
        <v>20</v>
      </c>
      <c r="EH92" s="64"/>
      <c r="EI92" s="74" t="s">
        <v>1836</v>
      </c>
      <c r="EJ92" s="73">
        <f t="shared" ca="1" si="794"/>
        <v>0</v>
      </c>
      <c r="EK92" s="64"/>
      <c r="EL92" s="74" t="s">
        <v>1836</v>
      </c>
      <c r="EM92" s="73">
        <f t="shared" ca="1" si="794"/>
        <v>0</v>
      </c>
      <c r="EN92" s="64"/>
      <c r="EO92" s="74" t="s">
        <v>498</v>
      </c>
      <c r="EP92" s="73">
        <f t="shared" ca="1" si="794"/>
        <v>20</v>
      </c>
      <c r="EQ92" s="64"/>
      <c r="ER92" s="74" t="s">
        <v>498</v>
      </c>
      <c r="ES92" s="73">
        <f t="shared" ca="1" si="794"/>
        <v>20</v>
      </c>
      <c r="ET92" s="64"/>
      <c r="EU92" s="74" t="s">
        <v>498</v>
      </c>
      <c r="EV92" s="73">
        <f t="shared" ca="1" si="794"/>
        <v>20</v>
      </c>
      <c r="EW92" s="64"/>
      <c r="EX92" s="74" t="s">
        <v>1836</v>
      </c>
      <c r="EY92" s="73">
        <f t="shared" ref="EY92:HJ92" ca="1" si="795">($M92=EX92)*$D$11</f>
        <v>0</v>
      </c>
      <c r="EZ92" s="64"/>
      <c r="FA92" s="74" t="s">
        <v>498</v>
      </c>
      <c r="FB92" s="73">
        <f t="shared" ca="1" si="795"/>
        <v>20</v>
      </c>
      <c r="FC92" s="64"/>
      <c r="FD92" s="74" t="s">
        <v>498</v>
      </c>
      <c r="FE92" s="73">
        <f t="shared" ca="1" si="795"/>
        <v>20</v>
      </c>
      <c r="FF92" s="64"/>
      <c r="FG92" s="74" t="s">
        <v>1836</v>
      </c>
      <c r="FH92" s="73">
        <f t="shared" ca="1" si="795"/>
        <v>0</v>
      </c>
      <c r="FI92" s="64"/>
      <c r="FJ92" s="74" t="s">
        <v>1836</v>
      </c>
      <c r="FK92" s="73">
        <f t="shared" ca="1" si="795"/>
        <v>0</v>
      </c>
      <c r="FL92" s="64"/>
      <c r="FM92" s="74" t="s">
        <v>1836</v>
      </c>
      <c r="FN92" s="73">
        <f t="shared" ca="1" si="795"/>
        <v>0</v>
      </c>
      <c r="FO92" s="64"/>
      <c r="FP92" s="74" t="s">
        <v>1836</v>
      </c>
      <c r="FQ92" s="73">
        <f t="shared" ca="1" si="795"/>
        <v>0</v>
      </c>
      <c r="FR92" s="64"/>
      <c r="FS92" s="74" t="s">
        <v>1836</v>
      </c>
      <c r="FT92" s="73">
        <f t="shared" ca="1" si="795"/>
        <v>0</v>
      </c>
      <c r="FU92" s="64"/>
      <c r="FV92" s="74" t="s">
        <v>1836</v>
      </c>
      <c r="FW92" s="73">
        <f t="shared" ca="1" si="795"/>
        <v>0</v>
      </c>
      <c r="FX92" s="64"/>
      <c r="FY92" s="74" t="s">
        <v>1319</v>
      </c>
      <c r="FZ92" s="73">
        <f t="shared" ca="1" si="795"/>
        <v>0</v>
      </c>
      <c r="GA92" s="64"/>
      <c r="GB92" s="74" t="s">
        <v>1836</v>
      </c>
      <c r="GC92" s="73">
        <f t="shared" ca="1" si="795"/>
        <v>0</v>
      </c>
      <c r="GD92" s="64"/>
      <c r="GE92" s="74" t="s">
        <v>498</v>
      </c>
      <c r="GF92" s="73">
        <f t="shared" ca="1" si="795"/>
        <v>20</v>
      </c>
      <c r="GG92" s="64"/>
      <c r="GH92" s="74" t="s">
        <v>498</v>
      </c>
      <c r="GI92" s="73">
        <f t="shared" ca="1" si="795"/>
        <v>20</v>
      </c>
      <c r="GJ92" s="64"/>
      <c r="GK92" s="74" t="s">
        <v>1836</v>
      </c>
      <c r="GL92" s="73">
        <f t="shared" ca="1" si="795"/>
        <v>0</v>
      </c>
      <c r="GM92" s="64"/>
      <c r="GN92" s="74"/>
      <c r="GO92" s="73">
        <f t="shared" ca="1" si="795"/>
        <v>0</v>
      </c>
      <c r="GP92" s="64"/>
      <c r="GQ92" s="74"/>
      <c r="GR92" s="73">
        <f t="shared" ca="1" si="795"/>
        <v>0</v>
      </c>
      <c r="GS92" s="64"/>
      <c r="GT92" s="74"/>
      <c r="GU92" s="73">
        <f t="shared" ca="1" si="795"/>
        <v>0</v>
      </c>
      <c r="GV92" s="64"/>
      <c r="GW92" s="74"/>
      <c r="GX92" s="73">
        <f t="shared" ca="1" si="795"/>
        <v>0</v>
      </c>
      <c r="GY92" s="64"/>
      <c r="GZ92" s="74"/>
      <c r="HA92" s="73">
        <f t="shared" ca="1" si="795"/>
        <v>0</v>
      </c>
      <c r="HB92" s="64"/>
      <c r="HC92" s="74"/>
      <c r="HD92" s="73">
        <f t="shared" ca="1" si="795"/>
        <v>0</v>
      </c>
      <c r="HE92" s="64"/>
      <c r="HF92" s="74"/>
      <c r="HG92" s="73">
        <f t="shared" ca="1" si="795"/>
        <v>0</v>
      </c>
      <c r="HH92" s="64"/>
      <c r="HI92" s="74"/>
      <c r="HJ92" s="73">
        <f t="shared" ca="1" si="795"/>
        <v>0</v>
      </c>
      <c r="HK92" s="64"/>
      <c r="HL92" s="74"/>
      <c r="HM92" s="73">
        <f t="shared" ref="HM92:JX92" ca="1" si="796">($M92=HL92)*$D$11</f>
        <v>0</v>
      </c>
      <c r="HN92" s="64"/>
      <c r="HO92" s="74"/>
      <c r="HP92" s="73">
        <f t="shared" ca="1" si="796"/>
        <v>0</v>
      </c>
      <c r="HQ92" s="64"/>
      <c r="HR92" s="74"/>
      <c r="HS92" s="73">
        <f t="shared" ca="1" si="796"/>
        <v>0</v>
      </c>
      <c r="HT92" s="64"/>
      <c r="HU92" s="74"/>
      <c r="HV92" s="73">
        <f t="shared" ca="1" si="796"/>
        <v>0</v>
      </c>
      <c r="HW92" s="64"/>
      <c r="HX92" s="74"/>
      <c r="HY92" s="73">
        <f t="shared" ca="1" si="796"/>
        <v>0</v>
      </c>
      <c r="HZ92" s="64"/>
      <c r="IA92" s="74"/>
      <c r="IB92" s="73">
        <f t="shared" ca="1" si="796"/>
        <v>0</v>
      </c>
      <c r="IC92" s="64"/>
      <c r="ID92" s="74"/>
      <c r="IE92" s="73">
        <f t="shared" ca="1" si="796"/>
        <v>0</v>
      </c>
      <c r="IF92" s="64"/>
      <c r="IG92" s="74"/>
      <c r="IH92" s="73">
        <f t="shared" ca="1" si="796"/>
        <v>0</v>
      </c>
      <c r="II92" s="64"/>
      <c r="IJ92" s="74"/>
      <c r="IK92" s="73">
        <f t="shared" ca="1" si="796"/>
        <v>0</v>
      </c>
      <c r="IL92" s="64"/>
      <c r="IM92" s="74"/>
      <c r="IN92" s="73">
        <f t="shared" ca="1" si="796"/>
        <v>0</v>
      </c>
      <c r="IO92" s="64"/>
      <c r="IP92" s="74"/>
      <c r="IQ92" s="73">
        <f t="shared" ca="1" si="796"/>
        <v>0</v>
      </c>
      <c r="IR92" s="64"/>
      <c r="IS92" s="74"/>
      <c r="IT92" s="73">
        <f t="shared" ca="1" si="796"/>
        <v>0</v>
      </c>
      <c r="IU92" s="64"/>
      <c r="IV92" s="74"/>
      <c r="IW92" s="73">
        <f t="shared" ca="1" si="796"/>
        <v>0</v>
      </c>
      <c r="IX92" s="64"/>
      <c r="IY92" s="74"/>
      <c r="IZ92" s="73">
        <f t="shared" ca="1" si="796"/>
        <v>0</v>
      </c>
      <c r="JA92" s="64"/>
      <c r="JB92" s="74"/>
      <c r="JC92" s="73">
        <f t="shared" ca="1" si="796"/>
        <v>0</v>
      </c>
      <c r="JD92" s="64"/>
      <c r="JE92" s="74"/>
      <c r="JF92" s="73">
        <f t="shared" ca="1" si="796"/>
        <v>0</v>
      </c>
      <c r="JG92" s="64"/>
      <c r="JH92" s="74"/>
      <c r="JI92" s="73">
        <f t="shared" ca="1" si="796"/>
        <v>0</v>
      </c>
      <c r="JJ92" s="64"/>
      <c r="JK92" s="74"/>
      <c r="JL92" s="73">
        <f t="shared" ca="1" si="796"/>
        <v>0</v>
      </c>
      <c r="JM92" s="64"/>
      <c r="JN92" s="74"/>
      <c r="JO92" s="73">
        <f t="shared" ca="1" si="796"/>
        <v>0</v>
      </c>
      <c r="JP92" s="64"/>
      <c r="JQ92" s="74"/>
      <c r="JR92" s="73">
        <f t="shared" ca="1" si="796"/>
        <v>0</v>
      </c>
      <c r="JS92" s="64"/>
      <c r="JT92" s="74"/>
      <c r="JU92" s="73">
        <f t="shared" ca="1" si="796"/>
        <v>0</v>
      </c>
      <c r="JV92" s="64"/>
      <c r="JW92" s="74"/>
      <c r="JX92" s="73">
        <f t="shared" ca="1" si="796"/>
        <v>0</v>
      </c>
      <c r="JY92" s="64"/>
      <c r="JZ92" s="74"/>
      <c r="KA92" s="73">
        <f t="shared" ref="KA92:LE92" ca="1" si="797">($M92=JZ92)*$D$11</f>
        <v>0</v>
      </c>
      <c r="KB92" s="64"/>
      <c r="KC92" s="74"/>
      <c r="KD92" s="73">
        <f t="shared" ca="1" si="797"/>
        <v>0</v>
      </c>
      <c r="KE92" s="64"/>
      <c r="KF92" s="74"/>
      <c r="KG92" s="73">
        <f t="shared" ca="1" si="797"/>
        <v>0</v>
      </c>
      <c r="KH92" s="64"/>
      <c r="KI92" s="74"/>
      <c r="KJ92" s="73">
        <f t="shared" ca="1" si="797"/>
        <v>0</v>
      </c>
      <c r="KK92" s="64"/>
      <c r="KL92" s="74"/>
      <c r="KM92" s="73">
        <f t="shared" ca="1" si="797"/>
        <v>0</v>
      </c>
      <c r="KN92" s="64"/>
      <c r="KO92" s="74"/>
      <c r="KP92" s="73">
        <f t="shared" ca="1" si="797"/>
        <v>0</v>
      </c>
      <c r="KQ92" s="64"/>
      <c r="KR92" s="74"/>
      <c r="KS92" s="73">
        <f t="shared" ca="1" si="797"/>
        <v>0</v>
      </c>
      <c r="KT92" s="64"/>
      <c r="KU92" s="74"/>
      <c r="KV92" s="73">
        <f t="shared" ca="1" si="797"/>
        <v>0</v>
      </c>
      <c r="KW92" s="64"/>
      <c r="KX92" s="74"/>
      <c r="KY92" s="73">
        <f t="shared" ca="1" si="797"/>
        <v>0</v>
      </c>
      <c r="KZ92" s="64"/>
      <c r="LA92" s="74"/>
      <c r="LB92" s="73">
        <f t="shared" ca="1" si="797"/>
        <v>0</v>
      </c>
      <c r="LC92" s="64"/>
      <c r="LD92" s="74"/>
      <c r="LE92" s="73">
        <f t="shared" ca="1" si="797"/>
        <v>0</v>
      </c>
      <c r="LF92" s="64"/>
      <c r="LG92" s="64"/>
    </row>
    <row r="93" spans="1:319">
      <c r="A93" s="49"/>
      <c r="B93" s="49"/>
      <c r="C93" s="49"/>
      <c r="D93" s="49"/>
      <c r="E93" s="111"/>
      <c r="F93" s="127">
        <f t="shared" ref="F93" si="798">$D$12</f>
        <v>10</v>
      </c>
      <c r="G93" s="445">
        <f ca="1">VLOOKUP(H93,Equipos!$Q$1:$R$25,2,0)</f>
        <v>16</v>
      </c>
      <c r="H93" s="446">
        <f ca="1">$H$60</f>
        <v>46199</v>
      </c>
      <c r="I93" s="50"/>
      <c r="J93" s="847"/>
      <c r="K93" s="56" t="str">
        <f>Idiomas!D163</f>
        <v>2nd GROUP D</v>
      </c>
      <c r="L93" s="53"/>
      <c r="M93" s="55" t="str">
        <f ca="1">IF(OR(SUM(WORLDCUP!$AN$30:$AN$33)=12,WORLDCUP!$AJ$99=144),WORLDCUP!AL31,LEFT(K93,1)&amp;RIGHT(K93,1))</f>
        <v>Australia</v>
      </c>
      <c r="N93" s="25"/>
      <c r="O93" s="25"/>
      <c r="P93" s="25"/>
      <c r="Q93" s="25"/>
      <c r="R93" s="110"/>
      <c r="S93" s="74" t="s">
        <v>1257</v>
      </c>
      <c r="T93" s="73">
        <f t="shared" ref="T93" ca="1" si="799">($M93=S93)*$D$12</f>
        <v>10</v>
      </c>
      <c r="U93" s="64"/>
      <c r="V93" s="74" t="s">
        <v>1836</v>
      </c>
      <c r="W93" s="73">
        <f t="shared" ref="W93:CH93" ca="1" si="800">($M93=V93)*$D$12</f>
        <v>0</v>
      </c>
      <c r="X93" s="64"/>
      <c r="Y93" s="74" t="s">
        <v>1836</v>
      </c>
      <c r="Z93" s="73">
        <f t="shared" ca="1" si="800"/>
        <v>0</v>
      </c>
      <c r="AA93" s="64"/>
      <c r="AB93" s="74" t="s">
        <v>1836</v>
      </c>
      <c r="AC93" s="73">
        <f t="shared" ca="1" si="800"/>
        <v>0</v>
      </c>
      <c r="AD93" s="64"/>
      <c r="AE93" s="74" t="s">
        <v>1836</v>
      </c>
      <c r="AF93" s="73">
        <f t="shared" ca="1" si="800"/>
        <v>0</v>
      </c>
      <c r="AG93" s="64"/>
      <c r="AH93" s="74" t="s">
        <v>498</v>
      </c>
      <c r="AI93" s="73">
        <f t="shared" ca="1" si="800"/>
        <v>0</v>
      </c>
      <c r="AJ93" s="64"/>
      <c r="AK93" s="74" t="s">
        <v>1257</v>
      </c>
      <c r="AL93" s="73">
        <f t="shared" ca="1" si="800"/>
        <v>10</v>
      </c>
      <c r="AM93" s="64"/>
      <c r="AN93" s="74" t="s">
        <v>498</v>
      </c>
      <c r="AO93" s="73">
        <f t="shared" ca="1" si="800"/>
        <v>0</v>
      </c>
      <c r="AP93" s="64"/>
      <c r="AQ93" s="74" t="s">
        <v>1836</v>
      </c>
      <c r="AR93" s="73">
        <f t="shared" ca="1" si="800"/>
        <v>0</v>
      </c>
      <c r="AS93" s="64"/>
      <c r="AT93" s="74" t="s">
        <v>1836</v>
      </c>
      <c r="AU93" s="73">
        <f t="shared" ca="1" si="800"/>
        <v>0</v>
      </c>
      <c r="AV93" s="64"/>
      <c r="AW93" s="74" t="s">
        <v>498</v>
      </c>
      <c r="AX93" s="73">
        <f t="shared" ca="1" si="800"/>
        <v>0</v>
      </c>
      <c r="AY93" s="64"/>
      <c r="AZ93" s="74" t="s">
        <v>498</v>
      </c>
      <c r="BA93" s="73">
        <f t="shared" ca="1" si="800"/>
        <v>0</v>
      </c>
      <c r="BB93" s="64"/>
      <c r="BC93" s="74" t="s">
        <v>1836</v>
      </c>
      <c r="BD93" s="73">
        <f t="shared" ca="1" si="800"/>
        <v>0</v>
      </c>
      <c r="BE93" s="64"/>
      <c r="BF93" s="74" t="s">
        <v>1836</v>
      </c>
      <c r="BG93" s="73">
        <f t="shared" ca="1" si="800"/>
        <v>0</v>
      </c>
      <c r="BH93" s="64"/>
      <c r="BI93" s="74" t="s">
        <v>1257</v>
      </c>
      <c r="BJ93" s="73">
        <f t="shared" ca="1" si="800"/>
        <v>10</v>
      </c>
      <c r="BK93" s="64"/>
      <c r="BL93" s="74" t="s">
        <v>1836</v>
      </c>
      <c r="BM93" s="73">
        <f t="shared" ca="1" si="800"/>
        <v>0</v>
      </c>
      <c r="BN93" s="64"/>
      <c r="BO93" s="74" t="s">
        <v>1836</v>
      </c>
      <c r="BP93" s="73">
        <f t="shared" ca="1" si="800"/>
        <v>0</v>
      </c>
      <c r="BQ93" s="64"/>
      <c r="BR93" s="74" t="s">
        <v>1257</v>
      </c>
      <c r="BS93" s="73">
        <f t="shared" ca="1" si="800"/>
        <v>10</v>
      </c>
      <c r="BT93" s="64"/>
      <c r="BU93" s="74" t="s">
        <v>498</v>
      </c>
      <c r="BV93" s="73">
        <f t="shared" ca="1" si="800"/>
        <v>0</v>
      </c>
      <c r="BW93" s="64"/>
      <c r="BX93" s="74" t="s">
        <v>1836</v>
      </c>
      <c r="BY93" s="73">
        <f t="shared" ca="1" si="800"/>
        <v>0</v>
      </c>
      <c r="BZ93" s="64"/>
      <c r="CA93" s="74" t="s">
        <v>1319</v>
      </c>
      <c r="CB93" s="73">
        <f t="shared" ca="1" si="800"/>
        <v>0</v>
      </c>
      <c r="CC93" s="64"/>
      <c r="CD93" s="74" t="s">
        <v>498</v>
      </c>
      <c r="CE93" s="73">
        <f t="shared" ca="1" si="800"/>
        <v>0</v>
      </c>
      <c r="CF93" s="64"/>
      <c r="CG93" s="74" t="s">
        <v>1836</v>
      </c>
      <c r="CH93" s="73">
        <f t="shared" ca="1" si="800"/>
        <v>0</v>
      </c>
      <c r="CI93" s="64"/>
      <c r="CJ93" s="74" t="s">
        <v>1836</v>
      </c>
      <c r="CK93" s="73">
        <f t="shared" ref="CK93:EV93" ca="1" si="801">($M93=CJ93)*$D$12</f>
        <v>0</v>
      </c>
      <c r="CL93" s="64"/>
      <c r="CM93" s="74" t="s">
        <v>498</v>
      </c>
      <c r="CN93" s="73">
        <f t="shared" ca="1" si="801"/>
        <v>0</v>
      </c>
      <c r="CO93" s="64"/>
      <c r="CP93" s="74" t="s">
        <v>1836</v>
      </c>
      <c r="CQ93" s="73">
        <f t="shared" ca="1" si="801"/>
        <v>0</v>
      </c>
      <c r="CR93" s="64"/>
      <c r="CS93" s="74" t="s">
        <v>1257</v>
      </c>
      <c r="CT93" s="73">
        <f t="shared" ca="1" si="801"/>
        <v>10</v>
      </c>
      <c r="CU93" s="64"/>
      <c r="CV93" s="74" t="s">
        <v>498</v>
      </c>
      <c r="CW93" s="73">
        <f t="shared" ca="1" si="801"/>
        <v>0</v>
      </c>
      <c r="CX93" s="64"/>
      <c r="CY93" s="74" t="s">
        <v>1836</v>
      </c>
      <c r="CZ93" s="73">
        <f t="shared" ca="1" si="801"/>
        <v>0</v>
      </c>
      <c r="DA93" s="64"/>
      <c r="DB93" s="74" t="s">
        <v>1319</v>
      </c>
      <c r="DC93" s="73">
        <f t="shared" ca="1" si="801"/>
        <v>0</v>
      </c>
      <c r="DD93" s="64"/>
      <c r="DE93" s="74" t="s">
        <v>1836</v>
      </c>
      <c r="DF93" s="73">
        <f t="shared" ca="1" si="801"/>
        <v>0</v>
      </c>
      <c r="DG93" s="64"/>
      <c r="DH93" s="74" t="s">
        <v>1836</v>
      </c>
      <c r="DI93" s="73">
        <f t="shared" ca="1" si="801"/>
        <v>0</v>
      </c>
      <c r="DJ93" s="64"/>
      <c r="DK93" s="74" t="s">
        <v>1319</v>
      </c>
      <c r="DL93" s="73">
        <f t="shared" ca="1" si="801"/>
        <v>0</v>
      </c>
      <c r="DM93" s="64"/>
      <c r="DN93" s="74" t="s">
        <v>1836</v>
      </c>
      <c r="DO93" s="73">
        <f t="shared" ca="1" si="801"/>
        <v>0</v>
      </c>
      <c r="DP93" s="64"/>
      <c r="DQ93" s="74" t="s">
        <v>498</v>
      </c>
      <c r="DR93" s="73">
        <f t="shared" ca="1" si="801"/>
        <v>0</v>
      </c>
      <c r="DS93" s="64"/>
      <c r="DT93" s="74" t="s">
        <v>498</v>
      </c>
      <c r="DU93" s="73">
        <f t="shared" ca="1" si="801"/>
        <v>0</v>
      </c>
      <c r="DV93" s="64"/>
      <c r="DW93" s="74" t="s">
        <v>1836</v>
      </c>
      <c r="DX93" s="73">
        <f t="shared" ca="1" si="801"/>
        <v>0</v>
      </c>
      <c r="DY93" s="64"/>
      <c r="DZ93" s="74" t="s">
        <v>1836</v>
      </c>
      <c r="EA93" s="73">
        <f t="shared" ca="1" si="801"/>
        <v>0</v>
      </c>
      <c r="EB93" s="64"/>
      <c r="EC93" s="74" t="s">
        <v>1836</v>
      </c>
      <c r="ED93" s="73">
        <f t="shared" ca="1" si="801"/>
        <v>0</v>
      </c>
      <c r="EE93" s="64"/>
      <c r="EF93" s="74" t="s">
        <v>1836</v>
      </c>
      <c r="EG93" s="73">
        <f t="shared" ca="1" si="801"/>
        <v>0</v>
      </c>
      <c r="EH93" s="64"/>
      <c r="EI93" s="74" t="s">
        <v>498</v>
      </c>
      <c r="EJ93" s="73">
        <f t="shared" ca="1" si="801"/>
        <v>0</v>
      </c>
      <c r="EK93" s="64"/>
      <c r="EL93" s="74" t="s">
        <v>498</v>
      </c>
      <c r="EM93" s="73">
        <f t="shared" ca="1" si="801"/>
        <v>0</v>
      </c>
      <c r="EN93" s="64"/>
      <c r="EO93" s="74" t="s">
        <v>1836</v>
      </c>
      <c r="EP93" s="73">
        <f t="shared" ca="1" si="801"/>
        <v>0</v>
      </c>
      <c r="EQ93" s="64"/>
      <c r="ER93" s="74" t="s">
        <v>1836</v>
      </c>
      <c r="ES93" s="73">
        <f t="shared" ca="1" si="801"/>
        <v>0</v>
      </c>
      <c r="ET93" s="64"/>
      <c r="EU93" s="74" t="s">
        <v>1836</v>
      </c>
      <c r="EV93" s="73">
        <f t="shared" ca="1" si="801"/>
        <v>0</v>
      </c>
      <c r="EW93" s="64"/>
      <c r="EX93" s="74" t="s">
        <v>498</v>
      </c>
      <c r="EY93" s="73">
        <f t="shared" ref="EY93:HJ93" ca="1" si="802">($M93=EX93)*$D$12</f>
        <v>0</v>
      </c>
      <c r="EZ93" s="64"/>
      <c r="FA93" s="74" t="s">
        <v>1836</v>
      </c>
      <c r="FB93" s="73">
        <f t="shared" ca="1" si="802"/>
        <v>0</v>
      </c>
      <c r="FC93" s="64"/>
      <c r="FD93" s="74" t="s">
        <v>1836</v>
      </c>
      <c r="FE93" s="73">
        <f t="shared" ca="1" si="802"/>
        <v>0</v>
      </c>
      <c r="FF93" s="64"/>
      <c r="FG93" s="74" t="s">
        <v>498</v>
      </c>
      <c r="FH93" s="73">
        <f t="shared" ca="1" si="802"/>
        <v>0</v>
      </c>
      <c r="FI93" s="64"/>
      <c r="FJ93" s="74" t="s">
        <v>498</v>
      </c>
      <c r="FK93" s="73">
        <f t="shared" ca="1" si="802"/>
        <v>0</v>
      </c>
      <c r="FL93" s="64"/>
      <c r="FM93" s="74" t="s">
        <v>1319</v>
      </c>
      <c r="FN93" s="73">
        <f t="shared" ca="1" si="802"/>
        <v>0</v>
      </c>
      <c r="FO93" s="64"/>
      <c r="FP93" s="74" t="s">
        <v>498</v>
      </c>
      <c r="FQ93" s="73">
        <f t="shared" ca="1" si="802"/>
        <v>0</v>
      </c>
      <c r="FR93" s="64"/>
      <c r="FS93" s="74" t="s">
        <v>498</v>
      </c>
      <c r="FT93" s="73">
        <f t="shared" ca="1" si="802"/>
        <v>0</v>
      </c>
      <c r="FU93" s="64"/>
      <c r="FV93" s="74" t="s">
        <v>498</v>
      </c>
      <c r="FW93" s="73">
        <f t="shared" ca="1" si="802"/>
        <v>0</v>
      </c>
      <c r="FX93" s="64"/>
      <c r="FY93" s="74" t="s">
        <v>1836</v>
      </c>
      <c r="FZ93" s="73">
        <f t="shared" ca="1" si="802"/>
        <v>0</v>
      </c>
      <c r="GA93" s="64"/>
      <c r="GB93" s="74" t="s">
        <v>1257</v>
      </c>
      <c r="GC93" s="73">
        <f t="shared" ca="1" si="802"/>
        <v>10</v>
      </c>
      <c r="GD93" s="64"/>
      <c r="GE93" s="74" t="s">
        <v>1836</v>
      </c>
      <c r="GF93" s="73">
        <f t="shared" ca="1" si="802"/>
        <v>0</v>
      </c>
      <c r="GG93" s="64"/>
      <c r="GH93" s="74" t="s">
        <v>1836</v>
      </c>
      <c r="GI93" s="73">
        <f t="shared" ca="1" si="802"/>
        <v>0</v>
      </c>
      <c r="GJ93" s="64"/>
      <c r="GK93" s="74" t="s">
        <v>1319</v>
      </c>
      <c r="GL93" s="73">
        <f t="shared" ca="1" si="802"/>
        <v>0</v>
      </c>
      <c r="GM93" s="64"/>
      <c r="GN93" s="74"/>
      <c r="GO93" s="73">
        <f t="shared" ca="1" si="802"/>
        <v>0</v>
      </c>
      <c r="GP93" s="64"/>
      <c r="GQ93" s="74"/>
      <c r="GR93" s="73">
        <f t="shared" ca="1" si="802"/>
        <v>0</v>
      </c>
      <c r="GS93" s="64"/>
      <c r="GT93" s="74"/>
      <c r="GU93" s="73">
        <f t="shared" ca="1" si="802"/>
        <v>0</v>
      </c>
      <c r="GV93" s="64"/>
      <c r="GW93" s="74"/>
      <c r="GX93" s="73">
        <f t="shared" ca="1" si="802"/>
        <v>0</v>
      </c>
      <c r="GY93" s="64"/>
      <c r="GZ93" s="74"/>
      <c r="HA93" s="73">
        <f t="shared" ca="1" si="802"/>
        <v>0</v>
      </c>
      <c r="HB93" s="64"/>
      <c r="HC93" s="74"/>
      <c r="HD93" s="73">
        <f t="shared" ca="1" si="802"/>
        <v>0</v>
      </c>
      <c r="HE93" s="64"/>
      <c r="HF93" s="74"/>
      <c r="HG93" s="73">
        <f t="shared" ca="1" si="802"/>
        <v>0</v>
      </c>
      <c r="HH93" s="64"/>
      <c r="HI93" s="74"/>
      <c r="HJ93" s="73">
        <f t="shared" ca="1" si="802"/>
        <v>0</v>
      </c>
      <c r="HK93" s="64"/>
      <c r="HL93" s="74"/>
      <c r="HM93" s="73">
        <f t="shared" ref="HM93:JX93" ca="1" si="803">($M93=HL93)*$D$12</f>
        <v>0</v>
      </c>
      <c r="HN93" s="64"/>
      <c r="HO93" s="74"/>
      <c r="HP93" s="73">
        <f t="shared" ca="1" si="803"/>
        <v>0</v>
      </c>
      <c r="HQ93" s="64"/>
      <c r="HR93" s="74"/>
      <c r="HS93" s="73">
        <f t="shared" ca="1" si="803"/>
        <v>0</v>
      </c>
      <c r="HT93" s="64"/>
      <c r="HU93" s="74"/>
      <c r="HV93" s="73">
        <f t="shared" ca="1" si="803"/>
        <v>0</v>
      </c>
      <c r="HW93" s="64"/>
      <c r="HX93" s="74"/>
      <c r="HY93" s="73">
        <f t="shared" ca="1" si="803"/>
        <v>0</v>
      </c>
      <c r="HZ93" s="64"/>
      <c r="IA93" s="74"/>
      <c r="IB93" s="73">
        <f t="shared" ca="1" si="803"/>
        <v>0</v>
      </c>
      <c r="IC93" s="64"/>
      <c r="ID93" s="74"/>
      <c r="IE93" s="73">
        <f t="shared" ca="1" si="803"/>
        <v>0</v>
      </c>
      <c r="IF93" s="64"/>
      <c r="IG93" s="74"/>
      <c r="IH93" s="73">
        <f t="shared" ca="1" si="803"/>
        <v>0</v>
      </c>
      <c r="II93" s="64"/>
      <c r="IJ93" s="74"/>
      <c r="IK93" s="73">
        <f t="shared" ca="1" si="803"/>
        <v>0</v>
      </c>
      <c r="IL93" s="64"/>
      <c r="IM93" s="74"/>
      <c r="IN93" s="73">
        <f t="shared" ca="1" si="803"/>
        <v>0</v>
      </c>
      <c r="IO93" s="64"/>
      <c r="IP93" s="74"/>
      <c r="IQ93" s="73">
        <f t="shared" ca="1" si="803"/>
        <v>0</v>
      </c>
      <c r="IR93" s="64"/>
      <c r="IS93" s="74"/>
      <c r="IT93" s="73">
        <f t="shared" ca="1" si="803"/>
        <v>0</v>
      </c>
      <c r="IU93" s="64"/>
      <c r="IV93" s="74"/>
      <c r="IW93" s="73">
        <f t="shared" ca="1" si="803"/>
        <v>0</v>
      </c>
      <c r="IX93" s="64"/>
      <c r="IY93" s="74"/>
      <c r="IZ93" s="73">
        <f t="shared" ca="1" si="803"/>
        <v>0</v>
      </c>
      <c r="JA93" s="64"/>
      <c r="JB93" s="74"/>
      <c r="JC93" s="73">
        <f t="shared" ca="1" si="803"/>
        <v>0</v>
      </c>
      <c r="JD93" s="64"/>
      <c r="JE93" s="74"/>
      <c r="JF93" s="73">
        <f t="shared" ca="1" si="803"/>
        <v>0</v>
      </c>
      <c r="JG93" s="64"/>
      <c r="JH93" s="74"/>
      <c r="JI93" s="73">
        <f t="shared" ca="1" si="803"/>
        <v>0</v>
      </c>
      <c r="JJ93" s="64"/>
      <c r="JK93" s="74"/>
      <c r="JL93" s="73">
        <f t="shared" ca="1" si="803"/>
        <v>0</v>
      </c>
      <c r="JM93" s="64"/>
      <c r="JN93" s="74"/>
      <c r="JO93" s="73">
        <f t="shared" ca="1" si="803"/>
        <v>0</v>
      </c>
      <c r="JP93" s="64"/>
      <c r="JQ93" s="74"/>
      <c r="JR93" s="73">
        <f t="shared" ca="1" si="803"/>
        <v>0</v>
      </c>
      <c r="JS93" s="64"/>
      <c r="JT93" s="74"/>
      <c r="JU93" s="73">
        <f t="shared" ca="1" si="803"/>
        <v>0</v>
      </c>
      <c r="JV93" s="64"/>
      <c r="JW93" s="74"/>
      <c r="JX93" s="73">
        <f t="shared" ca="1" si="803"/>
        <v>0</v>
      </c>
      <c r="JY93" s="64"/>
      <c r="JZ93" s="74"/>
      <c r="KA93" s="73">
        <f t="shared" ref="KA93:LE93" ca="1" si="804">($M93=JZ93)*$D$12</f>
        <v>0</v>
      </c>
      <c r="KB93" s="64"/>
      <c r="KC93" s="74"/>
      <c r="KD93" s="73">
        <f t="shared" ca="1" si="804"/>
        <v>0</v>
      </c>
      <c r="KE93" s="64"/>
      <c r="KF93" s="74"/>
      <c r="KG93" s="73">
        <f t="shared" ca="1" si="804"/>
        <v>0</v>
      </c>
      <c r="KH93" s="64"/>
      <c r="KI93" s="74"/>
      <c r="KJ93" s="73">
        <f t="shared" ca="1" si="804"/>
        <v>0</v>
      </c>
      <c r="KK93" s="64"/>
      <c r="KL93" s="74"/>
      <c r="KM93" s="73">
        <f t="shared" ca="1" si="804"/>
        <v>0</v>
      </c>
      <c r="KN93" s="64"/>
      <c r="KO93" s="74"/>
      <c r="KP93" s="73">
        <f t="shared" ca="1" si="804"/>
        <v>0</v>
      </c>
      <c r="KQ93" s="64"/>
      <c r="KR93" s="74"/>
      <c r="KS93" s="73">
        <f t="shared" ca="1" si="804"/>
        <v>0</v>
      </c>
      <c r="KT93" s="64"/>
      <c r="KU93" s="74"/>
      <c r="KV93" s="73">
        <f t="shared" ca="1" si="804"/>
        <v>0</v>
      </c>
      <c r="KW93" s="64"/>
      <c r="KX93" s="74"/>
      <c r="KY93" s="73">
        <f t="shared" ca="1" si="804"/>
        <v>0</v>
      </c>
      <c r="KZ93" s="64"/>
      <c r="LA93" s="74"/>
      <c r="LB93" s="73">
        <f t="shared" ca="1" si="804"/>
        <v>0</v>
      </c>
      <c r="LC93" s="64"/>
      <c r="LD93" s="74"/>
      <c r="LE93" s="73">
        <f t="shared" ca="1" si="804"/>
        <v>0</v>
      </c>
      <c r="LF93" s="64"/>
      <c r="LG93" s="64"/>
    </row>
    <row r="94" spans="1:319">
      <c r="A94" s="49"/>
      <c r="B94" s="49"/>
      <c r="C94" s="49"/>
      <c r="D94" s="49"/>
      <c r="E94" s="111"/>
      <c r="F94" s="127">
        <f t="shared" ref="F94" si="805">$D$13</f>
        <v>5</v>
      </c>
      <c r="G94" s="445">
        <f ca="1">VLOOKUP(H94,Equipos!$Q$1:$R$25,2,0)</f>
        <v>16</v>
      </c>
      <c r="H94" s="446">
        <f ca="1">$H$60</f>
        <v>46199</v>
      </c>
      <c r="I94" s="50"/>
      <c r="J94" s="847"/>
      <c r="K94" s="56" t="str">
        <f>Idiomas!D164</f>
        <v>3rd GROUP D</v>
      </c>
      <c r="L94" s="53"/>
      <c r="M94" s="55" t="str">
        <f ca="1">IF(OR(SUM(WORLDCUP!$AN$30:$AN$33)=12,WORLDCUP!$AJ$99=144),WORLDCUP!AL32,LEFT(K94,1)&amp;RIGHT(K94,1))</f>
        <v>Paraguay</v>
      </c>
      <c r="N94" s="25"/>
      <c r="O94" s="25"/>
      <c r="P94" s="25"/>
      <c r="Q94" s="25"/>
      <c r="R94" s="110"/>
      <c r="S94" s="74" t="s">
        <v>1836</v>
      </c>
      <c r="T94" s="73">
        <f t="shared" ref="T94" ca="1" si="806">($M94=S94)*$D$13</f>
        <v>0</v>
      </c>
      <c r="U94" s="64"/>
      <c r="V94" s="74" t="s">
        <v>1257</v>
      </c>
      <c r="W94" s="73">
        <f t="shared" ref="W94:CH94" ca="1" si="807">($M94=V94)*$D$13</f>
        <v>0</v>
      </c>
      <c r="X94" s="64"/>
      <c r="Y94" s="74" t="s">
        <v>1319</v>
      </c>
      <c r="Z94" s="73">
        <f t="shared" ca="1" si="807"/>
        <v>5</v>
      </c>
      <c r="AA94" s="64"/>
      <c r="AB94" s="74" t="s">
        <v>1257</v>
      </c>
      <c r="AC94" s="73">
        <f t="shared" ca="1" si="807"/>
        <v>0</v>
      </c>
      <c r="AD94" s="64"/>
      <c r="AE94" s="74" t="s">
        <v>1319</v>
      </c>
      <c r="AF94" s="73">
        <f t="shared" ca="1" si="807"/>
        <v>5</v>
      </c>
      <c r="AG94" s="64"/>
      <c r="AH94" s="74" t="s">
        <v>1257</v>
      </c>
      <c r="AI94" s="73">
        <f t="shared" ca="1" si="807"/>
        <v>0</v>
      </c>
      <c r="AJ94" s="64"/>
      <c r="AK94" s="74" t="s">
        <v>1836</v>
      </c>
      <c r="AL94" s="73">
        <f t="shared" ca="1" si="807"/>
        <v>0</v>
      </c>
      <c r="AM94" s="64"/>
      <c r="AN94" s="74" t="s">
        <v>1836</v>
      </c>
      <c r="AO94" s="73">
        <f t="shared" ca="1" si="807"/>
        <v>0</v>
      </c>
      <c r="AP94" s="64"/>
      <c r="AQ94" s="74" t="s">
        <v>1257</v>
      </c>
      <c r="AR94" s="73">
        <f t="shared" ca="1" si="807"/>
        <v>0</v>
      </c>
      <c r="AS94" s="64"/>
      <c r="AT94" s="74" t="s">
        <v>1257</v>
      </c>
      <c r="AU94" s="73">
        <f t="shared" ca="1" si="807"/>
        <v>0</v>
      </c>
      <c r="AV94" s="64"/>
      <c r="AW94" s="74" t="s">
        <v>1257</v>
      </c>
      <c r="AX94" s="73">
        <f t="shared" ca="1" si="807"/>
        <v>0</v>
      </c>
      <c r="AY94" s="64"/>
      <c r="AZ94" s="74" t="s">
        <v>1319</v>
      </c>
      <c r="BA94" s="73">
        <f t="shared" ca="1" si="807"/>
        <v>5</v>
      </c>
      <c r="BB94" s="64"/>
      <c r="BC94" s="74" t="s">
        <v>498</v>
      </c>
      <c r="BD94" s="73">
        <f t="shared" ca="1" si="807"/>
        <v>0</v>
      </c>
      <c r="BE94" s="64"/>
      <c r="BF94" s="74" t="s">
        <v>1257</v>
      </c>
      <c r="BG94" s="73">
        <f t="shared" ca="1" si="807"/>
        <v>0</v>
      </c>
      <c r="BH94" s="64"/>
      <c r="BI94" s="74" t="s">
        <v>498</v>
      </c>
      <c r="BJ94" s="73">
        <f t="shared" ca="1" si="807"/>
        <v>0</v>
      </c>
      <c r="BK94" s="64"/>
      <c r="BL94" s="74" t="s">
        <v>1319</v>
      </c>
      <c r="BM94" s="73">
        <f t="shared" ca="1" si="807"/>
        <v>5</v>
      </c>
      <c r="BN94" s="64"/>
      <c r="BO94" s="74" t="s">
        <v>1319</v>
      </c>
      <c r="BP94" s="73">
        <f t="shared" ca="1" si="807"/>
        <v>5</v>
      </c>
      <c r="BQ94" s="64"/>
      <c r="BR94" s="74" t="s">
        <v>498</v>
      </c>
      <c r="BS94" s="73">
        <f t="shared" ca="1" si="807"/>
        <v>0</v>
      </c>
      <c r="BT94" s="64"/>
      <c r="BU94" s="74" t="s">
        <v>1319</v>
      </c>
      <c r="BV94" s="73">
        <f t="shared" ca="1" si="807"/>
        <v>5</v>
      </c>
      <c r="BW94" s="64"/>
      <c r="BX94" s="74" t="s">
        <v>1319</v>
      </c>
      <c r="BY94" s="73">
        <f t="shared" ca="1" si="807"/>
        <v>5</v>
      </c>
      <c r="BZ94" s="64"/>
      <c r="CA94" s="74" t="s">
        <v>498</v>
      </c>
      <c r="CB94" s="73">
        <f t="shared" ca="1" si="807"/>
        <v>0</v>
      </c>
      <c r="CC94" s="64"/>
      <c r="CD94" s="74" t="s">
        <v>1257</v>
      </c>
      <c r="CE94" s="73">
        <f t="shared" ca="1" si="807"/>
        <v>0</v>
      </c>
      <c r="CF94" s="64"/>
      <c r="CG94" s="74" t="s">
        <v>1257</v>
      </c>
      <c r="CH94" s="73">
        <f t="shared" ca="1" si="807"/>
        <v>0</v>
      </c>
      <c r="CI94" s="64"/>
      <c r="CJ94" s="74" t="s">
        <v>498</v>
      </c>
      <c r="CK94" s="73">
        <f t="shared" ref="CK94:EV94" ca="1" si="808">($M94=CJ94)*$D$13</f>
        <v>0</v>
      </c>
      <c r="CL94" s="64"/>
      <c r="CM94" s="74" t="s">
        <v>1319</v>
      </c>
      <c r="CN94" s="73">
        <f t="shared" ca="1" si="808"/>
        <v>5</v>
      </c>
      <c r="CO94" s="64"/>
      <c r="CP94" s="74" t="s">
        <v>1319</v>
      </c>
      <c r="CQ94" s="73">
        <f t="shared" ca="1" si="808"/>
        <v>5</v>
      </c>
      <c r="CR94" s="64"/>
      <c r="CS94" s="74" t="s">
        <v>498</v>
      </c>
      <c r="CT94" s="73">
        <f t="shared" ca="1" si="808"/>
        <v>0</v>
      </c>
      <c r="CU94" s="64"/>
      <c r="CV94" s="74" t="s">
        <v>1836</v>
      </c>
      <c r="CW94" s="73">
        <f t="shared" ca="1" si="808"/>
        <v>0</v>
      </c>
      <c r="CX94" s="64"/>
      <c r="CY94" s="74" t="s">
        <v>1319</v>
      </c>
      <c r="CZ94" s="73">
        <f t="shared" ca="1" si="808"/>
        <v>5</v>
      </c>
      <c r="DA94" s="64"/>
      <c r="DB94" s="74" t="s">
        <v>498</v>
      </c>
      <c r="DC94" s="73">
        <f t="shared" ca="1" si="808"/>
        <v>0</v>
      </c>
      <c r="DD94" s="64"/>
      <c r="DE94" s="74" t="s">
        <v>1257</v>
      </c>
      <c r="DF94" s="73">
        <f t="shared" ca="1" si="808"/>
        <v>0</v>
      </c>
      <c r="DG94" s="64"/>
      <c r="DH94" s="74" t="s">
        <v>498</v>
      </c>
      <c r="DI94" s="73">
        <f t="shared" ca="1" si="808"/>
        <v>0</v>
      </c>
      <c r="DJ94" s="64"/>
      <c r="DK94" s="74" t="s">
        <v>1836</v>
      </c>
      <c r="DL94" s="73">
        <f t="shared" ca="1" si="808"/>
        <v>0</v>
      </c>
      <c r="DM94" s="64"/>
      <c r="DN94" s="74" t="s">
        <v>498</v>
      </c>
      <c r="DO94" s="73">
        <f t="shared" ca="1" si="808"/>
        <v>0</v>
      </c>
      <c r="DP94" s="64"/>
      <c r="DQ94" s="74" t="s">
        <v>1836</v>
      </c>
      <c r="DR94" s="73">
        <f t="shared" ca="1" si="808"/>
        <v>0</v>
      </c>
      <c r="DS94" s="64"/>
      <c r="DT94" s="74" t="s">
        <v>1836</v>
      </c>
      <c r="DU94" s="73">
        <f t="shared" ca="1" si="808"/>
        <v>0</v>
      </c>
      <c r="DV94" s="64"/>
      <c r="DW94" s="74" t="s">
        <v>1257</v>
      </c>
      <c r="DX94" s="73">
        <f t="shared" ca="1" si="808"/>
        <v>0</v>
      </c>
      <c r="DY94" s="64"/>
      <c r="DZ94" s="74" t="s">
        <v>1257</v>
      </c>
      <c r="EA94" s="73">
        <f t="shared" ca="1" si="808"/>
        <v>0</v>
      </c>
      <c r="EB94" s="64"/>
      <c r="EC94" s="74" t="s">
        <v>1319</v>
      </c>
      <c r="ED94" s="73">
        <f t="shared" ca="1" si="808"/>
        <v>5</v>
      </c>
      <c r="EE94" s="64"/>
      <c r="EF94" s="74" t="s">
        <v>1319</v>
      </c>
      <c r="EG94" s="73">
        <f t="shared" ca="1" si="808"/>
        <v>5</v>
      </c>
      <c r="EH94" s="64"/>
      <c r="EI94" s="74" t="s">
        <v>1319</v>
      </c>
      <c r="EJ94" s="73">
        <f t="shared" ca="1" si="808"/>
        <v>5</v>
      </c>
      <c r="EK94" s="64"/>
      <c r="EL94" s="74" t="s">
        <v>1319</v>
      </c>
      <c r="EM94" s="73">
        <f t="shared" ca="1" si="808"/>
        <v>5</v>
      </c>
      <c r="EN94" s="64"/>
      <c r="EO94" s="74" t="s">
        <v>1319</v>
      </c>
      <c r="EP94" s="73">
        <f t="shared" ca="1" si="808"/>
        <v>5</v>
      </c>
      <c r="EQ94" s="64"/>
      <c r="ER94" s="74" t="s">
        <v>1257</v>
      </c>
      <c r="ES94" s="73">
        <f t="shared" ca="1" si="808"/>
        <v>0</v>
      </c>
      <c r="ET94" s="64"/>
      <c r="EU94" s="74" t="s">
        <v>1319</v>
      </c>
      <c r="EV94" s="73">
        <f t="shared" ca="1" si="808"/>
        <v>5</v>
      </c>
      <c r="EW94" s="64"/>
      <c r="EX94" s="74" t="s">
        <v>1319</v>
      </c>
      <c r="EY94" s="73">
        <f t="shared" ref="EY94:HJ94" ca="1" si="809">($M94=EX94)*$D$13</f>
        <v>5</v>
      </c>
      <c r="EZ94" s="64"/>
      <c r="FA94" s="74" t="s">
        <v>1319</v>
      </c>
      <c r="FB94" s="73">
        <f t="shared" ca="1" si="809"/>
        <v>5</v>
      </c>
      <c r="FC94" s="64"/>
      <c r="FD94" s="74" t="s">
        <v>1257</v>
      </c>
      <c r="FE94" s="73">
        <f t="shared" ca="1" si="809"/>
        <v>0</v>
      </c>
      <c r="FF94" s="64"/>
      <c r="FG94" s="74" t="s">
        <v>1319</v>
      </c>
      <c r="FH94" s="73">
        <f t="shared" ca="1" si="809"/>
        <v>5</v>
      </c>
      <c r="FI94" s="64"/>
      <c r="FJ94" s="74" t="s">
        <v>1319</v>
      </c>
      <c r="FK94" s="73">
        <f t="shared" ca="1" si="809"/>
        <v>5</v>
      </c>
      <c r="FL94" s="64"/>
      <c r="FM94" s="74" t="s">
        <v>1257</v>
      </c>
      <c r="FN94" s="73">
        <f t="shared" ca="1" si="809"/>
        <v>0</v>
      </c>
      <c r="FO94" s="64"/>
      <c r="FP94" s="74" t="s">
        <v>1319</v>
      </c>
      <c r="FQ94" s="73">
        <f t="shared" ca="1" si="809"/>
        <v>5</v>
      </c>
      <c r="FR94" s="64"/>
      <c r="FS94" s="74" t="s">
        <v>1319</v>
      </c>
      <c r="FT94" s="73">
        <f t="shared" ca="1" si="809"/>
        <v>5</v>
      </c>
      <c r="FU94" s="64"/>
      <c r="FV94" s="74" t="s">
        <v>1319</v>
      </c>
      <c r="FW94" s="73">
        <f t="shared" ca="1" si="809"/>
        <v>5</v>
      </c>
      <c r="FX94" s="64"/>
      <c r="FY94" s="74" t="s">
        <v>498</v>
      </c>
      <c r="FZ94" s="73">
        <f t="shared" ca="1" si="809"/>
        <v>0</v>
      </c>
      <c r="GA94" s="64"/>
      <c r="GB94" s="74" t="s">
        <v>498</v>
      </c>
      <c r="GC94" s="73">
        <f t="shared" ca="1" si="809"/>
        <v>0</v>
      </c>
      <c r="GD94" s="64"/>
      <c r="GE94" s="74" t="s">
        <v>1257</v>
      </c>
      <c r="GF94" s="73">
        <f t="shared" ca="1" si="809"/>
        <v>0</v>
      </c>
      <c r="GG94" s="64"/>
      <c r="GH94" s="74" t="s">
        <v>1257</v>
      </c>
      <c r="GI94" s="73">
        <f t="shared" ca="1" si="809"/>
        <v>0</v>
      </c>
      <c r="GJ94" s="64"/>
      <c r="GK94" s="74" t="s">
        <v>498</v>
      </c>
      <c r="GL94" s="73">
        <f t="shared" ca="1" si="809"/>
        <v>0</v>
      </c>
      <c r="GM94" s="64"/>
      <c r="GN94" s="74"/>
      <c r="GO94" s="73">
        <f t="shared" ca="1" si="809"/>
        <v>0</v>
      </c>
      <c r="GP94" s="64"/>
      <c r="GQ94" s="74"/>
      <c r="GR94" s="73">
        <f t="shared" ca="1" si="809"/>
        <v>0</v>
      </c>
      <c r="GS94" s="64"/>
      <c r="GT94" s="74"/>
      <c r="GU94" s="73">
        <f t="shared" ca="1" si="809"/>
        <v>0</v>
      </c>
      <c r="GV94" s="64"/>
      <c r="GW94" s="74"/>
      <c r="GX94" s="73">
        <f t="shared" ca="1" si="809"/>
        <v>0</v>
      </c>
      <c r="GY94" s="64"/>
      <c r="GZ94" s="74"/>
      <c r="HA94" s="73">
        <f t="shared" ca="1" si="809"/>
        <v>0</v>
      </c>
      <c r="HB94" s="64"/>
      <c r="HC94" s="74"/>
      <c r="HD94" s="73">
        <f t="shared" ca="1" si="809"/>
        <v>0</v>
      </c>
      <c r="HE94" s="64"/>
      <c r="HF94" s="74"/>
      <c r="HG94" s="73">
        <f t="shared" ca="1" si="809"/>
        <v>0</v>
      </c>
      <c r="HH94" s="64"/>
      <c r="HI94" s="74"/>
      <c r="HJ94" s="73">
        <f t="shared" ca="1" si="809"/>
        <v>0</v>
      </c>
      <c r="HK94" s="64"/>
      <c r="HL94" s="74"/>
      <c r="HM94" s="73">
        <f t="shared" ref="HM94:JX94" ca="1" si="810">($M94=HL94)*$D$13</f>
        <v>0</v>
      </c>
      <c r="HN94" s="64"/>
      <c r="HO94" s="74"/>
      <c r="HP94" s="73">
        <f t="shared" ca="1" si="810"/>
        <v>0</v>
      </c>
      <c r="HQ94" s="64"/>
      <c r="HR94" s="74"/>
      <c r="HS94" s="73">
        <f t="shared" ca="1" si="810"/>
        <v>0</v>
      </c>
      <c r="HT94" s="64"/>
      <c r="HU94" s="74"/>
      <c r="HV94" s="73">
        <f t="shared" ca="1" si="810"/>
        <v>0</v>
      </c>
      <c r="HW94" s="64"/>
      <c r="HX94" s="74"/>
      <c r="HY94" s="73">
        <f t="shared" ca="1" si="810"/>
        <v>0</v>
      </c>
      <c r="HZ94" s="64"/>
      <c r="IA94" s="74"/>
      <c r="IB94" s="73">
        <f t="shared" ca="1" si="810"/>
        <v>0</v>
      </c>
      <c r="IC94" s="64"/>
      <c r="ID94" s="74"/>
      <c r="IE94" s="73">
        <f t="shared" ca="1" si="810"/>
        <v>0</v>
      </c>
      <c r="IF94" s="64"/>
      <c r="IG94" s="74"/>
      <c r="IH94" s="73">
        <f t="shared" ca="1" si="810"/>
        <v>0</v>
      </c>
      <c r="II94" s="64"/>
      <c r="IJ94" s="74"/>
      <c r="IK94" s="73">
        <f t="shared" ca="1" si="810"/>
        <v>0</v>
      </c>
      <c r="IL94" s="64"/>
      <c r="IM94" s="74"/>
      <c r="IN94" s="73">
        <f t="shared" ca="1" si="810"/>
        <v>0</v>
      </c>
      <c r="IO94" s="64"/>
      <c r="IP94" s="74"/>
      <c r="IQ94" s="73">
        <f t="shared" ca="1" si="810"/>
        <v>0</v>
      </c>
      <c r="IR94" s="64"/>
      <c r="IS94" s="74"/>
      <c r="IT94" s="73">
        <f t="shared" ca="1" si="810"/>
        <v>0</v>
      </c>
      <c r="IU94" s="64"/>
      <c r="IV94" s="74"/>
      <c r="IW94" s="73">
        <f t="shared" ca="1" si="810"/>
        <v>0</v>
      </c>
      <c r="IX94" s="64"/>
      <c r="IY94" s="74"/>
      <c r="IZ94" s="73">
        <f t="shared" ca="1" si="810"/>
        <v>0</v>
      </c>
      <c r="JA94" s="64"/>
      <c r="JB94" s="74"/>
      <c r="JC94" s="73">
        <f t="shared" ca="1" si="810"/>
        <v>0</v>
      </c>
      <c r="JD94" s="64"/>
      <c r="JE94" s="74"/>
      <c r="JF94" s="73">
        <f t="shared" ca="1" si="810"/>
        <v>0</v>
      </c>
      <c r="JG94" s="64"/>
      <c r="JH94" s="74"/>
      <c r="JI94" s="73">
        <f t="shared" ca="1" si="810"/>
        <v>0</v>
      </c>
      <c r="JJ94" s="64"/>
      <c r="JK94" s="74"/>
      <c r="JL94" s="73">
        <f t="shared" ca="1" si="810"/>
        <v>0</v>
      </c>
      <c r="JM94" s="64"/>
      <c r="JN94" s="74"/>
      <c r="JO94" s="73">
        <f t="shared" ca="1" si="810"/>
        <v>0</v>
      </c>
      <c r="JP94" s="64"/>
      <c r="JQ94" s="74"/>
      <c r="JR94" s="73">
        <f t="shared" ca="1" si="810"/>
        <v>0</v>
      </c>
      <c r="JS94" s="64"/>
      <c r="JT94" s="74"/>
      <c r="JU94" s="73">
        <f t="shared" ca="1" si="810"/>
        <v>0</v>
      </c>
      <c r="JV94" s="64"/>
      <c r="JW94" s="74"/>
      <c r="JX94" s="73">
        <f t="shared" ca="1" si="810"/>
        <v>0</v>
      </c>
      <c r="JY94" s="64"/>
      <c r="JZ94" s="74"/>
      <c r="KA94" s="73">
        <f t="shared" ref="KA94:LE94" ca="1" si="811">($M94=JZ94)*$D$13</f>
        <v>0</v>
      </c>
      <c r="KB94" s="64"/>
      <c r="KC94" s="74"/>
      <c r="KD94" s="73">
        <f t="shared" ca="1" si="811"/>
        <v>0</v>
      </c>
      <c r="KE94" s="64"/>
      <c r="KF94" s="74"/>
      <c r="KG94" s="73">
        <f t="shared" ca="1" si="811"/>
        <v>0</v>
      </c>
      <c r="KH94" s="64"/>
      <c r="KI94" s="74"/>
      <c r="KJ94" s="73">
        <f t="shared" ca="1" si="811"/>
        <v>0</v>
      </c>
      <c r="KK94" s="64"/>
      <c r="KL94" s="74"/>
      <c r="KM94" s="73">
        <f t="shared" ca="1" si="811"/>
        <v>0</v>
      </c>
      <c r="KN94" s="64"/>
      <c r="KO94" s="74"/>
      <c r="KP94" s="73">
        <f t="shared" ca="1" si="811"/>
        <v>0</v>
      </c>
      <c r="KQ94" s="64"/>
      <c r="KR94" s="74"/>
      <c r="KS94" s="73">
        <f t="shared" ca="1" si="811"/>
        <v>0</v>
      </c>
      <c r="KT94" s="64"/>
      <c r="KU94" s="74"/>
      <c r="KV94" s="73">
        <f t="shared" ca="1" si="811"/>
        <v>0</v>
      </c>
      <c r="KW94" s="64"/>
      <c r="KX94" s="74"/>
      <c r="KY94" s="73">
        <f t="shared" ca="1" si="811"/>
        <v>0</v>
      </c>
      <c r="KZ94" s="64"/>
      <c r="LA94" s="74"/>
      <c r="LB94" s="73">
        <f t="shared" ca="1" si="811"/>
        <v>0</v>
      </c>
      <c r="LC94" s="64"/>
      <c r="LD94" s="74"/>
      <c r="LE94" s="73">
        <f t="shared" ca="1" si="811"/>
        <v>0</v>
      </c>
      <c r="LF94" s="64"/>
      <c r="LG94" s="64"/>
    </row>
    <row r="95" spans="1:319">
      <c r="A95" s="49"/>
      <c r="B95" s="49"/>
      <c r="C95" s="49"/>
      <c r="D95" s="49"/>
      <c r="E95" s="111"/>
      <c r="F95" s="127">
        <f t="shared" ref="F95" si="812">$D$14</f>
        <v>3</v>
      </c>
      <c r="G95" s="445">
        <f ca="1">VLOOKUP(H95,Equipos!$Q$1:$R$25,2,0)</f>
        <v>16</v>
      </c>
      <c r="H95" s="446">
        <f ca="1">$H$60</f>
        <v>46199</v>
      </c>
      <c r="I95" s="50"/>
      <c r="J95" s="847"/>
      <c r="K95" s="56" t="str">
        <f>Idiomas!D165</f>
        <v>4th GROUP D</v>
      </c>
      <c r="L95" s="53"/>
      <c r="M95" s="55" t="str">
        <f ca="1">IF(OR(SUM(WORLDCUP!$AN$30:$AN$33)=12,WORLDCUP!$AJ$99=144),WORLDCUP!AL33,LEFT(K95,1)&amp;RIGHT(K95,1))</f>
        <v>Turkey</v>
      </c>
      <c r="N95" s="25"/>
      <c r="O95" s="25"/>
      <c r="P95" s="25"/>
      <c r="Q95" s="25"/>
      <c r="R95" s="110"/>
      <c r="S95" s="74" t="s">
        <v>1319</v>
      </c>
      <c r="T95" s="73">
        <f t="shared" ref="T95" ca="1" si="813">($M95=S95)*$D$14</f>
        <v>0</v>
      </c>
      <c r="U95" s="64"/>
      <c r="V95" s="74" t="s">
        <v>1319</v>
      </c>
      <c r="W95" s="73">
        <f t="shared" ref="W95:CH95" ca="1" si="814">($M95=V95)*$D$14</f>
        <v>0</v>
      </c>
      <c r="X95" s="64"/>
      <c r="Y95" s="74" t="s">
        <v>1257</v>
      </c>
      <c r="Z95" s="73">
        <f t="shared" ca="1" si="814"/>
        <v>0</v>
      </c>
      <c r="AA95" s="64"/>
      <c r="AB95" s="74" t="s">
        <v>1319</v>
      </c>
      <c r="AC95" s="73">
        <f t="shared" ca="1" si="814"/>
        <v>0</v>
      </c>
      <c r="AD95" s="64"/>
      <c r="AE95" s="74" t="s">
        <v>1257</v>
      </c>
      <c r="AF95" s="73">
        <f t="shared" ca="1" si="814"/>
        <v>0</v>
      </c>
      <c r="AG95" s="64"/>
      <c r="AH95" s="74" t="s">
        <v>1319</v>
      </c>
      <c r="AI95" s="73">
        <f t="shared" ca="1" si="814"/>
        <v>0</v>
      </c>
      <c r="AJ95" s="64"/>
      <c r="AK95" s="74" t="s">
        <v>1319</v>
      </c>
      <c r="AL95" s="73">
        <f t="shared" ca="1" si="814"/>
        <v>0</v>
      </c>
      <c r="AM95" s="64"/>
      <c r="AN95" s="74" t="s">
        <v>1257</v>
      </c>
      <c r="AO95" s="73">
        <f t="shared" ca="1" si="814"/>
        <v>0</v>
      </c>
      <c r="AP95" s="64"/>
      <c r="AQ95" s="74" t="s">
        <v>1319</v>
      </c>
      <c r="AR95" s="73">
        <f t="shared" ca="1" si="814"/>
        <v>0</v>
      </c>
      <c r="AS95" s="64"/>
      <c r="AT95" s="74" t="s">
        <v>498</v>
      </c>
      <c r="AU95" s="73">
        <f t="shared" ca="1" si="814"/>
        <v>0</v>
      </c>
      <c r="AV95" s="64"/>
      <c r="AW95" s="74" t="s">
        <v>1319</v>
      </c>
      <c r="AX95" s="73">
        <f t="shared" ca="1" si="814"/>
        <v>0</v>
      </c>
      <c r="AY95" s="64"/>
      <c r="AZ95" s="74" t="s">
        <v>1257</v>
      </c>
      <c r="BA95" s="73">
        <f t="shared" ca="1" si="814"/>
        <v>0</v>
      </c>
      <c r="BB95" s="64"/>
      <c r="BC95" s="74" t="s">
        <v>1319</v>
      </c>
      <c r="BD95" s="73">
        <f t="shared" ca="1" si="814"/>
        <v>0</v>
      </c>
      <c r="BE95" s="64"/>
      <c r="BF95" s="74" t="s">
        <v>1319</v>
      </c>
      <c r="BG95" s="73">
        <f t="shared" ca="1" si="814"/>
        <v>0</v>
      </c>
      <c r="BH95" s="64"/>
      <c r="BI95" s="74" t="s">
        <v>1319</v>
      </c>
      <c r="BJ95" s="73">
        <f t="shared" ca="1" si="814"/>
        <v>0</v>
      </c>
      <c r="BK95" s="64"/>
      <c r="BL95" s="74" t="s">
        <v>1257</v>
      </c>
      <c r="BM95" s="73">
        <f t="shared" ca="1" si="814"/>
        <v>0</v>
      </c>
      <c r="BN95" s="64"/>
      <c r="BO95" s="74" t="s">
        <v>1257</v>
      </c>
      <c r="BP95" s="73">
        <f t="shared" ca="1" si="814"/>
        <v>0</v>
      </c>
      <c r="BQ95" s="64"/>
      <c r="BR95" s="74" t="s">
        <v>1319</v>
      </c>
      <c r="BS95" s="73">
        <f t="shared" ca="1" si="814"/>
        <v>0</v>
      </c>
      <c r="BT95" s="64"/>
      <c r="BU95" s="74" t="s">
        <v>1257</v>
      </c>
      <c r="BV95" s="73">
        <f t="shared" ca="1" si="814"/>
        <v>0</v>
      </c>
      <c r="BW95" s="64"/>
      <c r="BX95" s="74" t="s">
        <v>1257</v>
      </c>
      <c r="BY95" s="73">
        <f t="shared" ca="1" si="814"/>
        <v>0</v>
      </c>
      <c r="BZ95" s="64"/>
      <c r="CA95" s="74" t="s">
        <v>1257</v>
      </c>
      <c r="CB95" s="73">
        <f t="shared" ca="1" si="814"/>
        <v>0</v>
      </c>
      <c r="CC95" s="64"/>
      <c r="CD95" s="74" t="s">
        <v>1319</v>
      </c>
      <c r="CE95" s="73">
        <f t="shared" ca="1" si="814"/>
        <v>0</v>
      </c>
      <c r="CF95" s="64"/>
      <c r="CG95" s="74" t="s">
        <v>1319</v>
      </c>
      <c r="CH95" s="73">
        <f t="shared" ca="1" si="814"/>
        <v>0</v>
      </c>
      <c r="CI95" s="64"/>
      <c r="CJ95" s="74" t="s">
        <v>1257</v>
      </c>
      <c r="CK95" s="73">
        <f t="shared" ref="CK95:EV95" ca="1" si="815">($M95=CJ95)*$D$14</f>
        <v>0</v>
      </c>
      <c r="CL95" s="64"/>
      <c r="CM95" s="74" t="s">
        <v>1257</v>
      </c>
      <c r="CN95" s="73">
        <f t="shared" ca="1" si="815"/>
        <v>0</v>
      </c>
      <c r="CO95" s="64"/>
      <c r="CP95" s="74" t="s">
        <v>1257</v>
      </c>
      <c r="CQ95" s="73">
        <f t="shared" ca="1" si="815"/>
        <v>0</v>
      </c>
      <c r="CR95" s="64"/>
      <c r="CS95" s="74" t="s">
        <v>1319</v>
      </c>
      <c r="CT95" s="73">
        <f t="shared" ca="1" si="815"/>
        <v>0</v>
      </c>
      <c r="CU95" s="64"/>
      <c r="CV95" s="74" t="s">
        <v>1257</v>
      </c>
      <c r="CW95" s="73">
        <f t="shared" ca="1" si="815"/>
        <v>0</v>
      </c>
      <c r="CX95" s="64"/>
      <c r="CY95" s="74" t="s">
        <v>498</v>
      </c>
      <c r="CZ95" s="73">
        <f t="shared" ca="1" si="815"/>
        <v>0</v>
      </c>
      <c r="DA95" s="64"/>
      <c r="DB95" s="74" t="s">
        <v>1257</v>
      </c>
      <c r="DC95" s="73">
        <f t="shared" ca="1" si="815"/>
        <v>0</v>
      </c>
      <c r="DD95" s="64"/>
      <c r="DE95" s="74" t="s">
        <v>1319</v>
      </c>
      <c r="DF95" s="73">
        <f t="shared" ca="1" si="815"/>
        <v>0</v>
      </c>
      <c r="DG95" s="64"/>
      <c r="DH95" s="74" t="s">
        <v>1319</v>
      </c>
      <c r="DI95" s="73">
        <f t="shared" ca="1" si="815"/>
        <v>0</v>
      </c>
      <c r="DJ95" s="64"/>
      <c r="DK95" s="74" t="s">
        <v>1257</v>
      </c>
      <c r="DL95" s="73">
        <f t="shared" ca="1" si="815"/>
        <v>0</v>
      </c>
      <c r="DM95" s="64"/>
      <c r="DN95" s="74" t="s">
        <v>1319</v>
      </c>
      <c r="DO95" s="73">
        <f t="shared" ca="1" si="815"/>
        <v>0</v>
      </c>
      <c r="DP95" s="64"/>
      <c r="DQ95" s="74" t="s">
        <v>1319</v>
      </c>
      <c r="DR95" s="73">
        <f t="shared" ca="1" si="815"/>
        <v>0</v>
      </c>
      <c r="DS95" s="64"/>
      <c r="DT95" s="74" t="s">
        <v>1257</v>
      </c>
      <c r="DU95" s="73">
        <f t="shared" ca="1" si="815"/>
        <v>0</v>
      </c>
      <c r="DV95" s="64"/>
      <c r="DW95" s="74" t="s">
        <v>1319</v>
      </c>
      <c r="DX95" s="73">
        <f t="shared" ca="1" si="815"/>
        <v>0</v>
      </c>
      <c r="DY95" s="64"/>
      <c r="DZ95" s="74" t="s">
        <v>1319</v>
      </c>
      <c r="EA95" s="73">
        <f t="shared" ca="1" si="815"/>
        <v>0</v>
      </c>
      <c r="EB95" s="64"/>
      <c r="EC95" s="74" t="s">
        <v>1257</v>
      </c>
      <c r="ED95" s="73">
        <f t="shared" ca="1" si="815"/>
        <v>0</v>
      </c>
      <c r="EE95" s="64"/>
      <c r="EF95" s="74" t="s">
        <v>1257</v>
      </c>
      <c r="EG95" s="73">
        <f t="shared" ca="1" si="815"/>
        <v>0</v>
      </c>
      <c r="EH95" s="64"/>
      <c r="EI95" s="74" t="s">
        <v>1257</v>
      </c>
      <c r="EJ95" s="73">
        <f t="shared" ca="1" si="815"/>
        <v>0</v>
      </c>
      <c r="EK95" s="64"/>
      <c r="EL95" s="74" t="s">
        <v>1257</v>
      </c>
      <c r="EM95" s="73">
        <f t="shared" ca="1" si="815"/>
        <v>0</v>
      </c>
      <c r="EN95" s="64"/>
      <c r="EO95" s="74" t="s">
        <v>1257</v>
      </c>
      <c r="EP95" s="73">
        <f t="shared" ca="1" si="815"/>
        <v>0</v>
      </c>
      <c r="EQ95" s="64"/>
      <c r="ER95" s="74" t="s">
        <v>1319</v>
      </c>
      <c r="ES95" s="73">
        <f t="shared" ca="1" si="815"/>
        <v>0</v>
      </c>
      <c r="ET95" s="64"/>
      <c r="EU95" s="74" t="s">
        <v>1257</v>
      </c>
      <c r="EV95" s="73">
        <f t="shared" ca="1" si="815"/>
        <v>0</v>
      </c>
      <c r="EW95" s="64"/>
      <c r="EX95" s="74" t="s">
        <v>1257</v>
      </c>
      <c r="EY95" s="73">
        <f t="shared" ref="EY95:HJ95" ca="1" si="816">($M95=EX95)*$D$14</f>
        <v>0</v>
      </c>
      <c r="EZ95" s="64"/>
      <c r="FA95" s="74" t="s">
        <v>1257</v>
      </c>
      <c r="FB95" s="73">
        <f t="shared" ca="1" si="816"/>
        <v>0</v>
      </c>
      <c r="FC95" s="64"/>
      <c r="FD95" s="74" t="s">
        <v>1319</v>
      </c>
      <c r="FE95" s="73">
        <f t="shared" ca="1" si="816"/>
        <v>0</v>
      </c>
      <c r="FF95" s="64"/>
      <c r="FG95" s="74" t="s">
        <v>1257</v>
      </c>
      <c r="FH95" s="73">
        <f t="shared" ca="1" si="816"/>
        <v>0</v>
      </c>
      <c r="FI95" s="64"/>
      <c r="FJ95" s="74" t="s">
        <v>1257</v>
      </c>
      <c r="FK95" s="73">
        <f t="shared" ca="1" si="816"/>
        <v>0</v>
      </c>
      <c r="FL95" s="64"/>
      <c r="FM95" s="74" t="s">
        <v>498</v>
      </c>
      <c r="FN95" s="73">
        <f t="shared" ca="1" si="816"/>
        <v>0</v>
      </c>
      <c r="FO95" s="64"/>
      <c r="FP95" s="74" t="s">
        <v>1257</v>
      </c>
      <c r="FQ95" s="73">
        <f t="shared" ca="1" si="816"/>
        <v>0</v>
      </c>
      <c r="FR95" s="64"/>
      <c r="FS95" s="74" t="s">
        <v>1257</v>
      </c>
      <c r="FT95" s="73">
        <f t="shared" ca="1" si="816"/>
        <v>0</v>
      </c>
      <c r="FU95" s="64"/>
      <c r="FV95" s="74" t="s">
        <v>1257</v>
      </c>
      <c r="FW95" s="73">
        <f t="shared" ca="1" si="816"/>
        <v>0</v>
      </c>
      <c r="FX95" s="64"/>
      <c r="FY95" s="74" t="s">
        <v>1257</v>
      </c>
      <c r="FZ95" s="73">
        <f t="shared" ca="1" si="816"/>
        <v>0</v>
      </c>
      <c r="GA95" s="64"/>
      <c r="GB95" s="74" t="s">
        <v>1319</v>
      </c>
      <c r="GC95" s="73">
        <f t="shared" ca="1" si="816"/>
        <v>0</v>
      </c>
      <c r="GD95" s="64"/>
      <c r="GE95" s="74" t="s">
        <v>1319</v>
      </c>
      <c r="GF95" s="73">
        <f t="shared" ca="1" si="816"/>
        <v>0</v>
      </c>
      <c r="GG95" s="64"/>
      <c r="GH95" s="74" t="s">
        <v>1319</v>
      </c>
      <c r="GI95" s="73">
        <f t="shared" ca="1" si="816"/>
        <v>0</v>
      </c>
      <c r="GJ95" s="64"/>
      <c r="GK95" s="74" t="s">
        <v>1257</v>
      </c>
      <c r="GL95" s="73">
        <f t="shared" ca="1" si="816"/>
        <v>0</v>
      </c>
      <c r="GM95" s="64"/>
      <c r="GN95" s="74"/>
      <c r="GO95" s="73">
        <f t="shared" ca="1" si="816"/>
        <v>0</v>
      </c>
      <c r="GP95" s="64"/>
      <c r="GQ95" s="74"/>
      <c r="GR95" s="73">
        <f t="shared" ca="1" si="816"/>
        <v>0</v>
      </c>
      <c r="GS95" s="64"/>
      <c r="GT95" s="74"/>
      <c r="GU95" s="73">
        <f t="shared" ca="1" si="816"/>
        <v>0</v>
      </c>
      <c r="GV95" s="64"/>
      <c r="GW95" s="74"/>
      <c r="GX95" s="73">
        <f t="shared" ca="1" si="816"/>
        <v>0</v>
      </c>
      <c r="GY95" s="64"/>
      <c r="GZ95" s="74"/>
      <c r="HA95" s="73">
        <f t="shared" ca="1" si="816"/>
        <v>0</v>
      </c>
      <c r="HB95" s="64"/>
      <c r="HC95" s="74"/>
      <c r="HD95" s="73">
        <f t="shared" ca="1" si="816"/>
        <v>0</v>
      </c>
      <c r="HE95" s="64"/>
      <c r="HF95" s="74"/>
      <c r="HG95" s="73">
        <f t="shared" ca="1" si="816"/>
        <v>0</v>
      </c>
      <c r="HH95" s="64"/>
      <c r="HI95" s="74"/>
      <c r="HJ95" s="73">
        <f t="shared" ca="1" si="816"/>
        <v>0</v>
      </c>
      <c r="HK95" s="64"/>
      <c r="HL95" s="74"/>
      <c r="HM95" s="73">
        <f t="shared" ref="HM95:JX95" ca="1" si="817">($M95=HL95)*$D$14</f>
        <v>0</v>
      </c>
      <c r="HN95" s="64"/>
      <c r="HO95" s="74"/>
      <c r="HP95" s="73">
        <f t="shared" ca="1" si="817"/>
        <v>0</v>
      </c>
      <c r="HQ95" s="64"/>
      <c r="HR95" s="74"/>
      <c r="HS95" s="73">
        <f t="shared" ca="1" si="817"/>
        <v>0</v>
      </c>
      <c r="HT95" s="64"/>
      <c r="HU95" s="74"/>
      <c r="HV95" s="73">
        <f t="shared" ca="1" si="817"/>
        <v>0</v>
      </c>
      <c r="HW95" s="64"/>
      <c r="HX95" s="74"/>
      <c r="HY95" s="73">
        <f t="shared" ca="1" si="817"/>
        <v>0</v>
      </c>
      <c r="HZ95" s="64"/>
      <c r="IA95" s="74"/>
      <c r="IB95" s="73">
        <f t="shared" ca="1" si="817"/>
        <v>0</v>
      </c>
      <c r="IC95" s="64"/>
      <c r="ID95" s="74"/>
      <c r="IE95" s="73">
        <f t="shared" ca="1" si="817"/>
        <v>0</v>
      </c>
      <c r="IF95" s="64"/>
      <c r="IG95" s="74"/>
      <c r="IH95" s="73">
        <f t="shared" ca="1" si="817"/>
        <v>0</v>
      </c>
      <c r="II95" s="64"/>
      <c r="IJ95" s="74"/>
      <c r="IK95" s="73">
        <f t="shared" ca="1" si="817"/>
        <v>0</v>
      </c>
      <c r="IL95" s="64"/>
      <c r="IM95" s="74"/>
      <c r="IN95" s="73">
        <f t="shared" ca="1" si="817"/>
        <v>0</v>
      </c>
      <c r="IO95" s="64"/>
      <c r="IP95" s="74"/>
      <c r="IQ95" s="73">
        <f t="shared" ca="1" si="817"/>
        <v>0</v>
      </c>
      <c r="IR95" s="64"/>
      <c r="IS95" s="74"/>
      <c r="IT95" s="73">
        <f t="shared" ca="1" si="817"/>
        <v>0</v>
      </c>
      <c r="IU95" s="64"/>
      <c r="IV95" s="74"/>
      <c r="IW95" s="73">
        <f t="shared" ca="1" si="817"/>
        <v>0</v>
      </c>
      <c r="IX95" s="64"/>
      <c r="IY95" s="74"/>
      <c r="IZ95" s="73">
        <f t="shared" ca="1" si="817"/>
        <v>0</v>
      </c>
      <c r="JA95" s="64"/>
      <c r="JB95" s="74"/>
      <c r="JC95" s="73">
        <f t="shared" ca="1" si="817"/>
        <v>0</v>
      </c>
      <c r="JD95" s="64"/>
      <c r="JE95" s="74"/>
      <c r="JF95" s="73">
        <f t="shared" ca="1" si="817"/>
        <v>0</v>
      </c>
      <c r="JG95" s="64"/>
      <c r="JH95" s="74"/>
      <c r="JI95" s="73">
        <f t="shared" ca="1" si="817"/>
        <v>0</v>
      </c>
      <c r="JJ95" s="64"/>
      <c r="JK95" s="74"/>
      <c r="JL95" s="73">
        <f t="shared" ca="1" si="817"/>
        <v>0</v>
      </c>
      <c r="JM95" s="64"/>
      <c r="JN95" s="74"/>
      <c r="JO95" s="73">
        <f t="shared" ca="1" si="817"/>
        <v>0</v>
      </c>
      <c r="JP95" s="64"/>
      <c r="JQ95" s="74"/>
      <c r="JR95" s="73">
        <f t="shared" ca="1" si="817"/>
        <v>0</v>
      </c>
      <c r="JS95" s="64"/>
      <c r="JT95" s="74"/>
      <c r="JU95" s="73">
        <f t="shared" ca="1" si="817"/>
        <v>0</v>
      </c>
      <c r="JV95" s="64"/>
      <c r="JW95" s="74"/>
      <c r="JX95" s="73">
        <f t="shared" ca="1" si="817"/>
        <v>0</v>
      </c>
      <c r="JY95" s="64"/>
      <c r="JZ95" s="74"/>
      <c r="KA95" s="73">
        <f t="shared" ref="KA95:LE95" ca="1" si="818">($M95=JZ95)*$D$14</f>
        <v>0</v>
      </c>
      <c r="KB95" s="64"/>
      <c r="KC95" s="74"/>
      <c r="KD95" s="73">
        <f t="shared" ca="1" si="818"/>
        <v>0</v>
      </c>
      <c r="KE95" s="64"/>
      <c r="KF95" s="74"/>
      <c r="KG95" s="73">
        <f t="shared" ca="1" si="818"/>
        <v>0</v>
      </c>
      <c r="KH95" s="64"/>
      <c r="KI95" s="74"/>
      <c r="KJ95" s="73">
        <f t="shared" ca="1" si="818"/>
        <v>0</v>
      </c>
      <c r="KK95" s="64"/>
      <c r="KL95" s="74"/>
      <c r="KM95" s="73">
        <f t="shared" ca="1" si="818"/>
        <v>0</v>
      </c>
      <c r="KN95" s="64"/>
      <c r="KO95" s="74"/>
      <c r="KP95" s="73">
        <f t="shared" ca="1" si="818"/>
        <v>0</v>
      </c>
      <c r="KQ95" s="64"/>
      <c r="KR95" s="74"/>
      <c r="KS95" s="73">
        <f t="shared" ca="1" si="818"/>
        <v>0</v>
      </c>
      <c r="KT95" s="64"/>
      <c r="KU95" s="74"/>
      <c r="KV95" s="73">
        <f t="shared" ca="1" si="818"/>
        <v>0</v>
      </c>
      <c r="KW95" s="64"/>
      <c r="KX95" s="74"/>
      <c r="KY95" s="73">
        <f t="shared" ca="1" si="818"/>
        <v>0</v>
      </c>
      <c r="KZ95" s="64"/>
      <c r="LA95" s="74"/>
      <c r="LB95" s="73">
        <f t="shared" ca="1" si="818"/>
        <v>0</v>
      </c>
      <c r="LC95" s="64"/>
      <c r="LD95" s="74"/>
      <c r="LE95" s="73">
        <f t="shared" ca="1" si="818"/>
        <v>0</v>
      </c>
      <c r="LF95" s="64"/>
      <c r="LG95" s="64"/>
    </row>
    <row r="96" spans="1:319">
      <c r="A96" s="49"/>
      <c r="B96" s="49"/>
      <c r="C96" s="49"/>
      <c r="D96" s="49"/>
      <c r="E96" s="111"/>
      <c r="F96" s="127">
        <f t="shared" ref="F96" si="819">$D$11</f>
        <v>20</v>
      </c>
      <c r="G96" s="445">
        <f ca="1">VLOOKUP(H96,Equipos!$Q$1:$R$25,2,0)</f>
        <v>16</v>
      </c>
      <c r="H96" s="446">
        <f ca="1">$H$62</f>
        <v>46199</v>
      </c>
      <c r="I96" s="50"/>
      <c r="J96" s="848" t="s">
        <v>3</v>
      </c>
      <c r="K96" s="56" t="str">
        <f>Idiomas!D166</f>
        <v>1st GROUP E</v>
      </c>
      <c r="L96" s="53"/>
      <c r="M96" s="55" t="str">
        <f ca="1">IF(OR(SUM(WORLDCUP!$AN$38:$AN$41)=12,WORLDCUP!$AJ$99=144),WORLDCUP!AL38,LEFT(K96,1)&amp;RIGHT(K96,1))</f>
        <v>Germany</v>
      </c>
      <c r="N96" s="25"/>
      <c r="O96" s="25"/>
      <c r="P96" s="25"/>
      <c r="Q96" s="25"/>
      <c r="R96" s="110"/>
      <c r="S96" s="74" t="s">
        <v>297</v>
      </c>
      <c r="T96" s="73">
        <f t="shared" ref="T96" ca="1" si="820">($M96=S96)*$D$11</f>
        <v>20</v>
      </c>
      <c r="U96" s="64"/>
      <c r="V96" s="74" t="s">
        <v>297</v>
      </c>
      <c r="W96" s="73">
        <f t="shared" ref="W96:CH96" ca="1" si="821">($M96=V96)*$D$11</f>
        <v>20</v>
      </c>
      <c r="X96" s="64"/>
      <c r="Y96" s="74" t="s">
        <v>297</v>
      </c>
      <c r="Z96" s="73">
        <f t="shared" ca="1" si="821"/>
        <v>20</v>
      </c>
      <c r="AA96" s="64"/>
      <c r="AB96" s="74" t="s">
        <v>297</v>
      </c>
      <c r="AC96" s="73">
        <f t="shared" ca="1" si="821"/>
        <v>20</v>
      </c>
      <c r="AD96" s="64"/>
      <c r="AE96" s="74" t="s">
        <v>297</v>
      </c>
      <c r="AF96" s="73">
        <f t="shared" ca="1" si="821"/>
        <v>20</v>
      </c>
      <c r="AG96" s="64"/>
      <c r="AH96" s="74" t="s">
        <v>297</v>
      </c>
      <c r="AI96" s="73">
        <f t="shared" ca="1" si="821"/>
        <v>20</v>
      </c>
      <c r="AJ96" s="64"/>
      <c r="AK96" s="74" t="s">
        <v>297</v>
      </c>
      <c r="AL96" s="73">
        <f t="shared" ca="1" si="821"/>
        <v>20</v>
      </c>
      <c r="AM96" s="64"/>
      <c r="AN96" s="74" t="s">
        <v>297</v>
      </c>
      <c r="AO96" s="73">
        <f t="shared" ca="1" si="821"/>
        <v>20</v>
      </c>
      <c r="AP96" s="64"/>
      <c r="AQ96" s="74" t="s">
        <v>297</v>
      </c>
      <c r="AR96" s="73">
        <f t="shared" ca="1" si="821"/>
        <v>20</v>
      </c>
      <c r="AS96" s="64"/>
      <c r="AT96" s="74" t="s">
        <v>297</v>
      </c>
      <c r="AU96" s="73">
        <f t="shared" ca="1" si="821"/>
        <v>20</v>
      </c>
      <c r="AV96" s="64"/>
      <c r="AW96" s="74" t="s">
        <v>297</v>
      </c>
      <c r="AX96" s="73">
        <f t="shared" ca="1" si="821"/>
        <v>20</v>
      </c>
      <c r="AY96" s="64"/>
      <c r="AZ96" s="74" t="s">
        <v>297</v>
      </c>
      <c r="BA96" s="73">
        <f t="shared" ca="1" si="821"/>
        <v>20</v>
      </c>
      <c r="BB96" s="64"/>
      <c r="BC96" s="74" t="s">
        <v>297</v>
      </c>
      <c r="BD96" s="73">
        <f t="shared" ca="1" si="821"/>
        <v>20</v>
      </c>
      <c r="BE96" s="64"/>
      <c r="BF96" s="74" t="s">
        <v>297</v>
      </c>
      <c r="BG96" s="73">
        <f t="shared" ca="1" si="821"/>
        <v>20</v>
      </c>
      <c r="BH96" s="64"/>
      <c r="BI96" s="74" t="s">
        <v>297</v>
      </c>
      <c r="BJ96" s="73">
        <f t="shared" ca="1" si="821"/>
        <v>20</v>
      </c>
      <c r="BK96" s="64"/>
      <c r="BL96" s="74" t="s">
        <v>297</v>
      </c>
      <c r="BM96" s="73">
        <f t="shared" ca="1" si="821"/>
        <v>20</v>
      </c>
      <c r="BN96" s="64"/>
      <c r="BO96" s="74" t="s">
        <v>297</v>
      </c>
      <c r="BP96" s="73">
        <f t="shared" ca="1" si="821"/>
        <v>20</v>
      </c>
      <c r="BQ96" s="64"/>
      <c r="BR96" s="74" t="s">
        <v>297</v>
      </c>
      <c r="BS96" s="73">
        <f t="shared" ca="1" si="821"/>
        <v>20</v>
      </c>
      <c r="BT96" s="64"/>
      <c r="BU96" s="74" t="s">
        <v>297</v>
      </c>
      <c r="BV96" s="73">
        <f t="shared" ca="1" si="821"/>
        <v>20</v>
      </c>
      <c r="BW96" s="64"/>
      <c r="BX96" s="74" t="s">
        <v>297</v>
      </c>
      <c r="BY96" s="73">
        <f t="shared" ca="1" si="821"/>
        <v>20</v>
      </c>
      <c r="BZ96" s="64"/>
      <c r="CA96" s="74" t="s">
        <v>297</v>
      </c>
      <c r="CB96" s="73">
        <f t="shared" ca="1" si="821"/>
        <v>20</v>
      </c>
      <c r="CC96" s="64"/>
      <c r="CD96" s="74" t="s">
        <v>297</v>
      </c>
      <c r="CE96" s="73">
        <f t="shared" ca="1" si="821"/>
        <v>20</v>
      </c>
      <c r="CF96" s="64"/>
      <c r="CG96" s="74" t="s">
        <v>297</v>
      </c>
      <c r="CH96" s="73">
        <f t="shared" ca="1" si="821"/>
        <v>20</v>
      </c>
      <c r="CI96" s="64"/>
      <c r="CJ96" s="74" t="s">
        <v>1261</v>
      </c>
      <c r="CK96" s="73">
        <f t="shared" ref="CK96:EV96" ca="1" si="822">($M96=CJ96)*$D$11</f>
        <v>0</v>
      </c>
      <c r="CL96" s="64"/>
      <c r="CM96" s="74" t="s">
        <v>297</v>
      </c>
      <c r="CN96" s="73">
        <f t="shared" ca="1" si="822"/>
        <v>20</v>
      </c>
      <c r="CO96" s="64"/>
      <c r="CP96" s="74" t="s">
        <v>297</v>
      </c>
      <c r="CQ96" s="73">
        <f t="shared" ca="1" si="822"/>
        <v>20</v>
      </c>
      <c r="CR96" s="64"/>
      <c r="CS96" s="74" t="s">
        <v>297</v>
      </c>
      <c r="CT96" s="73">
        <f t="shared" ca="1" si="822"/>
        <v>20</v>
      </c>
      <c r="CU96" s="64"/>
      <c r="CV96" s="74" t="s">
        <v>297</v>
      </c>
      <c r="CW96" s="73">
        <f t="shared" ca="1" si="822"/>
        <v>20</v>
      </c>
      <c r="CX96" s="64"/>
      <c r="CY96" s="74" t="s">
        <v>1261</v>
      </c>
      <c r="CZ96" s="73">
        <f t="shared" ca="1" si="822"/>
        <v>0</v>
      </c>
      <c r="DA96" s="64"/>
      <c r="DB96" s="74" t="s">
        <v>297</v>
      </c>
      <c r="DC96" s="73">
        <f t="shared" ca="1" si="822"/>
        <v>20</v>
      </c>
      <c r="DD96" s="64"/>
      <c r="DE96" s="74" t="s">
        <v>297</v>
      </c>
      <c r="DF96" s="73">
        <f t="shared" ca="1" si="822"/>
        <v>20</v>
      </c>
      <c r="DG96" s="64"/>
      <c r="DH96" s="74" t="s">
        <v>297</v>
      </c>
      <c r="DI96" s="73">
        <f t="shared" ca="1" si="822"/>
        <v>20</v>
      </c>
      <c r="DJ96" s="64"/>
      <c r="DK96" s="74" t="s">
        <v>297</v>
      </c>
      <c r="DL96" s="73">
        <f t="shared" ca="1" si="822"/>
        <v>20</v>
      </c>
      <c r="DM96" s="64"/>
      <c r="DN96" s="74" t="s">
        <v>297</v>
      </c>
      <c r="DO96" s="73">
        <f t="shared" ca="1" si="822"/>
        <v>20</v>
      </c>
      <c r="DP96" s="64"/>
      <c r="DQ96" s="74" t="s">
        <v>297</v>
      </c>
      <c r="DR96" s="73">
        <f t="shared" ca="1" si="822"/>
        <v>20</v>
      </c>
      <c r="DS96" s="64"/>
      <c r="DT96" s="74" t="s">
        <v>297</v>
      </c>
      <c r="DU96" s="73">
        <f t="shared" ca="1" si="822"/>
        <v>20</v>
      </c>
      <c r="DV96" s="64"/>
      <c r="DW96" s="74" t="s">
        <v>297</v>
      </c>
      <c r="DX96" s="73">
        <f t="shared" ca="1" si="822"/>
        <v>20</v>
      </c>
      <c r="DY96" s="64"/>
      <c r="DZ96" s="74" t="s">
        <v>297</v>
      </c>
      <c r="EA96" s="73">
        <f t="shared" ca="1" si="822"/>
        <v>20</v>
      </c>
      <c r="EB96" s="64"/>
      <c r="EC96" s="74" t="s">
        <v>297</v>
      </c>
      <c r="ED96" s="73">
        <f t="shared" ca="1" si="822"/>
        <v>20</v>
      </c>
      <c r="EE96" s="64"/>
      <c r="EF96" s="74" t="s">
        <v>297</v>
      </c>
      <c r="EG96" s="73">
        <f t="shared" ca="1" si="822"/>
        <v>20</v>
      </c>
      <c r="EH96" s="64"/>
      <c r="EI96" s="74" t="s">
        <v>297</v>
      </c>
      <c r="EJ96" s="73">
        <f t="shared" ca="1" si="822"/>
        <v>20</v>
      </c>
      <c r="EK96" s="64"/>
      <c r="EL96" s="74" t="s">
        <v>297</v>
      </c>
      <c r="EM96" s="73">
        <f t="shared" ca="1" si="822"/>
        <v>20</v>
      </c>
      <c r="EN96" s="64"/>
      <c r="EO96" s="74" t="s">
        <v>297</v>
      </c>
      <c r="EP96" s="73">
        <f t="shared" ca="1" si="822"/>
        <v>20</v>
      </c>
      <c r="EQ96" s="64"/>
      <c r="ER96" s="74" t="s">
        <v>297</v>
      </c>
      <c r="ES96" s="73">
        <f t="shared" ca="1" si="822"/>
        <v>20</v>
      </c>
      <c r="ET96" s="64"/>
      <c r="EU96" s="74" t="s">
        <v>297</v>
      </c>
      <c r="EV96" s="73">
        <f t="shared" ca="1" si="822"/>
        <v>20</v>
      </c>
      <c r="EW96" s="64"/>
      <c r="EX96" s="74" t="s">
        <v>297</v>
      </c>
      <c r="EY96" s="73">
        <f t="shared" ref="EY96:HJ96" ca="1" si="823">($M96=EX96)*$D$11</f>
        <v>20</v>
      </c>
      <c r="EZ96" s="64"/>
      <c r="FA96" s="74" t="s">
        <v>297</v>
      </c>
      <c r="FB96" s="73">
        <f t="shared" ca="1" si="823"/>
        <v>20</v>
      </c>
      <c r="FC96" s="64"/>
      <c r="FD96" s="74" t="s">
        <v>297</v>
      </c>
      <c r="FE96" s="73">
        <f t="shared" ca="1" si="823"/>
        <v>20</v>
      </c>
      <c r="FF96" s="64"/>
      <c r="FG96" s="74" t="s">
        <v>1641</v>
      </c>
      <c r="FH96" s="73">
        <f t="shared" ca="1" si="823"/>
        <v>0</v>
      </c>
      <c r="FI96" s="64"/>
      <c r="FJ96" s="74" t="s">
        <v>297</v>
      </c>
      <c r="FK96" s="73">
        <f t="shared" ca="1" si="823"/>
        <v>20</v>
      </c>
      <c r="FL96" s="64"/>
      <c r="FM96" s="74" t="s">
        <v>297</v>
      </c>
      <c r="FN96" s="73">
        <f t="shared" ca="1" si="823"/>
        <v>20</v>
      </c>
      <c r="FO96" s="64"/>
      <c r="FP96" s="74" t="s">
        <v>297</v>
      </c>
      <c r="FQ96" s="73">
        <f t="shared" ca="1" si="823"/>
        <v>20</v>
      </c>
      <c r="FR96" s="64"/>
      <c r="FS96" s="74" t="s">
        <v>297</v>
      </c>
      <c r="FT96" s="73">
        <f t="shared" ca="1" si="823"/>
        <v>20</v>
      </c>
      <c r="FU96" s="64"/>
      <c r="FV96" s="74" t="s">
        <v>297</v>
      </c>
      <c r="FW96" s="73">
        <f t="shared" ca="1" si="823"/>
        <v>20</v>
      </c>
      <c r="FX96" s="64"/>
      <c r="FY96" s="74" t="s">
        <v>297</v>
      </c>
      <c r="FZ96" s="73">
        <f t="shared" ca="1" si="823"/>
        <v>20</v>
      </c>
      <c r="GA96" s="64"/>
      <c r="GB96" s="74" t="s">
        <v>297</v>
      </c>
      <c r="GC96" s="73">
        <f t="shared" ca="1" si="823"/>
        <v>20</v>
      </c>
      <c r="GD96" s="64"/>
      <c r="GE96" s="74" t="s">
        <v>297</v>
      </c>
      <c r="GF96" s="73">
        <f t="shared" ca="1" si="823"/>
        <v>20</v>
      </c>
      <c r="GG96" s="64"/>
      <c r="GH96" s="74" t="s">
        <v>297</v>
      </c>
      <c r="GI96" s="73">
        <f t="shared" ca="1" si="823"/>
        <v>20</v>
      </c>
      <c r="GJ96" s="64"/>
      <c r="GK96" s="74" t="s">
        <v>297</v>
      </c>
      <c r="GL96" s="73">
        <f t="shared" ca="1" si="823"/>
        <v>20</v>
      </c>
      <c r="GM96" s="64"/>
      <c r="GN96" s="74"/>
      <c r="GO96" s="73">
        <f t="shared" ca="1" si="823"/>
        <v>0</v>
      </c>
      <c r="GP96" s="64"/>
      <c r="GQ96" s="74"/>
      <c r="GR96" s="73">
        <f t="shared" ca="1" si="823"/>
        <v>0</v>
      </c>
      <c r="GS96" s="64"/>
      <c r="GT96" s="74"/>
      <c r="GU96" s="73">
        <f t="shared" ca="1" si="823"/>
        <v>0</v>
      </c>
      <c r="GV96" s="64"/>
      <c r="GW96" s="74"/>
      <c r="GX96" s="73">
        <f t="shared" ca="1" si="823"/>
        <v>0</v>
      </c>
      <c r="GY96" s="64"/>
      <c r="GZ96" s="74"/>
      <c r="HA96" s="73">
        <f t="shared" ca="1" si="823"/>
        <v>0</v>
      </c>
      <c r="HB96" s="64"/>
      <c r="HC96" s="74"/>
      <c r="HD96" s="73">
        <f t="shared" ca="1" si="823"/>
        <v>0</v>
      </c>
      <c r="HE96" s="64"/>
      <c r="HF96" s="74"/>
      <c r="HG96" s="73">
        <f t="shared" ca="1" si="823"/>
        <v>0</v>
      </c>
      <c r="HH96" s="64"/>
      <c r="HI96" s="74"/>
      <c r="HJ96" s="73">
        <f t="shared" ca="1" si="823"/>
        <v>0</v>
      </c>
      <c r="HK96" s="64"/>
      <c r="HL96" s="74"/>
      <c r="HM96" s="73">
        <f t="shared" ref="HM96:JX96" ca="1" si="824">($M96=HL96)*$D$11</f>
        <v>0</v>
      </c>
      <c r="HN96" s="64"/>
      <c r="HO96" s="74"/>
      <c r="HP96" s="73">
        <f t="shared" ca="1" si="824"/>
        <v>0</v>
      </c>
      <c r="HQ96" s="64"/>
      <c r="HR96" s="74"/>
      <c r="HS96" s="73">
        <f t="shared" ca="1" si="824"/>
        <v>0</v>
      </c>
      <c r="HT96" s="64"/>
      <c r="HU96" s="74"/>
      <c r="HV96" s="73">
        <f t="shared" ca="1" si="824"/>
        <v>0</v>
      </c>
      <c r="HW96" s="64"/>
      <c r="HX96" s="74"/>
      <c r="HY96" s="73">
        <f t="shared" ca="1" si="824"/>
        <v>0</v>
      </c>
      <c r="HZ96" s="64"/>
      <c r="IA96" s="74"/>
      <c r="IB96" s="73">
        <f t="shared" ca="1" si="824"/>
        <v>0</v>
      </c>
      <c r="IC96" s="64"/>
      <c r="ID96" s="74"/>
      <c r="IE96" s="73">
        <f t="shared" ca="1" si="824"/>
        <v>0</v>
      </c>
      <c r="IF96" s="64"/>
      <c r="IG96" s="74"/>
      <c r="IH96" s="73">
        <f t="shared" ca="1" si="824"/>
        <v>0</v>
      </c>
      <c r="II96" s="64"/>
      <c r="IJ96" s="74"/>
      <c r="IK96" s="73">
        <f t="shared" ca="1" si="824"/>
        <v>0</v>
      </c>
      <c r="IL96" s="64"/>
      <c r="IM96" s="74"/>
      <c r="IN96" s="73">
        <f t="shared" ca="1" si="824"/>
        <v>0</v>
      </c>
      <c r="IO96" s="64"/>
      <c r="IP96" s="74"/>
      <c r="IQ96" s="73">
        <f t="shared" ca="1" si="824"/>
        <v>0</v>
      </c>
      <c r="IR96" s="64"/>
      <c r="IS96" s="74"/>
      <c r="IT96" s="73">
        <f t="shared" ca="1" si="824"/>
        <v>0</v>
      </c>
      <c r="IU96" s="64"/>
      <c r="IV96" s="74"/>
      <c r="IW96" s="73">
        <f t="shared" ca="1" si="824"/>
        <v>0</v>
      </c>
      <c r="IX96" s="64"/>
      <c r="IY96" s="74"/>
      <c r="IZ96" s="73">
        <f t="shared" ca="1" si="824"/>
        <v>0</v>
      </c>
      <c r="JA96" s="64"/>
      <c r="JB96" s="74"/>
      <c r="JC96" s="73">
        <f t="shared" ca="1" si="824"/>
        <v>0</v>
      </c>
      <c r="JD96" s="64"/>
      <c r="JE96" s="74"/>
      <c r="JF96" s="73">
        <f t="shared" ca="1" si="824"/>
        <v>0</v>
      </c>
      <c r="JG96" s="64"/>
      <c r="JH96" s="74"/>
      <c r="JI96" s="73">
        <f t="shared" ca="1" si="824"/>
        <v>0</v>
      </c>
      <c r="JJ96" s="64"/>
      <c r="JK96" s="74"/>
      <c r="JL96" s="73">
        <f t="shared" ca="1" si="824"/>
        <v>0</v>
      </c>
      <c r="JM96" s="64"/>
      <c r="JN96" s="74"/>
      <c r="JO96" s="73">
        <f t="shared" ca="1" si="824"/>
        <v>0</v>
      </c>
      <c r="JP96" s="64"/>
      <c r="JQ96" s="74"/>
      <c r="JR96" s="73">
        <f t="shared" ca="1" si="824"/>
        <v>0</v>
      </c>
      <c r="JS96" s="64"/>
      <c r="JT96" s="74"/>
      <c r="JU96" s="73">
        <f t="shared" ca="1" si="824"/>
        <v>0</v>
      </c>
      <c r="JV96" s="64"/>
      <c r="JW96" s="74"/>
      <c r="JX96" s="73">
        <f t="shared" ca="1" si="824"/>
        <v>0</v>
      </c>
      <c r="JY96" s="64"/>
      <c r="JZ96" s="74"/>
      <c r="KA96" s="73">
        <f t="shared" ref="KA96:LE96" ca="1" si="825">($M96=JZ96)*$D$11</f>
        <v>0</v>
      </c>
      <c r="KB96" s="64"/>
      <c r="KC96" s="74"/>
      <c r="KD96" s="73">
        <f t="shared" ca="1" si="825"/>
        <v>0</v>
      </c>
      <c r="KE96" s="64"/>
      <c r="KF96" s="74"/>
      <c r="KG96" s="73">
        <f t="shared" ca="1" si="825"/>
        <v>0</v>
      </c>
      <c r="KH96" s="64"/>
      <c r="KI96" s="74"/>
      <c r="KJ96" s="73">
        <f t="shared" ca="1" si="825"/>
        <v>0</v>
      </c>
      <c r="KK96" s="64"/>
      <c r="KL96" s="74"/>
      <c r="KM96" s="73">
        <f t="shared" ca="1" si="825"/>
        <v>0</v>
      </c>
      <c r="KN96" s="64"/>
      <c r="KO96" s="74"/>
      <c r="KP96" s="73">
        <f t="shared" ca="1" si="825"/>
        <v>0</v>
      </c>
      <c r="KQ96" s="64"/>
      <c r="KR96" s="74"/>
      <c r="KS96" s="73">
        <f t="shared" ca="1" si="825"/>
        <v>0</v>
      </c>
      <c r="KT96" s="64"/>
      <c r="KU96" s="74"/>
      <c r="KV96" s="73">
        <f t="shared" ca="1" si="825"/>
        <v>0</v>
      </c>
      <c r="KW96" s="64"/>
      <c r="KX96" s="74"/>
      <c r="KY96" s="73">
        <f t="shared" ca="1" si="825"/>
        <v>0</v>
      </c>
      <c r="KZ96" s="64"/>
      <c r="LA96" s="74"/>
      <c r="LB96" s="73">
        <f t="shared" ca="1" si="825"/>
        <v>0</v>
      </c>
      <c r="LC96" s="64"/>
      <c r="LD96" s="74"/>
      <c r="LE96" s="73">
        <f t="shared" ca="1" si="825"/>
        <v>0</v>
      </c>
      <c r="LF96" s="64"/>
      <c r="LG96" s="64"/>
    </row>
    <row r="97" spans="1:319">
      <c r="A97" s="49"/>
      <c r="B97" s="49"/>
      <c r="C97" s="49"/>
      <c r="D97" s="49"/>
      <c r="E97" s="111"/>
      <c r="F97" s="127">
        <f t="shared" ref="F97" si="826">$D$12</f>
        <v>10</v>
      </c>
      <c r="G97" s="445">
        <f ca="1">VLOOKUP(H97,Equipos!$Q$1:$R$25,2,0)</f>
        <v>16</v>
      </c>
      <c r="H97" s="446">
        <f ca="1">$H$62</f>
        <v>46199</v>
      </c>
      <c r="I97" s="50"/>
      <c r="J97" s="848"/>
      <c r="K97" s="56" t="str">
        <f>Idiomas!D167</f>
        <v>2nd GROUP E</v>
      </c>
      <c r="L97" s="53"/>
      <c r="M97" s="55" t="str">
        <f ca="1">IF(OR(SUM(WORLDCUP!$AN$38:$AN$41)=12,WORLDCUP!$AJ$99=144),WORLDCUP!AL39,LEFT(K97,1)&amp;RIGHT(K97,1))</f>
        <v>Ivory Coast</v>
      </c>
      <c r="N97" s="25"/>
      <c r="O97" s="25"/>
      <c r="P97" s="25"/>
      <c r="Q97" s="25"/>
      <c r="R97" s="110"/>
      <c r="S97" s="74" t="s">
        <v>1261</v>
      </c>
      <c r="T97" s="73">
        <f t="shared" ref="T97" ca="1" si="827">($M97=S97)*$D$12</f>
        <v>0</v>
      </c>
      <c r="U97" s="64"/>
      <c r="V97" s="74" t="s">
        <v>1261</v>
      </c>
      <c r="W97" s="73">
        <f t="shared" ref="W97:CH97" ca="1" si="828">($M97=V97)*$D$12</f>
        <v>0</v>
      </c>
      <c r="X97" s="64"/>
      <c r="Y97" s="74" t="s">
        <v>1261</v>
      </c>
      <c r="Z97" s="73">
        <f t="shared" ca="1" si="828"/>
        <v>0</v>
      </c>
      <c r="AA97" s="64"/>
      <c r="AB97" s="74" t="s">
        <v>1261</v>
      </c>
      <c r="AC97" s="73">
        <f t="shared" ca="1" si="828"/>
        <v>0</v>
      </c>
      <c r="AD97" s="64"/>
      <c r="AE97" s="74" t="s">
        <v>1261</v>
      </c>
      <c r="AF97" s="73">
        <f t="shared" ca="1" si="828"/>
        <v>0</v>
      </c>
      <c r="AG97" s="64"/>
      <c r="AH97" s="74" t="s">
        <v>1261</v>
      </c>
      <c r="AI97" s="73">
        <f t="shared" ca="1" si="828"/>
        <v>0</v>
      </c>
      <c r="AJ97" s="64"/>
      <c r="AK97" s="74" t="s">
        <v>1727</v>
      </c>
      <c r="AL97" s="73">
        <f t="shared" ca="1" si="828"/>
        <v>0</v>
      </c>
      <c r="AM97" s="64"/>
      <c r="AN97" s="74" t="s">
        <v>1641</v>
      </c>
      <c r="AO97" s="73">
        <f t="shared" ca="1" si="828"/>
        <v>10</v>
      </c>
      <c r="AP97" s="64"/>
      <c r="AQ97" s="74" t="s">
        <v>1261</v>
      </c>
      <c r="AR97" s="73">
        <f t="shared" ca="1" si="828"/>
        <v>0</v>
      </c>
      <c r="AS97" s="64"/>
      <c r="AT97" s="74" t="s">
        <v>1261</v>
      </c>
      <c r="AU97" s="73">
        <f t="shared" ca="1" si="828"/>
        <v>0</v>
      </c>
      <c r="AV97" s="64"/>
      <c r="AW97" s="74" t="s">
        <v>1261</v>
      </c>
      <c r="AX97" s="73">
        <f t="shared" ca="1" si="828"/>
        <v>0</v>
      </c>
      <c r="AY97" s="64"/>
      <c r="AZ97" s="74" t="s">
        <v>1261</v>
      </c>
      <c r="BA97" s="73">
        <f t="shared" ca="1" si="828"/>
        <v>0</v>
      </c>
      <c r="BB97" s="64"/>
      <c r="BC97" s="74" t="s">
        <v>1261</v>
      </c>
      <c r="BD97" s="73">
        <f t="shared" ca="1" si="828"/>
        <v>0</v>
      </c>
      <c r="BE97" s="64"/>
      <c r="BF97" s="74" t="s">
        <v>1261</v>
      </c>
      <c r="BG97" s="73">
        <f t="shared" ca="1" si="828"/>
        <v>0</v>
      </c>
      <c r="BH97" s="64"/>
      <c r="BI97" s="74" t="s">
        <v>1261</v>
      </c>
      <c r="BJ97" s="73">
        <f t="shared" ca="1" si="828"/>
        <v>0</v>
      </c>
      <c r="BK97" s="64"/>
      <c r="BL97" s="74" t="s">
        <v>1261</v>
      </c>
      <c r="BM97" s="73">
        <f t="shared" ca="1" si="828"/>
        <v>0</v>
      </c>
      <c r="BN97" s="64"/>
      <c r="BO97" s="74" t="s">
        <v>1261</v>
      </c>
      <c r="BP97" s="73">
        <f t="shared" ca="1" si="828"/>
        <v>0</v>
      </c>
      <c r="BQ97" s="64"/>
      <c r="BR97" s="74" t="s">
        <v>1641</v>
      </c>
      <c r="BS97" s="73">
        <f t="shared" ca="1" si="828"/>
        <v>10</v>
      </c>
      <c r="BT97" s="64"/>
      <c r="BU97" s="74" t="s">
        <v>1261</v>
      </c>
      <c r="BV97" s="73">
        <f t="shared" ca="1" si="828"/>
        <v>0</v>
      </c>
      <c r="BW97" s="64"/>
      <c r="BX97" s="74" t="s">
        <v>1641</v>
      </c>
      <c r="BY97" s="73">
        <f t="shared" ca="1" si="828"/>
        <v>10</v>
      </c>
      <c r="BZ97" s="64"/>
      <c r="CA97" s="74" t="s">
        <v>1641</v>
      </c>
      <c r="CB97" s="73">
        <f t="shared" ca="1" si="828"/>
        <v>10</v>
      </c>
      <c r="CC97" s="64"/>
      <c r="CD97" s="74" t="s">
        <v>1261</v>
      </c>
      <c r="CE97" s="73">
        <f t="shared" ca="1" si="828"/>
        <v>0</v>
      </c>
      <c r="CF97" s="64"/>
      <c r="CG97" s="74" t="s">
        <v>1641</v>
      </c>
      <c r="CH97" s="73">
        <f t="shared" ca="1" si="828"/>
        <v>10</v>
      </c>
      <c r="CI97" s="64"/>
      <c r="CJ97" s="74" t="s">
        <v>297</v>
      </c>
      <c r="CK97" s="73">
        <f t="shared" ref="CK97:EV97" ca="1" si="829">($M97=CJ97)*$D$12</f>
        <v>0</v>
      </c>
      <c r="CL97" s="64"/>
      <c r="CM97" s="74" t="s">
        <v>1641</v>
      </c>
      <c r="CN97" s="73">
        <f t="shared" ca="1" si="829"/>
        <v>10</v>
      </c>
      <c r="CO97" s="64"/>
      <c r="CP97" s="74" t="s">
        <v>1641</v>
      </c>
      <c r="CQ97" s="73">
        <f t="shared" ca="1" si="829"/>
        <v>10</v>
      </c>
      <c r="CR97" s="64"/>
      <c r="CS97" s="74" t="s">
        <v>1641</v>
      </c>
      <c r="CT97" s="73">
        <f t="shared" ca="1" si="829"/>
        <v>10</v>
      </c>
      <c r="CU97" s="64"/>
      <c r="CV97" s="74" t="s">
        <v>1727</v>
      </c>
      <c r="CW97" s="73">
        <f t="shared" ca="1" si="829"/>
        <v>0</v>
      </c>
      <c r="CX97" s="64"/>
      <c r="CY97" s="74" t="s">
        <v>297</v>
      </c>
      <c r="CZ97" s="73">
        <f t="shared" ca="1" si="829"/>
        <v>0</v>
      </c>
      <c r="DA97" s="64"/>
      <c r="DB97" s="74" t="s">
        <v>1641</v>
      </c>
      <c r="DC97" s="73">
        <f t="shared" ca="1" si="829"/>
        <v>10</v>
      </c>
      <c r="DD97" s="64"/>
      <c r="DE97" s="74" t="s">
        <v>1261</v>
      </c>
      <c r="DF97" s="73">
        <f t="shared" ca="1" si="829"/>
        <v>0</v>
      </c>
      <c r="DG97" s="64"/>
      <c r="DH97" s="74" t="s">
        <v>1641</v>
      </c>
      <c r="DI97" s="73">
        <f t="shared" ca="1" si="829"/>
        <v>10</v>
      </c>
      <c r="DJ97" s="64"/>
      <c r="DK97" s="74" t="s">
        <v>1261</v>
      </c>
      <c r="DL97" s="73">
        <f t="shared" ca="1" si="829"/>
        <v>0</v>
      </c>
      <c r="DM97" s="64"/>
      <c r="DN97" s="74" t="s">
        <v>1261</v>
      </c>
      <c r="DO97" s="73">
        <f t="shared" ca="1" si="829"/>
        <v>0</v>
      </c>
      <c r="DP97" s="64"/>
      <c r="DQ97" s="74" t="s">
        <v>1261</v>
      </c>
      <c r="DR97" s="73">
        <f t="shared" ca="1" si="829"/>
        <v>0</v>
      </c>
      <c r="DS97" s="64"/>
      <c r="DT97" s="74" t="s">
        <v>1641</v>
      </c>
      <c r="DU97" s="73">
        <f t="shared" ca="1" si="829"/>
        <v>10</v>
      </c>
      <c r="DV97" s="64"/>
      <c r="DW97" s="74" t="s">
        <v>1261</v>
      </c>
      <c r="DX97" s="73">
        <f t="shared" ca="1" si="829"/>
        <v>0</v>
      </c>
      <c r="DY97" s="64"/>
      <c r="DZ97" s="74" t="s">
        <v>1641</v>
      </c>
      <c r="EA97" s="73">
        <f t="shared" ca="1" si="829"/>
        <v>10</v>
      </c>
      <c r="EB97" s="64"/>
      <c r="EC97" s="74" t="s">
        <v>1641</v>
      </c>
      <c r="ED97" s="73">
        <f t="shared" ca="1" si="829"/>
        <v>10</v>
      </c>
      <c r="EE97" s="64"/>
      <c r="EF97" s="74" t="s">
        <v>1641</v>
      </c>
      <c r="EG97" s="73">
        <f t="shared" ca="1" si="829"/>
        <v>10</v>
      </c>
      <c r="EH97" s="64"/>
      <c r="EI97" s="74" t="s">
        <v>1261</v>
      </c>
      <c r="EJ97" s="73">
        <f t="shared" ca="1" si="829"/>
        <v>0</v>
      </c>
      <c r="EK97" s="64"/>
      <c r="EL97" s="74" t="s">
        <v>1261</v>
      </c>
      <c r="EM97" s="73">
        <f t="shared" ca="1" si="829"/>
        <v>0</v>
      </c>
      <c r="EN97" s="64"/>
      <c r="EO97" s="74" t="s">
        <v>1261</v>
      </c>
      <c r="EP97" s="73">
        <f t="shared" ca="1" si="829"/>
        <v>0</v>
      </c>
      <c r="EQ97" s="64"/>
      <c r="ER97" s="74" t="s">
        <v>1261</v>
      </c>
      <c r="ES97" s="73">
        <f t="shared" ca="1" si="829"/>
        <v>0</v>
      </c>
      <c r="ET97" s="64"/>
      <c r="EU97" s="74" t="s">
        <v>1261</v>
      </c>
      <c r="EV97" s="73">
        <f t="shared" ca="1" si="829"/>
        <v>0</v>
      </c>
      <c r="EW97" s="64"/>
      <c r="EX97" s="74" t="s">
        <v>1641</v>
      </c>
      <c r="EY97" s="73">
        <f t="shared" ref="EY97:HJ97" ca="1" si="830">($M97=EX97)*$D$12</f>
        <v>10</v>
      </c>
      <c r="EZ97" s="64"/>
      <c r="FA97" s="74" t="s">
        <v>1261</v>
      </c>
      <c r="FB97" s="73">
        <f t="shared" ca="1" si="830"/>
        <v>0</v>
      </c>
      <c r="FC97" s="64"/>
      <c r="FD97" s="74" t="s">
        <v>1727</v>
      </c>
      <c r="FE97" s="73">
        <f t="shared" ca="1" si="830"/>
        <v>0</v>
      </c>
      <c r="FF97" s="64"/>
      <c r="FG97" s="74" t="s">
        <v>297</v>
      </c>
      <c r="FH97" s="73">
        <f t="shared" ca="1" si="830"/>
        <v>0</v>
      </c>
      <c r="FI97" s="64"/>
      <c r="FJ97" s="74" t="s">
        <v>1261</v>
      </c>
      <c r="FK97" s="73">
        <f t="shared" ca="1" si="830"/>
        <v>0</v>
      </c>
      <c r="FL97" s="64"/>
      <c r="FM97" s="74" t="s">
        <v>1261</v>
      </c>
      <c r="FN97" s="73">
        <f t="shared" ca="1" si="830"/>
        <v>0</v>
      </c>
      <c r="FO97" s="64"/>
      <c r="FP97" s="74" t="s">
        <v>1641</v>
      </c>
      <c r="FQ97" s="73">
        <f t="shared" ca="1" si="830"/>
        <v>10</v>
      </c>
      <c r="FR97" s="64"/>
      <c r="FS97" s="74" t="s">
        <v>1261</v>
      </c>
      <c r="FT97" s="73">
        <f t="shared" ca="1" si="830"/>
        <v>0</v>
      </c>
      <c r="FU97" s="64"/>
      <c r="FV97" s="74" t="s">
        <v>1641</v>
      </c>
      <c r="FW97" s="73">
        <f t="shared" ca="1" si="830"/>
        <v>10</v>
      </c>
      <c r="FX97" s="64"/>
      <c r="FY97" s="74" t="s">
        <v>1261</v>
      </c>
      <c r="FZ97" s="73">
        <f t="shared" ca="1" si="830"/>
        <v>0</v>
      </c>
      <c r="GA97" s="64"/>
      <c r="GB97" s="74" t="s">
        <v>1261</v>
      </c>
      <c r="GC97" s="73">
        <f t="shared" ca="1" si="830"/>
        <v>0</v>
      </c>
      <c r="GD97" s="64"/>
      <c r="GE97" s="74" t="s">
        <v>1261</v>
      </c>
      <c r="GF97" s="73">
        <f t="shared" ca="1" si="830"/>
        <v>0</v>
      </c>
      <c r="GG97" s="64"/>
      <c r="GH97" s="74" t="s">
        <v>1261</v>
      </c>
      <c r="GI97" s="73">
        <f t="shared" ca="1" si="830"/>
        <v>0</v>
      </c>
      <c r="GJ97" s="64"/>
      <c r="GK97" s="74" t="s">
        <v>1261</v>
      </c>
      <c r="GL97" s="73">
        <f t="shared" ca="1" si="830"/>
        <v>0</v>
      </c>
      <c r="GM97" s="64"/>
      <c r="GN97" s="74"/>
      <c r="GO97" s="73">
        <f t="shared" ca="1" si="830"/>
        <v>0</v>
      </c>
      <c r="GP97" s="64"/>
      <c r="GQ97" s="74"/>
      <c r="GR97" s="73">
        <f t="shared" ca="1" si="830"/>
        <v>0</v>
      </c>
      <c r="GS97" s="64"/>
      <c r="GT97" s="74"/>
      <c r="GU97" s="73">
        <f t="shared" ca="1" si="830"/>
        <v>0</v>
      </c>
      <c r="GV97" s="64"/>
      <c r="GW97" s="74"/>
      <c r="GX97" s="73">
        <f t="shared" ca="1" si="830"/>
        <v>0</v>
      </c>
      <c r="GY97" s="64"/>
      <c r="GZ97" s="74"/>
      <c r="HA97" s="73">
        <f t="shared" ca="1" si="830"/>
        <v>0</v>
      </c>
      <c r="HB97" s="64"/>
      <c r="HC97" s="74"/>
      <c r="HD97" s="73">
        <f t="shared" ca="1" si="830"/>
        <v>0</v>
      </c>
      <c r="HE97" s="64"/>
      <c r="HF97" s="74"/>
      <c r="HG97" s="73">
        <f t="shared" ca="1" si="830"/>
        <v>0</v>
      </c>
      <c r="HH97" s="64"/>
      <c r="HI97" s="74"/>
      <c r="HJ97" s="73">
        <f t="shared" ca="1" si="830"/>
        <v>0</v>
      </c>
      <c r="HK97" s="64"/>
      <c r="HL97" s="74"/>
      <c r="HM97" s="73">
        <f t="shared" ref="HM97:JX97" ca="1" si="831">($M97=HL97)*$D$12</f>
        <v>0</v>
      </c>
      <c r="HN97" s="64"/>
      <c r="HO97" s="74"/>
      <c r="HP97" s="73">
        <f t="shared" ca="1" si="831"/>
        <v>0</v>
      </c>
      <c r="HQ97" s="64"/>
      <c r="HR97" s="74"/>
      <c r="HS97" s="73">
        <f t="shared" ca="1" si="831"/>
        <v>0</v>
      </c>
      <c r="HT97" s="64"/>
      <c r="HU97" s="74"/>
      <c r="HV97" s="73">
        <f t="shared" ca="1" si="831"/>
        <v>0</v>
      </c>
      <c r="HW97" s="64"/>
      <c r="HX97" s="74"/>
      <c r="HY97" s="73">
        <f t="shared" ca="1" si="831"/>
        <v>0</v>
      </c>
      <c r="HZ97" s="64"/>
      <c r="IA97" s="74"/>
      <c r="IB97" s="73">
        <f t="shared" ca="1" si="831"/>
        <v>0</v>
      </c>
      <c r="IC97" s="64"/>
      <c r="ID97" s="74"/>
      <c r="IE97" s="73">
        <f t="shared" ca="1" si="831"/>
        <v>0</v>
      </c>
      <c r="IF97" s="64"/>
      <c r="IG97" s="74"/>
      <c r="IH97" s="73">
        <f t="shared" ca="1" si="831"/>
        <v>0</v>
      </c>
      <c r="II97" s="64"/>
      <c r="IJ97" s="74"/>
      <c r="IK97" s="73">
        <f t="shared" ca="1" si="831"/>
        <v>0</v>
      </c>
      <c r="IL97" s="64"/>
      <c r="IM97" s="74"/>
      <c r="IN97" s="73">
        <f t="shared" ca="1" si="831"/>
        <v>0</v>
      </c>
      <c r="IO97" s="64"/>
      <c r="IP97" s="74"/>
      <c r="IQ97" s="73">
        <f t="shared" ca="1" si="831"/>
        <v>0</v>
      </c>
      <c r="IR97" s="64"/>
      <c r="IS97" s="74"/>
      <c r="IT97" s="73">
        <f t="shared" ca="1" si="831"/>
        <v>0</v>
      </c>
      <c r="IU97" s="64"/>
      <c r="IV97" s="74"/>
      <c r="IW97" s="73">
        <f t="shared" ca="1" si="831"/>
        <v>0</v>
      </c>
      <c r="IX97" s="64"/>
      <c r="IY97" s="74"/>
      <c r="IZ97" s="73">
        <f t="shared" ca="1" si="831"/>
        <v>0</v>
      </c>
      <c r="JA97" s="64"/>
      <c r="JB97" s="74"/>
      <c r="JC97" s="73">
        <f t="shared" ca="1" si="831"/>
        <v>0</v>
      </c>
      <c r="JD97" s="64"/>
      <c r="JE97" s="74"/>
      <c r="JF97" s="73">
        <f t="shared" ca="1" si="831"/>
        <v>0</v>
      </c>
      <c r="JG97" s="64"/>
      <c r="JH97" s="74"/>
      <c r="JI97" s="73">
        <f t="shared" ca="1" si="831"/>
        <v>0</v>
      </c>
      <c r="JJ97" s="64"/>
      <c r="JK97" s="74"/>
      <c r="JL97" s="73">
        <f t="shared" ca="1" si="831"/>
        <v>0</v>
      </c>
      <c r="JM97" s="64"/>
      <c r="JN97" s="74"/>
      <c r="JO97" s="73">
        <f t="shared" ca="1" si="831"/>
        <v>0</v>
      </c>
      <c r="JP97" s="64"/>
      <c r="JQ97" s="74"/>
      <c r="JR97" s="73">
        <f t="shared" ca="1" si="831"/>
        <v>0</v>
      </c>
      <c r="JS97" s="64"/>
      <c r="JT97" s="74"/>
      <c r="JU97" s="73">
        <f t="shared" ca="1" si="831"/>
        <v>0</v>
      </c>
      <c r="JV97" s="64"/>
      <c r="JW97" s="74"/>
      <c r="JX97" s="73">
        <f t="shared" ca="1" si="831"/>
        <v>0</v>
      </c>
      <c r="JY97" s="64"/>
      <c r="JZ97" s="74"/>
      <c r="KA97" s="73">
        <f t="shared" ref="KA97:LE97" ca="1" si="832">($M97=JZ97)*$D$12</f>
        <v>0</v>
      </c>
      <c r="KB97" s="64"/>
      <c r="KC97" s="74"/>
      <c r="KD97" s="73">
        <f t="shared" ca="1" si="832"/>
        <v>0</v>
      </c>
      <c r="KE97" s="64"/>
      <c r="KF97" s="74"/>
      <c r="KG97" s="73">
        <f t="shared" ca="1" si="832"/>
        <v>0</v>
      </c>
      <c r="KH97" s="64"/>
      <c r="KI97" s="74"/>
      <c r="KJ97" s="73">
        <f t="shared" ca="1" si="832"/>
        <v>0</v>
      </c>
      <c r="KK97" s="64"/>
      <c r="KL97" s="74"/>
      <c r="KM97" s="73">
        <f t="shared" ca="1" si="832"/>
        <v>0</v>
      </c>
      <c r="KN97" s="64"/>
      <c r="KO97" s="74"/>
      <c r="KP97" s="73">
        <f t="shared" ca="1" si="832"/>
        <v>0</v>
      </c>
      <c r="KQ97" s="64"/>
      <c r="KR97" s="74"/>
      <c r="KS97" s="73">
        <f t="shared" ca="1" si="832"/>
        <v>0</v>
      </c>
      <c r="KT97" s="64"/>
      <c r="KU97" s="74"/>
      <c r="KV97" s="73">
        <f t="shared" ca="1" si="832"/>
        <v>0</v>
      </c>
      <c r="KW97" s="64"/>
      <c r="KX97" s="74"/>
      <c r="KY97" s="73">
        <f t="shared" ca="1" si="832"/>
        <v>0</v>
      </c>
      <c r="KZ97" s="64"/>
      <c r="LA97" s="74"/>
      <c r="LB97" s="73">
        <f t="shared" ca="1" si="832"/>
        <v>0</v>
      </c>
      <c r="LC97" s="64"/>
      <c r="LD97" s="74"/>
      <c r="LE97" s="73">
        <f t="shared" ca="1" si="832"/>
        <v>0</v>
      </c>
      <c r="LF97" s="64"/>
      <c r="LG97" s="64"/>
    </row>
    <row r="98" spans="1:319">
      <c r="A98" s="49"/>
      <c r="B98" s="49"/>
      <c r="C98" s="49"/>
      <c r="D98" s="49"/>
      <c r="E98" s="111"/>
      <c r="F98" s="127">
        <f t="shared" ref="F98" si="833">$D$13</f>
        <v>5</v>
      </c>
      <c r="G98" s="445">
        <f ca="1">VLOOKUP(H98,Equipos!$Q$1:$R$25,2,0)</f>
        <v>16</v>
      </c>
      <c r="H98" s="446">
        <f ca="1">$H$62</f>
        <v>46199</v>
      </c>
      <c r="I98" s="50"/>
      <c r="J98" s="848"/>
      <c r="K98" s="56" t="str">
        <f>Idiomas!D168</f>
        <v>3rd GROUP E</v>
      </c>
      <c r="L98" s="53"/>
      <c r="M98" s="55" t="str">
        <f ca="1">IF(OR(SUM(WORLDCUP!$AN$38:$AN$41)=12,WORLDCUP!$AJ$99=144),WORLDCUP!AL40,LEFT(K98,1)&amp;RIGHT(K98,1))</f>
        <v>Ecuador</v>
      </c>
      <c r="N98" s="25"/>
      <c r="O98" s="25"/>
      <c r="P98" s="25"/>
      <c r="Q98" s="25"/>
      <c r="R98" s="110"/>
      <c r="S98" s="74" t="s">
        <v>1641</v>
      </c>
      <c r="T98" s="73">
        <f t="shared" ref="T98" ca="1" si="834">($M98=S98)*$D$13</f>
        <v>0</v>
      </c>
      <c r="U98" s="64"/>
      <c r="V98" s="74" t="s">
        <v>1641</v>
      </c>
      <c r="W98" s="73">
        <f t="shared" ref="W98:CH98" ca="1" si="835">($M98=V98)*$D$13</f>
        <v>0</v>
      </c>
      <c r="X98" s="64"/>
      <c r="Y98" s="74" t="s">
        <v>1641</v>
      </c>
      <c r="Z98" s="73">
        <f t="shared" ca="1" si="835"/>
        <v>0</v>
      </c>
      <c r="AA98" s="64"/>
      <c r="AB98" s="74" t="s">
        <v>1641</v>
      </c>
      <c r="AC98" s="73">
        <f t="shared" ca="1" si="835"/>
        <v>0</v>
      </c>
      <c r="AD98" s="64"/>
      <c r="AE98" s="74" t="s">
        <v>1641</v>
      </c>
      <c r="AF98" s="73">
        <f t="shared" ca="1" si="835"/>
        <v>0</v>
      </c>
      <c r="AG98" s="64"/>
      <c r="AH98" s="74" t="s">
        <v>1641</v>
      </c>
      <c r="AI98" s="73">
        <f t="shared" ca="1" si="835"/>
        <v>0</v>
      </c>
      <c r="AJ98" s="64"/>
      <c r="AK98" s="74" t="s">
        <v>1261</v>
      </c>
      <c r="AL98" s="73">
        <f t="shared" ca="1" si="835"/>
        <v>5</v>
      </c>
      <c r="AM98" s="64"/>
      <c r="AN98" s="74" t="s">
        <v>1261</v>
      </c>
      <c r="AO98" s="73">
        <f t="shared" ca="1" si="835"/>
        <v>5</v>
      </c>
      <c r="AP98" s="64"/>
      <c r="AQ98" s="74" t="s">
        <v>1727</v>
      </c>
      <c r="AR98" s="73">
        <f t="shared" ca="1" si="835"/>
        <v>0</v>
      </c>
      <c r="AS98" s="64"/>
      <c r="AT98" s="74" t="s">
        <v>1727</v>
      </c>
      <c r="AU98" s="73">
        <f t="shared" ca="1" si="835"/>
        <v>0</v>
      </c>
      <c r="AV98" s="64"/>
      <c r="AW98" s="74" t="s">
        <v>1641</v>
      </c>
      <c r="AX98" s="73">
        <f t="shared" ca="1" si="835"/>
        <v>0</v>
      </c>
      <c r="AY98" s="64"/>
      <c r="AZ98" s="74" t="s">
        <v>1641</v>
      </c>
      <c r="BA98" s="73">
        <f t="shared" ca="1" si="835"/>
        <v>0</v>
      </c>
      <c r="BB98" s="64"/>
      <c r="BC98" s="74" t="s">
        <v>1641</v>
      </c>
      <c r="BD98" s="73">
        <f t="shared" ca="1" si="835"/>
        <v>0</v>
      </c>
      <c r="BE98" s="64"/>
      <c r="BF98" s="74" t="s">
        <v>1641</v>
      </c>
      <c r="BG98" s="73">
        <f t="shared" ca="1" si="835"/>
        <v>0</v>
      </c>
      <c r="BH98" s="64"/>
      <c r="BI98" s="74" t="s">
        <v>1641</v>
      </c>
      <c r="BJ98" s="73">
        <f t="shared" ca="1" si="835"/>
        <v>0</v>
      </c>
      <c r="BK98" s="64"/>
      <c r="BL98" s="74" t="s">
        <v>1641</v>
      </c>
      <c r="BM98" s="73">
        <f t="shared" ca="1" si="835"/>
        <v>0</v>
      </c>
      <c r="BN98" s="64"/>
      <c r="BO98" s="74" t="s">
        <v>1641</v>
      </c>
      <c r="BP98" s="73">
        <f t="shared" ca="1" si="835"/>
        <v>0</v>
      </c>
      <c r="BQ98" s="64"/>
      <c r="BR98" s="74" t="s">
        <v>1261</v>
      </c>
      <c r="BS98" s="73">
        <f t="shared" ca="1" si="835"/>
        <v>5</v>
      </c>
      <c r="BT98" s="64"/>
      <c r="BU98" s="74" t="s">
        <v>1641</v>
      </c>
      <c r="BV98" s="73">
        <f t="shared" ca="1" si="835"/>
        <v>0</v>
      </c>
      <c r="BW98" s="64"/>
      <c r="BX98" s="74" t="s">
        <v>1727</v>
      </c>
      <c r="BY98" s="73">
        <f t="shared" ca="1" si="835"/>
        <v>0</v>
      </c>
      <c r="BZ98" s="64"/>
      <c r="CA98" s="74" t="s">
        <v>1261</v>
      </c>
      <c r="CB98" s="73">
        <f t="shared" ca="1" si="835"/>
        <v>5</v>
      </c>
      <c r="CC98" s="64"/>
      <c r="CD98" s="74" t="s">
        <v>1727</v>
      </c>
      <c r="CE98" s="73">
        <f t="shared" ca="1" si="835"/>
        <v>0</v>
      </c>
      <c r="CF98" s="64"/>
      <c r="CG98" s="74" t="s">
        <v>1727</v>
      </c>
      <c r="CH98" s="73">
        <f t="shared" ca="1" si="835"/>
        <v>0</v>
      </c>
      <c r="CI98" s="64"/>
      <c r="CJ98" s="74" t="s">
        <v>1641</v>
      </c>
      <c r="CK98" s="73">
        <f t="shared" ref="CK98:EV98" ca="1" si="836">($M98=CJ98)*$D$13</f>
        <v>0</v>
      </c>
      <c r="CL98" s="64"/>
      <c r="CM98" s="74" t="s">
        <v>1261</v>
      </c>
      <c r="CN98" s="73">
        <f t="shared" ca="1" si="836"/>
        <v>5</v>
      </c>
      <c r="CO98" s="64"/>
      <c r="CP98" s="74" t="s">
        <v>1261</v>
      </c>
      <c r="CQ98" s="73">
        <f t="shared" ca="1" si="836"/>
        <v>5</v>
      </c>
      <c r="CR98" s="64"/>
      <c r="CS98" s="74" t="s">
        <v>1727</v>
      </c>
      <c r="CT98" s="73">
        <f t="shared" ca="1" si="836"/>
        <v>0</v>
      </c>
      <c r="CU98" s="64"/>
      <c r="CV98" s="74" t="s">
        <v>1641</v>
      </c>
      <c r="CW98" s="73">
        <f t="shared" ca="1" si="836"/>
        <v>0</v>
      </c>
      <c r="CX98" s="64"/>
      <c r="CY98" s="74" t="s">
        <v>1641</v>
      </c>
      <c r="CZ98" s="73">
        <f t="shared" ca="1" si="836"/>
        <v>0</v>
      </c>
      <c r="DA98" s="64"/>
      <c r="DB98" s="74" t="s">
        <v>1261</v>
      </c>
      <c r="DC98" s="73">
        <f t="shared" ca="1" si="836"/>
        <v>5</v>
      </c>
      <c r="DD98" s="64"/>
      <c r="DE98" s="74" t="s">
        <v>1641</v>
      </c>
      <c r="DF98" s="73">
        <f t="shared" ca="1" si="836"/>
        <v>0</v>
      </c>
      <c r="DG98" s="64"/>
      <c r="DH98" s="74" t="s">
        <v>1261</v>
      </c>
      <c r="DI98" s="73">
        <f t="shared" ca="1" si="836"/>
        <v>5</v>
      </c>
      <c r="DJ98" s="64"/>
      <c r="DK98" s="74" t="s">
        <v>1641</v>
      </c>
      <c r="DL98" s="73">
        <f t="shared" ca="1" si="836"/>
        <v>0</v>
      </c>
      <c r="DM98" s="64"/>
      <c r="DN98" s="74" t="s">
        <v>1641</v>
      </c>
      <c r="DO98" s="73">
        <f t="shared" ca="1" si="836"/>
        <v>0</v>
      </c>
      <c r="DP98" s="64"/>
      <c r="DQ98" s="74" t="s">
        <v>1641</v>
      </c>
      <c r="DR98" s="73">
        <f t="shared" ca="1" si="836"/>
        <v>0</v>
      </c>
      <c r="DS98" s="64"/>
      <c r="DT98" s="74" t="s">
        <v>1261</v>
      </c>
      <c r="DU98" s="73">
        <f t="shared" ca="1" si="836"/>
        <v>5</v>
      </c>
      <c r="DV98" s="64"/>
      <c r="DW98" s="74" t="s">
        <v>1727</v>
      </c>
      <c r="DX98" s="73">
        <f t="shared" ca="1" si="836"/>
        <v>0</v>
      </c>
      <c r="DY98" s="64"/>
      <c r="DZ98" s="74" t="s">
        <v>1261</v>
      </c>
      <c r="EA98" s="73">
        <f t="shared" ca="1" si="836"/>
        <v>5</v>
      </c>
      <c r="EB98" s="64"/>
      <c r="EC98" s="74" t="s">
        <v>1261</v>
      </c>
      <c r="ED98" s="73">
        <f t="shared" ca="1" si="836"/>
        <v>5</v>
      </c>
      <c r="EE98" s="64"/>
      <c r="EF98" s="74" t="s">
        <v>1727</v>
      </c>
      <c r="EG98" s="73">
        <f t="shared" ca="1" si="836"/>
        <v>0</v>
      </c>
      <c r="EH98" s="64"/>
      <c r="EI98" s="74" t="s">
        <v>1641</v>
      </c>
      <c r="EJ98" s="73">
        <f t="shared" ca="1" si="836"/>
        <v>0</v>
      </c>
      <c r="EK98" s="64"/>
      <c r="EL98" s="74" t="s">
        <v>1641</v>
      </c>
      <c r="EM98" s="73">
        <f t="shared" ca="1" si="836"/>
        <v>0</v>
      </c>
      <c r="EN98" s="64"/>
      <c r="EO98" s="74" t="s">
        <v>1641</v>
      </c>
      <c r="EP98" s="73">
        <f t="shared" ca="1" si="836"/>
        <v>0</v>
      </c>
      <c r="EQ98" s="64"/>
      <c r="ER98" s="74" t="s">
        <v>1641</v>
      </c>
      <c r="ES98" s="73">
        <f t="shared" ca="1" si="836"/>
        <v>0</v>
      </c>
      <c r="ET98" s="64"/>
      <c r="EU98" s="74" t="s">
        <v>1641</v>
      </c>
      <c r="EV98" s="73">
        <f t="shared" ca="1" si="836"/>
        <v>0</v>
      </c>
      <c r="EW98" s="64"/>
      <c r="EX98" s="74" t="s">
        <v>1261</v>
      </c>
      <c r="EY98" s="73">
        <f t="shared" ref="EY98:HJ98" ca="1" si="837">($M98=EX98)*$D$13</f>
        <v>5</v>
      </c>
      <c r="EZ98" s="64"/>
      <c r="FA98" s="74" t="s">
        <v>1641</v>
      </c>
      <c r="FB98" s="73">
        <f t="shared" ca="1" si="837"/>
        <v>0</v>
      </c>
      <c r="FC98" s="64"/>
      <c r="FD98" s="74" t="s">
        <v>1261</v>
      </c>
      <c r="FE98" s="73">
        <f t="shared" ca="1" si="837"/>
        <v>5</v>
      </c>
      <c r="FF98" s="64"/>
      <c r="FG98" s="74" t="s">
        <v>1261</v>
      </c>
      <c r="FH98" s="73">
        <f t="shared" ca="1" si="837"/>
        <v>5</v>
      </c>
      <c r="FI98" s="64"/>
      <c r="FJ98" s="74" t="s">
        <v>1641</v>
      </c>
      <c r="FK98" s="73">
        <f t="shared" ca="1" si="837"/>
        <v>0</v>
      </c>
      <c r="FL98" s="64"/>
      <c r="FM98" s="74" t="s">
        <v>1641</v>
      </c>
      <c r="FN98" s="73">
        <f t="shared" ca="1" si="837"/>
        <v>0</v>
      </c>
      <c r="FO98" s="64"/>
      <c r="FP98" s="74" t="s">
        <v>1261</v>
      </c>
      <c r="FQ98" s="73">
        <f t="shared" ca="1" si="837"/>
        <v>5</v>
      </c>
      <c r="FR98" s="64"/>
      <c r="FS98" s="74" t="s">
        <v>1641</v>
      </c>
      <c r="FT98" s="73">
        <f t="shared" ca="1" si="837"/>
        <v>0</v>
      </c>
      <c r="FU98" s="64"/>
      <c r="FV98" s="74" t="s">
        <v>1261</v>
      </c>
      <c r="FW98" s="73">
        <f t="shared" ca="1" si="837"/>
        <v>5</v>
      </c>
      <c r="FX98" s="64"/>
      <c r="FY98" s="74" t="s">
        <v>1641</v>
      </c>
      <c r="FZ98" s="73">
        <f t="shared" ca="1" si="837"/>
        <v>0</v>
      </c>
      <c r="GA98" s="64"/>
      <c r="GB98" s="74" t="s">
        <v>1641</v>
      </c>
      <c r="GC98" s="73">
        <f t="shared" ca="1" si="837"/>
        <v>0</v>
      </c>
      <c r="GD98" s="64"/>
      <c r="GE98" s="74" t="s">
        <v>1641</v>
      </c>
      <c r="GF98" s="73">
        <f t="shared" ca="1" si="837"/>
        <v>0</v>
      </c>
      <c r="GG98" s="64"/>
      <c r="GH98" s="74" t="s">
        <v>1641</v>
      </c>
      <c r="GI98" s="73">
        <f t="shared" ca="1" si="837"/>
        <v>0</v>
      </c>
      <c r="GJ98" s="64"/>
      <c r="GK98" s="74" t="s">
        <v>1727</v>
      </c>
      <c r="GL98" s="73">
        <f t="shared" ca="1" si="837"/>
        <v>0</v>
      </c>
      <c r="GM98" s="64"/>
      <c r="GN98" s="74"/>
      <c r="GO98" s="73">
        <f t="shared" ca="1" si="837"/>
        <v>0</v>
      </c>
      <c r="GP98" s="64"/>
      <c r="GQ98" s="74"/>
      <c r="GR98" s="73">
        <f t="shared" ca="1" si="837"/>
        <v>0</v>
      </c>
      <c r="GS98" s="64"/>
      <c r="GT98" s="74"/>
      <c r="GU98" s="73">
        <f t="shared" ca="1" si="837"/>
        <v>0</v>
      </c>
      <c r="GV98" s="64"/>
      <c r="GW98" s="74"/>
      <c r="GX98" s="73">
        <f t="shared" ca="1" si="837"/>
        <v>0</v>
      </c>
      <c r="GY98" s="64"/>
      <c r="GZ98" s="74"/>
      <c r="HA98" s="73">
        <f t="shared" ca="1" si="837"/>
        <v>0</v>
      </c>
      <c r="HB98" s="64"/>
      <c r="HC98" s="74"/>
      <c r="HD98" s="73">
        <f t="shared" ca="1" si="837"/>
        <v>0</v>
      </c>
      <c r="HE98" s="64"/>
      <c r="HF98" s="74"/>
      <c r="HG98" s="73">
        <f t="shared" ca="1" si="837"/>
        <v>0</v>
      </c>
      <c r="HH98" s="64"/>
      <c r="HI98" s="74"/>
      <c r="HJ98" s="73">
        <f t="shared" ca="1" si="837"/>
        <v>0</v>
      </c>
      <c r="HK98" s="64"/>
      <c r="HL98" s="74"/>
      <c r="HM98" s="73">
        <f t="shared" ref="HM98:JX98" ca="1" si="838">($M98=HL98)*$D$13</f>
        <v>0</v>
      </c>
      <c r="HN98" s="64"/>
      <c r="HO98" s="74"/>
      <c r="HP98" s="73">
        <f t="shared" ca="1" si="838"/>
        <v>0</v>
      </c>
      <c r="HQ98" s="64"/>
      <c r="HR98" s="74"/>
      <c r="HS98" s="73">
        <f t="shared" ca="1" si="838"/>
        <v>0</v>
      </c>
      <c r="HT98" s="64"/>
      <c r="HU98" s="74"/>
      <c r="HV98" s="73">
        <f t="shared" ca="1" si="838"/>
        <v>0</v>
      </c>
      <c r="HW98" s="64"/>
      <c r="HX98" s="74"/>
      <c r="HY98" s="73">
        <f t="shared" ca="1" si="838"/>
        <v>0</v>
      </c>
      <c r="HZ98" s="64"/>
      <c r="IA98" s="74"/>
      <c r="IB98" s="73">
        <f t="shared" ca="1" si="838"/>
        <v>0</v>
      </c>
      <c r="IC98" s="64"/>
      <c r="ID98" s="74"/>
      <c r="IE98" s="73">
        <f t="shared" ca="1" si="838"/>
        <v>0</v>
      </c>
      <c r="IF98" s="64"/>
      <c r="IG98" s="74"/>
      <c r="IH98" s="73">
        <f t="shared" ca="1" si="838"/>
        <v>0</v>
      </c>
      <c r="II98" s="64"/>
      <c r="IJ98" s="74"/>
      <c r="IK98" s="73">
        <f t="shared" ca="1" si="838"/>
        <v>0</v>
      </c>
      <c r="IL98" s="64"/>
      <c r="IM98" s="74"/>
      <c r="IN98" s="73">
        <f t="shared" ca="1" si="838"/>
        <v>0</v>
      </c>
      <c r="IO98" s="64"/>
      <c r="IP98" s="74"/>
      <c r="IQ98" s="73">
        <f t="shared" ca="1" si="838"/>
        <v>0</v>
      </c>
      <c r="IR98" s="64"/>
      <c r="IS98" s="74"/>
      <c r="IT98" s="73">
        <f t="shared" ca="1" si="838"/>
        <v>0</v>
      </c>
      <c r="IU98" s="64"/>
      <c r="IV98" s="74"/>
      <c r="IW98" s="73">
        <f t="shared" ca="1" si="838"/>
        <v>0</v>
      </c>
      <c r="IX98" s="64"/>
      <c r="IY98" s="74"/>
      <c r="IZ98" s="73">
        <f t="shared" ca="1" si="838"/>
        <v>0</v>
      </c>
      <c r="JA98" s="64"/>
      <c r="JB98" s="74"/>
      <c r="JC98" s="73">
        <f t="shared" ca="1" si="838"/>
        <v>0</v>
      </c>
      <c r="JD98" s="64"/>
      <c r="JE98" s="74"/>
      <c r="JF98" s="73">
        <f t="shared" ca="1" si="838"/>
        <v>0</v>
      </c>
      <c r="JG98" s="64"/>
      <c r="JH98" s="74"/>
      <c r="JI98" s="73">
        <f t="shared" ca="1" si="838"/>
        <v>0</v>
      </c>
      <c r="JJ98" s="64"/>
      <c r="JK98" s="74"/>
      <c r="JL98" s="73">
        <f t="shared" ca="1" si="838"/>
        <v>0</v>
      </c>
      <c r="JM98" s="64"/>
      <c r="JN98" s="74"/>
      <c r="JO98" s="73">
        <f t="shared" ca="1" si="838"/>
        <v>0</v>
      </c>
      <c r="JP98" s="64"/>
      <c r="JQ98" s="74"/>
      <c r="JR98" s="73">
        <f t="shared" ca="1" si="838"/>
        <v>0</v>
      </c>
      <c r="JS98" s="64"/>
      <c r="JT98" s="74"/>
      <c r="JU98" s="73">
        <f t="shared" ca="1" si="838"/>
        <v>0</v>
      </c>
      <c r="JV98" s="64"/>
      <c r="JW98" s="74"/>
      <c r="JX98" s="73">
        <f t="shared" ca="1" si="838"/>
        <v>0</v>
      </c>
      <c r="JY98" s="64"/>
      <c r="JZ98" s="74"/>
      <c r="KA98" s="73">
        <f t="shared" ref="KA98:LE98" ca="1" si="839">($M98=JZ98)*$D$13</f>
        <v>0</v>
      </c>
      <c r="KB98" s="64"/>
      <c r="KC98" s="74"/>
      <c r="KD98" s="73">
        <f t="shared" ca="1" si="839"/>
        <v>0</v>
      </c>
      <c r="KE98" s="64"/>
      <c r="KF98" s="74"/>
      <c r="KG98" s="73">
        <f t="shared" ca="1" si="839"/>
        <v>0</v>
      </c>
      <c r="KH98" s="64"/>
      <c r="KI98" s="74"/>
      <c r="KJ98" s="73">
        <f t="shared" ca="1" si="839"/>
        <v>0</v>
      </c>
      <c r="KK98" s="64"/>
      <c r="KL98" s="74"/>
      <c r="KM98" s="73">
        <f t="shared" ca="1" si="839"/>
        <v>0</v>
      </c>
      <c r="KN98" s="64"/>
      <c r="KO98" s="74"/>
      <c r="KP98" s="73">
        <f t="shared" ca="1" si="839"/>
        <v>0</v>
      </c>
      <c r="KQ98" s="64"/>
      <c r="KR98" s="74"/>
      <c r="KS98" s="73">
        <f t="shared" ca="1" si="839"/>
        <v>0</v>
      </c>
      <c r="KT98" s="64"/>
      <c r="KU98" s="74"/>
      <c r="KV98" s="73">
        <f t="shared" ca="1" si="839"/>
        <v>0</v>
      </c>
      <c r="KW98" s="64"/>
      <c r="KX98" s="74"/>
      <c r="KY98" s="73">
        <f t="shared" ca="1" si="839"/>
        <v>0</v>
      </c>
      <c r="KZ98" s="64"/>
      <c r="LA98" s="74"/>
      <c r="LB98" s="73">
        <f t="shared" ca="1" si="839"/>
        <v>0</v>
      </c>
      <c r="LC98" s="64"/>
      <c r="LD98" s="74"/>
      <c r="LE98" s="73">
        <f t="shared" ca="1" si="839"/>
        <v>0</v>
      </c>
      <c r="LF98" s="64"/>
      <c r="LG98" s="64"/>
    </row>
    <row r="99" spans="1:319">
      <c r="A99" s="49"/>
      <c r="B99" s="49"/>
      <c r="C99" s="49"/>
      <c r="D99" s="49"/>
      <c r="E99" s="111"/>
      <c r="F99" s="127">
        <f t="shared" ref="F99" si="840">$D$14</f>
        <v>3</v>
      </c>
      <c r="G99" s="445">
        <f ca="1">VLOOKUP(H99,Equipos!$Q$1:$R$25,2,0)</f>
        <v>16</v>
      </c>
      <c r="H99" s="446">
        <f ca="1">$H$62</f>
        <v>46199</v>
      </c>
      <c r="I99" s="50"/>
      <c r="J99" s="848"/>
      <c r="K99" s="56" t="str">
        <f>Idiomas!D169</f>
        <v>4th GROUP E</v>
      </c>
      <c r="L99" s="53"/>
      <c r="M99" s="55" t="str">
        <f ca="1">IF(OR(SUM(WORLDCUP!$AN$38:$AN$41)=12,WORLDCUP!$AJ$99=144),WORLDCUP!AL41,LEFT(K99,1)&amp;RIGHT(K99,1))</f>
        <v>Curaçao</v>
      </c>
      <c r="N99" s="25"/>
      <c r="O99" s="25"/>
      <c r="P99" s="25"/>
      <c r="Q99" s="25"/>
      <c r="R99" s="110"/>
      <c r="S99" s="74" t="s">
        <v>1727</v>
      </c>
      <c r="T99" s="73">
        <f t="shared" ref="T99" ca="1" si="841">($M99=S99)*$D$14</f>
        <v>3</v>
      </c>
      <c r="U99" s="64"/>
      <c r="V99" s="74" t="s">
        <v>1727</v>
      </c>
      <c r="W99" s="73">
        <f t="shared" ref="W99:CH99" ca="1" si="842">($M99=V99)*$D$14</f>
        <v>3</v>
      </c>
      <c r="X99" s="64"/>
      <c r="Y99" s="74" t="s">
        <v>1727</v>
      </c>
      <c r="Z99" s="73">
        <f t="shared" ca="1" si="842"/>
        <v>3</v>
      </c>
      <c r="AA99" s="64"/>
      <c r="AB99" s="74" t="s">
        <v>1727</v>
      </c>
      <c r="AC99" s="73">
        <f t="shared" ca="1" si="842"/>
        <v>3</v>
      </c>
      <c r="AD99" s="64"/>
      <c r="AE99" s="74" t="s">
        <v>1727</v>
      </c>
      <c r="AF99" s="73">
        <f t="shared" ca="1" si="842"/>
        <v>3</v>
      </c>
      <c r="AG99" s="64"/>
      <c r="AH99" s="74" t="s">
        <v>1727</v>
      </c>
      <c r="AI99" s="73">
        <f t="shared" ca="1" si="842"/>
        <v>3</v>
      </c>
      <c r="AJ99" s="64"/>
      <c r="AK99" s="74" t="s">
        <v>1641</v>
      </c>
      <c r="AL99" s="73">
        <f t="shared" ca="1" si="842"/>
        <v>0</v>
      </c>
      <c r="AM99" s="64"/>
      <c r="AN99" s="74" t="s">
        <v>1727</v>
      </c>
      <c r="AO99" s="73">
        <f t="shared" ca="1" si="842"/>
        <v>3</v>
      </c>
      <c r="AP99" s="64"/>
      <c r="AQ99" s="74" t="s">
        <v>1641</v>
      </c>
      <c r="AR99" s="73">
        <f t="shared" ca="1" si="842"/>
        <v>0</v>
      </c>
      <c r="AS99" s="64"/>
      <c r="AT99" s="74" t="s">
        <v>1641</v>
      </c>
      <c r="AU99" s="73">
        <f t="shared" ca="1" si="842"/>
        <v>0</v>
      </c>
      <c r="AV99" s="64"/>
      <c r="AW99" s="74" t="s">
        <v>1727</v>
      </c>
      <c r="AX99" s="73">
        <f t="shared" ca="1" si="842"/>
        <v>3</v>
      </c>
      <c r="AY99" s="64"/>
      <c r="AZ99" s="74" t="s">
        <v>1727</v>
      </c>
      <c r="BA99" s="73">
        <f t="shared" ca="1" si="842"/>
        <v>3</v>
      </c>
      <c r="BB99" s="64"/>
      <c r="BC99" s="74" t="s">
        <v>1727</v>
      </c>
      <c r="BD99" s="73">
        <f t="shared" ca="1" si="842"/>
        <v>3</v>
      </c>
      <c r="BE99" s="64"/>
      <c r="BF99" s="74" t="s">
        <v>1727</v>
      </c>
      <c r="BG99" s="73">
        <f t="shared" ca="1" si="842"/>
        <v>3</v>
      </c>
      <c r="BH99" s="64"/>
      <c r="BI99" s="74" t="s">
        <v>1727</v>
      </c>
      <c r="BJ99" s="73">
        <f t="shared" ca="1" si="842"/>
        <v>3</v>
      </c>
      <c r="BK99" s="64"/>
      <c r="BL99" s="74" t="s">
        <v>1727</v>
      </c>
      <c r="BM99" s="73">
        <f t="shared" ca="1" si="842"/>
        <v>3</v>
      </c>
      <c r="BN99" s="64"/>
      <c r="BO99" s="74" t="s">
        <v>1727</v>
      </c>
      <c r="BP99" s="73">
        <f t="shared" ca="1" si="842"/>
        <v>3</v>
      </c>
      <c r="BQ99" s="64"/>
      <c r="BR99" s="74" t="s">
        <v>1727</v>
      </c>
      <c r="BS99" s="73">
        <f t="shared" ca="1" si="842"/>
        <v>3</v>
      </c>
      <c r="BT99" s="64"/>
      <c r="BU99" s="74" t="s">
        <v>1727</v>
      </c>
      <c r="BV99" s="73">
        <f t="shared" ca="1" si="842"/>
        <v>3</v>
      </c>
      <c r="BW99" s="64"/>
      <c r="BX99" s="74" t="s">
        <v>1261</v>
      </c>
      <c r="BY99" s="73">
        <f t="shared" ca="1" si="842"/>
        <v>0</v>
      </c>
      <c r="BZ99" s="64"/>
      <c r="CA99" s="74" t="s">
        <v>1727</v>
      </c>
      <c r="CB99" s="73">
        <f t="shared" ca="1" si="842"/>
        <v>3</v>
      </c>
      <c r="CC99" s="64"/>
      <c r="CD99" s="74" t="s">
        <v>1641</v>
      </c>
      <c r="CE99" s="73">
        <f t="shared" ca="1" si="842"/>
        <v>0</v>
      </c>
      <c r="CF99" s="64"/>
      <c r="CG99" s="74" t="s">
        <v>1261</v>
      </c>
      <c r="CH99" s="73">
        <f t="shared" ca="1" si="842"/>
        <v>0</v>
      </c>
      <c r="CI99" s="64"/>
      <c r="CJ99" s="74" t="s">
        <v>1727</v>
      </c>
      <c r="CK99" s="73">
        <f t="shared" ref="CK99:EV99" ca="1" si="843">($M99=CJ99)*$D$14</f>
        <v>3</v>
      </c>
      <c r="CL99" s="64"/>
      <c r="CM99" s="74" t="s">
        <v>1727</v>
      </c>
      <c r="CN99" s="73">
        <f t="shared" ca="1" si="843"/>
        <v>3</v>
      </c>
      <c r="CO99" s="64"/>
      <c r="CP99" s="74" t="s">
        <v>1727</v>
      </c>
      <c r="CQ99" s="73">
        <f t="shared" ca="1" si="843"/>
        <v>3</v>
      </c>
      <c r="CR99" s="64"/>
      <c r="CS99" s="74" t="s">
        <v>1261</v>
      </c>
      <c r="CT99" s="73">
        <f t="shared" ca="1" si="843"/>
        <v>0</v>
      </c>
      <c r="CU99" s="64"/>
      <c r="CV99" s="74" t="s">
        <v>1261</v>
      </c>
      <c r="CW99" s="73">
        <f t="shared" ca="1" si="843"/>
        <v>0</v>
      </c>
      <c r="CX99" s="64"/>
      <c r="CY99" s="74" t="s">
        <v>1727</v>
      </c>
      <c r="CZ99" s="73">
        <f t="shared" ca="1" si="843"/>
        <v>3</v>
      </c>
      <c r="DA99" s="64"/>
      <c r="DB99" s="74" t="s">
        <v>1727</v>
      </c>
      <c r="DC99" s="73">
        <f t="shared" ca="1" si="843"/>
        <v>3</v>
      </c>
      <c r="DD99" s="64"/>
      <c r="DE99" s="74" t="s">
        <v>1727</v>
      </c>
      <c r="DF99" s="73">
        <f t="shared" ca="1" si="843"/>
        <v>3</v>
      </c>
      <c r="DG99" s="64"/>
      <c r="DH99" s="74" t="s">
        <v>1727</v>
      </c>
      <c r="DI99" s="73">
        <f t="shared" ca="1" si="843"/>
        <v>3</v>
      </c>
      <c r="DJ99" s="64"/>
      <c r="DK99" s="74" t="s">
        <v>1727</v>
      </c>
      <c r="DL99" s="73">
        <f t="shared" ca="1" si="843"/>
        <v>3</v>
      </c>
      <c r="DM99" s="64"/>
      <c r="DN99" s="74" t="s">
        <v>1727</v>
      </c>
      <c r="DO99" s="73">
        <f t="shared" ca="1" si="843"/>
        <v>3</v>
      </c>
      <c r="DP99" s="64"/>
      <c r="DQ99" s="74" t="s">
        <v>1727</v>
      </c>
      <c r="DR99" s="73">
        <f t="shared" ca="1" si="843"/>
        <v>3</v>
      </c>
      <c r="DS99" s="64"/>
      <c r="DT99" s="74" t="s">
        <v>1727</v>
      </c>
      <c r="DU99" s="73">
        <f t="shared" ca="1" si="843"/>
        <v>3</v>
      </c>
      <c r="DV99" s="64"/>
      <c r="DW99" s="74" t="s">
        <v>1641</v>
      </c>
      <c r="DX99" s="73">
        <f t="shared" ca="1" si="843"/>
        <v>0</v>
      </c>
      <c r="DY99" s="64"/>
      <c r="DZ99" s="74" t="s">
        <v>1727</v>
      </c>
      <c r="EA99" s="73">
        <f t="shared" ca="1" si="843"/>
        <v>3</v>
      </c>
      <c r="EB99" s="64"/>
      <c r="EC99" s="74" t="s">
        <v>1727</v>
      </c>
      <c r="ED99" s="73">
        <f t="shared" ca="1" si="843"/>
        <v>3</v>
      </c>
      <c r="EE99" s="64"/>
      <c r="EF99" s="74" t="s">
        <v>1261</v>
      </c>
      <c r="EG99" s="73">
        <f t="shared" ca="1" si="843"/>
        <v>0</v>
      </c>
      <c r="EH99" s="64"/>
      <c r="EI99" s="74" t="s">
        <v>1727</v>
      </c>
      <c r="EJ99" s="73">
        <f t="shared" ca="1" si="843"/>
        <v>3</v>
      </c>
      <c r="EK99" s="64"/>
      <c r="EL99" s="74" t="s">
        <v>1727</v>
      </c>
      <c r="EM99" s="73">
        <f t="shared" ca="1" si="843"/>
        <v>3</v>
      </c>
      <c r="EN99" s="64"/>
      <c r="EO99" s="74" t="s">
        <v>1727</v>
      </c>
      <c r="EP99" s="73">
        <f t="shared" ca="1" si="843"/>
        <v>3</v>
      </c>
      <c r="EQ99" s="64"/>
      <c r="ER99" s="74" t="s">
        <v>1727</v>
      </c>
      <c r="ES99" s="73">
        <f t="shared" ca="1" si="843"/>
        <v>3</v>
      </c>
      <c r="ET99" s="64"/>
      <c r="EU99" s="74" t="s">
        <v>1727</v>
      </c>
      <c r="EV99" s="73">
        <f t="shared" ca="1" si="843"/>
        <v>3</v>
      </c>
      <c r="EW99" s="64"/>
      <c r="EX99" s="74" t="s">
        <v>1727</v>
      </c>
      <c r="EY99" s="73">
        <f t="shared" ref="EY99:HJ99" ca="1" si="844">($M99=EX99)*$D$14</f>
        <v>3</v>
      </c>
      <c r="EZ99" s="64"/>
      <c r="FA99" s="74" t="s">
        <v>1727</v>
      </c>
      <c r="FB99" s="73">
        <f t="shared" ca="1" si="844"/>
        <v>3</v>
      </c>
      <c r="FC99" s="64"/>
      <c r="FD99" s="74" t="s">
        <v>1641</v>
      </c>
      <c r="FE99" s="73">
        <f t="shared" ca="1" si="844"/>
        <v>0</v>
      </c>
      <c r="FF99" s="64"/>
      <c r="FG99" s="74" t="s">
        <v>1727</v>
      </c>
      <c r="FH99" s="73">
        <f t="shared" ca="1" si="844"/>
        <v>3</v>
      </c>
      <c r="FI99" s="64"/>
      <c r="FJ99" s="74" t="s">
        <v>1727</v>
      </c>
      <c r="FK99" s="73">
        <f t="shared" ca="1" si="844"/>
        <v>3</v>
      </c>
      <c r="FL99" s="64"/>
      <c r="FM99" s="74" t="s">
        <v>1727</v>
      </c>
      <c r="FN99" s="73">
        <f t="shared" ca="1" si="844"/>
        <v>3</v>
      </c>
      <c r="FO99" s="64"/>
      <c r="FP99" s="74" t="s">
        <v>1727</v>
      </c>
      <c r="FQ99" s="73">
        <f t="shared" ca="1" si="844"/>
        <v>3</v>
      </c>
      <c r="FR99" s="64"/>
      <c r="FS99" s="74" t="s">
        <v>1727</v>
      </c>
      <c r="FT99" s="73">
        <f t="shared" ca="1" si="844"/>
        <v>3</v>
      </c>
      <c r="FU99" s="64"/>
      <c r="FV99" s="74" t="s">
        <v>1727</v>
      </c>
      <c r="FW99" s="73">
        <f t="shared" ca="1" si="844"/>
        <v>3</v>
      </c>
      <c r="FX99" s="64"/>
      <c r="FY99" s="74" t="s">
        <v>1727</v>
      </c>
      <c r="FZ99" s="73">
        <f t="shared" ca="1" si="844"/>
        <v>3</v>
      </c>
      <c r="GA99" s="64"/>
      <c r="GB99" s="74" t="s">
        <v>1727</v>
      </c>
      <c r="GC99" s="73">
        <f t="shared" ca="1" si="844"/>
        <v>3</v>
      </c>
      <c r="GD99" s="64"/>
      <c r="GE99" s="74" t="s">
        <v>1727</v>
      </c>
      <c r="GF99" s="73">
        <f t="shared" ca="1" si="844"/>
        <v>3</v>
      </c>
      <c r="GG99" s="64"/>
      <c r="GH99" s="74" t="s">
        <v>1727</v>
      </c>
      <c r="GI99" s="73">
        <f t="shared" ca="1" si="844"/>
        <v>3</v>
      </c>
      <c r="GJ99" s="64"/>
      <c r="GK99" s="74" t="s">
        <v>1641</v>
      </c>
      <c r="GL99" s="73">
        <f t="shared" ca="1" si="844"/>
        <v>0</v>
      </c>
      <c r="GM99" s="64"/>
      <c r="GN99" s="74"/>
      <c r="GO99" s="73">
        <f t="shared" ca="1" si="844"/>
        <v>0</v>
      </c>
      <c r="GP99" s="64"/>
      <c r="GQ99" s="74"/>
      <c r="GR99" s="73">
        <f t="shared" ca="1" si="844"/>
        <v>0</v>
      </c>
      <c r="GS99" s="64"/>
      <c r="GT99" s="74"/>
      <c r="GU99" s="73">
        <f t="shared" ca="1" si="844"/>
        <v>0</v>
      </c>
      <c r="GV99" s="64"/>
      <c r="GW99" s="74"/>
      <c r="GX99" s="73">
        <f t="shared" ca="1" si="844"/>
        <v>0</v>
      </c>
      <c r="GY99" s="64"/>
      <c r="GZ99" s="74"/>
      <c r="HA99" s="73">
        <f t="shared" ca="1" si="844"/>
        <v>0</v>
      </c>
      <c r="HB99" s="64"/>
      <c r="HC99" s="74"/>
      <c r="HD99" s="73">
        <f t="shared" ca="1" si="844"/>
        <v>0</v>
      </c>
      <c r="HE99" s="64"/>
      <c r="HF99" s="74"/>
      <c r="HG99" s="73">
        <f t="shared" ca="1" si="844"/>
        <v>0</v>
      </c>
      <c r="HH99" s="64"/>
      <c r="HI99" s="74"/>
      <c r="HJ99" s="73">
        <f t="shared" ca="1" si="844"/>
        <v>0</v>
      </c>
      <c r="HK99" s="64"/>
      <c r="HL99" s="74"/>
      <c r="HM99" s="73">
        <f t="shared" ref="HM99:JX99" ca="1" si="845">($M99=HL99)*$D$14</f>
        <v>0</v>
      </c>
      <c r="HN99" s="64"/>
      <c r="HO99" s="74"/>
      <c r="HP99" s="73">
        <f t="shared" ca="1" si="845"/>
        <v>0</v>
      </c>
      <c r="HQ99" s="64"/>
      <c r="HR99" s="74"/>
      <c r="HS99" s="73">
        <f t="shared" ca="1" si="845"/>
        <v>0</v>
      </c>
      <c r="HT99" s="64"/>
      <c r="HU99" s="74"/>
      <c r="HV99" s="73">
        <f t="shared" ca="1" si="845"/>
        <v>0</v>
      </c>
      <c r="HW99" s="64"/>
      <c r="HX99" s="74"/>
      <c r="HY99" s="73">
        <f t="shared" ca="1" si="845"/>
        <v>0</v>
      </c>
      <c r="HZ99" s="64"/>
      <c r="IA99" s="74"/>
      <c r="IB99" s="73">
        <f t="shared" ca="1" si="845"/>
        <v>0</v>
      </c>
      <c r="IC99" s="64"/>
      <c r="ID99" s="74"/>
      <c r="IE99" s="73">
        <f t="shared" ca="1" si="845"/>
        <v>0</v>
      </c>
      <c r="IF99" s="64"/>
      <c r="IG99" s="74"/>
      <c r="IH99" s="73">
        <f t="shared" ca="1" si="845"/>
        <v>0</v>
      </c>
      <c r="II99" s="64"/>
      <c r="IJ99" s="74"/>
      <c r="IK99" s="73">
        <f t="shared" ca="1" si="845"/>
        <v>0</v>
      </c>
      <c r="IL99" s="64"/>
      <c r="IM99" s="74"/>
      <c r="IN99" s="73">
        <f t="shared" ca="1" si="845"/>
        <v>0</v>
      </c>
      <c r="IO99" s="64"/>
      <c r="IP99" s="74"/>
      <c r="IQ99" s="73">
        <f t="shared" ca="1" si="845"/>
        <v>0</v>
      </c>
      <c r="IR99" s="64"/>
      <c r="IS99" s="74"/>
      <c r="IT99" s="73">
        <f t="shared" ca="1" si="845"/>
        <v>0</v>
      </c>
      <c r="IU99" s="64"/>
      <c r="IV99" s="74"/>
      <c r="IW99" s="73">
        <f t="shared" ca="1" si="845"/>
        <v>0</v>
      </c>
      <c r="IX99" s="64"/>
      <c r="IY99" s="74"/>
      <c r="IZ99" s="73">
        <f t="shared" ca="1" si="845"/>
        <v>0</v>
      </c>
      <c r="JA99" s="64"/>
      <c r="JB99" s="74"/>
      <c r="JC99" s="73">
        <f t="shared" ca="1" si="845"/>
        <v>0</v>
      </c>
      <c r="JD99" s="64"/>
      <c r="JE99" s="74"/>
      <c r="JF99" s="73">
        <f t="shared" ca="1" si="845"/>
        <v>0</v>
      </c>
      <c r="JG99" s="64"/>
      <c r="JH99" s="74"/>
      <c r="JI99" s="73">
        <f t="shared" ca="1" si="845"/>
        <v>0</v>
      </c>
      <c r="JJ99" s="64"/>
      <c r="JK99" s="74"/>
      <c r="JL99" s="73">
        <f t="shared" ca="1" si="845"/>
        <v>0</v>
      </c>
      <c r="JM99" s="64"/>
      <c r="JN99" s="74"/>
      <c r="JO99" s="73">
        <f t="shared" ca="1" si="845"/>
        <v>0</v>
      </c>
      <c r="JP99" s="64"/>
      <c r="JQ99" s="74"/>
      <c r="JR99" s="73">
        <f t="shared" ca="1" si="845"/>
        <v>0</v>
      </c>
      <c r="JS99" s="64"/>
      <c r="JT99" s="74"/>
      <c r="JU99" s="73">
        <f t="shared" ca="1" si="845"/>
        <v>0</v>
      </c>
      <c r="JV99" s="64"/>
      <c r="JW99" s="74"/>
      <c r="JX99" s="73">
        <f t="shared" ca="1" si="845"/>
        <v>0</v>
      </c>
      <c r="JY99" s="64"/>
      <c r="JZ99" s="74"/>
      <c r="KA99" s="73">
        <f t="shared" ref="KA99:LE99" ca="1" si="846">($M99=JZ99)*$D$14</f>
        <v>0</v>
      </c>
      <c r="KB99" s="64"/>
      <c r="KC99" s="74"/>
      <c r="KD99" s="73">
        <f t="shared" ca="1" si="846"/>
        <v>0</v>
      </c>
      <c r="KE99" s="64"/>
      <c r="KF99" s="74"/>
      <c r="KG99" s="73">
        <f t="shared" ca="1" si="846"/>
        <v>0</v>
      </c>
      <c r="KH99" s="64"/>
      <c r="KI99" s="74"/>
      <c r="KJ99" s="73">
        <f t="shared" ca="1" si="846"/>
        <v>0</v>
      </c>
      <c r="KK99" s="64"/>
      <c r="KL99" s="74"/>
      <c r="KM99" s="73">
        <f t="shared" ca="1" si="846"/>
        <v>0</v>
      </c>
      <c r="KN99" s="64"/>
      <c r="KO99" s="74"/>
      <c r="KP99" s="73">
        <f t="shared" ca="1" si="846"/>
        <v>0</v>
      </c>
      <c r="KQ99" s="64"/>
      <c r="KR99" s="74"/>
      <c r="KS99" s="73">
        <f t="shared" ca="1" si="846"/>
        <v>0</v>
      </c>
      <c r="KT99" s="64"/>
      <c r="KU99" s="74"/>
      <c r="KV99" s="73">
        <f t="shared" ca="1" si="846"/>
        <v>0</v>
      </c>
      <c r="KW99" s="64"/>
      <c r="KX99" s="74"/>
      <c r="KY99" s="73">
        <f t="shared" ca="1" si="846"/>
        <v>0</v>
      </c>
      <c r="KZ99" s="64"/>
      <c r="LA99" s="74"/>
      <c r="LB99" s="73">
        <f t="shared" ca="1" si="846"/>
        <v>0</v>
      </c>
      <c r="LC99" s="64"/>
      <c r="LD99" s="74"/>
      <c r="LE99" s="73">
        <f t="shared" ca="1" si="846"/>
        <v>0</v>
      </c>
      <c r="LF99" s="64"/>
      <c r="LG99" s="64"/>
    </row>
    <row r="100" spans="1:319">
      <c r="A100" s="49"/>
      <c r="B100" s="49"/>
      <c r="C100" s="49"/>
      <c r="D100" s="49"/>
      <c r="E100" s="111"/>
      <c r="F100" s="127">
        <f t="shared" ref="F100" si="847">$D$11</f>
        <v>20</v>
      </c>
      <c r="G100" s="445">
        <f ca="1">VLOOKUP(H100,Equipos!$Q$1:$R$25,2,0)</f>
        <v>16</v>
      </c>
      <c r="H100" s="446">
        <f ca="1">$H$64</f>
        <v>46199</v>
      </c>
      <c r="I100" s="50"/>
      <c r="J100" s="847" t="s">
        <v>4</v>
      </c>
      <c r="K100" s="56" t="str">
        <f>Idiomas!D170</f>
        <v>1st GROUP F</v>
      </c>
      <c r="L100" s="53"/>
      <c r="M100" s="55" t="str">
        <f ca="1">IF(OR(SUM(WORLDCUP!$AN$46:$AN$49)=12,WORLDCUP!$AJ$99=144),WORLDCUP!AL46,LEFT(K100,1)&amp;RIGHT(K100,1))</f>
        <v>Netherlands</v>
      </c>
      <c r="N100" s="25"/>
      <c r="O100" s="25"/>
      <c r="P100" s="25"/>
      <c r="Q100" s="25"/>
      <c r="R100" s="110"/>
      <c r="S100" s="74" t="s">
        <v>291</v>
      </c>
      <c r="T100" s="73">
        <f t="shared" ref="T100" ca="1" si="848">($M100=S100)*$D$11</f>
        <v>20</v>
      </c>
      <c r="U100" s="64"/>
      <c r="V100" s="74" t="s">
        <v>291</v>
      </c>
      <c r="W100" s="73">
        <f t="shared" ref="W100:CH100" ca="1" si="849">($M100=V100)*$D$11</f>
        <v>20</v>
      </c>
      <c r="X100" s="64"/>
      <c r="Y100" s="74" t="s">
        <v>291</v>
      </c>
      <c r="Z100" s="73">
        <f t="shared" ca="1" si="849"/>
        <v>20</v>
      </c>
      <c r="AA100" s="64"/>
      <c r="AB100" s="74" t="s">
        <v>291</v>
      </c>
      <c r="AC100" s="73">
        <f t="shared" ca="1" si="849"/>
        <v>20</v>
      </c>
      <c r="AD100" s="64"/>
      <c r="AE100" s="74" t="s">
        <v>291</v>
      </c>
      <c r="AF100" s="73">
        <f t="shared" ca="1" si="849"/>
        <v>20</v>
      </c>
      <c r="AG100" s="64"/>
      <c r="AH100" s="74" t="s">
        <v>291</v>
      </c>
      <c r="AI100" s="73">
        <f t="shared" ca="1" si="849"/>
        <v>20</v>
      </c>
      <c r="AJ100" s="64"/>
      <c r="AK100" s="74" t="s">
        <v>291</v>
      </c>
      <c r="AL100" s="73">
        <f t="shared" ca="1" si="849"/>
        <v>20</v>
      </c>
      <c r="AM100" s="64"/>
      <c r="AN100" s="74" t="s">
        <v>1284</v>
      </c>
      <c r="AO100" s="73">
        <f t="shared" ca="1" si="849"/>
        <v>0</v>
      </c>
      <c r="AP100" s="64"/>
      <c r="AQ100" s="74" t="s">
        <v>291</v>
      </c>
      <c r="AR100" s="73">
        <f t="shared" ca="1" si="849"/>
        <v>20</v>
      </c>
      <c r="AS100" s="64"/>
      <c r="AT100" s="74" t="s">
        <v>291</v>
      </c>
      <c r="AU100" s="73">
        <f t="shared" ca="1" si="849"/>
        <v>20</v>
      </c>
      <c r="AV100" s="64"/>
      <c r="AW100" s="74" t="s">
        <v>1834</v>
      </c>
      <c r="AX100" s="73">
        <f t="shared" ca="1" si="849"/>
        <v>0</v>
      </c>
      <c r="AY100" s="64"/>
      <c r="AZ100" s="74" t="s">
        <v>291</v>
      </c>
      <c r="BA100" s="73">
        <f t="shared" ca="1" si="849"/>
        <v>20</v>
      </c>
      <c r="BB100" s="64"/>
      <c r="BC100" s="74" t="s">
        <v>1284</v>
      </c>
      <c r="BD100" s="73">
        <f t="shared" ca="1" si="849"/>
        <v>0</v>
      </c>
      <c r="BE100" s="64"/>
      <c r="BF100" s="74" t="s">
        <v>291</v>
      </c>
      <c r="BG100" s="73">
        <f t="shared" ca="1" si="849"/>
        <v>20</v>
      </c>
      <c r="BH100" s="64"/>
      <c r="BI100" s="74" t="s">
        <v>291</v>
      </c>
      <c r="BJ100" s="73">
        <f t="shared" ca="1" si="849"/>
        <v>20</v>
      </c>
      <c r="BK100" s="64"/>
      <c r="BL100" s="74" t="s">
        <v>291</v>
      </c>
      <c r="BM100" s="73">
        <f t="shared" ca="1" si="849"/>
        <v>20</v>
      </c>
      <c r="BN100" s="64"/>
      <c r="BO100" s="74" t="s">
        <v>291</v>
      </c>
      <c r="BP100" s="73">
        <f t="shared" ca="1" si="849"/>
        <v>20</v>
      </c>
      <c r="BQ100" s="64"/>
      <c r="BR100" s="74" t="s">
        <v>291</v>
      </c>
      <c r="BS100" s="73">
        <f t="shared" ca="1" si="849"/>
        <v>20</v>
      </c>
      <c r="BT100" s="64"/>
      <c r="BU100" s="74" t="s">
        <v>291</v>
      </c>
      <c r="BV100" s="73">
        <f t="shared" ca="1" si="849"/>
        <v>20</v>
      </c>
      <c r="BW100" s="64"/>
      <c r="BX100" s="74" t="s">
        <v>291</v>
      </c>
      <c r="BY100" s="73">
        <f t="shared" ca="1" si="849"/>
        <v>20</v>
      </c>
      <c r="BZ100" s="64"/>
      <c r="CA100" s="74" t="s">
        <v>291</v>
      </c>
      <c r="CB100" s="73">
        <f t="shared" ca="1" si="849"/>
        <v>20</v>
      </c>
      <c r="CC100" s="64"/>
      <c r="CD100" s="74" t="s">
        <v>291</v>
      </c>
      <c r="CE100" s="73">
        <f t="shared" ca="1" si="849"/>
        <v>20</v>
      </c>
      <c r="CF100" s="64"/>
      <c r="CG100" s="74" t="s">
        <v>291</v>
      </c>
      <c r="CH100" s="73">
        <f t="shared" ca="1" si="849"/>
        <v>20</v>
      </c>
      <c r="CI100" s="64"/>
      <c r="CJ100" s="74" t="s">
        <v>291</v>
      </c>
      <c r="CK100" s="73">
        <f t="shared" ref="CK100:EV100" ca="1" si="850">($M100=CJ100)*$D$11</f>
        <v>20</v>
      </c>
      <c r="CL100" s="64"/>
      <c r="CM100" s="74" t="s">
        <v>291</v>
      </c>
      <c r="CN100" s="73">
        <f t="shared" ca="1" si="850"/>
        <v>20</v>
      </c>
      <c r="CO100" s="64"/>
      <c r="CP100" s="74" t="s">
        <v>291</v>
      </c>
      <c r="CQ100" s="73">
        <f t="shared" ca="1" si="850"/>
        <v>20</v>
      </c>
      <c r="CR100" s="64"/>
      <c r="CS100" s="74" t="s">
        <v>1284</v>
      </c>
      <c r="CT100" s="73">
        <f t="shared" ca="1" si="850"/>
        <v>0</v>
      </c>
      <c r="CU100" s="64"/>
      <c r="CV100" s="74" t="s">
        <v>291</v>
      </c>
      <c r="CW100" s="73">
        <f t="shared" ca="1" si="850"/>
        <v>20</v>
      </c>
      <c r="CX100" s="64"/>
      <c r="CY100" s="74" t="s">
        <v>291</v>
      </c>
      <c r="CZ100" s="73">
        <f t="shared" ca="1" si="850"/>
        <v>20</v>
      </c>
      <c r="DA100" s="64"/>
      <c r="DB100" s="74" t="s">
        <v>291</v>
      </c>
      <c r="DC100" s="73">
        <f t="shared" ca="1" si="850"/>
        <v>20</v>
      </c>
      <c r="DD100" s="64"/>
      <c r="DE100" s="74" t="s">
        <v>291</v>
      </c>
      <c r="DF100" s="73">
        <f t="shared" ca="1" si="850"/>
        <v>20</v>
      </c>
      <c r="DG100" s="64"/>
      <c r="DH100" s="74" t="s">
        <v>1284</v>
      </c>
      <c r="DI100" s="73">
        <f t="shared" ca="1" si="850"/>
        <v>0</v>
      </c>
      <c r="DJ100" s="64"/>
      <c r="DK100" s="74" t="s">
        <v>291</v>
      </c>
      <c r="DL100" s="73">
        <f t="shared" ca="1" si="850"/>
        <v>20</v>
      </c>
      <c r="DM100" s="64"/>
      <c r="DN100" s="74" t="s">
        <v>291</v>
      </c>
      <c r="DO100" s="73">
        <f t="shared" ca="1" si="850"/>
        <v>20</v>
      </c>
      <c r="DP100" s="64"/>
      <c r="DQ100" s="74" t="s">
        <v>291</v>
      </c>
      <c r="DR100" s="73">
        <f t="shared" ca="1" si="850"/>
        <v>20</v>
      </c>
      <c r="DS100" s="64"/>
      <c r="DT100" s="74" t="s">
        <v>291</v>
      </c>
      <c r="DU100" s="73">
        <f t="shared" ca="1" si="850"/>
        <v>20</v>
      </c>
      <c r="DV100" s="64"/>
      <c r="DW100" s="74" t="s">
        <v>291</v>
      </c>
      <c r="DX100" s="73">
        <f t="shared" ca="1" si="850"/>
        <v>20</v>
      </c>
      <c r="DY100" s="64"/>
      <c r="DZ100" s="74" t="s">
        <v>291</v>
      </c>
      <c r="EA100" s="73">
        <f t="shared" ca="1" si="850"/>
        <v>20</v>
      </c>
      <c r="EB100" s="64"/>
      <c r="EC100" s="74" t="s">
        <v>291</v>
      </c>
      <c r="ED100" s="73">
        <f t="shared" ca="1" si="850"/>
        <v>20</v>
      </c>
      <c r="EE100" s="64"/>
      <c r="EF100" s="74" t="s">
        <v>291</v>
      </c>
      <c r="EG100" s="73">
        <f t="shared" ca="1" si="850"/>
        <v>20</v>
      </c>
      <c r="EH100" s="64"/>
      <c r="EI100" s="74" t="s">
        <v>291</v>
      </c>
      <c r="EJ100" s="73">
        <f t="shared" ca="1" si="850"/>
        <v>20</v>
      </c>
      <c r="EK100" s="64"/>
      <c r="EL100" s="74" t="s">
        <v>291</v>
      </c>
      <c r="EM100" s="73">
        <f t="shared" ca="1" si="850"/>
        <v>20</v>
      </c>
      <c r="EN100" s="64"/>
      <c r="EO100" s="74" t="s">
        <v>291</v>
      </c>
      <c r="EP100" s="73">
        <f t="shared" ca="1" si="850"/>
        <v>20</v>
      </c>
      <c r="EQ100" s="64"/>
      <c r="ER100" s="74" t="s">
        <v>291</v>
      </c>
      <c r="ES100" s="73">
        <f t="shared" ca="1" si="850"/>
        <v>20</v>
      </c>
      <c r="ET100" s="64"/>
      <c r="EU100" s="74" t="s">
        <v>1834</v>
      </c>
      <c r="EV100" s="73">
        <f t="shared" ca="1" si="850"/>
        <v>0</v>
      </c>
      <c r="EW100" s="64"/>
      <c r="EX100" s="74" t="s">
        <v>291</v>
      </c>
      <c r="EY100" s="73">
        <f t="shared" ref="EY100:HJ100" ca="1" si="851">($M100=EX100)*$D$11</f>
        <v>20</v>
      </c>
      <c r="EZ100" s="64"/>
      <c r="FA100" s="74" t="s">
        <v>291</v>
      </c>
      <c r="FB100" s="73">
        <f t="shared" ca="1" si="851"/>
        <v>20</v>
      </c>
      <c r="FC100" s="64"/>
      <c r="FD100" s="74" t="s">
        <v>291</v>
      </c>
      <c r="FE100" s="73">
        <f t="shared" ca="1" si="851"/>
        <v>20</v>
      </c>
      <c r="FF100" s="64"/>
      <c r="FG100" s="74" t="s">
        <v>291</v>
      </c>
      <c r="FH100" s="73">
        <f t="shared" ca="1" si="851"/>
        <v>20</v>
      </c>
      <c r="FI100" s="64"/>
      <c r="FJ100" s="74" t="s">
        <v>291</v>
      </c>
      <c r="FK100" s="73">
        <f t="shared" ca="1" si="851"/>
        <v>20</v>
      </c>
      <c r="FL100" s="64"/>
      <c r="FM100" s="74" t="s">
        <v>291</v>
      </c>
      <c r="FN100" s="73">
        <f t="shared" ca="1" si="851"/>
        <v>20</v>
      </c>
      <c r="FO100" s="64"/>
      <c r="FP100" s="74" t="s">
        <v>291</v>
      </c>
      <c r="FQ100" s="73">
        <f t="shared" ca="1" si="851"/>
        <v>20</v>
      </c>
      <c r="FR100" s="64"/>
      <c r="FS100" s="74" t="s">
        <v>291</v>
      </c>
      <c r="FT100" s="73">
        <f t="shared" ca="1" si="851"/>
        <v>20</v>
      </c>
      <c r="FU100" s="64"/>
      <c r="FV100" s="74" t="s">
        <v>291</v>
      </c>
      <c r="FW100" s="73">
        <f t="shared" ca="1" si="851"/>
        <v>20</v>
      </c>
      <c r="FX100" s="64"/>
      <c r="FY100" s="74" t="s">
        <v>291</v>
      </c>
      <c r="FZ100" s="73">
        <f t="shared" ca="1" si="851"/>
        <v>20</v>
      </c>
      <c r="GA100" s="64"/>
      <c r="GB100" s="74" t="s">
        <v>291</v>
      </c>
      <c r="GC100" s="73">
        <f t="shared" ca="1" si="851"/>
        <v>20</v>
      </c>
      <c r="GD100" s="64"/>
      <c r="GE100" s="74" t="s">
        <v>291</v>
      </c>
      <c r="GF100" s="73">
        <f t="shared" ca="1" si="851"/>
        <v>20</v>
      </c>
      <c r="GG100" s="64"/>
      <c r="GH100" s="74" t="s">
        <v>291</v>
      </c>
      <c r="GI100" s="73">
        <f t="shared" ca="1" si="851"/>
        <v>20</v>
      </c>
      <c r="GJ100" s="64"/>
      <c r="GK100" s="74" t="s">
        <v>291</v>
      </c>
      <c r="GL100" s="73">
        <f t="shared" ca="1" si="851"/>
        <v>20</v>
      </c>
      <c r="GM100" s="64"/>
      <c r="GN100" s="74"/>
      <c r="GO100" s="73">
        <f t="shared" ca="1" si="851"/>
        <v>0</v>
      </c>
      <c r="GP100" s="64"/>
      <c r="GQ100" s="74"/>
      <c r="GR100" s="73">
        <f t="shared" ca="1" si="851"/>
        <v>0</v>
      </c>
      <c r="GS100" s="64"/>
      <c r="GT100" s="74"/>
      <c r="GU100" s="73">
        <f t="shared" ca="1" si="851"/>
        <v>0</v>
      </c>
      <c r="GV100" s="64"/>
      <c r="GW100" s="74"/>
      <c r="GX100" s="73">
        <f t="shared" ca="1" si="851"/>
        <v>0</v>
      </c>
      <c r="GY100" s="64"/>
      <c r="GZ100" s="74"/>
      <c r="HA100" s="73">
        <f t="shared" ca="1" si="851"/>
        <v>0</v>
      </c>
      <c r="HB100" s="64"/>
      <c r="HC100" s="74"/>
      <c r="HD100" s="73">
        <f t="shared" ca="1" si="851"/>
        <v>0</v>
      </c>
      <c r="HE100" s="64"/>
      <c r="HF100" s="74"/>
      <c r="HG100" s="73">
        <f t="shared" ca="1" si="851"/>
        <v>0</v>
      </c>
      <c r="HH100" s="64"/>
      <c r="HI100" s="74"/>
      <c r="HJ100" s="73">
        <f t="shared" ca="1" si="851"/>
        <v>0</v>
      </c>
      <c r="HK100" s="64"/>
      <c r="HL100" s="74"/>
      <c r="HM100" s="73">
        <f t="shared" ref="HM100:JX100" ca="1" si="852">($M100=HL100)*$D$11</f>
        <v>0</v>
      </c>
      <c r="HN100" s="64"/>
      <c r="HO100" s="74"/>
      <c r="HP100" s="73">
        <f t="shared" ca="1" si="852"/>
        <v>0</v>
      </c>
      <c r="HQ100" s="64"/>
      <c r="HR100" s="74"/>
      <c r="HS100" s="73">
        <f t="shared" ca="1" si="852"/>
        <v>0</v>
      </c>
      <c r="HT100" s="64"/>
      <c r="HU100" s="74"/>
      <c r="HV100" s="73">
        <f t="shared" ca="1" si="852"/>
        <v>0</v>
      </c>
      <c r="HW100" s="64"/>
      <c r="HX100" s="74"/>
      <c r="HY100" s="73">
        <f t="shared" ca="1" si="852"/>
        <v>0</v>
      </c>
      <c r="HZ100" s="64"/>
      <c r="IA100" s="74"/>
      <c r="IB100" s="73">
        <f t="shared" ca="1" si="852"/>
        <v>0</v>
      </c>
      <c r="IC100" s="64"/>
      <c r="ID100" s="74"/>
      <c r="IE100" s="73">
        <f t="shared" ca="1" si="852"/>
        <v>0</v>
      </c>
      <c r="IF100" s="64"/>
      <c r="IG100" s="74"/>
      <c r="IH100" s="73">
        <f t="shared" ca="1" si="852"/>
        <v>0</v>
      </c>
      <c r="II100" s="64"/>
      <c r="IJ100" s="74"/>
      <c r="IK100" s="73">
        <f t="shared" ca="1" si="852"/>
        <v>0</v>
      </c>
      <c r="IL100" s="64"/>
      <c r="IM100" s="74"/>
      <c r="IN100" s="73">
        <f t="shared" ca="1" si="852"/>
        <v>0</v>
      </c>
      <c r="IO100" s="64"/>
      <c r="IP100" s="74"/>
      <c r="IQ100" s="73">
        <f t="shared" ca="1" si="852"/>
        <v>0</v>
      </c>
      <c r="IR100" s="64"/>
      <c r="IS100" s="74"/>
      <c r="IT100" s="73">
        <f t="shared" ca="1" si="852"/>
        <v>0</v>
      </c>
      <c r="IU100" s="64"/>
      <c r="IV100" s="74"/>
      <c r="IW100" s="73">
        <f t="shared" ca="1" si="852"/>
        <v>0</v>
      </c>
      <c r="IX100" s="64"/>
      <c r="IY100" s="74"/>
      <c r="IZ100" s="73">
        <f t="shared" ca="1" si="852"/>
        <v>0</v>
      </c>
      <c r="JA100" s="64"/>
      <c r="JB100" s="74"/>
      <c r="JC100" s="73">
        <f t="shared" ca="1" si="852"/>
        <v>0</v>
      </c>
      <c r="JD100" s="64"/>
      <c r="JE100" s="74"/>
      <c r="JF100" s="73">
        <f t="shared" ca="1" si="852"/>
        <v>0</v>
      </c>
      <c r="JG100" s="64"/>
      <c r="JH100" s="74"/>
      <c r="JI100" s="73">
        <f t="shared" ca="1" si="852"/>
        <v>0</v>
      </c>
      <c r="JJ100" s="64"/>
      <c r="JK100" s="74"/>
      <c r="JL100" s="73">
        <f t="shared" ca="1" si="852"/>
        <v>0</v>
      </c>
      <c r="JM100" s="64"/>
      <c r="JN100" s="74"/>
      <c r="JO100" s="73">
        <f t="shared" ca="1" si="852"/>
        <v>0</v>
      </c>
      <c r="JP100" s="64"/>
      <c r="JQ100" s="74"/>
      <c r="JR100" s="73">
        <f t="shared" ca="1" si="852"/>
        <v>0</v>
      </c>
      <c r="JS100" s="64"/>
      <c r="JT100" s="74"/>
      <c r="JU100" s="73">
        <f t="shared" ca="1" si="852"/>
        <v>0</v>
      </c>
      <c r="JV100" s="64"/>
      <c r="JW100" s="74"/>
      <c r="JX100" s="73">
        <f t="shared" ca="1" si="852"/>
        <v>0</v>
      </c>
      <c r="JY100" s="64"/>
      <c r="JZ100" s="74"/>
      <c r="KA100" s="73">
        <f t="shared" ref="KA100:LE100" ca="1" si="853">($M100=JZ100)*$D$11</f>
        <v>0</v>
      </c>
      <c r="KB100" s="64"/>
      <c r="KC100" s="74"/>
      <c r="KD100" s="73">
        <f t="shared" ca="1" si="853"/>
        <v>0</v>
      </c>
      <c r="KE100" s="64"/>
      <c r="KF100" s="74"/>
      <c r="KG100" s="73">
        <f t="shared" ca="1" si="853"/>
        <v>0</v>
      </c>
      <c r="KH100" s="64"/>
      <c r="KI100" s="74"/>
      <c r="KJ100" s="73">
        <f t="shared" ca="1" si="853"/>
        <v>0</v>
      </c>
      <c r="KK100" s="64"/>
      <c r="KL100" s="74"/>
      <c r="KM100" s="73">
        <f t="shared" ca="1" si="853"/>
        <v>0</v>
      </c>
      <c r="KN100" s="64"/>
      <c r="KO100" s="74"/>
      <c r="KP100" s="73">
        <f t="shared" ca="1" si="853"/>
        <v>0</v>
      </c>
      <c r="KQ100" s="64"/>
      <c r="KR100" s="74"/>
      <c r="KS100" s="73">
        <f t="shared" ca="1" si="853"/>
        <v>0</v>
      </c>
      <c r="KT100" s="64"/>
      <c r="KU100" s="74"/>
      <c r="KV100" s="73">
        <f t="shared" ca="1" si="853"/>
        <v>0</v>
      </c>
      <c r="KW100" s="64"/>
      <c r="KX100" s="74"/>
      <c r="KY100" s="73">
        <f t="shared" ca="1" si="853"/>
        <v>0</v>
      </c>
      <c r="KZ100" s="64"/>
      <c r="LA100" s="74"/>
      <c r="LB100" s="73">
        <f t="shared" ca="1" si="853"/>
        <v>0</v>
      </c>
      <c r="LC100" s="64"/>
      <c r="LD100" s="74"/>
      <c r="LE100" s="73">
        <f t="shared" ca="1" si="853"/>
        <v>0</v>
      </c>
      <c r="LF100" s="64"/>
      <c r="LG100" s="64"/>
    </row>
    <row r="101" spans="1:319">
      <c r="A101" s="49"/>
      <c r="B101" s="49"/>
      <c r="C101" s="49"/>
      <c r="D101" s="49"/>
      <c r="E101" s="111"/>
      <c r="F101" s="127">
        <f t="shared" ref="F101" si="854">$D$12</f>
        <v>10</v>
      </c>
      <c r="G101" s="445">
        <f ca="1">VLOOKUP(H101,Equipos!$Q$1:$R$25,2,0)</f>
        <v>16</v>
      </c>
      <c r="H101" s="446">
        <f ca="1">$H$64</f>
        <v>46199</v>
      </c>
      <c r="I101" s="50"/>
      <c r="J101" s="847"/>
      <c r="K101" s="56" t="str">
        <f>Idiomas!D171</f>
        <v>2nd GROUP F</v>
      </c>
      <c r="L101" s="53"/>
      <c r="M101" s="55" t="str">
        <f ca="1">IF(OR(SUM(WORLDCUP!$AN$46:$AN$49)=12,WORLDCUP!$AJ$99=144),WORLDCUP!AL47,LEFT(K101,1)&amp;RIGHT(K101,1))</f>
        <v>Japan</v>
      </c>
      <c r="N101" s="25"/>
      <c r="O101" s="25"/>
      <c r="P101" s="25"/>
      <c r="Q101" s="25"/>
      <c r="R101" s="110"/>
      <c r="S101" s="74" t="s">
        <v>1834</v>
      </c>
      <c r="T101" s="73">
        <f t="shared" ref="T101" ca="1" si="855">($M101=S101)*$D$12</f>
        <v>0</v>
      </c>
      <c r="U101" s="64"/>
      <c r="V101" s="74" t="s">
        <v>1834</v>
      </c>
      <c r="W101" s="73">
        <f t="shared" ref="W101:CH101" ca="1" si="856">($M101=V101)*$D$12</f>
        <v>0</v>
      </c>
      <c r="X101" s="64"/>
      <c r="Y101" s="74" t="s">
        <v>1284</v>
      </c>
      <c r="Z101" s="73">
        <f t="shared" ca="1" si="856"/>
        <v>10</v>
      </c>
      <c r="AA101" s="64"/>
      <c r="AB101" s="74" t="s">
        <v>1284</v>
      </c>
      <c r="AC101" s="73">
        <f t="shared" ca="1" si="856"/>
        <v>10</v>
      </c>
      <c r="AD101" s="64"/>
      <c r="AE101" s="74" t="s">
        <v>1834</v>
      </c>
      <c r="AF101" s="73">
        <f t="shared" ca="1" si="856"/>
        <v>0</v>
      </c>
      <c r="AG101" s="64"/>
      <c r="AH101" s="74" t="s">
        <v>1834</v>
      </c>
      <c r="AI101" s="73">
        <f t="shared" ca="1" si="856"/>
        <v>0</v>
      </c>
      <c r="AJ101" s="64"/>
      <c r="AK101" s="74" t="s">
        <v>1834</v>
      </c>
      <c r="AL101" s="73">
        <f t="shared" ca="1" si="856"/>
        <v>0</v>
      </c>
      <c r="AM101" s="64"/>
      <c r="AN101" s="74" t="s">
        <v>291</v>
      </c>
      <c r="AO101" s="73">
        <f t="shared" ca="1" si="856"/>
        <v>0</v>
      </c>
      <c r="AP101" s="64"/>
      <c r="AQ101" s="74" t="s">
        <v>1284</v>
      </c>
      <c r="AR101" s="73">
        <f t="shared" ca="1" si="856"/>
        <v>10</v>
      </c>
      <c r="AS101" s="64"/>
      <c r="AT101" s="74" t="s">
        <v>1284</v>
      </c>
      <c r="AU101" s="73">
        <f t="shared" ca="1" si="856"/>
        <v>10</v>
      </c>
      <c r="AV101" s="64"/>
      <c r="AW101" s="74" t="s">
        <v>291</v>
      </c>
      <c r="AX101" s="73">
        <f t="shared" ca="1" si="856"/>
        <v>0</v>
      </c>
      <c r="AY101" s="64"/>
      <c r="AZ101" s="74" t="s">
        <v>1284</v>
      </c>
      <c r="BA101" s="73">
        <f t="shared" ca="1" si="856"/>
        <v>10</v>
      </c>
      <c r="BB101" s="64"/>
      <c r="BC101" s="74" t="s">
        <v>291</v>
      </c>
      <c r="BD101" s="73">
        <f t="shared" ca="1" si="856"/>
        <v>0</v>
      </c>
      <c r="BE101" s="64"/>
      <c r="BF101" s="74" t="s">
        <v>1834</v>
      </c>
      <c r="BG101" s="73">
        <f t="shared" ca="1" si="856"/>
        <v>0</v>
      </c>
      <c r="BH101" s="64"/>
      <c r="BI101" s="74" t="s">
        <v>1284</v>
      </c>
      <c r="BJ101" s="73">
        <f t="shared" ca="1" si="856"/>
        <v>10</v>
      </c>
      <c r="BK101" s="64"/>
      <c r="BL101" s="74" t="s">
        <v>1834</v>
      </c>
      <c r="BM101" s="73">
        <f t="shared" ca="1" si="856"/>
        <v>0</v>
      </c>
      <c r="BN101" s="64"/>
      <c r="BO101" s="74" t="s">
        <v>1834</v>
      </c>
      <c r="BP101" s="73">
        <f t="shared" ca="1" si="856"/>
        <v>0</v>
      </c>
      <c r="BQ101" s="64"/>
      <c r="BR101" s="74" t="s">
        <v>1834</v>
      </c>
      <c r="BS101" s="73">
        <f t="shared" ca="1" si="856"/>
        <v>0</v>
      </c>
      <c r="BT101" s="64"/>
      <c r="BU101" s="74" t="s">
        <v>1834</v>
      </c>
      <c r="BV101" s="73">
        <f t="shared" ca="1" si="856"/>
        <v>0</v>
      </c>
      <c r="BW101" s="64"/>
      <c r="BX101" s="74" t="s">
        <v>1834</v>
      </c>
      <c r="BY101" s="73">
        <f t="shared" ca="1" si="856"/>
        <v>0</v>
      </c>
      <c r="BZ101" s="64"/>
      <c r="CA101" s="74" t="s">
        <v>1284</v>
      </c>
      <c r="CB101" s="73">
        <f t="shared" ca="1" si="856"/>
        <v>10</v>
      </c>
      <c r="CC101" s="64"/>
      <c r="CD101" s="74" t="s">
        <v>1834</v>
      </c>
      <c r="CE101" s="73">
        <f t="shared" ca="1" si="856"/>
        <v>0</v>
      </c>
      <c r="CF101" s="64"/>
      <c r="CG101" s="74" t="s">
        <v>1284</v>
      </c>
      <c r="CH101" s="73">
        <f t="shared" ca="1" si="856"/>
        <v>10</v>
      </c>
      <c r="CI101" s="64"/>
      <c r="CJ101" s="74" t="s">
        <v>1284</v>
      </c>
      <c r="CK101" s="73">
        <f t="shared" ref="CK101:EV101" ca="1" si="857">($M101=CJ101)*$D$12</f>
        <v>10</v>
      </c>
      <c r="CL101" s="64"/>
      <c r="CM101" s="74" t="s">
        <v>1284</v>
      </c>
      <c r="CN101" s="73">
        <f t="shared" ca="1" si="857"/>
        <v>10</v>
      </c>
      <c r="CO101" s="64"/>
      <c r="CP101" s="74" t="s">
        <v>1284</v>
      </c>
      <c r="CQ101" s="73">
        <f t="shared" ca="1" si="857"/>
        <v>10</v>
      </c>
      <c r="CR101" s="64"/>
      <c r="CS101" s="74" t="s">
        <v>1834</v>
      </c>
      <c r="CT101" s="73">
        <f t="shared" ca="1" si="857"/>
        <v>0</v>
      </c>
      <c r="CU101" s="64"/>
      <c r="CV101" s="74" t="s">
        <v>1284</v>
      </c>
      <c r="CW101" s="73">
        <f t="shared" ca="1" si="857"/>
        <v>10</v>
      </c>
      <c r="CX101" s="64"/>
      <c r="CY101" s="74" t="s">
        <v>1284</v>
      </c>
      <c r="CZ101" s="73">
        <f t="shared" ca="1" si="857"/>
        <v>10</v>
      </c>
      <c r="DA101" s="64"/>
      <c r="DB101" s="74" t="s">
        <v>1284</v>
      </c>
      <c r="DC101" s="73">
        <f t="shared" ca="1" si="857"/>
        <v>10</v>
      </c>
      <c r="DD101" s="64"/>
      <c r="DE101" s="74" t="s">
        <v>1284</v>
      </c>
      <c r="DF101" s="73">
        <f t="shared" ca="1" si="857"/>
        <v>10</v>
      </c>
      <c r="DG101" s="64"/>
      <c r="DH101" s="74" t="s">
        <v>291</v>
      </c>
      <c r="DI101" s="73">
        <f t="shared" ca="1" si="857"/>
        <v>0</v>
      </c>
      <c r="DJ101" s="64"/>
      <c r="DK101" s="74" t="s">
        <v>1834</v>
      </c>
      <c r="DL101" s="73">
        <f t="shared" ca="1" si="857"/>
        <v>0</v>
      </c>
      <c r="DM101" s="64"/>
      <c r="DN101" s="74" t="s">
        <v>1284</v>
      </c>
      <c r="DO101" s="73">
        <f t="shared" ca="1" si="857"/>
        <v>10</v>
      </c>
      <c r="DP101" s="64"/>
      <c r="DQ101" s="74" t="s">
        <v>1834</v>
      </c>
      <c r="DR101" s="73">
        <f t="shared" ca="1" si="857"/>
        <v>0</v>
      </c>
      <c r="DS101" s="64"/>
      <c r="DT101" s="74" t="s">
        <v>1284</v>
      </c>
      <c r="DU101" s="73">
        <f t="shared" ca="1" si="857"/>
        <v>10</v>
      </c>
      <c r="DV101" s="64"/>
      <c r="DW101" s="74" t="s">
        <v>1284</v>
      </c>
      <c r="DX101" s="73">
        <f t="shared" ca="1" si="857"/>
        <v>10</v>
      </c>
      <c r="DY101" s="64"/>
      <c r="DZ101" s="74" t="s">
        <v>1834</v>
      </c>
      <c r="EA101" s="73">
        <f t="shared" ca="1" si="857"/>
        <v>0</v>
      </c>
      <c r="EB101" s="64"/>
      <c r="EC101" s="74" t="s">
        <v>1284</v>
      </c>
      <c r="ED101" s="73">
        <f t="shared" ca="1" si="857"/>
        <v>10</v>
      </c>
      <c r="EE101" s="64"/>
      <c r="EF101" s="74" t="s">
        <v>1284</v>
      </c>
      <c r="EG101" s="73">
        <f t="shared" ca="1" si="857"/>
        <v>10</v>
      </c>
      <c r="EH101" s="64"/>
      <c r="EI101" s="74" t="s">
        <v>1284</v>
      </c>
      <c r="EJ101" s="73">
        <f t="shared" ca="1" si="857"/>
        <v>10</v>
      </c>
      <c r="EK101" s="64"/>
      <c r="EL101" s="74" t="s">
        <v>1284</v>
      </c>
      <c r="EM101" s="73">
        <f t="shared" ca="1" si="857"/>
        <v>10</v>
      </c>
      <c r="EN101" s="64"/>
      <c r="EO101" s="74" t="s">
        <v>1284</v>
      </c>
      <c r="EP101" s="73">
        <f t="shared" ca="1" si="857"/>
        <v>10</v>
      </c>
      <c r="EQ101" s="64"/>
      <c r="ER101" s="74" t="s">
        <v>1284</v>
      </c>
      <c r="ES101" s="73">
        <f t="shared" ca="1" si="857"/>
        <v>10</v>
      </c>
      <c r="ET101" s="64"/>
      <c r="EU101" s="74" t="s">
        <v>291</v>
      </c>
      <c r="EV101" s="73">
        <f t="shared" ca="1" si="857"/>
        <v>0</v>
      </c>
      <c r="EW101" s="64"/>
      <c r="EX101" s="74" t="s">
        <v>1284</v>
      </c>
      <c r="EY101" s="73">
        <f t="shared" ref="EY101:HJ101" ca="1" si="858">($M101=EX101)*$D$12</f>
        <v>10</v>
      </c>
      <c r="EZ101" s="64"/>
      <c r="FA101" s="74" t="s">
        <v>1834</v>
      </c>
      <c r="FB101" s="73">
        <f t="shared" ca="1" si="858"/>
        <v>0</v>
      </c>
      <c r="FC101" s="64"/>
      <c r="FD101" s="74" t="s">
        <v>1834</v>
      </c>
      <c r="FE101" s="73">
        <f t="shared" ca="1" si="858"/>
        <v>0</v>
      </c>
      <c r="FF101" s="64"/>
      <c r="FG101" s="74" t="s">
        <v>1284</v>
      </c>
      <c r="FH101" s="73">
        <f t="shared" ca="1" si="858"/>
        <v>10</v>
      </c>
      <c r="FI101" s="64"/>
      <c r="FJ101" s="74" t="s">
        <v>1284</v>
      </c>
      <c r="FK101" s="73">
        <f t="shared" ca="1" si="858"/>
        <v>10</v>
      </c>
      <c r="FL101" s="64"/>
      <c r="FM101" s="74" t="s">
        <v>1284</v>
      </c>
      <c r="FN101" s="73">
        <f t="shared" ca="1" si="858"/>
        <v>10</v>
      </c>
      <c r="FO101" s="64"/>
      <c r="FP101" s="74" t="s">
        <v>1834</v>
      </c>
      <c r="FQ101" s="73">
        <f t="shared" ca="1" si="858"/>
        <v>0</v>
      </c>
      <c r="FR101" s="64"/>
      <c r="FS101" s="74" t="s">
        <v>1834</v>
      </c>
      <c r="FT101" s="73">
        <f t="shared" ca="1" si="858"/>
        <v>0</v>
      </c>
      <c r="FU101" s="64"/>
      <c r="FV101" s="74" t="s">
        <v>1284</v>
      </c>
      <c r="FW101" s="73">
        <f t="shared" ca="1" si="858"/>
        <v>10</v>
      </c>
      <c r="FX101" s="64"/>
      <c r="FY101" s="74" t="s">
        <v>1834</v>
      </c>
      <c r="FZ101" s="73">
        <f t="shared" ca="1" si="858"/>
        <v>0</v>
      </c>
      <c r="GA101" s="64"/>
      <c r="GB101" s="74" t="s">
        <v>1284</v>
      </c>
      <c r="GC101" s="73">
        <f t="shared" ca="1" si="858"/>
        <v>10</v>
      </c>
      <c r="GD101" s="64"/>
      <c r="GE101" s="74" t="s">
        <v>1284</v>
      </c>
      <c r="GF101" s="73">
        <f t="shared" ca="1" si="858"/>
        <v>10</v>
      </c>
      <c r="GG101" s="64"/>
      <c r="GH101" s="74" t="s">
        <v>1834</v>
      </c>
      <c r="GI101" s="73">
        <f t="shared" ca="1" si="858"/>
        <v>0</v>
      </c>
      <c r="GJ101" s="64"/>
      <c r="GK101" s="74" t="s">
        <v>1834</v>
      </c>
      <c r="GL101" s="73">
        <f t="shared" ca="1" si="858"/>
        <v>0</v>
      </c>
      <c r="GM101" s="64"/>
      <c r="GN101" s="74"/>
      <c r="GO101" s="73">
        <f t="shared" ca="1" si="858"/>
        <v>0</v>
      </c>
      <c r="GP101" s="64"/>
      <c r="GQ101" s="74"/>
      <c r="GR101" s="73">
        <f t="shared" ca="1" si="858"/>
        <v>0</v>
      </c>
      <c r="GS101" s="64"/>
      <c r="GT101" s="74"/>
      <c r="GU101" s="73">
        <f t="shared" ca="1" si="858"/>
        <v>0</v>
      </c>
      <c r="GV101" s="64"/>
      <c r="GW101" s="74"/>
      <c r="GX101" s="73">
        <f t="shared" ca="1" si="858"/>
        <v>0</v>
      </c>
      <c r="GY101" s="64"/>
      <c r="GZ101" s="74"/>
      <c r="HA101" s="73">
        <f t="shared" ca="1" si="858"/>
        <v>0</v>
      </c>
      <c r="HB101" s="64"/>
      <c r="HC101" s="74"/>
      <c r="HD101" s="73">
        <f t="shared" ca="1" si="858"/>
        <v>0</v>
      </c>
      <c r="HE101" s="64"/>
      <c r="HF101" s="74"/>
      <c r="HG101" s="73">
        <f t="shared" ca="1" si="858"/>
        <v>0</v>
      </c>
      <c r="HH101" s="64"/>
      <c r="HI101" s="74"/>
      <c r="HJ101" s="73">
        <f t="shared" ca="1" si="858"/>
        <v>0</v>
      </c>
      <c r="HK101" s="64"/>
      <c r="HL101" s="74"/>
      <c r="HM101" s="73">
        <f t="shared" ref="HM101:JX101" ca="1" si="859">($M101=HL101)*$D$12</f>
        <v>0</v>
      </c>
      <c r="HN101" s="64"/>
      <c r="HO101" s="74"/>
      <c r="HP101" s="73">
        <f t="shared" ca="1" si="859"/>
        <v>0</v>
      </c>
      <c r="HQ101" s="64"/>
      <c r="HR101" s="74"/>
      <c r="HS101" s="73">
        <f t="shared" ca="1" si="859"/>
        <v>0</v>
      </c>
      <c r="HT101" s="64"/>
      <c r="HU101" s="74"/>
      <c r="HV101" s="73">
        <f t="shared" ca="1" si="859"/>
        <v>0</v>
      </c>
      <c r="HW101" s="64"/>
      <c r="HX101" s="74"/>
      <c r="HY101" s="73">
        <f t="shared" ca="1" si="859"/>
        <v>0</v>
      </c>
      <c r="HZ101" s="64"/>
      <c r="IA101" s="74"/>
      <c r="IB101" s="73">
        <f t="shared" ca="1" si="859"/>
        <v>0</v>
      </c>
      <c r="IC101" s="64"/>
      <c r="ID101" s="74"/>
      <c r="IE101" s="73">
        <f t="shared" ca="1" si="859"/>
        <v>0</v>
      </c>
      <c r="IF101" s="64"/>
      <c r="IG101" s="74"/>
      <c r="IH101" s="73">
        <f t="shared" ca="1" si="859"/>
        <v>0</v>
      </c>
      <c r="II101" s="64"/>
      <c r="IJ101" s="74"/>
      <c r="IK101" s="73">
        <f t="shared" ca="1" si="859"/>
        <v>0</v>
      </c>
      <c r="IL101" s="64"/>
      <c r="IM101" s="74"/>
      <c r="IN101" s="73">
        <f t="shared" ca="1" si="859"/>
        <v>0</v>
      </c>
      <c r="IO101" s="64"/>
      <c r="IP101" s="74"/>
      <c r="IQ101" s="73">
        <f t="shared" ca="1" si="859"/>
        <v>0</v>
      </c>
      <c r="IR101" s="64"/>
      <c r="IS101" s="74"/>
      <c r="IT101" s="73">
        <f t="shared" ca="1" si="859"/>
        <v>0</v>
      </c>
      <c r="IU101" s="64"/>
      <c r="IV101" s="74"/>
      <c r="IW101" s="73">
        <f t="shared" ca="1" si="859"/>
        <v>0</v>
      </c>
      <c r="IX101" s="64"/>
      <c r="IY101" s="74"/>
      <c r="IZ101" s="73">
        <f t="shared" ca="1" si="859"/>
        <v>0</v>
      </c>
      <c r="JA101" s="64"/>
      <c r="JB101" s="74"/>
      <c r="JC101" s="73">
        <f t="shared" ca="1" si="859"/>
        <v>0</v>
      </c>
      <c r="JD101" s="64"/>
      <c r="JE101" s="74"/>
      <c r="JF101" s="73">
        <f t="shared" ca="1" si="859"/>
        <v>0</v>
      </c>
      <c r="JG101" s="64"/>
      <c r="JH101" s="74"/>
      <c r="JI101" s="73">
        <f t="shared" ca="1" si="859"/>
        <v>0</v>
      </c>
      <c r="JJ101" s="64"/>
      <c r="JK101" s="74"/>
      <c r="JL101" s="73">
        <f t="shared" ca="1" si="859"/>
        <v>0</v>
      </c>
      <c r="JM101" s="64"/>
      <c r="JN101" s="74"/>
      <c r="JO101" s="73">
        <f t="shared" ca="1" si="859"/>
        <v>0</v>
      </c>
      <c r="JP101" s="64"/>
      <c r="JQ101" s="74"/>
      <c r="JR101" s="73">
        <f t="shared" ca="1" si="859"/>
        <v>0</v>
      </c>
      <c r="JS101" s="64"/>
      <c r="JT101" s="74"/>
      <c r="JU101" s="73">
        <f t="shared" ca="1" si="859"/>
        <v>0</v>
      </c>
      <c r="JV101" s="64"/>
      <c r="JW101" s="74"/>
      <c r="JX101" s="73">
        <f t="shared" ca="1" si="859"/>
        <v>0</v>
      </c>
      <c r="JY101" s="64"/>
      <c r="JZ101" s="74"/>
      <c r="KA101" s="73">
        <f t="shared" ref="KA101:LE101" ca="1" si="860">($M101=JZ101)*$D$12</f>
        <v>0</v>
      </c>
      <c r="KB101" s="64"/>
      <c r="KC101" s="74"/>
      <c r="KD101" s="73">
        <f t="shared" ca="1" si="860"/>
        <v>0</v>
      </c>
      <c r="KE101" s="64"/>
      <c r="KF101" s="74"/>
      <c r="KG101" s="73">
        <f t="shared" ca="1" si="860"/>
        <v>0</v>
      </c>
      <c r="KH101" s="64"/>
      <c r="KI101" s="74"/>
      <c r="KJ101" s="73">
        <f t="shared" ca="1" si="860"/>
        <v>0</v>
      </c>
      <c r="KK101" s="64"/>
      <c r="KL101" s="74"/>
      <c r="KM101" s="73">
        <f t="shared" ca="1" si="860"/>
        <v>0</v>
      </c>
      <c r="KN101" s="64"/>
      <c r="KO101" s="74"/>
      <c r="KP101" s="73">
        <f t="shared" ca="1" si="860"/>
        <v>0</v>
      </c>
      <c r="KQ101" s="64"/>
      <c r="KR101" s="74"/>
      <c r="KS101" s="73">
        <f t="shared" ca="1" si="860"/>
        <v>0</v>
      </c>
      <c r="KT101" s="64"/>
      <c r="KU101" s="74"/>
      <c r="KV101" s="73">
        <f t="shared" ca="1" si="860"/>
        <v>0</v>
      </c>
      <c r="KW101" s="64"/>
      <c r="KX101" s="74"/>
      <c r="KY101" s="73">
        <f t="shared" ca="1" si="860"/>
        <v>0</v>
      </c>
      <c r="KZ101" s="64"/>
      <c r="LA101" s="74"/>
      <c r="LB101" s="73">
        <f t="shared" ca="1" si="860"/>
        <v>0</v>
      </c>
      <c r="LC101" s="64"/>
      <c r="LD101" s="74"/>
      <c r="LE101" s="73">
        <f t="shared" ca="1" si="860"/>
        <v>0</v>
      </c>
      <c r="LF101" s="64"/>
      <c r="LG101" s="64"/>
    </row>
    <row r="102" spans="1:319">
      <c r="A102" s="49"/>
      <c r="B102" s="49"/>
      <c r="C102" s="49"/>
      <c r="D102" s="49"/>
      <c r="E102" s="111"/>
      <c r="F102" s="127">
        <f t="shared" ref="F102" si="861">$D$13</f>
        <v>5</v>
      </c>
      <c r="G102" s="445">
        <f ca="1">VLOOKUP(H102,Equipos!$Q$1:$R$25,2,0)</f>
        <v>16</v>
      </c>
      <c r="H102" s="446">
        <f ca="1">$H$64</f>
        <v>46199</v>
      </c>
      <c r="I102" s="50"/>
      <c r="J102" s="847"/>
      <c r="K102" s="56" t="str">
        <f>Idiomas!D172</f>
        <v>3rd GROUP F</v>
      </c>
      <c r="L102" s="53"/>
      <c r="M102" s="55" t="str">
        <f ca="1">IF(OR(SUM(WORLDCUP!$AN$46:$AN$49)=12,WORLDCUP!$AJ$99=144),WORLDCUP!AL48,LEFT(K102,1)&amp;RIGHT(K102,1))</f>
        <v>Sweden</v>
      </c>
      <c r="N102" s="25"/>
      <c r="O102" s="25"/>
      <c r="P102" s="25"/>
      <c r="Q102" s="25"/>
      <c r="R102" s="110"/>
      <c r="S102" s="74" t="s">
        <v>1284</v>
      </c>
      <c r="T102" s="73">
        <f t="shared" ref="T102" ca="1" si="862">($M102=S102)*$D$13</f>
        <v>0</v>
      </c>
      <c r="U102" s="64"/>
      <c r="V102" s="74" t="s">
        <v>1284</v>
      </c>
      <c r="W102" s="73">
        <f t="shared" ref="W102:CH102" ca="1" si="863">($M102=V102)*$D$13</f>
        <v>0</v>
      </c>
      <c r="X102" s="64"/>
      <c r="Y102" s="74" t="s">
        <v>1834</v>
      </c>
      <c r="Z102" s="73">
        <f t="shared" ca="1" si="863"/>
        <v>5</v>
      </c>
      <c r="AA102" s="64"/>
      <c r="AB102" s="74" t="s">
        <v>1834</v>
      </c>
      <c r="AC102" s="73">
        <f t="shared" ca="1" si="863"/>
        <v>5</v>
      </c>
      <c r="AD102" s="64"/>
      <c r="AE102" s="74" t="s">
        <v>1284</v>
      </c>
      <c r="AF102" s="73">
        <f t="shared" ca="1" si="863"/>
        <v>0</v>
      </c>
      <c r="AG102" s="64"/>
      <c r="AH102" s="74" t="s">
        <v>1284</v>
      </c>
      <c r="AI102" s="73">
        <f t="shared" ca="1" si="863"/>
        <v>0</v>
      </c>
      <c r="AJ102" s="64"/>
      <c r="AK102" s="74" t="s">
        <v>1284</v>
      </c>
      <c r="AL102" s="73">
        <f t="shared" ca="1" si="863"/>
        <v>0</v>
      </c>
      <c r="AM102" s="64"/>
      <c r="AN102" s="74" t="s">
        <v>1834</v>
      </c>
      <c r="AO102" s="73">
        <f t="shared" ca="1" si="863"/>
        <v>5</v>
      </c>
      <c r="AP102" s="64"/>
      <c r="AQ102" s="74" t="s">
        <v>1834</v>
      </c>
      <c r="AR102" s="73">
        <f t="shared" ca="1" si="863"/>
        <v>5</v>
      </c>
      <c r="AS102" s="64"/>
      <c r="AT102" s="74" t="s">
        <v>1834</v>
      </c>
      <c r="AU102" s="73">
        <f t="shared" ca="1" si="863"/>
        <v>5</v>
      </c>
      <c r="AV102" s="64"/>
      <c r="AW102" s="74" t="s">
        <v>1328</v>
      </c>
      <c r="AX102" s="73">
        <f t="shared" ca="1" si="863"/>
        <v>0</v>
      </c>
      <c r="AY102" s="64"/>
      <c r="AZ102" s="74" t="s">
        <v>1834</v>
      </c>
      <c r="BA102" s="73">
        <f t="shared" ca="1" si="863"/>
        <v>5</v>
      </c>
      <c r="BB102" s="64"/>
      <c r="BC102" s="74" t="s">
        <v>1834</v>
      </c>
      <c r="BD102" s="73">
        <f t="shared" ca="1" si="863"/>
        <v>5</v>
      </c>
      <c r="BE102" s="64"/>
      <c r="BF102" s="74" t="s">
        <v>1284</v>
      </c>
      <c r="BG102" s="73">
        <f t="shared" ca="1" si="863"/>
        <v>0</v>
      </c>
      <c r="BH102" s="64"/>
      <c r="BI102" s="74" t="s">
        <v>1328</v>
      </c>
      <c r="BJ102" s="73">
        <f t="shared" ca="1" si="863"/>
        <v>0</v>
      </c>
      <c r="BK102" s="64"/>
      <c r="BL102" s="74" t="s">
        <v>1284</v>
      </c>
      <c r="BM102" s="73">
        <f t="shared" ca="1" si="863"/>
        <v>0</v>
      </c>
      <c r="BN102" s="64"/>
      <c r="BO102" s="74" t="s">
        <v>1284</v>
      </c>
      <c r="BP102" s="73">
        <f t="shared" ca="1" si="863"/>
        <v>0</v>
      </c>
      <c r="BQ102" s="64"/>
      <c r="BR102" s="74" t="s">
        <v>1284</v>
      </c>
      <c r="BS102" s="73">
        <f t="shared" ca="1" si="863"/>
        <v>0</v>
      </c>
      <c r="BT102" s="64"/>
      <c r="BU102" s="74" t="s">
        <v>1284</v>
      </c>
      <c r="BV102" s="73">
        <f t="shared" ca="1" si="863"/>
        <v>0</v>
      </c>
      <c r="BW102" s="64"/>
      <c r="BX102" s="74" t="s">
        <v>1284</v>
      </c>
      <c r="BY102" s="73">
        <f t="shared" ca="1" si="863"/>
        <v>0</v>
      </c>
      <c r="BZ102" s="64"/>
      <c r="CA102" s="74" t="s">
        <v>1834</v>
      </c>
      <c r="CB102" s="73">
        <f t="shared" ca="1" si="863"/>
        <v>5</v>
      </c>
      <c r="CC102" s="64"/>
      <c r="CD102" s="74" t="s">
        <v>1284</v>
      </c>
      <c r="CE102" s="73">
        <f t="shared" ca="1" si="863"/>
        <v>0</v>
      </c>
      <c r="CF102" s="64"/>
      <c r="CG102" s="74" t="s">
        <v>1834</v>
      </c>
      <c r="CH102" s="73">
        <f t="shared" ca="1" si="863"/>
        <v>5</v>
      </c>
      <c r="CI102" s="64"/>
      <c r="CJ102" s="74" t="s">
        <v>1834</v>
      </c>
      <c r="CK102" s="73">
        <f t="shared" ref="CK102:EV102" ca="1" si="864">($M102=CJ102)*$D$13</f>
        <v>5</v>
      </c>
      <c r="CL102" s="64"/>
      <c r="CM102" s="74" t="s">
        <v>1834</v>
      </c>
      <c r="CN102" s="73">
        <f t="shared" ca="1" si="864"/>
        <v>5</v>
      </c>
      <c r="CO102" s="64"/>
      <c r="CP102" s="74" t="s">
        <v>1834</v>
      </c>
      <c r="CQ102" s="73">
        <f t="shared" ca="1" si="864"/>
        <v>5</v>
      </c>
      <c r="CR102" s="64"/>
      <c r="CS102" s="74" t="s">
        <v>291</v>
      </c>
      <c r="CT102" s="73">
        <f t="shared" ca="1" si="864"/>
        <v>0</v>
      </c>
      <c r="CU102" s="64"/>
      <c r="CV102" s="74" t="s">
        <v>1834</v>
      </c>
      <c r="CW102" s="73">
        <f t="shared" ca="1" si="864"/>
        <v>5</v>
      </c>
      <c r="CX102" s="64"/>
      <c r="CY102" s="74" t="s">
        <v>1834</v>
      </c>
      <c r="CZ102" s="73">
        <f t="shared" ca="1" si="864"/>
        <v>5</v>
      </c>
      <c r="DA102" s="64"/>
      <c r="DB102" s="74" t="s">
        <v>1834</v>
      </c>
      <c r="DC102" s="73">
        <f t="shared" ca="1" si="864"/>
        <v>5</v>
      </c>
      <c r="DD102" s="64"/>
      <c r="DE102" s="74" t="s">
        <v>1834</v>
      </c>
      <c r="DF102" s="73">
        <f t="shared" ca="1" si="864"/>
        <v>5</v>
      </c>
      <c r="DG102" s="64"/>
      <c r="DH102" s="74" t="s">
        <v>1834</v>
      </c>
      <c r="DI102" s="73">
        <f t="shared" ca="1" si="864"/>
        <v>5</v>
      </c>
      <c r="DJ102" s="64"/>
      <c r="DK102" s="74" t="s">
        <v>1284</v>
      </c>
      <c r="DL102" s="73">
        <f t="shared" ca="1" si="864"/>
        <v>0</v>
      </c>
      <c r="DM102" s="64"/>
      <c r="DN102" s="74" t="s">
        <v>1834</v>
      </c>
      <c r="DO102" s="73">
        <f t="shared" ca="1" si="864"/>
        <v>5</v>
      </c>
      <c r="DP102" s="64"/>
      <c r="DQ102" s="74" t="s">
        <v>1284</v>
      </c>
      <c r="DR102" s="73">
        <f t="shared" ca="1" si="864"/>
        <v>0</v>
      </c>
      <c r="DS102" s="64"/>
      <c r="DT102" s="74" t="s">
        <v>1834</v>
      </c>
      <c r="DU102" s="73">
        <f t="shared" ca="1" si="864"/>
        <v>5</v>
      </c>
      <c r="DV102" s="64"/>
      <c r="DW102" s="74" t="s">
        <v>1834</v>
      </c>
      <c r="DX102" s="73">
        <f t="shared" ca="1" si="864"/>
        <v>5</v>
      </c>
      <c r="DY102" s="64"/>
      <c r="DZ102" s="74" t="s">
        <v>1284</v>
      </c>
      <c r="EA102" s="73">
        <f t="shared" ca="1" si="864"/>
        <v>0</v>
      </c>
      <c r="EB102" s="64"/>
      <c r="EC102" s="74" t="s">
        <v>1834</v>
      </c>
      <c r="ED102" s="73">
        <f t="shared" ca="1" si="864"/>
        <v>5</v>
      </c>
      <c r="EE102" s="64"/>
      <c r="EF102" s="74" t="s">
        <v>1834</v>
      </c>
      <c r="EG102" s="73">
        <f t="shared" ca="1" si="864"/>
        <v>5</v>
      </c>
      <c r="EH102" s="64"/>
      <c r="EI102" s="74" t="s">
        <v>1834</v>
      </c>
      <c r="EJ102" s="73">
        <f t="shared" ca="1" si="864"/>
        <v>5</v>
      </c>
      <c r="EK102" s="64"/>
      <c r="EL102" s="74" t="s">
        <v>1834</v>
      </c>
      <c r="EM102" s="73">
        <f t="shared" ca="1" si="864"/>
        <v>5</v>
      </c>
      <c r="EN102" s="64"/>
      <c r="EO102" s="74" t="s">
        <v>1834</v>
      </c>
      <c r="EP102" s="73">
        <f t="shared" ca="1" si="864"/>
        <v>5</v>
      </c>
      <c r="EQ102" s="64"/>
      <c r="ER102" s="74" t="s">
        <v>1834</v>
      </c>
      <c r="ES102" s="73">
        <f t="shared" ca="1" si="864"/>
        <v>5</v>
      </c>
      <c r="ET102" s="64"/>
      <c r="EU102" s="74" t="s">
        <v>1284</v>
      </c>
      <c r="EV102" s="73">
        <f t="shared" ca="1" si="864"/>
        <v>0</v>
      </c>
      <c r="EW102" s="64"/>
      <c r="EX102" s="74" t="s">
        <v>1834</v>
      </c>
      <c r="EY102" s="73">
        <f t="shared" ref="EY102:HJ102" ca="1" si="865">($M102=EX102)*$D$13</f>
        <v>5</v>
      </c>
      <c r="EZ102" s="64"/>
      <c r="FA102" s="74" t="s">
        <v>1284</v>
      </c>
      <c r="FB102" s="73">
        <f t="shared" ca="1" si="865"/>
        <v>0</v>
      </c>
      <c r="FC102" s="64"/>
      <c r="FD102" s="74" t="s">
        <v>1284</v>
      </c>
      <c r="FE102" s="73">
        <f t="shared" ca="1" si="865"/>
        <v>0</v>
      </c>
      <c r="FF102" s="64"/>
      <c r="FG102" s="74" t="s">
        <v>1834</v>
      </c>
      <c r="FH102" s="73">
        <f t="shared" ca="1" si="865"/>
        <v>5</v>
      </c>
      <c r="FI102" s="64"/>
      <c r="FJ102" s="74" t="s">
        <v>1834</v>
      </c>
      <c r="FK102" s="73">
        <f t="shared" ca="1" si="865"/>
        <v>5</v>
      </c>
      <c r="FL102" s="64"/>
      <c r="FM102" s="74" t="s">
        <v>1834</v>
      </c>
      <c r="FN102" s="73">
        <f t="shared" ca="1" si="865"/>
        <v>5</v>
      </c>
      <c r="FO102" s="64"/>
      <c r="FP102" s="74" t="s">
        <v>1284</v>
      </c>
      <c r="FQ102" s="73">
        <f t="shared" ca="1" si="865"/>
        <v>0</v>
      </c>
      <c r="FR102" s="64"/>
      <c r="FS102" s="74" t="s">
        <v>1284</v>
      </c>
      <c r="FT102" s="73">
        <f t="shared" ca="1" si="865"/>
        <v>0</v>
      </c>
      <c r="FU102" s="64"/>
      <c r="FV102" s="74" t="s">
        <v>1834</v>
      </c>
      <c r="FW102" s="73">
        <f t="shared" ca="1" si="865"/>
        <v>5</v>
      </c>
      <c r="FX102" s="64"/>
      <c r="FY102" s="74" t="s">
        <v>1284</v>
      </c>
      <c r="FZ102" s="73">
        <f t="shared" ca="1" si="865"/>
        <v>0</v>
      </c>
      <c r="GA102" s="64"/>
      <c r="GB102" s="74" t="s">
        <v>1834</v>
      </c>
      <c r="GC102" s="73">
        <f t="shared" ca="1" si="865"/>
        <v>5</v>
      </c>
      <c r="GD102" s="64"/>
      <c r="GE102" s="74" t="s">
        <v>1834</v>
      </c>
      <c r="GF102" s="73">
        <f t="shared" ca="1" si="865"/>
        <v>5</v>
      </c>
      <c r="GG102" s="64"/>
      <c r="GH102" s="74" t="s">
        <v>1284</v>
      </c>
      <c r="GI102" s="73">
        <f t="shared" ca="1" si="865"/>
        <v>0</v>
      </c>
      <c r="GJ102" s="64"/>
      <c r="GK102" s="74" t="s">
        <v>1284</v>
      </c>
      <c r="GL102" s="73">
        <f t="shared" ca="1" si="865"/>
        <v>0</v>
      </c>
      <c r="GM102" s="64"/>
      <c r="GN102" s="74"/>
      <c r="GO102" s="73">
        <f t="shared" ca="1" si="865"/>
        <v>0</v>
      </c>
      <c r="GP102" s="64"/>
      <c r="GQ102" s="74"/>
      <c r="GR102" s="73">
        <f t="shared" ca="1" si="865"/>
        <v>0</v>
      </c>
      <c r="GS102" s="64"/>
      <c r="GT102" s="74"/>
      <c r="GU102" s="73">
        <f t="shared" ca="1" si="865"/>
        <v>0</v>
      </c>
      <c r="GV102" s="64"/>
      <c r="GW102" s="74"/>
      <c r="GX102" s="73">
        <f t="shared" ca="1" si="865"/>
        <v>0</v>
      </c>
      <c r="GY102" s="64"/>
      <c r="GZ102" s="74"/>
      <c r="HA102" s="73">
        <f t="shared" ca="1" si="865"/>
        <v>0</v>
      </c>
      <c r="HB102" s="64"/>
      <c r="HC102" s="74"/>
      <c r="HD102" s="73">
        <f t="shared" ca="1" si="865"/>
        <v>0</v>
      </c>
      <c r="HE102" s="64"/>
      <c r="HF102" s="74"/>
      <c r="HG102" s="73">
        <f t="shared" ca="1" si="865"/>
        <v>0</v>
      </c>
      <c r="HH102" s="64"/>
      <c r="HI102" s="74"/>
      <c r="HJ102" s="73">
        <f t="shared" ca="1" si="865"/>
        <v>0</v>
      </c>
      <c r="HK102" s="64"/>
      <c r="HL102" s="74"/>
      <c r="HM102" s="73">
        <f t="shared" ref="HM102:JX102" ca="1" si="866">($M102=HL102)*$D$13</f>
        <v>0</v>
      </c>
      <c r="HN102" s="64"/>
      <c r="HO102" s="74"/>
      <c r="HP102" s="73">
        <f t="shared" ca="1" si="866"/>
        <v>0</v>
      </c>
      <c r="HQ102" s="64"/>
      <c r="HR102" s="74"/>
      <c r="HS102" s="73">
        <f t="shared" ca="1" si="866"/>
        <v>0</v>
      </c>
      <c r="HT102" s="64"/>
      <c r="HU102" s="74"/>
      <c r="HV102" s="73">
        <f t="shared" ca="1" si="866"/>
        <v>0</v>
      </c>
      <c r="HW102" s="64"/>
      <c r="HX102" s="74"/>
      <c r="HY102" s="73">
        <f t="shared" ca="1" si="866"/>
        <v>0</v>
      </c>
      <c r="HZ102" s="64"/>
      <c r="IA102" s="74"/>
      <c r="IB102" s="73">
        <f t="shared" ca="1" si="866"/>
        <v>0</v>
      </c>
      <c r="IC102" s="64"/>
      <c r="ID102" s="74"/>
      <c r="IE102" s="73">
        <f t="shared" ca="1" si="866"/>
        <v>0</v>
      </c>
      <c r="IF102" s="64"/>
      <c r="IG102" s="74"/>
      <c r="IH102" s="73">
        <f t="shared" ca="1" si="866"/>
        <v>0</v>
      </c>
      <c r="II102" s="64"/>
      <c r="IJ102" s="74"/>
      <c r="IK102" s="73">
        <f t="shared" ca="1" si="866"/>
        <v>0</v>
      </c>
      <c r="IL102" s="64"/>
      <c r="IM102" s="74"/>
      <c r="IN102" s="73">
        <f t="shared" ca="1" si="866"/>
        <v>0</v>
      </c>
      <c r="IO102" s="64"/>
      <c r="IP102" s="74"/>
      <c r="IQ102" s="73">
        <f t="shared" ca="1" si="866"/>
        <v>0</v>
      </c>
      <c r="IR102" s="64"/>
      <c r="IS102" s="74"/>
      <c r="IT102" s="73">
        <f t="shared" ca="1" si="866"/>
        <v>0</v>
      </c>
      <c r="IU102" s="64"/>
      <c r="IV102" s="74"/>
      <c r="IW102" s="73">
        <f t="shared" ca="1" si="866"/>
        <v>0</v>
      </c>
      <c r="IX102" s="64"/>
      <c r="IY102" s="74"/>
      <c r="IZ102" s="73">
        <f t="shared" ca="1" si="866"/>
        <v>0</v>
      </c>
      <c r="JA102" s="64"/>
      <c r="JB102" s="74"/>
      <c r="JC102" s="73">
        <f t="shared" ca="1" si="866"/>
        <v>0</v>
      </c>
      <c r="JD102" s="64"/>
      <c r="JE102" s="74"/>
      <c r="JF102" s="73">
        <f t="shared" ca="1" si="866"/>
        <v>0</v>
      </c>
      <c r="JG102" s="64"/>
      <c r="JH102" s="74"/>
      <c r="JI102" s="73">
        <f t="shared" ca="1" si="866"/>
        <v>0</v>
      </c>
      <c r="JJ102" s="64"/>
      <c r="JK102" s="74"/>
      <c r="JL102" s="73">
        <f t="shared" ca="1" si="866"/>
        <v>0</v>
      </c>
      <c r="JM102" s="64"/>
      <c r="JN102" s="74"/>
      <c r="JO102" s="73">
        <f t="shared" ca="1" si="866"/>
        <v>0</v>
      </c>
      <c r="JP102" s="64"/>
      <c r="JQ102" s="74"/>
      <c r="JR102" s="73">
        <f t="shared" ca="1" si="866"/>
        <v>0</v>
      </c>
      <c r="JS102" s="64"/>
      <c r="JT102" s="74"/>
      <c r="JU102" s="73">
        <f t="shared" ca="1" si="866"/>
        <v>0</v>
      </c>
      <c r="JV102" s="64"/>
      <c r="JW102" s="74"/>
      <c r="JX102" s="73">
        <f t="shared" ca="1" si="866"/>
        <v>0</v>
      </c>
      <c r="JY102" s="64"/>
      <c r="JZ102" s="74"/>
      <c r="KA102" s="73">
        <f t="shared" ref="KA102:LE102" ca="1" si="867">($M102=JZ102)*$D$13</f>
        <v>0</v>
      </c>
      <c r="KB102" s="64"/>
      <c r="KC102" s="74"/>
      <c r="KD102" s="73">
        <f t="shared" ca="1" si="867"/>
        <v>0</v>
      </c>
      <c r="KE102" s="64"/>
      <c r="KF102" s="74"/>
      <c r="KG102" s="73">
        <f t="shared" ca="1" si="867"/>
        <v>0</v>
      </c>
      <c r="KH102" s="64"/>
      <c r="KI102" s="74"/>
      <c r="KJ102" s="73">
        <f t="shared" ca="1" si="867"/>
        <v>0</v>
      </c>
      <c r="KK102" s="64"/>
      <c r="KL102" s="74"/>
      <c r="KM102" s="73">
        <f t="shared" ca="1" si="867"/>
        <v>0</v>
      </c>
      <c r="KN102" s="64"/>
      <c r="KO102" s="74"/>
      <c r="KP102" s="73">
        <f t="shared" ca="1" si="867"/>
        <v>0</v>
      </c>
      <c r="KQ102" s="64"/>
      <c r="KR102" s="74"/>
      <c r="KS102" s="73">
        <f t="shared" ca="1" si="867"/>
        <v>0</v>
      </c>
      <c r="KT102" s="64"/>
      <c r="KU102" s="74"/>
      <c r="KV102" s="73">
        <f t="shared" ca="1" si="867"/>
        <v>0</v>
      </c>
      <c r="KW102" s="64"/>
      <c r="KX102" s="74"/>
      <c r="KY102" s="73">
        <f t="shared" ca="1" si="867"/>
        <v>0</v>
      </c>
      <c r="KZ102" s="64"/>
      <c r="LA102" s="74"/>
      <c r="LB102" s="73">
        <f t="shared" ca="1" si="867"/>
        <v>0</v>
      </c>
      <c r="LC102" s="64"/>
      <c r="LD102" s="74"/>
      <c r="LE102" s="73">
        <f t="shared" ca="1" si="867"/>
        <v>0</v>
      </c>
      <c r="LF102" s="64"/>
      <c r="LG102" s="64"/>
    </row>
    <row r="103" spans="1:319">
      <c r="A103" s="49"/>
      <c r="B103" s="49"/>
      <c r="C103" s="49"/>
      <c r="D103" s="49"/>
      <c r="E103" s="111"/>
      <c r="F103" s="127">
        <f t="shared" ref="F103" si="868">$D$14</f>
        <v>3</v>
      </c>
      <c r="G103" s="445">
        <f ca="1">VLOOKUP(H103,Equipos!$Q$1:$R$25,2,0)</f>
        <v>16</v>
      </c>
      <c r="H103" s="446">
        <f ca="1">$H$64</f>
        <v>46199</v>
      </c>
      <c r="I103" s="50"/>
      <c r="J103" s="847"/>
      <c r="K103" s="56" t="str">
        <f>Idiomas!D173</f>
        <v>4th GROUP F</v>
      </c>
      <c r="L103" s="53"/>
      <c r="M103" s="55" t="str">
        <f ca="1">IF(OR(SUM(WORLDCUP!$AN$46:$AN$49)=12,WORLDCUP!$AJ$99=144),WORLDCUP!AL49,LEFT(K103,1)&amp;RIGHT(K103,1))</f>
        <v>Tunisia</v>
      </c>
      <c r="N103" s="25"/>
      <c r="O103" s="25"/>
      <c r="P103" s="25"/>
      <c r="Q103" s="25"/>
      <c r="R103" s="110"/>
      <c r="S103" s="74" t="s">
        <v>1328</v>
      </c>
      <c r="T103" s="73">
        <f t="shared" ref="T103" ca="1" si="869">($M103=S103)*$D$14</f>
        <v>3</v>
      </c>
      <c r="U103" s="64"/>
      <c r="V103" s="74" t="s">
        <v>1328</v>
      </c>
      <c r="W103" s="73">
        <f t="shared" ref="W103:CH103" ca="1" si="870">($M103=V103)*$D$14</f>
        <v>3</v>
      </c>
      <c r="X103" s="64"/>
      <c r="Y103" s="74" t="s">
        <v>1328</v>
      </c>
      <c r="Z103" s="73">
        <f t="shared" ca="1" si="870"/>
        <v>3</v>
      </c>
      <c r="AA103" s="64"/>
      <c r="AB103" s="74" t="s">
        <v>1328</v>
      </c>
      <c r="AC103" s="73">
        <f t="shared" ca="1" si="870"/>
        <v>3</v>
      </c>
      <c r="AD103" s="64"/>
      <c r="AE103" s="74" t="s">
        <v>1328</v>
      </c>
      <c r="AF103" s="73">
        <f t="shared" ca="1" si="870"/>
        <v>3</v>
      </c>
      <c r="AG103" s="64"/>
      <c r="AH103" s="74" t="s">
        <v>1328</v>
      </c>
      <c r="AI103" s="73">
        <f t="shared" ca="1" si="870"/>
        <v>3</v>
      </c>
      <c r="AJ103" s="64"/>
      <c r="AK103" s="74" t="s">
        <v>1328</v>
      </c>
      <c r="AL103" s="73">
        <f t="shared" ca="1" si="870"/>
        <v>3</v>
      </c>
      <c r="AM103" s="64"/>
      <c r="AN103" s="74" t="s">
        <v>1328</v>
      </c>
      <c r="AO103" s="73">
        <f t="shared" ca="1" si="870"/>
        <v>3</v>
      </c>
      <c r="AP103" s="64"/>
      <c r="AQ103" s="74" t="s">
        <v>1328</v>
      </c>
      <c r="AR103" s="73">
        <f t="shared" ca="1" si="870"/>
        <v>3</v>
      </c>
      <c r="AS103" s="64"/>
      <c r="AT103" s="74" t="s">
        <v>1328</v>
      </c>
      <c r="AU103" s="73">
        <f t="shared" ca="1" si="870"/>
        <v>3</v>
      </c>
      <c r="AV103" s="64"/>
      <c r="AW103" s="74" t="s">
        <v>1284</v>
      </c>
      <c r="AX103" s="73">
        <f t="shared" ca="1" si="870"/>
        <v>0</v>
      </c>
      <c r="AY103" s="64"/>
      <c r="AZ103" s="74" t="s">
        <v>1328</v>
      </c>
      <c r="BA103" s="73">
        <f t="shared" ca="1" si="870"/>
        <v>3</v>
      </c>
      <c r="BB103" s="64"/>
      <c r="BC103" s="74" t="s">
        <v>1328</v>
      </c>
      <c r="BD103" s="73">
        <f t="shared" ca="1" si="870"/>
        <v>3</v>
      </c>
      <c r="BE103" s="64"/>
      <c r="BF103" s="74" t="s">
        <v>1328</v>
      </c>
      <c r="BG103" s="73">
        <f t="shared" ca="1" si="870"/>
        <v>3</v>
      </c>
      <c r="BH103" s="64"/>
      <c r="BI103" s="74" t="s">
        <v>1834</v>
      </c>
      <c r="BJ103" s="73">
        <f t="shared" ca="1" si="870"/>
        <v>0</v>
      </c>
      <c r="BK103" s="64"/>
      <c r="BL103" s="74" t="s">
        <v>1328</v>
      </c>
      <c r="BM103" s="73">
        <f t="shared" ca="1" si="870"/>
        <v>3</v>
      </c>
      <c r="BN103" s="64"/>
      <c r="BO103" s="74" t="s">
        <v>1328</v>
      </c>
      <c r="BP103" s="73">
        <f t="shared" ca="1" si="870"/>
        <v>3</v>
      </c>
      <c r="BQ103" s="64"/>
      <c r="BR103" s="74" t="s">
        <v>1328</v>
      </c>
      <c r="BS103" s="73">
        <f t="shared" ca="1" si="870"/>
        <v>3</v>
      </c>
      <c r="BT103" s="64"/>
      <c r="BU103" s="74" t="s">
        <v>1328</v>
      </c>
      <c r="BV103" s="73">
        <f t="shared" ca="1" si="870"/>
        <v>3</v>
      </c>
      <c r="BW103" s="64"/>
      <c r="BX103" s="74" t="s">
        <v>1328</v>
      </c>
      <c r="BY103" s="73">
        <f t="shared" ca="1" si="870"/>
        <v>3</v>
      </c>
      <c r="BZ103" s="64"/>
      <c r="CA103" s="74" t="s">
        <v>1328</v>
      </c>
      <c r="CB103" s="73">
        <f t="shared" ca="1" si="870"/>
        <v>3</v>
      </c>
      <c r="CC103" s="64"/>
      <c r="CD103" s="74" t="s">
        <v>1328</v>
      </c>
      <c r="CE103" s="73">
        <f t="shared" ca="1" si="870"/>
        <v>3</v>
      </c>
      <c r="CF103" s="64"/>
      <c r="CG103" s="74" t="s">
        <v>1328</v>
      </c>
      <c r="CH103" s="73">
        <f t="shared" ca="1" si="870"/>
        <v>3</v>
      </c>
      <c r="CI103" s="64"/>
      <c r="CJ103" s="74" t="s">
        <v>1328</v>
      </c>
      <c r="CK103" s="73">
        <f t="shared" ref="CK103:EV103" ca="1" si="871">($M103=CJ103)*$D$14</f>
        <v>3</v>
      </c>
      <c r="CL103" s="64"/>
      <c r="CM103" s="74" t="s">
        <v>1328</v>
      </c>
      <c r="CN103" s="73">
        <f t="shared" ca="1" si="871"/>
        <v>3</v>
      </c>
      <c r="CO103" s="64"/>
      <c r="CP103" s="74" t="s">
        <v>1328</v>
      </c>
      <c r="CQ103" s="73">
        <f t="shared" ca="1" si="871"/>
        <v>3</v>
      </c>
      <c r="CR103" s="64"/>
      <c r="CS103" s="74" t="s">
        <v>1328</v>
      </c>
      <c r="CT103" s="73">
        <f t="shared" ca="1" si="871"/>
        <v>3</v>
      </c>
      <c r="CU103" s="64"/>
      <c r="CV103" s="74" t="s">
        <v>1328</v>
      </c>
      <c r="CW103" s="73">
        <f t="shared" ca="1" si="871"/>
        <v>3</v>
      </c>
      <c r="CX103" s="64"/>
      <c r="CY103" s="74" t="s">
        <v>1328</v>
      </c>
      <c r="CZ103" s="73">
        <f t="shared" ca="1" si="871"/>
        <v>3</v>
      </c>
      <c r="DA103" s="64"/>
      <c r="DB103" s="74" t="s">
        <v>1328</v>
      </c>
      <c r="DC103" s="73">
        <f t="shared" ca="1" si="871"/>
        <v>3</v>
      </c>
      <c r="DD103" s="64"/>
      <c r="DE103" s="74" t="s">
        <v>1328</v>
      </c>
      <c r="DF103" s="73">
        <f t="shared" ca="1" si="871"/>
        <v>3</v>
      </c>
      <c r="DG103" s="64"/>
      <c r="DH103" s="74" t="s">
        <v>1328</v>
      </c>
      <c r="DI103" s="73">
        <f t="shared" ca="1" si="871"/>
        <v>3</v>
      </c>
      <c r="DJ103" s="64"/>
      <c r="DK103" s="74" t="s">
        <v>1328</v>
      </c>
      <c r="DL103" s="73">
        <f t="shared" ca="1" si="871"/>
        <v>3</v>
      </c>
      <c r="DM103" s="64"/>
      <c r="DN103" s="74" t="s">
        <v>1328</v>
      </c>
      <c r="DO103" s="73">
        <f t="shared" ca="1" si="871"/>
        <v>3</v>
      </c>
      <c r="DP103" s="64"/>
      <c r="DQ103" s="74" t="s">
        <v>1328</v>
      </c>
      <c r="DR103" s="73">
        <f t="shared" ca="1" si="871"/>
        <v>3</v>
      </c>
      <c r="DS103" s="64"/>
      <c r="DT103" s="74" t="s">
        <v>1328</v>
      </c>
      <c r="DU103" s="73">
        <f t="shared" ca="1" si="871"/>
        <v>3</v>
      </c>
      <c r="DV103" s="64"/>
      <c r="DW103" s="74" t="s">
        <v>1328</v>
      </c>
      <c r="DX103" s="73">
        <f t="shared" ca="1" si="871"/>
        <v>3</v>
      </c>
      <c r="DY103" s="64"/>
      <c r="DZ103" s="74" t="s">
        <v>1328</v>
      </c>
      <c r="EA103" s="73">
        <f t="shared" ca="1" si="871"/>
        <v>3</v>
      </c>
      <c r="EB103" s="64"/>
      <c r="EC103" s="74" t="s">
        <v>1328</v>
      </c>
      <c r="ED103" s="73">
        <f t="shared" ca="1" si="871"/>
        <v>3</v>
      </c>
      <c r="EE103" s="64"/>
      <c r="EF103" s="74" t="s">
        <v>1328</v>
      </c>
      <c r="EG103" s="73">
        <f t="shared" ca="1" si="871"/>
        <v>3</v>
      </c>
      <c r="EH103" s="64"/>
      <c r="EI103" s="74" t="s">
        <v>1328</v>
      </c>
      <c r="EJ103" s="73">
        <f t="shared" ca="1" si="871"/>
        <v>3</v>
      </c>
      <c r="EK103" s="64"/>
      <c r="EL103" s="74" t="s">
        <v>1328</v>
      </c>
      <c r="EM103" s="73">
        <f t="shared" ca="1" si="871"/>
        <v>3</v>
      </c>
      <c r="EN103" s="64"/>
      <c r="EO103" s="74" t="s">
        <v>1328</v>
      </c>
      <c r="EP103" s="73">
        <f t="shared" ca="1" si="871"/>
        <v>3</v>
      </c>
      <c r="EQ103" s="64"/>
      <c r="ER103" s="74" t="s">
        <v>1328</v>
      </c>
      <c r="ES103" s="73">
        <f t="shared" ca="1" si="871"/>
        <v>3</v>
      </c>
      <c r="ET103" s="64"/>
      <c r="EU103" s="74" t="s">
        <v>1328</v>
      </c>
      <c r="EV103" s="73">
        <f t="shared" ca="1" si="871"/>
        <v>3</v>
      </c>
      <c r="EW103" s="64"/>
      <c r="EX103" s="74" t="s">
        <v>1328</v>
      </c>
      <c r="EY103" s="73">
        <f t="shared" ref="EY103:HJ103" ca="1" si="872">($M103=EX103)*$D$14</f>
        <v>3</v>
      </c>
      <c r="EZ103" s="64"/>
      <c r="FA103" s="74" t="s">
        <v>1328</v>
      </c>
      <c r="FB103" s="73">
        <f t="shared" ca="1" si="872"/>
        <v>3</v>
      </c>
      <c r="FC103" s="64"/>
      <c r="FD103" s="74" t="s">
        <v>1328</v>
      </c>
      <c r="FE103" s="73">
        <f t="shared" ca="1" si="872"/>
        <v>3</v>
      </c>
      <c r="FF103" s="64"/>
      <c r="FG103" s="74" t="s">
        <v>1328</v>
      </c>
      <c r="FH103" s="73">
        <f t="shared" ca="1" si="872"/>
        <v>3</v>
      </c>
      <c r="FI103" s="64"/>
      <c r="FJ103" s="74" t="s">
        <v>1328</v>
      </c>
      <c r="FK103" s="73">
        <f t="shared" ca="1" si="872"/>
        <v>3</v>
      </c>
      <c r="FL103" s="64"/>
      <c r="FM103" s="74" t="s">
        <v>1328</v>
      </c>
      <c r="FN103" s="73">
        <f t="shared" ca="1" si="872"/>
        <v>3</v>
      </c>
      <c r="FO103" s="64"/>
      <c r="FP103" s="74" t="s">
        <v>1328</v>
      </c>
      <c r="FQ103" s="73">
        <f t="shared" ca="1" si="872"/>
        <v>3</v>
      </c>
      <c r="FR103" s="64"/>
      <c r="FS103" s="74" t="s">
        <v>1328</v>
      </c>
      <c r="FT103" s="73">
        <f t="shared" ca="1" si="872"/>
        <v>3</v>
      </c>
      <c r="FU103" s="64"/>
      <c r="FV103" s="74" t="s">
        <v>1328</v>
      </c>
      <c r="FW103" s="73">
        <f t="shared" ca="1" si="872"/>
        <v>3</v>
      </c>
      <c r="FX103" s="64"/>
      <c r="FY103" s="74" t="s">
        <v>1328</v>
      </c>
      <c r="FZ103" s="73">
        <f t="shared" ca="1" si="872"/>
        <v>3</v>
      </c>
      <c r="GA103" s="64"/>
      <c r="GB103" s="74" t="s">
        <v>1328</v>
      </c>
      <c r="GC103" s="73">
        <f t="shared" ca="1" si="872"/>
        <v>3</v>
      </c>
      <c r="GD103" s="64"/>
      <c r="GE103" s="74" t="s">
        <v>1328</v>
      </c>
      <c r="GF103" s="73">
        <f t="shared" ca="1" si="872"/>
        <v>3</v>
      </c>
      <c r="GG103" s="64"/>
      <c r="GH103" s="74" t="s">
        <v>1328</v>
      </c>
      <c r="GI103" s="73">
        <f t="shared" ca="1" si="872"/>
        <v>3</v>
      </c>
      <c r="GJ103" s="64"/>
      <c r="GK103" s="74" t="s">
        <v>1328</v>
      </c>
      <c r="GL103" s="73">
        <f t="shared" ca="1" si="872"/>
        <v>3</v>
      </c>
      <c r="GM103" s="64"/>
      <c r="GN103" s="74"/>
      <c r="GO103" s="73">
        <f t="shared" ca="1" si="872"/>
        <v>0</v>
      </c>
      <c r="GP103" s="64"/>
      <c r="GQ103" s="74"/>
      <c r="GR103" s="73">
        <f t="shared" ca="1" si="872"/>
        <v>0</v>
      </c>
      <c r="GS103" s="64"/>
      <c r="GT103" s="74"/>
      <c r="GU103" s="73">
        <f t="shared" ca="1" si="872"/>
        <v>0</v>
      </c>
      <c r="GV103" s="64"/>
      <c r="GW103" s="74"/>
      <c r="GX103" s="73">
        <f t="shared" ca="1" si="872"/>
        <v>0</v>
      </c>
      <c r="GY103" s="64"/>
      <c r="GZ103" s="74"/>
      <c r="HA103" s="73">
        <f t="shared" ca="1" si="872"/>
        <v>0</v>
      </c>
      <c r="HB103" s="64"/>
      <c r="HC103" s="74"/>
      <c r="HD103" s="73">
        <f t="shared" ca="1" si="872"/>
        <v>0</v>
      </c>
      <c r="HE103" s="64"/>
      <c r="HF103" s="74"/>
      <c r="HG103" s="73">
        <f t="shared" ca="1" si="872"/>
        <v>0</v>
      </c>
      <c r="HH103" s="64"/>
      <c r="HI103" s="74"/>
      <c r="HJ103" s="73">
        <f t="shared" ca="1" si="872"/>
        <v>0</v>
      </c>
      <c r="HK103" s="64"/>
      <c r="HL103" s="74"/>
      <c r="HM103" s="73">
        <f t="shared" ref="HM103:JX103" ca="1" si="873">($M103=HL103)*$D$14</f>
        <v>0</v>
      </c>
      <c r="HN103" s="64"/>
      <c r="HO103" s="74"/>
      <c r="HP103" s="73">
        <f t="shared" ca="1" si="873"/>
        <v>0</v>
      </c>
      <c r="HQ103" s="64"/>
      <c r="HR103" s="74"/>
      <c r="HS103" s="73">
        <f t="shared" ca="1" si="873"/>
        <v>0</v>
      </c>
      <c r="HT103" s="64"/>
      <c r="HU103" s="74"/>
      <c r="HV103" s="73">
        <f t="shared" ca="1" si="873"/>
        <v>0</v>
      </c>
      <c r="HW103" s="64"/>
      <c r="HX103" s="74"/>
      <c r="HY103" s="73">
        <f t="shared" ca="1" si="873"/>
        <v>0</v>
      </c>
      <c r="HZ103" s="64"/>
      <c r="IA103" s="74"/>
      <c r="IB103" s="73">
        <f t="shared" ca="1" si="873"/>
        <v>0</v>
      </c>
      <c r="IC103" s="64"/>
      <c r="ID103" s="74"/>
      <c r="IE103" s="73">
        <f t="shared" ca="1" si="873"/>
        <v>0</v>
      </c>
      <c r="IF103" s="64"/>
      <c r="IG103" s="74"/>
      <c r="IH103" s="73">
        <f t="shared" ca="1" si="873"/>
        <v>0</v>
      </c>
      <c r="II103" s="64"/>
      <c r="IJ103" s="74"/>
      <c r="IK103" s="73">
        <f t="shared" ca="1" si="873"/>
        <v>0</v>
      </c>
      <c r="IL103" s="64"/>
      <c r="IM103" s="74"/>
      <c r="IN103" s="73">
        <f t="shared" ca="1" si="873"/>
        <v>0</v>
      </c>
      <c r="IO103" s="64"/>
      <c r="IP103" s="74"/>
      <c r="IQ103" s="73">
        <f t="shared" ca="1" si="873"/>
        <v>0</v>
      </c>
      <c r="IR103" s="64"/>
      <c r="IS103" s="74"/>
      <c r="IT103" s="73">
        <f t="shared" ca="1" si="873"/>
        <v>0</v>
      </c>
      <c r="IU103" s="64"/>
      <c r="IV103" s="74"/>
      <c r="IW103" s="73">
        <f t="shared" ca="1" si="873"/>
        <v>0</v>
      </c>
      <c r="IX103" s="64"/>
      <c r="IY103" s="74"/>
      <c r="IZ103" s="73">
        <f t="shared" ca="1" si="873"/>
        <v>0</v>
      </c>
      <c r="JA103" s="64"/>
      <c r="JB103" s="74"/>
      <c r="JC103" s="73">
        <f t="shared" ca="1" si="873"/>
        <v>0</v>
      </c>
      <c r="JD103" s="64"/>
      <c r="JE103" s="74"/>
      <c r="JF103" s="73">
        <f t="shared" ca="1" si="873"/>
        <v>0</v>
      </c>
      <c r="JG103" s="64"/>
      <c r="JH103" s="74"/>
      <c r="JI103" s="73">
        <f t="shared" ca="1" si="873"/>
        <v>0</v>
      </c>
      <c r="JJ103" s="64"/>
      <c r="JK103" s="74"/>
      <c r="JL103" s="73">
        <f t="shared" ca="1" si="873"/>
        <v>0</v>
      </c>
      <c r="JM103" s="64"/>
      <c r="JN103" s="74"/>
      <c r="JO103" s="73">
        <f t="shared" ca="1" si="873"/>
        <v>0</v>
      </c>
      <c r="JP103" s="64"/>
      <c r="JQ103" s="74"/>
      <c r="JR103" s="73">
        <f t="shared" ca="1" si="873"/>
        <v>0</v>
      </c>
      <c r="JS103" s="64"/>
      <c r="JT103" s="74"/>
      <c r="JU103" s="73">
        <f t="shared" ca="1" si="873"/>
        <v>0</v>
      </c>
      <c r="JV103" s="64"/>
      <c r="JW103" s="74"/>
      <c r="JX103" s="73">
        <f t="shared" ca="1" si="873"/>
        <v>0</v>
      </c>
      <c r="JY103" s="64"/>
      <c r="JZ103" s="74"/>
      <c r="KA103" s="73">
        <f t="shared" ref="KA103:LE103" ca="1" si="874">($M103=JZ103)*$D$14</f>
        <v>0</v>
      </c>
      <c r="KB103" s="64"/>
      <c r="KC103" s="74"/>
      <c r="KD103" s="73">
        <f t="shared" ca="1" si="874"/>
        <v>0</v>
      </c>
      <c r="KE103" s="64"/>
      <c r="KF103" s="74"/>
      <c r="KG103" s="73">
        <f t="shared" ca="1" si="874"/>
        <v>0</v>
      </c>
      <c r="KH103" s="64"/>
      <c r="KI103" s="74"/>
      <c r="KJ103" s="73">
        <f t="shared" ca="1" si="874"/>
        <v>0</v>
      </c>
      <c r="KK103" s="64"/>
      <c r="KL103" s="74"/>
      <c r="KM103" s="73">
        <f t="shared" ca="1" si="874"/>
        <v>0</v>
      </c>
      <c r="KN103" s="64"/>
      <c r="KO103" s="74"/>
      <c r="KP103" s="73">
        <f t="shared" ca="1" si="874"/>
        <v>0</v>
      </c>
      <c r="KQ103" s="64"/>
      <c r="KR103" s="74"/>
      <c r="KS103" s="73">
        <f t="shared" ca="1" si="874"/>
        <v>0</v>
      </c>
      <c r="KT103" s="64"/>
      <c r="KU103" s="74"/>
      <c r="KV103" s="73">
        <f t="shared" ca="1" si="874"/>
        <v>0</v>
      </c>
      <c r="KW103" s="64"/>
      <c r="KX103" s="74"/>
      <c r="KY103" s="73">
        <f t="shared" ca="1" si="874"/>
        <v>0</v>
      </c>
      <c r="KZ103" s="64"/>
      <c r="LA103" s="74"/>
      <c r="LB103" s="73">
        <f t="shared" ca="1" si="874"/>
        <v>0</v>
      </c>
      <c r="LC103" s="64"/>
      <c r="LD103" s="74"/>
      <c r="LE103" s="73">
        <f t="shared" ca="1" si="874"/>
        <v>0</v>
      </c>
      <c r="LF103" s="64"/>
      <c r="LG103" s="64"/>
    </row>
    <row r="104" spans="1:319">
      <c r="A104" s="49"/>
      <c r="B104" s="49"/>
      <c r="C104" s="49"/>
      <c r="D104" s="49"/>
      <c r="E104" s="111"/>
      <c r="F104" s="127">
        <f t="shared" ref="F104" si="875">$D$11</f>
        <v>20</v>
      </c>
      <c r="G104" s="445">
        <f ca="1">VLOOKUP(H104,Equipos!$Q$1:$R$25,2,0)</f>
        <v>17</v>
      </c>
      <c r="H104" s="446">
        <f ca="1">$H$66</f>
        <v>46200</v>
      </c>
      <c r="I104" s="50"/>
      <c r="J104" s="848" t="s">
        <v>6</v>
      </c>
      <c r="K104" s="56" t="str">
        <f>Idiomas!D174</f>
        <v>1st GROUP G</v>
      </c>
      <c r="L104" s="53"/>
      <c r="M104" s="55" t="str">
        <f ca="1">IF(OR(SUM(WORLDCUP!$AN$54:$AN$57)=12,WORLDCUP!$AJ$99=144),WORLDCUP!AL54,LEFT(K104,1)&amp;RIGHT(K104,1))</f>
        <v>Belgium</v>
      </c>
      <c r="N104" s="25"/>
      <c r="O104" s="25"/>
      <c r="P104" s="25"/>
      <c r="Q104" s="25"/>
      <c r="R104" s="110"/>
      <c r="S104" s="74" t="s">
        <v>1290</v>
      </c>
      <c r="T104" s="73">
        <f t="shared" ref="T104" ca="1" si="876">($M104=S104)*$D$11</f>
        <v>0</v>
      </c>
      <c r="U104" s="64"/>
      <c r="V104" s="74" t="s">
        <v>293</v>
      </c>
      <c r="W104" s="73">
        <f t="shared" ref="W104:CH104" ca="1" si="877">($M104=V104)*$D$11</f>
        <v>20</v>
      </c>
      <c r="X104" s="64"/>
      <c r="Y104" s="74" t="s">
        <v>293</v>
      </c>
      <c r="Z104" s="73">
        <f t="shared" ca="1" si="877"/>
        <v>20</v>
      </c>
      <c r="AA104" s="64"/>
      <c r="AB104" s="74" t="s">
        <v>293</v>
      </c>
      <c r="AC104" s="73">
        <f t="shared" ca="1" si="877"/>
        <v>20</v>
      </c>
      <c r="AD104" s="64"/>
      <c r="AE104" s="74" t="s">
        <v>293</v>
      </c>
      <c r="AF104" s="73">
        <f t="shared" ca="1" si="877"/>
        <v>20</v>
      </c>
      <c r="AG104" s="64"/>
      <c r="AH104" s="74" t="s">
        <v>293</v>
      </c>
      <c r="AI104" s="73">
        <f t="shared" ca="1" si="877"/>
        <v>20</v>
      </c>
      <c r="AJ104" s="64"/>
      <c r="AK104" s="74" t="s">
        <v>293</v>
      </c>
      <c r="AL104" s="73">
        <f t="shared" ca="1" si="877"/>
        <v>20</v>
      </c>
      <c r="AM104" s="64"/>
      <c r="AN104" s="74" t="s">
        <v>1282</v>
      </c>
      <c r="AO104" s="73">
        <f t="shared" ca="1" si="877"/>
        <v>0</v>
      </c>
      <c r="AP104" s="64"/>
      <c r="AQ104" s="74" t="s">
        <v>293</v>
      </c>
      <c r="AR104" s="73">
        <f t="shared" ca="1" si="877"/>
        <v>20</v>
      </c>
      <c r="AS104" s="64"/>
      <c r="AT104" s="74" t="s">
        <v>293</v>
      </c>
      <c r="AU104" s="73">
        <f t="shared" ca="1" si="877"/>
        <v>20</v>
      </c>
      <c r="AV104" s="64"/>
      <c r="AW104" s="74" t="s">
        <v>293</v>
      </c>
      <c r="AX104" s="73">
        <f t="shared" ca="1" si="877"/>
        <v>20</v>
      </c>
      <c r="AY104" s="64"/>
      <c r="AZ104" s="74" t="s">
        <v>293</v>
      </c>
      <c r="BA104" s="73">
        <f t="shared" ca="1" si="877"/>
        <v>20</v>
      </c>
      <c r="BB104" s="64"/>
      <c r="BC104" s="74" t="s">
        <v>293</v>
      </c>
      <c r="BD104" s="73">
        <f t="shared" ca="1" si="877"/>
        <v>20</v>
      </c>
      <c r="BE104" s="64"/>
      <c r="BF104" s="74" t="s">
        <v>293</v>
      </c>
      <c r="BG104" s="73">
        <f t="shared" ca="1" si="877"/>
        <v>20</v>
      </c>
      <c r="BH104" s="64"/>
      <c r="BI104" s="74" t="s">
        <v>1553</v>
      </c>
      <c r="BJ104" s="73">
        <f t="shared" ca="1" si="877"/>
        <v>0</v>
      </c>
      <c r="BK104" s="64"/>
      <c r="BL104" s="74" t="s">
        <v>293</v>
      </c>
      <c r="BM104" s="73">
        <f t="shared" ca="1" si="877"/>
        <v>20</v>
      </c>
      <c r="BN104" s="64"/>
      <c r="BO104" s="74" t="s">
        <v>1553</v>
      </c>
      <c r="BP104" s="73">
        <f t="shared" ca="1" si="877"/>
        <v>0</v>
      </c>
      <c r="BQ104" s="64"/>
      <c r="BR104" s="74" t="s">
        <v>1553</v>
      </c>
      <c r="BS104" s="73">
        <f t="shared" ca="1" si="877"/>
        <v>0</v>
      </c>
      <c r="BT104" s="64"/>
      <c r="BU104" s="74" t="s">
        <v>293</v>
      </c>
      <c r="BV104" s="73">
        <f t="shared" ca="1" si="877"/>
        <v>20</v>
      </c>
      <c r="BW104" s="64"/>
      <c r="BX104" s="74" t="s">
        <v>293</v>
      </c>
      <c r="BY104" s="73">
        <f t="shared" ca="1" si="877"/>
        <v>20</v>
      </c>
      <c r="BZ104" s="64"/>
      <c r="CA104" s="74" t="s">
        <v>293</v>
      </c>
      <c r="CB104" s="73">
        <f t="shared" ca="1" si="877"/>
        <v>20</v>
      </c>
      <c r="CC104" s="64"/>
      <c r="CD104" s="74" t="s">
        <v>293</v>
      </c>
      <c r="CE104" s="73">
        <f t="shared" ca="1" si="877"/>
        <v>20</v>
      </c>
      <c r="CF104" s="64"/>
      <c r="CG104" s="74" t="s">
        <v>293</v>
      </c>
      <c r="CH104" s="73">
        <f t="shared" ca="1" si="877"/>
        <v>20</v>
      </c>
      <c r="CI104" s="64"/>
      <c r="CJ104" s="74" t="s">
        <v>293</v>
      </c>
      <c r="CK104" s="73">
        <f t="shared" ref="CK104:EV104" ca="1" si="878">($M104=CJ104)*$D$11</f>
        <v>20</v>
      </c>
      <c r="CL104" s="64"/>
      <c r="CM104" s="74" t="s">
        <v>293</v>
      </c>
      <c r="CN104" s="73">
        <f t="shared" ca="1" si="878"/>
        <v>20</v>
      </c>
      <c r="CO104" s="64"/>
      <c r="CP104" s="74" t="s">
        <v>293</v>
      </c>
      <c r="CQ104" s="73">
        <f t="shared" ca="1" si="878"/>
        <v>20</v>
      </c>
      <c r="CR104" s="64"/>
      <c r="CS104" s="74" t="s">
        <v>1553</v>
      </c>
      <c r="CT104" s="73">
        <f t="shared" ca="1" si="878"/>
        <v>0</v>
      </c>
      <c r="CU104" s="64"/>
      <c r="CV104" s="74" t="s">
        <v>293</v>
      </c>
      <c r="CW104" s="73">
        <f t="shared" ca="1" si="878"/>
        <v>20</v>
      </c>
      <c r="CX104" s="64"/>
      <c r="CY104" s="74" t="s">
        <v>293</v>
      </c>
      <c r="CZ104" s="73">
        <f t="shared" ca="1" si="878"/>
        <v>20</v>
      </c>
      <c r="DA104" s="64"/>
      <c r="DB104" s="74" t="s">
        <v>293</v>
      </c>
      <c r="DC104" s="73">
        <f t="shared" ca="1" si="878"/>
        <v>20</v>
      </c>
      <c r="DD104" s="64"/>
      <c r="DE104" s="74" t="s">
        <v>293</v>
      </c>
      <c r="DF104" s="73">
        <f t="shared" ca="1" si="878"/>
        <v>20</v>
      </c>
      <c r="DG104" s="64"/>
      <c r="DH104" s="74" t="s">
        <v>293</v>
      </c>
      <c r="DI104" s="73">
        <f t="shared" ca="1" si="878"/>
        <v>20</v>
      </c>
      <c r="DJ104" s="64"/>
      <c r="DK104" s="74" t="s">
        <v>293</v>
      </c>
      <c r="DL104" s="73">
        <f t="shared" ca="1" si="878"/>
        <v>20</v>
      </c>
      <c r="DM104" s="64"/>
      <c r="DN104" s="74" t="s">
        <v>293</v>
      </c>
      <c r="DO104" s="73">
        <f t="shared" ca="1" si="878"/>
        <v>20</v>
      </c>
      <c r="DP104" s="64"/>
      <c r="DQ104" s="74" t="s">
        <v>293</v>
      </c>
      <c r="DR104" s="73">
        <f t="shared" ca="1" si="878"/>
        <v>20</v>
      </c>
      <c r="DS104" s="64"/>
      <c r="DT104" s="74" t="s">
        <v>293</v>
      </c>
      <c r="DU104" s="73">
        <f t="shared" ca="1" si="878"/>
        <v>20</v>
      </c>
      <c r="DV104" s="64"/>
      <c r="DW104" s="74" t="s">
        <v>293</v>
      </c>
      <c r="DX104" s="73">
        <f t="shared" ca="1" si="878"/>
        <v>20</v>
      </c>
      <c r="DY104" s="64"/>
      <c r="DZ104" s="74" t="s">
        <v>293</v>
      </c>
      <c r="EA104" s="73">
        <f t="shared" ca="1" si="878"/>
        <v>20</v>
      </c>
      <c r="EB104" s="64"/>
      <c r="EC104" s="74" t="s">
        <v>293</v>
      </c>
      <c r="ED104" s="73">
        <f t="shared" ca="1" si="878"/>
        <v>20</v>
      </c>
      <c r="EE104" s="64"/>
      <c r="EF104" s="74" t="s">
        <v>1553</v>
      </c>
      <c r="EG104" s="73">
        <f t="shared" ca="1" si="878"/>
        <v>0</v>
      </c>
      <c r="EH104" s="64"/>
      <c r="EI104" s="74" t="s">
        <v>293</v>
      </c>
      <c r="EJ104" s="73">
        <f t="shared" ca="1" si="878"/>
        <v>20</v>
      </c>
      <c r="EK104" s="64"/>
      <c r="EL104" s="74" t="s">
        <v>293</v>
      </c>
      <c r="EM104" s="73">
        <f t="shared" ca="1" si="878"/>
        <v>20</v>
      </c>
      <c r="EN104" s="64"/>
      <c r="EO104" s="74" t="s">
        <v>293</v>
      </c>
      <c r="EP104" s="73">
        <f t="shared" ca="1" si="878"/>
        <v>20</v>
      </c>
      <c r="EQ104" s="64"/>
      <c r="ER104" s="74" t="s">
        <v>293</v>
      </c>
      <c r="ES104" s="73">
        <f t="shared" ca="1" si="878"/>
        <v>20</v>
      </c>
      <c r="ET104" s="64"/>
      <c r="EU104" s="74" t="s">
        <v>293</v>
      </c>
      <c r="EV104" s="73">
        <f t="shared" ca="1" si="878"/>
        <v>20</v>
      </c>
      <c r="EW104" s="64"/>
      <c r="EX104" s="74" t="s">
        <v>293</v>
      </c>
      <c r="EY104" s="73">
        <f t="shared" ref="EY104:HJ104" ca="1" si="879">($M104=EX104)*$D$11</f>
        <v>20</v>
      </c>
      <c r="EZ104" s="64"/>
      <c r="FA104" s="74" t="s">
        <v>293</v>
      </c>
      <c r="FB104" s="73">
        <f t="shared" ca="1" si="879"/>
        <v>20</v>
      </c>
      <c r="FC104" s="64"/>
      <c r="FD104" s="74" t="s">
        <v>293</v>
      </c>
      <c r="FE104" s="73">
        <f t="shared" ca="1" si="879"/>
        <v>20</v>
      </c>
      <c r="FF104" s="64"/>
      <c r="FG104" s="74" t="s">
        <v>293</v>
      </c>
      <c r="FH104" s="73">
        <f t="shared" ca="1" si="879"/>
        <v>20</v>
      </c>
      <c r="FI104" s="64"/>
      <c r="FJ104" s="74" t="s">
        <v>293</v>
      </c>
      <c r="FK104" s="73">
        <f t="shared" ca="1" si="879"/>
        <v>20</v>
      </c>
      <c r="FL104" s="64"/>
      <c r="FM104" s="74" t="s">
        <v>293</v>
      </c>
      <c r="FN104" s="73">
        <f t="shared" ca="1" si="879"/>
        <v>20</v>
      </c>
      <c r="FO104" s="64"/>
      <c r="FP104" s="74" t="s">
        <v>293</v>
      </c>
      <c r="FQ104" s="73">
        <f t="shared" ca="1" si="879"/>
        <v>20</v>
      </c>
      <c r="FR104" s="64"/>
      <c r="FS104" s="74" t="s">
        <v>293</v>
      </c>
      <c r="FT104" s="73">
        <f t="shared" ca="1" si="879"/>
        <v>20</v>
      </c>
      <c r="FU104" s="64"/>
      <c r="FV104" s="74" t="s">
        <v>293</v>
      </c>
      <c r="FW104" s="73">
        <f t="shared" ca="1" si="879"/>
        <v>20</v>
      </c>
      <c r="FX104" s="64"/>
      <c r="FY104" s="74" t="s">
        <v>293</v>
      </c>
      <c r="FZ104" s="73">
        <f t="shared" ca="1" si="879"/>
        <v>20</v>
      </c>
      <c r="GA104" s="64"/>
      <c r="GB104" s="74" t="s">
        <v>293</v>
      </c>
      <c r="GC104" s="73">
        <f t="shared" ca="1" si="879"/>
        <v>20</v>
      </c>
      <c r="GD104" s="64"/>
      <c r="GE104" s="74" t="s">
        <v>293</v>
      </c>
      <c r="GF104" s="73">
        <f t="shared" ca="1" si="879"/>
        <v>20</v>
      </c>
      <c r="GG104" s="64"/>
      <c r="GH104" s="74" t="s">
        <v>293</v>
      </c>
      <c r="GI104" s="73">
        <f t="shared" ca="1" si="879"/>
        <v>20</v>
      </c>
      <c r="GJ104" s="64"/>
      <c r="GK104" s="74" t="s">
        <v>293</v>
      </c>
      <c r="GL104" s="73">
        <f t="shared" ca="1" si="879"/>
        <v>20</v>
      </c>
      <c r="GM104" s="64"/>
      <c r="GN104" s="74"/>
      <c r="GO104" s="73">
        <f t="shared" ca="1" si="879"/>
        <v>0</v>
      </c>
      <c r="GP104" s="64"/>
      <c r="GQ104" s="74"/>
      <c r="GR104" s="73">
        <f t="shared" ca="1" si="879"/>
        <v>0</v>
      </c>
      <c r="GS104" s="64"/>
      <c r="GT104" s="74"/>
      <c r="GU104" s="73">
        <f t="shared" ca="1" si="879"/>
        <v>0</v>
      </c>
      <c r="GV104" s="64"/>
      <c r="GW104" s="74"/>
      <c r="GX104" s="73">
        <f t="shared" ca="1" si="879"/>
        <v>0</v>
      </c>
      <c r="GY104" s="64"/>
      <c r="GZ104" s="74"/>
      <c r="HA104" s="73">
        <f t="shared" ca="1" si="879"/>
        <v>0</v>
      </c>
      <c r="HB104" s="64"/>
      <c r="HC104" s="74"/>
      <c r="HD104" s="73">
        <f t="shared" ca="1" si="879"/>
        <v>0</v>
      </c>
      <c r="HE104" s="64"/>
      <c r="HF104" s="74"/>
      <c r="HG104" s="73">
        <f t="shared" ca="1" si="879"/>
        <v>0</v>
      </c>
      <c r="HH104" s="64"/>
      <c r="HI104" s="74"/>
      <c r="HJ104" s="73">
        <f t="shared" ca="1" si="879"/>
        <v>0</v>
      </c>
      <c r="HK104" s="64"/>
      <c r="HL104" s="74"/>
      <c r="HM104" s="73">
        <f t="shared" ref="HM104:JX104" ca="1" si="880">($M104=HL104)*$D$11</f>
        <v>0</v>
      </c>
      <c r="HN104" s="64"/>
      <c r="HO104" s="74"/>
      <c r="HP104" s="73">
        <f t="shared" ca="1" si="880"/>
        <v>0</v>
      </c>
      <c r="HQ104" s="64"/>
      <c r="HR104" s="74"/>
      <c r="HS104" s="73">
        <f t="shared" ca="1" si="880"/>
        <v>0</v>
      </c>
      <c r="HT104" s="64"/>
      <c r="HU104" s="74"/>
      <c r="HV104" s="73">
        <f t="shared" ca="1" si="880"/>
        <v>0</v>
      </c>
      <c r="HW104" s="64"/>
      <c r="HX104" s="74"/>
      <c r="HY104" s="73">
        <f t="shared" ca="1" si="880"/>
        <v>0</v>
      </c>
      <c r="HZ104" s="64"/>
      <c r="IA104" s="74"/>
      <c r="IB104" s="73">
        <f t="shared" ca="1" si="880"/>
        <v>0</v>
      </c>
      <c r="IC104" s="64"/>
      <c r="ID104" s="74"/>
      <c r="IE104" s="73">
        <f t="shared" ca="1" si="880"/>
        <v>0</v>
      </c>
      <c r="IF104" s="64"/>
      <c r="IG104" s="74"/>
      <c r="IH104" s="73">
        <f t="shared" ca="1" si="880"/>
        <v>0</v>
      </c>
      <c r="II104" s="64"/>
      <c r="IJ104" s="74"/>
      <c r="IK104" s="73">
        <f t="shared" ca="1" si="880"/>
        <v>0</v>
      </c>
      <c r="IL104" s="64"/>
      <c r="IM104" s="74"/>
      <c r="IN104" s="73">
        <f t="shared" ca="1" si="880"/>
        <v>0</v>
      </c>
      <c r="IO104" s="64"/>
      <c r="IP104" s="74"/>
      <c r="IQ104" s="73">
        <f t="shared" ca="1" si="880"/>
        <v>0</v>
      </c>
      <c r="IR104" s="64"/>
      <c r="IS104" s="74"/>
      <c r="IT104" s="73">
        <f t="shared" ca="1" si="880"/>
        <v>0</v>
      </c>
      <c r="IU104" s="64"/>
      <c r="IV104" s="74"/>
      <c r="IW104" s="73">
        <f t="shared" ca="1" si="880"/>
        <v>0</v>
      </c>
      <c r="IX104" s="64"/>
      <c r="IY104" s="74"/>
      <c r="IZ104" s="73">
        <f t="shared" ca="1" si="880"/>
        <v>0</v>
      </c>
      <c r="JA104" s="64"/>
      <c r="JB104" s="74"/>
      <c r="JC104" s="73">
        <f t="shared" ca="1" si="880"/>
        <v>0</v>
      </c>
      <c r="JD104" s="64"/>
      <c r="JE104" s="74"/>
      <c r="JF104" s="73">
        <f t="shared" ca="1" si="880"/>
        <v>0</v>
      </c>
      <c r="JG104" s="64"/>
      <c r="JH104" s="74"/>
      <c r="JI104" s="73">
        <f t="shared" ca="1" si="880"/>
        <v>0</v>
      </c>
      <c r="JJ104" s="64"/>
      <c r="JK104" s="74"/>
      <c r="JL104" s="73">
        <f t="shared" ca="1" si="880"/>
        <v>0</v>
      </c>
      <c r="JM104" s="64"/>
      <c r="JN104" s="74"/>
      <c r="JO104" s="73">
        <f t="shared" ca="1" si="880"/>
        <v>0</v>
      </c>
      <c r="JP104" s="64"/>
      <c r="JQ104" s="74"/>
      <c r="JR104" s="73">
        <f t="shared" ca="1" si="880"/>
        <v>0</v>
      </c>
      <c r="JS104" s="64"/>
      <c r="JT104" s="74"/>
      <c r="JU104" s="73">
        <f t="shared" ca="1" si="880"/>
        <v>0</v>
      </c>
      <c r="JV104" s="64"/>
      <c r="JW104" s="74"/>
      <c r="JX104" s="73">
        <f t="shared" ca="1" si="880"/>
        <v>0</v>
      </c>
      <c r="JY104" s="64"/>
      <c r="JZ104" s="74"/>
      <c r="KA104" s="73">
        <f t="shared" ref="KA104:LE104" ca="1" si="881">($M104=JZ104)*$D$11</f>
        <v>0</v>
      </c>
      <c r="KB104" s="64"/>
      <c r="KC104" s="74"/>
      <c r="KD104" s="73">
        <f t="shared" ca="1" si="881"/>
        <v>0</v>
      </c>
      <c r="KE104" s="64"/>
      <c r="KF104" s="74"/>
      <c r="KG104" s="73">
        <f t="shared" ca="1" si="881"/>
        <v>0</v>
      </c>
      <c r="KH104" s="64"/>
      <c r="KI104" s="74"/>
      <c r="KJ104" s="73">
        <f t="shared" ca="1" si="881"/>
        <v>0</v>
      </c>
      <c r="KK104" s="64"/>
      <c r="KL104" s="74"/>
      <c r="KM104" s="73">
        <f t="shared" ca="1" si="881"/>
        <v>0</v>
      </c>
      <c r="KN104" s="64"/>
      <c r="KO104" s="74"/>
      <c r="KP104" s="73">
        <f t="shared" ca="1" si="881"/>
        <v>0</v>
      </c>
      <c r="KQ104" s="64"/>
      <c r="KR104" s="74"/>
      <c r="KS104" s="73">
        <f t="shared" ca="1" si="881"/>
        <v>0</v>
      </c>
      <c r="KT104" s="64"/>
      <c r="KU104" s="74"/>
      <c r="KV104" s="73">
        <f t="shared" ca="1" si="881"/>
        <v>0</v>
      </c>
      <c r="KW104" s="64"/>
      <c r="KX104" s="74"/>
      <c r="KY104" s="73">
        <f t="shared" ca="1" si="881"/>
        <v>0</v>
      </c>
      <c r="KZ104" s="64"/>
      <c r="LA104" s="74"/>
      <c r="LB104" s="73">
        <f t="shared" ca="1" si="881"/>
        <v>0</v>
      </c>
      <c r="LC104" s="64"/>
      <c r="LD104" s="74"/>
      <c r="LE104" s="73">
        <f t="shared" ca="1" si="881"/>
        <v>0</v>
      </c>
      <c r="LF104" s="64"/>
      <c r="LG104" s="64"/>
    </row>
    <row r="105" spans="1:319">
      <c r="A105" s="49"/>
      <c r="B105" s="49"/>
      <c r="C105" s="49"/>
      <c r="D105" s="49"/>
      <c r="E105" s="111"/>
      <c r="F105" s="127">
        <f t="shared" ref="F105" si="882">$D$12</f>
        <v>10</v>
      </c>
      <c r="G105" s="445">
        <f ca="1">VLOOKUP(H105,Equipos!$Q$1:$R$25,2,0)</f>
        <v>17</v>
      </c>
      <c r="H105" s="446">
        <f ca="1">$H$66</f>
        <v>46200</v>
      </c>
      <c r="I105" s="50"/>
      <c r="J105" s="848"/>
      <c r="K105" s="56" t="str">
        <f>Idiomas!D175</f>
        <v>2nd GROUP G</v>
      </c>
      <c r="L105" s="53"/>
      <c r="M105" s="55" t="str">
        <f ca="1">IF(OR(SUM(WORLDCUP!$AN$54:$AN$57)=12,WORLDCUP!$AJ$99=144),WORLDCUP!AL55,LEFT(K105,1)&amp;RIGHT(K105,1))</f>
        <v>Egypt</v>
      </c>
      <c r="N105" s="25"/>
      <c r="O105" s="25"/>
      <c r="P105" s="25"/>
      <c r="Q105" s="25"/>
      <c r="R105" s="110"/>
      <c r="S105" s="74" t="s">
        <v>293</v>
      </c>
      <c r="T105" s="73">
        <f t="shared" ref="T105" ca="1" si="883">($M105=S105)*$D$12</f>
        <v>0</v>
      </c>
      <c r="U105" s="64"/>
      <c r="V105" s="74" t="s">
        <v>1290</v>
      </c>
      <c r="W105" s="73">
        <f t="shared" ref="W105:CH105" ca="1" si="884">($M105=V105)*$D$12</f>
        <v>0</v>
      </c>
      <c r="X105" s="64"/>
      <c r="Y105" s="74" t="s">
        <v>1553</v>
      </c>
      <c r="Z105" s="73">
        <f t="shared" ca="1" si="884"/>
        <v>10</v>
      </c>
      <c r="AA105" s="64"/>
      <c r="AB105" s="74" t="s">
        <v>1553</v>
      </c>
      <c r="AC105" s="73">
        <f t="shared" ca="1" si="884"/>
        <v>10</v>
      </c>
      <c r="AD105" s="64"/>
      <c r="AE105" s="74" t="s">
        <v>1553</v>
      </c>
      <c r="AF105" s="73">
        <f t="shared" ca="1" si="884"/>
        <v>10</v>
      </c>
      <c r="AG105" s="64"/>
      <c r="AH105" s="74" t="s">
        <v>1553</v>
      </c>
      <c r="AI105" s="73">
        <f t="shared" ca="1" si="884"/>
        <v>10</v>
      </c>
      <c r="AJ105" s="64"/>
      <c r="AK105" s="74" t="s">
        <v>1282</v>
      </c>
      <c r="AL105" s="73">
        <f t="shared" ca="1" si="884"/>
        <v>0</v>
      </c>
      <c r="AM105" s="64"/>
      <c r="AN105" s="74" t="s">
        <v>293</v>
      </c>
      <c r="AO105" s="73">
        <f t="shared" ca="1" si="884"/>
        <v>0</v>
      </c>
      <c r="AP105" s="64"/>
      <c r="AQ105" s="74" t="s">
        <v>1553</v>
      </c>
      <c r="AR105" s="73">
        <f t="shared" ca="1" si="884"/>
        <v>10</v>
      </c>
      <c r="AS105" s="64"/>
      <c r="AT105" s="74" t="s">
        <v>1290</v>
      </c>
      <c r="AU105" s="73">
        <f t="shared" ca="1" si="884"/>
        <v>0</v>
      </c>
      <c r="AV105" s="64"/>
      <c r="AW105" s="74" t="s">
        <v>1290</v>
      </c>
      <c r="AX105" s="73">
        <f t="shared" ca="1" si="884"/>
        <v>0</v>
      </c>
      <c r="AY105" s="64"/>
      <c r="AZ105" s="74" t="s">
        <v>1553</v>
      </c>
      <c r="BA105" s="73">
        <f t="shared" ca="1" si="884"/>
        <v>10</v>
      </c>
      <c r="BB105" s="64"/>
      <c r="BC105" s="74" t="s">
        <v>1553</v>
      </c>
      <c r="BD105" s="73">
        <f t="shared" ca="1" si="884"/>
        <v>10</v>
      </c>
      <c r="BE105" s="64"/>
      <c r="BF105" s="74" t="s">
        <v>1282</v>
      </c>
      <c r="BG105" s="73">
        <f t="shared" ca="1" si="884"/>
        <v>0</v>
      </c>
      <c r="BH105" s="64"/>
      <c r="BI105" s="74" t="s">
        <v>293</v>
      </c>
      <c r="BJ105" s="73">
        <f t="shared" ca="1" si="884"/>
        <v>0</v>
      </c>
      <c r="BK105" s="64"/>
      <c r="BL105" s="74" t="s">
        <v>1553</v>
      </c>
      <c r="BM105" s="73">
        <f t="shared" ca="1" si="884"/>
        <v>10</v>
      </c>
      <c r="BN105" s="64"/>
      <c r="BO105" s="74" t="s">
        <v>293</v>
      </c>
      <c r="BP105" s="73">
        <f t="shared" ca="1" si="884"/>
        <v>0</v>
      </c>
      <c r="BQ105" s="64"/>
      <c r="BR105" s="74" t="s">
        <v>293</v>
      </c>
      <c r="BS105" s="73">
        <f t="shared" ca="1" si="884"/>
        <v>0</v>
      </c>
      <c r="BT105" s="64"/>
      <c r="BU105" s="74" t="s">
        <v>1282</v>
      </c>
      <c r="BV105" s="73">
        <f t="shared" ca="1" si="884"/>
        <v>0</v>
      </c>
      <c r="BW105" s="64"/>
      <c r="BX105" s="74" t="s">
        <v>1553</v>
      </c>
      <c r="BY105" s="73">
        <f t="shared" ca="1" si="884"/>
        <v>10</v>
      </c>
      <c r="BZ105" s="64"/>
      <c r="CA105" s="74" t="s">
        <v>1290</v>
      </c>
      <c r="CB105" s="73">
        <f t="shared" ca="1" si="884"/>
        <v>0</v>
      </c>
      <c r="CC105" s="64"/>
      <c r="CD105" s="74" t="s">
        <v>1553</v>
      </c>
      <c r="CE105" s="73">
        <f t="shared" ca="1" si="884"/>
        <v>10</v>
      </c>
      <c r="CF105" s="64"/>
      <c r="CG105" s="74" t="s">
        <v>1282</v>
      </c>
      <c r="CH105" s="73">
        <f t="shared" ca="1" si="884"/>
        <v>0</v>
      </c>
      <c r="CI105" s="64"/>
      <c r="CJ105" s="74" t="s">
        <v>1290</v>
      </c>
      <c r="CK105" s="73">
        <f t="shared" ref="CK105:EV105" ca="1" si="885">($M105=CJ105)*$D$12</f>
        <v>0</v>
      </c>
      <c r="CL105" s="64"/>
      <c r="CM105" s="74" t="s">
        <v>1553</v>
      </c>
      <c r="CN105" s="73">
        <f t="shared" ca="1" si="885"/>
        <v>10</v>
      </c>
      <c r="CO105" s="64"/>
      <c r="CP105" s="74" t="s">
        <v>1282</v>
      </c>
      <c r="CQ105" s="73">
        <f t="shared" ca="1" si="885"/>
        <v>0</v>
      </c>
      <c r="CR105" s="64"/>
      <c r="CS105" s="74" t="s">
        <v>293</v>
      </c>
      <c r="CT105" s="73">
        <f t="shared" ca="1" si="885"/>
        <v>0</v>
      </c>
      <c r="CU105" s="64"/>
      <c r="CV105" s="74" t="s">
        <v>1553</v>
      </c>
      <c r="CW105" s="73">
        <f t="shared" ca="1" si="885"/>
        <v>10</v>
      </c>
      <c r="CX105" s="64"/>
      <c r="CY105" s="74" t="s">
        <v>1282</v>
      </c>
      <c r="CZ105" s="73">
        <f t="shared" ca="1" si="885"/>
        <v>0</v>
      </c>
      <c r="DA105" s="64"/>
      <c r="DB105" s="74" t="s">
        <v>1553</v>
      </c>
      <c r="DC105" s="73">
        <f t="shared" ca="1" si="885"/>
        <v>10</v>
      </c>
      <c r="DD105" s="64"/>
      <c r="DE105" s="74" t="s">
        <v>1553</v>
      </c>
      <c r="DF105" s="73">
        <f t="shared" ca="1" si="885"/>
        <v>10</v>
      </c>
      <c r="DG105" s="64"/>
      <c r="DH105" s="74" t="s">
        <v>1290</v>
      </c>
      <c r="DI105" s="73">
        <f t="shared" ca="1" si="885"/>
        <v>0</v>
      </c>
      <c r="DJ105" s="64"/>
      <c r="DK105" s="74" t="s">
        <v>1553</v>
      </c>
      <c r="DL105" s="73">
        <f t="shared" ca="1" si="885"/>
        <v>10</v>
      </c>
      <c r="DM105" s="64"/>
      <c r="DN105" s="74" t="s">
        <v>1282</v>
      </c>
      <c r="DO105" s="73">
        <f t="shared" ca="1" si="885"/>
        <v>0</v>
      </c>
      <c r="DP105" s="64"/>
      <c r="DQ105" s="74" t="s">
        <v>1553</v>
      </c>
      <c r="DR105" s="73">
        <f t="shared" ca="1" si="885"/>
        <v>10</v>
      </c>
      <c r="DS105" s="64"/>
      <c r="DT105" s="74" t="s">
        <v>1282</v>
      </c>
      <c r="DU105" s="73">
        <f t="shared" ca="1" si="885"/>
        <v>0</v>
      </c>
      <c r="DV105" s="64"/>
      <c r="DW105" s="74" t="s">
        <v>1553</v>
      </c>
      <c r="DX105" s="73">
        <f t="shared" ca="1" si="885"/>
        <v>10</v>
      </c>
      <c r="DY105" s="64"/>
      <c r="DZ105" s="74" t="s">
        <v>1282</v>
      </c>
      <c r="EA105" s="73">
        <f t="shared" ca="1" si="885"/>
        <v>0</v>
      </c>
      <c r="EB105" s="64"/>
      <c r="EC105" s="74" t="s">
        <v>1553</v>
      </c>
      <c r="ED105" s="73">
        <f t="shared" ca="1" si="885"/>
        <v>10</v>
      </c>
      <c r="EE105" s="64"/>
      <c r="EF105" s="74" t="s">
        <v>293</v>
      </c>
      <c r="EG105" s="73">
        <f t="shared" ca="1" si="885"/>
        <v>0</v>
      </c>
      <c r="EH105" s="64"/>
      <c r="EI105" s="74" t="s">
        <v>1553</v>
      </c>
      <c r="EJ105" s="73">
        <f t="shared" ca="1" si="885"/>
        <v>10</v>
      </c>
      <c r="EK105" s="64"/>
      <c r="EL105" s="74" t="s">
        <v>1553</v>
      </c>
      <c r="EM105" s="73">
        <f t="shared" ca="1" si="885"/>
        <v>10</v>
      </c>
      <c r="EN105" s="64"/>
      <c r="EO105" s="74" t="s">
        <v>1553</v>
      </c>
      <c r="EP105" s="73">
        <f t="shared" ca="1" si="885"/>
        <v>10</v>
      </c>
      <c r="EQ105" s="64"/>
      <c r="ER105" s="74" t="s">
        <v>1553</v>
      </c>
      <c r="ES105" s="73">
        <f t="shared" ca="1" si="885"/>
        <v>10</v>
      </c>
      <c r="ET105" s="64"/>
      <c r="EU105" s="74" t="s">
        <v>1553</v>
      </c>
      <c r="EV105" s="73">
        <f t="shared" ca="1" si="885"/>
        <v>10</v>
      </c>
      <c r="EW105" s="64"/>
      <c r="EX105" s="74" t="s">
        <v>1553</v>
      </c>
      <c r="EY105" s="73">
        <f t="shared" ref="EY105:HJ105" ca="1" si="886">($M105=EX105)*$D$12</f>
        <v>10</v>
      </c>
      <c r="EZ105" s="64"/>
      <c r="FA105" s="74" t="s">
        <v>1553</v>
      </c>
      <c r="FB105" s="73">
        <f t="shared" ca="1" si="886"/>
        <v>10</v>
      </c>
      <c r="FC105" s="64"/>
      <c r="FD105" s="74" t="s">
        <v>1290</v>
      </c>
      <c r="FE105" s="73">
        <f t="shared" ca="1" si="886"/>
        <v>0</v>
      </c>
      <c r="FF105" s="64"/>
      <c r="FG105" s="74" t="s">
        <v>1553</v>
      </c>
      <c r="FH105" s="73">
        <f t="shared" ca="1" si="886"/>
        <v>10</v>
      </c>
      <c r="FI105" s="64"/>
      <c r="FJ105" s="74" t="s">
        <v>1282</v>
      </c>
      <c r="FK105" s="73">
        <f t="shared" ca="1" si="886"/>
        <v>0</v>
      </c>
      <c r="FL105" s="64"/>
      <c r="FM105" s="74" t="s">
        <v>1282</v>
      </c>
      <c r="FN105" s="73">
        <f t="shared" ca="1" si="886"/>
        <v>0</v>
      </c>
      <c r="FO105" s="64"/>
      <c r="FP105" s="74" t="s">
        <v>1553</v>
      </c>
      <c r="FQ105" s="73">
        <f t="shared" ca="1" si="886"/>
        <v>10</v>
      </c>
      <c r="FR105" s="64"/>
      <c r="FS105" s="74" t="s">
        <v>1282</v>
      </c>
      <c r="FT105" s="73">
        <f t="shared" ca="1" si="886"/>
        <v>0</v>
      </c>
      <c r="FU105" s="64"/>
      <c r="FV105" s="74" t="s">
        <v>1553</v>
      </c>
      <c r="FW105" s="73">
        <f t="shared" ca="1" si="886"/>
        <v>10</v>
      </c>
      <c r="FX105" s="64"/>
      <c r="FY105" s="74" t="s">
        <v>1282</v>
      </c>
      <c r="FZ105" s="73">
        <f t="shared" ca="1" si="886"/>
        <v>0</v>
      </c>
      <c r="GA105" s="64"/>
      <c r="GB105" s="74" t="s">
        <v>1553</v>
      </c>
      <c r="GC105" s="73">
        <f t="shared" ca="1" si="886"/>
        <v>10</v>
      </c>
      <c r="GD105" s="64"/>
      <c r="GE105" s="74" t="s">
        <v>1553</v>
      </c>
      <c r="GF105" s="73">
        <f t="shared" ca="1" si="886"/>
        <v>10</v>
      </c>
      <c r="GG105" s="64"/>
      <c r="GH105" s="74" t="s">
        <v>1553</v>
      </c>
      <c r="GI105" s="73">
        <f t="shared" ca="1" si="886"/>
        <v>10</v>
      </c>
      <c r="GJ105" s="64"/>
      <c r="GK105" s="74" t="s">
        <v>1553</v>
      </c>
      <c r="GL105" s="73">
        <f t="shared" ca="1" si="886"/>
        <v>10</v>
      </c>
      <c r="GM105" s="64"/>
      <c r="GN105" s="74"/>
      <c r="GO105" s="73">
        <f t="shared" ca="1" si="886"/>
        <v>0</v>
      </c>
      <c r="GP105" s="64"/>
      <c r="GQ105" s="74"/>
      <c r="GR105" s="73">
        <f t="shared" ca="1" si="886"/>
        <v>0</v>
      </c>
      <c r="GS105" s="64"/>
      <c r="GT105" s="74"/>
      <c r="GU105" s="73">
        <f t="shared" ca="1" si="886"/>
        <v>0</v>
      </c>
      <c r="GV105" s="64"/>
      <c r="GW105" s="74"/>
      <c r="GX105" s="73">
        <f t="shared" ca="1" si="886"/>
        <v>0</v>
      </c>
      <c r="GY105" s="64"/>
      <c r="GZ105" s="74"/>
      <c r="HA105" s="73">
        <f t="shared" ca="1" si="886"/>
        <v>0</v>
      </c>
      <c r="HB105" s="64"/>
      <c r="HC105" s="74"/>
      <c r="HD105" s="73">
        <f t="shared" ca="1" si="886"/>
        <v>0</v>
      </c>
      <c r="HE105" s="64"/>
      <c r="HF105" s="74"/>
      <c r="HG105" s="73">
        <f t="shared" ca="1" si="886"/>
        <v>0</v>
      </c>
      <c r="HH105" s="64"/>
      <c r="HI105" s="74"/>
      <c r="HJ105" s="73">
        <f t="shared" ca="1" si="886"/>
        <v>0</v>
      </c>
      <c r="HK105" s="64"/>
      <c r="HL105" s="74"/>
      <c r="HM105" s="73">
        <f t="shared" ref="HM105:JX105" ca="1" si="887">($M105=HL105)*$D$12</f>
        <v>0</v>
      </c>
      <c r="HN105" s="64"/>
      <c r="HO105" s="74"/>
      <c r="HP105" s="73">
        <f t="shared" ca="1" si="887"/>
        <v>0</v>
      </c>
      <c r="HQ105" s="64"/>
      <c r="HR105" s="74"/>
      <c r="HS105" s="73">
        <f t="shared" ca="1" si="887"/>
        <v>0</v>
      </c>
      <c r="HT105" s="64"/>
      <c r="HU105" s="74"/>
      <c r="HV105" s="73">
        <f t="shared" ca="1" si="887"/>
        <v>0</v>
      </c>
      <c r="HW105" s="64"/>
      <c r="HX105" s="74"/>
      <c r="HY105" s="73">
        <f t="shared" ca="1" si="887"/>
        <v>0</v>
      </c>
      <c r="HZ105" s="64"/>
      <c r="IA105" s="74"/>
      <c r="IB105" s="73">
        <f t="shared" ca="1" si="887"/>
        <v>0</v>
      </c>
      <c r="IC105" s="64"/>
      <c r="ID105" s="74"/>
      <c r="IE105" s="73">
        <f t="shared" ca="1" si="887"/>
        <v>0</v>
      </c>
      <c r="IF105" s="64"/>
      <c r="IG105" s="74"/>
      <c r="IH105" s="73">
        <f t="shared" ca="1" si="887"/>
        <v>0</v>
      </c>
      <c r="II105" s="64"/>
      <c r="IJ105" s="74"/>
      <c r="IK105" s="73">
        <f t="shared" ca="1" si="887"/>
        <v>0</v>
      </c>
      <c r="IL105" s="64"/>
      <c r="IM105" s="74"/>
      <c r="IN105" s="73">
        <f t="shared" ca="1" si="887"/>
        <v>0</v>
      </c>
      <c r="IO105" s="64"/>
      <c r="IP105" s="74"/>
      <c r="IQ105" s="73">
        <f t="shared" ca="1" si="887"/>
        <v>0</v>
      </c>
      <c r="IR105" s="64"/>
      <c r="IS105" s="74"/>
      <c r="IT105" s="73">
        <f t="shared" ca="1" si="887"/>
        <v>0</v>
      </c>
      <c r="IU105" s="64"/>
      <c r="IV105" s="74"/>
      <c r="IW105" s="73">
        <f t="shared" ca="1" si="887"/>
        <v>0</v>
      </c>
      <c r="IX105" s="64"/>
      <c r="IY105" s="74"/>
      <c r="IZ105" s="73">
        <f t="shared" ca="1" si="887"/>
        <v>0</v>
      </c>
      <c r="JA105" s="64"/>
      <c r="JB105" s="74"/>
      <c r="JC105" s="73">
        <f t="shared" ca="1" si="887"/>
        <v>0</v>
      </c>
      <c r="JD105" s="64"/>
      <c r="JE105" s="74"/>
      <c r="JF105" s="73">
        <f t="shared" ca="1" si="887"/>
        <v>0</v>
      </c>
      <c r="JG105" s="64"/>
      <c r="JH105" s="74"/>
      <c r="JI105" s="73">
        <f t="shared" ca="1" si="887"/>
        <v>0</v>
      </c>
      <c r="JJ105" s="64"/>
      <c r="JK105" s="74"/>
      <c r="JL105" s="73">
        <f t="shared" ca="1" si="887"/>
        <v>0</v>
      </c>
      <c r="JM105" s="64"/>
      <c r="JN105" s="74"/>
      <c r="JO105" s="73">
        <f t="shared" ca="1" si="887"/>
        <v>0</v>
      </c>
      <c r="JP105" s="64"/>
      <c r="JQ105" s="74"/>
      <c r="JR105" s="73">
        <f t="shared" ca="1" si="887"/>
        <v>0</v>
      </c>
      <c r="JS105" s="64"/>
      <c r="JT105" s="74"/>
      <c r="JU105" s="73">
        <f t="shared" ca="1" si="887"/>
        <v>0</v>
      </c>
      <c r="JV105" s="64"/>
      <c r="JW105" s="74"/>
      <c r="JX105" s="73">
        <f t="shared" ca="1" si="887"/>
        <v>0</v>
      </c>
      <c r="JY105" s="64"/>
      <c r="JZ105" s="74"/>
      <c r="KA105" s="73">
        <f t="shared" ref="KA105:LE105" ca="1" si="888">($M105=JZ105)*$D$12</f>
        <v>0</v>
      </c>
      <c r="KB105" s="64"/>
      <c r="KC105" s="74"/>
      <c r="KD105" s="73">
        <f t="shared" ca="1" si="888"/>
        <v>0</v>
      </c>
      <c r="KE105" s="64"/>
      <c r="KF105" s="74"/>
      <c r="KG105" s="73">
        <f t="shared" ca="1" si="888"/>
        <v>0</v>
      </c>
      <c r="KH105" s="64"/>
      <c r="KI105" s="74"/>
      <c r="KJ105" s="73">
        <f t="shared" ca="1" si="888"/>
        <v>0</v>
      </c>
      <c r="KK105" s="64"/>
      <c r="KL105" s="74"/>
      <c r="KM105" s="73">
        <f t="shared" ca="1" si="888"/>
        <v>0</v>
      </c>
      <c r="KN105" s="64"/>
      <c r="KO105" s="74"/>
      <c r="KP105" s="73">
        <f t="shared" ca="1" si="888"/>
        <v>0</v>
      </c>
      <c r="KQ105" s="64"/>
      <c r="KR105" s="74"/>
      <c r="KS105" s="73">
        <f t="shared" ca="1" si="888"/>
        <v>0</v>
      </c>
      <c r="KT105" s="64"/>
      <c r="KU105" s="74"/>
      <c r="KV105" s="73">
        <f t="shared" ca="1" si="888"/>
        <v>0</v>
      </c>
      <c r="KW105" s="64"/>
      <c r="KX105" s="74"/>
      <c r="KY105" s="73">
        <f t="shared" ca="1" si="888"/>
        <v>0</v>
      </c>
      <c r="KZ105" s="64"/>
      <c r="LA105" s="74"/>
      <c r="LB105" s="73">
        <f t="shared" ca="1" si="888"/>
        <v>0</v>
      </c>
      <c r="LC105" s="64"/>
      <c r="LD105" s="74"/>
      <c r="LE105" s="73">
        <f t="shared" ca="1" si="888"/>
        <v>0</v>
      </c>
      <c r="LF105" s="64"/>
      <c r="LG105" s="64"/>
    </row>
    <row r="106" spans="1:319">
      <c r="A106" s="49"/>
      <c r="B106" s="49"/>
      <c r="C106" s="49"/>
      <c r="D106" s="49"/>
      <c r="E106" s="111"/>
      <c r="F106" s="127">
        <f t="shared" ref="F106" si="889">$D$13</f>
        <v>5</v>
      </c>
      <c r="G106" s="445">
        <f ca="1">VLOOKUP(H106,Equipos!$Q$1:$R$25,2,0)</f>
        <v>17</v>
      </c>
      <c r="H106" s="446">
        <f ca="1">$H$66</f>
        <v>46200</v>
      </c>
      <c r="I106" s="50"/>
      <c r="J106" s="848"/>
      <c r="K106" s="56" t="str">
        <f>Idiomas!D176</f>
        <v>3rd GROUP G</v>
      </c>
      <c r="L106" s="53"/>
      <c r="M106" s="55" t="str">
        <f ca="1">IF(OR(SUM(WORLDCUP!$AN$54:$AN$57)=12,WORLDCUP!$AJ$99=144),WORLDCUP!AL56,LEFT(K106,1)&amp;RIGHT(K106,1))</f>
        <v>Iran</v>
      </c>
      <c r="N106" s="25"/>
      <c r="O106" s="25"/>
      <c r="P106" s="25"/>
      <c r="Q106" s="25"/>
      <c r="R106" s="110"/>
      <c r="S106" s="74" t="s">
        <v>1553</v>
      </c>
      <c r="T106" s="73">
        <f t="shared" ref="T106" ca="1" si="890">($M106=S106)*$D$13</f>
        <v>0</v>
      </c>
      <c r="U106" s="64"/>
      <c r="V106" s="74" t="s">
        <v>1553</v>
      </c>
      <c r="W106" s="73">
        <f t="shared" ref="W106:CH106" ca="1" si="891">($M106=V106)*$D$13</f>
        <v>0</v>
      </c>
      <c r="X106" s="64"/>
      <c r="Y106" s="74" t="s">
        <v>1282</v>
      </c>
      <c r="Z106" s="73">
        <f t="shared" ca="1" si="891"/>
        <v>5</v>
      </c>
      <c r="AA106" s="64"/>
      <c r="AB106" s="74" t="s">
        <v>1282</v>
      </c>
      <c r="AC106" s="73">
        <f t="shared" ca="1" si="891"/>
        <v>5</v>
      </c>
      <c r="AD106" s="64"/>
      <c r="AE106" s="74" t="s">
        <v>1282</v>
      </c>
      <c r="AF106" s="73">
        <f t="shared" ca="1" si="891"/>
        <v>5</v>
      </c>
      <c r="AG106" s="64"/>
      <c r="AH106" s="74" t="s">
        <v>1290</v>
      </c>
      <c r="AI106" s="73">
        <f t="shared" ca="1" si="891"/>
        <v>0</v>
      </c>
      <c r="AJ106" s="64"/>
      <c r="AK106" s="74" t="s">
        <v>1290</v>
      </c>
      <c r="AL106" s="73">
        <f t="shared" ca="1" si="891"/>
        <v>0</v>
      </c>
      <c r="AM106" s="64"/>
      <c r="AN106" s="74" t="s">
        <v>1553</v>
      </c>
      <c r="AO106" s="73">
        <f t="shared" ca="1" si="891"/>
        <v>0</v>
      </c>
      <c r="AP106" s="64"/>
      <c r="AQ106" s="74" t="s">
        <v>1290</v>
      </c>
      <c r="AR106" s="73">
        <f t="shared" ca="1" si="891"/>
        <v>0</v>
      </c>
      <c r="AS106" s="64"/>
      <c r="AT106" s="74" t="s">
        <v>1553</v>
      </c>
      <c r="AU106" s="73">
        <f t="shared" ca="1" si="891"/>
        <v>0</v>
      </c>
      <c r="AV106" s="64"/>
      <c r="AW106" s="74" t="s">
        <v>1553</v>
      </c>
      <c r="AX106" s="73">
        <f t="shared" ca="1" si="891"/>
        <v>0</v>
      </c>
      <c r="AY106" s="64"/>
      <c r="AZ106" s="74" t="s">
        <v>1282</v>
      </c>
      <c r="BA106" s="73">
        <f t="shared" ca="1" si="891"/>
        <v>5</v>
      </c>
      <c r="BB106" s="64"/>
      <c r="BC106" s="74" t="s">
        <v>1290</v>
      </c>
      <c r="BD106" s="73">
        <f t="shared" ca="1" si="891"/>
        <v>0</v>
      </c>
      <c r="BE106" s="64"/>
      <c r="BF106" s="74" t="s">
        <v>1290</v>
      </c>
      <c r="BG106" s="73">
        <f t="shared" ca="1" si="891"/>
        <v>0</v>
      </c>
      <c r="BH106" s="64"/>
      <c r="BI106" s="74" t="s">
        <v>1282</v>
      </c>
      <c r="BJ106" s="73">
        <f t="shared" ca="1" si="891"/>
        <v>5</v>
      </c>
      <c r="BK106" s="64"/>
      <c r="BL106" s="74" t="s">
        <v>1282</v>
      </c>
      <c r="BM106" s="73">
        <f t="shared" ca="1" si="891"/>
        <v>5</v>
      </c>
      <c r="BN106" s="64"/>
      <c r="BO106" s="74" t="s">
        <v>1290</v>
      </c>
      <c r="BP106" s="73">
        <f t="shared" ca="1" si="891"/>
        <v>0</v>
      </c>
      <c r="BQ106" s="64"/>
      <c r="BR106" s="74" t="s">
        <v>1290</v>
      </c>
      <c r="BS106" s="73">
        <f t="shared" ca="1" si="891"/>
        <v>0</v>
      </c>
      <c r="BT106" s="64"/>
      <c r="BU106" s="74" t="s">
        <v>1553</v>
      </c>
      <c r="BV106" s="73">
        <f t="shared" ca="1" si="891"/>
        <v>0</v>
      </c>
      <c r="BW106" s="64"/>
      <c r="BX106" s="74" t="s">
        <v>1290</v>
      </c>
      <c r="BY106" s="73">
        <f t="shared" ca="1" si="891"/>
        <v>0</v>
      </c>
      <c r="BZ106" s="64"/>
      <c r="CA106" s="74" t="s">
        <v>1553</v>
      </c>
      <c r="CB106" s="73">
        <f t="shared" ca="1" si="891"/>
        <v>0</v>
      </c>
      <c r="CC106" s="64"/>
      <c r="CD106" s="74" t="s">
        <v>1282</v>
      </c>
      <c r="CE106" s="73">
        <f t="shared" ca="1" si="891"/>
        <v>5</v>
      </c>
      <c r="CF106" s="64"/>
      <c r="CG106" s="74" t="s">
        <v>1553</v>
      </c>
      <c r="CH106" s="73">
        <f t="shared" ca="1" si="891"/>
        <v>0</v>
      </c>
      <c r="CI106" s="64"/>
      <c r="CJ106" s="74" t="s">
        <v>1282</v>
      </c>
      <c r="CK106" s="73">
        <f t="shared" ref="CK106:EV106" ca="1" si="892">($M106=CJ106)*$D$13</f>
        <v>5</v>
      </c>
      <c r="CL106" s="64"/>
      <c r="CM106" s="74" t="s">
        <v>1282</v>
      </c>
      <c r="CN106" s="73">
        <f t="shared" ca="1" si="892"/>
        <v>5</v>
      </c>
      <c r="CO106" s="64"/>
      <c r="CP106" s="74" t="s">
        <v>1553</v>
      </c>
      <c r="CQ106" s="73">
        <f t="shared" ca="1" si="892"/>
        <v>0</v>
      </c>
      <c r="CR106" s="64"/>
      <c r="CS106" s="74" t="s">
        <v>1290</v>
      </c>
      <c r="CT106" s="73">
        <f t="shared" ca="1" si="892"/>
        <v>0</v>
      </c>
      <c r="CU106" s="64"/>
      <c r="CV106" s="74" t="s">
        <v>1290</v>
      </c>
      <c r="CW106" s="73">
        <f t="shared" ca="1" si="892"/>
        <v>0</v>
      </c>
      <c r="CX106" s="64"/>
      <c r="CY106" s="74" t="s">
        <v>1553</v>
      </c>
      <c r="CZ106" s="73">
        <f t="shared" ca="1" si="892"/>
        <v>0</v>
      </c>
      <c r="DA106" s="64"/>
      <c r="DB106" s="74" t="s">
        <v>1290</v>
      </c>
      <c r="DC106" s="73">
        <f t="shared" ca="1" si="892"/>
        <v>0</v>
      </c>
      <c r="DD106" s="64"/>
      <c r="DE106" s="74" t="s">
        <v>1282</v>
      </c>
      <c r="DF106" s="73">
        <f t="shared" ca="1" si="892"/>
        <v>5</v>
      </c>
      <c r="DG106" s="64"/>
      <c r="DH106" s="74" t="s">
        <v>1553</v>
      </c>
      <c r="DI106" s="73">
        <f t="shared" ca="1" si="892"/>
        <v>0</v>
      </c>
      <c r="DJ106" s="64"/>
      <c r="DK106" s="74" t="s">
        <v>1282</v>
      </c>
      <c r="DL106" s="73">
        <f t="shared" ca="1" si="892"/>
        <v>5</v>
      </c>
      <c r="DM106" s="64"/>
      <c r="DN106" s="74" t="s">
        <v>1553</v>
      </c>
      <c r="DO106" s="73">
        <f t="shared" ca="1" si="892"/>
        <v>0</v>
      </c>
      <c r="DP106" s="64"/>
      <c r="DQ106" s="74" t="s">
        <v>1282</v>
      </c>
      <c r="DR106" s="73">
        <f t="shared" ca="1" si="892"/>
        <v>5</v>
      </c>
      <c r="DS106" s="64"/>
      <c r="DT106" s="74" t="s">
        <v>1553</v>
      </c>
      <c r="DU106" s="73">
        <f t="shared" ca="1" si="892"/>
        <v>0</v>
      </c>
      <c r="DV106" s="64"/>
      <c r="DW106" s="74" t="s">
        <v>1282</v>
      </c>
      <c r="DX106" s="73">
        <f t="shared" ca="1" si="892"/>
        <v>5</v>
      </c>
      <c r="DY106" s="64"/>
      <c r="DZ106" s="74" t="s">
        <v>1553</v>
      </c>
      <c r="EA106" s="73">
        <f t="shared" ca="1" si="892"/>
        <v>0</v>
      </c>
      <c r="EB106" s="64"/>
      <c r="EC106" s="74" t="s">
        <v>1282</v>
      </c>
      <c r="ED106" s="73">
        <f t="shared" ca="1" si="892"/>
        <v>5</v>
      </c>
      <c r="EE106" s="64"/>
      <c r="EF106" s="74" t="s">
        <v>1282</v>
      </c>
      <c r="EG106" s="73">
        <f t="shared" ca="1" si="892"/>
        <v>5</v>
      </c>
      <c r="EH106" s="64"/>
      <c r="EI106" s="74" t="s">
        <v>1282</v>
      </c>
      <c r="EJ106" s="73">
        <f t="shared" ca="1" si="892"/>
        <v>5</v>
      </c>
      <c r="EK106" s="64"/>
      <c r="EL106" s="74" t="s">
        <v>1282</v>
      </c>
      <c r="EM106" s="73">
        <f t="shared" ca="1" si="892"/>
        <v>5</v>
      </c>
      <c r="EN106" s="64"/>
      <c r="EO106" s="74" t="s">
        <v>1282</v>
      </c>
      <c r="EP106" s="73">
        <f t="shared" ca="1" si="892"/>
        <v>5</v>
      </c>
      <c r="EQ106" s="64"/>
      <c r="ER106" s="74" t="s">
        <v>1282</v>
      </c>
      <c r="ES106" s="73">
        <f t="shared" ca="1" si="892"/>
        <v>5</v>
      </c>
      <c r="ET106" s="64"/>
      <c r="EU106" s="74" t="s">
        <v>1282</v>
      </c>
      <c r="EV106" s="73">
        <f t="shared" ca="1" si="892"/>
        <v>5</v>
      </c>
      <c r="EW106" s="64"/>
      <c r="EX106" s="74" t="s">
        <v>1282</v>
      </c>
      <c r="EY106" s="73">
        <f t="shared" ref="EY106:HJ106" ca="1" si="893">($M106=EX106)*$D$13</f>
        <v>5</v>
      </c>
      <c r="EZ106" s="64"/>
      <c r="FA106" s="74" t="s">
        <v>1282</v>
      </c>
      <c r="FB106" s="73">
        <f t="shared" ca="1" si="893"/>
        <v>5</v>
      </c>
      <c r="FC106" s="64"/>
      <c r="FD106" s="74" t="s">
        <v>1282</v>
      </c>
      <c r="FE106" s="73">
        <f t="shared" ca="1" si="893"/>
        <v>5</v>
      </c>
      <c r="FF106" s="64"/>
      <c r="FG106" s="74" t="s">
        <v>1282</v>
      </c>
      <c r="FH106" s="73">
        <f t="shared" ca="1" si="893"/>
        <v>5</v>
      </c>
      <c r="FI106" s="64"/>
      <c r="FJ106" s="74" t="s">
        <v>1553</v>
      </c>
      <c r="FK106" s="73">
        <f t="shared" ca="1" si="893"/>
        <v>0</v>
      </c>
      <c r="FL106" s="64"/>
      <c r="FM106" s="74" t="s">
        <v>1553</v>
      </c>
      <c r="FN106" s="73">
        <f t="shared" ca="1" si="893"/>
        <v>0</v>
      </c>
      <c r="FO106" s="64"/>
      <c r="FP106" s="74" t="s">
        <v>1282</v>
      </c>
      <c r="FQ106" s="73">
        <f t="shared" ca="1" si="893"/>
        <v>5</v>
      </c>
      <c r="FR106" s="64"/>
      <c r="FS106" s="74" t="s">
        <v>1553</v>
      </c>
      <c r="FT106" s="73">
        <f t="shared" ca="1" si="893"/>
        <v>0</v>
      </c>
      <c r="FU106" s="64"/>
      <c r="FV106" s="74" t="s">
        <v>1290</v>
      </c>
      <c r="FW106" s="73">
        <f t="shared" ca="1" si="893"/>
        <v>0</v>
      </c>
      <c r="FX106" s="64"/>
      <c r="FY106" s="74" t="s">
        <v>1553</v>
      </c>
      <c r="FZ106" s="73">
        <f t="shared" ca="1" si="893"/>
        <v>0</v>
      </c>
      <c r="GA106" s="64"/>
      <c r="GB106" s="74" t="s">
        <v>1290</v>
      </c>
      <c r="GC106" s="73">
        <f t="shared" ca="1" si="893"/>
        <v>0</v>
      </c>
      <c r="GD106" s="64"/>
      <c r="GE106" s="74" t="s">
        <v>1290</v>
      </c>
      <c r="GF106" s="73">
        <f t="shared" ca="1" si="893"/>
        <v>0</v>
      </c>
      <c r="GG106" s="64"/>
      <c r="GH106" s="74" t="s">
        <v>1290</v>
      </c>
      <c r="GI106" s="73">
        <f t="shared" ca="1" si="893"/>
        <v>0</v>
      </c>
      <c r="GJ106" s="64"/>
      <c r="GK106" s="74" t="s">
        <v>1290</v>
      </c>
      <c r="GL106" s="73">
        <f t="shared" ca="1" si="893"/>
        <v>0</v>
      </c>
      <c r="GM106" s="64"/>
      <c r="GN106" s="74"/>
      <c r="GO106" s="73">
        <f t="shared" ca="1" si="893"/>
        <v>0</v>
      </c>
      <c r="GP106" s="64"/>
      <c r="GQ106" s="74"/>
      <c r="GR106" s="73">
        <f t="shared" ca="1" si="893"/>
        <v>0</v>
      </c>
      <c r="GS106" s="64"/>
      <c r="GT106" s="74"/>
      <c r="GU106" s="73">
        <f t="shared" ca="1" si="893"/>
        <v>0</v>
      </c>
      <c r="GV106" s="64"/>
      <c r="GW106" s="74"/>
      <c r="GX106" s="73">
        <f t="shared" ca="1" si="893"/>
        <v>0</v>
      </c>
      <c r="GY106" s="64"/>
      <c r="GZ106" s="74"/>
      <c r="HA106" s="73">
        <f t="shared" ca="1" si="893"/>
        <v>0</v>
      </c>
      <c r="HB106" s="64"/>
      <c r="HC106" s="74"/>
      <c r="HD106" s="73">
        <f t="shared" ca="1" si="893"/>
        <v>0</v>
      </c>
      <c r="HE106" s="64"/>
      <c r="HF106" s="74"/>
      <c r="HG106" s="73">
        <f t="shared" ca="1" si="893"/>
        <v>0</v>
      </c>
      <c r="HH106" s="64"/>
      <c r="HI106" s="74"/>
      <c r="HJ106" s="73">
        <f t="shared" ca="1" si="893"/>
        <v>0</v>
      </c>
      <c r="HK106" s="64"/>
      <c r="HL106" s="74"/>
      <c r="HM106" s="73">
        <f t="shared" ref="HM106:JX106" ca="1" si="894">($M106=HL106)*$D$13</f>
        <v>0</v>
      </c>
      <c r="HN106" s="64"/>
      <c r="HO106" s="74"/>
      <c r="HP106" s="73">
        <f t="shared" ca="1" si="894"/>
        <v>0</v>
      </c>
      <c r="HQ106" s="64"/>
      <c r="HR106" s="74"/>
      <c r="HS106" s="73">
        <f t="shared" ca="1" si="894"/>
        <v>0</v>
      </c>
      <c r="HT106" s="64"/>
      <c r="HU106" s="74"/>
      <c r="HV106" s="73">
        <f t="shared" ca="1" si="894"/>
        <v>0</v>
      </c>
      <c r="HW106" s="64"/>
      <c r="HX106" s="74"/>
      <c r="HY106" s="73">
        <f t="shared" ca="1" si="894"/>
        <v>0</v>
      </c>
      <c r="HZ106" s="64"/>
      <c r="IA106" s="74"/>
      <c r="IB106" s="73">
        <f t="shared" ca="1" si="894"/>
        <v>0</v>
      </c>
      <c r="IC106" s="64"/>
      <c r="ID106" s="74"/>
      <c r="IE106" s="73">
        <f t="shared" ca="1" si="894"/>
        <v>0</v>
      </c>
      <c r="IF106" s="64"/>
      <c r="IG106" s="74"/>
      <c r="IH106" s="73">
        <f t="shared" ca="1" si="894"/>
        <v>0</v>
      </c>
      <c r="II106" s="64"/>
      <c r="IJ106" s="74"/>
      <c r="IK106" s="73">
        <f t="shared" ca="1" si="894"/>
        <v>0</v>
      </c>
      <c r="IL106" s="64"/>
      <c r="IM106" s="74"/>
      <c r="IN106" s="73">
        <f t="shared" ca="1" si="894"/>
        <v>0</v>
      </c>
      <c r="IO106" s="64"/>
      <c r="IP106" s="74"/>
      <c r="IQ106" s="73">
        <f t="shared" ca="1" si="894"/>
        <v>0</v>
      </c>
      <c r="IR106" s="64"/>
      <c r="IS106" s="74"/>
      <c r="IT106" s="73">
        <f t="shared" ca="1" si="894"/>
        <v>0</v>
      </c>
      <c r="IU106" s="64"/>
      <c r="IV106" s="74"/>
      <c r="IW106" s="73">
        <f t="shared" ca="1" si="894"/>
        <v>0</v>
      </c>
      <c r="IX106" s="64"/>
      <c r="IY106" s="74"/>
      <c r="IZ106" s="73">
        <f t="shared" ca="1" si="894"/>
        <v>0</v>
      </c>
      <c r="JA106" s="64"/>
      <c r="JB106" s="74"/>
      <c r="JC106" s="73">
        <f t="shared" ca="1" si="894"/>
        <v>0</v>
      </c>
      <c r="JD106" s="64"/>
      <c r="JE106" s="74"/>
      <c r="JF106" s="73">
        <f t="shared" ca="1" si="894"/>
        <v>0</v>
      </c>
      <c r="JG106" s="64"/>
      <c r="JH106" s="74"/>
      <c r="JI106" s="73">
        <f t="shared" ca="1" si="894"/>
        <v>0</v>
      </c>
      <c r="JJ106" s="64"/>
      <c r="JK106" s="74"/>
      <c r="JL106" s="73">
        <f t="shared" ca="1" si="894"/>
        <v>0</v>
      </c>
      <c r="JM106" s="64"/>
      <c r="JN106" s="74"/>
      <c r="JO106" s="73">
        <f t="shared" ca="1" si="894"/>
        <v>0</v>
      </c>
      <c r="JP106" s="64"/>
      <c r="JQ106" s="74"/>
      <c r="JR106" s="73">
        <f t="shared" ca="1" si="894"/>
        <v>0</v>
      </c>
      <c r="JS106" s="64"/>
      <c r="JT106" s="74"/>
      <c r="JU106" s="73">
        <f t="shared" ca="1" si="894"/>
        <v>0</v>
      </c>
      <c r="JV106" s="64"/>
      <c r="JW106" s="74"/>
      <c r="JX106" s="73">
        <f t="shared" ca="1" si="894"/>
        <v>0</v>
      </c>
      <c r="JY106" s="64"/>
      <c r="JZ106" s="74"/>
      <c r="KA106" s="73">
        <f t="shared" ref="KA106:LE106" ca="1" si="895">($M106=JZ106)*$D$13</f>
        <v>0</v>
      </c>
      <c r="KB106" s="64"/>
      <c r="KC106" s="74"/>
      <c r="KD106" s="73">
        <f t="shared" ca="1" si="895"/>
        <v>0</v>
      </c>
      <c r="KE106" s="64"/>
      <c r="KF106" s="74"/>
      <c r="KG106" s="73">
        <f t="shared" ca="1" si="895"/>
        <v>0</v>
      </c>
      <c r="KH106" s="64"/>
      <c r="KI106" s="74"/>
      <c r="KJ106" s="73">
        <f t="shared" ca="1" si="895"/>
        <v>0</v>
      </c>
      <c r="KK106" s="64"/>
      <c r="KL106" s="74"/>
      <c r="KM106" s="73">
        <f t="shared" ca="1" si="895"/>
        <v>0</v>
      </c>
      <c r="KN106" s="64"/>
      <c r="KO106" s="74"/>
      <c r="KP106" s="73">
        <f t="shared" ca="1" si="895"/>
        <v>0</v>
      </c>
      <c r="KQ106" s="64"/>
      <c r="KR106" s="74"/>
      <c r="KS106" s="73">
        <f t="shared" ca="1" si="895"/>
        <v>0</v>
      </c>
      <c r="KT106" s="64"/>
      <c r="KU106" s="74"/>
      <c r="KV106" s="73">
        <f t="shared" ca="1" si="895"/>
        <v>0</v>
      </c>
      <c r="KW106" s="64"/>
      <c r="KX106" s="74"/>
      <c r="KY106" s="73">
        <f t="shared" ca="1" si="895"/>
        <v>0</v>
      </c>
      <c r="KZ106" s="64"/>
      <c r="LA106" s="74"/>
      <c r="LB106" s="73">
        <f t="shared" ca="1" si="895"/>
        <v>0</v>
      </c>
      <c r="LC106" s="64"/>
      <c r="LD106" s="74"/>
      <c r="LE106" s="73">
        <f t="shared" ca="1" si="895"/>
        <v>0</v>
      </c>
      <c r="LF106" s="64"/>
      <c r="LG106" s="64"/>
    </row>
    <row r="107" spans="1:319">
      <c r="A107" s="49"/>
      <c r="B107" s="49"/>
      <c r="C107" s="49"/>
      <c r="D107" s="49"/>
      <c r="E107" s="111"/>
      <c r="F107" s="127">
        <f t="shared" ref="F107" si="896">$D$14</f>
        <v>3</v>
      </c>
      <c r="G107" s="445">
        <f ca="1">VLOOKUP(H107,Equipos!$Q$1:$R$25,2,0)</f>
        <v>17</v>
      </c>
      <c r="H107" s="446">
        <f ca="1">$H$66</f>
        <v>46200</v>
      </c>
      <c r="I107" s="50"/>
      <c r="J107" s="848"/>
      <c r="K107" s="56" t="str">
        <f>Idiomas!D177</f>
        <v>4th GROUP G</v>
      </c>
      <c r="L107" s="53"/>
      <c r="M107" s="55" t="str">
        <f ca="1">IF(OR(SUM(WORLDCUP!$AN$54:$AN$57)=12,WORLDCUP!$AJ$99=144),WORLDCUP!AL57,LEFT(K107,1)&amp;RIGHT(K107,1))</f>
        <v>New Zealand</v>
      </c>
      <c r="N107" s="25"/>
      <c r="O107" s="25"/>
      <c r="P107" s="25"/>
      <c r="Q107" s="25"/>
      <c r="R107" s="110"/>
      <c r="S107" s="74" t="s">
        <v>1282</v>
      </c>
      <c r="T107" s="73">
        <f t="shared" ref="T107" ca="1" si="897">($M107=S107)*$D$14</f>
        <v>0</v>
      </c>
      <c r="U107" s="64"/>
      <c r="V107" s="74" t="s">
        <v>1282</v>
      </c>
      <c r="W107" s="73">
        <f t="shared" ref="W107:CH107" ca="1" si="898">($M107=V107)*$D$14</f>
        <v>0</v>
      </c>
      <c r="X107" s="64"/>
      <c r="Y107" s="74" t="s">
        <v>1290</v>
      </c>
      <c r="Z107" s="73">
        <f t="shared" ca="1" si="898"/>
        <v>3</v>
      </c>
      <c r="AA107" s="64"/>
      <c r="AB107" s="74" t="s">
        <v>1290</v>
      </c>
      <c r="AC107" s="73">
        <f t="shared" ca="1" si="898"/>
        <v>3</v>
      </c>
      <c r="AD107" s="64"/>
      <c r="AE107" s="74" t="s">
        <v>1290</v>
      </c>
      <c r="AF107" s="73">
        <f t="shared" ca="1" si="898"/>
        <v>3</v>
      </c>
      <c r="AG107" s="64"/>
      <c r="AH107" s="74" t="s">
        <v>1282</v>
      </c>
      <c r="AI107" s="73">
        <f t="shared" ca="1" si="898"/>
        <v>0</v>
      </c>
      <c r="AJ107" s="64"/>
      <c r="AK107" s="74" t="s">
        <v>1553</v>
      </c>
      <c r="AL107" s="73">
        <f t="shared" ca="1" si="898"/>
        <v>0</v>
      </c>
      <c r="AM107" s="64"/>
      <c r="AN107" s="74" t="s">
        <v>1290</v>
      </c>
      <c r="AO107" s="73">
        <f t="shared" ca="1" si="898"/>
        <v>3</v>
      </c>
      <c r="AP107" s="64"/>
      <c r="AQ107" s="74" t="s">
        <v>1282</v>
      </c>
      <c r="AR107" s="73">
        <f t="shared" ca="1" si="898"/>
        <v>0</v>
      </c>
      <c r="AS107" s="64"/>
      <c r="AT107" s="74" t="s">
        <v>1282</v>
      </c>
      <c r="AU107" s="73">
        <f t="shared" ca="1" si="898"/>
        <v>0</v>
      </c>
      <c r="AV107" s="64"/>
      <c r="AW107" s="74" t="s">
        <v>1282</v>
      </c>
      <c r="AX107" s="73">
        <f t="shared" ca="1" si="898"/>
        <v>0</v>
      </c>
      <c r="AY107" s="64"/>
      <c r="AZ107" s="74" t="s">
        <v>1290</v>
      </c>
      <c r="BA107" s="73">
        <f t="shared" ca="1" si="898"/>
        <v>3</v>
      </c>
      <c r="BB107" s="64"/>
      <c r="BC107" s="74" t="s">
        <v>1282</v>
      </c>
      <c r="BD107" s="73">
        <f t="shared" ca="1" si="898"/>
        <v>0</v>
      </c>
      <c r="BE107" s="64"/>
      <c r="BF107" s="74" t="s">
        <v>1553</v>
      </c>
      <c r="BG107" s="73">
        <f t="shared" ca="1" si="898"/>
        <v>0</v>
      </c>
      <c r="BH107" s="64"/>
      <c r="BI107" s="74" t="s">
        <v>1290</v>
      </c>
      <c r="BJ107" s="73">
        <f t="shared" ca="1" si="898"/>
        <v>3</v>
      </c>
      <c r="BK107" s="64"/>
      <c r="BL107" s="74" t="s">
        <v>1290</v>
      </c>
      <c r="BM107" s="73">
        <f t="shared" ca="1" si="898"/>
        <v>3</v>
      </c>
      <c r="BN107" s="64"/>
      <c r="BO107" s="74" t="s">
        <v>1282</v>
      </c>
      <c r="BP107" s="73">
        <f t="shared" ca="1" si="898"/>
        <v>0</v>
      </c>
      <c r="BQ107" s="64"/>
      <c r="BR107" s="74" t="s">
        <v>1282</v>
      </c>
      <c r="BS107" s="73">
        <f t="shared" ca="1" si="898"/>
        <v>0</v>
      </c>
      <c r="BT107" s="64"/>
      <c r="BU107" s="74" t="s">
        <v>1290</v>
      </c>
      <c r="BV107" s="73">
        <f t="shared" ca="1" si="898"/>
        <v>3</v>
      </c>
      <c r="BW107" s="64"/>
      <c r="BX107" s="74" t="s">
        <v>1282</v>
      </c>
      <c r="BY107" s="73">
        <f t="shared" ca="1" si="898"/>
        <v>0</v>
      </c>
      <c r="BZ107" s="64"/>
      <c r="CA107" s="74" t="s">
        <v>1282</v>
      </c>
      <c r="CB107" s="73">
        <f t="shared" ca="1" si="898"/>
        <v>0</v>
      </c>
      <c r="CC107" s="64"/>
      <c r="CD107" s="74" t="s">
        <v>1290</v>
      </c>
      <c r="CE107" s="73">
        <f t="shared" ca="1" si="898"/>
        <v>3</v>
      </c>
      <c r="CF107" s="64"/>
      <c r="CG107" s="74" t="s">
        <v>1290</v>
      </c>
      <c r="CH107" s="73">
        <f t="shared" ca="1" si="898"/>
        <v>3</v>
      </c>
      <c r="CI107" s="64"/>
      <c r="CJ107" s="74" t="s">
        <v>1553</v>
      </c>
      <c r="CK107" s="73">
        <f t="shared" ref="CK107:EV107" ca="1" si="899">($M107=CJ107)*$D$14</f>
        <v>0</v>
      </c>
      <c r="CL107" s="64"/>
      <c r="CM107" s="74" t="s">
        <v>1290</v>
      </c>
      <c r="CN107" s="73">
        <f t="shared" ca="1" si="899"/>
        <v>3</v>
      </c>
      <c r="CO107" s="64"/>
      <c r="CP107" s="74" t="s">
        <v>1290</v>
      </c>
      <c r="CQ107" s="73">
        <f t="shared" ca="1" si="899"/>
        <v>3</v>
      </c>
      <c r="CR107" s="64"/>
      <c r="CS107" s="74" t="s">
        <v>1282</v>
      </c>
      <c r="CT107" s="73">
        <f t="shared" ca="1" si="899"/>
        <v>0</v>
      </c>
      <c r="CU107" s="64"/>
      <c r="CV107" s="74" t="s">
        <v>1282</v>
      </c>
      <c r="CW107" s="73">
        <f t="shared" ca="1" si="899"/>
        <v>0</v>
      </c>
      <c r="CX107" s="64"/>
      <c r="CY107" s="74" t="s">
        <v>1290</v>
      </c>
      <c r="CZ107" s="73">
        <f t="shared" ca="1" si="899"/>
        <v>3</v>
      </c>
      <c r="DA107" s="64"/>
      <c r="DB107" s="74" t="s">
        <v>1282</v>
      </c>
      <c r="DC107" s="73">
        <f t="shared" ca="1" si="899"/>
        <v>0</v>
      </c>
      <c r="DD107" s="64"/>
      <c r="DE107" s="74" t="s">
        <v>1290</v>
      </c>
      <c r="DF107" s="73">
        <f t="shared" ca="1" si="899"/>
        <v>3</v>
      </c>
      <c r="DG107" s="64"/>
      <c r="DH107" s="74" t="s">
        <v>1282</v>
      </c>
      <c r="DI107" s="73">
        <f t="shared" ca="1" si="899"/>
        <v>0</v>
      </c>
      <c r="DJ107" s="64"/>
      <c r="DK107" s="74" t="s">
        <v>1290</v>
      </c>
      <c r="DL107" s="73">
        <f t="shared" ca="1" si="899"/>
        <v>3</v>
      </c>
      <c r="DM107" s="64"/>
      <c r="DN107" s="74" t="s">
        <v>1290</v>
      </c>
      <c r="DO107" s="73">
        <f t="shared" ca="1" si="899"/>
        <v>3</v>
      </c>
      <c r="DP107" s="64"/>
      <c r="DQ107" s="74" t="s">
        <v>1290</v>
      </c>
      <c r="DR107" s="73">
        <f t="shared" ca="1" si="899"/>
        <v>3</v>
      </c>
      <c r="DS107" s="64"/>
      <c r="DT107" s="74" t="s">
        <v>1290</v>
      </c>
      <c r="DU107" s="73">
        <f t="shared" ca="1" si="899"/>
        <v>3</v>
      </c>
      <c r="DV107" s="64"/>
      <c r="DW107" s="74" t="s">
        <v>1290</v>
      </c>
      <c r="DX107" s="73">
        <f t="shared" ca="1" si="899"/>
        <v>3</v>
      </c>
      <c r="DY107" s="64"/>
      <c r="DZ107" s="74" t="s">
        <v>1290</v>
      </c>
      <c r="EA107" s="73">
        <f t="shared" ca="1" si="899"/>
        <v>3</v>
      </c>
      <c r="EB107" s="64"/>
      <c r="EC107" s="74" t="s">
        <v>1290</v>
      </c>
      <c r="ED107" s="73">
        <f t="shared" ca="1" si="899"/>
        <v>3</v>
      </c>
      <c r="EE107" s="64"/>
      <c r="EF107" s="74" t="s">
        <v>1290</v>
      </c>
      <c r="EG107" s="73">
        <f t="shared" ca="1" si="899"/>
        <v>3</v>
      </c>
      <c r="EH107" s="64"/>
      <c r="EI107" s="74" t="s">
        <v>1290</v>
      </c>
      <c r="EJ107" s="73">
        <f t="shared" ca="1" si="899"/>
        <v>3</v>
      </c>
      <c r="EK107" s="64"/>
      <c r="EL107" s="74" t="s">
        <v>1290</v>
      </c>
      <c r="EM107" s="73">
        <f t="shared" ca="1" si="899"/>
        <v>3</v>
      </c>
      <c r="EN107" s="64"/>
      <c r="EO107" s="74" t="s">
        <v>1290</v>
      </c>
      <c r="EP107" s="73">
        <f t="shared" ca="1" si="899"/>
        <v>3</v>
      </c>
      <c r="EQ107" s="64"/>
      <c r="ER107" s="74" t="s">
        <v>1290</v>
      </c>
      <c r="ES107" s="73">
        <f t="shared" ca="1" si="899"/>
        <v>3</v>
      </c>
      <c r="ET107" s="64"/>
      <c r="EU107" s="74" t="s">
        <v>1290</v>
      </c>
      <c r="EV107" s="73">
        <f t="shared" ca="1" si="899"/>
        <v>3</v>
      </c>
      <c r="EW107" s="64"/>
      <c r="EX107" s="74" t="s">
        <v>1290</v>
      </c>
      <c r="EY107" s="73">
        <f t="shared" ref="EY107:HJ107" ca="1" si="900">($M107=EX107)*$D$14</f>
        <v>3</v>
      </c>
      <c r="EZ107" s="64"/>
      <c r="FA107" s="74" t="s">
        <v>1290</v>
      </c>
      <c r="FB107" s="73">
        <f t="shared" ca="1" si="900"/>
        <v>3</v>
      </c>
      <c r="FC107" s="64"/>
      <c r="FD107" s="74" t="s">
        <v>1553</v>
      </c>
      <c r="FE107" s="73">
        <f t="shared" ca="1" si="900"/>
        <v>0</v>
      </c>
      <c r="FF107" s="64"/>
      <c r="FG107" s="74" t="s">
        <v>1290</v>
      </c>
      <c r="FH107" s="73">
        <f t="shared" ca="1" si="900"/>
        <v>3</v>
      </c>
      <c r="FI107" s="64"/>
      <c r="FJ107" s="74" t="s">
        <v>1290</v>
      </c>
      <c r="FK107" s="73">
        <f t="shared" ca="1" si="900"/>
        <v>3</v>
      </c>
      <c r="FL107" s="64"/>
      <c r="FM107" s="74" t="s">
        <v>1290</v>
      </c>
      <c r="FN107" s="73">
        <f t="shared" ca="1" si="900"/>
        <v>3</v>
      </c>
      <c r="FO107" s="64"/>
      <c r="FP107" s="74" t="s">
        <v>1290</v>
      </c>
      <c r="FQ107" s="73">
        <f t="shared" ca="1" si="900"/>
        <v>3</v>
      </c>
      <c r="FR107" s="64"/>
      <c r="FS107" s="74" t="s">
        <v>1290</v>
      </c>
      <c r="FT107" s="73">
        <f t="shared" ca="1" si="900"/>
        <v>3</v>
      </c>
      <c r="FU107" s="64"/>
      <c r="FV107" s="74" t="s">
        <v>1282</v>
      </c>
      <c r="FW107" s="73">
        <f t="shared" ca="1" si="900"/>
        <v>0</v>
      </c>
      <c r="FX107" s="64"/>
      <c r="FY107" s="74" t="s">
        <v>1290</v>
      </c>
      <c r="FZ107" s="73">
        <f t="shared" ca="1" si="900"/>
        <v>3</v>
      </c>
      <c r="GA107" s="64"/>
      <c r="GB107" s="74" t="s">
        <v>1282</v>
      </c>
      <c r="GC107" s="73">
        <f t="shared" ca="1" si="900"/>
        <v>0</v>
      </c>
      <c r="GD107" s="64"/>
      <c r="GE107" s="74" t="s">
        <v>1282</v>
      </c>
      <c r="GF107" s="73">
        <f t="shared" ca="1" si="900"/>
        <v>0</v>
      </c>
      <c r="GG107" s="64"/>
      <c r="GH107" s="74" t="s">
        <v>1282</v>
      </c>
      <c r="GI107" s="73">
        <f t="shared" ca="1" si="900"/>
        <v>0</v>
      </c>
      <c r="GJ107" s="64"/>
      <c r="GK107" s="74" t="s">
        <v>1282</v>
      </c>
      <c r="GL107" s="73">
        <f t="shared" ca="1" si="900"/>
        <v>0</v>
      </c>
      <c r="GM107" s="64"/>
      <c r="GN107" s="74"/>
      <c r="GO107" s="73">
        <f t="shared" ca="1" si="900"/>
        <v>0</v>
      </c>
      <c r="GP107" s="64"/>
      <c r="GQ107" s="74"/>
      <c r="GR107" s="73">
        <f t="shared" ca="1" si="900"/>
        <v>0</v>
      </c>
      <c r="GS107" s="64"/>
      <c r="GT107" s="74"/>
      <c r="GU107" s="73">
        <f t="shared" ca="1" si="900"/>
        <v>0</v>
      </c>
      <c r="GV107" s="64"/>
      <c r="GW107" s="74"/>
      <c r="GX107" s="73">
        <f t="shared" ca="1" si="900"/>
        <v>0</v>
      </c>
      <c r="GY107" s="64"/>
      <c r="GZ107" s="74"/>
      <c r="HA107" s="73">
        <f t="shared" ca="1" si="900"/>
        <v>0</v>
      </c>
      <c r="HB107" s="64"/>
      <c r="HC107" s="74"/>
      <c r="HD107" s="73">
        <f t="shared" ca="1" si="900"/>
        <v>0</v>
      </c>
      <c r="HE107" s="64"/>
      <c r="HF107" s="74"/>
      <c r="HG107" s="73">
        <f t="shared" ca="1" si="900"/>
        <v>0</v>
      </c>
      <c r="HH107" s="64"/>
      <c r="HI107" s="74"/>
      <c r="HJ107" s="73">
        <f t="shared" ca="1" si="900"/>
        <v>0</v>
      </c>
      <c r="HK107" s="64"/>
      <c r="HL107" s="74"/>
      <c r="HM107" s="73">
        <f t="shared" ref="HM107:JX107" ca="1" si="901">($M107=HL107)*$D$14</f>
        <v>0</v>
      </c>
      <c r="HN107" s="64"/>
      <c r="HO107" s="74"/>
      <c r="HP107" s="73">
        <f t="shared" ca="1" si="901"/>
        <v>0</v>
      </c>
      <c r="HQ107" s="64"/>
      <c r="HR107" s="74"/>
      <c r="HS107" s="73">
        <f t="shared" ca="1" si="901"/>
        <v>0</v>
      </c>
      <c r="HT107" s="64"/>
      <c r="HU107" s="74"/>
      <c r="HV107" s="73">
        <f t="shared" ca="1" si="901"/>
        <v>0</v>
      </c>
      <c r="HW107" s="64"/>
      <c r="HX107" s="74"/>
      <c r="HY107" s="73">
        <f t="shared" ca="1" si="901"/>
        <v>0</v>
      </c>
      <c r="HZ107" s="64"/>
      <c r="IA107" s="74"/>
      <c r="IB107" s="73">
        <f t="shared" ca="1" si="901"/>
        <v>0</v>
      </c>
      <c r="IC107" s="64"/>
      <c r="ID107" s="74"/>
      <c r="IE107" s="73">
        <f t="shared" ca="1" si="901"/>
        <v>0</v>
      </c>
      <c r="IF107" s="64"/>
      <c r="IG107" s="74"/>
      <c r="IH107" s="73">
        <f t="shared" ca="1" si="901"/>
        <v>0</v>
      </c>
      <c r="II107" s="64"/>
      <c r="IJ107" s="74"/>
      <c r="IK107" s="73">
        <f t="shared" ca="1" si="901"/>
        <v>0</v>
      </c>
      <c r="IL107" s="64"/>
      <c r="IM107" s="74"/>
      <c r="IN107" s="73">
        <f t="shared" ca="1" si="901"/>
        <v>0</v>
      </c>
      <c r="IO107" s="64"/>
      <c r="IP107" s="74"/>
      <c r="IQ107" s="73">
        <f t="shared" ca="1" si="901"/>
        <v>0</v>
      </c>
      <c r="IR107" s="64"/>
      <c r="IS107" s="74"/>
      <c r="IT107" s="73">
        <f t="shared" ca="1" si="901"/>
        <v>0</v>
      </c>
      <c r="IU107" s="64"/>
      <c r="IV107" s="74"/>
      <c r="IW107" s="73">
        <f t="shared" ca="1" si="901"/>
        <v>0</v>
      </c>
      <c r="IX107" s="64"/>
      <c r="IY107" s="74"/>
      <c r="IZ107" s="73">
        <f t="shared" ca="1" si="901"/>
        <v>0</v>
      </c>
      <c r="JA107" s="64"/>
      <c r="JB107" s="74"/>
      <c r="JC107" s="73">
        <f t="shared" ca="1" si="901"/>
        <v>0</v>
      </c>
      <c r="JD107" s="64"/>
      <c r="JE107" s="74"/>
      <c r="JF107" s="73">
        <f t="shared" ca="1" si="901"/>
        <v>0</v>
      </c>
      <c r="JG107" s="64"/>
      <c r="JH107" s="74"/>
      <c r="JI107" s="73">
        <f t="shared" ca="1" si="901"/>
        <v>0</v>
      </c>
      <c r="JJ107" s="64"/>
      <c r="JK107" s="74"/>
      <c r="JL107" s="73">
        <f t="shared" ca="1" si="901"/>
        <v>0</v>
      </c>
      <c r="JM107" s="64"/>
      <c r="JN107" s="74"/>
      <c r="JO107" s="73">
        <f t="shared" ca="1" si="901"/>
        <v>0</v>
      </c>
      <c r="JP107" s="64"/>
      <c r="JQ107" s="74"/>
      <c r="JR107" s="73">
        <f t="shared" ca="1" si="901"/>
        <v>0</v>
      </c>
      <c r="JS107" s="64"/>
      <c r="JT107" s="74"/>
      <c r="JU107" s="73">
        <f t="shared" ca="1" si="901"/>
        <v>0</v>
      </c>
      <c r="JV107" s="64"/>
      <c r="JW107" s="74"/>
      <c r="JX107" s="73">
        <f t="shared" ca="1" si="901"/>
        <v>0</v>
      </c>
      <c r="JY107" s="64"/>
      <c r="JZ107" s="74"/>
      <c r="KA107" s="73">
        <f t="shared" ref="KA107:LE107" ca="1" si="902">($M107=JZ107)*$D$14</f>
        <v>0</v>
      </c>
      <c r="KB107" s="64"/>
      <c r="KC107" s="74"/>
      <c r="KD107" s="73">
        <f t="shared" ca="1" si="902"/>
        <v>0</v>
      </c>
      <c r="KE107" s="64"/>
      <c r="KF107" s="74"/>
      <c r="KG107" s="73">
        <f t="shared" ca="1" si="902"/>
        <v>0</v>
      </c>
      <c r="KH107" s="64"/>
      <c r="KI107" s="74"/>
      <c r="KJ107" s="73">
        <f t="shared" ca="1" si="902"/>
        <v>0</v>
      </c>
      <c r="KK107" s="64"/>
      <c r="KL107" s="74"/>
      <c r="KM107" s="73">
        <f t="shared" ca="1" si="902"/>
        <v>0</v>
      </c>
      <c r="KN107" s="64"/>
      <c r="KO107" s="74"/>
      <c r="KP107" s="73">
        <f t="shared" ca="1" si="902"/>
        <v>0</v>
      </c>
      <c r="KQ107" s="64"/>
      <c r="KR107" s="74"/>
      <c r="KS107" s="73">
        <f t="shared" ca="1" si="902"/>
        <v>0</v>
      </c>
      <c r="KT107" s="64"/>
      <c r="KU107" s="74"/>
      <c r="KV107" s="73">
        <f t="shared" ca="1" si="902"/>
        <v>0</v>
      </c>
      <c r="KW107" s="64"/>
      <c r="KX107" s="74"/>
      <c r="KY107" s="73">
        <f t="shared" ca="1" si="902"/>
        <v>0</v>
      </c>
      <c r="KZ107" s="64"/>
      <c r="LA107" s="74"/>
      <c r="LB107" s="73">
        <f t="shared" ca="1" si="902"/>
        <v>0</v>
      </c>
      <c r="LC107" s="64"/>
      <c r="LD107" s="74"/>
      <c r="LE107" s="73">
        <f t="shared" ca="1" si="902"/>
        <v>0</v>
      </c>
      <c r="LF107" s="64"/>
      <c r="LG107" s="64"/>
    </row>
    <row r="108" spans="1:319">
      <c r="A108" s="49"/>
      <c r="B108" s="49"/>
      <c r="C108" s="49"/>
      <c r="D108" s="49"/>
      <c r="E108" s="111"/>
      <c r="F108" s="127">
        <f t="shared" ref="F108" si="903">$D$11</f>
        <v>20</v>
      </c>
      <c r="G108" s="445">
        <f ca="1">VLOOKUP(H108,Equipos!$Q$1:$R$25,2,0)</f>
        <v>17</v>
      </c>
      <c r="H108" s="446">
        <f ca="1">$H$68</f>
        <v>46200</v>
      </c>
      <c r="I108" s="50"/>
      <c r="J108" s="847" t="s">
        <v>437</v>
      </c>
      <c r="K108" s="56" t="str">
        <f>Idiomas!D178</f>
        <v>1st GROUP H</v>
      </c>
      <c r="L108" s="53"/>
      <c r="M108" s="55" t="str">
        <f ca="1">IF(OR(SUM(WORLDCUP!$AN$62:$AN$65)=12,WORLDCUP!$AJ$99=144),WORLDCUP!AL62,LEFT(K108,1)&amp;RIGHT(K108,1))</f>
        <v>Spain</v>
      </c>
      <c r="N108" s="25"/>
      <c r="O108" s="25"/>
      <c r="P108" s="25"/>
      <c r="Q108" s="25"/>
      <c r="R108" s="110"/>
      <c r="S108" s="74" t="s">
        <v>295</v>
      </c>
      <c r="T108" s="73">
        <f t="shared" ref="T108" ca="1" si="904">($M108=S108)*$D$11</f>
        <v>20</v>
      </c>
      <c r="U108" s="64"/>
      <c r="V108" s="74" t="s">
        <v>295</v>
      </c>
      <c r="W108" s="73">
        <f t="shared" ref="W108:CH108" ca="1" si="905">($M108=V108)*$D$11</f>
        <v>20</v>
      </c>
      <c r="X108" s="64"/>
      <c r="Y108" s="74" t="s">
        <v>295</v>
      </c>
      <c r="Z108" s="73">
        <f t="shared" ca="1" si="905"/>
        <v>20</v>
      </c>
      <c r="AA108" s="64"/>
      <c r="AB108" s="74" t="s">
        <v>295</v>
      </c>
      <c r="AC108" s="73">
        <f t="shared" ca="1" si="905"/>
        <v>20</v>
      </c>
      <c r="AD108" s="64"/>
      <c r="AE108" s="74" t="s">
        <v>295</v>
      </c>
      <c r="AF108" s="73">
        <f t="shared" ca="1" si="905"/>
        <v>20</v>
      </c>
      <c r="AG108" s="64"/>
      <c r="AH108" s="74" t="s">
        <v>295</v>
      </c>
      <c r="AI108" s="73">
        <f t="shared" ca="1" si="905"/>
        <v>20</v>
      </c>
      <c r="AJ108" s="64"/>
      <c r="AK108" s="74" t="s">
        <v>295</v>
      </c>
      <c r="AL108" s="73">
        <f t="shared" ca="1" si="905"/>
        <v>20</v>
      </c>
      <c r="AM108" s="64"/>
      <c r="AN108" s="74" t="s">
        <v>1318</v>
      </c>
      <c r="AO108" s="73">
        <f t="shared" ca="1" si="905"/>
        <v>0</v>
      </c>
      <c r="AP108" s="64"/>
      <c r="AQ108" s="74" t="s">
        <v>295</v>
      </c>
      <c r="AR108" s="73">
        <f t="shared" ca="1" si="905"/>
        <v>20</v>
      </c>
      <c r="AS108" s="64"/>
      <c r="AT108" s="74" t="s">
        <v>295</v>
      </c>
      <c r="AU108" s="73">
        <f t="shared" ca="1" si="905"/>
        <v>20</v>
      </c>
      <c r="AV108" s="64"/>
      <c r="AW108" s="74" t="s">
        <v>295</v>
      </c>
      <c r="AX108" s="73">
        <f t="shared" ca="1" si="905"/>
        <v>20</v>
      </c>
      <c r="AY108" s="64"/>
      <c r="AZ108" s="74" t="s">
        <v>295</v>
      </c>
      <c r="BA108" s="73">
        <f t="shared" ca="1" si="905"/>
        <v>20</v>
      </c>
      <c r="BB108" s="64"/>
      <c r="BC108" s="74" t="s">
        <v>295</v>
      </c>
      <c r="BD108" s="73">
        <f t="shared" ca="1" si="905"/>
        <v>20</v>
      </c>
      <c r="BE108" s="64"/>
      <c r="BF108" s="74" t="s">
        <v>295</v>
      </c>
      <c r="BG108" s="73">
        <f t="shared" ca="1" si="905"/>
        <v>20</v>
      </c>
      <c r="BH108" s="64"/>
      <c r="BI108" s="74" t="s">
        <v>295</v>
      </c>
      <c r="BJ108" s="73">
        <f t="shared" ca="1" si="905"/>
        <v>20</v>
      </c>
      <c r="BK108" s="64"/>
      <c r="BL108" s="74" t="s">
        <v>295</v>
      </c>
      <c r="BM108" s="73">
        <f t="shared" ca="1" si="905"/>
        <v>20</v>
      </c>
      <c r="BN108" s="64"/>
      <c r="BO108" s="74" t="s">
        <v>295</v>
      </c>
      <c r="BP108" s="73">
        <f t="shared" ca="1" si="905"/>
        <v>20</v>
      </c>
      <c r="BQ108" s="64"/>
      <c r="BR108" s="74" t="s">
        <v>295</v>
      </c>
      <c r="BS108" s="73">
        <f t="shared" ca="1" si="905"/>
        <v>20</v>
      </c>
      <c r="BT108" s="64"/>
      <c r="BU108" s="74" t="s">
        <v>295</v>
      </c>
      <c r="BV108" s="73">
        <f t="shared" ca="1" si="905"/>
        <v>20</v>
      </c>
      <c r="BW108" s="64"/>
      <c r="BX108" s="74" t="s">
        <v>295</v>
      </c>
      <c r="BY108" s="73">
        <f t="shared" ca="1" si="905"/>
        <v>20</v>
      </c>
      <c r="BZ108" s="64"/>
      <c r="CA108" s="74" t="s">
        <v>295</v>
      </c>
      <c r="CB108" s="73">
        <f t="shared" ca="1" si="905"/>
        <v>20</v>
      </c>
      <c r="CC108" s="64"/>
      <c r="CD108" s="74" t="s">
        <v>295</v>
      </c>
      <c r="CE108" s="73">
        <f t="shared" ca="1" si="905"/>
        <v>20</v>
      </c>
      <c r="CF108" s="64"/>
      <c r="CG108" s="74" t="s">
        <v>295</v>
      </c>
      <c r="CH108" s="73">
        <f t="shared" ca="1" si="905"/>
        <v>20</v>
      </c>
      <c r="CI108" s="64"/>
      <c r="CJ108" s="74" t="s">
        <v>295</v>
      </c>
      <c r="CK108" s="73">
        <f t="shared" ref="CK108:EV108" ca="1" si="906">($M108=CJ108)*$D$11</f>
        <v>20</v>
      </c>
      <c r="CL108" s="64"/>
      <c r="CM108" s="74" t="s">
        <v>295</v>
      </c>
      <c r="CN108" s="73">
        <f t="shared" ca="1" si="906"/>
        <v>20</v>
      </c>
      <c r="CO108" s="64"/>
      <c r="CP108" s="74" t="s">
        <v>295</v>
      </c>
      <c r="CQ108" s="73">
        <f t="shared" ca="1" si="906"/>
        <v>20</v>
      </c>
      <c r="CR108" s="64"/>
      <c r="CS108" s="74" t="s">
        <v>295</v>
      </c>
      <c r="CT108" s="73">
        <f t="shared" ca="1" si="906"/>
        <v>20</v>
      </c>
      <c r="CU108" s="64"/>
      <c r="CV108" s="74" t="s">
        <v>295</v>
      </c>
      <c r="CW108" s="73">
        <f t="shared" ca="1" si="906"/>
        <v>20</v>
      </c>
      <c r="CX108" s="64"/>
      <c r="CY108" s="74" t="s">
        <v>295</v>
      </c>
      <c r="CZ108" s="73">
        <f t="shared" ca="1" si="906"/>
        <v>20</v>
      </c>
      <c r="DA108" s="64"/>
      <c r="DB108" s="74" t="s">
        <v>295</v>
      </c>
      <c r="DC108" s="73">
        <f t="shared" ca="1" si="906"/>
        <v>20</v>
      </c>
      <c r="DD108" s="64"/>
      <c r="DE108" s="74" t="s">
        <v>295</v>
      </c>
      <c r="DF108" s="73">
        <f t="shared" ca="1" si="906"/>
        <v>20</v>
      </c>
      <c r="DG108" s="64"/>
      <c r="DH108" s="74" t="s">
        <v>295</v>
      </c>
      <c r="DI108" s="73">
        <f t="shared" ca="1" si="906"/>
        <v>20</v>
      </c>
      <c r="DJ108" s="64"/>
      <c r="DK108" s="74" t="s">
        <v>295</v>
      </c>
      <c r="DL108" s="73">
        <f t="shared" ca="1" si="906"/>
        <v>20</v>
      </c>
      <c r="DM108" s="64"/>
      <c r="DN108" s="74" t="s">
        <v>295</v>
      </c>
      <c r="DO108" s="73">
        <f t="shared" ca="1" si="906"/>
        <v>20</v>
      </c>
      <c r="DP108" s="64"/>
      <c r="DQ108" s="74" t="s">
        <v>295</v>
      </c>
      <c r="DR108" s="73">
        <f t="shared" ca="1" si="906"/>
        <v>20</v>
      </c>
      <c r="DS108" s="64"/>
      <c r="DT108" s="74" t="s">
        <v>295</v>
      </c>
      <c r="DU108" s="73">
        <f t="shared" ca="1" si="906"/>
        <v>20</v>
      </c>
      <c r="DV108" s="64"/>
      <c r="DW108" s="74" t="s">
        <v>295</v>
      </c>
      <c r="DX108" s="73">
        <f t="shared" ca="1" si="906"/>
        <v>20</v>
      </c>
      <c r="DY108" s="64"/>
      <c r="DZ108" s="74" t="s">
        <v>295</v>
      </c>
      <c r="EA108" s="73">
        <f t="shared" ca="1" si="906"/>
        <v>20</v>
      </c>
      <c r="EB108" s="64"/>
      <c r="EC108" s="74" t="s">
        <v>295</v>
      </c>
      <c r="ED108" s="73">
        <f t="shared" ca="1" si="906"/>
        <v>20</v>
      </c>
      <c r="EE108" s="64"/>
      <c r="EF108" s="74" t="s">
        <v>295</v>
      </c>
      <c r="EG108" s="73">
        <f t="shared" ca="1" si="906"/>
        <v>20</v>
      </c>
      <c r="EH108" s="64"/>
      <c r="EI108" s="74" t="s">
        <v>295</v>
      </c>
      <c r="EJ108" s="73">
        <f t="shared" ca="1" si="906"/>
        <v>20</v>
      </c>
      <c r="EK108" s="64"/>
      <c r="EL108" s="74" t="s">
        <v>295</v>
      </c>
      <c r="EM108" s="73">
        <f t="shared" ca="1" si="906"/>
        <v>20</v>
      </c>
      <c r="EN108" s="64"/>
      <c r="EO108" s="74" t="s">
        <v>295</v>
      </c>
      <c r="EP108" s="73">
        <f t="shared" ca="1" si="906"/>
        <v>20</v>
      </c>
      <c r="EQ108" s="64"/>
      <c r="ER108" s="74" t="s">
        <v>295</v>
      </c>
      <c r="ES108" s="73">
        <f t="shared" ca="1" si="906"/>
        <v>20</v>
      </c>
      <c r="ET108" s="64"/>
      <c r="EU108" s="74" t="s">
        <v>295</v>
      </c>
      <c r="EV108" s="73">
        <f t="shared" ca="1" si="906"/>
        <v>20</v>
      </c>
      <c r="EW108" s="64"/>
      <c r="EX108" s="74" t="s">
        <v>295</v>
      </c>
      <c r="EY108" s="73">
        <f t="shared" ref="EY108:HJ108" ca="1" si="907">($M108=EX108)*$D$11</f>
        <v>20</v>
      </c>
      <c r="EZ108" s="64"/>
      <c r="FA108" s="74" t="s">
        <v>295</v>
      </c>
      <c r="FB108" s="73">
        <f t="shared" ca="1" si="907"/>
        <v>20</v>
      </c>
      <c r="FC108" s="64"/>
      <c r="FD108" s="74" t="s">
        <v>295</v>
      </c>
      <c r="FE108" s="73">
        <f t="shared" ca="1" si="907"/>
        <v>20</v>
      </c>
      <c r="FF108" s="64"/>
      <c r="FG108" s="74" t="s">
        <v>295</v>
      </c>
      <c r="FH108" s="73">
        <f t="shared" ca="1" si="907"/>
        <v>20</v>
      </c>
      <c r="FI108" s="64"/>
      <c r="FJ108" s="74" t="s">
        <v>295</v>
      </c>
      <c r="FK108" s="73">
        <f t="shared" ca="1" si="907"/>
        <v>20</v>
      </c>
      <c r="FL108" s="64"/>
      <c r="FM108" s="74" t="s">
        <v>295</v>
      </c>
      <c r="FN108" s="73">
        <f t="shared" ca="1" si="907"/>
        <v>20</v>
      </c>
      <c r="FO108" s="64"/>
      <c r="FP108" s="74" t="s">
        <v>295</v>
      </c>
      <c r="FQ108" s="73">
        <f t="shared" ca="1" si="907"/>
        <v>20</v>
      </c>
      <c r="FR108" s="64"/>
      <c r="FS108" s="74" t="s">
        <v>295</v>
      </c>
      <c r="FT108" s="73">
        <f t="shared" ca="1" si="907"/>
        <v>20</v>
      </c>
      <c r="FU108" s="64"/>
      <c r="FV108" s="74" t="s">
        <v>295</v>
      </c>
      <c r="FW108" s="73">
        <f t="shared" ca="1" si="907"/>
        <v>20</v>
      </c>
      <c r="FX108" s="64"/>
      <c r="FY108" s="74" t="s">
        <v>295</v>
      </c>
      <c r="FZ108" s="73">
        <f t="shared" ca="1" si="907"/>
        <v>20</v>
      </c>
      <c r="GA108" s="64"/>
      <c r="GB108" s="74" t="s">
        <v>295</v>
      </c>
      <c r="GC108" s="73">
        <f t="shared" ca="1" si="907"/>
        <v>20</v>
      </c>
      <c r="GD108" s="64"/>
      <c r="GE108" s="74" t="s">
        <v>295</v>
      </c>
      <c r="GF108" s="73">
        <f t="shared" ca="1" si="907"/>
        <v>20</v>
      </c>
      <c r="GG108" s="64"/>
      <c r="GH108" s="74" t="s">
        <v>295</v>
      </c>
      <c r="GI108" s="73">
        <f t="shared" ca="1" si="907"/>
        <v>20</v>
      </c>
      <c r="GJ108" s="64"/>
      <c r="GK108" s="74" t="s">
        <v>295</v>
      </c>
      <c r="GL108" s="73">
        <f t="shared" ca="1" si="907"/>
        <v>20</v>
      </c>
      <c r="GM108" s="64"/>
      <c r="GN108" s="74"/>
      <c r="GO108" s="73">
        <f t="shared" ca="1" si="907"/>
        <v>0</v>
      </c>
      <c r="GP108" s="64"/>
      <c r="GQ108" s="74"/>
      <c r="GR108" s="73">
        <f t="shared" ca="1" si="907"/>
        <v>0</v>
      </c>
      <c r="GS108" s="64"/>
      <c r="GT108" s="74"/>
      <c r="GU108" s="73">
        <f t="shared" ca="1" si="907"/>
        <v>0</v>
      </c>
      <c r="GV108" s="64"/>
      <c r="GW108" s="74"/>
      <c r="GX108" s="73">
        <f t="shared" ca="1" si="907"/>
        <v>0</v>
      </c>
      <c r="GY108" s="64"/>
      <c r="GZ108" s="74"/>
      <c r="HA108" s="73">
        <f t="shared" ca="1" si="907"/>
        <v>0</v>
      </c>
      <c r="HB108" s="64"/>
      <c r="HC108" s="74"/>
      <c r="HD108" s="73">
        <f t="shared" ca="1" si="907"/>
        <v>0</v>
      </c>
      <c r="HE108" s="64"/>
      <c r="HF108" s="74"/>
      <c r="HG108" s="73">
        <f t="shared" ca="1" si="907"/>
        <v>0</v>
      </c>
      <c r="HH108" s="64"/>
      <c r="HI108" s="74"/>
      <c r="HJ108" s="73">
        <f t="shared" ca="1" si="907"/>
        <v>0</v>
      </c>
      <c r="HK108" s="64"/>
      <c r="HL108" s="74"/>
      <c r="HM108" s="73">
        <f t="shared" ref="HM108:JX108" ca="1" si="908">($M108=HL108)*$D$11</f>
        <v>0</v>
      </c>
      <c r="HN108" s="64"/>
      <c r="HO108" s="74"/>
      <c r="HP108" s="73">
        <f t="shared" ca="1" si="908"/>
        <v>0</v>
      </c>
      <c r="HQ108" s="64"/>
      <c r="HR108" s="74"/>
      <c r="HS108" s="73">
        <f t="shared" ca="1" si="908"/>
        <v>0</v>
      </c>
      <c r="HT108" s="64"/>
      <c r="HU108" s="74"/>
      <c r="HV108" s="73">
        <f t="shared" ca="1" si="908"/>
        <v>0</v>
      </c>
      <c r="HW108" s="64"/>
      <c r="HX108" s="74"/>
      <c r="HY108" s="73">
        <f t="shared" ca="1" si="908"/>
        <v>0</v>
      </c>
      <c r="HZ108" s="64"/>
      <c r="IA108" s="74"/>
      <c r="IB108" s="73">
        <f t="shared" ca="1" si="908"/>
        <v>0</v>
      </c>
      <c r="IC108" s="64"/>
      <c r="ID108" s="74"/>
      <c r="IE108" s="73">
        <f t="shared" ca="1" si="908"/>
        <v>0</v>
      </c>
      <c r="IF108" s="64"/>
      <c r="IG108" s="74"/>
      <c r="IH108" s="73">
        <f t="shared" ca="1" si="908"/>
        <v>0</v>
      </c>
      <c r="II108" s="64"/>
      <c r="IJ108" s="74"/>
      <c r="IK108" s="73">
        <f t="shared" ca="1" si="908"/>
        <v>0</v>
      </c>
      <c r="IL108" s="64"/>
      <c r="IM108" s="74"/>
      <c r="IN108" s="73">
        <f t="shared" ca="1" si="908"/>
        <v>0</v>
      </c>
      <c r="IO108" s="64"/>
      <c r="IP108" s="74"/>
      <c r="IQ108" s="73">
        <f t="shared" ca="1" si="908"/>
        <v>0</v>
      </c>
      <c r="IR108" s="64"/>
      <c r="IS108" s="74"/>
      <c r="IT108" s="73">
        <f t="shared" ca="1" si="908"/>
        <v>0</v>
      </c>
      <c r="IU108" s="64"/>
      <c r="IV108" s="74"/>
      <c r="IW108" s="73">
        <f t="shared" ca="1" si="908"/>
        <v>0</v>
      </c>
      <c r="IX108" s="64"/>
      <c r="IY108" s="74"/>
      <c r="IZ108" s="73">
        <f t="shared" ca="1" si="908"/>
        <v>0</v>
      </c>
      <c r="JA108" s="64"/>
      <c r="JB108" s="74"/>
      <c r="JC108" s="73">
        <f t="shared" ca="1" si="908"/>
        <v>0</v>
      </c>
      <c r="JD108" s="64"/>
      <c r="JE108" s="74"/>
      <c r="JF108" s="73">
        <f t="shared" ca="1" si="908"/>
        <v>0</v>
      </c>
      <c r="JG108" s="64"/>
      <c r="JH108" s="74"/>
      <c r="JI108" s="73">
        <f t="shared" ca="1" si="908"/>
        <v>0</v>
      </c>
      <c r="JJ108" s="64"/>
      <c r="JK108" s="74"/>
      <c r="JL108" s="73">
        <f t="shared" ca="1" si="908"/>
        <v>0</v>
      </c>
      <c r="JM108" s="64"/>
      <c r="JN108" s="74"/>
      <c r="JO108" s="73">
        <f t="shared" ca="1" si="908"/>
        <v>0</v>
      </c>
      <c r="JP108" s="64"/>
      <c r="JQ108" s="74"/>
      <c r="JR108" s="73">
        <f t="shared" ca="1" si="908"/>
        <v>0</v>
      </c>
      <c r="JS108" s="64"/>
      <c r="JT108" s="74"/>
      <c r="JU108" s="73">
        <f t="shared" ca="1" si="908"/>
        <v>0</v>
      </c>
      <c r="JV108" s="64"/>
      <c r="JW108" s="74"/>
      <c r="JX108" s="73">
        <f t="shared" ca="1" si="908"/>
        <v>0</v>
      </c>
      <c r="JY108" s="64"/>
      <c r="JZ108" s="74"/>
      <c r="KA108" s="73">
        <f t="shared" ref="KA108:LE108" ca="1" si="909">($M108=JZ108)*$D$11</f>
        <v>0</v>
      </c>
      <c r="KB108" s="64"/>
      <c r="KC108" s="74"/>
      <c r="KD108" s="73">
        <f t="shared" ca="1" si="909"/>
        <v>0</v>
      </c>
      <c r="KE108" s="64"/>
      <c r="KF108" s="74"/>
      <c r="KG108" s="73">
        <f t="shared" ca="1" si="909"/>
        <v>0</v>
      </c>
      <c r="KH108" s="64"/>
      <c r="KI108" s="74"/>
      <c r="KJ108" s="73">
        <f t="shared" ca="1" si="909"/>
        <v>0</v>
      </c>
      <c r="KK108" s="64"/>
      <c r="KL108" s="74"/>
      <c r="KM108" s="73">
        <f t="shared" ca="1" si="909"/>
        <v>0</v>
      </c>
      <c r="KN108" s="64"/>
      <c r="KO108" s="74"/>
      <c r="KP108" s="73">
        <f t="shared" ca="1" si="909"/>
        <v>0</v>
      </c>
      <c r="KQ108" s="64"/>
      <c r="KR108" s="74"/>
      <c r="KS108" s="73">
        <f t="shared" ca="1" si="909"/>
        <v>0</v>
      </c>
      <c r="KT108" s="64"/>
      <c r="KU108" s="74"/>
      <c r="KV108" s="73">
        <f t="shared" ca="1" si="909"/>
        <v>0</v>
      </c>
      <c r="KW108" s="64"/>
      <c r="KX108" s="74"/>
      <c r="KY108" s="73">
        <f t="shared" ca="1" si="909"/>
        <v>0</v>
      </c>
      <c r="KZ108" s="64"/>
      <c r="LA108" s="74"/>
      <c r="LB108" s="73">
        <f t="shared" ca="1" si="909"/>
        <v>0</v>
      </c>
      <c r="LC108" s="64"/>
      <c r="LD108" s="74"/>
      <c r="LE108" s="73">
        <f t="shared" ca="1" si="909"/>
        <v>0</v>
      </c>
      <c r="LF108" s="64"/>
      <c r="LG108" s="64"/>
    </row>
    <row r="109" spans="1:319">
      <c r="A109" s="49"/>
      <c r="B109" s="49"/>
      <c r="C109" s="49"/>
      <c r="D109" s="49"/>
      <c r="E109" s="111"/>
      <c r="F109" s="127">
        <f t="shared" ref="F109" si="910">$D$12</f>
        <v>10</v>
      </c>
      <c r="G109" s="445">
        <f ca="1">VLOOKUP(H109,Equipos!$Q$1:$R$25,2,0)</f>
        <v>17</v>
      </c>
      <c r="H109" s="446">
        <f ca="1">$H$68</f>
        <v>46200</v>
      </c>
      <c r="I109" s="50"/>
      <c r="J109" s="847"/>
      <c r="K109" s="56" t="str">
        <f>Idiomas!D179</f>
        <v>2nd GROUP H</v>
      </c>
      <c r="L109" s="53"/>
      <c r="M109" s="55" t="str">
        <f ca="1">IF(OR(SUM(WORLDCUP!$AN$62:$AN$65)=12,WORLDCUP!$AJ$99=144),WORLDCUP!AL63,LEFT(K109,1)&amp;RIGHT(K109,1))</f>
        <v>Cape Verde</v>
      </c>
      <c r="N109" s="25"/>
      <c r="O109" s="25"/>
      <c r="P109" s="25"/>
      <c r="Q109" s="25"/>
      <c r="R109" s="110"/>
      <c r="S109" s="74" t="s">
        <v>1639</v>
      </c>
      <c r="T109" s="73">
        <f t="shared" ref="T109" ca="1" si="911">($M109=S109)*$D$12</f>
        <v>0</v>
      </c>
      <c r="U109" s="64"/>
      <c r="V109" s="74" t="s">
        <v>1318</v>
      </c>
      <c r="W109" s="73">
        <f t="shared" ref="W109:CH109" ca="1" si="912">($M109=V109)*$D$12</f>
        <v>0</v>
      </c>
      <c r="X109" s="64"/>
      <c r="Y109" s="74" t="s">
        <v>1318</v>
      </c>
      <c r="Z109" s="73">
        <f t="shared" ca="1" si="912"/>
        <v>0</v>
      </c>
      <c r="AA109" s="64"/>
      <c r="AB109" s="74" t="s">
        <v>1318</v>
      </c>
      <c r="AC109" s="73">
        <f t="shared" ca="1" si="912"/>
        <v>0</v>
      </c>
      <c r="AD109" s="64"/>
      <c r="AE109" s="74" t="s">
        <v>1318</v>
      </c>
      <c r="AF109" s="73">
        <f t="shared" ca="1" si="912"/>
        <v>0</v>
      </c>
      <c r="AG109" s="64"/>
      <c r="AH109" s="74" t="s">
        <v>1318</v>
      </c>
      <c r="AI109" s="73">
        <f t="shared" ca="1" si="912"/>
        <v>0</v>
      </c>
      <c r="AJ109" s="64"/>
      <c r="AK109" s="74" t="s">
        <v>1318</v>
      </c>
      <c r="AL109" s="73">
        <f t="shared" ca="1" si="912"/>
        <v>0</v>
      </c>
      <c r="AM109" s="64"/>
      <c r="AN109" s="74" t="s">
        <v>295</v>
      </c>
      <c r="AO109" s="73">
        <f t="shared" ca="1" si="912"/>
        <v>0</v>
      </c>
      <c r="AP109" s="64"/>
      <c r="AQ109" s="74" t="s">
        <v>1318</v>
      </c>
      <c r="AR109" s="73">
        <f t="shared" ca="1" si="912"/>
        <v>0</v>
      </c>
      <c r="AS109" s="64"/>
      <c r="AT109" s="74" t="s">
        <v>1318</v>
      </c>
      <c r="AU109" s="73">
        <f t="shared" ca="1" si="912"/>
        <v>0</v>
      </c>
      <c r="AV109" s="64"/>
      <c r="AW109" s="74" t="s">
        <v>1318</v>
      </c>
      <c r="AX109" s="73">
        <f t="shared" ca="1" si="912"/>
        <v>0</v>
      </c>
      <c r="AY109" s="64"/>
      <c r="AZ109" s="74" t="s">
        <v>1318</v>
      </c>
      <c r="BA109" s="73">
        <f t="shared" ca="1" si="912"/>
        <v>0</v>
      </c>
      <c r="BB109" s="64"/>
      <c r="BC109" s="74" t="s">
        <v>1318</v>
      </c>
      <c r="BD109" s="73">
        <f t="shared" ca="1" si="912"/>
        <v>0</v>
      </c>
      <c r="BE109" s="64"/>
      <c r="BF109" s="74" t="s">
        <v>1318</v>
      </c>
      <c r="BG109" s="73">
        <f t="shared" ca="1" si="912"/>
        <v>0</v>
      </c>
      <c r="BH109" s="64"/>
      <c r="BI109" s="74" t="s">
        <v>1318</v>
      </c>
      <c r="BJ109" s="73">
        <f t="shared" ca="1" si="912"/>
        <v>0</v>
      </c>
      <c r="BK109" s="64"/>
      <c r="BL109" s="74" t="s">
        <v>1318</v>
      </c>
      <c r="BM109" s="73">
        <f t="shared" ca="1" si="912"/>
        <v>0</v>
      </c>
      <c r="BN109" s="64"/>
      <c r="BO109" s="74" t="s">
        <v>1318</v>
      </c>
      <c r="BP109" s="73">
        <f t="shared" ca="1" si="912"/>
        <v>0</v>
      </c>
      <c r="BQ109" s="64"/>
      <c r="BR109" s="74" t="s">
        <v>1318</v>
      </c>
      <c r="BS109" s="73">
        <f t="shared" ca="1" si="912"/>
        <v>0</v>
      </c>
      <c r="BT109" s="64"/>
      <c r="BU109" s="74" t="s">
        <v>1318</v>
      </c>
      <c r="BV109" s="73">
        <f t="shared" ca="1" si="912"/>
        <v>0</v>
      </c>
      <c r="BW109" s="64"/>
      <c r="BX109" s="74" t="s">
        <v>1318</v>
      </c>
      <c r="BY109" s="73">
        <f t="shared" ca="1" si="912"/>
        <v>0</v>
      </c>
      <c r="BZ109" s="64"/>
      <c r="CA109" s="74" t="s">
        <v>1318</v>
      </c>
      <c r="CB109" s="73">
        <f t="shared" ca="1" si="912"/>
        <v>0</v>
      </c>
      <c r="CC109" s="64"/>
      <c r="CD109" s="74" t="s">
        <v>1318</v>
      </c>
      <c r="CE109" s="73">
        <f t="shared" ca="1" si="912"/>
        <v>0</v>
      </c>
      <c r="CF109" s="64"/>
      <c r="CG109" s="74" t="s">
        <v>1318</v>
      </c>
      <c r="CH109" s="73">
        <f t="shared" ca="1" si="912"/>
        <v>0</v>
      </c>
      <c r="CI109" s="64"/>
      <c r="CJ109" s="74" t="s">
        <v>1318</v>
      </c>
      <c r="CK109" s="73">
        <f t="shared" ref="CK109:EV109" ca="1" si="913">($M109=CJ109)*$D$12</f>
        <v>0</v>
      </c>
      <c r="CL109" s="64"/>
      <c r="CM109" s="74" t="s">
        <v>1318</v>
      </c>
      <c r="CN109" s="73">
        <f t="shared" ca="1" si="913"/>
        <v>0</v>
      </c>
      <c r="CO109" s="64"/>
      <c r="CP109" s="74" t="s">
        <v>1318</v>
      </c>
      <c r="CQ109" s="73">
        <f t="shared" ca="1" si="913"/>
        <v>0</v>
      </c>
      <c r="CR109" s="64"/>
      <c r="CS109" s="74" t="s">
        <v>1318</v>
      </c>
      <c r="CT109" s="73">
        <f t="shared" ca="1" si="913"/>
        <v>0</v>
      </c>
      <c r="CU109" s="64"/>
      <c r="CV109" s="74" t="s">
        <v>1318</v>
      </c>
      <c r="CW109" s="73">
        <f t="shared" ca="1" si="913"/>
        <v>0</v>
      </c>
      <c r="CX109" s="64"/>
      <c r="CY109" s="74" t="s">
        <v>1318</v>
      </c>
      <c r="CZ109" s="73">
        <f t="shared" ca="1" si="913"/>
        <v>0</v>
      </c>
      <c r="DA109" s="64"/>
      <c r="DB109" s="74" t="s">
        <v>1318</v>
      </c>
      <c r="DC109" s="73">
        <f t="shared" ca="1" si="913"/>
        <v>0</v>
      </c>
      <c r="DD109" s="64"/>
      <c r="DE109" s="74" t="s">
        <v>1318</v>
      </c>
      <c r="DF109" s="73">
        <f t="shared" ca="1" si="913"/>
        <v>0</v>
      </c>
      <c r="DG109" s="64"/>
      <c r="DH109" s="74" t="s">
        <v>1318</v>
      </c>
      <c r="DI109" s="73">
        <f t="shared" ca="1" si="913"/>
        <v>0</v>
      </c>
      <c r="DJ109" s="64"/>
      <c r="DK109" s="74" t="s">
        <v>1318</v>
      </c>
      <c r="DL109" s="73">
        <f t="shared" ca="1" si="913"/>
        <v>0</v>
      </c>
      <c r="DM109" s="64"/>
      <c r="DN109" s="74" t="s">
        <v>1318</v>
      </c>
      <c r="DO109" s="73">
        <f t="shared" ca="1" si="913"/>
        <v>0</v>
      </c>
      <c r="DP109" s="64"/>
      <c r="DQ109" s="74" t="s">
        <v>1318</v>
      </c>
      <c r="DR109" s="73">
        <f t="shared" ca="1" si="913"/>
        <v>0</v>
      </c>
      <c r="DS109" s="64"/>
      <c r="DT109" s="74" t="s">
        <v>1318</v>
      </c>
      <c r="DU109" s="73">
        <f t="shared" ca="1" si="913"/>
        <v>0</v>
      </c>
      <c r="DV109" s="64"/>
      <c r="DW109" s="74" t="s">
        <v>1318</v>
      </c>
      <c r="DX109" s="73">
        <f t="shared" ca="1" si="913"/>
        <v>0</v>
      </c>
      <c r="DY109" s="64"/>
      <c r="DZ109" s="74" t="s">
        <v>1318</v>
      </c>
      <c r="EA109" s="73">
        <f t="shared" ca="1" si="913"/>
        <v>0</v>
      </c>
      <c r="EB109" s="64"/>
      <c r="EC109" s="74" t="s">
        <v>1318</v>
      </c>
      <c r="ED109" s="73">
        <f t="shared" ca="1" si="913"/>
        <v>0</v>
      </c>
      <c r="EE109" s="64"/>
      <c r="EF109" s="74" t="s">
        <v>1639</v>
      </c>
      <c r="EG109" s="73">
        <f t="shared" ca="1" si="913"/>
        <v>0</v>
      </c>
      <c r="EH109" s="64"/>
      <c r="EI109" s="74" t="s">
        <v>1318</v>
      </c>
      <c r="EJ109" s="73">
        <f t="shared" ca="1" si="913"/>
        <v>0</v>
      </c>
      <c r="EK109" s="64"/>
      <c r="EL109" s="74" t="s">
        <v>1318</v>
      </c>
      <c r="EM109" s="73">
        <f t="shared" ca="1" si="913"/>
        <v>0</v>
      </c>
      <c r="EN109" s="64"/>
      <c r="EO109" s="74" t="s">
        <v>1318</v>
      </c>
      <c r="EP109" s="73">
        <f t="shared" ca="1" si="913"/>
        <v>0</v>
      </c>
      <c r="EQ109" s="64"/>
      <c r="ER109" s="74" t="s">
        <v>1318</v>
      </c>
      <c r="ES109" s="73">
        <f t="shared" ca="1" si="913"/>
        <v>0</v>
      </c>
      <c r="ET109" s="64"/>
      <c r="EU109" s="74" t="s">
        <v>1318</v>
      </c>
      <c r="EV109" s="73">
        <f t="shared" ca="1" si="913"/>
        <v>0</v>
      </c>
      <c r="EW109" s="64"/>
      <c r="EX109" s="74" t="s">
        <v>1318</v>
      </c>
      <c r="EY109" s="73">
        <f t="shared" ref="EY109:HJ109" ca="1" si="914">($M109=EX109)*$D$12</f>
        <v>0</v>
      </c>
      <c r="EZ109" s="64"/>
      <c r="FA109" s="74" t="s">
        <v>1318</v>
      </c>
      <c r="FB109" s="73">
        <f t="shared" ca="1" si="914"/>
        <v>0</v>
      </c>
      <c r="FC109" s="64"/>
      <c r="FD109" s="74" t="s">
        <v>1556</v>
      </c>
      <c r="FE109" s="73">
        <f t="shared" ca="1" si="914"/>
        <v>10</v>
      </c>
      <c r="FF109" s="64"/>
      <c r="FG109" s="74" t="s">
        <v>1318</v>
      </c>
      <c r="FH109" s="73">
        <f t="shared" ca="1" si="914"/>
        <v>0</v>
      </c>
      <c r="FI109" s="64"/>
      <c r="FJ109" s="74" t="s">
        <v>1318</v>
      </c>
      <c r="FK109" s="73">
        <f t="shared" ca="1" si="914"/>
        <v>0</v>
      </c>
      <c r="FL109" s="64"/>
      <c r="FM109" s="74" t="s">
        <v>1318</v>
      </c>
      <c r="FN109" s="73">
        <f t="shared" ca="1" si="914"/>
        <v>0</v>
      </c>
      <c r="FO109" s="64"/>
      <c r="FP109" s="74" t="s">
        <v>1318</v>
      </c>
      <c r="FQ109" s="73">
        <f t="shared" ca="1" si="914"/>
        <v>0</v>
      </c>
      <c r="FR109" s="64"/>
      <c r="FS109" s="74" t="s">
        <v>1318</v>
      </c>
      <c r="FT109" s="73">
        <f t="shared" ca="1" si="914"/>
        <v>0</v>
      </c>
      <c r="FU109" s="64"/>
      <c r="FV109" s="74" t="s">
        <v>1318</v>
      </c>
      <c r="FW109" s="73">
        <f t="shared" ca="1" si="914"/>
        <v>0</v>
      </c>
      <c r="FX109" s="64"/>
      <c r="FY109" s="74" t="s">
        <v>1318</v>
      </c>
      <c r="FZ109" s="73">
        <f t="shared" ca="1" si="914"/>
        <v>0</v>
      </c>
      <c r="GA109" s="64"/>
      <c r="GB109" s="74" t="s">
        <v>1318</v>
      </c>
      <c r="GC109" s="73">
        <f t="shared" ca="1" si="914"/>
        <v>0</v>
      </c>
      <c r="GD109" s="64"/>
      <c r="GE109" s="74" t="s">
        <v>1318</v>
      </c>
      <c r="GF109" s="73">
        <f t="shared" ca="1" si="914"/>
        <v>0</v>
      </c>
      <c r="GG109" s="64"/>
      <c r="GH109" s="74" t="s">
        <v>1318</v>
      </c>
      <c r="GI109" s="73">
        <f t="shared" ca="1" si="914"/>
        <v>0</v>
      </c>
      <c r="GJ109" s="64"/>
      <c r="GK109" s="74" t="s">
        <v>1318</v>
      </c>
      <c r="GL109" s="73">
        <f t="shared" ca="1" si="914"/>
        <v>0</v>
      </c>
      <c r="GM109" s="64"/>
      <c r="GN109" s="74"/>
      <c r="GO109" s="73">
        <f t="shared" ca="1" si="914"/>
        <v>0</v>
      </c>
      <c r="GP109" s="64"/>
      <c r="GQ109" s="74"/>
      <c r="GR109" s="73">
        <f t="shared" ca="1" si="914"/>
        <v>0</v>
      </c>
      <c r="GS109" s="64"/>
      <c r="GT109" s="74"/>
      <c r="GU109" s="73">
        <f t="shared" ca="1" si="914"/>
        <v>0</v>
      </c>
      <c r="GV109" s="64"/>
      <c r="GW109" s="74"/>
      <c r="GX109" s="73">
        <f t="shared" ca="1" si="914"/>
        <v>0</v>
      </c>
      <c r="GY109" s="64"/>
      <c r="GZ109" s="74"/>
      <c r="HA109" s="73">
        <f t="shared" ca="1" si="914"/>
        <v>0</v>
      </c>
      <c r="HB109" s="64"/>
      <c r="HC109" s="74"/>
      <c r="HD109" s="73">
        <f t="shared" ca="1" si="914"/>
        <v>0</v>
      </c>
      <c r="HE109" s="64"/>
      <c r="HF109" s="74"/>
      <c r="HG109" s="73">
        <f t="shared" ca="1" si="914"/>
        <v>0</v>
      </c>
      <c r="HH109" s="64"/>
      <c r="HI109" s="74"/>
      <c r="HJ109" s="73">
        <f t="shared" ca="1" si="914"/>
        <v>0</v>
      </c>
      <c r="HK109" s="64"/>
      <c r="HL109" s="74"/>
      <c r="HM109" s="73">
        <f t="shared" ref="HM109:JX109" ca="1" si="915">($M109=HL109)*$D$12</f>
        <v>0</v>
      </c>
      <c r="HN109" s="64"/>
      <c r="HO109" s="74"/>
      <c r="HP109" s="73">
        <f t="shared" ca="1" si="915"/>
        <v>0</v>
      </c>
      <c r="HQ109" s="64"/>
      <c r="HR109" s="74"/>
      <c r="HS109" s="73">
        <f t="shared" ca="1" si="915"/>
        <v>0</v>
      </c>
      <c r="HT109" s="64"/>
      <c r="HU109" s="74"/>
      <c r="HV109" s="73">
        <f t="shared" ca="1" si="915"/>
        <v>0</v>
      </c>
      <c r="HW109" s="64"/>
      <c r="HX109" s="74"/>
      <c r="HY109" s="73">
        <f t="shared" ca="1" si="915"/>
        <v>0</v>
      </c>
      <c r="HZ109" s="64"/>
      <c r="IA109" s="74"/>
      <c r="IB109" s="73">
        <f t="shared" ca="1" si="915"/>
        <v>0</v>
      </c>
      <c r="IC109" s="64"/>
      <c r="ID109" s="74"/>
      <c r="IE109" s="73">
        <f t="shared" ca="1" si="915"/>
        <v>0</v>
      </c>
      <c r="IF109" s="64"/>
      <c r="IG109" s="74"/>
      <c r="IH109" s="73">
        <f t="shared" ca="1" si="915"/>
        <v>0</v>
      </c>
      <c r="II109" s="64"/>
      <c r="IJ109" s="74"/>
      <c r="IK109" s="73">
        <f t="shared" ca="1" si="915"/>
        <v>0</v>
      </c>
      <c r="IL109" s="64"/>
      <c r="IM109" s="74"/>
      <c r="IN109" s="73">
        <f t="shared" ca="1" si="915"/>
        <v>0</v>
      </c>
      <c r="IO109" s="64"/>
      <c r="IP109" s="74"/>
      <c r="IQ109" s="73">
        <f t="shared" ca="1" si="915"/>
        <v>0</v>
      </c>
      <c r="IR109" s="64"/>
      <c r="IS109" s="74"/>
      <c r="IT109" s="73">
        <f t="shared" ca="1" si="915"/>
        <v>0</v>
      </c>
      <c r="IU109" s="64"/>
      <c r="IV109" s="74"/>
      <c r="IW109" s="73">
        <f t="shared" ca="1" si="915"/>
        <v>0</v>
      </c>
      <c r="IX109" s="64"/>
      <c r="IY109" s="74"/>
      <c r="IZ109" s="73">
        <f t="shared" ca="1" si="915"/>
        <v>0</v>
      </c>
      <c r="JA109" s="64"/>
      <c r="JB109" s="74"/>
      <c r="JC109" s="73">
        <f t="shared" ca="1" si="915"/>
        <v>0</v>
      </c>
      <c r="JD109" s="64"/>
      <c r="JE109" s="74"/>
      <c r="JF109" s="73">
        <f t="shared" ca="1" si="915"/>
        <v>0</v>
      </c>
      <c r="JG109" s="64"/>
      <c r="JH109" s="74"/>
      <c r="JI109" s="73">
        <f t="shared" ca="1" si="915"/>
        <v>0</v>
      </c>
      <c r="JJ109" s="64"/>
      <c r="JK109" s="74"/>
      <c r="JL109" s="73">
        <f t="shared" ca="1" si="915"/>
        <v>0</v>
      </c>
      <c r="JM109" s="64"/>
      <c r="JN109" s="74"/>
      <c r="JO109" s="73">
        <f t="shared" ca="1" si="915"/>
        <v>0</v>
      </c>
      <c r="JP109" s="64"/>
      <c r="JQ109" s="74"/>
      <c r="JR109" s="73">
        <f t="shared" ca="1" si="915"/>
        <v>0</v>
      </c>
      <c r="JS109" s="64"/>
      <c r="JT109" s="74"/>
      <c r="JU109" s="73">
        <f t="shared" ca="1" si="915"/>
        <v>0</v>
      </c>
      <c r="JV109" s="64"/>
      <c r="JW109" s="74"/>
      <c r="JX109" s="73">
        <f t="shared" ca="1" si="915"/>
        <v>0</v>
      </c>
      <c r="JY109" s="64"/>
      <c r="JZ109" s="74"/>
      <c r="KA109" s="73">
        <f t="shared" ref="KA109:LE109" ca="1" si="916">($M109=JZ109)*$D$12</f>
        <v>0</v>
      </c>
      <c r="KB109" s="64"/>
      <c r="KC109" s="74"/>
      <c r="KD109" s="73">
        <f t="shared" ca="1" si="916"/>
        <v>0</v>
      </c>
      <c r="KE109" s="64"/>
      <c r="KF109" s="74"/>
      <c r="KG109" s="73">
        <f t="shared" ca="1" si="916"/>
        <v>0</v>
      </c>
      <c r="KH109" s="64"/>
      <c r="KI109" s="74"/>
      <c r="KJ109" s="73">
        <f t="shared" ca="1" si="916"/>
        <v>0</v>
      </c>
      <c r="KK109" s="64"/>
      <c r="KL109" s="74"/>
      <c r="KM109" s="73">
        <f t="shared" ca="1" si="916"/>
        <v>0</v>
      </c>
      <c r="KN109" s="64"/>
      <c r="KO109" s="74"/>
      <c r="KP109" s="73">
        <f t="shared" ca="1" si="916"/>
        <v>0</v>
      </c>
      <c r="KQ109" s="64"/>
      <c r="KR109" s="74"/>
      <c r="KS109" s="73">
        <f t="shared" ca="1" si="916"/>
        <v>0</v>
      </c>
      <c r="KT109" s="64"/>
      <c r="KU109" s="74"/>
      <c r="KV109" s="73">
        <f t="shared" ca="1" si="916"/>
        <v>0</v>
      </c>
      <c r="KW109" s="64"/>
      <c r="KX109" s="74"/>
      <c r="KY109" s="73">
        <f t="shared" ca="1" si="916"/>
        <v>0</v>
      </c>
      <c r="KZ109" s="64"/>
      <c r="LA109" s="74"/>
      <c r="LB109" s="73">
        <f t="shared" ca="1" si="916"/>
        <v>0</v>
      </c>
      <c r="LC109" s="64"/>
      <c r="LD109" s="74"/>
      <c r="LE109" s="73">
        <f t="shared" ca="1" si="916"/>
        <v>0</v>
      </c>
      <c r="LF109" s="64"/>
      <c r="LG109" s="64"/>
    </row>
    <row r="110" spans="1:319">
      <c r="A110" s="49"/>
      <c r="B110" s="49"/>
      <c r="C110" s="49"/>
      <c r="D110" s="49"/>
      <c r="E110" s="111"/>
      <c r="F110" s="127">
        <f t="shared" ref="F110" si="917">$D$13</f>
        <v>5</v>
      </c>
      <c r="G110" s="445">
        <f ca="1">VLOOKUP(H110,Equipos!$Q$1:$R$25,2,0)</f>
        <v>17</v>
      </c>
      <c r="H110" s="446">
        <f ca="1">$H$68</f>
        <v>46200</v>
      </c>
      <c r="I110" s="50"/>
      <c r="J110" s="847"/>
      <c r="K110" s="56" t="str">
        <f>Idiomas!D180</f>
        <v>3rd GROUP H</v>
      </c>
      <c r="L110" s="53"/>
      <c r="M110" s="55" t="str">
        <f ca="1">IF(OR(SUM(WORLDCUP!$AN$62:$AN$65)=12,WORLDCUP!$AJ$99=144),WORLDCUP!AL64,LEFT(K110,1)&amp;RIGHT(K110,1))</f>
        <v>Uruguay</v>
      </c>
      <c r="N110" s="25"/>
      <c r="O110" s="25"/>
      <c r="P110" s="25"/>
      <c r="Q110" s="25"/>
      <c r="R110" s="110"/>
      <c r="S110" s="74" t="s">
        <v>1318</v>
      </c>
      <c r="T110" s="73">
        <f t="shared" ref="T110" ca="1" si="918">($M110=S110)*$D$13</f>
        <v>5</v>
      </c>
      <c r="U110" s="64"/>
      <c r="V110" s="74" t="s">
        <v>1639</v>
      </c>
      <c r="W110" s="73">
        <f t="shared" ref="W110:CH110" ca="1" si="919">($M110=V110)*$D$13</f>
        <v>0</v>
      </c>
      <c r="X110" s="64"/>
      <c r="Y110" s="74" t="s">
        <v>1556</v>
      </c>
      <c r="Z110" s="73">
        <f t="shared" ca="1" si="919"/>
        <v>0</v>
      </c>
      <c r="AA110" s="64"/>
      <c r="AB110" s="74" t="s">
        <v>1639</v>
      </c>
      <c r="AC110" s="73">
        <f t="shared" ca="1" si="919"/>
        <v>0</v>
      </c>
      <c r="AD110" s="64"/>
      <c r="AE110" s="74" t="s">
        <v>1639</v>
      </c>
      <c r="AF110" s="73">
        <f t="shared" ca="1" si="919"/>
        <v>0</v>
      </c>
      <c r="AG110" s="64"/>
      <c r="AH110" s="74" t="s">
        <v>1639</v>
      </c>
      <c r="AI110" s="73">
        <f t="shared" ca="1" si="919"/>
        <v>0</v>
      </c>
      <c r="AJ110" s="64"/>
      <c r="AK110" s="74" t="s">
        <v>1639</v>
      </c>
      <c r="AL110" s="73">
        <f t="shared" ca="1" si="919"/>
        <v>0</v>
      </c>
      <c r="AM110" s="64"/>
      <c r="AN110" s="74" t="s">
        <v>1639</v>
      </c>
      <c r="AO110" s="73">
        <f t="shared" ca="1" si="919"/>
        <v>0</v>
      </c>
      <c r="AP110" s="64"/>
      <c r="AQ110" s="74" t="s">
        <v>1639</v>
      </c>
      <c r="AR110" s="73">
        <f t="shared" ca="1" si="919"/>
        <v>0</v>
      </c>
      <c r="AS110" s="64"/>
      <c r="AT110" s="74" t="s">
        <v>1639</v>
      </c>
      <c r="AU110" s="73">
        <f t="shared" ca="1" si="919"/>
        <v>0</v>
      </c>
      <c r="AV110" s="64"/>
      <c r="AW110" s="74" t="s">
        <v>1639</v>
      </c>
      <c r="AX110" s="73">
        <f t="shared" ca="1" si="919"/>
        <v>0</v>
      </c>
      <c r="AY110" s="64"/>
      <c r="AZ110" s="74" t="s">
        <v>1556</v>
      </c>
      <c r="BA110" s="73">
        <f t="shared" ca="1" si="919"/>
        <v>0</v>
      </c>
      <c r="BB110" s="64"/>
      <c r="BC110" s="74" t="s">
        <v>1639</v>
      </c>
      <c r="BD110" s="73">
        <f t="shared" ca="1" si="919"/>
        <v>0</v>
      </c>
      <c r="BE110" s="64"/>
      <c r="BF110" s="74" t="s">
        <v>1639</v>
      </c>
      <c r="BG110" s="73">
        <f t="shared" ca="1" si="919"/>
        <v>0</v>
      </c>
      <c r="BH110" s="64"/>
      <c r="BI110" s="74" t="s">
        <v>1556</v>
      </c>
      <c r="BJ110" s="73">
        <f t="shared" ca="1" si="919"/>
        <v>0</v>
      </c>
      <c r="BK110" s="64"/>
      <c r="BL110" s="74" t="s">
        <v>1639</v>
      </c>
      <c r="BM110" s="73">
        <f t="shared" ca="1" si="919"/>
        <v>0</v>
      </c>
      <c r="BN110" s="64"/>
      <c r="BO110" s="74" t="s">
        <v>1639</v>
      </c>
      <c r="BP110" s="73">
        <f t="shared" ca="1" si="919"/>
        <v>0</v>
      </c>
      <c r="BQ110" s="64"/>
      <c r="BR110" s="74" t="s">
        <v>1639</v>
      </c>
      <c r="BS110" s="73">
        <f t="shared" ca="1" si="919"/>
        <v>0</v>
      </c>
      <c r="BT110" s="64"/>
      <c r="BU110" s="74" t="s">
        <v>1639</v>
      </c>
      <c r="BV110" s="73">
        <f t="shared" ca="1" si="919"/>
        <v>0</v>
      </c>
      <c r="BW110" s="64"/>
      <c r="BX110" s="74" t="s">
        <v>1556</v>
      </c>
      <c r="BY110" s="73">
        <f t="shared" ca="1" si="919"/>
        <v>0</v>
      </c>
      <c r="BZ110" s="64"/>
      <c r="CA110" s="74" t="s">
        <v>1639</v>
      </c>
      <c r="CB110" s="73">
        <f t="shared" ca="1" si="919"/>
        <v>0</v>
      </c>
      <c r="CC110" s="64"/>
      <c r="CD110" s="74" t="s">
        <v>1639</v>
      </c>
      <c r="CE110" s="73">
        <f t="shared" ca="1" si="919"/>
        <v>0</v>
      </c>
      <c r="CF110" s="64"/>
      <c r="CG110" s="74" t="s">
        <v>1639</v>
      </c>
      <c r="CH110" s="73">
        <f t="shared" ca="1" si="919"/>
        <v>0</v>
      </c>
      <c r="CI110" s="64"/>
      <c r="CJ110" s="74" t="s">
        <v>1639</v>
      </c>
      <c r="CK110" s="73">
        <f t="shared" ref="CK110:EV110" ca="1" si="920">($M110=CJ110)*$D$13</f>
        <v>0</v>
      </c>
      <c r="CL110" s="64"/>
      <c r="CM110" s="74" t="s">
        <v>1639</v>
      </c>
      <c r="CN110" s="73">
        <f t="shared" ca="1" si="920"/>
        <v>0</v>
      </c>
      <c r="CO110" s="64"/>
      <c r="CP110" s="74" t="s">
        <v>1639</v>
      </c>
      <c r="CQ110" s="73">
        <f t="shared" ca="1" si="920"/>
        <v>0</v>
      </c>
      <c r="CR110" s="64"/>
      <c r="CS110" s="74" t="s">
        <v>1639</v>
      </c>
      <c r="CT110" s="73">
        <f t="shared" ca="1" si="920"/>
        <v>0</v>
      </c>
      <c r="CU110" s="64"/>
      <c r="CV110" s="74" t="s">
        <v>1556</v>
      </c>
      <c r="CW110" s="73">
        <f t="shared" ca="1" si="920"/>
        <v>0</v>
      </c>
      <c r="CX110" s="64"/>
      <c r="CY110" s="74" t="s">
        <v>1556</v>
      </c>
      <c r="CZ110" s="73">
        <f t="shared" ca="1" si="920"/>
        <v>0</v>
      </c>
      <c r="DA110" s="64"/>
      <c r="DB110" s="74" t="s">
        <v>1639</v>
      </c>
      <c r="DC110" s="73">
        <f t="shared" ca="1" si="920"/>
        <v>0</v>
      </c>
      <c r="DD110" s="64"/>
      <c r="DE110" s="74" t="s">
        <v>1639</v>
      </c>
      <c r="DF110" s="73">
        <f t="shared" ca="1" si="920"/>
        <v>0</v>
      </c>
      <c r="DG110" s="64"/>
      <c r="DH110" s="74" t="s">
        <v>1556</v>
      </c>
      <c r="DI110" s="73">
        <f t="shared" ca="1" si="920"/>
        <v>0</v>
      </c>
      <c r="DJ110" s="64"/>
      <c r="DK110" s="74" t="s">
        <v>1556</v>
      </c>
      <c r="DL110" s="73">
        <f t="shared" ca="1" si="920"/>
        <v>0</v>
      </c>
      <c r="DM110" s="64"/>
      <c r="DN110" s="74" t="s">
        <v>1639</v>
      </c>
      <c r="DO110" s="73">
        <f t="shared" ca="1" si="920"/>
        <v>0</v>
      </c>
      <c r="DP110" s="64"/>
      <c r="DQ110" s="74" t="s">
        <v>1639</v>
      </c>
      <c r="DR110" s="73">
        <f t="shared" ca="1" si="920"/>
        <v>0</v>
      </c>
      <c r="DS110" s="64"/>
      <c r="DT110" s="74" t="s">
        <v>1556</v>
      </c>
      <c r="DU110" s="73">
        <f t="shared" ca="1" si="920"/>
        <v>0</v>
      </c>
      <c r="DV110" s="64"/>
      <c r="DW110" s="74" t="s">
        <v>1556</v>
      </c>
      <c r="DX110" s="73">
        <f t="shared" ca="1" si="920"/>
        <v>0</v>
      </c>
      <c r="DY110" s="64"/>
      <c r="DZ110" s="74" t="s">
        <v>1556</v>
      </c>
      <c r="EA110" s="73">
        <f t="shared" ca="1" si="920"/>
        <v>0</v>
      </c>
      <c r="EB110" s="64"/>
      <c r="EC110" s="74" t="s">
        <v>1556</v>
      </c>
      <c r="ED110" s="73">
        <f t="shared" ca="1" si="920"/>
        <v>0</v>
      </c>
      <c r="EE110" s="64"/>
      <c r="EF110" s="74" t="s">
        <v>1318</v>
      </c>
      <c r="EG110" s="73">
        <f t="shared" ca="1" si="920"/>
        <v>5</v>
      </c>
      <c r="EH110" s="64"/>
      <c r="EI110" s="74" t="s">
        <v>1639</v>
      </c>
      <c r="EJ110" s="73">
        <f t="shared" ca="1" si="920"/>
        <v>0</v>
      </c>
      <c r="EK110" s="64"/>
      <c r="EL110" s="74" t="s">
        <v>1639</v>
      </c>
      <c r="EM110" s="73">
        <f t="shared" ca="1" si="920"/>
        <v>0</v>
      </c>
      <c r="EN110" s="64"/>
      <c r="EO110" s="74" t="s">
        <v>1556</v>
      </c>
      <c r="EP110" s="73">
        <f t="shared" ca="1" si="920"/>
        <v>0</v>
      </c>
      <c r="EQ110" s="64"/>
      <c r="ER110" s="74" t="s">
        <v>1639</v>
      </c>
      <c r="ES110" s="73">
        <f t="shared" ca="1" si="920"/>
        <v>0</v>
      </c>
      <c r="ET110" s="64"/>
      <c r="EU110" s="74" t="s">
        <v>1556</v>
      </c>
      <c r="EV110" s="73">
        <f t="shared" ca="1" si="920"/>
        <v>0</v>
      </c>
      <c r="EW110" s="64"/>
      <c r="EX110" s="74" t="s">
        <v>1639</v>
      </c>
      <c r="EY110" s="73">
        <f t="shared" ref="EY110:HJ110" ca="1" si="921">($M110=EX110)*$D$13</f>
        <v>0</v>
      </c>
      <c r="EZ110" s="64"/>
      <c r="FA110" s="74" t="s">
        <v>1556</v>
      </c>
      <c r="FB110" s="73">
        <f t="shared" ca="1" si="921"/>
        <v>0</v>
      </c>
      <c r="FC110" s="64"/>
      <c r="FD110" s="74" t="s">
        <v>1639</v>
      </c>
      <c r="FE110" s="73">
        <f t="shared" ca="1" si="921"/>
        <v>0</v>
      </c>
      <c r="FF110" s="64"/>
      <c r="FG110" s="74" t="s">
        <v>1639</v>
      </c>
      <c r="FH110" s="73">
        <f t="shared" ca="1" si="921"/>
        <v>0</v>
      </c>
      <c r="FI110" s="64"/>
      <c r="FJ110" s="74" t="s">
        <v>1639</v>
      </c>
      <c r="FK110" s="73">
        <f t="shared" ca="1" si="921"/>
        <v>0</v>
      </c>
      <c r="FL110" s="64"/>
      <c r="FM110" s="74" t="s">
        <v>1639</v>
      </c>
      <c r="FN110" s="73">
        <f t="shared" ca="1" si="921"/>
        <v>0</v>
      </c>
      <c r="FO110" s="64"/>
      <c r="FP110" s="74" t="s">
        <v>1639</v>
      </c>
      <c r="FQ110" s="73">
        <f t="shared" ca="1" si="921"/>
        <v>0</v>
      </c>
      <c r="FR110" s="64"/>
      <c r="FS110" s="74" t="s">
        <v>1639</v>
      </c>
      <c r="FT110" s="73">
        <f t="shared" ca="1" si="921"/>
        <v>0</v>
      </c>
      <c r="FU110" s="64"/>
      <c r="FV110" s="74" t="s">
        <v>1639</v>
      </c>
      <c r="FW110" s="73">
        <f t="shared" ca="1" si="921"/>
        <v>0</v>
      </c>
      <c r="FX110" s="64"/>
      <c r="FY110" s="74" t="s">
        <v>1639</v>
      </c>
      <c r="FZ110" s="73">
        <f t="shared" ca="1" si="921"/>
        <v>0</v>
      </c>
      <c r="GA110" s="64"/>
      <c r="GB110" s="74" t="s">
        <v>1639</v>
      </c>
      <c r="GC110" s="73">
        <f t="shared" ca="1" si="921"/>
        <v>0</v>
      </c>
      <c r="GD110" s="64"/>
      <c r="GE110" s="74" t="s">
        <v>1556</v>
      </c>
      <c r="GF110" s="73">
        <f t="shared" ca="1" si="921"/>
        <v>0</v>
      </c>
      <c r="GG110" s="64"/>
      <c r="GH110" s="74" t="s">
        <v>1639</v>
      </c>
      <c r="GI110" s="73">
        <f t="shared" ca="1" si="921"/>
        <v>0</v>
      </c>
      <c r="GJ110" s="64"/>
      <c r="GK110" s="74" t="s">
        <v>1639</v>
      </c>
      <c r="GL110" s="73">
        <f t="shared" ca="1" si="921"/>
        <v>0</v>
      </c>
      <c r="GM110" s="64"/>
      <c r="GN110" s="74"/>
      <c r="GO110" s="73">
        <f t="shared" ca="1" si="921"/>
        <v>0</v>
      </c>
      <c r="GP110" s="64"/>
      <c r="GQ110" s="74"/>
      <c r="GR110" s="73">
        <f t="shared" ca="1" si="921"/>
        <v>0</v>
      </c>
      <c r="GS110" s="64"/>
      <c r="GT110" s="74"/>
      <c r="GU110" s="73">
        <f t="shared" ca="1" si="921"/>
        <v>0</v>
      </c>
      <c r="GV110" s="64"/>
      <c r="GW110" s="74"/>
      <c r="GX110" s="73">
        <f t="shared" ca="1" si="921"/>
        <v>0</v>
      </c>
      <c r="GY110" s="64"/>
      <c r="GZ110" s="74"/>
      <c r="HA110" s="73">
        <f t="shared" ca="1" si="921"/>
        <v>0</v>
      </c>
      <c r="HB110" s="64"/>
      <c r="HC110" s="74"/>
      <c r="HD110" s="73">
        <f t="shared" ca="1" si="921"/>
        <v>0</v>
      </c>
      <c r="HE110" s="64"/>
      <c r="HF110" s="74"/>
      <c r="HG110" s="73">
        <f t="shared" ca="1" si="921"/>
        <v>0</v>
      </c>
      <c r="HH110" s="64"/>
      <c r="HI110" s="74"/>
      <c r="HJ110" s="73">
        <f t="shared" ca="1" si="921"/>
        <v>0</v>
      </c>
      <c r="HK110" s="64"/>
      <c r="HL110" s="74"/>
      <c r="HM110" s="73">
        <f t="shared" ref="HM110:JX110" ca="1" si="922">($M110=HL110)*$D$13</f>
        <v>0</v>
      </c>
      <c r="HN110" s="64"/>
      <c r="HO110" s="74"/>
      <c r="HP110" s="73">
        <f t="shared" ca="1" si="922"/>
        <v>0</v>
      </c>
      <c r="HQ110" s="64"/>
      <c r="HR110" s="74"/>
      <c r="HS110" s="73">
        <f t="shared" ca="1" si="922"/>
        <v>0</v>
      </c>
      <c r="HT110" s="64"/>
      <c r="HU110" s="74"/>
      <c r="HV110" s="73">
        <f t="shared" ca="1" si="922"/>
        <v>0</v>
      </c>
      <c r="HW110" s="64"/>
      <c r="HX110" s="74"/>
      <c r="HY110" s="73">
        <f t="shared" ca="1" si="922"/>
        <v>0</v>
      </c>
      <c r="HZ110" s="64"/>
      <c r="IA110" s="74"/>
      <c r="IB110" s="73">
        <f t="shared" ca="1" si="922"/>
        <v>0</v>
      </c>
      <c r="IC110" s="64"/>
      <c r="ID110" s="74"/>
      <c r="IE110" s="73">
        <f t="shared" ca="1" si="922"/>
        <v>0</v>
      </c>
      <c r="IF110" s="64"/>
      <c r="IG110" s="74"/>
      <c r="IH110" s="73">
        <f t="shared" ca="1" si="922"/>
        <v>0</v>
      </c>
      <c r="II110" s="64"/>
      <c r="IJ110" s="74"/>
      <c r="IK110" s="73">
        <f t="shared" ca="1" si="922"/>
        <v>0</v>
      </c>
      <c r="IL110" s="64"/>
      <c r="IM110" s="74"/>
      <c r="IN110" s="73">
        <f t="shared" ca="1" si="922"/>
        <v>0</v>
      </c>
      <c r="IO110" s="64"/>
      <c r="IP110" s="74"/>
      <c r="IQ110" s="73">
        <f t="shared" ca="1" si="922"/>
        <v>0</v>
      </c>
      <c r="IR110" s="64"/>
      <c r="IS110" s="74"/>
      <c r="IT110" s="73">
        <f t="shared" ca="1" si="922"/>
        <v>0</v>
      </c>
      <c r="IU110" s="64"/>
      <c r="IV110" s="74"/>
      <c r="IW110" s="73">
        <f t="shared" ca="1" si="922"/>
        <v>0</v>
      </c>
      <c r="IX110" s="64"/>
      <c r="IY110" s="74"/>
      <c r="IZ110" s="73">
        <f t="shared" ca="1" si="922"/>
        <v>0</v>
      </c>
      <c r="JA110" s="64"/>
      <c r="JB110" s="74"/>
      <c r="JC110" s="73">
        <f t="shared" ca="1" si="922"/>
        <v>0</v>
      </c>
      <c r="JD110" s="64"/>
      <c r="JE110" s="74"/>
      <c r="JF110" s="73">
        <f t="shared" ca="1" si="922"/>
        <v>0</v>
      </c>
      <c r="JG110" s="64"/>
      <c r="JH110" s="74"/>
      <c r="JI110" s="73">
        <f t="shared" ca="1" si="922"/>
        <v>0</v>
      </c>
      <c r="JJ110" s="64"/>
      <c r="JK110" s="74"/>
      <c r="JL110" s="73">
        <f t="shared" ca="1" si="922"/>
        <v>0</v>
      </c>
      <c r="JM110" s="64"/>
      <c r="JN110" s="74"/>
      <c r="JO110" s="73">
        <f t="shared" ca="1" si="922"/>
        <v>0</v>
      </c>
      <c r="JP110" s="64"/>
      <c r="JQ110" s="74"/>
      <c r="JR110" s="73">
        <f t="shared" ca="1" si="922"/>
        <v>0</v>
      </c>
      <c r="JS110" s="64"/>
      <c r="JT110" s="74"/>
      <c r="JU110" s="73">
        <f t="shared" ca="1" si="922"/>
        <v>0</v>
      </c>
      <c r="JV110" s="64"/>
      <c r="JW110" s="74"/>
      <c r="JX110" s="73">
        <f t="shared" ca="1" si="922"/>
        <v>0</v>
      </c>
      <c r="JY110" s="64"/>
      <c r="JZ110" s="74"/>
      <c r="KA110" s="73">
        <f t="shared" ref="KA110:LE110" ca="1" si="923">($M110=JZ110)*$D$13</f>
        <v>0</v>
      </c>
      <c r="KB110" s="64"/>
      <c r="KC110" s="74"/>
      <c r="KD110" s="73">
        <f t="shared" ca="1" si="923"/>
        <v>0</v>
      </c>
      <c r="KE110" s="64"/>
      <c r="KF110" s="74"/>
      <c r="KG110" s="73">
        <f t="shared" ca="1" si="923"/>
        <v>0</v>
      </c>
      <c r="KH110" s="64"/>
      <c r="KI110" s="74"/>
      <c r="KJ110" s="73">
        <f t="shared" ca="1" si="923"/>
        <v>0</v>
      </c>
      <c r="KK110" s="64"/>
      <c r="KL110" s="74"/>
      <c r="KM110" s="73">
        <f t="shared" ca="1" si="923"/>
        <v>0</v>
      </c>
      <c r="KN110" s="64"/>
      <c r="KO110" s="74"/>
      <c r="KP110" s="73">
        <f t="shared" ca="1" si="923"/>
        <v>0</v>
      </c>
      <c r="KQ110" s="64"/>
      <c r="KR110" s="74"/>
      <c r="KS110" s="73">
        <f t="shared" ca="1" si="923"/>
        <v>0</v>
      </c>
      <c r="KT110" s="64"/>
      <c r="KU110" s="74"/>
      <c r="KV110" s="73">
        <f t="shared" ca="1" si="923"/>
        <v>0</v>
      </c>
      <c r="KW110" s="64"/>
      <c r="KX110" s="74"/>
      <c r="KY110" s="73">
        <f t="shared" ca="1" si="923"/>
        <v>0</v>
      </c>
      <c r="KZ110" s="64"/>
      <c r="LA110" s="74"/>
      <c r="LB110" s="73">
        <f t="shared" ca="1" si="923"/>
        <v>0</v>
      </c>
      <c r="LC110" s="64"/>
      <c r="LD110" s="74"/>
      <c r="LE110" s="73">
        <f t="shared" ca="1" si="923"/>
        <v>0</v>
      </c>
      <c r="LF110" s="64"/>
      <c r="LG110" s="64"/>
    </row>
    <row r="111" spans="1:319">
      <c r="A111" s="49"/>
      <c r="B111" s="49"/>
      <c r="C111" s="49"/>
      <c r="D111" s="49"/>
      <c r="E111" s="65"/>
      <c r="F111" s="127">
        <f t="shared" ref="F111" si="924">$D$14</f>
        <v>3</v>
      </c>
      <c r="G111" s="445">
        <f ca="1">VLOOKUP(H111,Equipos!$Q$1:$R$25,2,0)</f>
        <v>17</v>
      </c>
      <c r="H111" s="446">
        <f ca="1">$H$68</f>
        <v>46200</v>
      </c>
      <c r="I111" s="50"/>
      <c r="J111" s="847"/>
      <c r="K111" s="56" t="str">
        <f>Idiomas!D181</f>
        <v>4th GROUP H</v>
      </c>
      <c r="L111" s="53"/>
      <c r="M111" s="55" t="str">
        <f ca="1">IF(OR(SUM(WORLDCUP!$AN$62:$AN$65)=12,WORLDCUP!$AJ$99=144),WORLDCUP!AL65,LEFT(K111,1)&amp;RIGHT(K111,1))</f>
        <v>Saudi Arabia</v>
      </c>
      <c r="N111" s="25"/>
      <c r="O111" s="25"/>
      <c r="P111" s="25"/>
      <c r="Q111" s="25"/>
      <c r="R111" s="110"/>
      <c r="S111" s="74" t="s">
        <v>1556</v>
      </c>
      <c r="T111" s="73">
        <f t="shared" ref="T111" ca="1" si="925">($M111=S111)*$D$14</f>
        <v>0</v>
      </c>
      <c r="U111" s="64"/>
      <c r="V111" s="74" t="s">
        <v>1556</v>
      </c>
      <c r="W111" s="73">
        <f t="shared" ref="W111:CH111" ca="1" si="926">($M111=V111)*$D$14</f>
        <v>0</v>
      </c>
      <c r="X111" s="64"/>
      <c r="Y111" s="74" t="s">
        <v>1639</v>
      </c>
      <c r="Z111" s="73">
        <f t="shared" ca="1" si="926"/>
        <v>3</v>
      </c>
      <c r="AA111" s="64"/>
      <c r="AB111" s="74" t="s">
        <v>1556</v>
      </c>
      <c r="AC111" s="73">
        <f t="shared" ca="1" si="926"/>
        <v>0</v>
      </c>
      <c r="AD111" s="64"/>
      <c r="AE111" s="74" t="s">
        <v>1556</v>
      </c>
      <c r="AF111" s="73">
        <f t="shared" ca="1" si="926"/>
        <v>0</v>
      </c>
      <c r="AG111" s="64"/>
      <c r="AH111" s="74" t="s">
        <v>1556</v>
      </c>
      <c r="AI111" s="73">
        <f t="shared" ca="1" si="926"/>
        <v>0</v>
      </c>
      <c r="AJ111" s="64"/>
      <c r="AK111" s="74" t="s">
        <v>1556</v>
      </c>
      <c r="AL111" s="73">
        <f t="shared" ca="1" si="926"/>
        <v>0</v>
      </c>
      <c r="AM111" s="64"/>
      <c r="AN111" s="74" t="s">
        <v>1556</v>
      </c>
      <c r="AO111" s="73">
        <f t="shared" ca="1" si="926"/>
        <v>0</v>
      </c>
      <c r="AP111" s="64"/>
      <c r="AQ111" s="74" t="s">
        <v>1556</v>
      </c>
      <c r="AR111" s="73">
        <f t="shared" ca="1" si="926"/>
        <v>0</v>
      </c>
      <c r="AS111" s="64"/>
      <c r="AT111" s="74" t="s">
        <v>1556</v>
      </c>
      <c r="AU111" s="73">
        <f t="shared" ca="1" si="926"/>
        <v>0</v>
      </c>
      <c r="AV111" s="64"/>
      <c r="AW111" s="74" t="s">
        <v>1556</v>
      </c>
      <c r="AX111" s="73">
        <f t="shared" ca="1" si="926"/>
        <v>0</v>
      </c>
      <c r="AY111" s="64"/>
      <c r="AZ111" s="74" t="s">
        <v>1639</v>
      </c>
      <c r="BA111" s="73">
        <f t="shared" ca="1" si="926"/>
        <v>3</v>
      </c>
      <c r="BB111" s="64"/>
      <c r="BC111" s="74" t="s">
        <v>1556</v>
      </c>
      <c r="BD111" s="73">
        <f t="shared" ca="1" si="926"/>
        <v>0</v>
      </c>
      <c r="BE111" s="64"/>
      <c r="BF111" s="74" t="s">
        <v>1556</v>
      </c>
      <c r="BG111" s="73">
        <f t="shared" ca="1" si="926"/>
        <v>0</v>
      </c>
      <c r="BH111" s="64"/>
      <c r="BI111" s="74" t="s">
        <v>1639</v>
      </c>
      <c r="BJ111" s="73">
        <f t="shared" ca="1" si="926"/>
        <v>3</v>
      </c>
      <c r="BK111" s="64"/>
      <c r="BL111" s="74" t="s">
        <v>1556</v>
      </c>
      <c r="BM111" s="73">
        <f t="shared" ca="1" si="926"/>
        <v>0</v>
      </c>
      <c r="BN111" s="64"/>
      <c r="BO111" s="74" t="s">
        <v>1556</v>
      </c>
      <c r="BP111" s="73">
        <f t="shared" ca="1" si="926"/>
        <v>0</v>
      </c>
      <c r="BQ111" s="64"/>
      <c r="BR111" s="74" t="s">
        <v>1556</v>
      </c>
      <c r="BS111" s="73">
        <f t="shared" ca="1" si="926"/>
        <v>0</v>
      </c>
      <c r="BT111" s="64"/>
      <c r="BU111" s="74" t="s">
        <v>1556</v>
      </c>
      <c r="BV111" s="73">
        <f t="shared" ca="1" si="926"/>
        <v>0</v>
      </c>
      <c r="BW111" s="64"/>
      <c r="BX111" s="74" t="s">
        <v>1639</v>
      </c>
      <c r="BY111" s="73">
        <f t="shared" ca="1" si="926"/>
        <v>3</v>
      </c>
      <c r="BZ111" s="64"/>
      <c r="CA111" s="74" t="s">
        <v>1556</v>
      </c>
      <c r="CB111" s="73">
        <f t="shared" ca="1" si="926"/>
        <v>0</v>
      </c>
      <c r="CC111" s="64"/>
      <c r="CD111" s="74" t="s">
        <v>1556</v>
      </c>
      <c r="CE111" s="73">
        <f t="shared" ca="1" si="926"/>
        <v>0</v>
      </c>
      <c r="CF111" s="64"/>
      <c r="CG111" s="74" t="s">
        <v>1556</v>
      </c>
      <c r="CH111" s="73">
        <f t="shared" ca="1" si="926"/>
        <v>0</v>
      </c>
      <c r="CI111" s="64"/>
      <c r="CJ111" s="74" t="s">
        <v>1556</v>
      </c>
      <c r="CK111" s="73">
        <f t="shared" ref="CK111:EV111" ca="1" si="927">($M111=CJ111)*$D$14</f>
        <v>0</v>
      </c>
      <c r="CL111" s="64"/>
      <c r="CM111" s="74" t="s">
        <v>1556</v>
      </c>
      <c r="CN111" s="73">
        <f t="shared" ca="1" si="927"/>
        <v>0</v>
      </c>
      <c r="CO111" s="64"/>
      <c r="CP111" s="74" t="s">
        <v>1556</v>
      </c>
      <c r="CQ111" s="73">
        <f t="shared" ca="1" si="927"/>
        <v>0</v>
      </c>
      <c r="CR111" s="64"/>
      <c r="CS111" s="74" t="s">
        <v>1556</v>
      </c>
      <c r="CT111" s="73">
        <f t="shared" ca="1" si="927"/>
        <v>0</v>
      </c>
      <c r="CU111" s="64"/>
      <c r="CV111" s="74" t="s">
        <v>1639</v>
      </c>
      <c r="CW111" s="73">
        <f t="shared" ca="1" si="927"/>
        <v>3</v>
      </c>
      <c r="CX111" s="64"/>
      <c r="CY111" s="74" t="s">
        <v>1639</v>
      </c>
      <c r="CZ111" s="73">
        <f t="shared" ca="1" si="927"/>
        <v>3</v>
      </c>
      <c r="DA111" s="64"/>
      <c r="DB111" s="74" t="s">
        <v>1556</v>
      </c>
      <c r="DC111" s="73">
        <f t="shared" ca="1" si="927"/>
        <v>0</v>
      </c>
      <c r="DD111" s="64"/>
      <c r="DE111" s="74" t="s">
        <v>1556</v>
      </c>
      <c r="DF111" s="73">
        <f t="shared" ca="1" si="927"/>
        <v>0</v>
      </c>
      <c r="DG111" s="64"/>
      <c r="DH111" s="74" t="s">
        <v>1639</v>
      </c>
      <c r="DI111" s="73">
        <f t="shared" ca="1" si="927"/>
        <v>3</v>
      </c>
      <c r="DJ111" s="64"/>
      <c r="DK111" s="74" t="s">
        <v>1639</v>
      </c>
      <c r="DL111" s="73">
        <f t="shared" ca="1" si="927"/>
        <v>3</v>
      </c>
      <c r="DM111" s="64"/>
      <c r="DN111" s="74" t="s">
        <v>1556</v>
      </c>
      <c r="DO111" s="73">
        <f t="shared" ca="1" si="927"/>
        <v>0</v>
      </c>
      <c r="DP111" s="64"/>
      <c r="DQ111" s="74" t="s">
        <v>1556</v>
      </c>
      <c r="DR111" s="73">
        <f t="shared" ca="1" si="927"/>
        <v>0</v>
      </c>
      <c r="DS111" s="64"/>
      <c r="DT111" s="74" t="s">
        <v>1639</v>
      </c>
      <c r="DU111" s="73">
        <f t="shared" ca="1" si="927"/>
        <v>3</v>
      </c>
      <c r="DV111" s="64"/>
      <c r="DW111" s="74" t="s">
        <v>1639</v>
      </c>
      <c r="DX111" s="73">
        <f t="shared" ca="1" si="927"/>
        <v>3</v>
      </c>
      <c r="DY111" s="64"/>
      <c r="DZ111" s="74" t="s">
        <v>1639</v>
      </c>
      <c r="EA111" s="73">
        <f t="shared" ca="1" si="927"/>
        <v>3</v>
      </c>
      <c r="EB111" s="64"/>
      <c r="EC111" s="74" t="s">
        <v>1639</v>
      </c>
      <c r="ED111" s="73">
        <f t="shared" ca="1" si="927"/>
        <v>3</v>
      </c>
      <c r="EE111" s="64"/>
      <c r="EF111" s="74" t="s">
        <v>1556</v>
      </c>
      <c r="EG111" s="73">
        <f t="shared" ca="1" si="927"/>
        <v>0</v>
      </c>
      <c r="EH111" s="64"/>
      <c r="EI111" s="74" t="s">
        <v>1556</v>
      </c>
      <c r="EJ111" s="73">
        <f t="shared" ca="1" si="927"/>
        <v>0</v>
      </c>
      <c r="EK111" s="64"/>
      <c r="EL111" s="74" t="s">
        <v>1556</v>
      </c>
      <c r="EM111" s="73">
        <f t="shared" ca="1" si="927"/>
        <v>0</v>
      </c>
      <c r="EN111" s="64"/>
      <c r="EO111" s="74" t="s">
        <v>1639</v>
      </c>
      <c r="EP111" s="73">
        <f t="shared" ca="1" si="927"/>
        <v>3</v>
      </c>
      <c r="EQ111" s="64"/>
      <c r="ER111" s="74" t="s">
        <v>1556</v>
      </c>
      <c r="ES111" s="73">
        <f t="shared" ca="1" si="927"/>
        <v>0</v>
      </c>
      <c r="ET111" s="64"/>
      <c r="EU111" s="74" t="s">
        <v>1639</v>
      </c>
      <c r="EV111" s="73">
        <f t="shared" ca="1" si="927"/>
        <v>3</v>
      </c>
      <c r="EW111" s="64"/>
      <c r="EX111" s="74" t="s">
        <v>1556</v>
      </c>
      <c r="EY111" s="73">
        <f t="shared" ref="EY111:HJ111" ca="1" si="928">($M111=EX111)*$D$14</f>
        <v>0</v>
      </c>
      <c r="EZ111" s="64"/>
      <c r="FA111" s="74" t="s">
        <v>1639</v>
      </c>
      <c r="FB111" s="73">
        <f t="shared" ca="1" si="928"/>
        <v>3</v>
      </c>
      <c r="FC111" s="64"/>
      <c r="FD111" s="74" t="s">
        <v>1318</v>
      </c>
      <c r="FE111" s="73">
        <f t="shared" ca="1" si="928"/>
        <v>0</v>
      </c>
      <c r="FF111" s="64"/>
      <c r="FG111" s="74" t="s">
        <v>1556</v>
      </c>
      <c r="FH111" s="73">
        <f t="shared" ca="1" si="928"/>
        <v>0</v>
      </c>
      <c r="FI111" s="64"/>
      <c r="FJ111" s="74" t="s">
        <v>1556</v>
      </c>
      <c r="FK111" s="73">
        <f t="shared" ca="1" si="928"/>
        <v>0</v>
      </c>
      <c r="FL111" s="64"/>
      <c r="FM111" s="74" t="s">
        <v>1556</v>
      </c>
      <c r="FN111" s="73">
        <f t="shared" ca="1" si="928"/>
        <v>0</v>
      </c>
      <c r="FO111" s="64"/>
      <c r="FP111" s="74" t="s">
        <v>1556</v>
      </c>
      <c r="FQ111" s="73">
        <f t="shared" ca="1" si="928"/>
        <v>0</v>
      </c>
      <c r="FR111" s="64"/>
      <c r="FS111" s="74" t="s">
        <v>1556</v>
      </c>
      <c r="FT111" s="73">
        <f t="shared" ca="1" si="928"/>
        <v>0</v>
      </c>
      <c r="FU111" s="64"/>
      <c r="FV111" s="74" t="s">
        <v>1556</v>
      </c>
      <c r="FW111" s="73">
        <f t="shared" ca="1" si="928"/>
        <v>0</v>
      </c>
      <c r="FX111" s="64"/>
      <c r="FY111" s="74" t="s">
        <v>1556</v>
      </c>
      <c r="FZ111" s="73">
        <f t="shared" ca="1" si="928"/>
        <v>0</v>
      </c>
      <c r="GA111" s="64"/>
      <c r="GB111" s="74" t="s">
        <v>1556</v>
      </c>
      <c r="GC111" s="73">
        <f t="shared" ca="1" si="928"/>
        <v>0</v>
      </c>
      <c r="GD111" s="64"/>
      <c r="GE111" s="74" t="s">
        <v>1639</v>
      </c>
      <c r="GF111" s="73">
        <f t="shared" ca="1" si="928"/>
        <v>3</v>
      </c>
      <c r="GG111" s="64"/>
      <c r="GH111" s="74" t="s">
        <v>1556</v>
      </c>
      <c r="GI111" s="73">
        <f t="shared" ca="1" si="928"/>
        <v>0</v>
      </c>
      <c r="GJ111" s="64"/>
      <c r="GK111" s="74" t="s">
        <v>1556</v>
      </c>
      <c r="GL111" s="73">
        <f t="shared" ca="1" si="928"/>
        <v>0</v>
      </c>
      <c r="GM111" s="64"/>
      <c r="GN111" s="74"/>
      <c r="GO111" s="73">
        <f t="shared" ca="1" si="928"/>
        <v>0</v>
      </c>
      <c r="GP111" s="64"/>
      <c r="GQ111" s="74"/>
      <c r="GR111" s="73">
        <f t="shared" ca="1" si="928"/>
        <v>0</v>
      </c>
      <c r="GS111" s="64"/>
      <c r="GT111" s="74"/>
      <c r="GU111" s="73">
        <f t="shared" ca="1" si="928"/>
        <v>0</v>
      </c>
      <c r="GV111" s="64"/>
      <c r="GW111" s="74"/>
      <c r="GX111" s="73">
        <f t="shared" ca="1" si="928"/>
        <v>0</v>
      </c>
      <c r="GY111" s="64"/>
      <c r="GZ111" s="74"/>
      <c r="HA111" s="73">
        <f t="shared" ca="1" si="928"/>
        <v>0</v>
      </c>
      <c r="HB111" s="64"/>
      <c r="HC111" s="74"/>
      <c r="HD111" s="73">
        <f t="shared" ca="1" si="928"/>
        <v>0</v>
      </c>
      <c r="HE111" s="64"/>
      <c r="HF111" s="74"/>
      <c r="HG111" s="73">
        <f t="shared" ca="1" si="928"/>
        <v>0</v>
      </c>
      <c r="HH111" s="64"/>
      <c r="HI111" s="74"/>
      <c r="HJ111" s="73">
        <f t="shared" ca="1" si="928"/>
        <v>0</v>
      </c>
      <c r="HK111" s="64"/>
      <c r="HL111" s="74"/>
      <c r="HM111" s="73">
        <f t="shared" ref="HM111:JX111" ca="1" si="929">($M111=HL111)*$D$14</f>
        <v>0</v>
      </c>
      <c r="HN111" s="64"/>
      <c r="HO111" s="74"/>
      <c r="HP111" s="73">
        <f t="shared" ca="1" si="929"/>
        <v>0</v>
      </c>
      <c r="HQ111" s="64"/>
      <c r="HR111" s="74"/>
      <c r="HS111" s="73">
        <f t="shared" ca="1" si="929"/>
        <v>0</v>
      </c>
      <c r="HT111" s="64"/>
      <c r="HU111" s="74"/>
      <c r="HV111" s="73">
        <f t="shared" ca="1" si="929"/>
        <v>0</v>
      </c>
      <c r="HW111" s="64"/>
      <c r="HX111" s="74"/>
      <c r="HY111" s="73">
        <f t="shared" ca="1" si="929"/>
        <v>0</v>
      </c>
      <c r="HZ111" s="64"/>
      <c r="IA111" s="74"/>
      <c r="IB111" s="73">
        <f t="shared" ca="1" si="929"/>
        <v>0</v>
      </c>
      <c r="IC111" s="64"/>
      <c r="ID111" s="74"/>
      <c r="IE111" s="73">
        <f t="shared" ca="1" si="929"/>
        <v>0</v>
      </c>
      <c r="IF111" s="64"/>
      <c r="IG111" s="74"/>
      <c r="IH111" s="73">
        <f t="shared" ca="1" si="929"/>
        <v>0</v>
      </c>
      <c r="II111" s="64"/>
      <c r="IJ111" s="74"/>
      <c r="IK111" s="73">
        <f t="shared" ca="1" si="929"/>
        <v>0</v>
      </c>
      <c r="IL111" s="64"/>
      <c r="IM111" s="74"/>
      <c r="IN111" s="73">
        <f t="shared" ca="1" si="929"/>
        <v>0</v>
      </c>
      <c r="IO111" s="64"/>
      <c r="IP111" s="74"/>
      <c r="IQ111" s="73">
        <f t="shared" ca="1" si="929"/>
        <v>0</v>
      </c>
      <c r="IR111" s="64"/>
      <c r="IS111" s="74"/>
      <c r="IT111" s="73">
        <f t="shared" ca="1" si="929"/>
        <v>0</v>
      </c>
      <c r="IU111" s="64"/>
      <c r="IV111" s="74"/>
      <c r="IW111" s="73">
        <f t="shared" ca="1" si="929"/>
        <v>0</v>
      </c>
      <c r="IX111" s="64"/>
      <c r="IY111" s="74"/>
      <c r="IZ111" s="73">
        <f t="shared" ca="1" si="929"/>
        <v>0</v>
      </c>
      <c r="JA111" s="64"/>
      <c r="JB111" s="74"/>
      <c r="JC111" s="73">
        <f t="shared" ca="1" si="929"/>
        <v>0</v>
      </c>
      <c r="JD111" s="64"/>
      <c r="JE111" s="74"/>
      <c r="JF111" s="73">
        <f t="shared" ca="1" si="929"/>
        <v>0</v>
      </c>
      <c r="JG111" s="64"/>
      <c r="JH111" s="74"/>
      <c r="JI111" s="73">
        <f t="shared" ca="1" si="929"/>
        <v>0</v>
      </c>
      <c r="JJ111" s="64"/>
      <c r="JK111" s="74"/>
      <c r="JL111" s="73">
        <f t="shared" ca="1" si="929"/>
        <v>0</v>
      </c>
      <c r="JM111" s="64"/>
      <c r="JN111" s="74"/>
      <c r="JO111" s="73">
        <f t="shared" ca="1" si="929"/>
        <v>0</v>
      </c>
      <c r="JP111" s="64"/>
      <c r="JQ111" s="74"/>
      <c r="JR111" s="73">
        <f t="shared" ca="1" si="929"/>
        <v>0</v>
      </c>
      <c r="JS111" s="64"/>
      <c r="JT111" s="74"/>
      <c r="JU111" s="73">
        <f t="shared" ca="1" si="929"/>
        <v>0</v>
      </c>
      <c r="JV111" s="64"/>
      <c r="JW111" s="74"/>
      <c r="JX111" s="73">
        <f t="shared" ca="1" si="929"/>
        <v>0</v>
      </c>
      <c r="JY111" s="64"/>
      <c r="JZ111" s="74"/>
      <c r="KA111" s="73">
        <f t="shared" ref="KA111:LE111" ca="1" si="930">($M111=JZ111)*$D$14</f>
        <v>0</v>
      </c>
      <c r="KB111" s="64"/>
      <c r="KC111" s="74"/>
      <c r="KD111" s="73">
        <f t="shared" ca="1" si="930"/>
        <v>0</v>
      </c>
      <c r="KE111" s="64"/>
      <c r="KF111" s="74"/>
      <c r="KG111" s="73">
        <f t="shared" ca="1" si="930"/>
        <v>0</v>
      </c>
      <c r="KH111" s="64"/>
      <c r="KI111" s="74"/>
      <c r="KJ111" s="73">
        <f t="shared" ca="1" si="930"/>
        <v>0</v>
      </c>
      <c r="KK111" s="64"/>
      <c r="KL111" s="74"/>
      <c r="KM111" s="73">
        <f t="shared" ca="1" si="930"/>
        <v>0</v>
      </c>
      <c r="KN111" s="64"/>
      <c r="KO111" s="74"/>
      <c r="KP111" s="73">
        <f t="shared" ca="1" si="930"/>
        <v>0</v>
      </c>
      <c r="KQ111" s="64"/>
      <c r="KR111" s="74"/>
      <c r="KS111" s="73">
        <f t="shared" ca="1" si="930"/>
        <v>0</v>
      </c>
      <c r="KT111" s="64"/>
      <c r="KU111" s="74"/>
      <c r="KV111" s="73">
        <f t="shared" ca="1" si="930"/>
        <v>0</v>
      </c>
      <c r="KW111" s="64"/>
      <c r="KX111" s="74"/>
      <c r="KY111" s="73">
        <f t="shared" ca="1" si="930"/>
        <v>0</v>
      </c>
      <c r="KZ111" s="64"/>
      <c r="LA111" s="74"/>
      <c r="LB111" s="73">
        <f t="shared" ca="1" si="930"/>
        <v>0</v>
      </c>
      <c r="LC111" s="64"/>
      <c r="LD111" s="74"/>
      <c r="LE111" s="73">
        <f t="shared" ca="1" si="930"/>
        <v>0</v>
      </c>
      <c r="LF111" s="64"/>
      <c r="LG111" s="64"/>
    </row>
    <row r="112" spans="1:319">
      <c r="A112" s="49"/>
      <c r="B112" s="49"/>
      <c r="C112" s="49"/>
      <c r="D112" s="49"/>
      <c r="E112" s="65"/>
      <c r="F112" s="127">
        <f t="shared" ref="F112" si="931">$D$11</f>
        <v>20</v>
      </c>
      <c r="G112" s="445">
        <f ca="1">VLOOKUP(H112,Equipos!$Q$1:$R$25,2,0)</f>
        <v>16</v>
      </c>
      <c r="H112" s="446">
        <f ca="1">$H$70</f>
        <v>46199</v>
      </c>
      <c r="I112" s="50"/>
      <c r="J112" s="848" t="s">
        <v>438</v>
      </c>
      <c r="K112" s="56" t="str">
        <f>Idiomas!D182</f>
        <v>1st GROUP I</v>
      </c>
      <c r="L112" s="53"/>
      <c r="M112" s="55" t="str">
        <f ca="1">IF(OR(SUM(WORLDCUP!$AN$70:$AN$73)=12,WORLDCUP!$AJ$99=144),WORLDCUP!AL70,LEFT(K112,1)&amp;RIGHT(K112,1))</f>
        <v>France</v>
      </c>
      <c r="N112" s="25"/>
      <c r="O112" s="25"/>
      <c r="P112" s="25"/>
      <c r="Q112" s="25"/>
      <c r="R112" s="110"/>
      <c r="S112" s="74" t="s">
        <v>1634</v>
      </c>
      <c r="T112" s="73">
        <f t="shared" ref="T112" ca="1" si="932">($M112=S112)*$D$11</f>
        <v>0</v>
      </c>
      <c r="U112" s="64"/>
      <c r="V112" s="74" t="s">
        <v>294</v>
      </c>
      <c r="W112" s="73">
        <f t="shared" ref="W112:CH112" ca="1" si="933">($M112=V112)*$D$11</f>
        <v>20</v>
      </c>
      <c r="X112" s="64"/>
      <c r="Y112" s="74" t="s">
        <v>294</v>
      </c>
      <c r="Z112" s="73">
        <f t="shared" ca="1" si="933"/>
        <v>20</v>
      </c>
      <c r="AA112" s="64"/>
      <c r="AB112" s="74" t="s">
        <v>294</v>
      </c>
      <c r="AC112" s="73">
        <f t="shared" ca="1" si="933"/>
        <v>20</v>
      </c>
      <c r="AD112" s="64"/>
      <c r="AE112" s="74" t="s">
        <v>294</v>
      </c>
      <c r="AF112" s="73">
        <f t="shared" ca="1" si="933"/>
        <v>20</v>
      </c>
      <c r="AG112" s="64"/>
      <c r="AH112" s="74" t="s">
        <v>294</v>
      </c>
      <c r="AI112" s="73">
        <f t="shared" ca="1" si="933"/>
        <v>20</v>
      </c>
      <c r="AJ112" s="64"/>
      <c r="AK112" s="74" t="s">
        <v>294</v>
      </c>
      <c r="AL112" s="73">
        <f t="shared" ca="1" si="933"/>
        <v>20</v>
      </c>
      <c r="AM112" s="64"/>
      <c r="AN112" s="74" t="s">
        <v>294</v>
      </c>
      <c r="AO112" s="73">
        <f t="shared" ca="1" si="933"/>
        <v>20</v>
      </c>
      <c r="AP112" s="64"/>
      <c r="AQ112" s="74" t="s">
        <v>294</v>
      </c>
      <c r="AR112" s="73">
        <f t="shared" ca="1" si="933"/>
        <v>20</v>
      </c>
      <c r="AS112" s="64"/>
      <c r="AT112" s="74" t="s">
        <v>294</v>
      </c>
      <c r="AU112" s="73">
        <f t="shared" ca="1" si="933"/>
        <v>20</v>
      </c>
      <c r="AV112" s="64"/>
      <c r="AW112" s="74" t="s">
        <v>294</v>
      </c>
      <c r="AX112" s="73">
        <f t="shared" ca="1" si="933"/>
        <v>20</v>
      </c>
      <c r="AY112" s="64"/>
      <c r="AZ112" s="74" t="s">
        <v>294</v>
      </c>
      <c r="BA112" s="73">
        <f t="shared" ca="1" si="933"/>
        <v>20</v>
      </c>
      <c r="BB112" s="64"/>
      <c r="BC112" s="74" t="s">
        <v>294</v>
      </c>
      <c r="BD112" s="73">
        <f t="shared" ca="1" si="933"/>
        <v>20</v>
      </c>
      <c r="BE112" s="64"/>
      <c r="BF112" s="74" t="s">
        <v>294</v>
      </c>
      <c r="BG112" s="73">
        <f t="shared" ca="1" si="933"/>
        <v>20</v>
      </c>
      <c r="BH112" s="64"/>
      <c r="BI112" s="74" t="s">
        <v>299</v>
      </c>
      <c r="BJ112" s="73">
        <f t="shared" ca="1" si="933"/>
        <v>0</v>
      </c>
      <c r="BK112" s="64"/>
      <c r="BL112" s="74" t="s">
        <v>294</v>
      </c>
      <c r="BM112" s="73">
        <f t="shared" ca="1" si="933"/>
        <v>20</v>
      </c>
      <c r="BN112" s="64"/>
      <c r="BO112" s="74" t="s">
        <v>294</v>
      </c>
      <c r="BP112" s="73">
        <f t="shared" ca="1" si="933"/>
        <v>20</v>
      </c>
      <c r="BQ112" s="64"/>
      <c r="BR112" s="74" t="s">
        <v>294</v>
      </c>
      <c r="BS112" s="73">
        <f t="shared" ca="1" si="933"/>
        <v>20</v>
      </c>
      <c r="BT112" s="64"/>
      <c r="BU112" s="74" t="s">
        <v>294</v>
      </c>
      <c r="BV112" s="73">
        <f t="shared" ca="1" si="933"/>
        <v>20</v>
      </c>
      <c r="BW112" s="64"/>
      <c r="BX112" s="74" t="s">
        <v>294</v>
      </c>
      <c r="BY112" s="73">
        <f t="shared" ca="1" si="933"/>
        <v>20</v>
      </c>
      <c r="BZ112" s="64"/>
      <c r="CA112" s="74" t="s">
        <v>294</v>
      </c>
      <c r="CB112" s="73">
        <f t="shared" ca="1" si="933"/>
        <v>20</v>
      </c>
      <c r="CC112" s="64"/>
      <c r="CD112" s="74" t="s">
        <v>294</v>
      </c>
      <c r="CE112" s="73">
        <f t="shared" ca="1" si="933"/>
        <v>20</v>
      </c>
      <c r="CF112" s="64"/>
      <c r="CG112" s="74" t="s">
        <v>294</v>
      </c>
      <c r="CH112" s="73">
        <f t="shared" ca="1" si="933"/>
        <v>20</v>
      </c>
      <c r="CI112" s="64"/>
      <c r="CJ112" s="74" t="s">
        <v>294</v>
      </c>
      <c r="CK112" s="73">
        <f t="shared" ref="CK112:EV112" ca="1" si="934">($M112=CJ112)*$D$11</f>
        <v>20</v>
      </c>
      <c r="CL112" s="64"/>
      <c r="CM112" s="74" t="s">
        <v>294</v>
      </c>
      <c r="CN112" s="73">
        <f t="shared" ca="1" si="934"/>
        <v>20</v>
      </c>
      <c r="CO112" s="64"/>
      <c r="CP112" s="74" t="s">
        <v>294</v>
      </c>
      <c r="CQ112" s="73">
        <f t="shared" ca="1" si="934"/>
        <v>20</v>
      </c>
      <c r="CR112" s="64"/>
      <c r="CS112" s="74" t="s">
        <v>299</v>
      </c>
      <c r="CT112" s="73">
        <f t="shared" ca="1" si="934"/>
        <v>0</v>
      </c>
      <c r="CU112" s="64"/>
      <c r="CV112" s="74" t="s">
        <v>294</v>
      </c>
      <c r="CW112" s="73">
        <f t="shared" ca="1" si="934"/>
        <v>20</v>
      </c>
      <c r="CX112" s="64"/>
      <c r="CY112" s="74" t="s">
        <v>294</v>
      </c>
      <c r="CZ112" s="73">
        <f t="shared" ca="1" si="934"/>
        <v>20</v>
      </c>
      <c r="DA112" s="64"/>
      <c r="DB112" s="74" t="s">
        <v>294</v>
      </c>
      <c r="DC112" s="73">
        <f t="shared" ca="1" si="934"/>
        <v>20</v>
      </c>
      <c r="DD112" s="64"/>
      <c r="DE112" s="74" t="s">
        <v>294</v>
      </c>
      <c r="DF112" s="73">
        <f t="shared" ca="1" si="934"/>
        <v>20</v>
      </c>
      <c r="DG112" s="64"/>
      <c r="DH112" s="74" t="s">
        <v>294</v>
      </c>
      <c r="DI112" s="73">
        <f t="shared" ca="1" si="934"/>
        <v>20</v>
      </c>
      <c r="DJ112" s="64"/>
      <c r="DK112" s="74" t="s">
        <v>294</v>
      </c>
      <c r="DL112" s="73">
        <f t="shared" ca="1" si="934"/>
        <v>20</v>
      </c>
      <c r="DM112" s="64"/>
      <c r="DN112" s="74" t="s">
        <v>1634</v>
      </c>
      <c r="DO112" s="73">
        <f t="shared" ca="1" si="934"/>
        <v>0</v>
      </c>
      <c r="DP112" s="64"/>
      <c r="DQ112" s="74" t="s">
        <v>294</v>
      </c>
      <c r="DR112" s="73">
        <f t="shared" ca="1" si="934"/>
        <v>20</v>
      </c>
      <c r="DS112" s="64"/>
      <c r="DT112" s="74" t="s">
        <v>294</v>
      </c>
      <c r="DU112" s="73">
        <f t="shared" ca="1" si="934"/>
        <v>20</v>
      </c>
      <c r="DV112" s="64"/>
      <c r="DW112" s="74" t="s">
        <v>294</v>
      </c>
      <c r="DX112" s="73">
        <f t="shared" ca="1" si="934"/>
        <v>20</v>
      </c>
      <c r="DY112" s="64"/>
      <c r="DZ112" s="74" t="s">
        <v>294</v>
      </c>
      <c r="EA112" s="73">
        <f t="shared" ca="1" si="934"/>
        <v>20</v>
      </c>
      <c r="EB112" s="64"/>
      <c r="EC112" s="74" t="s">
        <v>294</v>
      </c>
      <c r="ED112" s="73">
        <f t="shared" ca="1" si="934"/>
        <v>20</v>
      </c>
      <c r="EE112" s="64"/>
      <c r="EF112" s="74" t="s">
        <v>294</v>
      </c>
      <c r="EG112" s="73">
        <f t="shared" ca="1" si="934"/>
        <v>20</v>
      </c>
      <c r="EH112" s="64"/>
      <c r="EI112" s="74" t="s">
        <v>294</v>
      </c>
      <c r="EJ112" s="73">
        <f t="shared" ca="1" si="934"/>
        <v>20</v>
      </c>
      <c r="EK112" s="64"/>
      <c r="EL112" s="74" t="s">
        <v>294</v>
      </c>
      <c r="EM112" s="73">
        <f t="shared" ca="1" si="934"/>
        <v>20</v>
      </c>
      <c r="EN112" s="64"/>
      <c r="EO112" s="74" t="s">
        <v>294</v>
      </c>
      <c r="EP112" s="73">
        <f t="shared" ca="1" si="934"/>
        <v>20</v>
      </c>
      <c r="EQ112" s="64"/>
      <c r="ER112" s="74" t="s">
        <v>294</v>
      </c>
      <c r="ES112" s="73">
        <f t="shared" ca="1" si="934"/>
        <v>20</v>
      </c>
      <c r="ET112" s="64"/>
      <c r="EU112" s="74" t="s">
        <v>294</v>
      </c>
      <c r="EV112" s="73">
        <f t="shared" ca="1" si="934"/>
        <v>20</v>
      </c>
      <c r="EW112" s="64"/>
      <c r="EX112" s="74" t="s">
        <v>294</v>
      </c>
      <c r="EY112" s="73">
        <f t="shared" ref="EY112:HJ112" ca="1" si="935">($M112=EX112)*$D$11</f>
        <v>20</v>
      </c>
      <c r="EZ112" s="64"/>
      <c r="FA112" s="74" t="s">
        <v>294</v>
      </c>
      <c r="FB112" s="73">
        <f t="shared" ca="1" si="935"/>
        <v>20</v>
      </c>
      <c r="FC112" s="64"/>
      <c r="FD112" s="74" t="s">
        <v>294</v>
      </c>
      <c r="FE112" s="73">
        <f t="shared" ca="1" si="935"/>
        <v>20</v>
      </c>
      <c r="FF112" s="64"/>
      <c r="FG112" s="74" t="s">
        <v>294</v>
      </c>
      <c r="FH112" s="73">
        <f t="shared" ca="1" si="935"/>
        <v>20</v>
      </c>
      <c r="FI112" s="64"/>
      <c r="FJ112" s="74" t="s">
        <v>294</v>
      </c>
      <c r="FK112" s="73">
        <f t="shared" ca="1" si="935"/>
        <v>20</v>
      </c>
      <c r="FL112" s="64"/>
      <c r="FM112" s="74" t="s">
        <v>294</v>
      </c>
      <c r="FN112" s="73">
        <f t="shared" ca="1" si="935"/>
        <v>20</v>
      </c>
      <c r="FO112" s="64"/>
      <c r="FP112" s="74" t="s">
        <v>294</v>
      </c>
      <c r="FQ112" s="73">
        <f t="shared" ca="1" si="935"/>
        <v>20</v>
      </c>
      <c r="FR112" s="64"/>
      <c r="FS112" s="74" t="s">
        <v>294</v>
      </c>
      <c r="FT112" s="73">
        <f t="shared" ca="1" si="935"/>
        <v>20</v>
      </c>
      <c r="FU112" s="64"/>
      <c r="FV112" s="74" t="s">
        <v>294</v>
      </c>
      <c r="FW112" s="73">
        <f t="shared" ca="1" si="935"/>
        <v>20</v>
      </c>
      <c r="FX112" s="64"/>
      <c r="FY112" s="74" t="s">
        <v>294</v>
      </c>
      <c r="FZ112" s="73">
        <f t="shared" ca="1" si="935"/>
        <v>20</v>
      </c>
      <c r="GA112" s="64"/>
      <c r="GB112" s="74" t="s">
        <v>294</v>
      </c>
      <c r="GC112" s="73">
        <f t="shared" ca="1" si="935"/>
        <v>20</v>
      </c>
      <c r="GD112" s="64"/>
      <c r="GE112" s="74" t="s">
        <v>294</v>
      </c>
      <c r="GF112" s="73">
        <f t="shared" ca="1" si="935"/>
        <v>20</v>
      </c>
      <c r="GG112" s="64"/>
      <c r="GH112" s="74" t="s">
        <v>294</v>
      </c>
      <c r="GI112" s="73">
        <f t="shared" ca="1" si="935"/>
        <v>20</v>
      </c>
      <c r="GJ112" s="64"/>
      <c r="GK112" s="74" t="s">
        <v>294</v>
      </c>
      <c r="GL112" s="73">
        <f t="shared" ca="1" si="935"/>
        <v>20</v>
      </c>
      <c r="GM112" s="64"/>
      <c r="GN112" s="74"/>
      <c r="GO112" s="73">
        <f t="shared" ca="1" si="935"/>
        <v>0</v>
      </c>
      <c r="GP112" s="64"/>
      <c r="GQ112" s="74"/>
      <c r="GR112" s="73">
        <f t="shared" ca="1" si="935"/>
        <v>0</v>
      </c>
      <c r="GS112" s="64"/>
      <c r="GT112" s="74"/>
      <c r="GU112" s="73">
        <f t="shared" ca="1" si="935"/>
        <v>0</v>
      </c>
      <c r="GV112" s="64"/>
      <c r="GW112" s="74"/>
      <c r="GX112" s="73">
        <f t="shared" ca="1" si="935"/>
        <v>0</v>
      </c>
      <c r="GY112" s="64"/>
      <c r="GZ112" s="74"/>
      <c r="HA112" s="73">
        <f t="shared" ca="1" si="935"/>
        <v>0</v>
      </c>
      <c r="HB112" s="64"/>
      <c r="HC112" s="74"/>
      <c r="HD112" s="73">
        <f t="shared" ca="1" si="935"/>
        <v>0</v>
      </c>
      <c r="HE112" s="64"/>
      <c r="HF112" s="74"/>
      <c r="HG112" s="73">
        <f t="shared" ca="1" si="935"/>
        <v>0</v>
      </c>
      <c r="HH112" s="64"/>
      <c r="HI112" s="74"/>
      <c r="HJ112" s="73">
        <f t="shared" ca="1" si="935"/>
        <v>0</v>
      </c>
      <c r="HK112" s="64"/>
      <c r="HL112" s="74"/>
      <c r="HM112" s="73">
        <f t="shared" ref="HM112:JX112" ca="1" si="936">($M112=HL112)*$D$11</f>
        <v>0</v>
      </c>
      <c r="HN112" s="64"/>
      <c r="HO112" s="74"/>
      <c r="HP112" s="73">
        <f t="shared" ca="1" si="936"/>
        <v>0</v>
      </c>
      <c r="HQ112" s="64"/>
      <c r="HR112" s="74"/>
      <c r="HS112" s="73">
        <f t="shared" ca="1" si="936"/>
        <v>0</v>
      </c>
      <c r="HT112" s="64"/>
      <c r="HU112" s="74"/>
      <c r="HV112" s="73">
        <f t="shared" ca="1" si="936"/>
        <v>0</v>
      </c>
      <c r="HW112" s="64"/>
      <c r="HX112" s="74"/>
      <c r="HY112" s="73">
        <f t="shared" ca="1" si="936"/>
        <v>0</v>
      </c>
      <c r="HZ112" s="64"/>
      <c r="IA112" s="74"/>
      <c r="IB112" s="73">
        <f t="shared" ca="1" si="936"/>
        <v>0</v>
      </c>
      <c r="IC112" s="64"/>
      <c r="ID112" s="74"/>
      <c r="IE112" s="73">
        <f t="shared" ca="1" si="936"/>
        <v>0</v>
      </c>
      <c r="IF112" s="64"/>
      <c r="IG112" s="74"/>
      <c r="IH112" s="73">
        <f t="shared" ca="1" si="936"/>
        <v>0</v>
      </c>
      <c r="II112" s="64"/>
      <c r="IJ112" s="74"/>
      <c r="IK112" s="73">
        <f t="shared" ca="1" si="936"/>
        <v>0</v>
      </c>
      <c r="IL112" s="64"/>
      <c r="IM112" s="74"/>
      <c r="IN112" s="73">
        <f t="shared" ca="1" si="936"/>
        <v>0</v>
      </c>
      <c r="IO112" s="64"/>
      <c r="IP112" s="74"/>
      <c r="IQ112" s="73">
        <f t="shared" ca="1" si="936"/>
        <v>0</v>
      </c>
      <c r="IR112" s="64"/>
      <c r="IS112" s="74"/>
      <c r="IT112" s="73">
        <f t="shared" ca="1" si="936"/>
        <v>0</v>
      </c>
      <c r="IU112" s="64"/>
      <c r="IV112" s="74"/>
      <c r="IW112" s="73">
        <f t="shared" ca="1" si="936"/>
        <v>0</v>
      </c>
      <c r="IX112" s="64"/>
      <c r="IY112" s="74"/>
      <c r="IZ112" s="73">
        <f t="shared" ca="1" si="936"/>
        <v>0</v>
      </c>
      <c r="JA112" s="64"/>
      <c r="JB112" s="74"/>
      <c r="JC112" s="73">
        <f t="shared" ca="1" si="936"/>
        <v>0</v>
      </c>
      <c r="JD112" s="64"/>
      <c r="JE112" s="74"/>
      <c r="JF112" s="73">
        <f t="shared" ca="1" si="936"/>
        <v>0</v>
      </c>
      <c r="JG112" s="64"/>
      <c r="JH112" s="74"/>
      <c r="JI112" s="73">
        <f t="shared" ca="1" si="936"/>
        <v>0</v>
      </c>
      <c r="JJ112" s="64"/>
      <c r="JK112" s="74"/>
      <c r="JL112" s="73">
        <f t="shared" ca="1" si="936"/>
        <v>0</v>
      </c>
      <c r="JM112" s="64"/>
      <c r="JN112" s="74"/>
      <c r="JO112" s="73">
        <f t="shared" ca="1" si="936"/>
        <v>0</v>
      </c>
      <c r="JP112" s="64"/>
      <c r="JQ112" s="74"/>
      <c r="JR112" s="73">
        <f t="shared" ca="1" si="936"/>
        <v>0</v>
      </c>
      <c r="JS112" s="64"/>
      <c r="JT112" s="74"/>
      <c r="JU112" s="73">
        <f t="shared" ca="1" si="936"/>
        <v>0</v>
      </c>
      <c r="JV112" s="64"/>
      <c r="JW112" s="74"/>
      <c r="JX112" s="73">
        <f t="shared" ca="1" si="936"/>
        <v>0</v>
      </c>
      <c r="JY112" s="64"/>
      <c r="JZ112" s="74"/>
      <c r="KA112" s="73">
        <f t="shared" ref="KA112:LE112" ca="1" si="937">($M112=JZ112)*$D$11</f>
        <v>0</v>
      </c>
      <c r="KB112" s="64"/>
      <c r="KC112" s="74"/>
      <c r="KD112" s="73">
        <f t="shared" ca="1" si="937"/>
        <v>0</v>
      </c>
      <c r="KE112" s="64"/>
      <c r="KF112" s="74"/>
      <c r="KG112" s="73">
        <f t="shared" ca="1" si="937"/>
        <v>0</v>
      </c>
      <c r="KH112" s="64"/>
      <c r="KI112" s="74"/>
      <c r="KJ112" s="73">
        <f t="shared" ca="1" si="937"/>
        <v>0</v>
      </c>
      <c r="KK112" s="64"/>
      <c r="KL112" s="74"/>
      <c r="KM112" s="73">
        <f t="shared" ca="1" si="937"/>
        <v>0</v>
      </c>
      <c r="KN112" s="64"/>
      <c r="KO112" s="74"/>
      <c r="KP112" s="73">
        <f t="shared" ca="1" si="937"/>
        <v>0</v>
      </c>
      <c r="KQ112" s="64"/>
      <c r="KR112" s="74"/>
      <c r="KS112" s="73">
        <f t="shared" ca="1" si="937"/>
        <v>0</v>
      </c>
      <c r="KT112" s="64"/>
      <c r="KU112" s="74"/>
      <c r="KV112" s="73">
        <f t="shared" ca="1" si="937"/>
        <v>0</v>
      </c>
      <c r="KW112" s="64"/>
      <c r="KX112" s="74"/>
      <c r="KY112" s="73">
        <f t="shared" ca="1" si="937"/>
        <v>0</v>
      </c>
      <c r="KZ112" s="64"/>
      <c r="LA112" s="74"/>
      <c r="LB112" s="73">
        <f t="shared" ca="1" si="937"/>
        <v>0</v>
      </c>
      <c r="LC112" s="64"/>
      <c r="LD112" s="74"/>
      <c r="LE112" s="73">
        <f t="shared" ca="1" si="937"/>
        <v>0</v>
      </c>
      <c r="LF112" s="64"/>
      <c r="LG112" s="64"/>
    </row>
    <row r="113" spans="1:319">
      <c r="A113" s="49"/>
      <c r="B113" s="49"/>
      <c r="C113" s="49"/>
      <c r="D113" s="49"/>
      <c r="E113" s="65"/>
      <c r="F113" s="127">
        <f t="shared" ref="F113" si="938">$D$12</f>
        <v>10</v>
      </c>
      <c r="G113" s="445">
        <f ca="1">VLOOKUP(H113,Equipos!$Q$1:$R$25,2,0)</f>
        <v>16</v>
      </c>
      <c r="H113" s="446">
        <f ca="1">$H$70</f>
        <v>46199</v>
      </c>
      <c r="I113" s="50"/>
      <c r="J113" s="848"/>
      <c r="K113" s="56" t="str">
        <f>Idiomas!D183</f>
        <v>2nd GROUP I</v>
      </c>
      <c r="L113" s="53"/>
      <c r="M113" s="55" t="str">
        <f ca="1">IF(OR(SUM(WORLDCUP!$AN$70:$AN$73)=12,WORLDCUP!$AJ$99=144),WORLDCUP!AL71,LEFT(K113,1)&amp;RIGHT(K113,1))</f>
        <v>Norway</v>
      </c>
      <c r="N113" s="25"/>
      <c r="O113" s="25"/>
      <c r="P113" s="25"/>
      <c r="Q113" s="25"/>
      <c r="R113" s="110"/>
      <c r="S113" s="74" t="s">
        <v>294</v>
      </c>
      <c r="T113" s="73">
        <f t="shared" ref="T113" ca="1" si="939">($M113=S113)*$D$12</f>
        <v>0</v>
      </c>
      <c r="U113" s="64"/>
      <c r="V113" s="74" t="s">
        <v>299</v>
      </c>
      <c r="W113" s="73">
        <f t="shared" ref="W113:CH113" ca="1" si="940">($M113=V113)*$D$12</f>
        <v>10</v>
      </c>
      <c r="X113" s="64"/>
      <c r="Y113" s="74" t="s">
        <v>299</v>
      </c>
      <c r="Z113" s="73">
        <f t="shared" ca="1" si="940"/>
        <v>10</v>
      </c>
      <c r="AA113" s="64"/>
      <c r="AB113" s="74" t="s">
        <v>299</v>
      </c>
      <c r="AC113" s="73">
        <f t="shared" ca="1" si="940"/>
        <v>10</v>
      </c>
      <c r="AD113" s="64"/>
      <c r="AE113" s="74" t="s">
        <v>299</v>
      </c>
      <c r="AF113" s="73">
        <f t="shared" ca="1" si="940"/>
        <v>10</v>
      </c>
      <c r="AG113" s="64"/>
      <c r="AH113" s="74" t="s">
        <v>1634</v>
      </c>
      <c r="AI113" s="73">
        <f t="shared" ca="1" si="940"/>
        <v>0</v>
      </c>
      <c r="AJ113" s="64"/>
      <c r="AK113" s="74" t="s">
        <v>299</v>
      </c>
      <c r="AL113" s="73">
        <f t="shared" ca="1" si="940"/>
        <v>10</v>
      </c>
      <c r="AM113" s="64"/>
      <c r="AN113" s="74" t="s">
        <v>1634</v>
      </c>
      <c r="AO113" s="73">
        <f t="shared" ca="1" si="940"/>
        <v>0</v>
      </c>
      <c r="AP113" s="64"/>
      <c r="AQ113" s="74" t="s">
        <v>1634</v>
      </c>
      <c r="AR113" s="73">
        <f t="shared" ca="1" si="940"/>
        <v>0</v>
      </c>
      <c r="AS113" s="64"/>
      <c r="AT113" s="74" t="s">
        <v>299</v>
      </c>
      <c r="AU113" s="73">
        <f t="shared" ca="1" si="940"/>
        <v>10</v>
      </c>
      <c r="AV113" s="64"/>
      <c r="AW113" s="74" t="s">
        <v>1634</v>
      </c>
      <c r="AX113" s="73">
        <f t="shared" ca="1" si="940"/>
        <v>0</v>
      </c>
      <c r="AY113" s="64"/>
      <c r="AZ113" s="74" t="s">
        <v>299</v>
      </c>
      <c r="BA113" s="73">
        <f t="shared" ca="1" si="940"/>
        <v>10</v>
      </c>
      <c r="BB113" s="64"/>
      <c r="BC113" s="74" t="s">
        <v>299</v>
      </c>
      <c r="BD113" s="73">
        <f t="shared" ca="1" si="940"/>
        <v>10</v>
      </c>
      <c r="BE113" s="64"/>
      <c r="BF113" s="74" t="s">
        <v>299</v>
      </c>
      <c r="BG113" s="73">
        <f t="shared" ca="1" si="940"/>
        <v>10</v>
      </c>
      <c r="BH113" s="64"/>
      <c r="BI113" s="74" t="s">
        <v>294</v>
      </c>
      <c r="BJ113" s="73">
        <f t="shared" ca="1" si="940"/>
        <v>0</v>
      </c>
      <c r="BK113" s="64"/>
      <c r="BL113" s="74" t="s">
        <v>299</v>
      </c>
      <c r="BM113" s="73">
        <f t="shared" ca="1" si="940"/>
        <v>10</v>
      </c>
      <c r="BN113" s="64"/>
      <c r="BO113" s="74" t="s">
        <v>299</v>
      </c>
      <c r="BP113" s="73">
        <f t="shared" ca="1" si="940"/>
        <v>10</v>
      </c>
      <c r="BQ113" s="64"/>
      <c r="BR113" s="74" t="s">
        <v>299</v>
      </c>
      <c r="BS113" s="73">
        <f t="shared" ca="1" si="940"/>
        <v>10</v>
      </c>
      <c r="BT113" s="64"/>
      <c r="BU113" s="74" t="s">
        <v>299</v>
      </c>
      <c r="BV113" s="73">
        <f t="shared" ca="1" si="940"/>
        <v>10</v>
      </c>
      <c r="BW113" s="64"/>
      <c r="BX113" s="74" t="s">
        <v>1634</v>
      </c>
      <c r="BY113" s="73">
        <f t="shared" ca="1" si="940"/>
        <v>0</v>
      </c>
      <c r="BZ113" s="64"/>
      <c r="CA113" s="74" t="s">
        <v>1634</v>
      </c>
      <c r="CB113" s="73">
        <f t="shared" ca="1" si="940"/>
        <v>0</v>
      </c>
      <c r="CC113" s="64"/>
      <c r="CD113" s="74" t="s">
        <v>299</v>
      </c>
      <c r="CE113" s="73">
        <f t="shared" ca="1" si="940"/>
        <v>10</v>
      </c>
      <c r="CF113" s="64"/>
      <c r="CG113" s="74" t="s">
        <v>299</v>
      </c>
      <c r="CH113" s="73">
        <f t="shared" ca="1" si="940"/>
        <v>10</v>
      </c>
      <c r="CI113" s="64"/>
      <c r="CJ113" s="74" t="s">
        <v>299</v>
      </c>
      <c r="CK113" s="73">
        <f t="shared" ref="CK113:EV113" ca="1" si="941">($M113=CJ113)*$D$12</f>
        <v>10</v>
      </c>
      <c r="CL113" s="64"/>
      <c r="CM113" s="74" t="s">
        <v>299</v>
      </c>
      <c r="CN113" s="73">
        <f t="shared" ca="1" si="941"/>
        <v>10</v>
      </c>
      <c r="CO113" s="64"/>
      <c r="CP113" s="74" t="s">
        <v>299</v>
      </c>
      <c r="CQ113" s="73">
        <f t="shared" ca="1" si="941"/>
        <v>10</v>
      </c>
      <c r="CR113" s="64"/>
      <c r="CS113" s="74" t="s">
        <v>1634</v>
      </c>
      <c r="CT113" s="73">
        <f t="shared" ca="1" si="941"/>
        <v>0</v>
      </c>
      <c r="CU113" s="64"/>
      <c r="CV113" s="74" t="s">
        <v>1634</v>
      </c>
      <c r="CW113" s="73">
        <f t="shared" ca="1" si="941"/>
        <v>0</v>
      </c>
      <c r="CX113" s="64"/>
      <c r="CY113" s="74" t="s">
        <v>1634</v>
      </c>
      <c r="CZ113" s="73">
        <f t="shared" ca="1" si="941"/>
        <v>0</v>
      </c>
      <c r="DA113" s="64"/>
      <c r="DB113" s="74" t="s">
        <v>1634</v>
      </c>
      <c r="DC113" s="73">
        <f t="shared" ca="1" si="941"/>
        <v>0</v>
      </c>
      <c r="DD113" s="64"/>
      <c r="DE113" s="74" t="s">
        <v>299</v>
      </c>
      <c r="DF113" s="73">
        <f t="shared" ca="1" si="941"/>
        <v>10</v>
      </c>
      <c r="DG113" s="64"/>
      <c r="DH113" s="74" t="s">
        <v>299</v>
      </c>
      <c r="DI113" s="73">
        <f t="shared" ca="1" si="941"/>
        <v>10</v>
      </c>
      <c r="DJ113" s="64"/>
      <c r="DK113" s="74" t="s">
        <v>299</v>
      </c>
      <c r="DL113" s="73">
        <f t="shared" ca="1" si="941"/>
        <v>10</v>
      </c>
      <c r="DM113" s="64"/>
      <c r="DN113" s="74" t="s">
        <v>294</v>
      </c>
      <c r="DO113" s="73">
        <f t="shared" ca="1" si="941"/>
        <v>0</v>
      </c>
      <c r="DP113" s="64"/>
      <c r="DQ113" s="74" t="s">
        <v>299</v>
      </c>
      <c r="DR113" s="73">
        <f t="shared" ca="1" si="941"/>
        <v>10</v>
      </c>
      <c r="DS113" s="64"/>
      <c r="DT113" s="74" t="s">
        <v>299</v>
      </c>
      <c r="DU113" s="73">
        <f t="shared" ca="1" si="941"/>
        <v>10</v>
      </c>
      <c r="DV113" s="64"/>
      <c r="DW113" s="74" t="s">
        <v>1634</v>
      </c>
      <c r="DX113" s="73">
        <f t="shared" ca="1" si="941"/>
        <v>0</v>
      </c>
      <c r="DY113" s="64"/>
      <c r="DZ113" s="74" t="s">
        <v>299</v>
      </c>
      <c r="EA113" s="73">
        <f t="shared" ca="1" si="941"/>
        <v>10</v>
      </c>
      <c r="EB113" s="64"/>
      <c r="EC113" s="74" t="s">
        <v>299</v>
      </c>
      <c r="ED113" s="73">
        <f t="shared" ca="1" si="941"/>
        <v>10</v>
      </c>
      <c r="EE113" s="64"/>
      <c r="EF113" s="74" t="s">
        <v>1634</v>
      </c>
      <c r="EG113" s="73">
        <f t="shared" ca="1" si="941"/>
        <v>0</v>
      </c>
      <c r="EH113" s="64"/>
      <c r="EI113" s="74" t="s">
        <v>299</v>
      </c>
      <c r="EJ113" s="73">
        <f t="shared" ca="1" si="941"/>
        <v>10</v>
      </c>
      <c r="EK113" s="64"/>
      <c r="EL113" s="74" t="s">
        <v>1634</v>
      </c>
      <c r="EM113" s="73">
        <f t="shared" ca="1" si="941"/>
        <v>0</v>
      </c>
      <c r="EN113" s="64"/>
      <c r="EO113" s="74" t="s">
        <v>299</v>
      </c>
      <c r="EP113" s="73">
        <f t="shared" ca="1" si="941"/>
        <v>10</v>
      </c>
      <c r="EQ113" s="64"/>
      <c r="ER113" s="74" t="s">
        <v>1634</v>
      </c>
      <c r="ES113" s="73">
        <f t="shared" ca="1" si="941"/>
        <v>0</v>
      </c>
      <c r="ET113" s="64"/>
      <c r="EU113" s="74" t="s">
        <v>1634</v>
      </c>
      <c r="EV113" s="73">
        <f t="shared" ca="1" si="941"/>
        <v>0</v>
      </c>
      <c r="EW113" s="64"/>
      <c r="EX113" s="74" t="s">
        <v>299</v>
      </c>
      <c r="EY113" s="73">
        <f t="shared" ref="EY113:HJ113" ca="1" si="942">($M113=EX113)*$D$12</f>
        <v>10</v>
      </c>
      <c r="EZ113" s="64"/>
      <c r="FA113" s="74" t="s">
        <v>1634</v>
      </c>
      <c r="FB113" s="73">
        <f t="shared" ca="1" si="942"/>
        <v>0</v>
      </c>
      <c r="FC113" s="64"/>
      <c r="FD113" s="74" t="s">
        <v>299</v>
      </c>
      <c r="FE113" s="73">
        <f t="shared" ca="1" si="942"/>
        <v>10</v>
      </c>
      <c r="FF113" s="64"/>
      <c r="FG113" s="74" t="s">
        <v>299</v>
      </c>
      <c r="FH113" s="73">
        <f t="shared" ca="1" si="942"/>
        <v>10</v>
      </c>
      <c r="FI113" s="64"/>
      <c r="FJ113" s="74" t="s">
        <v>1634</v>
      </c>
      <c r="FK113" s="73">
        <f t="shared" ca="1" si="942"/>
        <v>0</v>
      </c>
      <c r="FL113" s="64"/>
      <c r="FM113" s="74" t="s">
        <v>299</v>
      </c>
      <c r="FN113" s="73">
        <f t="shared" ca="1" si="942"/>
        <v>10</v>
      </c>
      <c r="FO113" s="64"/>
      <c r="FP113" s="74" t="s">
        <v>299</v>
      </c>
      <c r="FQ113" s="73">
        <f t="shared" ca="1" si="942"/>
        <v>10</v>
      </c>
      <c r="FR113" s="64"/>
      <c r="FS113" s="74" t="s">
        <v>1634</v>
      </c>
      <c r="FT113" s="73">
        <f t="shared" ca="1" si="942"/>
        <v>0</v>
      </c>
      <c r="FU113" s="64"/>
      <c r="FV113" s="74" t="s">
        <v>299</v>
      </c>
      <c r="FW113" s="73">
        <f t="shared" ca="1" si="942"/>
        <v>10</v>
      </c>
      <c r="FX113" s="64"/>
      <c r="FY113" s="74" t="s">
        <v>299</v>
      </c>
      <c r="FZ113" s="73">
        <f t="shared" ca="1" si="942"/>
        <v>10</v>
      </c>
      <c r="GA113" s="64"/>
      <c r="GB113" s="74" t="s">
        <v>299</v>
      </c>
      <c r="GC113" s="73">
        <f t="shared" ca="1" si="942"/>
        <v>10</v>
      </c>
      <c r="GD113" s="64"/>
      <c r="GE113" s="74" t="s">
        <v>1634</v>
      </c>
      <c r="GF113" s="73">
        <f t="shared" ca="1" si="942"/>
        <v>0</v>
      </c>
      <c r="GG113" s="64"/>
      <c r="GH113" s="74" t="s">
        <v>299</v>
      </c>
      <c r="GI113" s="73">
        <f t="shared" ca="1" si="942"/>
        <v>10</v>
      </c>
      <c r="GJ113" s="64"/>
      <c r="GK113" s="74" t="s">
        <v>299</v>
      </c>
      <c r="GL113" s="73">
        <f t="shared" ca="1" si="942"/>
        <v>10</v>
      </c>
      <c r="GM113" s="64"/>
      <c r="GN113" s="74"/>
      <c r="GO113" s="73">
        <f t="shared" ca="1" si="942"/>
        <v>0</v>
      </c>
      <c r="GP113" s="64"/>
      <c r="GQ113" s="74"/>
      <c r="GR113" s="73">
        <f t="shared" ca="1" si="942"/>
        <v>0</v>
      </c>
      <c r="GS113" s="64"/>
      <c r="GT113" s="74"/>
      <c r="GU113" s="73">
        <f t="shared" ca="1" si="942"/>
        <v>0</v>
      </c>
      <c r="GV113" s="64"/>
      <c r="GW113" s="74"/>
      <c r="GX113" s="73">
        <f t="shared" ca="1" si="942"/>
        <v>0</v>
      </c>
      <c r="GY113" s="64"/>
      <c r="GZ113" s="74"/>
      <c r="HA113" s="73">
        <f t="shared" ca="1" si="942"/>
        <v>0</v>
      </c>
      <c r="HB113" s="64"/>
      <c r="HC113" s="74"/>
      <c r="HD113" s="73">
        <f t="shared" ca="1" si="942"/>
        <v>0</v>
      </c>
      <c r="HE113" s="64"/>
      <c r="HF113" s="74"/>
      <c r="HG113" s="73">
        <f t="shared" ca="1" si="942"/>
        <v>0</v>
      </c>
      <c r="HH113" s="64"/>
      <c r="HI113" s="74"/>
      <c r="HJ113" s="73">
        <f t="shared" ca="1" si="942"/>
        <v>0</v>
      </c>
      <c r="HK113" s="64"/>
      <c r="HL113" s="74"/>
      <c r="HM113" s="73">
        <f t="shared" ref="HM113:JX113" ca="1" si="943">($M113=HL113)*$D$12</f>
        <v>0</v>
      </c>
      <c r="HN113" s="64"/>
      <c r="HO113" s="74"/>
      <c r="HP113" s="73">
        <f t="shared" ca="1" si="943"/>
        <v>0</v>
      </c>
      <c r="HQ113" s="64"/>
      <c r="HR113" s="74"/>
      <c r="HS113" s="73">
        <f t="shared" ca="1" si="943"/>
        <v>0</v>
      </c>
      <c r="HT113" s="64"/>
      <c r="HU113" s="74"/>
      <c r="HV113" s="73">
        <f t="shared" ca="1" si="943"/>
        <v>0</v>
      </c>
      <c r="HW113" s="64"/>
      <c r="HX113" s="74"/>
      <c r="HY113" s="73">
        <f t="shared" ca="1" si="943"/>
        <v>0</v>
      </c>
      <c r="HZ113" s="64"/>
      <c r="IA113" s="74"/>
      <c r="IB113" s="73">
        <f t="shared" ca="1" si="943"/>
        <v>0</v>
      </c>
      <c r="IC113" s="64"/>
      <c r="ID113" s="74"/>
      <c r="IE113" s="73">
        <f t="shared" ca="1" si="943"/>
        <v>0</v>
      </c>
      <c r="IF113" s="64"/>
      <c r="IG113" s="74"/>
      <c r="IH113" s="73">
        <f t="shared" ca="1" si="943"/>
        <v>0</v>
      </c>
      <c r="II113" s="64"/>
      <c r="IJ113" s="74"/>
      <c r="IK113" s="73">
        <f t="shared" ca="1" si="943"/>
        <v>0</v>
      </c>
      <c r="IL113" s="64"/>
      <c r="IM113" s="74"/>
      <c r="IN113" s="73">
        <f t="shared" ca="1" si="943"/>
        <v>0</v>
      </c>
      <c r="IO113" s="64"/>
      <c r="IP113" s="74"/>
      <c r="IQ113" s="73">
        <f t="shared" ca="1" si="943"/>
        <v>0</v>
      </c>
      <c r="IR113" s="64"/>
      <c r="IS113" s="74"/>
      <c r="IT113" s="73">
        <f t="shared" ca="1" si="943"/>
        <v>0</v>
      </c>
      <c r="IU113" s="64"/>
      <c r="IV113" s="74"/>
      <c r="IW113" s="73">
        <f t="shared" ca="1" si="943"/>
        <v>0</v>
      </c>
      <c r="IX113" s="64"/>
      <c r="IY113" s="74"/>
      <c r="IZ113" s="73">
        <f t="shared" ca="1" si="943"/>
        <v>0</v>
      </c>
      <c r="JA113" s="64"/>
      <c r="JB113" s="74"/>
      <c r="JC113" s="73">
        <f t="shared" ca="1" si="943"/>
        <v>0</v>
      </c>
      <c r="JD113" s="64"/>
      <c r="JE113" s="74"/>
      <c r="JF113" s="73">
        <f t="shared" ca="1" si="943"/>
        <v>0</v>
      </c>
      <c r="JG113" s="64"/>
      <c r="JH113" s="74"/>
      <c r="JI113" s="73">
        <f t="shared" ca="1" si="943"/>
        <v>0</v>
      </c>
      <c r="JJ113" s="64"/>
      <c r="JK113" s="74"/>
      <c r="JL113" s="73">
        <f t="shared" ca="1" si="943"/>
        <v>0</v>
      </c>
      <c r="JM113" s="64"/>
      <c r="JN113" s="74"/>
      <c r="JO113" s="73">
        <f t="shared" ca="1" si="943"/>
        <v>0</v>
      </c>
      <c r="JP113" s="64"/>
      <c r="JQ113" s="74"/>
      <c r="JR113" s="73">
        <f t="shared" ca="1" si="943"/>
        <v>0</v>
      </c>
      <c r="JS113" s="64"/>
      <c r="JT113" s="74"/>
      <c r="JU113" s="73">
        <f t="shared" ca="1" si="943"/>
        <v>0</v>
      </c>
      <c r="JV113" s="64"/>
      <c r="JW113" s="74"/>
      <c r="JX113" s="73">
        <f t="shared" ca="1" si="943"/>
        <v>0</v>
      </c>
      <c r="JY113" s="64"/>
      <c r="JZ113" s="74"/>
      <c r="KA113" s="73">
        <f t="shared" ref="KA113:LE113" ca="1" si="944">($M113=JZ113)*$D$12</f>
        <v>0</v>
      </c>
      <c r="KB113" s="64"/>
      <c r="KC113" s="74"/>
      <c r="KD113" s="73">
        <f t="shared" ca="1" si="944"/>
        <v>0</v>
      </c>
      <c r="KE113" s="64"/>
      <c r="KF113" s="74"/>
      <c r="KG113" s="73">
        <f t="shared" ca="1" si="944"/>
        <v>0</v>
      </c>
      <c r="KH113" s="64"/>
      <c r="KI113" s="74"/>
      <c r="KJ113" s="73">
        <f t="shared" ca="1" si="944"/>
        <v>0</v>
      </c>
      <c r="KK113" s="64"/>
      <c r="KL113" s="74"/>
      <c r="KM113" s="73">
        <f t="shared" ca="1" si="944"/>
        <v>0</v>
      </c>
      <c r="KN113" s="64"/>
      <c r="KO113" s="74"/>
      <c r="KP113" s="73">
        <f t="shared" ca="1" si="944"/>
        <v>0</v>
      </c>
      <c r="KQ113" s="64"/>
      <c r="KR113" s="74"/>
      <c r="KS113" s="73">
        <f t="shared" ca="1" si="944"/>
        <v>0</v>
      </c>
      <c r="KT113" s="64"/>
      <c r="KU113" s="74"/>
      <c r="KV113" s="73">
        <f t="shared" ca="1" si="944"/>
        <v>0</v>
      </c>
      <c r="KW113" s="64"/>
      <c r="KX113" s="74"/>
      <c r="KY113" s="73">
        <f t="shared" ca="1" si="944"/>
        <v>0</v>
      </c>
      <c r="KZ113" s="64"/>
      <c r="LA113" s="74"/>
      <c r="LB113" s="73">
        <f t="shared" ca="1" si="944"/>
        <v>0</v>
      </c>
      <c r="LC113" s="64"/>
      <c r="LD113" s="74"/>
      <c r="LE113" s="73">
        <f t="shared" ca="1" si="944"/>
        <v>0</v>
      </c>
      <c r="LF113" s="64"/>
      <c r="LG113" s="64"/>
    </row>
    <row r="114" spans="1:319">
      <c r="A114" s="49"/>
      <c r="B114" s="49"/>
      <c r="C114" s="49"/>
      <c r="D114" s="49"/>
      <c r="E114" s="65"/>
      <c r="F114" s="127">
        <f t="shared" ref="F114" si="945">$D$13</f>
        <v>5</v>
      </c>
      <c r="G114" s="445">
        <f ca="1">VLOOKUP(H114,Equipos!$Q$1:$R$25,2,0)</f>
        <v>16</v>
      </c>
      <c r="H114" s="446">
        <f ca="1">$H$70</f>
        <v>46199</v>
      </c>
      <c r="I114" s="50"/>
      <c r="J114" s="848"/>
      <c r="K114" s="56" t="str">
        <f>Idiomas!D184</f>
        <v>3rd GROUP I</v>
      </c>
      <c r="L114" s="53"/>
      <c r="M114" s="55" t="str">
        <f ca="1">IF(OR(SUM(WORLDCUP!$AN$70:$AN$73)=12,WORLDCUP!$AJ$99=144),WORLDCUP!AL72,LEFT(K114,1)&amp;RIGHT(K114,1))</f>
        <v>Senegal</v>
      </c>
      <c r="N114" s="25"/>
      <c r="O114" s="25"/>
      <c r="P114" s="25"/>
      <c r="Q114" s="25"/>
      <c r="R114" s="110"/>
      <c r="S114" s="74" t="s">
        <v>299</v>
      </c>
      <c r="T114" s="73">
        <f t="shared" ref="T114" ca="1" si="946">($M114=S114)*$D$13</f>
        <v>0</v>
      </c>
      <c r="U114" s="64"/>
      <c r="V114" s="74" t="s">
        <v>1634</v>
      </c>
      <c r="W114" s="73">
        <f t="shared" ref="W114:CH114" ca="1" si="947">($M114=V114)*$D$13</f>
        <v>5</v>
      </c>
      <c r="X114" s="64"/>
      <c r="Y114" s="74" t="s">
        <v>1634</v>
      </c>
      <c r="Z114" s="73">
        <f t="shared" ca="1" si="947"/>
        <v>5</v>
      </c>
      <c r="AA114" s="64"/>
      <c r="AB114" s="74" t="s">
        <v>1634</v>
      </c>
      <c r="AC114" s="73">
        <f t="shared" ca="1" si="947"/>
        <v>5</v>
      </c>
      <c r="AD114" s="64"/>
      <c r="AE114" s="74" t="s">
        <v>1634</v>
      </c>
      <c r="AF114" s="73">
        <f t="shared" ca="1" si="947"/>
        <v>5</v>
      </c>
      <c r="AG114" s="64"/>
      <c r="AH114" s="74" t="s">
        <v>299</v>
      </c>
      <c r="AI114" s="73">
        <f t="shared" ca="1" si="947"/>
        <v>0</v>
      </c>
      <c r="AJ114" s="64"/>
      <c r="AK114" s="74" t="s">
        <v>1634</v>
      </c>
      <c r="AL114" s="73">
        <f t="shared" ca="1" si="947"/>
        <v>5</v>
      </c>
      <c r="AM114" s="64"/>
      <c r="AN114" s="74" t="s">
        <v>299</v>
      </c>
      <c r="AO114" s="73">
        <f t="shared" ca="1" si="947"/>
        <v>0</v>
      </c>
      <c r="AP114" s="64"/>
      <c r="AQ114" s="74" t="s">
        <v>299</v>
      </c>
      <c r="AR114" s="73">
        <f t="shared" ca="1" si="947"/>
        <v>0</v>
      </c>
      <c r="AS114" s="64"/>
      <c r="AT114" s="74" t="s">
        <v>1634</v>
      </c>
      <c r="AU114" s="73">
        <f t="shared" ca="1" si="947"/>
        <v>5</v>
      </c>
      <c r="AV114" s="64"/>
      <c r="AW114" s="74" t="s">
        <v>299</v>
      </c>
      <c r="AX114" s="73">
        <f t="shared" ca="1" si="947"/>
        <v>0</v>
      </c>
      <c r="AY114" s="64"/>
      <c r="AZ114" s="74" t="s">
        <v>1634</v>
      </c>
      <c r="BA114" s="73">
        <f t="shared" ca="1" si="947"/>
        <v>5</v>
      </c>
      <c r="BB114" s="64"/>
      <c r="BC114" s="74" t="s">
        <v>1634</v>
      </c>
      <c r="BD114" s="73">
        <f t="shared" ca="1" si="947"/>
        <v>5</v>
      </c>
      <c r="BE114" s="64"/>
      <c r="BF114" s="74" t="s">
        <v>1758</v>
      </c>
      <c r="BG114" s="73">
        <f t="shared" ca="1" si="947"/>
        <v>0</v>
      </c>
      <c r="BH114" s="64"/>
      <c r="BI114" s="74" t="s">
        <v>1634</v>
      </c>
      <c r="BJ114" s="73">
        <f t="shared" ca="1" si="947"/>
        <v>5</v>
      </c>
      <c r="BK114" s="64"/>
      <c r="BL114" s="74" t="s">
        <v>1634</v>
      </c>
      <c r="BM114" s="73">
        <f t="shared" ca="1" si="947"/>
        <v>5</v>
      </c>
      <c r="BN114" s="64"/>
      <c r="BO114" s="74" t="s">
        <v>1634</v>
      </c>
      <c r="BP114" s="73">
        <f t="shared" ca="1" si="947"/>
        <v>5</v>
      </c>
      <c r="BQ114" s="64"/>
      <c r="BR114" s="74" t="s">
        <v>1634</v>
      </c>
      <c r="BS114" s="73">
        <f t="shared" ca="1" si="947"/>
        <v>5</v>
      </c>
      <c r="BT114" s="64"/>
      <c r="BU114" s="74" t="s">
        <v>1634</v>
      </c>
      <c r="BV114" s="73">
        <f t="shared" ca="1" si="947"/>
        <v>5</v>
      </c>
      <c r="BW114" s="64"/>
      <c r="BX114" s="74" t="s">
        <v>299</v>
      </c>
      <c r="BY114" s="73">
        <f t="shared" ca="1" si="947"/>
        <v>0</v>
      </c>
      <c r="BZ114" s="64"/>
      <c r="CA114" s="74" t="s">
        <v>299</v>
      </c>
      <c r="CB114" s="73">
        <f t="shared" ca="1" si="947"/>
        <v>0</v>
      </c>
      <c r="CC114" s="64"/>
      <c r="CD114" s="74" t="s">
        <v>1634</v>
      </c>
      <c r="CE114" s="73">
        <f t="shared" ca="1" si="947"/>
        <v>5</v>
      </c>
      <c r="CF114" s="64"/>
      <c r="CG114" s="74" t="s">
        <v>1634</v>
      </c>
      <c r="CH114" s="73">
        <f t="shared" ca="1" si="947"/>
        <v>5</v>
      </c>
      <c r="CI114" s="64"/>
      <c r="CJ114" s="74" t="s">
        <v>1634</v>
      </c>
      <c r="CK114" s="73">
        <f t="shared" ref="CK114:EV114" ca="1" si="948">($M114=CJ114)*$D$13</f>
        <v>5</v>
      </c>
      <c r="CL114" s="64"/>
      <c r="CM114" s="74" t="s">
        <v>1634</v>
      </c>
      <c r="CN114" s="73">
        <f t="shared" ca="1" si="948"/>
        <v>5</v>
      </c>
      <c r="CO114" s="64"/>
      <c r="CP114" s="74" t="s">
        <v>1758</v>
      </c>
      <c r="CQ114" s="73">
        <f t="shared" ca="1" si="948"/>
        <v>0</v>
      </c>
      <c r="CR114" s="64"/>
      <c r="CS114" s="74" t="s">
        <v>294</v>
      </c>
      <c r="CT114" s="73">
        <f t="shared" ca="1" si="948"/>
        <v>0</v>
      </c>
      <c r="CU114" s="64"/>
      <c r="CV114" s="74" t="s">
        <v>1758</v>
      </c>
      <c r="CW114" s="73">
        <f t="shared" ca="1" si="948"/>
        <v>0</v>
      </c>
      <c r="CX114" s="64"/>
      <c r="CY114" s="74" t="s">
        <v>299</v>
      </c>
      <c r="CZ114" s="73">
        <f t="shared" ca="1" si="948"/>
        <v>0</v>
      </c>
      <c r="DA114" s="64"/>
      <c r="DB114" s="74" t="s">
        <v>299</v>
      </c>
      <c r="DC114" s="73">
        <f t="shared" ca="1" si="948"/>
        <v>0</v>
      </c>
      <c r="DD114" s="64"/>
      <c r="DE114" s="74" t="s">
        <v>1634</v>
      </c>
      <c r="DF114" s="73">
        <f t="shared" ca="1" si="948"/>
        <v>5</v>
      </c>
      <c r="DG114" s="64"/>
      <c r="DH114" s="74" t="s">
        <v>1634</v>
      </c>
      <c r="DI114" s="73">
        <f t="shared" ca="1" si="948"/>
        <v>5</v>
      </c>
      <c r="DJ114" s="64"/>
      <c r="DK114" s="74" t="s">
        <v>1634</v>
      </c>
      <c r="DL114" s="73">
        <f t="shared" ca="1" si="948"/>
        <v>5</v>
      </c>
      <c r="DM114" s="64"/>
      <c r="DN114" s="74" t="s">
        <v>299</v>
      </c>
      <c r="DO114" s="73">
        <f t="shared" ca="1" si="948"/>
        <v>0</v>
      </c>
      <c r="DP114" s="64"/>
      <c r="DQ114" s="74" t="s">
        <v>1634</v>
      </c>
      <c r="DR114" s="73">
        <f t="shared" ca="1" si="948"/>
        <v>5</v>
      </c>
      <c r="DS114" s="64"/>
      <c r="DT114" s="74" t="s">
        <v>1634</v>
      </c>
      <c r="DU114" s="73">
        <f t="shared" ca="1" si="948"/>
        <v>5</v>
      </c>
      <c r="DV114" s="64"/>
      <c r="DW114" s="74" t="s">
        <v>299</v>
      </c>
      <c r="DX114" s="73">
        <f t="shared" ca="1" si="948"/>
        <v>0</v>
      </c>
      <c r="DY114" s="64"/>
      <c r="DZ114" s="74" t="s">
        <v>1634</v>
      </c>
      <c r="EA114" s="73">
        <f t="shared" ca="1" si="948"/>
        <v>5</v>
      </c>
      <c r="EB114" s="64"/>
      <c r="EC114" s="74" t="s">
        <v>1634</v>
      </c>
      <c r="ED114" s="73">
        <f t="shared" ca="1" si="948"/>
        <v>5</v>
      </c>
      <c r="EE114" s="64"/>
      <c r="EF114" s="74" t="s">
        <v>299</v>
      </c>
      <c r="EG114" s="73">
        <f t="shared" ca="1" si="948"/>
        <v>0</v>
      </c>
      <c r="EH114" s="64"/>
      <c r="EI114" s="74" t="s">
        <v>1634</v>
      </c>
      <c r="EJ114" s="73">
        <f t="shared" ca="1" si="948"/>
        <v>5</v>
      </c>
      <c r="EK114" s="64"/>
      <c r="EL114" s="74" t="s">
        <v>299</v>
      </c>
      <c r="EM114" s="73">
        <f t="shared" ca="1" si="948"/>
        <v>0</v>
      </c>
      <c r="EN114" s="64"/>
      <c r="EO114" s="74" t="s">
        <v>1634</v>
      </c>
      <c r="EP114" s="73">
        <f t="shared" ca="1" si="948"/>
        <v>5</v>
      </c>
      <c r="EQ114" s="64"/>
      <c r="ER114" s="74" t="s">
        <v>299</v>
      </c>
      <c r="ES114" s="73">
        <f t="shared" ca="1" si="948"/>
        <v>0</v>
      </c>
      <c r="ET114" s="64"/>
      <c r="EU114" s="74" t="s">
        <v>299</v>
      </c>
      <c r="EV114" s="73">
        <f t="shared" ca="1" si="948"/>
        <v>0</v>
      </c>
      <c r="EW114" s="64"/>
      <c r="EX114" s="74" t="s">
        <v>1634</v>
      </c>
      <c r="EY114" s="73">
        <f t="shared" ref="EY114:HJ114" ca="1" si="949">($M114=EX114)*$D$13</f>
        <v>5</v>
      </c>
      <c r="EZ114" s="64"/>
      <c r="FA114" s="74" t="s">
        <v>299</v>
      </c>
      <c r="FB114" s="73">
        <f t="shared" ca="1" si="949"/>
        <v>0</v>
      </c>
      <c r="FC114" s="64"/>
      <c r="FD114" s="74" t="s">
        <v>1758</v>
      </c>
      <c r="FE114" s="73">
        <f t="shared" ca="1" si="949"/>
        <v>0</v>
      </c>
      <c r="FF114" s="64"/>
      <c r="FG114" s="74" t="s">
        <v>1634</v>
      </c>
      <c r="FH114" s="73">
        <f t="shared" ca="1" si="949"/>
        <v>5</v>
      </c>
      <c r="FI114" s="64"/>
      <c r="FJ114" s="74" t="s">
        <v>299</v>
      </c>
      <c r="FK114" s="73">
        <f t="shared" ca="1" si="949"/>
        <v>0</v>
      </c>
      <c r="FL114" s="64"/>
      <c r="FM114" s="74" t="s">
        <v>1634</v>
      </c>
      <c r="FN114" s="73">
        <f t="shared" ca="1" si="949"/>
        <v>5</v>
      </c>
      <c r="FO114" s="64"/>
      <c r="FP114" s="74" t="s">
        <v>1634</v>
      </c>
      <c r="FQ114" s="73">
        <f t="shared" ca="1" si="949"/>
        <v>5</v>
      </c>
      <c r="FR114" s="64"/>
      <c r="FS114" s="74" t="s">
        <v>299</v>
      </c>
      <c r="FT114" s="73">
        <f t="shared" ca="1" si="949"/>
        <v>0</v>
      </c>
      <c r="FU114" s="64"/>
      <c r="FV114" s="74" t="s">
        <v>1634</v>
      </c>
      <c r="FW114" s="73">
        <f t="shared" ca="1" si="949"/>
        <v>5</v>
      </c>
      <c r="FX114" s="64"/>
      <c r="FY114" s="74" t="s">
        <v>1634</v>
      </c>
      <c r="FZ114" s="73">
        <f t="shared" ca="1" si="949"/>
        <v>5</v>
      </c>
      <c r="GA114" s="64"/>
      <c r="GB114" s="74" t="s">
        <v>1634</v>
      </c>
      <c r="GC114" s="73">
        <f t="shared" ca="1" si="949"/>
        <v>5</v>
      </c>
      <c r="GD114" s="64"/>
      <c r="GE114" s="74" t="s">
        <v>299</v>
      </c>
      <c r="GF114" s="73">
        <f t="shared" ca="1" si="949"/>
        <v>0</v>
      </c>
      <c r="GG114" s="64"/>
      <c r="GH114" s="74" t="s">
        <v>1634</v>
      </c>
      <c r="GI114" s="73">
        <f t="shared" ca="1" si="949"/>
        <v>5</v>
      </c>
      <c r="GJ114" s="64"/>
      <c r="GK114" s="74" t="s">
        <v>1634</v>
      </c>
      <c r="GL114" s="73">
        <f t="shared" ca="1" si="949"/>
        <v>5</v>
      </c>
      <c r="GM114" s="64"/>
      <c r="GN114" s="74"/>
      <c r="GO114" s="73">
        <f t="shared" ca="1" si="949"/>
        <v>0</v>
      </c>
      <c r="GP114" s="64"/>
      <c r="GQ114" s="74"/>
      <c r="GR114" s="73">
        <f t="shared" ca="1" si="949"/>
        <v>0</v>
      </c>
      <c r="GS114" s="64"/>
      <c r="GT114" s="74"/>
      <c r="GU114" s="73">
        <f t="shared" ca="1" si="949"/>
        <v>0</v>
      </c>
      <c r="GV114" s="64"/>
      <c r="GW114" s="74"/>
      <c r="GX114" s="73">
        <f t="shared" ca="1" si="949"/>
        <v>0</v>
      </c>
      <c r="GY114" s="64"/>
      <c r="GZ114" s="74"/>
      <c r="HA114" s="73">
        <f t="shared" ca="1" si="949"/>
        <v>0</v>
      </c>
      <c r="HB114" s="64"/>
      <c r="HC114" s="74"/>
      <c r="HD114" s="73">
        <f t="shared" ca="1" si="949"/>
        <v>0</v>
      </c>
      <c r="HE114" s="64"/>
      <c r="HF114" s="74"/>
      <c r="HG114" s="73">
        <f t="shared" ca="1" si="949"/>
        <v>0</v>
      </c>
      <c r="HH114" s="64"/>
      <c r="HI114" s="74"/>
      <c r="HJ114" s="73">
        <f t="shared" ca="1" si="949"/>
        <v>0</v>
      </c>
      <c r="HK114" s="64"/>
      <c r="HL114" s="74"/>
      <c r="HM114" s="73">
        <f t="shared" ref="HM114:JX114" ca="1" si="950">($M114=HL114)*$D$13</f>
        <v>0</v>
      </c>
      <c r="HN114" s="64"/>
      <c r="HO114" s="74"/>
      <c r="HP114" s="73">
        <f t="shared" ca="1" si="950"/>
        <v>0</v>
      </c>
      <c r="HQ114" s="64"/>
      <c r="HR114" s="74"/>
      <c r="HS114" s="73">
        <f t="shared" ca="1" si="950"/>
        <v>0</v>
      </c>
      <c r="HT114" s="64"/>
      <c r="HU114" s="74"/>
      <c r="HV114" s="73">
        <f t="shared" ca="1" si="950"/>
        <v>0</v>
      </c>
      <c r="HW114" s="64"/>
      <c r="HX114" s="74"/>
      <c r="HY114" s="73">
        <f t="shared" ca="1" si="950"/>
        <v>0</v>
      </c>
      <c r="HZ114" s="64"/>
      <c r="IA114" s="74"/>
      <c r="IB114" s="73">
        <f t="shared" ca="1" si="950"/>
        <v>0</v>
      </c>
      <c r="IC114" s="64"/>
      <c r="ID114" s="74"/>
      <c r="IE114" s="73">
        <f t="shared" ca="1" si="950"/>
        <v>0</v>
      </c>
      <c r="IF114" s="64"/>
      <c r="IG114" s="74"/>
      <c r="IH114" s="73">
        <f t="shared" ca="1" si="950"/>
        <v>0</v>
      </c>
      <c r="II114" s="64"/>
      <c r="IJ114" s="74"/>
      <c r="IK114" s="73">
        <f t="shared" ca="1" si="950"/>
        <v>0</v>
      </c>
      <c r="IL114" s="64"/>
      <c r="IM114" s="74"/>
      <c r="IN114" s="73">
        <f t="shared" ca="1" si="950"/>
        <v>0</v>
      </c>
      <c r="IO114" s="64"/>
      <c r="IP114" s="74"/>
      <c r="IQ114" s="73">
        <f t="shared" ca="1" si="950"/>
        <v>0</v>
      </c>
      <c r="IR114" s="64"/>
      <c r="IS114" s="74"/>
      <c r="IT114" s="73">
        <f t="shared" ca="1" si="950"/>
        <v>0</v>
      </c>
      <c r="IU114" s="64"/>
      <c r="IV114" s="74"/>
      <c r="IW114" s="73">
        <f t="shared" ca="1" si="950"/>
        <v>0</v>
      </c>
      <c r="IX114" s="64"/>
      <c r="IY114" s="74"/>
      <c r="IZ114" s="73">
        <f t="shared" ca="1" si="950"/>
        <v>0</v>
      </c>
      <c r="JA114" s="64"/>
      <c r="JB114" s="74"/>
      <c r="JC114" s="73">
        <f t="shared" ca="1" si="950"/>
        <v>0</v>
      </c>
      <c r="JD114" s="64"/>
      <c r="JE114" s="74"/>
      <c r="JF114" s="73">
        <f t="shared" ca="1" si="950"/>
        <v>0</v>
      </c>
      <c r="JG114" s="64"/>
      <c r="JH114" s="74"/>
      <c r="JI114" s="73">
        <f t="shared" ca="1" si="950"/>
        <v>0</v>
      </c>
      <c r="JJ114" s="64"/>
      <c r="JK114" s="74"/>
      <c r="JL114" s="73">
        <f t="shared" ca="1" si="950"/>
        <v>0</v>
      </c>
      <c r="JM114" s="64"/>
      <c r="JN114" s="74"/>
      <c r="JO114" s="73">
        <f t="shared" ca="1" si="950"/>
        <v>0</v>
      </c>
      <c r="JP114" s="64"/>
      <c r="JQ114" s="74"/>
      <c r="JR114" s="73">
        <f t="shared" ca="1" si="950"/>
        <v>0</v>
      </c>
      <c r="JS114" s="64"/>
      <c r="JT114" s="74"/>
      <c r="JU114" s="73">
        <f t="shared" ca="1" si="950"/>
        <v>0</v>
      </c>
      <c r="JV114" s="64"/>
      <c r="JW114" s="74"/>
      <c r="JX114" s="73">
        <f t="shared" ca="1" si="950"/>
        <v>0</v>
      </c>
      <c r="JY114" s="64"/>
      <c r="JZ114" s="74"/>
      <c r="KA114" s="73">
        <f t="shared" ref="KA114:LE114" ca="1" si="951">($M114=JZ114)*$D$13</f>
        <v>0</v>
      </c>
      <c r="KB114" s="64"/>
      <c r="KC114" s="74"/>
      <c r="KD114" s="73">
        <f t="shared" ca="1" si="951"/>
        <v>0</v>
      </c>
      <c r="KE114" s="64"/>
      <c r="KF114" s="74"/>
      <c r="KG114" s="73">
        <f t="shared" ca="1" si="951"/>
        <v>0</v>
      </c>
      <c r="KH114" s="64"/>
      <c r="KI114" s="74"/>
      <c r="KJ114" s="73">
        <f t="shared" ca="1" si="951"/>
        <v>0</v>
      </c>
      <c r="KK114" s="64"/>
      <c r="KL114" s="74"/>
      <c r="KM114" s="73">
        <f t="shared" ca="1" si="951"/>
        <v>0</v>
      </c>
      <c r="KN114" s="64"/>
      <c r="KO114" s="74"/>
      <c r="KP114" s="73">
        <f t="shared" ca="1" si="951"/>
        <v>0</v>
      </c>
      <c r="KQ114" s="64"/>
      <c r="KR114" s="74"/>
      <c r="KS114" s="73">
        <f t="shared" ca="1" si="951"/>
        <v>0</v>
      </c>
      <c r="KT114" s="64"/>
      <c r="KU114" s="74"/>
      <c r="KV114" s="73">
        <f t="shared" ca="1" si="951"/>
        <v>0</v>
      </c>
      <c r="KW114" s="64"/>
      <c r="KX114" s="74"/>
      <c r="KY114" s="73">
        <f t="shared" ca="1" si="951"/>
        <v>0</v>
      </c>
      <c r="KZ114" s="64"/>
      <c r="LA114" s="74"/>
      <c r="LB114" s="73">
        <f t="shared" ca="1" si="951"/>
        <v>0</v>
      </c>
      <c r="LC114" s="64"/>
      <c r="LD114" s="74"/>
      <c r="LE114" s="73">
        <f t="shared" ca="1" si="951"/>
        <v>0</v>
      </c>
      <c r="LF114" s="64"/>
      <c r="LG114" s="64"/>
    </row>
    <row r="115" spans="1:319">
      <c r="A115" s="49"/>
      <c r="B115" s="49"/>
      <c r="C115" s="49"/>
      <c r="D115" s="49"/>
      <c r="E115" s="65"/>
      <c r="F115" s="127">
        <f t="shared" ref="F115" si="952">$D$14</f>
        <v>3</v>
      </c>
      <c r="G115" s="445">
        <f ca="1">VLOOKUP(H115,Equipos!$Q$1:$R$25,2,0)</f>
        <v>16</v>
      </c>
      <c r="H115" s="446">
        <f ca="1">$H$70</f>
        <v>46199</v>
      </c>
      <c r="I115" s="50"/>
      <c r="J115" s="848"/>
      <c r="K115" s="56" t="str">
        <f>Idiomas!D185</f>
        <v>4th GROUP I</v>
      </c>
      <c r="L115" s="53"/>
      <c r="M115" s="55" t="str">
        <f ca="1">IF(OR(SUM(WORLDCUP!$AN$70:$AN$73)=12,WORLDCUP!$AJ$99=144),WORLDCUP!AL73,LEFT(K115,1)&amp;RIGHT(K115,1))</f>
        <v>Iraq</v>
      </c>
      <c r="N115" s="25"/>
      <c r="O115" s="25"/>
      <c r="P115" s="25"/>
      <c r="Q115" s="25"/>
      <c r="R115" s="110"/>
      <c r="S115" s="74" t="s">
        <v>1758</v>
      </c>
      <c r="T115" s="73">
        <f t="shared" ref="T115" ca="1" si="953">($M115=S115)*$D$14</f>
        <v>3</v>
      </c>
      <c r="U115" s="64"/>
      <c r="V115" s="74" t="s">
        <v>1758</v>
      </c>
      <c r="W115" s="73">
        <f t="shared" ref="W115:CH115" ca="1" si="954">($M115=V115)*$D$14</f>
        <v>3</v>
      </c>
      <c r="X115" s="64"/>
      <c r="Y115" s="74" t="s">
        <v>1758</v>
      </c>
      <c r="Z115" s="73">
        <f t="shared" ca="1" si="954"/>
        <v>3</v>
      </c>
      <c r="AA115" s="64"/>
      <c r="AB115" s="74" t="s">
        <v>1758</v>
      </c>
      <c r="AC115" s="73">
        <f t="shared" ca="1" si="954"/>
        <v>3</v>
      </c>
      <c r="AD115" s="64"/>
      <c r="AE115" s="74" t="s">
        <v>1758</v>
      </c>
      <c r="AF115" s="73">
        <f t="shared" ca="1" si="954"/>
        <v>3</v>
      </c>
      <c r="AG115" s="64"/>
      <c r="AH115" s="74" t="s">
        <v>1758</v>
      </c>
      <c r="AI115" s="73">
        <f t="shared" ca="1" si="954"/>
        <v>3</v>
      </c>
      <c r="AJ115" s="64"/>
      <c r="AK115" s="74" t="s">
        <v>1758</v>
      </c>
      <c r="AL115" s="73">
        <f t="shared" ca="1" si="954"/>
        <v>3</v>
      </c>
      <c r="AM115" s="64"/>
      <c r="AN115" s="74" t="s">
        <v>1758</v>
      </c>
      <c r="AO115" s="73">
        <f t="shared" ca="1" si="954"/>
        <v>3</v>
      </c>
      <c r="AP115" s="64"/>
      <c r="AQ115" s="74" t="s">
        <v>1758</v>
      </c>
      <c r="AR115" s="73">
        <f t="shared" ca="1" si="954"/>
        <v>3</v>
      </c>
      <c r="AS115" s="64"/>
      <c r="AT115" s="74" t="s">
        <v>1758</v>
      </c>
      <c r="AU115" s="73">
        <f t="shared" ca="1" si="954"/>
        <v>3</v>
      </c>
      <c r="AV115" s="64"/>
      <c r="AW115" s="74" t="s">
        <v>1758</v>
      </c>
      <c r="AX115" s="73">
        <f t="shared" ca="1" si="954"/>
        <v>3</v>
      </c>
      <c r="AY115" s="64"/>
      <c r="AZ115" s="74" t="s">
        <v>1758</v>
      </c>
      <c r="BA115" s="73">
        <f t="shared" ca="1" si="954"/>
        <v>3</v>
      </c>
      <c r="BB115" s="64"/>
      <c r="BC115" s="74" t="s">
        <v>1758</v>
      </c>
      <c r="BD115" s="73">
        <f t="shared" ca="1" si="954"/>
        <v>3</v>
      </c>
      <c r="BE115" s="64"/>
      <c r="BF115" s="74" t="s">
        <v>1634</v>
      </c>
      <c r="BG115" s="73">
        <f t="shared" ca="1" si="954"/>
        <v>0</v>
      </c>
      <c r="BH115" s="64"/>
      <c r="BI115" s="74" t="s">
        <v>1758</v>
      </c>
      <c r="BJ115" s="73">
        <f t="shared" ca="1" si="954"/>
        <v>3</v>
      </c>
      <c r="BK115" s="64"/>
      <c r="BL115" s="74" t="s">
        <v>1758</v>
      </c>
      <c r="BM115" s="73">
        <f t="shared" ca="1" si="954"/>
        <v>3</v>
      </c>
      <c r="BN115" s="64"/>
      <c r="BO115" s="74" t="s">
        <v>1758</v>
      </c>
      <c r="BP115" s="73">
        <f t="shared" ca="1" si="954"/>
        <v>3</v>
      </c>
      <c r="BQ115" s="64"/>
      <c r="BR115" s="74" t="s">
        <v>1758</v>
      </c>
      <c r="BS115" s="73">
        <f t="shared" ca="1" si="954"/>
        <v>3</v>
      </c>
      <c r="BT115" s="64"/>
      <c r="BU115" s="74" t="s">
        <v>1758</v>
      </c>
      <c r="BV115" s="73">
        <f t="shared" ca="1" si="954"/>
        <v>3</v>
      </c>
      <c r="BW115" s="64"/>
      <c r="BX115" s="74" t="s">
        <v>1758</v>
      </c>
      <c r="BY115" s="73">
        <f t="shared" ca="1" si="954"/>
        <v>3</v>
      </c>
      <c r="BZ115" s="64"/>
      <c r="CA115" s="74" t="s">
        <v>1758</v>
      </c>
      <c r="CB115" s="73">
        <f t="shared" ca="1" si="954"/>
        <v>3</v>
      </c>
      <c r="CC115" s="64"/>
      <c r="CD115" s="74" t="s">
        <v>1758</v>
      </c>
      <c r="CE115" s="73">
        <f t="shared" ca="1" si="954"/>
        <v>3</v>
      </c>
      <c r="CF115" s="64"/>
      <c r="CG115" s="74" t="s">
        <v>1758</v>
      </c>
      <c r="CH115" s="73">
        <f t="shared" ca="1" si="954"/>
        <v>3</v>
      </c>
      <c r="CI115" s="64"/>
      <c r="CJ115" s="74" t="s">
        <v>1758</v>
      </c>
      <c r="CK115" s="73">
        <f t="shared" ref="CK115:EV115" ca="1" si="955">($M115=CJ115)*$D$14</f>
        <v>3</v>
      </c>
      <c r="CL115" s="64"/>
      <c r="CM115" s="74" t="s">
        <v>1758</v>
      </c>
      <c r="CN115" s="73">
        <f t="shared" ca="1" si="955"/>
        <v>3</v>
      </c>
      <c r="CO115" s="64"/>
      <c r="CP115" s="74" t="s">
        <v>1634</v>
      </c>
      <c r="CQ115" s="73">
        <f t="shared" ca="1" si="955"/>
        <v>0</v>
      </c>
      <c r="CR115" s="64"/>
      <c r="CS115" s="74" t="s">
        <v>1758</v>
      </c>
      <c r="CT115" s="73">
        <f t="shared" ca="1" si="955"/>
        <v>3</v>
      </c>
      <c r="CU115" s="64"/>
      <c r="CV115" s="74" t="s">
        <v>299</v>
      </c>
      <c r="CW115" s="73">
        <f t="shared" ca="1" si="955"/>
        <v>0</v>
      </c>
      <c r="CX115" s="64"/>
      <c r="CY115" s="74" t="s">
        <v>1758</v>
      </c>
      <c r="CZ115" s="73">
        <f t="shared" ca="1" si="955"/>
        <v>3</v>
      </c>
      <c r="DA115" s="64"/>
      <c r="DB115" s="74" t="s">
        <v>1758</v>
      </c>
      <c r="DC115" s="73">
        <f t="shared" ca="1" si="955"/>
        <v>3</v>
      </c>
      <c r="DD115" s="64"/>
      <c r="DE115" s="74" t="s">
        <v>1758</v>
      </c>
      <c r="DF115" s="73">
        <f t="shared" ca="1" si="955"/>
        <v>3</v>
      </c>
      <c r="DG115" s="64"/>
      <c r="DH115" s="74" t="s">
        <v>1758</v>
      </c>
      <c r="DI115" s="73">
        <f t="shared" ca="1" si="955"/>
        <v>3</v>
      </c>
      <c r="DJ115" s="64"/>
      <c r="DK115" s="74" t="s">
        <v>1758</v>
      </c>
      <c r="DL115" s="73">
        <f t="shared" ca="1" si="955"/>
        <v>3</v>
      </c>
      <c r="DM115" s="64"/>
      <c r="DN115" s="74" t="s">
        <v>1758</v>
      </c>
      <c r="DO115" s="73">
        <f t="shared" ca="1" si="955"/>
        <v>3</v>
      </c>
      <c r="DP115" s="64"/>
      <c r="DQ115" s="74" t="s">
        <v>1758</v>
      </c>
      <c r="DR115" s="73">
        <f t="shared" ca="1" si="955"/>
        <v>3</v>
      </c>
      <c r="DS115" s="64"/>
      <c r="DT115" s="74" t="s">
        <v>1758</v>
      </c>
      <c r="DU115" s="73">
        <f t="shared" ca="1" si="955"/>
        <v>3</v>
      </c>
      <c r="DV115" s="64"/>
      <c r="DW115" s="74" t="s">
        <v>1758</v>
      </c>
      <c r="DX115" s="73">
        <f t="shared" ca="1" si="955"/>
        <v>3</v>
      </c>
      <c r="DY115" s="64"/>
      <c r="DZ115" s="74" t="s">
        <v>1758</v>
      </c>
      <c r="EA115" s="73">
        <f t="shared" ca="1" si="955"/>
        <v>3</v>
      </c>
      <c r="EB115" s="64"/>
      <c r="EC115" s="74" t="s">
        <v>1758</v>
      </c>
      <c r="ED115" s="73">
        <f t="shared" ca="1" si="955"/>
        <v>3</v>
      </c>
      <c r="EE115" s="64"/>
      <c r="EF115" s="74" t="s">
        <v>1758</v>
      </c>
      <c r="EG115" s="73">
        <f t="shared" ca="1" si="955"/>
        <v>3</v>
      </c>
      <c r="EH115" s="64"/>
      <c r="EI115" s="74" t="s">
        <v>1758</v>
      </c>
      <c r="EJ115" s="73">
        <f t="shared" ca="1" si="955"/>
        <v>3</v>
      </c>
      <c r="EK115" s="64"/>
      <c r="EL115" s="74" t="s">
        <v>1758</v>
      </c>
      <c r="EM115" s="73">
        <f t="shared" ca="1" si="955"/>
        <v>3</v>
      </c>
      <c r="EN115" s="64"/>
      <c r="EO115" s="74" t="s">
        <v>1758</v>
      </c>
      <c r="EP115" s="73">
        <f t="shared" ca="1" si="955"/>
        <v>3</v>
      </c>
      <c r="EQ115" s="64"/>
      <c r="ER115" s="74" t="s">
        <v>1758</v>
      </c>
      <c r="ES115" s="73">
        <f t="shared" ca="1" si="955"/>
        <v>3</v>
      </c>
      <c r="ET115" s="64"/>
      <c r="EU115" s="74" t="s">
        <v>1758</v>
      </c>
      <c r="EV115" s="73">
        <f t="shared" ca="1" si="955"/>
        <v>3</v>
      </c>
      <c r="EW115" s="64"/>
      <c r="EX115" s="74" t="s">
        <v>1758</v>
      </c>
      <c r="EY115" s="73">
        <f t="shared" ref="EY115:HJ115" ca="1" si="956">($M115=EX115)*$D$14</f>
        <v>3</v>
      </c>
      <c r="EZ115" s="64"/>
      <c r="FA115" s="74" t="s">
        <v>1758</v>
      </c>
      <c r="FB115" s="73">
        <f t="shared" ca="1" si="956"/>
        <v>3</v>
      </c>
      <c r="FC115" s="64"/>
      <c r="FD115" s="74" t="s">
        <v>1634</v>
      </c>
      <c r="FE115" s="73">
        <f t="shared" ca="1" si="956"/>
        <v>0</v>
      </c>
      <c r="FF115" s="64"/>
      <c r="FG115" s="74" t="s">
        <v>1758</v>
      </c>
      <c r="FH115" s="73">
        <f t="shared" ca="1" si="956"/>
        <v>3</v>
      </c>
      <c r="FI115" s="64"/>
      <c r="FJ115" s="74" t="s">
        <v>1758</v>
      </c>
      <c r="FK115" s="73">
        <f t="shared" ca="1" si="956"/>
        <v>3</v>
      </c>
      <c r="FL115" s="64"/>
      <c r="FM115" s="74" t="s">
        <v>1758</v>
      </c>
      <c r="FN115" s="73">
        <f t="shared" ca="1" si="956"/>
        <v>3</v>
      </c>
      <c r="FO115" s="64"/>
      <c r="FP115" s="74" t="s">
        <v>1758</v>
      </c>
      <c r="FQ115" s="73">
        <f t="shared" ca="1" si="956"/>
        <v>3</v>
      </c>
      <c r="FR115" s="64"/>
      <c r="FS115" s="74" t="s">
        <v>1758</v>
      </c>
      <c r="FT115" s="73">
        <f t="shared" ca="1" si="956"/>
        <v>3</v>
      </c>
      <c r="FU115" s="64"/>
      <c r="FV115" s="74" t="s">
        <v>1758</v>
      </c>
      <c r="FW115" s="73">
        <f t="shared" ca="1" si="956"/>
        <v>3</v>
      </c>
      <c r="FX115" s="64"/>
      <c r="FY115" s="74" t="s">
        <v>1758</v>
      </c>
      <c r="FZ115" s="73">
        <f t="shared" ca="1" si="956"/>
        <v>3</v>
      </c>
      <c r="GA115" s="64"/>
      <c r="GB115" s="74" t="s">
        <v>1758</v>
      </c>
      <c r="GC115" s="73">
        <f t="shared" ca="1" si="956"/>
        <v>3</v>
      </c>
      <c r="GD115" s="64"/>
      <c r="GE115" s="74" t="s">
        <v>1758</v>
      </c>
      <c r="GF115" s="73">
        <f t="shared" ca="1" si="956"/>
        <v>3</v>
      </c>
      <c r="GG115" s="64"/>
      <c r="GH115" s="74" t="s">
        <v>1758</v>
      </c>
      <c r="GI115" s="73">
        <f t="shared" ca="1" si="956"/>
        <v>3</v>
      </c>
      <c r="GJ115" s="64"/>
      <c r="GK115" s="74" t="s">
        <v>1758</v>
      </c>
      <c r="GL115" s="73">
        <f t="shared" ca="1" si="956"/>
        <v>3</v>
      </c>
      <c r="GM115" s="64"/>
      <c r="GN115" s="74"/>
      <c r="GO115" s="73">
        <f t="shared" ca="1" si="956"/>
        <v>0</v>
      </c>
      <c r="GP115" s="64"/>
      <c r="GQ115" s="74"/>
      <c r="GR115" s="73">
        <f t="shared" ca="1" si="956"/>
        <v>0</v>
      </c>
      <c r="GS115" s="64"/>
      <c r="GT115" s="74"/>
      <c r="GU115" s="73">
        <f t="shared" ca="1" si="956"/>
        <v>0</v>
      </c>
      <c r="GV115" s="64"/>
      <c r="GW115" s="74"/>
      <c r="GX115" s="73">
        <f t="shared" ca="1" si="956"/>
        <v>0</v>
      </c>
      <c r="GY115" s="64"/>
      <c r="GZ115" s="74"/>
      <c r="HA115" s="73">
        <f t="shared" ca="1" si="956"/>
        <v>0</v>
      </c>
      <c r="HB115" s="64"/>
      <c r="HC115" s="74"/>
      <c r="HD115" s="73">
        <f t="shared" ca="1" si="956"/>
        <v>0</v>
      </c>
      <c r="HE115" s="64"/>
      <c r="HF115" s="74"/>
      <c r="HG115" s="73">
        <f t="shared" ca="1" si="956"/>
        <v>0</v>
      </c>
      <c r="HH115" s="64"/>
      <c r="HI115" s="74"/>
      <c r="HJ115" s="73">
        <f t="shared" ca="1" si="956"/>
        <v>0</v>
      </c>
      <c r="HK115" s="64"/>
      <c r="HL115" s="74"/>
      <c r="HM115" s="73">
        <f t="shared" ref="HM115:JX115" ca="1" si="957">($M115=HL115)*$D$14</f>
        <v>0</v>
      </c>
      <c r="HN115" s="64"/>
      <c r="HO115" s="74"/>
      <c r="HP115" s="73">
        <f t="shared" ca="1" si="957"/>
        <v>0</v>
      </c>
      <c r="HQ115" s="64"/>
      <c r="HR115" s="74"/>
      <c r="HS115" s="73">
        <f t="shared" ca="1" si="957"/>
        <v>0</v>
      </c>
      <c r="HT115" s="64"/>
      <c r="HU115" s="74"/>
      <c r="HV115" s="73">
        <f t="shared" ca="1" si="957"/>
        <v>0</v>
      </c>
      <c r="HW115" s="64"/>
      <c r="HX115" s="74"/>
      <c r="HY115" s="73">
        <f t="shared" ca="1" si="957"/>
        <v>0</v>
      </c>
      <c r="HZ115" s="64"/>
      <c r="IA115" s="74"/>
      <c r="IB115" s="73">
        <f t="shared" ca="1" si="957"/>
        <v>0</v>
      </c>
      <c r="IC115" s="64"/>
      <c r="ID115" s="74"/>
      <c r="IE115" s="73">
        <f t="shared" ca="1" si="957"/>
        <v>0</v>
      </c>
      <c r="IF115" s="64"/>
      <c r="IG115" s="74"/>
      <c r="IH115" s="73">
        <f t="shared" ca="1" si="957"/>
        <v>0</v>
      </c>
      <c r="II115" s="64"/>
      <c r="IJ115" s="74"/>
      <c r="IK115" s="73">
        <f t="shared" ca="1" si="957"/>
        <v>0</v>
      </c>
      <c r="IL115" s="64"/>
      <c r="IM115" s="74"/>
      <c r="IN115" s="73">
        <f t="shared" ca="1" si="957"/>
        <v>0</v>
      </c>
      <c r="IO115" s="64"/>
      <c r="IP115" s="74"/>
      <c r="IQ115" s="73">
        <f t="shared" ca="1" si="957"/>
        <v>0</v>
      </c>
      <c r="IR115" s="64"/>
      <c r="IS115" s="74"/>
      <c r="IT115" s="73">
        <f t="shared" ca="1" si="957"/>
        <v>0</v>
      </c>
      <c r="IU115" s="64"/>
      <c r="IV115" s="74"/>
      <c r="IW115" s="73">
        <f t="shared" ca="1" si="957"/>
        <v>0</v>
      </c>
      <c r="IX115" s="64"/>
      <c r="IY115" s="74"/>
      <c r="IZ115" s="73">
        <f t="shared" ca="1" si="957"/>
        <v>0</v>
      </c>
      <c r="JA115" s="64"/>
      <c r="JB115" s="74"/>
      <c r="JC115" s="73">
        <f t="shared" ca="1" si="957"/>
        <v>0</v>
      </c>
      <c r="JD115" s="64"/>
      <c r="JE115" s="74"/>
      <c r="JF115" s="73">
        <f t="shared" ca="1" si="957"/>
        <v>0</v>
      </c>
      <c r="JG115" s="64"/>
      <c r="JH115" s="74"/>
      <c r="JI115" s="73">
        <f t="shared" ca="1" si="957"/>
        <v>0</v>
      </c>
      <c r="JJ115" s="64"/>
      <c r="JK115" s="74"/>
      <c r="JL115" s="73">
        <f t="shared" ca="1" si="957"/>
        <v>0</v>
      </c>
      <c r="JM115" s="64"/>
      <c r="JN115" s="74"/>
      <c r="JO115" s="73">
        <f t="shared" ca="1" si="957"/>
        <v>0</v>
      </c>
      <c r="JP115" s="64"/>
      <c r="JQ115" s="74"/>
      <c r="JR115" s="73">
        <f t="shared" ca="1" si="957"/>
        <v>0</v>
      </c>
      <c r="JS115" s="64"/>
      <c r="JT115" s="74"/>
      <c r="JU115" s="73">
        <f t="shared" ca="1" si="957"/>
        <v>0</v>
      </c>
      <c r="JV115" s="64"/>
      <c r="JW115" s="74"/>
      <c r="JX115" s="73">
        <f t="shared" ca="1" si="957"/>
        <v>0</v>
      </c>
      <c r="JY115" s="64"/>
      <c r="JZ115" s="74"/>
      <c r="KA115" s="73">
        <f t="shared" ref="KA115:LE115" ca="1" si="958">($M115=JZ115)*$D$14</f>
        <v>0</v>
      </c>
      <c r="KB115" s="64"/>
      <c r="KC115" s="74"/>
      <c r="KD115" s="73">
        <f t="shared" ca="1" si="958"/>
        <v>0</v>
      </c>
      <c r="KE115" s="64"/>
      <c r="KF115" s="74"/>
      <c r="KG115" s="73">
        <f t="shared" ca="1" si="958"/>
        <v>0</v>
      </c>
      <c r="KH115" s="64"/>
      <c r="KI115" s="74"/>
      <c r="KJ115" s="73">
        <f t="shared" ca="1" si="958"/>
        <v>0</v>
      </c>
      <c r="KK115" s="64"/>
      <c r="KL115" s="74"/>
      <c r="KM115" s="73">
        <f t="shared" ca="1" si="958"/>
        <v>0</v>
      </c>
      <c r="KN115" s="64"/>
      <c r="KO115" s="74"/>
      <c r="KP115" s="73">
        <f t="shared" ca="1" si="958"/>
        <v>0</v>
      </c>
      <c r="KQ115" s="64"/>
      <c r="KR115" s="74"/>
      <c r="KS115" s="73">
        <f t="shared" ca="1" si="958"/>
        <v>0</v>
      </c>
      <c r="KT115" s="64"/>
      <c r="KU115" s="74"/>
      <c r="KV115" s="73">
        <f t="shared" ca="1" si="958"/>
        <v>0</v>
      </c>
      <c r="KW115" s="64"/>
      <c r="KX115" s="74"/>
      <c r="KY115" s="73">
        <f t="shared" ca="1" si="958"/>
        <v>0</v>
      </c>
      <c r="KZ115" s="64"/>
      <c r="LA115" s="74"/>
      <c r="LB115" s="73">
        <f t="shared" ca="1" si="958"/>
        <v>0</v>
      </c>
      <c r="LC115" s="64"/>
      <c r="LD115" s="74"/>
      <c r="LE115" s="73">
        <f t="shared" ca="1" si="958"/>
        <v>0</v>
      </c>
      <c r="LF115" s="64"/>
      <c r="LG115" s="64"/>
    </row>
    <row r="116" spans="1:319">
      <c r="A116" s="49"/>
      <c r="B116" s="49"/>
      <c r="C116" s="49"/>
      <c r="D116" s="49"/>
      <c r="E116" s="65"/>
      <c r="F116" s="127">
        <f t="shared" ref="F116" si="959">$D$11</f>
        <v>20</v>
      </c>
      <c r="G116" s="445">
        <f ca="1">VLOOKUP(H116,Equipos!$Q$1:$R$25,2,0)</f>
        <v>18</v>
      </c>
      <c r="H116" s="446">
        <f ca="1">$H$72</f>
        <v>46201</v>
      </c>
      <c r="I116" s="50"/>
      <c r="J116" s="847" t="s">
        <v>5</v>
      </c>
      <c r="K116" s="56" t="str">
        <f>Idiomas!D186</f>
        <v>1st GROUP J</v>
      </c>
      <c r="L116" s="53"/>
      <c r="M116" s="55" t="str">
        <f ca="1">IF(OR(SUM(WORLDCUP!$AN$78:$AN$81)=12,WORLDCUP!$AJ$99=144),WORLDCUP!AL78,LEFT(K116,1)&amp;RIGHT(K116,1))</f>
        <v>Argentina</v>
      </c>
      <c r="N116" s="25"/>
      <c r="O116" s="25"/>
      <c r="P116" s="25"/>
      <c r="Q116" s="25"/>
      <c r="R116" s="110"/>
      <c r="S116" s="74" t="s">
        <v>1256</v>
      </c>
      <c r="T116" s="73">
        <f t="shared" ref="T116" ca="1" si="960">($M116=S116)*$D$11</f>
        <v>20</v>
      </c>
      <c r="U116" s="64"/>
      <c r="V116" s="74" t="s">
        <v>1256</v>
      </c>
      <c r="W116" s="73">
        <f t="shared" ref="W116:CH116" ca="1" si="961">($M116=V116)*$D$11</f>
        <v>20</v>
      </c>
      <c r="X116" s="64"/>
      <c r="Y116" s="74" t="s">
        <v>1256</v>
      </c>
      <c r="Z116" s="73">
        <f t="shared" ca="1" si="961"/>
        <v>20</v>
      </c>
      <c r="AA116" s="64"/>
      <c r="AB116" s="74" t="s">
        <v>1256</v>
      </c>
      <c r="AC116" s="73">
        <f t="shared" ca="1" si="961"/>
        <v>20</v>
      </c>
      <c r="AD116" s="64"/>
      <c r="AE116" s="74" t="s">
        <v>1256</v>
      </c>
      <c r="AF116" s="73">
        <f t="shared" ca="1" si="961"/>
        <v>20</v>
      </c>
      <c r="AG116" s="64"/>
      <c r="AH116" s="74" t="s">
        <v>1256</v>
      </c>
      <c r="AI116" s="73">
        <f t="shared" ca="1" si="961"/>
        <v>20</v>
      </c>
      <c r="AJ116" s="64"/>
      <c r="AK116" s="74" t="s">
        <v>1256</v>
      </c>
      <c r="AL116" s="73">
        <f t="shared" ca="1" si="961"/>
        <v>20</v>
      </c>
      <c r="AM116" s="64"/>
      <c r="AN116" s="74" t="s">
        <v>1559</v>
      </c>
      <c r="AO116" s="73">
        <f t="shared" ca="1" si="961"/>
        <v>0</v>
      </c>
      <c r="AP116" s="64"/>
      <c r="AQ116" s="74" t="s">
        <v>1256</v>
      </c>
      <c r="AR116" s="73">
        <f t="shared" ca="1" si="961"/>
        <v>20</v>
      </c>
      <c r="AS116" s="64"/>
      <c r="AT116" s="74" t="s">
        <v>1256</v>
      </c>
      <c r="AU116" s="73">
        <f t="shared" ca="1" si="961"/>
        <v>20</v>
      </c>
      <c r="AV116" s="64"/>
      <c r="AW116" s="74" t="s">
        <v>1256</v>
      </c>
      <c r="AX116" s="73">
        <f t="shared" ca="1" si="961"/>
        <v>20</v>
      </c>
      <c r="AY116" s="64"/>
      <c r="AZ116" s="74" t="s">
        <v>1256</v>
      </c>
      <c r="BA116" s="73">
        <f t="shared" ca="1" si="961"/>
        <v>20</v>
      </c>
      <c r="BB116" s="64"/>
      <c r="BC116" s="74" t="s">
        <v>1256</v>
      </c>
      <c r="BD116" s="73">
        <f t="shared" ca="1" si="961"/>
        <v>20</v>
      </c>
      <c r="BE116" s="64"/>
      <c r="BF116" s="74" t="s">
        <v>1256</v>
      </c>
      <c r="BG116" s="73">
        <f t="shared" ca="1" si="961"/>
        <v>20</v>
      </c>
      <c r="BH116" s="64"/>
      <c r="BI116" s="74" t="s">
        <v>1256</v>
      </c>
      <c r="BJ116" s="73">
        <f t="shared" ca="1" si="961"/>
        <v>20</v>
      </c>
      <c r="BK116" s="64"/>
      <c r="BL116" s="74" t="s">
        <v>1256</v>
      </c>
      <c r="BM116" s="73">
        <f t="shared" ca="1" si="961"/>
        <v>20</v>
      </c>
      <c r="BN116" s="64"/>
      <c r="BO116" s="74" t="s">
        <v>1256</v>
      </c>
      <c r="BP116" s="73">
        <f t="shared" ca="1" si="961"/>
        <v>20</v>
      </c>
      <c r="BQ116" s="64"/>
      <c r="BR116" s="74" t="s">
        <v>1256</v>
      </c>
      <c r="BS116" s="73">
        <f t="shared" ca="1" si="961"/>
        <v>20</v>
      </c>
      <c r="BT116" s="64"/>
      <c r="BU116" s="74" t="s">
        <v>1256</v>
      </c>
      <c r="BV116" s="73">
        <f t="shared" ca="1" si="961"/>
        <v>20</v>
      </c>
      <c r="BW116" s="64"/>
      <c r="BX116" s="74" t="s">
        <v>1256</v>
      </c>
      <c r="BY116" s="73">
        <f t="shared" ca="1" si="961"/>
        <v>20</v>
      </c>
      <c r="BZ116" s="64"/>
      <c r="CA116" s="74" t="s">
        <v>1256</v>
      </c>
      <c r="CB116" s="73">
        <f t="shared" ca="1" si="961"/>
        <v>20</v>
      </c>
      <c r="CC116" s="64"/>
      <c r="CD116" s="74" t="s">
        <v>1256</v>
      </c>
      <c r="CE116" s="73">
        <f t="shared" ca="1" si="961"/>
        <v>20</v>
      </c>
      <c r="CF116" s="64"/>
      <c r="CG116" s="74" t="s">
        <v>1256</v>
      </c>
      <c r="CH116" s="73">
        <f t="shared" ca="1" si="961"/>
        <v>20</v>
      </c>
      <c r="CI116" s="64"/>
      <c r="CJ116" s="74" t="s">
        <v>1256</v>
      </c>
      <c r="CK116" s="73">
        <f t="shared" ref="CK116:EV116" ca="1" si="962">($M116=CJ116)*$D$11</f>
        <v>20</v>
      </c>
      <c r="CL116" s="64"/>
      <c r="CM116" s="74" t="s">
        <v>1256</v>
      </c>
      <c r="CN116" s="73">
        <f t="shared" ca="1" si="962"/>
        <v>20</v>
      </c>
      <c r="CO116" s="64"/>
      <c r="CP116" s="74" t="s">
        <v>1256</v>
      </c>
      <c r="CQ116" s="73">
        <f t="shared" ca="1" si="962"/>
        <v>20</v>
      </c>
      <c r="CR116" s="64"/>
      <c r="CS116" s="74" t="s">
        <v>1256</v>
      </c>
      <c r="CT116" s="73">
        <f t="shared" ca="1" si="962"/>
        <v>20</v>
      </c>
      <c r="CU116" s="64"/>
      <c r="CV116" s="74" t="s">
        <v>1256</v>
      </c>
      <c r="CW116" s="73">
        <f t="shared" ca="1" si="962"/>
        <v>20</v>
      </c>
      <c r="CX116" s="64"/>
      <c r="CY116" s="74" t="s">
        <v>80</v>
      </c>
      <c r="CZ116" s="73">
        <f t="shared" ca="1" si="962"/>
        <v>0</v>
      </c>
      <c r="DA116" s="64"/>
      <c r="DB116" s="74" t="s">
        <v>1256</v>
      </c>
      <c r="DC116" s="73">
        <f t="shared" ca="1" si="962"/>
        <v>20</v>
      </c>
      <c r="DD116" s="64"/>
      <c r="DE116" s="74" t="s">
        <v>1256</v>
      </c>
      <c r="DF116" s="73">
        <f t="shared" ca="1" si="962"/>
        <v>20</v>
      </c>
      <c r="DG116" s="64"/>
      <c r="DH116" s="74" t="s">
        <v>1256</v>
      </c>
      <c r="DI116" s="73">
        <f t="shared" ca="1" si="962"/>
        <v>20</v>
      </c>
      <c r="DJ116" s="64"/>
      <c r="DK116" s="74" t="s">
        <v>1256</v>
      </c>
      <c r="DL116" s="73">
        <f t="shared" ca="1" si="962"/>
        <v>20</v>
      </c>
      <c r="DM116" s="64"/>
      <c r="DN116" s="74" t="s">
        <v>1256</v>
      </c>
      <c r="DO116" s="73">
        <f t="shared" ca="1" si="962"/>
        <v>20</v>
      </c>
      <c r="DP116" s="64"/>
      <c r="DQ116" s="74" t="s">
        <v>1256</v>
      </c>
      <c r="DR116" s="73">
        <f t="shared" ca="1" si="962"/>
        <v>20</v>
      </c>
      <c r="DS116" s="64"/>
      <c r="DT116" s="74" t="s">
        <v>1256</v>
      </c>
      <c r="DU116" s="73">
        <f t="shared" ca="1" si="962"/>
        <v>20</v>
      </c>
      <c r="DV116" s="64"/>
      <c r="DW116" s="74" t="s">
        <v>80</v>
      </c>
      <c r="DX116" s="73">
        <f t="shared" ca="1" si="962"/>
        <v>0</v>
      </c>
      <c r="DY116" s="64"/>
      <c r="DZ116" s="74" t="s">
        <v>1256</v>
      </c>
      <c r="EA116" s="73">
        <f t="shared" ca="1" si="962"/>
        <v>20</v>
      </c>
      <c r="EB116" s="64"/>
      <c r="EC116" s="74" t="s">
        <v>1256</v>
      </c>
      <c r="ED116" s="73">
        <f t="shared" ca="1" si="962"/>
        <v>20</v>
      </c>
      <c r="EE116" s="64"/>
      <c r="EF116" s="74" t="s">
        <v>1256</v>
      </c>
      <c r="EG116" s="73">
        <f t="shared" ca="1" si="962"/>
        <v>20</v>
      </c>
      <c r="EH116" s="64"/>
      <c r="EI116" s="74" t="s">
        <v>1256</v>
      </c>
      <c r="EJ116" s="73">
        <f t="shared" ca="1" si="962"/>
        <v>20</v>
      </c>
      <c r="EK116" s="64"/>
      <c r="EL116" s="74" t="s">
        <v>1256</v>
      </c>
      <c r="EM116" s="73">
        <f t="shared" ca="1" si="962"/>
        <v>20</v>
      </c>
      <c r="EN116" s="64"/>
      <c r="EO116" s="74" t="s">
        <v>1256</v>
      </c>
      <c r="EP116" s="73">
        <f t="shared" ca="1" si="962"/>
        <v>20</v>
      </c>
      <c r="EQ116" s="64"/>
      <c r="ER116" s="74" t="s">
        <v>1256</v>
      </c>
      <c r="ES116" s="73">
        <f t="shared" ca="1" si="962"/>
        <v>20</v>
      </c>
      <c r="ET116" s="64"/>
      <c r="EU116" s="74" t="s">
        <v>1256</v>
      </c>
      <c r="EV116" s="73">
        <f t="shared" ca="1" si="962"/>
        <v>20</v>
      </c>
      <c r="EW116" s="64"/>
      <c r="EX116" s="74" t="s">
        <v>1256</v>
      </c>
      <c r="EY116" s="73">
        <f t="shared" ref="EY116:HJ116" ca="1" si="963">($M116=EX116)*$D$11</f>
        <v>20</v>
      </c>
      <c r="EZ116" s="64"/>
      <c r="FA116" s="74" t="s">
        <v>1256</v>
      </c>
      <c r="FB116" s="73">
        <f t="shared" ca="1" si="963"/>
        <v>20</v>
      </c>
      <c r="FC116" s="64"/>
      <c r="FD116" s="74" t="s">
        <v>1256</v>
      </c>
      <c r="FE116" s="73">
        <f t="shared" ca="1" si="963"/>
        <v>20</v>
      </c>
      <c r="FF116" s="64"/>
      <c r="FG116" s="74" t="s">
        <v>1256</v>
      </c>
      <c r="FH116" s="73">
        <f t="shared" ca="1" si="963"/>
        <v>20</v>
      </c>
      <c r="FI116" s="64"/>
      <c r="FJ116" s="74" t="s">
        <v>1256</v>
      </c>
      <c r="FK116" s="73">
        <f t="shared" ca="1" si="963"/>
        <v>20</v>
      </c>
      <c r="FL116" s="64"/>
      <c r="FM116" s="74" t="s">
        <v>1256</v>
      </c>
      <c r="FN116" s="73">
        <f t="shared" ca="1" si="963"/>
        <v>20</v>
      </c>
      <c r="FO116" s="64"/>
      <c r="FP116" s="74" t="s">
        <v>1256</v>
      </c>
      <c r="FQ116" s="73">
        <f t="shared" ca="1" si="963"/>
        <v>20</v>
      </c>
      <c r="FR116" s="64"/>
      <c r="FS116" s="74" t="s">
        <v>1256</v>
      </c>
      <c r="FT116" s="73">
        <f t="shared" ca="1" si="963"/>
        <v>20</v>
      </c>
      <c r="FU116" s="64"/>
      <c r="FV116" s="74" t="s">
        <v>1256</v>
      </c>
      <c r="FW116" s="73">
        <f t="shared" ca="1" si="963"/>
        <v>20</v>
      </c>
      <c r="FX116" s="64"/>
      <c r="FY116" s="74" t="s">
        <v>1256</v>
      </c>
      <c r="FZ116" s="73">
        <f t="shared" ca="1" si="963"/>
        <v>20</v>
      </c>
      <c r="GA116" s="64"/>
      <c r="GB116" s="74" t="s">
        <v>1256</v>
      </c>
      <c r="GC116" s="73">
        <f t="shared" ca="1" si="963"/>
        <v>20</v>
      </c>
      <c r="GD116" s="64"/>
      <c r="GE116" s="74" t="s">
        <v>1256</v>
      </c>
      <c r="GF116" s="73">
        <f t="shared" ca="1" si="963"/>
        <v>20</v>
      </c>
      <c r="GG116" s="64"/>
      <c r="GH116" s="74" t="s">
        <v>80</v>
      </c>
      <c r="GI116" s="73">
        <f t="shared" ca="1" si="963"/>
        <v>0</v>
      </c>
      <c r="GJ116" s="64"/>
      <c r="GK116" s="74" t="s">
        <v>1256</v>
      </c>
      <c r="GL116" s="73">
        <f t="shared" ca="1" si="963"/>
        <v>20</v>
      </c>
      <c r="GM116" s="64"/>
      <c r="GN116" s="74"/>
      <c r="GO116" s="73">
        <f t="shared" ca="1" si="963"/>
        <v>0</v>
      </c>
      <c r="GP116" s="64"/>
      <c r="GQ116" s="74"/>
      <c r="GR116" s="73">
        <f t="shared" ca="1" si="963"/>
        <v>0</v>
      </c>
      <c r="GS116" s="64"/>
      <c r="GT116" s="74"/>
      <c r="GU116" s="73">
        <f t="shared" ca="1" si="963"/>
        <v>0</v>
      </c>
      <c r="GV116" s="64"/>
      <c r="GW116" s="74"/>
      <c r="GX116" s="73">
        <f t="shared" ca="1" si="963"/>
        <v>0</v>
      </c>
      <c r="GY116" s="64"/>
      <c r="GZ116" s="74"/>
      <c r="HA116" s="73">
        <f t="shared" ca="1" si="963"/>
        <v>0</v>
      </c>
      <c r="HB116" s="64"/>
      <c r="HC116" s="74"/>
      <c r="HD116" s="73">
        <f t="shared" ca="1" si="963"/>
        <v>0</v>
      </c>
      <c r="HE116" s="64"/>
      <c r="HF116" s="74"/>
      <c r="HG116" s="73">
        <f t="shared" ca="1" si="963"/>
        <v>0</v>
      </c>
      <c r="HH116" s="64"/>
      <c r="HI116" s="74"/>
      <c r="HJ116" s="73">
        <f t="shared" ca="1" si="963"/>
        <v>0</v>
      </c>
      <c r="HK116" s="64"/>
      <c r="HL116" s="74"/>
      <c r="HM116" s="73">
        <f t="shared" ref="HM116:JX116" ca="1" si="964">($M116=HL116)*$D$11</f>
        <v>0</v>
      </c>
      <c r="HN116" s="64"/>
      <c r="HO116" s="74"/>
      <c r="HP116" s="73">
        <f t="shared" ca="1" si="964"/>
        <v>0</v>
      </c>
      <c r="HQ116" s="64"/>
      <c r="HR116" s="74"/>
      <c r="HS116" s="73">
        <f t="shared" ca="1" si="964"/>
        <v>0</v>
      </c>
      <c r="HT116" s="64"/>
      <c r="HU116" s="74"/>
      <c r="HV116" s="73">
        <f t="shared" ca="1" si="964"/>
        <v>0</v>
      </c>
      <c r="HW116" s="64"/>
      <c r="HX116" s="74"/>
      <c r="HY116" s="73">
        <f t="shared" ca="1" si="964"/>
        <v>0</v>
      </c>
      <c r="HZ116" s="64"/>
      <c r="IA116" s="74"/>
      <c r="IB116" s="73">
        <f t="shared" ca="1" si="964"/>
        <v>0</v>
      </c>
      <c r="IC116" s="64"/>
      <c r="ID116" s="74"/>
      <c r="IE116" s="73">
        <f t="shared" ca="1" si="964"/>
        <v>0</v>
      </c>
      <c r="IF116" s="64"/>
      <c r="IG116" s="74"/>
      <c r="IH116" s="73">
        <f t="shared" ca="1" si="964"/>
        <v>0</v>
      </c>
      <c r="II116" s="64"/>
      <c r="IJ116" s="74"/>
      <c r="IK116" s="73">
        <f t="shared" ca="1" si="964"/>
        <v>0</v>
      </c>
      <c r="IL116" s="64"/>
      <c r="IM116" s="74"/>
      <c r="IN116" s="73">
        <f t="shared" ca="1" si="964"/>
        <v>0</v>
      </c>
      <c r="IO116" s="64"/>
      <c r="IP116" s="74"/>
      <c r="IQ116" s="73">
        <f t="shared" ca="1" si="964"/>
        <v>0</v>
      </c>
      <c r="IR116" s="64"/>
      <c r="IS116" s="74"/>
      <c r="IT116" s="73">
        <f t="shared" ca="1" si="964"/>
        <v>0</v>
      </c>
      <c r="IU116" s="64"/>
      <c r="IV116" s="74"/>
      <c r="IW116" s="73">
        <f t="shared" ca="1" si="964"/>
        <v>0</v>
      </c>
      <c r="IX116" s="64"/>
      <c r="IY116" s="74"/>
      <c r="IZ116" s="73">
        <f t="shared" ca="1" si="964"/>
        <v>0</v>
      </c>
      <c r="JA116" s="64"/>
      <c r="JB116" s="74"/>
      <c r="JC116" s="73">
        <f t="shared" ca="1" si="964"/>
        <v>0</v>
      </c>
      <c r="JD116" s="64"/>
      <c r="JE116" s="74"/>
      <c r="JF116" s="73">
        <f t="shared" ca="1" si="964"/>
        <v>0</v>
      </c>
      <c r="JG116" s="64"/>
      <c r="JH116" s="74"/>
      <c r="JI116" s="73">
        <f t="shared" ca="1" si="964"/>
        <v>0</v>
      </c>
      <c r="JJ116" s="64"/>
      <c r="JK116" s="74"/>
      <c r="JL116" s="73">
        <f t="shared" ca="1" si="964"/>
        <v>0</v>
      </c>
      <c r="JM116" s="64"/>
      <c r="JN116" s="74"/>
      <c r="JO116" s="73">
        <f t="shared" ca="1" si="964"/>
        <v>0</v>
      </c>
      <c r="JP116" s="64"/>
      <c r="JQ116" s="74"/>
      <c r="JR116" s="73">
        <f t="shared" ca="1" si="964"/>
        <v>0</v>
      </c>
      <c r="JS116" s="64"/>
      <c r="JT116" s="74"/>
      <c r="JU116" s="73">
        <f t="shared" ca="1" si="964"/>
        <v>0</v>
      </c>
      <c r="JV116" s="64"/>
      <c r="JW116" s="74"/>
      <c r="JX116" s="73">
        <f t="shared" ca="1" si="964"/>
        <v>0</v>
      </c>
      <c r="JY116" s="64"/>
      <c r="JZ116" s="74"/>
      <c r="KA116" s="73">
        <f t="shared" ref="KA116:LE116" ca="1" si="965">($M116=JZ116)*$D$11</f>
        <v>0</v>
      </c>
      <c r="KB116" s="64"/>
      <c r="KC116" s="74"/>
      <c r="KD116" s="73">
        <f t="shared" ca="1" si="965"/>
        <v>0</v>
      </c>
      <c r="KE116" s="64"/>
      <c r="KF116" s="74"/>
      <c r="KG116" s="73">
        <f t="shared" ca="1" si="965"/>
        <v>0</v>
      </c>
      <c r="KH116" s="64"/>
      <c r="KI116" s="74"/>
      <c r="KJ116" s="73">
        <f t="shared" ca="1" si="965"/>
        <v>0</v>
      </c>
      <c r="KK116" s="64"/>
      <c r="KL116" s="74"/>
      <c r="KM116" s="73">
        <f t="shared" ca="1" si="965"/>
        <v>0</v>
      </c>
      <c r="KN116" s="64"/>
      <c r="KO116" s="74"/>
      <c r="KP116" s="73">
        <f t="shared" ca="1" si="965"/>
        <v>0</v>
      </c>
      <c r="KQ116" s="64"/>
      <c r="KR116" s="74"/>
      <c r="KS116" s="73">
        <f t="shared" ca="1" si="965"/>
        <v>0</v>
      </c>
      <c r="KT116" s="64"/>
      <c r="KU116" s="74"/>
      <c r="KV116" s="73">
        <f t="shared" ca="1" si="965"/>
        <v>0</v>
      </c>
      <c r="KW116" s="64"/>
      <c r="KX116" s="74"/>
      <c r="KY116" s="73">
        <f t="shared" ca="1" si="965"/>
        <v>0</v>
      </c>
      <c r="KZ116" s="64"/>
      <c r="LA116" s="74"/>
      <c r="LB116" s="73">
        <f t="shared" ca="1" si="965"/>
        <v>0</v>
      </c>
      <c r="LC116" s="64"/>
      <c r="LD116" s="74"/>
      <c r="LE116" s="73">
        <f t="shared" ca="1" si="965"/>
        <v>0</v>
      </c>
      <c r="LF116" s="64"/>
      <c r="LG116" s="64"/>
    </row>
    <row r="117" spans="1:319">
      <c r="A117" s="49"/>
      <c r="B117" s="49"/>
      <c r="C117" s="49"/>
      <c r="D117" s="49"/>
      <c r="E117" s="65"/>
      <c r="F117" s="127">
        <f t="shared" ref="F117" si="966">$D$12</f>
        <v>10</v>
      </c>
      <c r="G117" s="445">
        <f ca="1">VLOOKUP(H117,Equipos!$Q$1:$R$25,2,0)</f>
        <v>18</v>
      </c>
      <c r="H117" s="446">
        <f ca="1">$H$72</f>
        <v>46201</v>
      </c>
      <c r="I117" s="50"/>
      <c r="J117" s="847"/>
      <c r="K117" s="56" t="str">
        <f>Idiomas!D187</f>
        <v>2nd GROUP J</v>
      </c>
      <c r="L117" s="53"/>
      <c r="M117" s="55" t="str">
        <f ca="1">IF(OR(SUM(WORLDCUP!$AN$78:$AN$81)=12,WORLDCUP!$AJ$99=144),WORLDCUP!AL79,LEFT(K117,1)&amp;RIGHT(K117,1))</f>
        <v>Austria</v>
      </c>
      <c r="N117" s="25"/>
      <c r="O117" s="25"/>
      <c r="P117" s="25"/>
      <c r="Q117" s="25"/>
      <c r="R117" s="110"/>
      <c r="S117" s="74" t="s">
        <v>1286</v>
      </c>
      <c r="T117" s="73">
        <f t="shared" ref="T117" ca="1" si="967">($M117=S117)*$D$12</f>
        <v>0</v>
      </c>
      <c r="U117" s="64"/>
      <c r="V117" s="74" t="s">
        <v>80</v>
      </c>
      <c r="W117" s="73">
        <f t="shared" ref="W117:CH117" ca="1" si="968">($M117=V117)*$D$12</f>
        <v>10</v>
      </c>
      <c r="X117" s="64"/>
      <c r="Y117" s="74" t="s">
        <v>80</v>
      </c>
      <c r="Z117" s="73">
        <f t="shared" ca="1" si="968"/>
        <v>10</v>
      </c>
      <c r="AA117" s="64"/>
      <c r="AB117" s="74" t="s">
        <v>80</v>
      </c>
      <c r="AC117" s="73">
        <f t="shared" ca="1" si="968"/>
        <v>10</v>
      </c>
      <c r="AD117" s="64"/>
      <c r="AE117" s="74" t="s">
        <v>80</v>
      </c>
      <c r="AF117" s="73">
        <f t="shared" ca="1" si="968"/>
        <v>10</v>
      </c>
      <c r="AG117" s="64"/>
      <c r="AH117" s="74" t="s">
        <v>1559</v>
      </c>
      <c r="AI117" s="73">
        <f t="shared" ca="1" si="968"/>
        <v>0</v>
      </c>
      <c r="AJ117" s="64"/>
      <c r="AK117" s="74" t="s">
        <v>80</v>
      </c>
      <c r="AL117" s="73">
        <f t="shared" ca="1" si="968"/>
        <v>10</v>
      </c>
      <c r="AM117" s="64"/>
      <c r="AN117" s="74" t="s">
        <v>1256</v>
      </c>
      <c r="AO117" s="73">
        <f t="shared" ca="1" si="968"/>
        <v>0</v>
      </c>
      <c r="AP117" s="64"/>
      <c r="AQ117" s="74" t="s">
        <v>80</v>
      </c>
      <c r="AR117" s="73">
        <f t="shared" ca="1" si="968"/>
        <v>10</v>
      </c>
      <c r="AS117" s="64"/>
      <c r="AT117" s="74" t="s">
        <v>80</v>
      </c>
      <c r="AU117" s="73">
        <f t="shared" ca="1" si="968"/>
        <v>10</v>
      </c>
      <c r="AV117" s="64"/>
      <c r="AW117" s="74" t="s">
        <v>80</v>
      </c>
      <c r="AX117" s="73">
        <f t="shared" ca="1" si="968"/>
        <v>10</v>
      </c>
      <c r="AY117" s="64"/>
      <c r="AZ117" s="74" t="s">
        <v>1559</v>
      </c>
      <c r="BA117" s="73">
        <f t="shared" ca="1" si="968"/>
        <v>0</v>
      </c>
      <c r="BB117" s="64"/>
      <c r="BC117" s="74" t="s">
        <v>80</v>
      </c>
      <c r="BD117" s="73">
        <f t="shared" ca="1" si="968"/>
        <v>10</v>
      </c>
      <c r="BE117" s="64"/>
      <c r="BF117" s="74" t="s">
        <v>80</v>
      </c>
      <c r="BG117" s="73">
        <f t="shared" ca="1" si="968"/>
        <v>10</v>
      </c>
      <c r="BH117" s="64"/>
      <c r="BI117" s="74" t="s">
        <v>80</v>
      </c>
      <c r="BJ117" s="73">
        <f t="shared" ca="1" si="968"/>
        <v>10</v>
      </c>
      <c r="BK117" s="64"/>
      <c r="BL117" s="74" t="s">
        <v>80</v>
      </c>
      <c r="BM117" s="73">
        <f t="shared" ca="1" si="968"/>
        <v>10</v>
      </c>
      <c r="BN117" s="64"/>
      <c r="BO117" s="74" t="s">
        <v>80</v>
      </c>
      <c r="BP117" s="73">
        <f t="shared" ca="1" si="968"/>
        <v>10</v>
      </c>
      <c r="BQ117" s="64"/>
      <c r="BR117" s="74" t="s">
        <v>1559</v>
      </c>
      <c r="BS117" s="73">
        <f t="shared" ca="1" si="968"/>
        <v>0</v>
      </c>
      <c r="BT117" s="64"/>
      <c r="BU117" s="74" t="s">
        <v>80</v>
      </c>
      <c r="BV117" s="73">
        <f t="shared" ca="1" si="968"/>
        <v>10</v>
      </c>
      <c r="BW117" s="64"/>
      <c r="BX117" s="74" t="s">
        <v>80</v>
      </c>
      <c r="BY117" s="73">
        <f t="shared" ca="1" si="968"/>
        <v>10</v>
      </c>
      <c r="BZ117" s="64"/>
      <c r="CA117" s="74" t="s">
        <v>80</v>
      </c>
      <c r="CB117" s="73">
        <f t="shared" ca="1" si="968"/>
        <v>10</v>
      </c>
      <c r="CC117" s="64"/>
      <c r="CD117" s="74" t="s">
        <v>80</v>
      </c>
      <c r="CE117" s="73">
        <f t="shared" ca="1" si="968"/>
        <v>10</v>
      </c>
      <c r="CF117" s="64"/>
      <c r="CG117" s="74" t="s">
        <v>80</v>
      </c>
      <c r="CH117" s="73">
        <f t="shared" ca="1" si="968"/>
        <v>10</v>
      </c>
      <c r="CI117" s="64"/>
      <c r="CJ117" s="74" t="s">
        <v>1559</v>
      </c>
      <c r="CK117" s="73">
        <f t="shared" ref="CK117:EV117" ca="1" si="969">($M117=CJ117)*$D$12</f>
        <v>0</v>
      </c>
      <c r="CL117" s="64"/>
      <c r="CM117" s="74" t="s">
        <v>1559</v>
      </c>
      <c r="CN117" s="73">
        <f t="shared" ca="1" si="969"/>
        <v>0</v>
      </c>
      <c r="CO117" s="64"/>
      <c r="CP117" s="74" t="s">
        <v>80</v>
      </c>
      <c r="CQ117" s="73">
        <f t="shared" ca="1" si="969"/>
        <v>10</v>
      </c>
      <c r="CR117" s="64"/>
      <c r="CS117" s="74" t="s">
        <v>80</v>
      </c>
      <c r="CT117" s="73">
        <f t="shared" ca="1" si="969"/>
        <v>10</v>
      </c>
      <c r="CU117" s="64"/>
      <c r="CV117" s="74" t="s">
        <v>1559</v>
      </c>
      <c r="CW117" s="73">
        <f t="shared" ca="1" si="969"/>
        <v>0</v>
      </c>
      <c r="CX117" s="64"/>
      <c r="CY117" s="74" t="s">
        <v>1256</v>
      </c>
      <c r="CZ117" s="73">
        <f t="shared" ca="1" si="969"/>
        <v>0</v>
      </c>
      <c r="DA117" s="64"/>
      <c r="DB117" s="74" t="s">
        <v>80</v>
      </c>
      <c r="DC117" s="73">
        <f t="shared" ca="1" si="969"/>
        <v>10</v>
      </c>
      <c r="DD117" s="64"/>
      <c r="DE117" s="74" t="s">
        <v>80</v>
      </c>
      <c r="DF117" s="73">
        <f t="shared" ca="1" si="969"/>
        <v>10</v>
      </c>
      <c r="DG117" s="64"/>
      <c r="DH117" s="74" t="s">
        <v>1559</v>
      </c>
      <c r="DI117" s="73">
        <f t="shared" ca="1" si="969"/>
        <v>0</v>
      </c>
      <c r="DJ117" s="64"/>
      <c r="DK117" s="74" t="s">
        <v>80</v>
      </c>
      <c r="DL117" s="73">
        <f t="shared" ca="1" si="969"/>
        <v>10</v>
      </c>
      <c r="DM117" s="64"/>
      <c r="DN117" s="74" t="s">
        <v>80</v>
      </c>
      <c r="DO117" s="73">
        <f t="shared" ca="1" si="969"/>
        <v>10</v>
      </c>
      <c r="DP117" s="64"/>
      <c r="DQ117" s="74" t="s">
        <v>80</v>
      </c>
      <c r="DR117" s="73">
        <f t="shared" ca="1" si="969"/>
        <v>10</v>
      </c>
      <c r="DS117" s="64"/>
      <c r="DT117" s="74" t="s">
        <v>80</v>
      </c>
      <c r="DU117" s="73">
        <f t="shared" ca="1" si="969"/>
        <v>10</v>
      </c>
      <c r="DV117" s="64"/>
      <c r="DW117" s="74" t="s">
        <v>1256</v>
      </c>
      <c r="DX117" s="73">
        <f t="shared" ca="1" si="969"/>
        <v>0</v>
      </c>
      <c r="DY117" s="64"/>
      <c r="DZ117" s="74" t="s">
        <v>80</v>
      </c>
      <c r="EA117" s="73">
        <f t="shared" ca="1" si="969"/>
        <v>10</v>
      </c>
      <c r="EB117" s="64"/>
      <c r="EC117" s="74" t="s">
        <v>80</v>
      </c>
      <c r="ED117" s="73">
        <f t="shared" ca="1" si="969"/>
        <v>10</v>
      </c>
      <c r="EE117" s="64"/>
      <c r="EF117" s="74" t="s">
        <v>1559</v>
      </c>
      <c r="EG117" s="73">
        <f t="shared" ca="1" si="969"/>
        <v>0</v>
      </c>
      <c r="EH117" s="64"/>
      <c r="EI117" s="74" t="s">
        <v>80</v>
      </c>
      <c r="EJ117" s="73">
        <f t="shared" ca="1" si="969"/>
        <v>10</v>
      </c>
      <c r="EK117" s="64"/>
      <c r="EL117" s="74" t="s">
        <v>80</v>
      </c>
      <c r="EM117" s="73">
        <f t="shared" ca="1" si="969"/>
        <v>10</v>
      </c>
      <c r="EN117" s="64"/>
      <c r="EO117" s="74" t="s">
        <v>80</v>
      </c>
      <c r="EP117" s="73">
        <f t="shared" ca="1" si="969"/>
        <v>10</v>
      </c>
      <c r="EQ117" s="64"/>
      <c r="ER117" s="74" t="s">
        <v>80</v>
      </c>
      <c r="ES117" s="73">
        <f t="shared" ca="1" si="969"/>
        <v>10</v>
      </c>
      <c r="ET117" s="64"/>
      <c r="EU117" s="74" t="s">
        <v>80</v>
      </c>
      <c r="EV117" s="73">
        <f t="shared" ca="1" si="969"/>
        <v>10</v>
      </c>
      <c r="EW117" s="64"/>
      <c r="EX117" s="74" t="s">
        <v>80</v>
      </c>
      <c r="EY117" s="73">
        <f t="shared" ref="EY117:HJ117" ca="1" si="970">($M117=EX117)*$D$12</f>
        <v>10</v>
      </c>
      <c r="EZ117" s="64"/>
      <c r="FA117" s="74" t="s">
        <v>80</v>
      </c>
      <c r="FB117" s="73">
        <f t="shared" ca="1" si="970"/>
        <v>10</v>
      </c>
      <c r="FC117" s="64"/>
      <c r="FD117" s="74" t="s">
        <v>80</v>
      </c>
      <c r="FE117" s="73">
        <f t="shared" ca="1" si="970"/>
        <v>10</v>
      </c>
      <c r="FF117" s="64"/>
      <c r="FG117" s="74" t="s">
        <v>80</v>
      </c>
      <c r="FH117" s="73">
        <f t="shared" ca="1" si="970"/>
        <v>10</v>
      </c>
      <c r="FI117" s="64"/>
      <c r="FJ117" s="74" t="s">
        <v>80</v>
      </c>
      <c r="FK117" s="73">
        <f t="shared" ca="1" si="970"/>
        <v>10</v>
      </c>
      <c r="FL117" s="64"/>
      <c r="FM117" s="74" t="s">
        <v>80</v>
      </c>
      <c r="FN117" s="73">
        <f t="shared" ca="1" si="970"/>
        <v>10</v>
      </c>
      <c r="FO117" s="64"/>
      <c r="FP117" s="74" t="s">
        <v>80</v>
      </c>
      <c r="FQ117" s="73">
        <f t="shared" ca="1" si="970"/>
        <v>10</v>
      </c>
      <c r="FR117" s="64"/>
      <c r="FS117" s="74" t="s">
        <v>80</v>
      </c>
      <c r="FT117" s="73">
        <f t="shared" ca="1" si="970"/>
        <v>10</v>
      </c>
      <c r="FU117" s="64"/>
      <c r="FV117" s="74" t="s">
        <v>1559</v>
      </c>
      <c r="FW117" s="73">
        <f t="shared" ca="1" si="970"/>
        <v>0</v>
      </c>
      <c r="FX117" s="64"/>
      <c r="FY117" s="74" t="s">
        <v>1559</v>
      </c>
      <c r="FZ117" s="73">
        <f t="shared" ca="1" si="970"/>
        <v>0</v>
      </c>
      <c r="GA117" s="64"/>
      <c r="GB117" s="74" t="s">
        <v>1559</v>
      </c>
      <c r="GC117" s="73">
        <f t="shared" ca="1" si="970"/>
        <v>0</v>
      </c>
      <c r="GD117" s="64"/>
      <c r="GE117" s="74" t="s">
        <v>80</v>
      </c>
      <c r="GF117" s="73">
        <f t="shared" ca="1" si="970"/>
        <v>10</v>
      </c>
      <c r="GG117" s="64"/>
      <c r="GH117" s="74" t="s">
        <v>1256</v>
      </c>
      <c r="GI117" s="73">
        <f t="shared" ca="1" si="970"/>
        <v>0</v>
      </c>
      <c r="GJ117" s="64"/>
      <c r="GK117" s="74" t="s">
        <v>1559</v>
      </c>
      <c r="GL117" s="73">
        <f t="shared" ca="1" si="970"/>
        <v>0</v>
      </c>
      <c r="GM117" s="64"/>
      <c r="GN117" s="74"/>
      <c r="GO117" s="73">
        <f t="shared" ca="1" si="970"/>
        <v>0</v>
      </c>
      <c r="GP117" s="64"/>
      <c r="GQ117" s="74"/>
      <c r="GR117" s="73">
        <f t="shared" ca="1" si="970"/>
        <v>0</v>
      </c>
      <c r="GS117" s="64"/>
      <c r="GT117" s="74"/>
      <c r="GU117" s="73">
        <f t="shared" ca="1" si="970"/>
        <v>0</v>
      </c>
      <c r="GV117" s="64"/>
      <c r="GW117" s="74"/>
      <c r="GX117" s="73">
        <f t="shared" ca="1" si="970"/>
        <v>0</v>
      </c>
      <c r="GY117" s="64"/>
      <c r="GZ117" s="74"/>
      <c r="HA117" s="73">
        <f t="shared" ca="1" si="970"/>
        <v>0</v>
      </c>
      <c r="HB117" s="64"/>
      <c r="HC117" s="74"/>
      <c r="HD117" s="73">
        <f t="shared" ca="1" si="970"/>
        <v>0</v>
      </c>
      <c r="HE117" s="64"/>
      <c r="HF117" s="74"/>
      <c r="HG117" s="73">
        <f t="shared" ca="1" si="970"/>
        <v>0</v>
      </c>
      <c r="HH117" s="64"/>
      <c r="HI117" s="74"/>
      <c r="HJ117" s="73">
        <f t="shared" ca="1" si="970"/>
        <v>0</v>
      </c>
      <c r="HK117" s="64"/>
      <c r="HL117" s="74"/>
      <c r="HM117" s="73">
        <f t="shared" ref="HM117:JX117" ca="1" si="971">($M117=HL117)*$D$12</f>
        <v>0</v>
      </c>
      <c r="HN117" s="64"/>
      <c r="HO117" s="74"/>
      <c r="HP117" s="73">
        <f t="shared" ca="1" si="971"/>
        <v>0</v>
      </c>
      <c r="HQ117" s="64"/>
      <c r="HR117" s="74"/>
      <c r="HS117" s="73">
        <f t="shared" ca="1" si="971"/>
        <v>0</v>
      </c>
      <c r="HT117" s="64"/>
      <c r="HU117" s="74"/>
      <c r="HV117" s="73">
        <f t="shared" ca="1" si="971"/>
        <v>0</v>
      </c>
      <c r="HW117" s="64"/>
      <c r="HX117" s="74"/>
      <c r="HY117" s="73">
        <f t="shared" ca="1" si="971"/>
        <v>0</v>
      </c>
      <c r="HZ117" s="64"/>
      <c r="IA117" s="74"/>
      <c r="IB117" s="73">
        <f t="shared" ca="1" si="971"/>
        <v>0</v>
      </c>
      <c r="IC117" s="64"/>
      <c r="ID117" s="74"/>
      <c r="IE117" s="73">
        <f t="shared" ca="1" si="971"/>
        <v>0</v>
      </c>
      <c r="IF117" s="64"/>
      <c r="IG117" s="74"/>
      <c r="IH117" s="73">
        <f t="shared" ca="1" si="971"/>
        <v>0</v>
      </c>
      <c r="II117" s="64"/>
      <c r="IJ117" s="74"/>
      <c r="IK117" s="73">
        <f t="shared" ca="1" si="971"/>
        <v>0</v>
      </c>
      <c r="IL117" s="64"/>
      <c r="IM117" s="74"/>
      <c r="IN117" s="73">
        <f t="shared" ca="1" si="971"/>
        <v>0</v>
      </c>
      <c r="IO117" s="64"/>
      <c r="IP117" s="74"/>
      <c r="IQ117" s="73">
        <f t="shared" ca="1" si="971"/>
        <v>0</v>
      </c>
      <c r="IR117" s="64"/>
      <c r="IS117" s="74"/>
      <c r="IT117" s="73">
        <f t="shared" ca="1" si="971"/>
        <v>0</v>
      </c>
      <c r="IU117" s="64"/>
      <c r="IV117" s="74"/>
      <c r="IW117" s="73">
        <f t="shared" ca="1" si="971"/>
        <v>0</v>
      </c>
      <c r="IX117" s="64"/>
      <c r="IY117" s="74"/>
      <c r="IZ117" s="73">
        <f t="shared" ca="1" si="971"/>
        <v>0</v>
      </c>
      <c r="JA117" s="64"/>
      <c r="JB117" s="74"/>
      <c r="JC117" s="73">
        <f t="shared" ca="1" si="971"/>
        <v>0</v>
      </c>
      <c r="JD117" s="64"/>
      <c r="JE117" s="74"/>
      <c r="JF117" s="73">
        <f t="shared" ca="1" si="971"/>
        <v>0</v>
      </c>
      <c r="JG117" s="64"/>
      <c r="JH117" s="74"/>
      <c r="JI117" s="73">
        <f t="shared" ca="1" si="971"/>
        <v>0</v>
      </c>
      <c r="JJ117" s="64"/>
      <c r="JK117" s="74"/>
      <c r="JL117" s="73">
        <f t="shared" ca="1" si="971"/>
        <v>0</v>
      </c>
      <c r="JM117" s="64"/>
      <c r="JN117" s="74"/>
      <c r="JO117" s="73">
        <f t="shared" ca="1" si="971"/>
        <v>0</v>
      </c>
      <c r="JP117" s="64"/>
      <c r="JQ117" s="74"/>
      <c r="JR117" s="73">
        <f t="shared" ca="1" si="971"/>
        <v>0</v>
      </c>
      <c r="JS117" s="64"/>
      <c r="JT117" s="74"/>
      <c r="JU117" s="73">
        <f t="shared" ca="1" si="971"/>
        <v>0</v>
      </c>
      <c r="JV117" s="64"/>
      <c r="JW117" s="74"/>
      <c r="JX117" s="73">
        <f t="shared" ca="1" si="971"/>
        <v>0</v>
      </c>
      <c r="JY117" s="64"/>
      <c r="JZ117" s="74"/>
      <c r="KA117" s="73">
        <f t="shared" ref="KA117:LE117" ca="1" si="972">($M117=JZ117)*$D$12</f>
        <v>0</v>
      </c>
      <c r="KB117" s="64"/>
      <c r="KC117" s="74"/>
      <c r="KD117" s="73">
        <f t="shared" ca="1" si="972"/>
        <v>0</v>
      </c>
      <c r="KE117" s="64"/>
      <c r="KF117" s="74"/>
      <c r="KG117" s="73">
        <f t="shared" ca="1" si="972"/>
        <v>0</v>
      </c>
      <c r="KH117" s="64"/>
      <c r="KI117" s="74"/>
      <c r="KJ117" s="73">
        <f t="shared" ca="1" si="972"/>
        <v>0</v>
      </c>
      <c r="KK117" s="64"/>
      <c r="KL117" s="74"/>
      <c r="KM117" s="73">
        <f t="shared" ca="1" si="972"/>
        <v>0</v>
      </c>
      <c r="KN117" s="64"/>
      <c r="KO117" s="74"/>
      <c r="KP117" s="73">
        <f t="shared" ca="1" si="972"/>
        <v>0</v>
      </c>
      <c r="KQ117" s="64"/>
      <c r="KR117" s="74"/>
      <c r="KS117" s="73">
        <f t="shared" ca="1" si="972"/>
        <v>0</v>
      </c>
      <c r="KT117" s="64"/>
      <c r="KU117" s="74"/>
      <c r="KV117" s="73">
        <f t="shared" ca="1" si="972"/>
        <v>0</v>
      </c>
      <c r="KW117" s="64"/>
      <c r="KX117" s="74"/>
      <c r="KY117" s="73">
        <f t="shared" ca="1" si="972"/>
        <v>0</v>
      </c>
      <c r="KZ117" s="64"/>
      <c r="LA117" s="74"/>
      <c r="LB117" s="73">
        <f t="shared" ca="1" si="972"/>
        <v>0</v>
      </c>
      <c r="LC117" s="64"/>
      <c r="LD117" s="74"/>
      <c r="LE117" s="73">
        <f t="shared" ca="1" si="972"/>
        <v>0</v>
      </c>
      <c r="LF117" s="64"/>
      <c r="LG117" s="64"/>
    </row>
    <row r="118" spans="1:319">
      <c r="A118" s="49"/>
      <c r="B118" s="49"/>
      <c r="C118" s="49"/>
      <c r="D118" s="49"/>
      <c r="E118" s="65"/>
      <c r="F118" s="127">
        <f t="shared" ref="F118" si="973">$D$13</f>
        <v>5</v>
      </c>
      <c r="G118" s="445">
        <f ca="1">VLOOKUP(H118,Equipos!$Q$1:$R$25,2,0)</f>
        <v>18</v>
      </c>
      <c r="H118" s="446">
        <f ca="1">$H$72</f>
        <v>46201</v>
      </c>
      <c r="I118" s="50"/>
      <c r="J118" s="847"/>
      <c r="K118" s="56" t="str">
        <f>Idiomas!D188</f>
        <v>3rd GROUP J</v>
      </c>
      <c r="L118" s="53"/>
      <c r="M118" s="55" t="str">
        <f ca="1">IF(OR(SUM(WORLDCUP!$AN$78:$AN$81)=12,WORLDCUP!$AJ$99=144),WORLDCUP!AL80,LEFT(K118,1)&amp;RIGHT(K118,1))</f>
        <v>Algeria</v>
      </c>
      <c r="N118" s="25"/>
      <c r="O118" s="25"/>
      <c r="P118" s="25"/>
      <c r="Q118" s="25"/>
      <c r="R118" s="110"/>
      <c r="S118" s="74" t="s">
        <v>1559</v>
      </c>
      <c r="T118" s="73">
        <f t="shared" ref="T118" ca="1" si="974">($M118=S118)*$D$13</f>
        <v>5</v>
      </c>
      <c r="U118" s="64"/>
      <c r="V118" s="74" t="s">
        <v>1559</v>
      </c>
      <c r="W118" s="73">
        <f t="shared" ref="W118:CH118" ca="1" si="975">($M118=V118)*$D$13</f>
        <v>5</v>
      </c>
      <c r="X118" s="64"/>
      <c r="Y118" s="74" t="s">
        <v>1559</v>
      </c>
      <c r="Z118" s="73">
        <f t="shared" ca="1" si="975"/>
        <v>5</v>
      </c>
      <c r="AA118" s="64"/>
      <c r="AB118" s="74" t="s">
        <v>1559</v>
      </c>
      <c r="AC118" s="73">
        <f t="shared" ca="1" si="975"/>
        <v>5</v>
      </c>
      <c r="AD118" s="64"/>
      <c r="AE118" s="74" t="s">
        <v>1559</v>
      </c>
      <c r="AF118" s="73">
        <f t="shared" ca="1" si="975"/>
        <v>5</v>
      </c>
      <c r="AG118" s="64"/>
      <c r="AH118" s="74" t="s">
        <v>80</v>
      </c>
      <c r="AI118" s="73">
        <f t="shared" ca="1" si="975"/>
        <v>0</v>
      </c>
      <c r="AJ118" s="64"/>
      <c r="AK118" s="74" t="s">
        <v>1559</v>
      </c>
      <c r="AL118" s="73">
        <f t="shared" ca="1" si="975"/>
        <v>5</v>
      </c>
      <c r="AM118" s="64"/>
      <c r="AN118" s="74" t="s">
        <v>80</v>
      </c>
      <c r="AO118" s="73">
        <f t="shared" ca="1" si="975"/>
        <v>0</v>
      </c>
      <c r="AP118" s="64"/>
      <c r="AQ118" s="74" t="s">
        <v>1559</v>
      </c>
      <c r="AR118" s="73">
        <f t="shared" ca="1" si="975"/>
        <v>5</v>
      </c>
      <c r="AS118" s="64"/>
      <c r="AT118" s="74" t="s">
        <v>1286</v>
      </c>
      <c r="AU118" s="73">
        <f t="shared" ca="1" si="975"/>
        <v>0</v>
      </c>
      <c r="AV118" s="64"/>
      <c r="AW118" s="74" t="s">
        <v>1559</v>
      </c>
      <c r="AX118" s="73">
        <f t="shared" ca="1" si="975"/>
        <v>5</v>
      </c>
      <c r="AY118" s="64"/>
      <c r="AZ118" s="74" t="s">
        <v>80</v>
      </c>
      <c r="BA118" s="73">
        <f t="shared" ca="1" si="975"/>
        <v>0</v>
      </c>
      <c r="BB118" s="64"/>
      <c r="BC118" s="74" t="s">
        <v>1559</v>
      </c>
      <c r="BD118" s="73">
        <f t="shared" ca="1" si="975"/>
        <v>5</v>
      </c>
      <c r="BE118" s="64"/>
      <c r="BF118" s="74" t="s">
        <v>1559</v>
      </c>
      <c r="BG118" s="73">
        <f t="shared" ca="1" si="975"/>
        <v>5</v>
      </c>
      <c r="BH118" s="64"/>
      <c r="BI118" s="74" t="s">
        <v>1559</v>
      </c>
      <c r="BJ118" s="73">
        <f t="shared" ca="1" si="975"/>
        <v>5</v>
      </c>
      <c r="BK118" s="64"/>
      <c r="BL118" s="74" t="s">
        <v>1559</v>
      </c>
      <c r="BM118" s="73">
        <f t="shared" ca="1" si="975"/>
        <v>5</v>
      </c>
      <c r="BN118" s="64"/>
      <c r="BO118" s="74" t="s">
        <v>1559</v>
      </c>
      <c r="BP118" s="73">
        <f t="shared" ca="1" si="975"/>
        <v>5</v>
      </c>
      <c r="BQ118" s="64"/>
      <c r="BR118" s="74" t="s">
        <v>80</v>
      </c>
      <c r="BS118" s="73">
        <f t="shared" ca="1" si="975"/>
        <v>0</v>
      </c>
      <c r="BT118" s="64"/>
      <c r="BU118" s="74" t="s">
        <v>1559</v>
      </c>
      <c r="BV118" s="73">
        <f t="shared" ca="1" si="975"/>
        <v>5</v>
      </c>
      <c r="BW118" s="64"/>
      <c r="BX118" s="74" t="s">
        <v>1559</v>
      </c>
      <c r="BY118" s="73">
        <f t="shared" ca="1" si="975"/>
        <v>5</v>
      </c>
      <c r="BZ118" s="64"/>
      <c r="CA118" s="74" t="s">
        <v>1559</v>
      </c>
      <c r="CB118" s="73">
        <f t="shared" ca="1" si="975"/>
        <v>5</v>
      </c>
      <c r="CC118" s="64"/>
      <c r="CD118" s="74" t="s">
        <v>1559</v>
      </c>
      <c r="CE118" s="73">
        <f t="shared" ca="1" si="975"/>
        <v>5</v>
      </c>
      <c r="CF118" s="64"/>
      <c r="CG118" s="74" t="s">
        <v>1559</v>
      </c>
      <c r="CH118" s="73">
        <f t="shared" ca="1" si="975"/>
        <v>5</v>
      </c>
      <c r="CI118" s="64"/>
      <c r="CJ118" s="74" t="s">
        <v>80</v>
      </c>
      <c r="CK118" s="73">
        <f t="shared" ref="CK118:EV118" ca="1" si="976">($M118=CJ118)*$D$13</f>
        <v>0</v>
      </c>
      <c r="CL118" s="64"/>
      <c r="CM118" s="74" t="s">
        <v>80</v>
      </c>
      <c r="CN118" s="73">
        <f t="shared" ca="1" si="976"/>
        <v>0</v>
      </c>
      <c r="CO118" s="64"/>
      <c r="CP118" s="74" t="s">
        <v>1559</v>
      </c>
      <c r="CQ118" s="73">
        <f t="shared" ca="1" si="976"/>
        <v>5</v>
      </c>
      <c r="CR118" s="64"/>
      <c r="CS118" s="74" t="s">
        <v>1559</v>
      </c>
      <c r="CT118" s="73">
        <f t="shared" ca="1" si="976"/>
        <v>5</v>
      </c>
      <c r="CU118" s="64"/>
      <c r="CV118" s="74" t="s">
        <v>80</v>
      </c>
      <c r="CW118" s="73">
        <f t="shared" ca="1" si="976"/>
        <v>0</v>
      </c>
      <c r="CX118" s="64"/>
      <c r="CY118" s="74" t="s">
        <v>1286</v>
      </c>
      <c r="CZ118" s="73">
        <f t="shared" ca="1" si="976"/>
        <v>0</v>
      </c>
      <c r="DA118" s="64"/>
      <c r="DB118" s="74" t="s">
        <v>1559</v>
      </c>
      <c r="DC118" s="73">
        <f t="shared" ca="1" si="976"/>
        <v>5</v>
      </c>
      <c r="DD118" s="64"/>
      <c r="DE118" s="74" t="s">
        <v>1559</v>
      </c>
      <c r="DF118" s="73">
        <f t="shared" ca="1" si="976"/>
        <v>5</v>
      </c>
      <c r="DG118" s="64"/>
      <c r="DH118" s="74" t="s">
        <v>80</v>
      </c>
      <c r="DI118" s="73">
        <f t="shared" ca="1" si="976"/>
        <v>0</v>
      </c>
      <c r="DJ118" s="64"/>
      <c r="DK118" s="74" t="s">
        <v>1559</v>
      </c>
      <c r="DL118" s="73">
        <f t="shared" ca="1" si="976"/>
        <v>5</v>
      </c>
      <c r="DM118" s="64"/>
      <c r="DN118" s="74" t="s">
        <v>1559</v>
      </c>
      <c r="DO118" s="73">
        <f t="shared" ca="1" si="976"/>
        <v>5</v>
      </c>
      <c r="DP118" s="64"/>
      <c r="DQ118" s="74" t="s">
        <v>1559</v>
      </c>
      <c r="DR118" s="73">
        <f t="shared" ca="1" si="976"/>
        <v>5</v>
      </c>
      <c r="DS118" s="64"/>
      <c r="DT118" s="74" t="s">
        <v>1559</v>
      </c>
      <c r="DU118" s="73">
        <f t="shared" ca="1" si="976"/>
        <v>5</v>
      </c>
      <c r="DV118" s="64"/>
      <c r="DW118" s="74" t="s">
        <v>1559</v>
      </c>
      <c r="DX118" s="73">
        <f t="shared" ca="1" si="976"/>
        <v>5</v>
      </c>
      <c r="DY118" s="64"/>
      <c r="DZ118" s="74" t="s">
        <v>1559</v>
      </c>
      <c r="EA118" s="73">
        <f t="shared" ca="1" si="976"/>
        <v>5</v>
      </c>
      <c r="EB118" s="64"/>
      <c r="EC118" s="74" t="s">
        <v>1559</v>
      </c>
      <c r="ED118" s="73">
        <f t="shared" ca="1" si="976"/>
        <v>5</v>
      </c>
      <c r="EE118" s="64"/>
      <c r="EF118" s="74" t="s">
        <v>80</v>
      </c>
      <c r="EG118" s="73">
        <f t="shared" ca="1" si="976"/>
        <v>0</v>
      </c>
      <c r="EH118" s="64"/>
      <c r="EI118" s="74" t="s">
        <v>1559</v>
      </c>
      <c r="EJ118" s="73">
        <f t="shared" ca="1" si="976"/>
        <v>5</v>
      </c>
      <c r="EK118" s="64"/>
      <c r="EL118" s="74" t="s">
        <v>1559</v>
      </c>
      <c r="EM118" s="73">
        <f t="shared" ca="1" si="976"/>
        <v>5</v>
      </c>
      <c r="EN118" s="64"/>
      <c r="EO118" s="74" t="s">
        <v>1559</v>
      </c>
      <c r="EP118" s="73">
        <f t="shared" ca="1" si="976"/>
        <v>5</v>
      </c>
      <c r="EQ118" s="64"/>
      <c r="ER118" s="74" t="s">
        <v>1559</v>
      </c>
      <c r="ES118" s="73">
        <f t="shared" ca="1" si="976"/>
        <v>5</v>
      </c>
      <c r="ET118" s="64"/>
      <c r="EU118" s="74" t="s">
        <v>1559</v>
      </c>
      <c r="EV118" s="73">
        <f t="shared" ca="1" si="976"/>
        <v>5</v>
      </c>
      <c r="EW118" s="64"/>
      <c r="EX118" s="74" t="s">
        <v>1559</v>
      </c>
      <c r="EY118" s="73">
        <f t="shared" ref="EY118:HJ118" ca="1" si="977">($M118=EX118)*$D$13</f>
        <v>5</v>
      </c>
      <c r="EZ118" s="64"/>
      <c r="FA118" s="74" t="s">
        <v>1559</v>
      </c>
      <c r="FB118" s="73">
        <f t="shared" ca="1" si="977"/>
        <v>5</v>
      </c>
      <c r="FC118" s="64"/>
      <c r="FD118" s="74" t="s">
        <v>1286</v>
      </c>
      <c r="FE118" s="73">
        <f t="shared" ca="1" si="977"/>
        <v>0</v>
      </c>
      <c r="FF118" s="64"/>
      <c r="FG118" s="74" t="s">
        <v>1559</v>
      </c>
      <c r="FH118" s="73">
        <f t="shared" ca="1" si="977"/>
        <v>5</v>
      </c>
      <c r="FI118" s="64"/>
      <c r="FJ118" s="74" t="s">
        <v>1559</v>
      </c>
      <c r="FK118" s="73">
        <f t="shared" ca="1" si="977"/>
        <v>5</v>
      </c>
      <c r="FL118" s="64"/>
      <c r="FM118" s="74" t="s">
        <v>1559</v>
      </c>
      <c r="FN118" s="73">
        <f t="shared" ca="1" si="977"/>
        <v>5</v>
      </c>
      <c r="FO118" s="64"/>
      <c r="FP118" s="74" t="s">
        <v>1559</v>
      </c>
      <c r="FQ118" s="73">
        <f t="shared" ca="1" si="977"/>
        <v>5</v>
      </c>
      <c r="FR118" s="64"/>
      <c r="FS118" s="74" t="s">
        <v>1559</v>
      </c>
      <c r="FT118" s="73">
        <f t="shared" ca="1" si="977"/>
        <v>5</v>
      </c>
      <c r="FU118" s="64"/>
      <c r="FV118" s="74" t="s">
        <v>80</v>
      </c>
      <c r="FW118" s="73">
        <f t="shared" ca="1" si="977"/>
        <v>0</v>
      </c>
      <c r="FX118" s="64"/>
      <c r="FY118" s="74" t="s">
        <v>80</v>
      </c>
      <c r="FZ118" s="73">
        <f t="shared" ca="1" si="977"/>
        <v>0</v>
      </c>
      <c r="GA118" s="64"/>
      <c r="GB118" s="74" t="s">
        <v>80</v>
      </c>
      <c r="GC118" s="73">
        <f t="shared" ca="1" si="977"/>
        <v>0</v>
      </c>
      <c r="GD118" s="64"/>
      <c r="GE118" s="74" t="s">
        <v>1559</v>
      </c>
      <c r="GF118" s="73">
        <f t="shared" ca="1" si="977"/>
        <v>5</v>
      </c>
      <c r="GG118" s="64"/>
      <c r="GH118" s="74" t="s">
        <v>1559</v>
      </c>
      <c r="GI118" s="73">
        <f t="shared" ca="1" si="977"/>
        <v>5</v>
      </c>
      <c r="GJ118" s="64"/>
      <c r="GK118" s="74" t="s">
        <v>80</v>
      </c>
      <c r="GL118" s="73">
        <f t="shared" ca="1" si="977"/>
        <v>0</v>
      </c>
      <c r="GM118" s="64"/>
      <c r="GN118" s="74"/>
      <c r="GO118" s="73">
        <f t="shared" ca="1" si="977"/>
        <v>0</v>
      </c>
      <c r="GP118" s="64"/>
      <c r="GQ118" s="74"/>
      <c r="GR118" s="73">
        <f t="shared" ca="1" si="977"/>
        <v>0</v>
      </c>
      <c r="GS118" s="64"/>
      <c r="GT118" s="74"/>
      <c r="GU118" s="73">
        <f t="shared" ca="1" si="977"/>
        <v>0</v>
      </c>
      <c r="GV118" s="64"/>
      <c r="GW118" s="74"/>
      <c r="GX118" s="73">
        <f t="shared" ca="1" si="977"/>
        <v>0</v>
      </c>
      <c r="GY118" s="64"/>
      <c r="GZ118" s="74"/>
      <c r="HA118" s="73">
        <f t="shared" ca="1" si="977"/>
        <v>0</v>
      </c>
      <c r="HB118" s="64"/>
      <c r="HC118" s="74"/>
      <c r="HD118" s="73">
        <f t="shared" ca="1" si="977"/>
        <v>0</v>
      </c>
      <c r="HE118" s="64"/>
      <c r="HF118" s="74"/>
      <c r="HG118" s="73">
        <f t="shared" ca="1" si="977"/>
        <v>0</v>
      </c>
      <c r="HH118" s="64"/>
      <c r="HI118" s="74"/>
      <c r="HJ118" s="73">
        <f t="shared" ca="1" si="977"/>
        <v>0</v>
      </c>
      <c r="HK118" s="64"/>
      <c r="HL118" s="74"/>
      <c r="HM118" s="73">
        <f t="shared" ref="HM118:JX118" ca="1" si="978">($M118=HL118)*$D$13</f>
        <v>0</v>
      </c>
      <c r="HN118" s="64"/>
      <c r="HO118" s="74"/>
      <c r="HP118" s="73">
        <f t="shared" ca="1" si="978"/>
        <v>0</v>
      </c>
      <c r="HQ118" s="64"/>
      <c r="HR118" s="74"/>
      <c r="HS118" s="73">
        <f t="shared" ca="1" si="978"/>
        <v>0</v>
      </c>
      <c r="HT118" s="64"/>
      <c r="HU118" s="74"/>
      <c r="HV118" s="73">
        <f t="shared" ca="1" si="978"/>
        <v>0</v>
      </c>
      <c r="HW118" s="64"/>
      <c r="HX118" s="74"/>
      <c r="HY118" s="73">
        <f t="shared" ca="1" si="978"/>
        <v>0</v>
      </c>
      <c r="HZ118" s="64"/>
      <c r="IA118" s="74"/>
      <c r="IB118" s="73">
        <f t="shared" ca="1" si="978"/>
        <v>0</v>
      </c>
      <c r="IC118" s="64"/>
      <c r="ID118" s="74"/>
      <c r="IE118" s="73">
        <f t="shared" ca="1" si="978"/>
        <v>0</v>
      </c>
      <c r="IF118" s="64"/>
      <c r="IG118" s="74"/>
      <c r="IH118" s="73">
        <f t="shared" ca="1" si="978"/>
        <v>0</v>
      </c>
      <c r="II118" s="64"/>
      <c r="IJ118" s="74"/>
      <c r="IK118" s="73">
        <f t="shared" ca="1" si="978"/>
        <v>0</v>
      </c>
      <c r="IL118" s="64"/>
      <c r="IM118" s="74"/>
      <c r="IN118" s="73">
        <f t="shared" ca="1" si="978"/>
        <v>0</v>
      </c>
      <c r="IO118" s="64"/>
      <c r="IP118" s="74"/>
      <c r="IQ118" s="73">
        <f t="shared" ca="1" si="978"/>
        <v>0</v>
      </c>
      <c r="IR118" s="64"/>
      <c r="IS118" s="74"/>
      <c r="IT118" s="73">
        <f t="shared" ca="1" si="978"/>
        <v>0</v>
      </c>
      <c r="IU118" s="64"/>
      <c r="IV118" s="74"/>
      <c r="IW118" s="73">
        <f t="shared" ca="1" si="978"/>
        <v>0</v>
      </c>
      <c r="IX118" s="64"/>
      <c r="IY118" s="74"/>
      <c r="IZ118" s="73">
        <f t="shared" ca="1" si="978"/>
        <v>0</v>
      </c>
      <c r="JA118" s="64"/>
      <c r="JB118" s="74"/>
      <c r="JC118" s="73">
        <f t="shared" ca="1" si="978"/>
        <v>0</v>
      </c>
      <c r="JD118" s="64"/>
      <c r="JE118" s="74"/>
      <c r="JF118" s="73">
        <f t="shared" ca="1" si="978"/>
        <v>0</v>
      </c>
      <c r="JG118" s="64"/>
      <c r="JH118" s="74"/>
      <c r="JI118" s="73">
        <f t="shared" ca="1" si="978"/>
        <v>0</v>
      </c>
      <c r="JJ118" s="64"/>
      <c r="JK118" s="74"/>
      <c r="JL118" s="73">
        <f t="shared" ca="1" si="978"/>
        <v>0</v>
      </c>
      <c r="JM118" s="64"/>
      <c r="JN118" s="74"/>
      <c r="JO118" s="73">
        <f t="shared" ca="1" si="978"/>
        <v>0</v>
      </c>
      <c r="JP118" s="64"/>
      <c r="JQ118" s="74"/>
      <c r="JR118" s="73">
        <f t="shared" ca="1" si="978"/>
        <v>0</v>
      </c>
      <c r="JS118" s="64"/>
      <c r="JT118" s="74"/>
      <c r="JU118" s="73">
        <f t="shared" ca="1" si="978"/>
        <v>0</v>
      </c>
      <c r="JV118" s="64"/>
      <c r="JW118" s="74"/>
      <c r="JX118" s="73">
        <f t="shared" ca="1" si="978"/>
        <v>0</v>
      </c>
      <c r="JY118" s="64"/>
      <c r="JZ118" s="74"/>
      <c r="KA118" s="73">
        <f t="shared" ref="KA118:LE118" ca="1" si="979">($M118=JZ118)*$D$13</f>
        <v>0</v>
      </c>
      <c r="KB118" s="64"/>
      <c r="KC118" s="74"/>
      <c r="KD118" s="73">
        <f t="shared" ca="1" si="979"/>
        <v>0</v>
      </c>
      <c r="KE118" s="64"/>
      <c r="KF118" s="74"/>
      <c r="KG118" s="73">
        <f t="shared" ca="1" si="979"/>
        <v>0</v>
      </c>
      <c r="KH118" s="64"/>
      <c r="KI118" s="74"/>
      <c r="KJ118" s="73">
        <f t="shared" ca="1" si="979"/>
        <v>0</v>
      </c>
      <c r="KK118" s="64"/>
      <c r="KL118" s="74"/>
      <c r="KM118" s="73">
        <f t="shared" ca="1" si="979"/>
        <v>0</v>
      </c>
      <c r="KN118" s="64"/>
      <c r="KO118" s="74"/>
      <c r="KP118" s="73">
        <f t="shared" ca="1" si="979"/>
        <v>0</v>
      </c>
      <c r="KQ118" s="64"/>
      <c r="KR118" s="74"/>
      <c r="KS118" s="73">
        <f t="shared" ca="1" si="979"/>
        <v>0</v>
      </c>
      <c r="KT118" s="64"/>
      <c r="KU118" s="74"/>
      <c r="KV118" s="73">
        <f t="shared" ca="1" si="979"/>
        <v>0</v>
      </c>
      <c r="KW118" s="64"/>
      <c r="KX118" s="74"/>
      <c r="KY118" s="73">
        <f t="shared" ca="1" si="979"/>
        <v>0</v>
      </c>
      <c r="KZ118" s="64"/>
      <c r="LA118" s="74"/>
      <c r="LB118" s="73">
        <f t="shared" ca="1" si="979"/>
        <v>0</v>
      </c>
      <c r="LC118" s="64"/>
      <c r="LD118" s="74"/>
      <c r="LE118" s="73">
        <f t="shared" ca="1" si="979"/>
        <v>0</v>
      </c>
      <c r="LF118" s="64"/>
      <c r="LG118" s="64"/>
    </row>
    <row r="119" spans="1:319">
      <c r="A119" s="49"/>
      <c r="B119" s="49"/>
      <c r="C119" s="49"/>
      <c r="D119" s="49"/>
      <c r="E119" s="65"/>
      <c r="F119" s="127">
        <f t="shared" ref="F119" si="980">$D$14</f>
        <v>3</v>
      </c>
      <c r="G119" s="445">
        <f ca="1">VLOOKUP(H119,Equipos!$Q$1:$R$25,2,0)</f>
        <v>18</v>
      </c>
      <c r="H119" s="446">
        <f ca="1">$H$72</f>
        <v>46201</v>
      </c>
      <c r="I119" s="50"/>
      <c r="J119" s="847"/>
      <c r="K119" s="56" t="str">
        <f>Idiomas!D189</f>
        <v>4th GROUP J</v>
      </c>
      <c r="L119" s="53"/>
      <c r="M119" s="55" t="str">
        <f ca="1">IF(OR(SUM(WORLDCUP!$AN$78:$AN$81)=12,WORLDCUP!$AJ$99=144),WORLDCUP!AL81,LEFT(K119,1)&amp;RIGHT(K119,1))</f>
        <v>Jordan</v>
      </c>
      <c r="N119" s="25"/>
      <c r="O119" s="25"/>
      <c r="P119" s="25"/>
      <c r="Q119" s="25"/>
      <c r="R119" s="110"/>
      <c r="S119" s="74" t="s">
        <v>80</v>
      </c>
      <c r="T119" s="73">
        <f t="shared" ref="T119" ca="1" si="981">($M119=S119)*$D$14</f>
        <v>0</v>
      </c>
      <c r="U119" s="64"/>
      <c r="V119" s="74" t="s">
        <v>1286</v>
      </c>
      <c r="W119" s="73">
        <f t="shared" ref="W119:CH119" ca="1" si="982">($M119=V119)*$D$14</f>
        <v>3</v>
      </c>
      <c r="X119" s="64"/>
      <c r="Y119" s="74" t="s">
        <v>1286</v>
      </c>
      <c r="Z119" s="73">
        <f t="shared" ca="1" si="982"/>
        <v>3</v>
      </c>
      <c r="AA119" s="64"/>
      <c r="AB119" s="74" t="s">
        <v>1286</v>
      </c>
      <c r="AC119" s="73">
        <f t="shared" ca="1" si="982"/>
        <v>3</v>
      </c>
      <c r="AD119" s="64"/>
      <c r="AE119" s="74" t="s">
        <v>1286</v>
      </c>
      <c r="AF119" s="73">
        <f t="shared" ca="1" si="982"/>
        <v>3</v>
      </c>
      <c r="AG119" s="64"/>
      <c r="AH119" s="74" t="s">
        <v>1286</v>
      </c>
      <c r="AI119" s="73">
        <f t="shared" ca="1" si="982"/>
        <v>3</v>
      </c>
      <c r="AJ119" s="64"/>
      <c r="AK119" s="74" t="s">
        <v>1286</v>
      </c>
      <c r="AL119" s="73">
        <f t="shared" ca="1" si="982"/>
        <v>3</v>
      </c>
      <c r="AM119" s="64"/>
      <c r="AN119" s="74" t="s">
        <v>1286</v>
      </c>
      <c r="AO119" s="73">
        <f t="shared" ca="1" si="982"/>
        <v>3</v>
      </c>
      <c r="AP119" s="64"/>
      <c r="AQ119" s="74" t="s">
        <v>1286</v>
      </c>
      <c r="AR119" s="73">
        <f t="shared" ca="1" si="982"/>
        <v>3</v>
      </c>
      <c r="AS119" s="64"/>
      <c r="AT119" s="74" t="s">
        <v>1559</v>
      </c>
      <c r="AU119" s="73">
        <f t="shared" ca="1" si="982"/>
        <v>0</v>
      </c>
      <c r="AV119" s="64"/>
      <c r="AW119" s="74" t="s">
        <v>1286</v>
      </c>
      <c r="AX119" s="73">
        <f t="shared" ca="1" si="982"/>
        <v>3</v>
      </c>
      <c r="AY119" s="64"/>
      <c r="AZ119" s="74" t="s">
        <v>1286</v>
      </c>
      <c r="BA119" s="73">
        <f t="shared" ca="1" si="982"/>
        <v>3</v>
      </c>
      <c r="BB119" s="64"/>
      <c r="BC119" s="74" t="s">
        <v>1286</v>
      </c>
      <c r="BD119" s="73">
        <f t="shared" ca="1" si="982"/>
        <v>3</v>
      </c>
      <c r="BE119" s="64"/>
      <c r="BF119" s="74" t="s">
        <v>1286</v>
      </c>
      <c r="BG119" s="73">
        <f t="shared" ca="1" si="982"/>
        <v>3</v>
      </c>
      <c r="BH119" s="64"/>
      <c r="BI119" s="74" t="s">
        <v>1286</v>
      </c>
      <c r="BJ119" s="73">
        <f t="shared" ca="1" si="982"/>
        <v>3</v>
      </c>
      <c r="BK119" s="64"/>
      <c r="BL119" s="74" t="s">
        <v>1286</v>
      </c>
      <c r="BM119" s="73">
        <f t="shared" ca="1" si="982"/>
        <v>3</v>
      </c>
      <c r="BN119" s="64"/>
      <c r="BO119" s="74" t="s">
        <v>1286</v>
      </c>
      <c r="BP119" s="73">
        <f t="shared" ca="1" si="982"/>
        <v>3</v>
      </c>
      <c r="BQ119" s="64"/>
      <c r="BR119" s="74" t="s">
        <v>1286</v>
      </c>
      <c r="BS119" s="73">
        <f t="shared" ca="1" si="982"/>
        <v>3</v>
      </c>
      <c r="BT119" s="64"/>
      <c r="BU119" s="74" t="s">
        <v>1286</v>
      </c>
      <c r="BV119" s="73">
        <f t="shared" ca="1" si="982"/>
        <v>3</v>
      </c>
      <c r="BW119" s="64"/>
      <c r="BX119" s="74" t="s">
        <v>1286</v>
      </c>
      <c r="BY119" s="73">
        <f t="shared" ca="1" si="982"/>
        <v>3</v>
      </c>
      <c r="BZ119" s="64"/>
      <c r="CA119" s="74" t="s">
        <v>1286</v>
      </c>
      <c r="CB119" s="73">
        <f t="shared" ca="1" si="982"/>
        <v>3</v>
      </c>
      <c r="CC119" s="64"/>
      <c r="CD119" s="74" t="s">
        <v>1286</v>
      </c>
      <c r="CE119" s="73">
        <f t="shared" ca="1" si="982"/>
        <v>3</v>
      </c>
      <c r="CF119" s="64"/>
      <c r="CG119" s="74" t="s">
        <v>1286</v>
      </c>
      <c r="CH119" s="73">
        <f t="shared" ca="1" si="982"/>
        <v>3</v>
      </c>
      <c r="CI119" s="64"/>
      <c r="CJ119" s="74" t="s">
        <v>1286</v>
      </c>
      <c r="CK119" s="73">
        <f t="shared" ref="CK119:EV119" ca="1" si="983">($M119=CJ119)*$D$14</f>
        <v>3</v>
      </c>
      <c r="CL119" s="64"/>
      <c r="CM119" s="74" t="s">
        <v>1286</v>
      </c>
      <c r="CN119" s="73">
        <f t="shared" ca="1" si="983"/>
        <v>3</v>
      </c>
      <c r="CO119" s="64"/>
      <c r="CP119" s="74" t="s">
        <v>1286</v>
      </c>
      <c r="CQ119" s="73">
        <f t="shared" ca="1" si="983"/>
        <v>3</v>
      </c>
      <c r="CR119" s="64"/>
      <c r="CS119" s="74" t="s">
        <v>1286</v>
      </c>
      <c r="CT119" s="73">
        <f t="shared" ca="1" si="983"/>
        <v>3</v>
      </c>
      <c r="CU119" s="64"/>
      <c r="CV119" s="74" t="s">
        <v>1286</v>
      </c>
      <c r="CW119" s="73">
        <f t="shared" ca="1" si="983"/>
        <v>3</v>
      </c>
      <c r="CX119" s="64"/>
      <c r="CY119" s="74" t="s">
        <v>1559</v>
      </c>
      <c r="CZ119" s="73">
        <f t="shared" ca="1" si="983"/>
        <v>0</v>
      </c>
      <c r="DA119" s="64"/>
      <c r="DB119" s="74" t="s">
        <v>1286</v>
      </c>
      <c r="DC119" s="73">
        <f t="shared" ca="1" si="983"/>
        <v>3</v>
      </c>
      <c r="DD119" s="64"/>
      <c r="DE119" s="74" t="s">
        <v>1286</v>
      </c>
      <c r="DF119" s="73">
        <f t="shared" ca="1" si="983"/>
        <v>3</v>
      </c>
      <c r="DG119" s="64"/>
      <c r="DH119" s="74" t="s">
        <v>1286</v>
      </c>
      <c r="DI119" s="73">
        <f t="shared" ca="1" si="983"/>
        <v>3</v>
      </c>
      <c r="DJ119" s="64"/>
      <c r="DK119" s="74" t="s">
        <v>1286</v>
      </c>
      <c r="DL119" s="73">
        <f t="shared" ca="1" si="983"/>
        <v>3</v>
      </c>
      <c r="DM119" s="64"/>
      <c r="DN119" s="74" t="s">
        <v>1286</v>
      </c>
      <c r="DO119" s="73">
        <f t="shared" ca="1" si="983"/>
        <v>3</v>
      </c>
      <c r="DP119" s="64"/>
      <c r="DQ119" s="74" t="s">
        <v>1286</v>
      </c>
      <c r="DR119" s="73">
        <f t="shared" ca="1" si="983"/>
        <v>3</v>
      </c>
      <c r="DS119" s="64"/>
      <c r="DT119" s="74" t="s">
        <v>1286</v>
      </c>
      <c r="DU119" s="73">
        <f t="shared" ca="1" si="983"/>
        <v>3</v>
      </c>
      <c r="DV119" s="64"/>
      <c r="DW119" s="74" t="s">
        <v>1286</v>
      </c>
      <c r="DX119" s="73">
        <f t="shared" ca="1" si="983"/>
        <v>3</v>
      </c>
      <c r="DY119" s="64"/>
      <c r="DZ119" s="74" t="s">
        <v>1286</v>
      </c>
      <c r="EA119" s="73">
        <f t="shared" ca="1" si="983"/>
        <v>3</v>
      </c>
      <c r="EB119" s="64"/>
      <c r="EC119" s="74" t="s">
        <v>1286</v>
      </c>
      <c r="ED119" s="73">
        <f t="shared" ca="1" si="983"/>
        <v>3</v>
      </c>
      <c r="EE119" s="64"/>
      <c r="EF119" s="74" t="s">
        <v>1286</v>
      </c>
      <c r="EG119" s="73">
        <f t="shared" ca="1" si="983"/>
        <v>3</v>
      </c>
      <c r="EH119" s="64"/>
      <c r="EI119" s="74" t="s">
        <v>1286</v>
      </c>
      <c r="EJ119" s="73">
        <f t="shared" ca="1" si="983"/>
        <v>3</v>
      </c>
      <c r="EK119" s="64"/>
      <c r="EL119" s="74" t="s">
        <v>1286</v>
      </c>
      <c r="EM119" s="73">
        <f t="shared" ca="1" si="983"/>
        <v>3</v>
      </c>
      <c r="EN119" s="64"/>
      <c r="EO119" s="74" t="s">
        <v>1286</v>
      </c>
      <c r="EP119" s="73">
        <f t="shared" ca="1" si="983"/>
        <v>3</v>
      </c>
      <c r="EQ119" s="64"/>
      <c r="ER119" s="74" t="s">
        <v>1286</v>
      </c>
      <c r="ES119" s="73">
        <f t="shared" ca="1" si="983"/>
        <v>3</v>
      </c>
      <c r="ET119" s="64"/>
      <c r="EU119" s="74" t="s">
        <v>1286</v>
      </c>
      <c r="EV119" s="73">
        <f t="shared" ca="1" si="983"/>
        <v>3</v>
      </c>
      <c r="EW119" s="64"/>
      <c r="EX119" s="74" t="s">
        <v>1286</v>
      </c>
      <c r="EY119" s="73">
        <f t="shared" ref="EY119:HJ119" ca="1" si="984">($M119=EX119)*$D$14</f>
        <v>3</v>
      </c>
      <c r="EZ119" s="64"/>
      <c r="FA119" s="74" t="s">
        <v>1286</v>
      </c>
      <c r="FB119" s="73">
        <f t="shared" ca="1" si="984"/>
        <v>3</v>
      </c>
      <c r="FC119" s="64"/>
      <c r="FD119" s="74" t="s">
        <v>1559</v>
      </c>
      <c r="FE119" s="73">
        <f t="shared" ca="1" si="984"/>
        <v>0</v>
      </c>
      <c r="FF119" s="64"/>
      <c r="FG119" s="74" t="s">
        <v>1286</v>
      </c>
      <c r="FH119" s="73">
        <f t="shared" ca="1" si="984"/>
        <v>3</v>
      </c>
      <c r="FI119" s="64"/>
      <c r="FJ119" s="74" t="s">
        <v>1286</v>
      </c>
      <c r="FK119" s="73">
        <f t="shared" ca="1" si="984"/>
        <v>3</v>
      </c>
      <c r="FL119" s="64"/>
      <c r="FM119" s="74" t="s">
        <v>1286</v>
      </c>
      <c r="FN119" s="73">
        <f t="shared" ca="1" si="984"/>
        <v>3</v>
      </c>
      <c r="FO119" s="64"/>
      <c r="FP119" s="74" t="s">
        <v>1286</v>
      </c>
      <c r="FQ119" s="73">
        <f t="shared" ca="1" si="984"/>
        <v>3</v>
      </c>
      <c r="FR119" s="64"/>
      <c r="FS119" s="74" t="s">
        <v>1286</v>
      </c>
      <c r="FT119" s="73">
        <f t="shared" ca="1" si="984"/>
        <v>3</v>
      </c>
      <c r="FU119" s="64"/>
      <c r="FV119" s="74" t="s">
        <v>1286</v>
      </c>
      <c r="FW119" s="73">
        <f t="shared" ca="1" si="984"/>
        <v>3</v>
      </c>
      <c r="FX119" s="64"/>
      <c r="FY119" s="74" t="s">
        <v>1286</v>
      </c>
      <c r="FZ119" s="73">
        <f t="shared" ca="1" si="984"/>
        <v>3</v>
      </c>
      <c r="GA119" s="64"/>
      <c r="GB119" s="74" t="s">
        <v>1286</v>
      </c>
      <c r="GC119" s="73">
        <f t="shared" ca="1" si="984"/>
        <v>3</v>
      </c>
      <c r="GD119" s="64"/>
      <c r="GE119" s="74" t="s">
        <v>1286</v>
      </c>
      <c r="GF119" s="73">
        <f t="shared" ca="1" si="984"/>
        <v>3</v>
      </c>
      <c r="GG119" s="64"/>
      <c r="GH119" s="74" t="s">
        <v>1286</v>
      </c>
      <c r="GI119" s="73">
        <f t="shared" ca="1" si="984"/>
        <v>3</v>
      </c>
      <c r="GJ119" s="64"/>
      <c r="GK119" s="74" t="s">
        <v>1286</v>
      </c>
      <c r="GL119" s="73">
        <f t="shared" ca="1" si="984"/>
        <v>3</v>
      </c>
      <c r="GM119" s="64"/>
      <c r="GN119" s="74"/>
      <c r="GO119" s="73">
        <f t="shared" ca="1" si="984"/>
        <v>0</v>
      </c>
      <c r="GP119" s="64"/>
      <c r="GQ119" s="74"/>
      <c r="GR119" s="73">
        <f t="shared" ca="1" si="984"/>
        <v>0</v>
      </c>
      <c r="GS119" s="64"/>
      <c r="GT119" s="74"/>
      <c r="GU119" s="73">
        <f t="shared" ca="1" si="984"/>
        <v>0</v>
      </c>
      <c r="GV119" s="64"/>
      <c r="GW119" s="74"/>
      <c r="GX119" s="73">
        <f t="shared" ca="1" si="984"/>
        <v>0</v>
      </c>
      <c r="GY119" s="64"/>
      <c r="GZ119" s="74"/>
      <c r="HA119" s="73">
        <f t="shared" ca="1" si="984"/>
        <v>0</v>
      </c>
      <c r="HB119" s="64"/>
      <c r="HC119" s="74"/>
      <c r="HD119" s="73">
        <f t="shared" ca="1" si="984"/>
        <v>0</v>
      </c>
      <c r="HE119" s="64"/>
      <c r="HF119" s="74"/>
      <c r="HG119" s="73">
        <f t="shared" ca="1" si="984"/>
        <v>0</v>
      </c>
      <c r="HH119" s="64"/>
      <c r="HI119" s="74"/>
      <c r="HJ119" s="73">
        <f t="shared" ca="1" si="984"/>
        <v>0</v>
      </c>
      <c r="HK119" s="64"/>
      <c r="HL119" s="74"/>
      <c r="HM119" s="73">
        <f t="shared" ref="HM119:JX119" ca="1" si="985">($M119=HL119)*$D$14</f>
        <v>0</v>
      </c>
      <c r="HN119" s="64"/>
      <c r="HO119" s="74"/>
      <c r="HP119" s="73">
        <f t="shared" ca="1" si="985"/>
        <v>0</v>
      </c>
      <c r="HQ119" s="64"/>
      <c r="HR119" s="74"/>
      <c r="HS119" s="73">
        <f t="shared" ca="1" si="985"/>
        <v>0</v>
      </c>
      <c r="HT119" s="64"/>
      <c r="HU119" s="74"/>
      <c r="HV119" s="73">
        <f t="shared" ca="1" si="985"/>
        <v>0</v>
      </c>
      <c r="HW119" s="64"/>
      <c r="HX119" s="74"/>
      <c r="HY119" s="73">
        <f t="shared" ca="1" si="985"/>
        <v>0</v>
      </c>
      <c r="HZ119" s="64"/>
      <c r="IA119" s="74"/>
      <c r="IB119" s="73">
        <f t="shared" ca="1" si="985"/>
        <v>0</v>
      </c>
      <c r="IC119" s="64"/>
      <c r="ID119" s="74"/>
      <c r="IE119" s="73">
        <f t="shared" ca="1" si="985"/>
        <v>0</v>
      </c>
      <c r="IF119" s="64"/>
      <c r="IG119" s="74"/>
      <c r="IH119" s="73">
        <f t="shared" ca="1" si="985"/>
        <v>0</v>
      </c>
      <c r="II119" s="64"/>
      <c r="IJ119" s="74"/>
      <c r="IK119" s="73">
        <f t="shared" ca="1" si="985"/>
        <v>0</v>
      </c>
      <c r="IL119" s="64"/>
      <c r="IM119" s="74"/>
      <c r="IN119" s="73">
        <f t="shared" ca="1" si="985"/>
        <v>0</v>
      </c>
      <c r="IO119" s="64"/>
      <c r="IP119" s="74"/>
      <c r="IQ119" s="73">
        <f t="shared" ca="1" si="985"/>
        <v>0</v>
      </c>
      <c r="IR119" s="64"/>
      <c r="IS119" s="74"/>
      <c r="IT119" s="73">
        <f t="shared" ca="1" si="985"/>
        <v>0</v>
      </c>
      <c r="IU119" s="64"/>
      <c r="IV119" s="74"/>
      <c r="IW119" s="73">
        <f t="shared" ca="1" si="985"/>
        <v>0</v>
      </c>
      <c r="IX119" s="64"/>
      <c r="IY119" s="74"/>
      <c r="IZ119" s="73">
        <f t="shared" ca="1" si="985"/>
        <v>0</v>
      </c>
      <c r="JA119" s="64"/>
      <c r="JB119" s="74"/>
      <c r="JC119" s="73">
        <f t="shared" ca="1" si="985"/>
        <v>0</v>
      </c>
      <c r="JD119" s="64"/>
      <c r="JE119" s="74"/>
      <c r="JF119" s="73">
        <f t="shared" ca="1" si="985"/>
        <v>0</v>
      </c>
      <c r="JG119" s="64"/>
      <c r="JH119" s="74"/>
      <c r="JI119" s="73">
        <f t="shared" ca="1" si="985"/>
        <v>0</v>
      </c>
      <c r="JJ119" s="64"/>
      <c r="JK119" s="74"/>
      <c r="JL119" s="73">
        <f t="shared" ca="1" si="985"/>
        <v>0</v>
      </c>
      <c r="JM119" s="64"/>
      <c r="JN119" s="74"/>
      <c r="JO119" s="73">
        <f t="shared" ca="1" si="985"/>
        <v>0</v>
      </c>
      <c r="JP119" s="64"/>
      <c r="JQ119" s="74"/>
      <c r="JR119" s="73">
        <f t="shared" ca="1" si="985"/>
        <v>0</v>
      </c>
      <c r="JS119" s="64"/>
      <c r="JT119" s="74"/>
      <c r="JU119" s="73">
        <f t="shared" ca="1" si="985"/>
        <v>0</v>
      </c>
      <c r="JV119" s="64"/>
      <c r="JW119" s="74"/>
      <c r="JX119" s="73">
        <f t="shared" ca="1" si="985"/>
        <v>0</v>
      </c>
      <c r="JY119" s="64"/>
      <c r="JZ119" s="74"/>
      <c r="KA119" s="73">
        <f t="shared" ref="KA119:LE119" ca="1" si="986">($M119=JZ119)*$D$14</f>
        <v>0</v>
      </c>
      <c r="KB119" s="64"/>
      <c r="KC119" s="74"/>
      <c r="KD119" s="73">
        <f t="shared" ca="1" si="986"/>
        <v>0</v>
      </c>
      <c r="KE119" s="64"/>
      <c r="KF119" s="74"/>
      <c r="KG119" s="73">
        <f t="shared" ca="1" si="986"/>
        <v>0</v>
      </c>
      <c r="KH119" s="64"/>
      <c r="KI119" s="74"/>
      <c r="KJ119" s="73">
        <f t="shared" ca="1" si="986"/>
        <v>0</v>
      </c>
      <c r="KK119" s="64"/>
      <c r="KL119" s="74"/>
      <c r="KM119" s="73">
        <f t="shared" ca="1" si="986"/>
        <v>0</v>
      </c>
      <c r="KN119" s="64"/>
      <c r="KO119" s="74"/>
      <c r="KP119" s="73">
        <f t="shared" ca="1" si="986"/>
        <v>0</v>
      </c>
      <c r="KQ119" s="64"/>
      <c r="KR119" s="74"/>
      <c r="KS119" s="73">
        <f t="shared" ca="1" si="986"/>
        <v>0</v>
      </c>
      <c r="KT119" s="64"/>
      <c r="KU119" s="74"/>
      <c r="KV119" s="73">
        <f t="shared" ca="1" si="986"/>
        <v>0</v>
      </c>
      <c r="KW119" s="64"/>
      <c r="KX119" s="74"/>
      <c r="KY119" s="73">
        <f t="shared" ca="1" si="986"/>
        <v>0</v>
      </c>
      <c r="KZ119" s="64"/>
      <c r="LA119" s="74"/>
      <c r="LB119" s="73">
        <f t="shared" ca="1" si="986"/>
        <v>0</v>
      </c>
      <c r="LC119" s="64"/>
      <c r="LD119" s="74"/>
      <c r="LE119" s="73">
        <f t="shared" ca="1" si="986"/>
        <v>0</v>
      </c>
      <c r="LF119" s="64"/>
      <c r="LG119" s="64"/>
    </row>
    <row r="120" spans="1:319">
      <c r="A120" s="49"/>
      <c r="B120" s="49"/>
      <c r="C120" s="49"/>
      <c r="D120" s="49"/>
      <c r="E120" s="65"/>
      <c r="F120" s="127">
        <f t="shared" ref="F120" si="987">$D$11</f>
        <v>20</v>
      </c>
      <c r="G120" s="445">
        <f ca="1">VLOOKUP(H120,Equipos!$Q$1:$R$25,2,0)</f>
        <v>18</v>
      </c>
      <c r="H120" s="446">
        <f ca="1">$H$74</f>
        <v>46201</v>
      </c>
      <c r="I120" s="50"/>
      <c r="J120" s="848" t="s">
        <v>439</v>
      </c>
      <c r="K120" s="56" t="str">
        <f>Idiomas!D190</f>
        <v>1st GROUP K</v>
      </c>
      <c r="L120" s="53"/>
      <c r="M120" s="55" t="str">
        <f ca="1">IF(OR(SUM(WORLDCUP!$AN$86:$AN$89)=12,WORLDCUP!$AJ$99=144),WORLDCUP!AL86,LEFT(K120,1)&amp;RIGHT(K120,1))</f>
        <v>Colombia</v>
      </c>
      <c r="N120" s="25"/>
      <c r="O120" s="25"/>
      <c r="P120" s="25"/>
      <c r="Q120" s="25"/>
      <c r="R120" s="110"/>
      <c r="S120" s="74" t="s">
        <v>1320</v>
      </c>
      <c r="T120" s="73">
        <f t="shared" ref="T120" ca="1" si="988">($M120=S120)*$D$11</f>
        <v>20</v>
      </c>
      <c r="U120" s="64"/>
      <c r="V120" s="74" t="s">
        <v>1320</v>
      </c>
      <c r="W120" s="73">
        <f t="shared" ref="W120:CH120" ca="1" si="989">($M120=V120)*$D$11</f>
        <v>20</v>
      </c>
      <c r="X120" s="64"/>
      <c r="Y120" s="74" t="s">
        <v>79</v>
      </c>
      <c r="Z120" s="73">
        <f t="shared" ca="1" si="989"/>
        <v>0</v>
      </c>
      <c r="AA120" s="64"/>
      <c r="AB120" s="74" t="s">
        <v>79</v>
      </c>
      <c r="AC120" s="73">
        <f t="shared" ca="1" si="989"/>
        <v>0</v>
      </c>
      <c r="AD120" s="64"/>
      <c r="AE120" s="74" t="s">
        <v>79</v>
      </c>
      <c r="AF120" s="73">
        <f t="shared" ca="1" si="989"/>
        <v>0</v>
      </c>
      <c r="AG120" s="64"/>
      <c r="AH120" s="74" t="s">
        <v>79</v>
      </c>
      <c r="AI120" s="73">
        <f t="shared" ca="1" si="989"/>
        <v>0</v>
      </c>
      <c r="AJ120" s="64"/>
      <c r="AK120" s="74" t="s">
        <v>79</v>
      </c>
      <c r="AL120" s="73">
        <f t="shared" ca="1" si="989"/>
        <v>0</v>
      </c>
      <c r="AM120" s="64"/>
      <c r="AN120" s="74" t="s">
        <v>1320</v>
      </c>
      <c r="AO120" s="73">
        <f t="shared" ca="1" si="989"/>
        <v>20</v>
      </c>
      <c r="AP120" s="64"/>
      <c r="AQ120" s="74" t="s">
        <v>79</v>
      </c>
      <c r="AR120" s="73">
        <f t="shared" ca="1" si="989"/>
        <v>0</v>
      </c>
      <c r="AS120" s="64"/>
      <c r="AT120" s="74" t="s">
        <v>1840</v>
      </c>
      <c r="AU120" s="73">
        <f t="shared" ca="1" si="989"/>
        <v>0</v>
      </c>
      <c r="AV120" s="64"/>
      <c r="AW120" s="74" t="s">
        <v>79</v>
      </c>
      <c r="AX120" s="73">
        <f t="shared" ca="1" si="989"/>
        <v>0</v>
      </c>
      <c r="AY120" s="64"/>
      <c r="AZ120" s="74" t="s">
        <v>79</v>
      </c>
      <c r="BA120" s="73">
        <f t="shared" ca="1" si="989"/>
        <v>0</v>
      </c>
      <c r="BB120" s="64"/>
      <c r="BC120" s="74" t="s">
        <v>79</v>
      </c>
      <c r="BD120" s="73">
        <f t="shared" ca="1" si="989"/>
        <v>0</v>
      </c>
      <c r="BE120" s="64"/>
      <c r="BF120" s="74" t="s">
        <v>79</v>
      </c>
      <c r="BG120" s="73">
        <f t="shared" ca="1" si="989"/>
        <v>0</v>
      </c>
      <c r="BH120" s="64"/>
      <c r="BI120" s="74" t="s">
        <v>79</v>
      </c>
      <c r="BJ120" s="73">
        <f t="shared" ca="1" si="989"/>
        <v>0</v>
      </c>
      <c r="BK120" s="64"/>
      <c r="BL120" s="74" t="s">
        <v>79</v>
      </c>
      <c r="BM120" s="73">
        <f t="shared" ca="1" si="989"/>
        <v>0</v>
      </c>
      <c r="BN120" s="64"/>
      <c r="BO120" s="74" t="s">
        <v>1320</v>
      </c>
      <c r="BP120" s="73">
        <f t="shared" ca="1" si="989"/>
        <v>20</v>
      </c>
      <c r="BQ120" s="64"/>
      <c r="BR120" s="74" t="s">
        <v>79</v>
      </c>
      <c r="BS120" s="73">
        <f t="shared" ca="1" si="989"/>
        <v>0</v>
      </c>
      <c r="BT120" s="64"/>
      <c r="BU120" s="74" t="s">
        <v>79</v>
      </c>
      <c r="BV120" s="73">
        <f t="shared" ca="1" si="989"/>
        <v>0</v>
      </c>
      <c r="BW120" s="64"/>
      <c r="BX120" s="74" t="s">
        <v>79</v>
      </c>
      <c r="BY120" s="73">
        <f t="shared" ca="1" si="989"/>
        <v>0</v>
      </c>
      <c r="BZ120" s="64"/>
      <c r="CA120" s="74" t="s">
        <v>79</v>
      </c>
      <c r="CB120" s="73">
        <f t="shared" ca="1" si="989"/>
        <v>0</v>
      </c>
      <c r="CC120" s="64"/>
      <c r="CD120" s="74" t="s">
        <v>79</v>
      </c>
      <c r="CE120" s="73">
        <f t="shared" ca="1" si="989"/>
        <v>0</v>
      </c>
      <c r="CF120" s="64"/>
      <c r="CG120" s="74" t="s">
        <v>79</v>
      </c>
      <c r="CH120" s="73">
        <f t="shared" ca="1" si="989"/>
        <v>0</v>
      </c>
      <c r="CI120" s="64"/>
      <c r="CJ120" s="74" t="s">
        <v>79</v>
      </c>
      <c r="CK120" s="73">
        <f t="shared" ref="CK120:EV120" ca="1" si="990">($M120=CJ120)*$D$11</f>
        <v>0</v>
      </c>
      <c r="CL120" s="64"/>
      <c r="CM120" s="74" t="s">
        <v>79</v>
      </c>
      <c r="CN120" s="73">
        <f t="shared" ca="1" si="990"/>
        <v>0</v>
      </c>
      <c r="CO120" s="64"/>
      <c r="CP120" s="74" t="s">
        <v>79</v>
      </c>
      <c r="CQ120" s="73">
        <f t="shared" ca="1" si="990"/>
        <v>0</v>
      </c>
      <c r="CR120" s="64"/>
      <c r="CS120" s="74" t="s">
        <v>79</v>
      </c>
      <c r="CT120" s="73">
        <f t="shared" ca="1" si="990"/>
        <v>0</v>
      </c>
      <c r="CU120" s="64"/>
      <c r="CV120" s="74" t="s">
        <v>79</v>
      </c>
      <c r="CW120" s="73">
        <f t="shared" ca="1" si="990"/>
        <v>0</v>
      </c>
      <c r="CX120" s="64"/>
      <c r="CY120" s="74" t="s">
        <v>79</v>
      </c>
      <c r="CZ120" s="73">
        <f t="shared" ca="1" si="990"/>
        <v>0</v>
      </c>
      <c r="DA120" s="64"/>
      <c r="DB120" s="74" t="s">
        <v>79</v>
      </c>
      <c r="DC120" s="73">
        <f t="shared" ca="1" si="990"/>
        <v>0</v>
      </c>
      <c r="DD120" s="64"/>
      <c r="DE120" s="74" t="s">
        <v>79</v>
      </c>
      <c r="DF120" s="73">
        <f t="shared" ca="1" si="990"/>
        <v>0</v>
      </c>
      <c r="DG120" s="64"/>
      <c r="DH120" s="74" t="s">
        <v>79</v>
      </c>
      <c r="DI120" s="73">
        <f t="shared" ca="1" si="990"/>
        <v>0</v>
      </c>
      <c r="DJ120" s="64"/>
      <c r="DK120" s="74" t="s">
        <v>79</v>
      </c>
      <c r="DL120" s="73">
        <f t="shared" ca="1" si="990"/>
        <v>0</v>
      </c>
      <c r="DM120" s="64"/>
      <c r="DN120" s="74" t="s">
        <v>79</v>
      </c>
      <c r="DO120" s="73">
        <f t="shared" ca="1" si="990"/>
        <v>0</v>
      </c>
      <c r="DP120" s="64"/>
      <c r="DQ120" s="74" t="s">
        <v>79</v>
      </c>
      <c r="DR120" s="73">
        <f t="shared" ca="1" si="990"/>
        <v>0</v>
      </c>
      <c r="DS120" s="64"/>
      <c r="DT120" s="74" t="s">
        <v>79</v>
      </c>
      <c r="DU120" s="73">
        <f t="shared" ca="1" si="990"/>
        <v>0</v>
      </c>
      <c r="DV120" s="64"/>
      <c r="DW120" s="74" t="s">
        <v>79</v>
      </c>
      <c r="DX120" s="73">
        <f t="shared" ca="1" si="990"/>
        <v>0</v>
      </c>
      <c r="DY120" s="64"/>
      <c r="DZ120" s="74" t="s">
        <v>79</v>
      </c>
      <c r="EA120" s="73">
        <f t="shared" ca="1" si="990"/>
        <v>0</v>
      </c>
      <c r="EB120" s="64"/>
      <c r="EC120" s="74" t="s">
        <v>79</v>
      </c>
      <c r="ED120" s="73">
        <f t="shared" ca="1" si="990"/>
        <v>0</v>
      </c>
      <c r="EE120" s="64"/>
      <c r="EF120" s="74" t="s">
        <v>79</v>
      </c>
      <c r="EG120" s="73">
        <f t="shared" ca="1" si="990"/>
        <v>0</v>
      </c>
      <c r="EH120" s="64"/>
      <c r="EI120" s="74" t="s">
        <v>79</v>
      </c>
      <c r="EJ120" s="73">
        <f t="shared" ca="1" si="990"/>
        <v>0</v>
      </c>
      <c r="EK120" s="64"/>
      <c r="EL120" s="74" t="s">
        <v>79</v>
      </c>
      <c r="EM120" s="73">
        <f t="shared" ca="1" si="990"/>
        <v>0</v>
      </c>
      <c r="EN120" s="64"/>
      <c r="EO120" s="74" t="s">
        <v>79</v>
      </c>
      <c r="EP120" s="73">
        <f t="shared" ca="1" si="990"/>
        <v>0</v>
      </c>
      <c r="EQ120" s="64"/>
      <c r="ER120" s="74" t="s">
        <v>79</v>
      </c>
      <c r="ES120" s="73">
        <f t="shared" ca="1" si="990"/>
        <v>0</v>
      </c>
      <c r="ET120" s="64"/>
      <c r="EU120" s="74" t="s">
        <v>79</v>
      </c>
      <c r="EV120" s="73">
        <f t="shared" ca="1" si="990"/>
        <v>0</v>
      </c>
      <c r="EW120" s="64"/>
      <c r="EX120" s="74" t="s">
        <v>79</v>
      </c>
      <c r="EY120" s="73">
        <f t="shared" ref="EY120:HJ120" ca="1" si="991">($M120=EX120)*$D$11</f>
        <v>0</v>
      </c>
      <c r="EZ120" s="64"/>
      <c r="FA120" s="74" t="s">
        <v>79</v>
      </c>
      <c r="FB120" s="73">
        <f t="shared" ca="1" si="991"/>
        <v>0</v>
      </c>
      <c r="FC120" s="64"/>
      <c r="FD120" s="74" t="s">
        <v>79</v>
      </c>
      <c r="FE120" s="73">
        <f t="shared" ca="1" si="991"/>
        <v>0</v>
      </c>
      <c r="FF120" s="64"/>
      <c r="FG120" s="74" t="s">
        <v>79</v>
      </c>
      <c r="FH120" s="73">
        <f t="shared" ca="1" si="991"/>
        <v>0</v>
      </c>
      <c r="FI120" s="64"/>
      <c r="FJ120" s="74" t="s">
        <v>79</v>
      </c>
      <c r="FK120" s="73">
        <f t="shared" ca="1" si="991"/>
        <v>0</v>
      </c>
      <c r="FL120" s="64"/>
      <c r="FM120" s="74" t="s">
        <v>79</v>
      </c>
      <c r="FN120" s="73">
        <f t="shared" ca="1" si="991"/>
        <v>0</v>
      </c>
      <c r="FO120" s="64"/>
      <c r="FP120" s="74" t="s">
        <v>79</v>
      </c>
      <c r="FQ120" s="73">
        <f t="shared" ca="1" si="991"/>
        <v>0</v>
      </c>
      <c r="FR120" s="64"/>
      <c r="FS120" s="74" t="s">
        <v>79</v>
      </c>
      <c r="FT120" s="73">
        <f t="shared" ca="1" si="991"/>
        <v>0</v>
      </c>
      <c r="FU120" s="64"/>
      <c r="FV120" s="74" t="s">
        <v>79</v>
      </c>
      <c r="FW120" s="73">
        <f t="shared" ca="1" si="991"/>
        <v>0</v>
      </c>
      <c r="FX120" s="64"/>
      <c r="FY120" s="74" t="s">
        <v>79</v>
      </c>
      <c r="FZ120" s="73">
        <f t="shared" ca="1" si="991"/>
        <v>0</v>
      </c>
      <c r="GA120" s="64"/>
      <c r="GB120" s="74" t="s">
        <v>1320</v>
      </c>
      <c r="GC120" s="73">
        <f t="shared" ca="1" si="991"/>
        <v>20</v>
      </c>
      <c r="GD120" s="64"/>
      <c r="GE120" s="74" t="s">
        <v>79</v>
      </c>
      <c r="GF120" s="73">
        <f t="shared" ca="1" si="991"/>
        <v>0</v>
      </c>
      <c r="GG120" s="64"/>
      <c r="GH120" s="74" t="s">
        <v>79</v>
      </c>
      <c r="GI120" s="73">
        <f t="shared" ca="1" si="991"/>
        <v>0</v>
      </c>
      <c r="GJ120" s="64"/>
      <c r="GK120" s="74" t="s">
        <v>79</v>
      </c>
      <c r="GL120" s="73">
        <f t="shared" ca="1" si="991"/>
        <v>0</v>
      </c>
      <c r="GM120" s="64"/>
      <c r="GN120" s="74"/>
      <c r="GO120" s="73">
        <f t="shared" ca="1" si="991"/>
        <v>0</v>
      </c>
      <c r="GP120" s="64"/>
      <c r="GQ120" s="74"/>
      <c r="GR120" s="73">
        <f t="shared" ca="1" si="991"/>
        <v>0</v>
      </c>
      <c r="GS120" s="64"/>
      <c r="GT120" s="74"/>
      <c r="GU120" s="73">
        <f t="shared" ca="1" si="991"/>
        <v>0</v>
      </c>
      <c r="GV120" s="64"/>
      <c r="GW120" s="74"/>
      <c r="GX120" s="73">
        <f t="shared" ca="1" si="991"/>
        <v>0</v>
      </c>
      <c r="GY120" s="64"/>
      <c r="GZ120" s="74"/>
      <c r="HA120" s="73">
        <f t="shared" ca="1" si="991"/>
        <v>0</v>
      </c>
      <c r="HB120" s="64"/>
      <c r="HC120" s="74"/>
      <c r="HD120" s="73">
        <f t="shared" ca="1" si="991"/>
        <v>0</v>
      </c>
      <c r="HE120" s="64"/>
      <c r="HF120" s="74"/>
      <c r="HG120" s="73">
        <f t="shared" ca="1" si="991"/>
        <v>0</v>
      </c>
      <c r="HH120" s="64"/>
      <c r="HI120" s="74"/>
      <c r="HJ120" s="73">
        <f t="shared" ca="1" si="991"/>
        <v>0</v>
      </c>
      <c r="HK120" s="64"/>
      <c r="HL120" s="74"/>
      <c r="HM120" s="73">
        <f t="shared" ref="HM120:JX120" ca="1" si="992">($M120=HL120)*$D$11</f>
        <v>0</v>
      </c>
      <c r="HN120" s="64"/>
      <c r="HO120" s="74"/>
      <c r="HP120" s="73">
        <f t="shared" ca="1" si="992"/>
        <v>0</v>
      </c>
      <c r="HQ120" s="64"/>
      <c r="HR120" s="74"/>
      <c r="HS120" s="73">
        <f t="shared" ca="1" si="992"/>
        <v>0</v>
      </c>
      <c r="HT120" s="64"/>
      <c r="HU120" s="74"/>
      <c r="HV120" s="73">
        <f t="shared" ca="1" si="992"/>
        <v>0</v>
      </c>
      <c r="HW120" s="64"/>
      <c r="HX120" s="74"/>
      <c r="HY120" s="73">
        <f t="shared" ca="1" si="992"/>
        <v>0</v>
      </c>
      <c r="HZ120" s="64"/>
      <c r="IA120" s="74"/>
      <c r="IB120" s="73">
        <f t="shared" ca="1" si="992"/>
        <v>0</v>
      </c>
      <c r="IC120" s="64"/>
      <c r="ID120" s="74"/>
      <c r="IE120" s="73">
        <f t="shared" ca="1" si="992"/>
        <v>0</v>
      </c>
      <c r="IF120" s="64"/>
      <c r="IG120" s="74"/>
      <c r="IH120" s="73">
        <f t="shared" ca="1" si="992"/>
        <v>0</v>
      </c>
      <c r="II120" s="64"/>
      <c r="IJ120" s="74"/>
      <c r="IK120" s="73">
        <f t="shared" ca="1" si="992"/>
        <v>0</v>
      </c>
      <c r="IL120" s="64"/>
      <c r="IM120" s="74"/>
      <c r="IN120" s="73">
        <f t="shared" ca="1" si="992"/>
        <v>0</v>
      </c>
      <c r="IO120" s="64"/>
      <c r="IP120" s="74"/>
      <c r="IQ120" s="73">
        <f t="shared" ca="1" si="992"/>
        <v>0</v>
      </c>
      <c r="IR120" s="64"/>
      <c r="IS120" s="74"/>
      <c r="IT120" s="73">
        <f t="shared" ca="1" si="992"/>
        <v>0</v>
      </c>
      <c r="IU120" s="64"/>
      <c r="IV120" s="74"/>
      <c r="IW120" s="73">
        <f t="shared" ca="1" si="992"/>
        <v>0</v>
      </c>
      <c r="IX120" s="64"/>
      <c r="IY120" s="74"/>
      <c r="IZ120" s="73">
        <f t="shared" ca="1" si="992"/>
        <v>0</v>
      </c>
      <c r="JA120" s="64"/>
      <c r="JB120" s="74"/>
      <c r="JC120" s="73">
        <f t="shared" ca="1" si="992"/>
        <v>0</v>
      </c>
      <c r="JD120" s="64"/>
      <c r="JE120" s="74"/>
      <c r="JF120" s="73">
        <f t="shared" ca="1" si="992"/>
        <v>0</v>
      </c>
      <c r="JG120" s="64"/>
      <c r="JH120" s="74"/>
      <c r="JI120" s="73">
        <f t="shared" ca="1" si="992"/>
        <v>0</v>
      </c>
      <c r="JJ120" s="64"/>
      <c r="JK120" s="74"/>
      <c r="JL120" s="73">
        <f t="shared" ca="1" si="992"/>
        <v>0</v>
      </c>
      <c r="JM120" s="64"/>
      <c r="JN120" s="74"/>
      <c r="JO120" s="73">
        <f t="shared" ca="1" si="992"/>
        <v>0</v>
      </c>
      <c r="JP120" s="64"/>
      <c r="JQ120" s="74"/>
      <c r="JR120" s="73">
        <f t="shared" ca="1" si="992"/>
        <v>0</v>
      </c>
      <c r="JS120" s="64"/>
      <c r="JT120" s="74"/>
      <c r="JU120" s="73">
        <f t="shared" ca="1" si="992"/>
        <v>0</v>
      </c>
      <c r="JV120" s="64"/>
      <c r="JW120" s="74"/>
      <c r="JX120" s="73">
        <f t="shared" ca="1" si="992"/>
        <v>0</v>
      </c>
      <c r="JY120" s="64"/>
      <c r="JZ120" s="74"/>
      <c r="KA120" s="73">
        <f t="shared" ref="KA120:LE120" ca="1" si="993">($M120=JZ120)*$D$11</f>
        <v>0</v>
      </c>
      <c r="KB120" s="64"/>
      <c r="KC120" s="74"/>
      <c r="KD120" s="73">
        <f t="shared" ca="1" si="993"/>
        <v>0</v>
      </c>
      <c r="KE120" s="64"/>
      <c r="KF120" s="74"/>
      <c r="KG120" s="73">
        <f t="shared" ca="1" si="993"/>
        <v>0</v>
      </c>
      <c r="KH120" s="64"/>
      <c r="KI120" s="74"/>
      <c r="KJ120" s="73">
        <f t="shared" ca="1" si="993"/>
        <v>0</v>
      </c>
      <c r="KK120" s="64"/>
      <c r="KL120" s="74"/>
      <c r="KM120" s="73">
        <f t="shared" ca="1" si="993"/>
        <v>0</v>
      </c>
      <c r="KN120" s="64"/>
      <c r="KO120" s="74"/>
      <c r="KP120" s="73">
        <f t="shared" ca="1" si="993"/>
        <v>0</v>
      </c>
      <c r="KQ120" s="64"/>
      <c r="KR120" s="74"/>
      <c r="KS120" s="73">
        <f t="shared" ca="1" si="993"/>
        <v>0</v>
      </c>
      <c r="KT120" s="64"/>
      <c r="KU120" s="74"/>
      <c r="KV120" s="73">
        <f t="shared" ca="1" si="993"/>
        <v>0</v>
      </c>
      <c r="KW120" s="64"/>
      <c r="KX120" s="74"/>
      <c r="KY120" s="73">
        <f t="shared" ca="1" si="993"/>
        <v>0</v>
      </c>
      <c r="KZ120" s="64"/>
      <c r="LA120" s="74"/>
      <c r="LB120" s="73">
        <f t="shared" ca="1" si="993"/>
        <v>0</v>
      </c>
      <c r="LC120" s="64"/>
      <c r="LD120" s="74"/>
      <c r="LE120" s="73">
        <f t="shared" ca="1" si="993"/>
        <v>0</v>
      </c>
      <c r="LF120" s="64"/>
      <c r="LG120" s="64"/>
    </row>
    <row r="121" spans="1:319">
      <c r="A121" s="49"/>
      <c r="B121" s="49"/>
      <c r="C121" s="49"/>
      <c r="D121" s="49"/>
      <c r="E121" s="65"/>
      <c r="F121" s="127">
        <f t="shared" ref="F121" si="994">$D$12</f>
        <v>10</v>
      </c>
      <c r="G121" s="445">
        <f ca="1">VLOOKUP(H121,Equipos!$Q$1:$R$25,2,0)</f>
        <v>18</v>
      </c>
      <c r="H121" s="446">
        <f ca="1">$H$74</f>
        <v>46201</v>
      </c>
      <c r="I121" s="50"/>
      <c r="J121" s="848"/>
      <c r="K121" s="56" t="str">
        <f>Idiomas!D191</f>
        <v>2nd GROUP K</v>
      </c>
      <c r="L121" s="53"/>
      <c r="M121" s="55" t="str">
        <f ca="1">IF(OR(SUM(WORLDCUP!$AN$86:$AN$89)=12,WORLDCUP!$AJ$99=144),WORLDCUP!AL87,LEFT(K121,1)&amp;RIGHT(K121,1))</f>
        <v>Portugal</v>
      </c>
      <c r="N121" s="25"/>
      <c r="O121" s="25"/>
      <c r="P121" s="25"/>
      <c r="Q121" s="25"/>
      <c r="R121" s="110"/>
      <c r="S121" s="74" t="s">
        <v>1292</v>
      </c>
      <c r="T121" s="73">
        <f t="shared" ref="T121" ca="1" si="995">($M121=S121)*$D$12</f>
        <v>0</v>
      </c>
      <c r="U121" s="64"/>
      <c r="V121" s="74" t="s">
        <v>79</v>
      </c>
      <c r="W121" s="73">
        <f t="shared" ref="W121:CH121" ca="1" si="996">($M121=V121)*$D$12</f>
        <v>10</v>
      </c>
      <c r="X121" s="64"/>
      <c r="Y121" s="74" t="s">
        <v>1320</v>
      </c>
      <c r="Z121" s="73">
        <f t="shared" ca="1" si="996"/>
        <v>0</v>
      </c>
      <c r="AA121" s="64"/>
      <c r="AB121" s="74" t="s">
        <v>1320</v>
      </c>
      <c r="AC121" s="73">
        <f t="shared" ca="1" si="996"/>
        <v>0</v>
      </c>
      <c r="AD121" s="64"/>
      <c r="AE121" s="74" t="s">
        <v>1320</v>
      </c>
      <c r="AF121" s="73">
        <f t="shared" ca="1" si="996"/>
        <v>0</v>
      </c>
      <c r="AG121" s="64"/>
      <c r="AH121" s="74" t="s">
        <v>1320</v>
      </c>
      <c r="AI121" s="73">
        <f t="shared" ca="1" si="996"/>
        <v>0</v>
      </c>
      <c r="AJ121" s="64"/>
      <c r="AK121" s="74" t="s">
        <v>1320</v>
      </c>
      <c r="AL121" s="73">
        <f t="shared" ca="1" si="996"/>
        <v>0</v>
      </c>
      <c r="AM121" s="64"/>
      <c r="AN121" s="74" t="s">
        <v>79</v>
      </c>
      <c r="AO121" s="73">
        <f t="shared" ca="1" si="996"/>
        <v>10</v>
      </c>
      <c r="AP121" s="64"/>
      <c r="AQ121" s="74" t="s">
        <v>1320</v>
      </c>
      <c r="AR121" s="73">
        <f t="shared" ca="1" si="996"/>
        <v>0</v>
      </c>
      <c r="AS121" s="64"/>
      <c r="AT121" s="74" t="s">
        <v>79</v>
      </c>
      <c r="AU121" s="73">
        <f t="shared" ca="1" si="996"/>
        <v>10</v>
      </c>
      <c r="AV121" s="64"/>
      <c r="AW121" s="74" t="s">
        <v>1320</v>
      </c>
      <c r="AX121" s="73">
        <f t="shared" ca="1" si="996"/>
        <v>0</v>
      </c>
      <c r="AY121" s="64"/>
      <c r="AZ121" s="74" t="s">
        <v>1320</v>
      </c>
      <c r="BA121" s="73">
        <f t="shared" ca="1" si="996"/>
        <v>0</v>
      </c>
      <c r="BB121" s="64"/>
      <c r="BC121" s="74" t="s">
        <v>1320</v>
      </c>
      <c r="BD121" s="73">
        <f t="shared" ca="1" si="996"/>
        <v>0</v>
      </c>
      <c r="BE121" s="64"/>
      <c r="BF121" s="74" t="s">
        <v>1320</v>
      </c>
      <c r="BG121" s="73">
        <f t="shared" ca="1" si="996"/>
        <v>0</v>
      </c>
      <c r="BH121" s="64"/>
      <c r="BI121" s="74" t="s">
        <v>1320</v>
      </c>
      <c r="BJ121" s="73">
        <f t="shared" ca="1" si="996"/>
        <v>0</v>
      </c>
      <c r="BK121" s="64"/>
      <c r="BL121" s="74" t="s">
        <v>1320</v>
      </c>
      <c r="BM121" s="73">
        <f t="shared" ca="1" si="996"/>
        <v>0</v>
      </c>
      <c r="BN121" s="64"/>
      <c r="BO121" s="74" t="s">
        <v>79</v>
      </c>
      <c r="BP121" s="73">
        <f t="shared" ca="1" si="996"/>
        <v>10</v>
      </c>
      <c r="BQ121" s="64"/>
      <c r="BR121" s="74" t="s">
        <v>1320</v>
      </c>
      <c r="BS121" s="73">
        <f t="shared" ca="1" si="996"/>
        <v>0</v>
      </c>
      <c r="BT121" s="64"/>
      <c r="BU121" s="74" t="s">
        <v>1320</v>
      </c>
      <c r="BV121" s="73">
        <f t="shared" ca="1" si="996"/>
        <v>0</v>
      </c>
      <c r="BW121" s="64"/>
      <c r="BX121" s="74" t="s">
        <v>1320</v>
      </c>
      <c r="BY121" s="73">
        <f t="shared" ca="1" si="996"/>
        <v>0</v>
      </c>
      <c r="BZ121" s="64"/>
      <c r="CA121" s="74" t="s">
        <v>1320</v>
      </c>
      <c r="CB121" s="73">
        <f t="shared" ca="1" si="996"/>
        <v>0</v>
      </c>
      <c r="CC121" s="64"/>
      <c r="CD121" s="74" t="s">
        <v>1320</v>
      </c>
      <c r="CE121" s="73">
        <f t="shared" ca="1" si="996"/>
        <v>0</v>
      </c>
      <c r="CF121" s="64"/>
      <c r="CG121" s="74" t="s">
        <v>1320</v>
      </c>
      <c r="CH121" s="73">
        <f t="shared" ca="1" si="996"/>
        <v>0</v>
      </c>
      <c r="CI121" s="64"/>
      <c r="CJ121" s="74" t="s">
        <v>1320</v>
      </c>
      <c r="CK121" s="73">
        <f t="shared" ref="CK121:EV121" ca="1" si="997">($M121=CJ121)*$D$12</f>
        <v>0</v>
      </c>
      <c r="CL121" s="64"/>
      <c r="CM121" s="74" t="s">
        <v>1320</v>
      </c>
      <c r="CN121" s="73">
        <f t="shared" ca="1" si="997"/>
        <v>0</v>
      </c>
      <c r="CO121" s="64"/>
      <c r="CP121" s="74" t="s">
        <v>1320</v>
      </c>
      <c r="CQ121" s="73">
        <f t="shared" ca="1" si="997"/>
        <v>0</v>
      </c>
      <c r="CR121" s="64"/>
      <c r="CS121" s="74" t="s">
        <v>1320</v>
      </c>
      <c r="CT121" s="73">
        <f t="shared" ca="1" si="997"/>
        <v>0</v>
      </c>
      <c r="CU121" s="64"/>
      <c r="CV121" s="74" t="s">
        <v>1320</v>
      </c>
      <c r="CW121" s="73">
        <f t="shared" ca="1" si="997"/>
        <v>0</v>
      </c>
      <c r="CX121" s="64"/>
      <c r="CY121" s="74" t="s">
        <v>1320</v>
      </c>
      <c r="CZ121" s="73">
        <f t="shared" ca="1" si="997"/>
        <v>0</v>
      </c>
      <c r="DA121" s="64"/>
      <c r="DB121" s="74" t="s">
        <v>1320</v>
      </c>
      <c r="DC121" s="73">
        <f t="shared" ca="1" si="997"/>
        <v>0</v>
      </c>
      <c r="DD121" s="64"/>
      <c r="DE121" s="74" t="s">
        <v>1320</v>
      </c>
      <c r="DF121" s="73">
        <f t="shared" ca="1" si="997"/>
        <v>0</v>
      </c>
      <c r="DG121" s="64"/>
      <c r="DH121" s="74" t="s">
        <v>1320</v>
      </c>
      <c r="DI121" s="73">
        <f t="shared" ca="1" si="997"/>
        <v>0</v>
      </c>
      <c r="DJ121" s="64"/>
      <c r="DK121" s="74" t="s">
        <v>1320</v>
      </c>
      <c r="DL121" s="73">
        <f t="shared" ca="1" si="997"/>
        <v>0</v>
      </c>
      <c r="DM121" s="64"/>
      <c r="DN121" s="74" t="s">
        <v>1320</v>
      </c>
      <c r="DO121" s="73">
        <f t="shared" ca="1" si="997"/>
        <v>0</v>
      </c>
      <c r="DP121" s="64"/>
      <c r="DQ121" s="74" t="s">
        <v>1320</v>
      </c>
      <c r="DR121" s="73">
        <f t="shared" ca="1" si="997"/>
        <v>0</v>
      </c>
      <c r="DS121" s="64"/>
      <c r="DT121" s="74" t="s">
        <v>1320</v>
      </c>
      <c r="DU121" s="73">
        <f t="shared" ca="1" si="997"/>
        <v>0</v>
      </c>
      <c r="DV121" s="64"/>
      <c r="DW121" s="74" t="s">
        <v>1320</v>
      </c>
      <c r="DX121" s="73">
        <f t="shared" ca="1" si="997"/>
        <v>0</v>
      </c>
      <c r="DY121" s="64"/>
      <c r="DZ121" s="74" t="s">
        <v>1320</v>
      </c>
      <c r="EA121" s="73">
        <f t="shared" ca="1" si="997"/>
        <v>0</v>
      </c>
      <c r="EB121" s="64"/>
      <c r="EC121" s="74" t="s">
        <v>1320</v>
      </c>
      <c r="ED121" s="73">
        <f t="shared" ca="1" si="997"/>
        <v>0</v>
      </c>
      <c r="EE121" s="64"/>
      <c r="EF121" s="74" t="s">
        <v>1320</v>
      </c>
      <c r="EG121" s="73">
        <f t="shared" ca="1" si="997"/>
        <v>0</v>
      </c>
      <c r="EH121" s="64"/>
      <c r="EI121" s="74" t="s">
        <v>1320</v>
      </c>
      <c r="EJ121" s="73">
        <f t="shared" ca="1" si="997"/>
        <v>0</v>
      </c>
      <c r="EK121" s="64"/>
      <c r="EL121" s="74" t="s">
        <v>1320</v>
      </c>
      <c r="EM121" s="73">
        <f t="shared" ca="1" si="997"/>
        <v>0</v>
      </c>
      <c r="EN121" s="64"/>
      <c r="EO121" s="74" t="s">
        <v>1320</v>
      </c>
      <c r="EP121" s="73">
        <f t="shared" ca="1" si="997"/>
        <v>0</v>
      </c>
      <c r="EQ121" s="64"/>
      <c r="ER121" s="74" t="s">
        <v>1320</v>
      </c>
      <c r="ES121" s="73">
        <f t="shared" ca="1" si="997"/>
        <v>0</v>
      </c>
      <c r="ET121" s="64"/>
      <c r="EU121" s="74" t="s">
        <v>1320</v>
      </c>
      <c r="EV121" s="73">
        <f t="shared" ca="1" si="997"/>
        <v>0</v>
      </c>
      <c r="EW121" s="64"/>
      <c r="EX121" s="74" t="s">
        <v>1320</v>
      </c>
      <c r="EY121" s="73">
        <f t="shared" ref="EY121:HJ121" ca="1" si="998">($M121=EX121)*$D$12</f>
        <v>0</v>
      </c>
      <c r="EZ121" s="64"/>
      <c r="FA121" s="74" t="s">
        <v>1320</v>
      </c>
      <c r="FB121" s="73">
        <f t="shared" ca="1" si="998"/>
        <v>0</v>
      </c>
      <c r="FC121" s="64"/>
      <c r="FD121" s="74" t="s">
        <v>1320</v>
      </c>
      <c r="FE121" s="73">
        <f t="shared" ca="1" si="998"/>
        <v>0</v>
      </c>
      <c r="FF121" s="64"/>
      <c r="FG121" s="74" t="s">
        <v>1320</v>
      </c>
      <c r="FH121" s="73">
        <f t="shared" ca="1" si="998"/>
        <v>0</v>
      </c>
      <c r="FI121" s="64"/>
      <c r="FJ121" s="74" t="s">
        <v>1320</v>
      </c>
      <c r="FK121" s="73">
        <f t="shared" ca="1" si="998"/>
        <v>0</v>
      </c>
      <c r="FL121" s="64"/>
      <c r="FM121" s="74" t="s">
        <v>1320</v>
      </c>
      <c r="FN121" s="73">
        <f t="shared" ca="1" si="998"/>
        <v>0</v>
      </c>
      <c r="FO121" s="64"/>
      <c r="FP121" s="74" t="s">
        <v>1320</v>
      </c>
      <c r="FQ121" s="73">
        <f t="shared" ca="1" si="998"/>
        <v>0</v>
      </c>
      <c r="FR121" s="64"/>
      <c r="FS121" s="74" t="s">
        <v>1320</v>
      </c>
      <c r="FT121" s="73">
        <f t="shared" ca="1" si="998"/>
        <v>0</v>
      </c>
      <c r="FU121" s="64"/>
      <c r="FV121" s="74" t="s">
        <v>1320</v>
      </c>
      <c r="FW121" s="73">
        <f t="shared" ca="1" si="998"/>
        <v>0</v>
      </c>
      <c r="FX121" s="64"/>
      <c r="FY121" s="74" t="s">
        <v>1320</v>
      </c>
      <c r="FZ121" s="73">
        <f t="shared" ca="1" si="998"/>
        <v>0</v>
      </c>
      <c r="GA121" s="64"/>
      <c r="GB121" s="74" t="s">
        <v>79</v>
      </c>
      <c r="GC121" s="73">
        <f t="shared" ca="1" si="998"/>
        <v>10</v>
      </c>
      <c r="GD121" s="64"/>
      <c r="GE121" s="74" t="s">
        <v>1320</v>
      </c>
      <c r="GF121" s="73">
        <f t="shared" ca="1" si="998"/>
        <v>0</v>
      </c>
      <c r="GG121" s="64"/>
      <c r="GH121" s="74" t="s">
        <v>1320</v>
      </c>
      <c r="GI121" s="73">
        <f t="shared" ca="1" si="998"/>
        <v>0</v>
      </c>
      <c r="GJ121" s="64"/>
      <c r="GK121" s="74" t="s">
        <v>1320</v>
      </c>
      <c r="GL121" s="73">
        <f t="shared" ca="1" si="998"/>
        <v>0</v>
      </c>
      <c r="GM121" s="64"/>
      <c r="GN121" s="74"/>
      <c r="GO121" s="73">
        <f t="shared" ca="1" si="998"/>
        <v>0</v>
      </c>
      <c r="GP121" s="64"/>
      <c r="GQ121" s="74"/>
      <c r="GR121" s="73">
        <f t="shared" ca="1" si="998"/>
        <v>0</v>
      </c>
      <c r="GS121" s="64"/>
      <c r="GT121" s="74"/>
      <c r="GU121" s="73">
        <f t="shared" ca="1" si="998"/>
        <v>0</v>
      </c>
      <c r="GV121" s="64"/>
      <c r="GW121" s="74"/>
      <c r="GX121" s="73">
        <f t="shared" ca="1" si="998"/>
        <v>0</v>
      </c>
      <c r="GY121" s="64"/>
      <c r="GZ121" s="74"/>
      <c r="HA121" s="73">
        <f t="shared" ca="1" si="998"/>
        <v>0</v>
      </c>
      <c r="HB121" s="64"/>
      <c r="HC121" s="74"/>
      <c r="HD121" s="73">
        <f t="shared" ca="1" si="998"/>
        <v>0</v>
      </c>
      <c r="HE121" s="64"/>
      <c r="HF121" s="74"/>
      <c r="HG121" s="73">
        <f t="shared" ca="1" si="998"/>
        <v>0</v>
      </c>
      <c r="HH121" s="64"/>
      <c r="HI121" s="74"/>
      <c r="HJ121" s="73">
        <f t="shared" ca="1" si="998"/>
        <v>0</v>
      </c>
      <c r="HK121" s="64"/>
      <c r="HL121" s="74"/>
      <c r="HM121" s="73">
        <f t="shared" ref="HM121:JX121" ca="1" si="999">($M121=HL121)*$D$12</f>
        <v>0</v>
      </c>
      <c r="HN121" s="64"/>
      <c r="HO121" s="74"/>
      <c r="HP121" s="73">
        <f t="shared" ca="1" si="999"/>
        <v>0</v>
      </c>
      <c r="HQ121" s="64"/>
      <c r="HR121" s="74"/>
      <c r="HS121" s="73">
        <f t="shared" ca="1" si="999"/>
        <v>0</v>
      </c>
      <c r="HT121" s="64"/>
      <c r="HU121" s="74"/>
      <c r="HV121" s="73">
        <f t="shared" ca="1" si="999"/>
        <v>0</v>
      </c>
      <c r="HW121" s="64"/>
      <c r="HX121" s="74"/>
      <c r="HY121" s="73">
        <f t="shared" ca="1" si="999"/>
        <v>0</v>
      </c>
      <c r="HZ121" s="64"/>
      <c r="IA121" s="74"/>
      <c r="IB121" s="73">
        <f t="shared" ca="1" si="999"/>
        <v>0</v>
      </c>
      <c r="IC121" s="64"/>
      <c r="ID121" s="74"/>
      <c r="IE121" s="73">
        <f t="shared" ca="1" si="999"/>
        <v>0</v>
      </c>
      <c r="IF121" s="64"/>
      <c r="IG121" s="74"/>
      <c r="IH121" s="73">
        <f t="shared" ca="1" si="999"/>
        <v>0</v>
      </c>
      <c r="II121" s="64"/>
      <c r="IJ121" s="74"/>
      <c r="IK121" s="73">
        <f t="shared" ca="1" si="999"/>
        <v>0</v>
      </c>
      <c r="IL121" s="64"/>
      <c r="IM121" s="74"/>
      <c r="IN121" s="73">
        <f t="shared" ca="1" si="999"/>
        <v>0</v>
      </c>
      <c r="IO121" s="64"/>
      <c r="IP121" s="74"/>
      <c r="IQ121" s="73">
        <f t="shared" ca="1" si="999"/>
        <v>0</v>
      </c>
      <c r="IR121" s="64"/>
      <c r="IS121" s="74"/>
      <c r="IT121" s="73">
        <f t="shared" ca="1" si="999"/>
        <v>0</v>
      </c>
      <c r="IU121" s="64"/>
      <c r="IV121" s="74"/>
      <c r="IW121" s="73">
        <f t="shared" ca="1" si="999"/>
        <v>0</v>
      </c>
      <c r="IX121" s="64"/>
      <c r="IY121" s="74"/>
      <c r="IZ121" s="73">
        <f t="shared" ca="1" si="999"/>
        <v>0</v>
      </c>
      <c r="JA121" s="64"/>
      <c r="JB121" s="74"/>
      <c r="JC121" s="73">
        <f t="shared" ca="1" si="999"/>
        <v>0</v>
      </c>
      <c r="JD121" s="64"/>
      <c r="JE121" s="74"/>
      <c r="JF121" s="73">
        <f t="shared" ca="1" si="999"/>
        <v>0</v>
      </c>
      <c r="JG121" s="64"/>
      <c r="JH121" s="74"/>
      <c r="JI121" s="73">
        <f t="shared" ca="1" si="999"/>
        <v>0</v>
      </c>
      <c r="JJ121" s="64"/>
      <c r="JK121" s="74"/>
      <c r="JL121" s="73">
        <f t="shared" ca="1" si="999"/>
        <v>0</v>
      </c>
      <c r="JM121" s="64"/>
      <c r="JN121" s="74"/>
      <c r="JO121" s="73">
        <f t="shared" ca="1" si="999"/>
        <v>0</v>
      </c>
      <c r="JP121" s="64"/>
      <c r="JQ121" s="74"/>
      <c r="JR121" s="73">
        <f t="shared" ca="1" si="999"/>
        <v>0</v>
      </c>
      <c r="JS121" s="64"/>
      <c r="JT121" s="74"/>
      <c r="JU121" s="73">
        <f t="shared" ca="1" si="999"/>
        <v>0</v>
      </c>
      <c r="JV121" s="64"/>
      <c r="JW121" s="74"/>
      <c r="JX121" s="73">
        <f t="shared" ca="1" si="999"/>
        <v>0</v>
      </c>
      <c r="JY121" s="64"/>
      <c r="JZ121" s="74"/>
      <c r="KA121" s="73">
        <f t="shared" ref="KA121:LE121" ca="1" si="1000">($M121=JZ121)*$D$12</f>
        <v>0</v>
      </c>
      <c r="KB121" s="64"/>
      <c r="KC121" s="74"/>
      <c r="KD121" s="73">
        <f t="shared" ca="1" si="1000"/>
        <v>0</v>
      </c>
      <c r="KE121" s="64"/>
      <c r="KF121" s="74"/>
      <c r="KG121" s="73">
        <f t="shared" ca="1" si="1000"/>
        <v>0</v>
      </c>
      <c r="KH121" s="64"/>
      <c r="KI121" s="74"/>
      <c r="KJ121" s="73">
        <f t="shared" ca="1" si="1000"/>
        <v>0</v>
      </c>
      <c r="KK121" s="64"/>
      <c r="KL121" s="74"/>
      <c r="KM121" s="73">
        <f t="shared" ca="1" si="1000"/>
        <v>0</v>
      </c>
      <c r="KN121" s="64"/>
      <c r="KO121" s="74"/>
      <c r="KP121" s="73">
        <f t="shared" ca="1" si="1000"/>
        <v>0</v>
      </c>
      <c r="KQ121" s="64"/>
      <c r="KR121" s="74"/>
      <c r="KS121" s="73">
        <f t="shared" ca="1" si="1000"/>
        <v>0</v>
      </c>
      <c r="KT121" s="64"/>
      <c r="KU121" s="74"/>
      <c r="KV121" s="73">
        <f t="shared" ca="1" si="1000"/>
        <v>0</v>
      </c>
      <c r="KW121" s="64"/>
      <c r="KX121" s="74"/>
      <c r="KY121" s="73">
        <f t="shared" ca="1" si="1000"/>
        <v>0</v>
      </c>
      <c r="KZ121" s="64"/>
      <c r="LA121" s="74"/>
      <c r="LB121" s="73">
        <f t="shared" ca="1" si="1000"/>
        <v>0</v>
      </c>
      <c r="LC121" s="64"/>
      <c r="LD121" s="74"/>
      <c r="LE121" s="73">
        <f t="shared" ca="1" si="1000"/>
        <v>0</v>
      </c>
      <c r="LF121" s="64"/>
      <c r="LG121" s="64"/>
    </row>
    <row r="122" spans="1:319">
      <c r="A122" s="49"/>
      <c r="B122" s="49"/>
      <c r="C122" s="49"/>
      <c r="D122" s="49"/>
      <c r="E122" s="65"/>
      <c r="F122" s="127">
        <f t="shared" ref="F122" si="1001">$D$13</f>
        <v>5</v>
      </c>
      <c r="G122" s="445">
        <f ca="1">VLOOKUP(H122,Equipos!$Q$1:$R$25,2,0)</f>
        <v>18</v>
      </c>
      <c r="H122" s="446">
        <f ca="1">$H$74</f>
        <v>46201</v>
      </c>
      <c r="I122" s="50"/>
      <c r="J122" s="848"/>
      <c r="K122" s="56" t="str">
        <f>Idiomas!D192</f>
        <v>3rd GROUP K</v>
      </c>
      <c r="L122" s="53"/>
      <c r="M122" s="55" t="str">
        <f ca="1">IF(OR(SUM(WORLDCUP!$AN$86:$AN$89)=12,WORLDCUP!$AJ$99=144),WORLDCUP!AL88,LEFT(K122,1)&amp;RIGHT(K122,1))</f>
        <v>DR Congo</v>
      </c>
      <c r="N122" s="25"/>
      <c r="O122" s="25"/>
      <c r="P122" s="25"/>
      <c r="Q122" s="25"/>
      <c r="R122" s="110"/>
      <c r="S122" s="74" t="s">
        <v>79</v>
      </c>
      <c r="T122" s="73">
        <f t="shared" ref="T122" ca="1" si="1002">($M122=S122)*$D$13</f>
        <v>0</v>
      </c>
      <c r="U122" s="64"/>
      <c r="V122" s="74" t="s">
        <v>1840</v>
      </c>
      <c r="W122" s="73">
        <f t="shared" ref="W122:CH122" ca="1" si="1003">($M122=V122)*$D$13</f>
        <v>5</v>
      </c>
      <c r="X122" s="64"/>
      <c r="Y122" s="74" t="s">
        <v>1840</v>
      </c>
      <c r="Z122" s="73">
        <f t="shared" ca="1" si="1003"/>
        <v>5</v>
      </c>
      <c r="AA122" s="64"/>
      <c r="AB122" s="74" t="s">
        <v>1840</v>
      </c>
      <c r="AC122" s="73">
        <f t="shared" ca="1" si="1003"/>
        <v>5</v>
      </c>
      <c r="AD122" s="64"/>
      <c r="AE122" s="74" t="s">
        <v>1840</v>
      </c>
      <c r="AF122" s="73">
        <f t="shared" ca="1" si="1003"/>
        <v>5</v>
      </c>
      <c r="AG122" s="64"/>
      <c r="AH122" s="74" t="s">
        <v>1840</v>
      </c>
      <c r="AI122" s="73">
        <f t="shared" ca="1" si="1003"/>
        <v>5</v>
      </c>
      <c r="AJ122" s="64"/>
      <c r="AK122" s="74" t="s">
        <v>1292</v>
      </c>
      <c r="AL122" s="73">
        <f t="shared" ca="1" si="1003"/>
        <v>0</v>
      </c>
      <c r="AM122" s="64"/>
      <c r="AN122" s="74" t="s">
        <v>1840</v>
      </c>
      <c r="AO122" s="73">
        <f t="shared" ca="1" si="1003"/>
        <v>5</v>
      </c>
      <c r="AP122" s="64"/>
      <c r="AQ122" s="74" t="s">
        <v>1840</v>
      </c>
      <c r="AR122" s="73">
        <f t="shared" ca="1" si="1003"/>
        <v>5</v>
      </c>
      <c r="AS122" s="64"/>
      <c r="AT122" s="74" t="s">
        <v>1320</v>
      </c>
      <c r="AU122" s="73">
        <f t="shared" ca="1" si="1003"/>
        <v>0</v>
      </c>
      <c r="AV122" s="64"/>
      <c r="AW122" s="74" t="s">
        <v>1840</v>
      </c>
      <c r="AX122" s="73">
        <f t="shared" ca="1" si="1003"/>
        <v>5</v>
      </c>
      <c r="AY122" s="64"/>
      <c r="AZ122" s="74" t="s">
        <v>1840</v>
      </c>
      <c r="BA122" s="73">
        <f t="shared" ca="1" si="1003"/>
        <v>5</v>
      </c>
      <c r="BB122" s="64"/>
      <c r="BC122" s="74" t="s">
        <v>1292</v>
      </c>
      <c r="BD122" s="73">
        <f t="shared" ca="1" si="1003"/>
        <v>0</v>
      </c>
      <c r="BE122" s="64"/>
      <c r="BF122" s="74" t="s">
        <v>1292</v>
      </c>
      <c r="BG122" s="73">
        <f t="shared" ca="1" si="1003"/>
        <v>0</v>
      </c>
      <c r="BH122" s="64"/>
      <c r="BI122" s="74" t="s">
        <v>1840</v>
      </c>
      <c r="BJ122" s="73">
        <f t="shared" ca="1" si="1003"/>
        <v>5</v>
      </c>
      <c r="BK122" s="64"/>
      <c r="BL122" s="74" t="s">
        <v>1840</v>
      </c>
      <c r="BM122" s="73">
        <f t="shared" ca="1" si="1003"/>
        <v>5</v>
      </c>
      <c r="BN122" s="64"/>
      <c r="BO122" s="74" t="s">
        <v>1292</v>
      </c>
      <c r="BP122" s="73">
        <f t="shared" ca="1" si="1003"/>
        <v>0</v>
      </c>
      <c r="BQ122" s="64"/>
      <c r="BR122" s="74" t="s">
        <v>1840</v>
      </c>
      <c r="BS122" s="73">
        <f t="shared" ca="1" si="1003"/>
        <v>5</v>
      </c>
      <c r="BT122" s="64"/>
      <c r="BU122" s="74" t="s">
        <v>1840</v>
      </c>
      <c r="BV122" s="73">
        <f t="shared" ca="1" si="1003"/>
        <v>5</v>
      </c>
      <c r="BW122" s="64"/>
      <c r="BX122" s="74" t="s">
        <v>1292</v>
      </c>
      <c r="BY122" s="73">
        <f t="shared" ca="1" si="1003"/>
        <v>0</v>
      </c>
      <c r="BZ122" s="64"/>
      <c r="CA122" s="74" t="s">
        <v>1840</v>
      </c>
      <c r="CB122" s="73">
        <f t="shared" ca="1" si="1003"/>
        <v>5</v>
      </c>
      <c r="CC122" s="64"/>
      <c r="CD122" s="74" t="s">
        <v>1840</v>
      </c>
      <c r="CE122" s="73">
        <f t="shared" ca="1" si="1003"/>
        <v>5</v>
      </c>
      <c r="CF122" s="64"/>
      <c r="CG122" s="74" t="s">
        <v>1292</v>
      </c>
      <c r="CH122" s="73">
        <f t="shared" ca="1" si="1003"/>
        <v>0</v>
      </c>
      <c r="CI122" s="64"/>
      <c r="CJ122" s="74" t="s">
        <v>1840</v>
      </c>
      <c r="CK122" s="73">
        <f t="shared" ref="CK122:EV122" ca="1" si="1004">($M122=CJ122)*$D$13</f>
        <v>5</v>
      </c>
      <c r="CL122" s="64"/>
      <c r="CM122" s="74" t="s">
        <v>1840</v>
      </c>
      <c r="CN122" s="73">
        <f t="shared" ca="1" si="1004"/>
        <v>5</v>
      </c>
      <c r="CO122" s="64"/>
      <c r="CP122" s="74" t="s">
        <v>1292</v>
      </c>
      <c r="CQ122" s="73">
        <f t="shared" ca="1" si="1004"/>
        <v>0</v>
      </c>
      <c r="CR122" s="64"/>
      <c r="CS122" s="74" t="s">
        <v>1840</v>
      </c>
      <c r="CT122" s="73">
        <f t="shared" ca="1" si="1004"/>
        <v>5</v>
      </c>
      <c r="CU122" s="64"/>
      <c r="CV122" s="74" t="s">
        <v>1292</v>
      </c>
      <c r="CW122" s="73">
        <f t="shared" ca="1" si="1004"/>
        <v>0</v>
      </c>
      <c r="CX122" s="64"/>
      <c r="CY122" s="74" t="s">
        <v>1840</v>
      </c>
      <c r="CZ122" s="73">
        <f t="shared" ca="1" si="1004"/>
        <v>5</v>
      </c>
      <c r="DA122" s="64"/>
      <c r="DB122" s="74" t="s">
        <v>1840</v>
      </c>
      <c r="DC122" s="73">
        <f t="shared" ca="1" si="1004"/>
        <v>5</v>
      </c>
      <c r="DD122" s="64"/>
      <c r="DE122" s="74" t="s">
        <v>1292</v>
      </c>
      <c r="DF122" s="73">
        <f t="shared" ca="1" si="1004"/>
        <v>0</v>
      </c>
      <c r="DG122" s="64"/>
      <c r="DH122" s="74" t="s">
        <v>1292</v>
      </c>
      <c r="DI122" s="73">
        <f t="shared" ca="1" si="1004"/>
        <v>0</v>
      </c>
      <c r="DJ122" s="64"/>
      <c r="DK122" s="74" t="s">
        <v>1292</v>
      </c>
      <c r="DL122" s="73">
        <f t="shared" ca="1" si="1004"/>
        <v>0</v>
      </c>
      <c r="DM122" s="64"/>
      <c r="DN122" s="74" t="s">
        <v>1840</v>
      </c>
      <c r="DO122" s="73">
        <f t="shared" ca="1" si="1004"/>
        <v>5</v>
      </c>
      <c r="DP122" s="64"/>
      <c r="DQ122" s="74" t="s">
        <v>1292</v>
      </c>
      <c r="DR122" s="73">
        <f t="shared" ca="1" si="1004"/>
        <v>0</v>
      </c>
      <c r="DS122" s="64"/>
      <c r="DT122" s="74" t="s">
        <v>1840</v>
      </c>
      <c r="DU122" s="73">
        <f t="shared" ca="1" si="1004"/>
        <v>5</v>
      </c>
      <c r="DV122" s="64"/>
      <c r="DW122" s="74" t="s">
        <v>1292</v>
      </c>
      <c r="DX122" s="73">
        <f t="shared" ca="1" si="1004"/>
        <v>0</v>
      </c>
      <c r="DY122" s="64"/>
      <c r="DZ122" s="74" t="s">
        <v>1292</v>
      </c>
      <c r="EA122" s="73">
        <f t="shared" ca="1" si="1004"/>
        <v>0</v>
      </c>
      <c r="EB122" s="64"/>
      <c r="EC122" s="74" t="s">
        <v>1292</v>
      </c>
      <c r="ED122" s="73">
        <f t="shared" ca="1" si="1004"/>
        <v>0</v>
      </c>
      <c r="EE122" s="64"/>
      <c r="EF122" s="74" t="s">
        <v>1840</v>
      </c>
      <c r="EG122" s="73">
        <f t="shared" ca="1" si="1004"/>
        <v>5</v>
      </c>
      <c r="EH122" s="64"/>
      <c r="EI122" s="74" t="s">
        <v>1840</v>
      </c>
      <c r="EJ122" s="73">
        <f t="shared" ca="1" si="1004"/>
        <v>5</v>
      </c>
      <c r="EK122" s="64"/>
      <c r="EL122" s="74" t="s">
        <v>1840</v>
      </c>
      <c r="EM122" s="73">
        <f t="shared" ca="1" si="1004"/>
        <v>5</v>
      </c>
      <c r="EN122" s="64"/>
      <c r="EO122" s="74" t="s">
        <v>1840</v>
      </c>
      <c r="EP122" s="73">
        <f t="shared" ca="1" si="1004"/>
        <v>5</v>
      </c>
      <c r="EQ122" s="64"/>
      <c r="ER122" s="74" t="s">
        <v>1292</v>
      </c>
      <c r="ES122" s="73">
        <f t="shared" ca="1" si="1004"/>
        <v>0</v>
      </c>
      <c r="ET122" s="64"/>
      <c r="EU122" s="74" t="s">
        <v>1840</v>
      </c>
      <c r="EV122" s="73">
        <f t="shared" ca="1" si="1004"/>
        <v>5</v>
      </c>
      <c r="EW122" s="64"/>
      <c r="EX122" s="74" t="s">
        <v>1840</v>
      </c>
      <c r="EY122" s="73">
        <f t="shared" ref="EY122:HJ122" ca="1" si="1005">($M122=EX122)*$D$13</f>
        <v>5</v>
      </c>
      <c r="EZ122" s="64"/>
      <c r="FA122" s="74" t="s">
        <v>1292</v>
      </c>
      <c r="FB122" s="73">
        <f t="shared" ca="1" si="1005"/>
        <v>0</v>
      </c>
      <c r="FC122" s="64"/>
      <c r="FD122" s="74" t="s">
        <v>1292</v>
      </c>
      <c r="FE122" s="73">
        <f t="shared" ca="1" si="1005"/>
        <v>0</v>
      </c>
      <c r="FF122" s="64"/>
      <c r="FG122" s="74" t="s">
        <v>1292</v>
      </c>
      <c r="FH122" s="73">
        <f t="shared" ca="1" si="1005"/>
        <v>0</v>
      </c>
      <c r="FI122" s="64"/>
      <c r="FJ122" s="74" t="s">
        <v>1292</v>
      </c>
      <c r="FK122" s="73">
        <f t="shared" ca="1" si="1005"/>
        <v>0</v>
      </c>
      <c r="FL122" s="64"/>
      <c r="FM122" s="74" t="s">
        <v>1840</v>
      </c>
      <c r="FN122" s="73">
        <f t="shared" ca="1" si="1005"/>
        <v>5</v>
      </c>
      <c r="FO122" s="64"/>
      <c r="FP122" s="74" t="s">
        <v>1840</v>
      </c>
      <c r="FQ122" s="73">
        <f t="shared" ca="1" si="1005"/>
        <v>5</v>
      </c>
      <c r="FR122" s="64"/>
      <c r="FS122" s="74" t="s">
        <v>1840</v>
      </c>
      <c r="FT122" s="73">
        <f t="shared" ca="1" si="1005"/>
        <v>5</v>
      </c>
      <c r="FU122" s="64"/>
      <c r="FV122" s="74" t="s">
        <v>1292</v>
      </c>
      <c r="FW122" s="73">
        <f t="shared" ca="1" si="1005"/>
        <v>0</v>
      </c>
      <c r="FX122" s="64"/>
      <c r="FY122" s="74" t="s">
        <v>1292</v>
      </c>
      <c r="FZ122" s="73">
        <f t="shared" ca="1" si="1005"/>
        <v>0</v>
      </c>
      <c r="GA122" s="64"/>
      <c r="GB122" s="74" t="s">
        <v>1840</v>
      </c>
      <c r="GC122" s="73">
        <f t="shared" ca="1" si="1005"/>
        <v>5</v>
      </c>
      <c r="GD122" s="64"/>
      <c r="GE122" s="74" t="s">
        <v>1840</v>
      </c>
      <c r="GF122" s="73">
        <f t="shared" ca="1" si="1005"/>
        <v>5</v>
      </c>
      <c r="GG122" s="64"/>
      <c r="GH122" s="74" t="s">
        <v>1840</v>
      </c>
      <c r="GI122" s="73">
        <f t="shared" ca="1" si="1005"/>
        <v>5</v>
      </c>
      <c r="GJ122" s="64"/>
      <c r="GK122" s="74" t="s">
        <v>1840</v>
      </c>
      <c r="GL122" s="73">
        <f t="shared" ca="1" si="1005"/>
        <v>5</v>
      </c>
      <c r="GM122" s="64"/>
      <c r="GN122" s="74"/>
      <c r="GO122" s="73">
        <f t="shared" ca="1" si="1005"/>
        <v>0</v>
      </c>
      <c r="GP122" s="64"/>
      <c r="GQ122" s="74"/>
      <c r="GR122" s="73">
        <f t="shared" ca="1" si="1005"/>
        <v>0</v>
      </c>
      <c r="GS122" s="64"/>
      <c r="GT122" s="74"/>
      <c r="GU122" s="73">
        <f t="shared" ca="1" si="1005"/>
        <v>0</v>
      </c>
      <c r="GV122" s="64"/>
      <c r="GW122" s="74"/>
      <c r="GX122" s="73">
        <f t="shared" ca="1" si="1005"/>
        <v>0</v>
      </c>
      <c r="GY122" s="64"/>
      <c r="GZ122" s="74"/>
      <c r="HA122" s="73">
        <f t="shared" ca="1" si="1005"/>
        <v>0</v>
      </c>
      <c r="HB122" s="64"/>
      <c r="HC122" s="74"/>
      <c r="HD122" s="73">
        <f t="shared" ca="1" si="1005"/>
        <v>0</v>
      </c>
      <c r="HE122" s="64"/>
      <c r="HF122" s="74"/>
      <c r="HG122" s="73">
        <f t="shared" ca="1" si="1005"/>
        <v>0</v>
      </c>
      <c r="HH122" s="64"/>
      <c r="HI122" s="74"/>
      <c r="HJ122" s="73">
        <f t="shared" ca="1" si="1005"/>
        <v>0</v>
      </c>
      <c r="HK122" s="64"/>
      <c r="HL122" s="74"/>
      <c r="HM122" s="73">
        <f t="shared" ref="HM122:JX122" ca="1" si="1006">($M122=HL122)*$D$13</f>
        <v>0</v>
      </c>
      <c r="HN122" s="64"/>
      <c r="HO122" s="74"/>
      <c r="HP122" s="73">
        <f t="shared" ca="1" si="1006"/>
        <v>0</v>
      </c>
      <c r="HQ122" s="64"/>
      <c r="HR122" s="74"/>
      <c r="HS122" s="73">
        <f t="shared" ca="1" si="1006"/>
        <v>0</v>
      </c>
      <c r="HT122" s="64"/>
      <c r="HU122" s="74"/>
      <c r="HV122" s="73">
        <f t="shared" ca="1" si="1006"/>
        <v>0</v>
      </c>
      <c r="HW122" s="64"/>
      <c r="HX122" s="74"/>
      <c r="HY122" s="73">
        <f t="shared" ca="1" si="1006"/>
        <v>0</v>
      </c>
      <c r="HZ122" s="64"/>
      <c r="IA122" s="74"/>
      <c r="IB122" s="73">
        <f t="shared" ca="1" si="1006"/>
        <v>0</v>
      </c>
      <c r="IC122" s="64"/>
      <c r="ID122" s="74"/>
      <c r="IE122" s="73">
        <f t="shared" ca="1" si="1006"/>
        <v>0</v>
      </c>
      <c r="IF122" s="64"/>
      <c r="IG122" s="74"/>
      <c r="IH122" s="73">
        <f t="shared" ca="1" si="1006"/>
        <v>0</v>
      </c>
      <c r="II122" s="64"/>
      <c r="IJ122" s="74"/>
      <c r="IK122" s="73">
        <f t="shared" ca="1" si="1006"/>
        <v>0</v>
      </c>
      <c r="IL122" s="64"/>
      <c r="IM122" s="74"/>
      <c r="IN122" s="73">
        <f t="shared" ca="1" si="1006"/>
        <v>0</v>
      </c>
      <c r="IO122" s="64"/>
      <c r="IP122" s="74"/>
      <c r="IQ122" s="73">
        <f t="shared" ca="1" si="1006"/>
        <v>0</v>
      </c>
      <c r="IR122" s="64"/>
      <c r="IS122" s="74"/>
      <c r="IT122" s="73">
        <f t="shared" ca="1" si="1006"/>
        <v>0</v>
      </c>
      <c r="IU122" s="64"/>
      <c r="IV122" s="74"/>
      <c r="IW122" s="73">
        <f t="shared" ca="1" si="1006"/>
        <v>0</v>
      </c>
      <c r="IX122" s="64"/>
      <c r="IY122" s="74"/>
      <c r="IZ122" s="73">
        <f t="shared" ca="1" si="1006"/>
        <v>0</v>
      </c>
      <c r="JA122" s="64"/>
      <c r="JB122" s="74"/>
      <c r="JC122" s="73">
        <f t="shared" ca="1" si="1006"/>
        <v>0</v>
      </c>
      <c r="JD122" s="64"/>
      <c r="JE122" s="74"/>
      <c r="JF122" s="73">
        <f t="shared" ca="1" si="1006"/>
        <v>0</v>
      </c>
      <c r="JG122" s="64"/>
      <c r="JH122" s="74"/>
      <c r="JI122" s="73">
        <f t="shared" ca="1" si="1006"/>
        <v>0</v>
      </c>
      <c r="JJ122" s="64"/>
      <c r="JK122" s="74"/>
      <c r="JL122" s="73">
        <f t="shared" ca="1" si="1006"/>
        <v>0</v>
      </c>
      <c r="JM122" s="64"/>
      <c r="JN122" s="74"/>
      <c r="JO122" s="73">
        <f t="shared" ca="1" si="1006"/>
        <v>0</v>
      </c>
      <c r="JP122" s="64"/>
      <c r="JQ122" s="74"/>
      <c r="JR122" s="73">
        <f t="shared" ca="1" si="1006"/>
        <v>0</v>
      </c>
      <c r="JS122" s="64"/>
      <c r="JT122" s="74"/>
      <c r="JU122" s="73">
        <f t="shared" ca="1" si="1006"/>
        <v>0</v>
      </c>
      <c r="JV122" s="64"/>
      <c r="JW122" s="74"/>
      <c r="JX122" s="73">
        <f t="shared" ca="1" si="1006"/>
        <v>0</v>
      </c>
      <c r="JY122" s="64"/>
      <c r="JZ122" s="74"/>
      <c r="KA122" s="73">
        <f t="shared" ref="KA122:LE122" ca="1" si="1007">($M122=JZ122)*$D$13</f>
        <v>0</v>
      </c>
      <c r="KB122" s="64"/>
      <c r="KC122" s="74"/>
      <c r="KD122" s="73">
        <f t="shared" ca="1" si="1007"/>
        <v>0</v>
      </c>
      <c r="KE122" s="64"/>
      <c r="KF122" s="74"/>
      <c r="KG122" s="73">
        <f t="shared" ca="1" si="1007"/>
        <v>0</v>
      </c>
      <c r="KH122" s="64"/>
      <c r="KI122" s="74"/>
      <c r="KJ122" s="73">
        <f t="shared" ca="1" si="1007"/>
        <v>0</v>
      </c>
      <c r="KK122" s="64"/>
      <c r="KL122" s="74"/>
      <c r="KM122" s="73">
        <f t="shared" ca="1" si="1007"/>
        <v>0</v>
      </c>
      <c r="KN122" s="64"/>
      <c r="KO122" s="74"/>
      <c r="KP122" s="73">
        <f t="shared" ca="1" si="1007"/>
        <v>0</v>
      </c>
      <c r="KQ122" s="64"/>
      <c r="KR122" s="74"/>
      <c r="KS122" s="73">
        <f t="shared" ca="1" si="1007"/>
        <v>0</v>
      </c>
      <c r="KT122" s="64"/>
      <c r="KU122" s="74"/>
      <c r="KV122" s="73">
        <f t="shared" ca="1" si="1007"/>
        <v>0</v>
      </c>
      <c r="KW122" s="64"/>
      <c r="KX122" s="74"/>
      <c r="KY122" s="73">
        <f t="shared" ca="1" si="1007"/>
        <v>0</v>
      </c>
      <c r="KZ122" s="64"/>
      <c r="LA122" s="74"/>
      <c r="LB122" s="73">
        <f t="shared" ca="1" si="1007"/>
        <v>0</v>
      </c>
      <c r="LC122" s="64"/>
      <c r="LD122" s="74"/>
      <c r="LE122" s="73">
        <f t="shared" ca="1" si="1007"/>
        <v>0</v>
      </c>
      <c r="LF122" s="64"/>
      <c r="LG122" s="64"/>
    </row>
    <row r="123" spans="1:319">
      <c r="A123" s="49"/>
      <c r="B123" s="49"/>
      <c r="C123" s="49"/>
      <c r="D123" s="49"/>
      <c r="E123" s="65"/>
      <c r="F123" s="127">
        <f t="shared" ref="F123" si="1008">$D$14</f>
        <v>3</v>
      </c>
      <c r="G123" s="445">
        <f ca="1">VLOOKUP(H123,Equipos!$Q$1:$R$25,2,0)</f>
        <v>18</v>
      </c>
      <c r="H123" s="446">
        <f ca="1">$H$74</f>
        <v>46201</v>
      </c>
      <c r="I123" s="50"/>
      <c r="J123" s="848"/>
      <c r="K123" s="56" t="str">
        <f>Idiomas!D193</f>
        <v>4th GROUP K</v>
      </c>
      <c r="L123" s="53"/>
      <c r="M123" s="55" t="str">
        <f ca="1">IF(OR(SUM(WORLDCUP!$AN$86:$AN$89)=12,WORLDCUP!$AJ$99=144),WORLDCUP!AL89,LEFT(K123,1)&amp;RIGHT(K123,1))</f>
        <v>Uzbekistan</v>
      </c>
      <c r="N123" s="25"/>
      <c r="O123" s="25"/>
      <c r="P123" s="25"/>
      <c r="Q123" s="25"/>
      <c r="R123" s="110"/>
      <c r="S123" s="74" t="s">
        <v>1840</v>
      </c>
      <c r="T123" s="73">
        <f t="shared" ref="T123" ca="1" si="1009">($M123=S123)*$D$14</f>
        <v>0</v>
      </c>
      <c r="U123" s="64"/>
      <c r="V123" s="74" t="s">
        <v>1292</v>
      </c>
      <c r="W123" s="73">
        <f t="shared" ref="W123:CH123" ca="1" si="1010">($M123=V123)*$D$14</f>
        <v>3</v>
      </c>
      <c r="X123" s="64"/>
      <c r="Y123" s="74" t="s">
        <v>1292</v>
      </c>
      <c r="Z123" s="73">
        <f t="shared" ca="1" si="1010"/>
        <v>3</v>
      </c>
      <c r="AA123" s="64"/>
      <c r="AB123" s="74" t="s">
        <v>1292</v>
      </c>
      <c r="AC123" s="73">
        <f t="shared" ca="1" si="1010"/>
        <v>3</v>
      </c>
      <c r="AD123" s="64"/>
      <c r="AE123" s="74" t="s">
        <v>1292</v>
      </c>
      <c r="AF123" s="73">
        <f t="shared" ca="1" si="1010"/>
        <v>3</v>
      </c>
      <c r="AG123" s="64"/>
      <c r="AH123" s="74" t="s">
        <v>1292</v>
      </c>
      <c r="AI123" s="73">
        <f t="shared" ca="1" si="1010"/>
        <v>3</v>
      </c>
      <c r="AJ123" s="64"/>
      <c r="AK123" s="74" t="s">
        <v>1840</v>
      </c>
      <c r="AL123" s="73">
        <f t="shared" ca="1" si="1010"/>
        <v>0</v>
      </c>
      <c r="AM123" s="64"/>
      <c r="AN123" s="74" t="s">
        <v>1292</v>
      </c>
      <c r="AO123" s="73">
        <f t="shared" ca="1" si="1010"/>
        <v>3</v>
      </c>
      <c r="AP123" s="64"/>
      <c r="AQ123" s="74" t="s">
        <v>1292</v>
      </c>
      <c r="AR123" s="73">
        <f t="shared" ca="1" si="1010"/>
        <v>3</v>
      </c>
      <c r="AS123" s="64"/>
      <c r="AT123" s="74" t="s">
        <v>1292</v>
      </c>
      <c r="AU123" s="73">
        <f t="shared" ca="1" si="1010"/>
        <v>3</v>
      </c>
      <c r="AV123" s="64"/>
      <c r="AW123" s="74" t="s">
        <v>1292</v>
      </c>
      <c r="AX123" s="73">
        <f t="shared" ca="1" si="1010"/>
        <v>3</v>
      </c>
      <c r="AY123" s="64"/>
      <c r="AZ123" s="74" t="s">
        <v>1292</v>
      </c>
      <c r="BA123" s="73">
        <f t="shared" ca="1" si="1010"/>
        <v>3</v>
      </c>
      <c r="BB123" s="64"/>
      <c r="BC123" s="74" t="s">
        <v>1840</v>
      </c>
      <c r="BD123" s="73">
        <f t="shared" ca="1" si="1010"/>
        <v>0</v>
      </c>
      <c r="BE123" s="64"/>
      <c r="BF123" s="74" t="s">
        <v>1840</v>
      </c>
      <c r="BG123" s="73">
        <f t="shared" ca="1" si="1010"/>
        <v>0</v>
      </c>
      <c r="BH123" s="64"/>
      <c r="BI123" s="74" t="s">
        <v>1292</v>
      </c>
      <c r="BJ123" s="73">
        <f t="shared" ca="1" si="1010"/>
        <v>3</v>
      </c>
      <c r="BK123" s="64"/>
      <c r="BL123" s="74" t="s">
        <v>1292</v>
      </c>
      <c r="BM123" s="73">
        <f t="shared" ca="1" si="1010"/>
        <v>3</v>
      </c>
      <c r="BN123" s="64"/>
      <c r="BO123" s="74" t="s">
        <v>1840</v>
      </c>
      <c r="BP123" s="73">
        <f t="shared" ca="1" si="1010"/>
        <v>0</v>
      </c>
      <c r="BQ123" s="64"/>
      <c r="BR123" s="74" t="s">
        <v>1292</v>
      </c>
      <c r="BS123" s="73">
        <f t="shared" ca="1" si="1010"/>
        <v>3</v>
      </c>
      <c r="BT123" s="64"/>
      <c r="BU123" s="74" t="s">
        <v>1292</v>
      </c>
      <c r="BV123" s="73">
        <f t="shared" ca="1" si="1010"/>
        <v>3</v>
      </c>
      <c r="BW123" s="64"/>
      <c r="BX123" s="74" t="s">
        <v>1840</v>
      </c>
      <c r="BY123" s="73">
        <f t="shared" ca="1" si="1010"/>
        <v>0</v>
      </c>
      <c r="BZ123" s="64"/>
      <c r="CA123" s="74" t="s">
        <v>1292</v>
      </c>
      <c r="CB123" s="73">
        <f t="shared" ca="1" si="1010"/>
        <v>3</v>
      </c>
      <c r="CC123" s="64"/>
      <c r="CD123" s="74" t="s">
        <v>1292</v>
      </c>
      <c r="CE123" s="73">
        <f t="shared" ca="1" si="1010"/>
        <v>3</v>
      </c>
      <c r="CF123" s="64"/>
      <c r="CG123" s="74" t="s">
        <v>1840</v>
      </c>
      <c r="CH123" s="73">
        <f t="shared" ca="1" si="1010"/>
        <v>0</v>
      </c>
      <c r="CI123" s="64"/>
      <c r="CJ123" s="74" t="s">
        <v>1292</v>
      </c>
      <c r="CK123" s="73">
        <f t="shared" ref="CK123:EV123" ca="1" si="1011">($M123=CJ123)*$D$14</f>
        <v>3</v>
      </c>
      <c r="CL123" s="64"/>
      <c r="CM123" s="74" t="s">
        <v>1292</v>
      </c>
      <c r="CN123" s="73">
        <f t="shared" ca="1" si="1011"/>
        <v>3</v>
      </c>
      <c r="CO123" s="64"/>
      <c r="CP123" s="74" t="s">
        <v>1840</v>
      </c>
      <c r="CQ123" s="73">
        <f t="shared" ca="1" si="1011"/>
        <v>0</v>
      </c>
      <c r="CR123" s="64"/>
      <c r="CS123" s="74" t="s">
        <v>1292</v>
      </c>
      <c r="CT123" s="73">
        <f t="shared" ca="1" si="1011"/>
        <v>3</v>
      </c>
      <c r="CU123" s="64"/>
      <c r="CV123" s="74" t="s">
        <v>1840</v>
      </c>
      <c r="CW123" s="73">
        <f t="shared" ca="1" si="1011"/>
        <v>0</v>
      </c>
      <c r="CX123" s="64"/>
      <c r="CY123" s="74" t="s">
        <v>1292</v>
      </c>
      <c r="CZ123" s="73">
        <f t="shared" ca="1" si="1011"/>
        <v>3</v>
      </c>
      <c r="DA123" s="64"/>
      <c r="DB123" s="74" t="s">
        <v>1292</v>
      </c>
      <c r="DC123" s="73">
        <f t="shared" ca="1" si="1011"/>
        <v>3</v>
      </c>
      <c r="DD123" s="64"/>
      <c r="DE123" s="74" t="s">
        <v>1840</v>
      </c>
      <c r="DF123" s="73">
        <f t="shared" ca="1" si="1011"/>
        <v>0</v>
      </c>
      <c r="DG123" s="64"/>
      <c r="DH123" s="74" t="s">
        <v>1840</v>
      </c>
      <c r="DI123" s="73">
        <f t="shared" ca="1" si="1011"/>
        <v>0</v>
      </c>
      <c r="DJ123" s="64"/>
      <c r="DK123" s="74" t="s">
        <v>1840</v>
      </c>
      <c r="DL123" s="73">
        <f t="shared" ca="1" si="1011"/>
        <v>0</v>
      </c>
      <c r="DM123" s="64"/>
      <c r="DN123" s="74" t="s">
        <v>1292</v>
      </c>
      <c r="DO123" s="73">
        <f t="shared" ca="1" si="1011"/>
        <v>3</v>
      </c>
      <c r="DP123" s="64"/>
      <c r="DQ123" s="74" t="s">
        <v>1840</v>
      </c>
      <c r="DR123" s="73">
        <f t="shared" ca="1" si="1011"/>
        <v>0</v>
      </c>
      <c r="DS123" s="64"/>
      <c r="DT123" s="74" t="s">
        <v>1292</v>
      </c>
      <c r="DU123" s="73">
        <f t="shared" ca="1" si="1011"/>
        <v>3</v>
      </c>
      <c r="DV123" s="64"/>
      <c r="DW123" s="74" t="s">
        <v>1840</v>
      </c>
      <c r="DX123" s="73">
        <f t="shared" ca="1" si="1011"/>
        <v>0</v>
      </c>
      <c r="DY123" s="64"/>
      <c r="DZ123" s="74" t="s">
        <v>1840</v>
      </c>
      <c r="EA123" s="73">
        <f t="shared" ca="1" si="1011"/>
        <v>0</v>
      </c>
      <c r="EB123" s="64"/>
      <c r="EC123" s="74" t="s">
        <v>1840</v>
      </c>
      <c r="ED123" s="73">
        <f t="shared" ca="1" si="1011"/>
        <v>0</v>
      </c>
      <c r="EE123" s="64"/>
      <c r="EF123" s="74" t="s">
        <v>1292</v>
      </c>
      <c r="EG123" s="73">
        <f t="shared" ca="1" si="1011"/>
        <v>3</v>
      </c>
      <c r="EH123" s="64"/>
      <c r="EI123" s="74" t="s">
        <v>1292</v>
      </c>
      <c r="EJ123" s="73">
        <f t="shared" ca="1" si="1011"/>
        <v>3</v>
      </c>
      <c r="EK123" s="64"/>
      <c r="EL123" s="74" t="s">
        <v>1292</v>
      </c>
      <c r="EM123" s="73">
        <f t="shared" ca="1" si="1011"/>
        <v>3</v>
      </c>
      <c r="EN123" s="64"/>
      <c r="EO123" s="74" t="s">
        <v>1292</v>
      </c>
      <c r="EP123" s="73">
        <f t="shared" ca="1" si="1011"/>
        <v>3</v>
      </c>
      <c r="EQ123" s="64"/>
      <c r="ER123" s="74" t="s">
        <v>1840</v>
      </c>
      <c r="ES123" s="73">
        <f t="shared" ca="1" si="1011"/>
        <v>0</v>
      </c>
      <c r="ET123" s="64"/>
      <c r="EU123" s="74" t="s">
        <v>1292</v>
      </c>
      <c r="EV123" s="73">
        <f t="shared" ca="1" si="1011"/>
        <v>3</v>
      </c>
      <c r="EW123" s="64"/>
      <c r="EX123" s="74" t="s">
        <v>1292</v>
      </c>
      <c r="EY123" s="73">
        <f t="shared" ref="EY123:HJ123" ca="1" si="1012">($M123=EX123)*$D$14</f>
        <v>3</v>
      </c>
      <c r="EZ123" s="64"/>
      <c r="FA123" s="74" t="s">
        <v>1840</v>
      </c>
      <c r="FB123" s="73">
        <f t="shared" ca="1" si="1012"/>
        <v>0</v>
      </c>
      <c r="FC123" s="64"/>
      <c r="FD123" s="74" t="s">
        <v>1840</v>
      </c>
      <c r="FE123" s="73">
        <f t="shared" ca="1" si="1012"/>
        <v>0</v>
      </c>
      <c r="FF123" s="64"/>
      <c r="FG123" s="74" t="s">
        <v>1840</v>
      </c>
      <c r="FH123" s="73">
        <f t="shared" ca="1" si="1012"/>
        <v>0</v>
      </c>
      <c r="FI123" s="64"/>
      <c r="FJ123" s="74" t="s">
        <v>1840</v>
      </c>
      <c r="FK123" s="73">
        <f t="shared" ca="1" si="1012"/>
        <v>0</v>
      </c>
      <c r="FL123" s="64"/>
      <c r="FM123" s="74" t="s">
        <v>1292</v>
      </c>
      <c r="FN123" s="73">
        <f t="shared" ca="1" si="1012"/>
        <v>3</v>
      </c>
      <c r="FO123" s="64"/>
      <c r="FP123" s="74" t="s">
        <v>1292</v>
      </c>
      <c r="FQ123" s="73">
        <f t="shared" ca="1" si="1012"/>
        <v>3</v>
      </c>
      <c r="FR123" s="64"/>
      <c r="FS123" s="74" t="s">
        <v>1292</v>
      </c>
      <c r="FT123" s="73">
        <f t="shared" ca="1" si="1012"/>
        <v>3</v>
      </c>
      <c r="FU123" s="64"/>
      <c r="FV123" s="74" t="s">
        <v>1840</v>
      </c>
      <c r="FW123" s="73">
        <f t="shared" ca="1" si="1012"/>
        <v>0</v>
      </c>
      <c r="FX123" s="64"/>
      <c r="FY123" s="74" t="s">
        <v>1840</v>
      </c>
      <c r="FZ123" s="73">
        <f t="shared" ca="1" si="1012"/>
        <v>0</v>
      </c>
      <c r="GA123" s="64"/>
      <c r="GB123" s="74" t="s">
        <v>1292</v>
      </c>
      <c r="GC123" s="73">
        <f t="shared" ca="1" si="1012"/>
        <v>3</v>
      </c>
      <c r="GD123" s="64"/>
      <c r="GE123" s="74" t="s">
        <v>1292</v>
      </c>
      <c r="GF123" s="73">
        <f t="shared" ca="1" si="1012"/>
        <v>3</v>
      </c>
      <c r="GG123" s="64"/>
      <c r="GH123" s="74" t="s">
        <v>1292</v>
      </c>
      <c r="GI123" s="73">
        <f t="shared" ca="1" si="1012"/>
        <v>3</v>
      </c>
      <c r="GJ123" s="64"/>
      <c r="GK123" s="74" t="s">
        <v>1292</v>
      </c>
      <c r="GL123" s="73">
        <f t="shared" ca="1" si="1012"/>
        <v>3</v>
      </c>
      <c r="GM123" s="64"/>
      <c r="GN123" s="74"/>
      <c r="GO123" s="73">
        <f t="shared" ca="1" si="1012"/>
        <v>0</v>
      </c>
      <c r="GP123" s="64"/>
      <c r="GQ123" s="74"/>
      <c r="GR123" s="73">
        <f t="shared" ca="1" si="1012"/>
        <v>0</v>
      </c>
      <c r="GS123" s="64"/>
      <c r="GT123" s="74"/>
      <c r="GU123" s="73">
        <f t="shared" ca="1" si="1012"/>
        <v>0</v>
      </c>
      <c r="GV123" s="64"/>
      <c r="GW123" s="74"/>
      <c r="GX123" s="73">
        <f t="shared" ca="1" si="1012"/>
        <v>0</v>
      </c>
      <c r="GY123" s="64"/>
      <c r="GZ123" s="74"/>
      <c r="HA123" s="73">
        <f t="shared" ca="1" si="1012"/>
        <v>0</v>
      </c>
      <c r="HB123" s="64"/>
      <c r="HC123" s="74"/>
      <c r="HD123" s="73">
        <f t="shared" ca="1" si="1012"/>
        <v>0</v>
      </c>
      <c r="HE123" s="64"/>
      <c r="HF123" s="74"/>
      <c r="HG123" s="73">
        <f t="shared" ca="1" si="1012"/>
        <v>0</v>
      </c>
      <c r="HH123" s="64"/>
      <c r="HI123" s="74"/>
      <c r="HJ123" s="73">
        <f t="shared" ca="1" si="1012"/>
        <v>0</v>
      </c>
      <c r="HK123" s="64"/>
      <c r="HL123" s="74"/>
      <c r="HM123" s="73">
        <f t="shared" ref="HM123:JX123" ca="1" si="1013">($M123=HL123)*$D$14</f>
        <v>0</v>
      </c>
      <c r="HN123" s="64"/>
      <c r="HO123" s="74"/>
      <c r="HP123" s="73">
        <f t="shared" ca="1" si="1013"/>
        <v>0</v>
      </c>
      <c r="HQ123" s="64"/>
      <c r="HR123" s="74"/>
      <c r="HS123" s="73">
        <f t="shared" ca="1" si="1013"/>
        <v>0</v>
      </c>
      <c r="HT123" s="64"/>
      <c r="HU123" s="74"/>
      <c r="HV123" s="73">
        <f t="shared" ca="1" si="1013"/>
        <v>0</v>
      </c>
      <c r="HW123" s="64"/>
      <c r="HX123" s="74"/>
      <c r="HY123" s="73">
        <f t="shared" ca="1" si="1013"/>
        <v>0</v>
      </c>
      <c r="HZ123" s="64"/>
      <c r="IA123" s="74"/>
      <c r="IB123" s="73">
        <f t="shared" ca="1" si="1013"/>
        <v>0</v>
      </c>
      <c r="IC123" s="64"/>
      <c r="ID123" s="74"/>
      <c r="IE123" s="73">
        <f t="shared" ca="1" si="1013"/>
        <v>0</v>
      </c>
      <c r="IF123" s="64"/>
      <c r="IG123" s="74"/>
      <c r="IH123" s="73">
        <f t="shared" ca="1" si="1013"/>
        <v>0</v>
      </c>
      <c r="II123" s="64"/>
      <c r="IJ123" s="74"/>
      <c r="IK123" s="73">
        <f t="shared" ca="1" si="1013"/>
        <v>0</v>
      </c>
      <c r="IL123" s="64"/>
      <c r="IM123" s="74"/>
      <c r="IN123" s="73">
        <f t="shared" ca="1" si="1013"/>
        <v>0</v>
      </c>
      <c r="IO123" s="64"/>
      <c r="IP123" s="74"/>
      <c r="IQ123" s="73">
        <f t="shared" ca="1" si="1013"/>
        <v>0</v>
      </c>
      <c r="IR123" s="64"/>
      <c r="IS123" s="74"/>
      <c r="IT123" s="73">
        <f t="shared" ca="1" si="1013"/>
        <v>0</v>
      </c>
      <c r="IU123" s="64"/>
      <c r="IV123" s="74"/>
      <c r="IW123" s="73">
        <f t="shared" ca="1" si="1013"/>
        <v>0</v>
      </c>
      <c r="IX123" s="64"/>
      <c r="IY123" s="74"/>
      <c r="IZ123" s="73">
        <f t="shared" ca="1" si="1013"/>
        <v>0</v>
      </c>
      <c r="JA123" s="64"/>
      <c r="JB123" s="74"/>
      <c r="JC123" s="73">
        <f t="shared" ca="1" si="1013"/>
        <v>0</v>
      </c>
      <c r="JD123" s="64"/>
      <c r="JE123" s="74"/>
      <c r="JF123" s="73">
        <f t="shared" ca="1" si="1013"/>
        <v>0</v>
      </c>
      <c r="JG123" s="64"/>
      <c r="JH123" s="74"/>
      <c r="JI123" s="73">
        <f t="shared" ca="1" si="1013"/>
        <v>0</v>
      </c>
      <c r="JJ123" s="64"/>
      <c r="JK123" s="74"/>
      <c r="JL123" s="73">
        <f t="shared" ca="1" si="1013"/>
        <v>0</v>
      </c>
      <c r="JM123" s="64"/>
      <c r="JN123" s="74"/>
      <c r="JO123" s="73">
        <f t="shared" ca="1" si="1013"/>
        <v>0</v>
      </c>
      <c r="JP123" s="64"/>
      <c r="JQ123" s="74"/>
      <c r="JR123" s="73">
        <f t="shared" ca="1" si="1013"/>
        <v>0</v>
      </c>
      <c r="JS123" s="64"/>
      <c r="JT123" s="74"/>
      <c r="JU123" s="73">
        <f t="shared" ca="1" si="1013"/>
        <v>0</v>
      </c>
      <c r="JV123" s="64"/>
      <c r="JW123" s="74"/>
      <c r="JX123" s="73">
        <f t="shared" ca="1" si="1013"/>
        <v>0</v>
      </c>
      <c r="JY123" s="64"/>
      <c r="JZ123" s="74"/>
      <c r="KA123" s="73">
        <f t="shared" ref="KA123:LE123" ca="1" si="1014">($M123=JZ123)*$D$14</f>
        <v>0</v>
      </c>
      <c r="KB123" s="64"/>
      <c r="KC123" s="74"/>
      <c r="KD123" s="73">
        <f t="shared" ca="1" si="1014"/>
        <v>0</v>
      </c>
      <c r="KE123" s="64"/>
      <c r="KF123" s="74"/>
      <c r="KG123" s="73">
        <f t="shared" ca="1" si="1014"/>
        <v>0</v>
      </c>
      <c r="KH123" s="64"/>
      <c r="KI123" s="74"/>
      <c r="KJ123" s="73">
        <f t="shared" ca="1" si="1014"/>
        <v>0</v>
      </c>
      <c r="KK123" s="64"/>
      <c r="KL123" s="74"/>
      <c r="KM123" s="73">
        <f t="shared" ca="1" si="1014"/>
        <v>0</v>
      </c>
      <c r="KN123" s="64"/>
      <c r="KO123" s="74"/>
      <c r="KP123" s="73">
        <f t="shared" ca="1" si="1014"/>
        <v>0</v>
      </c>
      <c r="KQ123" s="64"/>
      <c r="KR123" s="74"/>
      <c r="KS123" s="73">
        <f t="shared" ca="1" si="1014"/>
        <v>0</v>
      </c>
      <c r="KT123" s="64"/>
      <c r="KU123" s="74"/>
      <c r="KV123" s="73">
        <f t="shared" ca="1" si="1014"/>
        <v>0</v>
      </c>
      <c r="KW123" s="64"/>
      <c r="KX123" s="74"/>
      <c r="KY123" s="73">
        <f t="shared" ca="1" si="1014"/>
        <v>0</v>
      </c>
      <c r="KZ123" s="64"/>
      <c r="LA123" s="74"/>
      <c r="LB123" s="73">
        <f t="shared" ca="1" si="1014"/>
        <v>0</v>
      </c>
      <c r="LC123" s="64"/>
      <c r="LD123" s="74"/>
      <c r="LE123" s="73">
        <f t="shared" ca="1" si="1014"/>
        <v>0</v>
      </c>
      <c r="LF123" s="64"/>
      <c r="LG123" s="64"/>
    </row>
    <row r="124" spans="1:319">
      <c r="A124" s="49"/>
      <c r="B124" s="49"/>
      <c r="C124" s="49"/>
      <c r="D124" s="49"/>
      <c r="E124" s="65"/>
      <c r="F124" s="127">
        <f t="shared" ref="F124" si="1015">$D$11</f>
        <v>20</v>
      </c>
      <c r="G124" s="445">
        <f ca="1">VLOOKUP(H124,Equipos!$Q$1:$R$25,2,0)</f>
        <v>18</v>
      </c>
      <c r="H124" s="446">
        <f ca="1">$H$76</f>
        <v>46201</v>
      </c>
      <c r="I124" s="50"/>
      <c r="J124" s="847" t="s">
        <v>238</v>
      </c>
      <c r="K124" s="56" t="str">
        <f>Idiomas!D194</f>
        <v>1st GROUP L</v>
      </c>
      <c r="L124" s="53"/>
      <c r="M124" s="55" t="str">
        <f ca="1">IF(OR(SUM(WORLDCUP!$AN$94:$AN$97)=12,WORLDCUP!$AJ$99=144),WORLDCUP!AL94,LEFT(K124,1)&amp;RIGHT(K124,1))</f>
        <v>England</v>
      </c>
      <c r="N124" s="25"/>
      <c r="O124" s="25"/>
      <c r="P124" s="25"/>
      <c r="Q124" s="25"/>
      <c r="R124" s="110"/>
      <c r="S124" s="74" t="s">
        <v>292</v>
      </c>
      <c r="T124" s="73">
        <f t="shared" ref="T124" ca="1" si="1016">($M124=S124)*$D$11</f>
        <v>20</v>
      </c>
      <c r="U124" s="64"/>
      <c r="V124" s="74" t="s">
        <v>296</v>
      </c>
      <c r="W124" s="73">
        <f t="shared" ref="W124:CH124" ca="1" si="1017">($M124=V124)*$D$11</f>
        <v>0</v>
      </c>
      <c r="X124" s="64"/>
      <c r="Y124" s="74" t="s">
        <v>292</v>
      </c>
      <c r="Z124" s="73">
        <f t="shared" ca="1" si="1017"/>
        <v>20</v>
      </c>
      <c r="AA124" s="64"/>
      <c r="AB124" s="74" t="s">
        <v>292</v>
      </c>
      <c r="AC124" s="73">
        <f t="shared" ca="1" si="1017"/>
        <v>20</v>
      </c>
      <c r="AD124" s="64"/>
      <c r="AE124" s="74" t="s">
        <v>292</v>
      </c>
      <c r="AF124" s="73">
        <f t="shared" ca="1" si="1017"/>
        <v>20</v>
      </c>
      <c r="AG124" s="64"/>
      <c r="AH124" s="74" t="s">
        <v>292</v>
      </c>
      <c r="AI124" s="73">
        <f t="shared" ca="1" si="1017"/>
        <v>20</v>
      </c>
      <c r="AJ124" s="64"/>
      <c r="AK124" s="74" t="s">
        <v>292</v>
      </c>
      <c r="AL124" s="73">
        <f t="shared" ca="1" si="1017"/>
        <v>20</v>
      </c>
      <c r="AM124" s="64"/>
      <c r="AN124" s="74" t="s">
        <v>1551</v>
      </c>
      <c r="AO124" s="73">
        <f t="shared" ca="1" si="1017"/>
        <v>0</v>
      </c>
      <c r="AP124" s="64"/>
      <c r="AQ124" s="74" t="s">
        <v>296</v>
      </c>
      <c r="AR124" s="73">
        <f t="shared" ca="1" si="1017"/>
        <v>0</v>
      </c>
      <c r="AS124" s="64"/>
      <c r="AT124" s="74" t="s">
        <v>296</v>
      </c>
      <c r="AU124" s="73">
        <f t="shared" ca="1" si="1017"/>
        <v>0</v>
      </c>
      <c r="AV124" s="64"/>
      <c r="AW124" s="74" t="s">
        <v>292</v>
      </c>
      <c r="AX124" s="73">
        <f t="shared" ca="1" si="1017"/>
        <v>20</v>
      </c>
      <c r="AY124" s="64"/>
      <c r="AZ124" s="74" t="s">
        <v>292</v>
      </c>
      <c r="BA124" s="73">
        <f t="shared" ca="1" si="1017"/>
        <v>20</v>
      </c>
      <c r="BB124" s="64"/>
      <c r="BC124" s="74" t="s">
        <v>292</v>
      </c>
      <c r="BD124" s="73">
        <f t="shared" ca="1" si="1017"/>
        <v>20</v>
      </c>
      <c r="BE124" s="64"/>
      <c r="BF124" s="74" t="s">
        <v>292</v>
      </c>
      <c r="BG124" s="73">
        <f t="shared" ca="1" si="1017"/>
        <v>20</v>
      </c>
      <c r="BH124" s="64"/>
      <c r="BI124" s="74" t="s">
        <v>292</v>
      </c>
      <c r="BJ124" s="73">
        <f t="shared" ca="1" si="1017"/>
        <v>20</v>
      </c>
      <c r="BK124" s="64"/>
      <c r="BL124" s="74" t="s">
        <v>292</v>
      </c>
      <c r="BM124" s="73">
        <f t="shared" ca="1" si="1017"/>
        <v>20</v>
      </c>
      <c r="BN124" s="64"/>
      <c r="BO124" s="74" t="s">
        <v>292</v>
      </c>
      <c r="BP124" s="73">
        <f t="shared" ca="1" si="1017"/>
        <v>20</v>
      </c>
      <c r="BQ124" s="64"/>
      <c r="BR124" s="74" t="s">
        <v>292</v>
      </c>
      <c r="BS124" s="73">
        <f t="shared" ca="1" si="1017"/>
        <v>20</v>
      </c>
      <c r="BT124" s="64"/>
      <c r="BU124" s="74" t="s">
        <v>292</v>
      </c>
      <c r="BV124" s="73">
        <f t="shared" ca="1" si="1017"/>
        <v>20</v>
      </c>
      <c r="BW124" s="64"/>
      <c r="BX124" s="74" t="s">
        <v>292</v>
      </c>
      <c r="BY124" s="73">
        <f t="shared" ca="1" si="1017"/>
        <v>20</v>
      </c>
      <c r="BZ124" s="64"/>
      <c r="CA124" s="74" t="s">
        <v>292</v>
      </c>
      <c r="CB124" s="73">
        <f t="shared" ca="1" si="1017"/>
        <v>20</v>
      </c>
      <c r="CC124" s="64"/>
      <c r="CD124" s="74" t="s">
        <v>296</v>
      </c>
      <c r="CE124" s="73">
        <f t="shared" ca="1" si="1017"/>
        <v>0</v>
      </c>
      <c r="CF124" s="64"/>
      <c r="CG124" s="74" t="s">
        <v>292</v>
      </c>
      <c r="CH124" s="73">
        <f t="shared" ca="1" si="1017"/>
        <v>20</v>
      </c>
      <c r="CI124" s="64"/>
      <c r="CJ124" s="74" t="s">
        <v>292</v>
      </c>
      <c r="CK124" s="73">
        <f t="shared" ref="CK124:EV124" ca="1" si="1018">($M124=CJ124)*$D$11</f>
        <v>20</v>
      </c>
      <c r="CL124" s="64"/>
      <c r="CM124" s="74" t="s">
        <v>292</v>
      </c>
      <c r="CN124" s="73">
        <f t="shared" ca="1" si="1018"/>
        <v>20</v>
      </c>
      <c r="CO124" s="64"/>
      <c r="CP124" s="74" t="s">
        <v>292</v>
      </c>
      <c r="CQ124" s="73">
        <f t="shared" ca="1" si="1018"/>
        <v>20</v>
      </c>
      <c r="CR124" s="64"/>
      <c r="CS124" s="74" t="s">
        <v>292</v>
      </c>
      <c r="CT124" s="73">
        <f t="shared" ca="1" si="1018"/>
        <v>20</v>
      </c>
      <c r="CU124" s="64"/>
      <c r="CV124" s="74" t="s">
        <v>296</v>
      </c>
      <c r="CW124" s="73">
        <f t="shared" ca="1" si="1018"/>
        <v>0</v>
      </c>
      <c r="CX124" s="64"/>
      <c r="CY124" s="74" t="s">
        <v>292</v>
      </c>
      <c r="CZ124" s="73">
        <f t="shared" ca="1" si="1018"/>
        <v>20</v>
      </c>
      <c r="DA124" s="64"/>
      <c r="DB124" s="74" t="s">
        <v>292</v>
      </c>
      <c r="DC124" s="73">
        <f t="shared" ca="1" si="1018"/>
        <v>20</v>
      </c>
      <c r="DD124" s="64"/>
      <c r="DE124" s="74" t="s">
        <v>292</v>
      </c>
      <c r="DF124" s="73">
        <f t="shared" ca="1" si="1018"/>
        <v>20</v>
      </c>
      <c r="DG124" s="64"/>
      <c r="DH124" s="74" t="s">
        <v>292</v>
      </c>
      <c r="DI124" s="73">
        <f t="shared" ca="1" si="1018"/>
        <v>20</v>
      </c>
      <c r="DJ124" s="64"/>
      <c r="DK124" s="74" t="s">
        <v>292</v>
      </c>
      <c r="DL124" s="73">
        <f t="shared" ca="1" si="1018"/>
        <v>20</v>
      </c>
      <c r="DM124" s="64"/>
      <c r="DN124" s="74" t="s">
        <v>292</v>
      </c>
      <c r="DO124" s="73">
        <f t="shared" ca="1" si="1018"/>
        <v>20</v>
      </c>
      <c r="DP124" s="64"/>
      <c r="DQ124" s="74" t="s">
        <v>292</v>
      </c>
      <c r="DR124" s="73">
        <f t="shared" ca="1" si="1018"/>
        <v>20</v>
      </c>
      <c r="DS124" s="64"/>
      <c r="DT124" s="74" t="s">
        <v>292</v>
      </c>
      <c r="DU124" s="73">
        <f t="shared" ca="1" si="1018"/>
        <v>20</v>
      </c>
      <c r="DV124" s="64"/>
      <c r="DW124" s="74" t="s">
        <v>292</v>
      </c>
      <c r="DX124" s="73">
        <f t="shared" ca="1" si="1018"/>
        <v>20</v>
      </c>
      <c r="DY124" s="64"/>
      <c r="DZ124" s="74" t="s">
        <v>292</v>
      </c>
      <c r="EA124" s="73">
        <f t="shared" ca="1" si="1018"/>
        <v>20</v>
      </c>
      <c r="EB124" s="64"/>
      <c r="EC124" s="74" t="s">
        <v>292</v>
      </c>
      <c r="ED124" s="73">
        <f t="shared" ca="1" si="1018"/>
        <v>20</v>
      </c>
      <c r="EE124" s="64"/>
      <c r="EF124" s="74" t="s">
        <v>292</v>
      </c>
      <c r="EG124" s="73">
        <f t="shared" ca="1" si="1018"/>
        <v>20</v>
      </c>
      <c r="EH124" s="64"/>
      <c r="EI124" s="74" t="s">
        <v>292</v>
      </c>
      <c r="EJ124" s="73">
        <f t="shared" ca="1" si="1018"/>
        <v>20</v>
      </c>
      <c r="EK124" s="64"/>
      <c r="EL124" s="74" t="s">
        <v>292</v>
      </c>
      <c r="EM124" s="73">
        <f t="shared" ca="1" si="1018"/>
        <v>20</v>
      </c>
      <c r="EN124" s="64"/>
      <c r="EO124" s="74" t="s">
        <v>292</v>
      </c>
      <c r="EP124" s="73">
        <f t="shared" ca="1" si="1018"/>
        <v>20</v>
      </c>
      <c r="EQ124" s="64"/>
      <c r="ER124" s="74" t="s">
        <v>292</v>
      </c>
      <c r="ES124" s="73">
        <f t="shared" ca="1" si="1018"/>
        <v>20</v>
      </c>
      <c r="ET124" s="64"/>
      <c r="EU124" s="74" t="s">
        <v>292</v>
      </c>
      <c r="EV124" s="73">
        <f t="shared" ca="1" si="1018"/>
        <v>20</v>
      </c>
      <c r="EW124" s="64"/>
      <c r="EX124" s="74" t="s">
        <v>292</v>
      </c>
      <c r="EY124" s="73">
        <f t="shared" ref="EY124:HJ124" ca="1" si="1019">($M124=EX124)*$D$11</f>
        <v>20</v>
      </c>
      <c r="EZ124" s="64"/>
      <c r="FA124" s="74" t="s">
        <v>292</v>
      </c>
      <c r="FB124" s="73">
        <f t="shared" ca="1" si="1019"/>
        <v>20</v>
      </c>
      <c r="FC124" s="64"/>
      <c r="FD124" s="74" t="s">
        <v>292</v>
      </c>
      <c r="FE124" s="73">
        <f t="shared" ca="1" si="1019"/>
        <v>20</v>
      </c>
      <c r="FF124" s="64"/>
      <c r="FG124" s="74" t="s">
        <v>292</v>
      </c>
      <c r="FH124" s="73">
        <f t="shared" ca="1" si="1019"/>
        <v>20</v>
      </c>
      <c r="FI124" s="64"/>
      <c r="FJ124" s="74" t="s">
        <v>292</v>
      </c>
      <c r="FK124" s="73">
        <f t="shared" ca="1" si="1019"/>
        <v>20</v>
      </c>
      <c r="FL124" s="64"/>
      <c r="FM124" s="74" t="s">
        <v>292</v>
      </c>
      <c r="FN124" s="73">
        <f t="shared" ca="1" si="1019"/>
        <v>20</v>
      </c>
      <c r="FO124" s="64"/>
      <c r="FP124" s="74" t="s">
        <v>292</v>
      </c>
      <c r="FQ124" s="73">
        <f t="shared" ca="1" si="1019"/>
        <v>20</v>
      </c>
      <c r="FR124" s="64"/>
      <c r="FS124" s="74" t="s">
        <v>292</v>
      </c>
      <c r="FT124" s="73">
        <f t="shared" ca="1" si="1019"/>
        <v>20</v>
      </c>
      <c r="FU124" s="64"/>
      <c r="FV124" s="74" t="s">
        <v>292</v>
      </c>
      <c r="FW124" s="73">
        <f t="shared" ca="1" si="1019"/>
        <v>20</v>
      </c>
      <c r="FX124" s="64"/>
      <c r="FY124" s="74" t="s">
        <v>292</v>
      </c>
      <c r="FZ124" s="73">
        <f t="shared" ca="1" si="1019"/>
        <v>20</v>
      </c>
      <c r="GA124" s="64"/>
      <c r="GB124" s="74" t="s">
        <v>292</v>
      </c>
      <c r="GC124" s="73">
        <f t="shared" ca="1" si="1019"/>
        <v>20</v>
      </c>
      <c r="GD124" s="64"/>
      <c r="GE124" s="74" t="s">
        <v>292</v>
      </c>
      <c r="GF124" s="73">
        <f t="shared" ca="1" si="1019"/>
        <v>20</v>
      </c>
      <c r="GG124" s="64"/>
      <c r="GH124" s="74" t="s">
        <v>296</v>
      </c>
      <c r="GI124" s="73">
        <f t="shared" ca="1" si="1019"/>
        <v>0</v>
      </c>
      <c r="GJ124" s="64"/>
      <c r="GK124" s="74" t="s">
        <v>292</v>
      </c>
      <c r="GL124" s="73">
        <f t="shared" ca="1" si="1019"/>
        <v>20</v>
      </c>
      <c r="GM124" s="64"/>
      <c r="GN124" s="74"/>
      <c r="GO124" s="73">
        <f t="shared" ca="1" si="1019"/>
        <v>0</v>
      </c>
      <c r="GP124" s="64"/>
      <c r="GQ124" s="74"/>
      <c r="GR124" s="73">
        <f t="shared" ca="1" si="1019"/>
        <v>0</v>
      </c>
      <c r="GS124" s="64"/>
      <c r="GT124" s="74"/>
      <c r="GU124" s="73">
        <f t="shared" ca="1" si="1019"/>
        <v>0</v>
      </c>
      <c r="GV124" s="64"/>
      <c r="GW124" s="74"/>
      <c r="GX124" s="73">
        <f t="shared" ca="1" si="1019"/>
        <v>0</v>
      </c>
      <c r="GY124" s="64"/>
      <c r="GZ124" s="74"/>
      <c r="HA124" s="73">
        <f t="shared" ca="1" si="1019"/>
        <v>0</v>
      </c>
      <c r="HB124" s="64"/>
      <c r="HC124" s="74"/>
      <c r="HD124" s="73">
        <f t="shared" ca="1" si="1019"/>
        <v>0</v>
      </c>
      <c r="HE124" s="64"/>
      <c r="HF124" s="74"/>
      <c r="HG124" s="73">
        <f t="shared" ca="1" si="1019"/>
        <v>0</v>
      </c>
      <c r="HH124" s="64"/>
      <c r="HI124" s="74"/>
      <c r="HJ124" s="73">
        <f t="shared" ca="1" si="1019"/>
        <v>0</v>
      </c>
      <c r="HK124" s="64"/>
      <c r="HL124" s="74"/>
      <c r="HM124" s="73">
        <f t="shared" ref="HM124:JX124" ca="1" si="1020">($M124=HL124)*$D$11</f>
        <v>0</v>
      </c>
      <c r="HN124" s="64"/>
      <c r="HO124" s="74"/>
      <c r="HP124" s="73">
        <f t="shared" ca="1" si="1020"/>
        <v>0</v>
      </c>
      <c r="HQ124" s="64"/>
      <c r="HR124" s="74"/>
      <c r="HS124" s="73">
        <f t="shared" ca="1" si="1020"/>
        <v>0</v>
      </c>
      <c r="HT124" s="64"/>
      <c r="HU124" s="74"/>
      <c r="HV124" s="73">
        <f t="shared" ca="1" si="1020"/>
        <v>0</v>
      </c>
      <c r="HW124" s="64"/>
      <c r="HX124" s="74"/>
      <c r="HY124" s="73">
        <f t="shared" ca="1" si="1020"/>
        <v>0</v>
      </c>
      <c r="HZ124" s="64"/>
      <c r="IA124" s="74"/>
      <c r="IB124" s="73">
        <f t="shared" ca="1" si="1020"/>
        <v>0</v>
      </c>
      <c r="IC124" s="64"/>
      <c r="ID124" s="74"/>
      <c r="IE124" s="73">
        <f t="shared" ca="1" si="1020"/>
        <v>0</v>
      </c>
      <c r="IF124" s="64"/>
      <c r="IG124" s="74"/>
      <c r="IH124" s="73">
        <f t="shared" ca="1" si="1020"/>
        <v>0</v>
      </c>
      <c r="II124" s="64"/>
      <c r="IJ124" s="74"/>
      <c r="IK124" s="73">
        <f t="shared" ca="1" si="1020"/>
        <v>0</v>
      </c>
      <c r="IL124" s="64"/>
      <c r="IM124" s="74"/>
      <c r="IN124" s="73">
        <f t="shared" ca="1" si="1020"/>
        <v>0</v>
      </c>
      <c r="IO124" s="64"/>
      <c r="IP124" s="74"/>
      <c r="IQ124" s="73">
        <f t="shared" ca="1" si="1020"/>
        <v>0</v>
      </c>
      <c r="IR124" s="64"/>
      <c r="IS124" s="74"/>
      <c r="IT124" s="73">
        <f t="shared" ca="1" si="1020"/>
        <v>0</v>
      </c>
      <c r="IU124" s="64"/>
      <c r="IV124" s="74"/>
      <c r="IW124" s="73">
        <f t="shared" ca="1" si="1020"/>
        <v>0</v>
      </c>
      <c r="IX124" s="64"/>
      <c r="IY124" s="74"/>
      <c r="IZ124" s="73">
        <f t="shared" ca="1" si="1020"/>
        <v>0</v>
      </c>
      <c r="JA124" s="64"/>
      <c r="JB124" s="74"/>
      <c r="JC124" s="73">
        <f t="shared" ca="1" si="1020"/>
        <v>0</v>
      </c>
      <c r="JD124" s="64"/>
      <c r="JE124" s="74"/>
      <c r="JF124" s="73">
        <f t="shared" ca="1" si="1020"/>
        <v>0</v>
      </c>
      <c r="JG124" s="64"/>
      <c r="JH124" s="74"/>
      <c r="JI124" s="73">
        <f t="shared" ca="1" si="1020"/>
        <v>0</v>
      </c>
      <c r="JJ124" s="64"/>
      <c r="JK124" s="74"/>
      <c r="JL124" s="73">
        <f t="shared" ca="1" si="1020"/>
        <v>0</v>
      </c>
      <c r="JM124" s="64"/>
      <c r="JN124" s="74"/>
      <c r="JO124" s="73">
        <f t="shared" ca="1" si="1020"/>
        <v>0</v>
      </c>
      <c r="JP124" s="64"/>
      <c r="JQ124" s="74"/>
      <c r="JR124" s="73">
        <f t="shared" ca="1" si="1020"/>
        <v>0</v>
      </c>
      <c r="JS124" s="64"/>
      <c r="JT124" s="74"/>
      <c r="JU124" s="73">
        <f t="shared" ca="1" si="1020"/>
        <v>0</v>
      </c>
      <c r="JV124" s="64"/>
      <c r="JW124" s="74"/>
      <c r="JX124" s="73">
        <f t="shared" ca="1" si="1020"/>
        <v>0</v>
      </c>
      <c r="JY124" s="64"/>
      <c r="JZ124" s="74"/>
      <c r="KA124" s="73">
        <f t="shared" ref="KA124:LE124" ca="1" si="1021">($M124=JZ124)*$D$11</f>
        <v>0</v>
      </c>
      <c r="KB124" s="64"/>
      <c r="KC124" s="74"/>
      <c r="KD124" s="73">
        <f t="shared" ca="1" si="1021"/>
        <v>0</v>
      </c>
      <c r="KE124" s="64"/>
      <c r="KF124" s="74"/>
      <c r="KG124" s="73">
        <f t="shared" ca="1" si="1021"/>
        <v>0</v>
      </c>
      <c r="KH124" s="64"/>
      <c r="KI124" s="74"/>
      <c r="KJ124" s="73">
        <f t="shared" ca="1" si="1021"/>
        <v>0</v>
      </c>
      <c r="KK124" s="64"/>
      <c r="KL124" s="74"/>
      <c r="KM124" s="73">
        <f t="shared" ca="1" si="1021"/>
        <v>0</v>
      </c>
      <c r="KN124" s="64"/>
      <c r="KO124" s="74"/>
      <c r="KP124" s="73">
        <f t="shared" ca="1" si="1021"/>
        <v>0</v>
      </c>
      <c r="KQ124" s="64"/>
      <c r="KR124" s="74"/>
      <c r="KS124" s="73">
        <f t="shared" ca="1" si="1021"/>
        <v>0</v>
      </c>
      <c r="KT124" s="64"/>
      <c r="KU124" s="74"/>
      <c r="KV124" s="73">
        <f t="shared" ca="1" si="1021"/>
        <v>0</v>
      </c>
      <c r="KW124" s="64"/>
      <c r="KX124" s="74"/>
      <c r="KY124" s="73">
        <f t="shared" ca="1" si="1021"/>
        <v>0</v>
      </c>
      <c r="KZ124" s="64"/>
      <c r="LA124" s="74"/>
      <c r="LB124" s="73">
        <f t="shared" ca="1" si="1021"/>
        <v>0</v>
      </c>
      <c r="LC124" s="64"/>
      <c r="LD124" s="74"/>
      <c r="LE124" s="73">
        <f t="shared" ca="1" si="1021"/>
        <v>0</v>
      </c>
      <c r="LF124" s="64"/>
      <c r="LG124" s="64"/>
    </row>
    <row r="125" spans="1:319">
      <c r="A125" s="49"/>
      <c r="B125" s="49"/>
      <c r="C125" s="49"/>
      <c r="D125" s="49"/>
      <c r="E125" s="65"/>
      <c r="F125" s="127">
        <f t="shared" ref="F125" si="1022">$D$12</f>
        <v>10</v>
      </c>
      <c r="G125" s="445">
        <f ca="1">VLOOKUP(H125,Equipos!$Q$1:$R$25,2,0)</f>
        <v>18</v>
      </c>
      <c r="H125" s="446">
        <f ca="1">$H$76</f>
        <v>46201</v>
      </c>
      <c r="I125" s="50"/>
      <c r="J125" s="847"/>
      <c r="K125" s="56" t="str">
        <f>Idiomas!D195</f>
        <v>2nd GROUP L</v>
      </c>
      <c r="L125" s="53"/>
      <c r="M125" s="55" t="str">
        <f ca="1">IF(OR(SUM(WORLDCUP!$AN$94:$AN$97)=12,WORLDCUP!$AJ$99=144),WORLDCUP!AL95,LEFT(K125,1)&amp;RIGHT(K125,1))</f>
        <v>Croatia</v>
      </c>
      <c r="N125" s="25"/>
      <c r="O125" s="25"/>
      <c r="P125" s="25"/>
      <c r="Q125" s="25"/>
      <c r="R125" s="110"/>
      <c r="S125" s="74" t="s">
        <v>1551</v>
      </c>
      <c r="T125" s="73">
        <f t="shared" ref="T125" ca="1" si="1023">($M125=S125)*$D$12</f>
        <v>0</v>
      </c>
      <c r="U125" s="64"/>
      <c r="V125" s="74" t="s">
        <v>292</v>
      </c>
      <c r="W125" s="73">
        <f t="shared" ref="W125:CH125" ca="1" si="1024">($M125=V125)*$D$12</f>
        <v>0</v>
      </c>
      <c r="X125" s="64"/>
      <c r="Y125" s="74" t="s">
        <v>296</v>
      </c>
      <c r="Z125" s="73">
        <f t="shared" ca="1" si="1024"/>
        <v>10</v>
      </c>
      <c r="AA125" s="64"/>
      <c r="AB125" s="74" t="s">
        <v>296</v>
      </c>
      <c r="AC125" s="73">
        <f t="shared" ca="1" si="1024"/>
        <v>10</v>
      </c>
      <c r="AD125" s="64"/>
      <c r="AE125" s="74" t="s">
        <v>296</v>
      </c>
      <c r="AF125" s="73">
        <f t="shared" ca="1" si="1024"/>
        <v>10</v>
      </c>
      <c r="AG125" s="64"/>
      <c r="AH125" s="74" t="s">
        <v>296</v>
      </c>
      <c r="AI125" s="73">
        <f t="shared" ca="1" si="1024"/>
        <v>10</v>
      </c>
      <c r="AJ125" s="64"/>
      <c r="AK125" s="74" t="s">
        <v>296</v>
      </c>
      <c r="AL125" s="73">
        <f t="shared" ca="1" si="1024"/>
        <v>10</v>
      </c>
      <c r="AM125" s="64"/>
      <c r="AN125" s="74" t="s">
        <v>292</v>
      </c>
      <c r="AO125" s="73">
        <f t="shared" ca="1" si="1024"/>
        <v>0</v>
      </c>
      <c r="AP125" s="64"/>
      <c r="AQ125" s="74" t="s">
        <v>292</v>
      </c>
      <c r="AR125" s="73">
        <f t="shared" ca="1" si="1024"/>
        <v>0</v>
      </c>
      <c r="AS125" s="64"/>
      <c r="AT125" s="74" t="s">
        <v>1551</v>
      </c>
      <c r="AU125" s="73">
        <f t="shared" ca="1" si="1024"/>
        <v>0</v>
      </c>
      <c r="AV125" s="64"/>
      <c r="AW125" s="74" t="s">
        <v>1551</v>
      </c>
      <c r="AX125" s="73">
        <f t="shared" ca="1" si="1024"/>
        <v>0</v>
      </c>
      <c r="AY125" s="64"/>
      <c r="AZ125" s="74" t="s">
        <v>296</v>
      </c>
      <c r="BA125" s="73">
        <f t="shared" ca="1" si="1024"/>
        <v>10</v>
      </c>
      <c r="BB125" s="64"/>
      <c r="BC125" s="74" t="s">
        <v>296</v>
      </c>
      <c r="BD125" s="73">
        <f t="shared" ca="1" si="1024"/>
        <v>10</v>
      </c>
      <c r="BE125" s="64"/>
      <c r="BF125" s="74" t="s">
        <v>296</v>
      </c>
      <c r="BG125" s="73">
        <f t="shared" ca="1" si="1024"/>
        <v>10</v>
      </c>
      <c r="BH125" s="64"/>
      <c r="BI125" s="74" t="s">
        <v>296</v>
      </c>
      <c r="BJ125" s="73">
        <f t="shared" ca="1" si="1024"/>
        <v>10</v>
      </c>
      <c r="BK125" s="64"/>
      <c r="BL125" s="74" t="s">
        <v>296</v>
      </c>
      <c r="BM125" s="73">
        <f t="shared" ca="1" si="1024"/>
        <v>10</v>
      </c>
      <c r="BN125" s="64"/>
      <c r="BO125" s="74" t="s">
        <v>296</v>
      </c>
      <c r="BP125" s="73">
        <f t="shared" ca="1" si="1024"/>
        <v>10</v>
      </c>
      <c r="BQ125" s="64"/>
      <c r="BR125" s="74" t="s">
        <v>296</v>
      </c>
      <c r="BS125" s="73">
        <f t="shared" ca="1" si="1024"/>
        <v>10</v>
      </c>
      <c r="BT125" s="64"/>
      <c r="BU125" s="74" t="s">
        <v>296</v>
      </c>
      <c r="BV125" s="73">
        <f t="shared" ca="1" si="1024"/>
        <v>10</v>
      </c>
      <c r="BW125" s="64"/>
      <c r="BX125" s="74" t="s">
        <v>296</v>
      </c>
      <c r="BY125" s="73">
        <f t="shared" ca="1" si="1024"/>
        <v>10</v>
      </c>
      <c r="BZ125" s="64"/>
      <c r="CA125" s="74" t="s">
        <v>296</v>
      </c>
      <c r="CB125" s="73">
        <f t="shared" ca="1" si="1024"/>
        <v>10</v>
      </c>
      <c r="CC125" s="64"/>
      <c r="CD125" s="74" t="s">
        <v>292</v>
      </c>
      <c r="CE125" s="73">
        <f t="shared" ca="1" si="1024"/>
        <v>0</v>
      </c>
      <c r="CF125" s="64"/>
      <c r="CG125" s="74" t="s">
        <v>296</v>
      </c>
      <c r="CH125" s="73">
        <f t="shared" ca="1" si="1024"/>
        <v>10</v>
      </c>
      <c r="CI125" s="64"/>
      <c r="CJ125" s="74" t="s">
        <v>1551</v>
      </c>
      <c r="CK125" s="73">
        <f t="shared" ref="CK125:EV125" ca="1" si="1025">($M125=CJ125)*$D$12</f>
        <v>0</v>
      </c>
      <c r="CL125" s="64"/>
      <c r="CM125" s="74" t="s">
        <v>296</v>
      </c>
      <c r="CN125" s="73">
        <f t="shared" ca="1" si="1025"/>
        <v>10</v>
      </c>
      <c r="CO125" s="64"/>
      <c r="CP125" s="74" t="s">
        <v>296</v>
      </c>
      <c r="CQ125" s="73">
        <f t="shared" ca="1" si="1025"/>
        <v>10</v>
      </c>
      <c r="CR125" s="64"/>
      <c r="CS125" s="74" t="s">
        <v>296</v>
      </c>
      <c r="CT125" s="73">
        <f t="shared" ca="1" si="1025"/>
        <v>10</v>
      </c>
      <c r="CU125" s="64"/>
      <c r="CV125" s="74" t="s">
        <v>292</v>
      </c>
      <c r="CW125" s="73">
        <f t="shared" ca="1" si="1025"/>
        <v>0</v>
      </c>
      <c r="CX125" s="64"/>
      <c r="CY125" s="74" t="s">
        <v>1551</v>
      </c>
      <c r="CZ125" s="73">
        <f t="shared" ca="1" si="1025"/>
        <v>0</v>
      </c>
      <c r="DA125" s="64"/>
      <c r="DB125" s="74" t="s">
        <v>296</v>
      </c>
      <c r="DC125" s="73">
        <f t="shared" ca="1" si="1025"/>
        <v>10</v>
      </c>
      <c r="DD125" s="64"/>
      <c r="DE125" s="74" t="s">
        <v>296</v>
      </c>
      <c r="DF125" s="73">
        <f t="shared" ca="1" si="1025"/>
        <v>10</v>
      </c>
      <c r="DG125" s="64"/>
      <c r="DH125" s="74" t="s">
        <v>296</v>
      </c>
      <c r="DI125" s="73">
        <f t="shared" ca="1" si="1025"/>
        <v>10</v>
      </c>
      <c r="DJ125" s="64"/>
      <c r="DK125" s="74" t="s">
        <v>296</v>
      </c>
      <c r="DL125" s="73">
        <f t="shared" ca="1" si="1025"/>
        <v>10</v>
      </c>
      <c r="DM125" s="64"/>
      <c r="DN125" s="74" t="s">
        <v>296</v>
      </c>
      <c r="DO125" s="73">
        <f t="shared" ca="1" si="1025"/>
        <v>10</v>
      </c>
      <c r="DP125" s="64"/>
      <c r="DQ125" s="74" t="s">
        <v>296</v>
      </c>
      <c r="DR125" s="73">
        <f t="shared" ca="1" si="1025"/>
        <v>10</v>
      </c>
      <c r="DS125" s="64"/>
      <c r="DT125" s="74" t="s">
        <v>296</v>
      </c>
      <c r="DU125" s="73">
        <f t="shared" ca="1" si="1025"/>
        <v>10</v>
      </c>
      <c r="DV125" s="64"/>
      <c r="DW125" s="74" t="s">
        <v>296</v>
      </c>
      <c r="DX125" s="73">
        <f t="shared" ca="1" si="1025"/>
        <v>10</v>
      </c>
      <c r="DY125" s="64"/>
      <c r="DZ125" s="74" t="s">
        <v>296</v>
      </c>
      <c r="EA125" s="73">
        <f t="shared" ca="1" si="1025"/>
        <v>10</v>
      </c>
      <c r="EB125" s="64"/>
      <c r="EC125" s="74" t="s">
        <v>296</v>
      </c>
      <c r="ED125" s="73">
        <f t="shared" ca="1" si="1025"/>
        <v>10</v>
      </c>
      <c r="EE125" s="64"/>
      <c r="EF125" s="74" t="s">
        <v>1551</v>
      </c>
      <c r="EG125" s="73">
        <f t="shared" ca="1" si="1025"/>
        <v>0</v>
      </c>
      <c r="EH125" s="64"/>
      <c r="EI125" s="74" t="s">
        <v>296</v>
      </c>
      <c r="EJ125" s="73">
        <f t="shared" ca="1" si="1025"/>
        <v>10</v>
      </c>
      <c r="EK125" s="64"/>
      <c r="EL125" s="74" t="s">
        <v>296</v>
      </c>
      <c r="EM125" s="73">
        <f t="shared" ca="1" si="1025"/>
        <v>10</v>
      </c>
      <c r="EN125" s="64"/>
      <c r="EO125" s="74" t="s">
        <v>296</v>
      </c>
      <c r="EP125" s="73">
        <f t="shared" ca="1" si="1025"/>
        <v>10</v>
      </c>
      <c r="EQ125" s="64"/>
      <c r="ER125" s="74" t="s">
        <v>296</v>
      </c>
      <c r="ES125" s="73">
        <f t="shared" ca="1" si="1025"/>
        <v>10</v>
      </c>
      <c r="ET125" s="64"/>
      <c r="EU125" s="74" t="s">
        <v>1551</v>
      </c>
      <c r="EV125" s="73">
        <f t="shared" ca="1" si="1025"/>
        <v>0</v>
      </c>
      <c r="EW125" s="64"/>
      <c r="EX125" s="74" t="s">
        <v>296</v>
      </c>
      <c r="EY125" s="73">
        <f t="shared" ref="EY125:HJ125" ca="1" si="1026">($M125=EX125)*$D$12</f>
        <v>10</v>
      </c>
      <c r="EZ125" s="64"/>
      <c r="FA125" s="74" t="s">
        <v>296</v>
      </c>
      <c r="FB125" s="73">
        <f t="shared" ca="1" si="1026"/>
        <v>10</v>
      </c>
      <c r="FC125" s="64"/>
      <c r="FD125" s="74" t="s">
        <v>296</v>
      </c>
      <c r="FE125" s="73">
        <f t="shared" ca="1" si="1026"/>
        <v>10</v>
      </c>
      <c r="FF125" s="64"/>
      <c r="FG125" s="74" t="s">
        <v>296</v>
      </c>
      <c r="FH125" s="73">
        <f t="shared" ca="1" si="1026"/>
        <v>10</v>
      </c>
      <c r="FI125" s="64"/>
      <c r="FJ125" s="74" t="s">
        <v>296</v>
      </c>
      <c r="FK125" s="73">
        <f t="shared" ca="1" si="1026"/>
        <v>10</v>
      </c>
      <c r="FL125" s="64"/>
      <c r="FM125" s="74" t="s">
        <v>296</v>
      </c>
      <c r="FN125" s="73">
        <f t="shared" ca="1" si="1026"/>
        <v>10</v>
      </c>
      <c r="FO125" s="64"/>
      <c r="FP125" s="74" t="s">
        <v>296</v>
      </c>
      <c r="FQ125" s="73">
        <f t="shared" ca="1" si="1026"/>
        <v>10</v>
      </c>
      <c r="FR125" s="64"/>
      <c r="FS125" s="74" t="s">
        <v>296</v>
      </c>
      <c r="FT125" s="73">
        <f t="shared" ca="1" si="1026"/>
        <v>10</v>
      </c>
      <c r="FU125" s="64"/>
      <c r="FV125" s="74" t="s">
        <v>296</v>
      </c>
      <c r="FW125" s="73">
        <f t="shared" ca="1" si="1026"/>
        <v>10</v>
      </c>
      <c r="FX125" s="64"/>
      <c r="FY125" s="74" t="s">
        <v>296</v>
      </c>
      <c r="FZ125" s="73">
        <f t="shared" ca="1" si="1026"/>
        <v>10</v>
      </c>
      <c r="GA125" s="64"/>
      <c r="GB125" s="74" t="s">
        <v>296</v>
      </c>
      <c r="GC125" s="73">
        <f t="shared" ca="1" si="1026"/>
        <v>10</v>
      </c>
      <c r="GD125" s="64"/>
      <c r="GE125" s="74" t="s">
        <v>296</v>
      </c>
      <c r="GF125" s="73">
        <f t="shared" ca="1" si="1026"/>
        <v>10</v>
      </c>
      <c r="GG125" s="64"/>
      <c r="GH125" s="74" t="s">
        <v>292</v>
      </c>
      <c r="GI125" s="73">
        <f t="shared" ca="1" si="1026"/>
        <v>0</v>
      </c>
      <c r="GJ125" s="64"/>
      <c r="GK125" s="74" t="s">
        <v>296</v>
      </c>
      <c r="GL125" s="73">
        <f t="shared" ca="1" si="1026"/>
        <v>10</v>
      </c>
      <c r="GM125" s="64"/>
      <c r="GN125" s="74"/>
      <c r="GO125" s="73">
        <f t="shared" ca="1" si="1026"/>
        <v>0</v>
      </c>
      <c r="GP125" s="64"/>
      <c r="GQ125" s="74"/>
      <c r="GR125" s="73">
        <f t="shared" ca="1" si="1026"/>
        <v>0</v>
      </c>
      <c r="GS125" s="64"/>
      <c r="GT125" s="74"/>
      <c r="GU125" s="73">
        <f t="shared" ca="1" si="1026"/>
        <v>0</v>
      </c>
      <c r="GV125" s="64"/>
      <c r="GW125" s="74"/>
      <c r="GX125" s="73">
        <f t="shared" ca="1" si="1026"/>
        <v>0</v>
      </c>
      <c r="GY125" s="64"/>
      <c r="GZ125" s="74"/>
      <c r="HA125" s="73">
        <f t="shared" ca="1" si="1026"/>
        <v>0</v>
      </c>
      <c r="HB125" s="64"/>
      <c r="HC125" s="74"/>
      <c r="HD125" s="73">
        <f t="shared" ca="1" si="1026"/>
        <v>0</v>
      </c>
      <c r="HE125" s="64"/>
      <c r="HF125" s="74"/>
      <c r="HG125" s="73">
        <f t="shared" ca="1" si="1026"/>
        <v>0</v>
      </c>
      <c r="HH125" s="64"/>
      <c r="HI125" s="74"/>
      <c r="HJ125" s="73">
        <f t="shared" ca="1" si="1026"/>
        <v>0</v>
      </c>
      <c r="HK125" s="64"/>
      <c r="HL125" s="74"/>
      <c r="HM125" s="73">
        <f t="shared" ref="HM125:JX125" ca="1" si="1027">($M125=HL125)*$D$12</f>
        <v>0</v>
      </c>
      <c r="HN125" s="64"/>
      <c r="HO125" s="74"/>
      <c r="HP125" s="73">
        <f t="shared" ca="1" si="1027"/>
        <v>0</v>
      </c>
      <c r="HQ125" s="64"/>
      <c r="HR125" s="74"/>
      <c r="HS125" s="73">
        <f t="shared" ca="1" si="1027"/>
        <v>0</v>
      </c>
      <c r="HT125" s="64"/>
      <c r="HU125" s="74"/>
      <c r="HV125" s="73">
        <f t="shared" ca="1" si="1027"/>
        <v>0</v>
      </c>
      <c r="HW125" s="64"/>
      <c r="HX125" s="74"/>
      <c r="HY125" s="73">
        <f t="shared" ca="1" si="1027"/>
        <v>0</v>
      </c>
      <c r="HZ125" s="64"/>
      <c r="IA125" s="74"/>
      <c r="IB125" s="73">
        <f t="shared" ca="1" si="1027"/>
        <v>0</v>
      </c>
      <c r="IC125" s="64"/>
      <c r="ID125" s="74"/>
      <c r="IE125" s="73">
        <f t="shared" ca="1" si="1027"/>
        <v>0</v>
      </c>
      <c r="IF125" s="64"/>
      <c r="IG125" s="74"/>
      <c r="IH125" s="73">
        <f t="shared" ca="1" si="1027"/>
        <v>0</v>
      </c>
      <c r="II125" s="64"/>
      <c r="IJ125" s="74"/>
      <c r="IK125" s="73">
        <f t="shared" ca="1" si="1027"/>
        <v>0</v>
      </c>
      <c r="IL125" s="64"/>
      <c r="IM125" s="74"/>
      <c r="IN125" s="73">
        <f t="shared" ca="1" si="1027"/>
        <v>0</v>
      </c>
      <c r="IO125" s="64"/>
      <c r="IP125" s="74"/>
      <c r="IQ125" s="73">
        <f t="shared" ca="1" si="1027"/>
        <v>0</v>
      </c>
      <c r="IR125" s="64"/>
      <c r="IS125" s="74"/>
      <c r="IT125" s="73">
        <f t="shared" ca="1" si="1027"/>
        <v>0</v>
      </c>
      <c r="IU125" s="64"/>
      <c r="IV125" s="74"/>
      <c r="IW125" s="73">
        <f t="shared" ca="1" si="1027"/>
        <v>0</v>
      </c>
      <c r="IX125" s="64"/>
      <c r="IY125" s="74"/>
      <c r="IZ125" s="73">
        <f t="shared" ca="1" si="1027"/>
        <v>0</v>
      </c>
      <c r="JA125" s="64"/>
      <c r="JB125" s="74"/>
      <c r="JC125" s="73">
        <f t="shared" ca="1" si="1027"/>
        <v>0</v>
      </c>
      <c r="JD125" s="64"/>
      <c r="JE125" s="74"/>
      <c r="JF125" s="73">
        <f t="shared" ca="1" si="1027"/>
        <v>0</v>
      </c>
      <c r="JG125" s="64"/>
      <c r="JH125" s="74"/>
      <c r="JI125" s="73">
        <f t="shared" ca="1" si="1027"/>
        <v>0</v>
      </c>
      <c r="JJ125" s="64"/>
      <c r="JK125" s="74"/>
      <c r="JL125" s="73">
        <f t="shared" ca="1" si="1027"/>
        <v>0</v>
      </c>
      <c r="JM125" s="64"/>
      <c r="JN125" s="74"/>
      <c r="JO125" s="73">
        <f t="shared" ca="1" si="1027"/>
        <v>0</v>
      </c>
      <c r="JP125" s="64"/>
      <c r="JQ125" s="74"/>
      <c r="JR125" s="73">
        <f t="shared" ca="1" si="1027"/>
        <v>0</v>
      </c>
      <c r="JS125" s="64"/>
      <c r="JT125" s="74"/>
      <c r="JU125" s="73">
        <f t="shared" ca="1" si="1027"/>
        <v>0</v>
      </c>
      <c r="JV125" s="64"/>
      <c r="JW125" s="74"/>
      <c r="JX125" s="73">
        <f t="shared" ca="1" si="1027"/>
        <v>0</v>
      </c>
      <c r="JY125" s="64"/>
      <c r="JZ125" s="74"/>
      <c r="KA125" s="73">
        <f t="shared" ref="KA125:LE125" ca="1" si="1028">($M125=JZ125)*$D$12</f>
        <v>0</v>
      </c>
      <c r="KB125" s="64"/>
      <c r="KC125" s="74"/>
      <c r="KD125" s="73">
        <f t="shared" ca="1" si="1028"/>
        <v>0</v>
      </c>
      <c r="KE125" s="64"/>
      <c r="KF125" s="74"/>
      <c r="KG125" s="73">
        <f t="shared" ca="1" si="1028"/>
        <v>0</v>
      </c>
      <c r="KH125" s="64"/>
      <c r="KI125" s="74"/>
      <c r="KJ125" s="73">
        <f t="shared" ca="1" si="1028"/>
        <v>0</v>
      </c>
      <c r="KK125" s="64"/>
      <c r="KL125" s="74"/>
      <c r="KM125" s="73">
        <f t="shared" ca="1" si="1028"/>
        <v>0</v>
      </c>
      <c r="KN125" s="64"/>
      <c r="KO125" s="74"/>
      <c r="KP125" s="73">
        <f t="shared" ca="1" si="1028"/>
        <v>0</v>
      </c>
      <c r="KQ125" s="64"/>
      <c r="KR125" s="74"/>
      <c r="KS125" s="73">
        <f t="shared" ca="1" si="1028"/>
        <v>0</v>
      </c>
      <c r="KT125" s="64"/>
      <c r="KU125" s="74"/>
      <c r="KV125" s="73">
        <f t="shared" ca="1" si="1028"/>
        <v>0</v>
      </c>
      <c r="KW125" s="64"/>
      <c r="KX125" s="74"/>
      <c r="KY125" s="73">
        <f t="shared" ca="1" si="1028"/>
        <v>0</v>
      </c>
      <c r="KZ125" s="64"/>
      <c r="LA125" s="74"/>
      <c r="LB125" s="73">
        <f t="shared" ca="1" si="1028"/>
        <v>0</v>
      </c>
      <c r="LC125" s="64"/>
      <c r="LD125" s="74"/>
      <c r="LE125" s="73">
        <f t="shared" ca="1" si="1028"/>
        <v>0</v>
      </c>
      <c r="LF125" s="64"/>
      <c r="LG125" s="64"/>
    </row>
    <row r="126" spans="1:319">
      <c r="A126" s="49"/>
      <c r="B126" s="49"/>
      <c r="C126" s="49"/>
      <c r="D126" s="49"/>
      <c r="E126" s="65"/>
      <c r="F126" s="127">
        <f t="shared" ref="F126" si="1029">$D$13</f>
        <v>5</v>
      </c>
      <c r="G126" s="445">
        <f ca="1">VLOOKUP(H126,Equipos!$Q$1:$R$25,2,0)</f>
        <v>18</v>
      </c>
      <c r="H126" s="446">
        <f ca="1">$H$76</f>
        <v>46201</v>
      </c>
      <c r="I126" s="50"/>
      <c r="J126" s="847"/>
      <c r="K126" s="56" t="str">
        <f>Idiomas!D196</f>
        <v>3rd GROUP L</v>
      </c>
      <c r="L126" s="53"/>
      <c r="M126" s="55" t="str">
        <f ca="1">IF(OR(SUM(WORLDCUP!$AN$94:$AN$97)=12,WORLDCUP!$AJ$99=144),WORLDCUP!AL96,LEFT(K126,1)&amp;RIGHT(K126,1))</f>
        <v>Ghana</v>
      </c>
      <c r="N126" s="25"/>
      <c r="O126" s="25"/>
      <c r="P126" s="25"/>
      <c r="Q126" s="25"/>
      <c r="R126" s="110"/>
      <c r="S126" s="74" t="s">
        <v>1731</v>
      </c>
      <c r="T126" s="73">
        <f t="shared" ref="T126" ca="1" si="1030">($M126=S126)*$D$13</f>
        <v>0</v>
      </c>
      <c r="U126" s="64"/>
      <c r="V126" s="74" t="s">
        <v>1551</v>
      </c>
      <c r="W126" s="73">
        <f t="shared" ref="W126:CH126" ca="1" si="1031">($M126=V126)*$D$13</f>
        <v>5</v>
      </c>
      <c r="X126" s="64"/>
      <c r="Y126" s="74" t="s">
        <v>1551</v>
      </c>
      <c r="Z126" s="73">
        <f t="shared" ca="1" si="1031"/>
        <v>5</v>
      </c>
      <c r="AA126" s="64"/>
      <c r="AB126" s="74" t="s">
        <v>1551</v>
      </c>
      <c r="AC126" s="73">
        <f t="shared" ca="1" si="1031"/>
        <v>5</v>
      </c>
      <c r="AD126" s="64"/>
      <c r="AE126" s="74" t="s">
        <v>1551</v>
      </c>
      <c r="AF126" s="73">
        <f t="shared" ca="1" si="1031"/>
        <v>5</v>
      </c>
      <c r="AG126" s="64"/>
      <c r="AH126" s="74" t="s">
        <v>1551</v>
      </c>
      <c r="AI126" s="73">
        <f t="shared" ca="1" si="1031"/>
        <v>5</v>
      </c>
      <c r="AJ126" s="64"/>
      <c r="AK126" s="74" t="s">
        <v>1731</v>
      </c>
      <c r="AL126" s="73">
        <f t="shared" ca="1" si="1031"/>
        <v>0</v>
      </c>
      <c r="AM126" s="64"/>
      <c r="AN126" s="74" t="s">
        <v>296</v>
      </c>
      <c r="AO126" s="73">
        <f t="shared" ca="1" si="1031"/>
        <v>0</v>
      </c>
      <c r="AP126" s="64"/>
      <c r="AQ126" s="74" t="s">
        <v>1551</v>
      </c>
      <c r="AR126" s="73">
        <f t="shared" ca="1" si="1031"/>
        <v>5</v>
      </c>
      <c r="AS126" s="64"/>
      <c r="AT126" s="74" t="s">
        <v>292</v>
      </c>
      <c r="AU126" s="73">
        <f t="shared" ca="1" si="1031"/>
        <v>0</v>
      </c>
      <c r="AV126" s="64"/>
      <c r="AW126" s="74" t="s">
        <v>296</v>
      </c>
      <c r="AX126" s="73">
        <f t="shared" ca="1" si="1031"/>
        <v>0</v>
      </c>
      <c r="AY126" s="64"/>
      <c r="AZ126" s="74" t="s">
        <v>1731</v>
      </c>
      <c r="BA126" s="73">
        <f t="shared" ca="1" si="1031"/>
        <v>0</v>
      </c>
      <c r="BB126" s="64"/>
      <c r="BC126" s="74" t="s">
        <v>1551</v>
      </c>
      <c r="BD126" s="73">
        <f t="shared" ca="1" si="1031"/>
        <v>5</v>
      </c>
      <c r="BE126" s="64"/>
      <c r="BF126" s="74" t="s">
        <v>1551</v>
      </c>
      <c r="BG126" s="73">
        <f t="shared" ca="1" si="1031"/>
        <v>5</v>
      </c>
      <c r="BH126" s="64"/>
      <c r="BI126" s="74" t="s">
        <v>1551</v>
      </c>
      <c r="BJ126" s="73">
        <f t="shared" ca="1" si="1031"/>
        <v>5</v>
      </c>
      <c r="BK126" s="64"/>
      <c r="BL126" s="74" t="s">
        <v>1551</v>
      </c>
      <c r="BM126" s="73">
        <f t="shared" ca="1" si="1031"/>
        <v>5</v>
      </c>
      <c r="BN126" s="64"/>
      <c r="BO126" s="74" t="s">
        <v>1551</v>
      </c>
      <c r="BP126" s="73">
        <f t="shared" ca="1" si="1031"/>
        <v>5</v>
      </c>
      <c r="BQ126" s="64"/>
      <c r="BR126" s="74" t="s">
        <v>1551</v>
      </c>
      <c r="BS126" s="73">
        <f t="shared" ca="1" si="1031"/>
        <v>5</v>
      </c>
      <c r="BT126" s="64"/>
      <c r="BU126" s="74" t="s">
        <v>1551</v>
      </c>
      <c r="BV126" s="73">
        <f t="shared" ca="1" si="1031"/>
        <v>5</v>
      </c>
      <c r="BW126" s="64"/>
      <c r="BX126" s="74" t="s">
        <v>1731</v>
      </c>
      <c r="BY126" s="73">
        <f t="shared" ca="1" si="1031"/>
        <v>0</v>
      </c>
      <c r="BZ126" s="64"/>
      <c r="CA126" s="74" t="s">
        <v>1551</v>
      </c>
      <c r="CB126" s="73">
        <f t="shared" ca="1" si="1031"/>
        <v>5</v>
      </c>
      <c r="CC126" s="64"/>
      <c r="CD126" s="74" t="s">
        <v>1551</v>
      </c>
      <c r="CE126" s="73">
        <f t="shared" ca="1" si="1031"/>
        <v>5</v>
      </c>
      <c r="CF126" s="64"/>
      <c r="CG126" s="74" t="s">
        <v>1551</v>
      </c>
      <c r="CH126" s="73">
        <f t="shared" ca="1" si="1031"/>
        <v>5</v>
      </c>
      <c r="CI126" s="64"/>
      <c r="CJ126" s="74" t="s">
        <v>296</v>
      </c>
      <c r="CK126" s="73">
        <f t="shared" ref="CK126:EV126" ca="1" si="1032">($M126=CJ126)*$D$13</f>
        <v>0</v>
      </c>
      <c r="CL126" s="64"/>
      <c r="CM126" s="74" t="s">
        <v>1551</v>
      </c>
      <c r="CN126" s="73">
        <f t="shared" ca="1" si="1032"/>
        <v>5</v>
      </c>
      <c r="CO126" s="64"/>
      <c r="CP126" s="74" t="s">
        <v>1551</v>
      </c>
      <c r="CQ126" s="73">
        <f t="shared" ca="1" si="1032"/>
        <v>5</v>
      </c>
      <c r="CR126" s="64"/>
      <c r="CS126" s="74" t="s">
        <v>1551</v>
      </c>
      <c r="CT126" s="73">
        <f t="shared" ca="1" si="1032"/>
        <v>5</v>
      </c>
      <c r="CU126" s="64"/>
      <c r="CV126" s="74" t="s">
        <v>1731</v>
      </c>
      <c r="CW126" s="73">
        <f t="shared" ca="1" si="1032"/>
        <v>0</v>
      </c>
      <c r="CX126" s="64"/>
      <c r="CY126" s="74" t="s">
        <v>296</v>
      </c>
      <c r="CZ126" s="73">
        <f t="shared" ca="1" si="1032"/>
        <v>0</v>
      </c>
      <c r="DA126" s="64"/>
      <c r="DB126" s="74" t="s">
        <v>1551</v>
      </c>
      <c r="DC126" s="73">
        <f t="shared" ca="1" si="1032"/>
        <v>5</v>
      </c>
      <c r="DD126" s="64"/>
      <c r="DE126" s="74" t="s">
        <v>1551</v>
      </c>
      <c r="DF126" s="73">
        <f t="shared" ca="1" si="1032"/>
        <v>5</v>
      </c>
      <c r="DG126" s="64"/>
      <c r="DH126" s="74" t="s">
        <v>1551</v>
      </c>
      <c r="DI126" s="73">
        <f t="shared" ca="1" si="1032"/>
        <v>5</v>
      </c>
      <c r="DJ126" s="64"/>
      <c r="DK126" s="74" t="s">
        <v>1551</v>
      </c>
      <c r="DL126" s="73">
        <f t="shared" ca="1" si="1032"/>
        <v>5</v>
      </c>
      <c r="DM126" s="64"/>
      <c r="DN126" s="74" t="s">
        <v>1731</v>
      </c>
      <c r="DO126" s="73">
        <f t="shared" ca="1" si="1032"/>
        <v>0</v>
      </c>
      <c r="DP126" s="64"/>
      <c r="DQ126" s="74" t="s">
        <v>1551</v>
      </c>
      <c r="DR126" s="73">
        <f t="shared" ca="1" si="1032"/>
        <v>5</v>
      </c>
      <c r="DS126" s="64"/>
      <c r="DT126" s="74" t="s">
        <v>1551</v>
      </c>
      <c r="DU126" s="73">
        <f t="shared" ca="1" si="1032"/>
        <v>5</v>
      </c>
      <c r="DV126" s="64"/>
      <c r="DW126" s="74" t="s">
        <v>1551</v>
      </c>
      <c r="DX126" s="73">
        <f t="shared" ca="1" si="1032"/>
        <v>5</v>
      </c>
      <c r="DY126" s="64"/>
      <c r="DZ126" s="74" t="s">
        <v>1551</v>
      </c>
      <c r="EA126" s="73">
        <f t="shared" ca="1" si="1032"/>
        <v>5</v>
      </c>
      <c r="EB126" s="64"/>
      <c r="EC126" s="74" t="s">
        <v>1551</v>
      </c>
      <c r="ED126" s="73">
        <f t="shared" ca="1" si="1032"/>
        <v>5</v>
      </c>
      <c r="EE126" s="64"/>
      <c r="EF126" s="74" t="s">
        <v>1731</v>
      </c>
      <c r="EG126" s="73">
        <f t="shared" ca="1" si="1032"/>
        <v>0</v>
      </c>
      <c r="EH126" s="64"/>
      <c r="EI126" s="74" t="s">
        <v>1551</v>
      </c>
      <c r="EJ126" s="73">
        <f t="shared" ca="1" si="1032"/>
        <v>5</v>
      </c>
      <c r="EK126" s="64"/>
      <c r="EL126" s="74" t="s">
        <v>1551</v>
      </c>
      <c r="EM126" s="73">
        <f t="shared" ca="1" si="1032"/>
        <v>5</v>
      </c>
      <c r="EN126" s="64"/>
      <c r="EO126" s="74" t="s">
        <v>1551</v>
      </c>
      <c r="EP126" s="73">
        <f t="shared" ca="1" si="1032"/>
        <v>5</v>
      </c>
      <c r="EQ126" s="64"/>
      <c r="ER126" s="74" t="s">
        <v>1731</v>
      </c>
      <c r="ES126" s="73">
        <f t="shared" ca="1" si="1032"/>
        <v>0</v>
      </c>
      <c r="ET126" s="64"/>
      <c r="EU126" s="74" t="s">
        <v>296</v>
      </c>
      <c r="EV126" s="73">
        <f t="shared" ca="1" si="1032"/>
        <v>0</v>
      </c>
      <c r="EW126" s="64"/>
      <c r="EX126" s="74" t="s">
        <v>1551</v>
      </c>
      <c r="EY126" s="73">
        <f t="shared" ref="EY126:HJ126" ca="1" si="1033">($M126=EX126)*$D$13</f>
        <v>5</v>
      </c>
      <c r="EZ126" s="64"/>
      <c r="FA126" s="74" t="s">
        <v>1551</v>
      </c>
      <c r="FB126" s="73">
        <f t="shared" ca="1" si="1033"/>
        <v>5</v>
      </c>
      <c r="FC126" s="64"/>
      <c r="FD126" s="74" t="s">
        <v>1551</v>
      </c>
      <c r="FE126" s="73">
        <f t="shared" ca="1" si="1033"/>
        <v>5</v>
      </c>
      <c r="FF126" s="64"/>
      <c r="FG126" s="74" t="s">
        <v>1551</v>
      </c>
      <c r="FH126" s="73">
        <f t="shared" ca="1" si="1033"/>
        <v>5</v>
      </c>
      <c r="FI126" s="64"/>
      <c r="FJ126" s="74" t="s">
        <v>1551</v>
      </c>
      <c r="FK126" s="73">
        <f t="shared" ca="1" si="1033"/>
        <v>5</v>
      </c>
      <c r="FL126" s="64"/>
      <c r="FM126" s="74" t="s">
        <v>1551</v>
      </c>
      <c r="FN126" s="73">
        <f t="shared" ca="1" si="1033"/>
        <v>5</v>
      </c>
      <c r="FO126" s="64"/>
      <c r="FP126" s="74" t="s">
        <v>1551</v>
      </c>
      <c r="FQ126" s="73">
        <f t="shared" ca="1" si="1033"/>
        <v>5</v>
      </c>
      <c r="FR126" s="64"/>
      <c r="FS126" s="74" t="s">
        <v>1551</v>
      </c>
      <c r="FT126" s="73">
        <f t="shared" ca="1" si="1033"/>
        <v>5</v>
      </c>
      <c r="FU126" s="64"/>
      <c r="FV126" s="74" t="s">
        <v>1551</v>
      </c>
      <c r="FW126" s="73">
        <f t="shared" ca="1" si="1033"/>
        <v>5</v>
      </c>
      <c r="FX126" s="64"/>
      <c r="FY126" s="74" t="s">
        <v>1551</v>
      </c>
      <c r="FZ126" s="73">
        <f t="shared" ca="1" si="1033"/>
        <v>5</v>
      </c>
      <c r="GA126" s="64"/>
      <c r="GB126" s="74" t="s">
        <v>1551</v>
      </c>
      <c r="GC126" s="73">
        <f t="shared" ca="1" si="1033"/>
        <v>5</v>
      </c>
      <c r="GD126" s="64"/>
      <c r="GE126" s="74" t="s">
        <v>1551</v>
      </c>
      <c r="GF126" s="73">
        <f t="shared" ca="1" si="1033"/>
        <v>5</v>
      </c>
      <c r="GG126" s="64"/>
      <c r="GH126" s="74" t="s">
        <v>1551</v>
      </c>
      <c r="GI126" s="73">
        <f t="shared" ca="1" si="1033"/>
        <v>5</v>
      </c>
      <c r="GJ126" s="64"/>
      <c r="GK126" s="74" t="s">
        <v>1551</v>
      </c>
      <c r="GL126" s="73">
        <f t="shared" ca="1" si="1033"/>
        <v>5</v>
      </c>
      <c r="GM126" s="64"/>
      <c r="GN126" s="74"/>
      <c r="GO126" s="73">
        <f t="shared" ca="1" si="1033"/>
        <v>0</v>
      </c>
      <c r="GP126" s="64"/>
      <c r="GQ126" s="74"/>
      <c r="GR126" s="73">
        <f t="shared" ca="1" si="1033"/>
        <v>0</v>
      </c>
      <c r="GS126" s="64"/>
      <c r="GT126" s="74"/>
      <c r="GU126" s="73">
        <f t="shared" ca="1" si="1033"/>
        <v>0</v>
      </c>
      <c r="GV126" s="64"/>
      <c r="GW126" s="74"/>
      <c r="GX126" s="73">
        <f t="shared" ca="1" si="1033"/>
        <v>0</v>
      </c>
      <c r="GY126" s="64"/>
      <c r="GZ126" s="74"/>
      <c r="HA126" s="73">
        <f t="shared" ca="1" si="1033"/>
        <v>0</v>
      </c>
      <c r="HB126" s="64"/>
      <c r="HC126" s="74"/>
      <c r="HD126" s="73">
        <f t="shared" ca="1" si="1033"/>
        <v>0</v>
      </c>
      <c r="HE126" s="64"/>
      <c r="HF126" s="74"/>
      <c r="HG126" s="73">
        <f t="shared" ca="1" si="1033"/>
        <v>0</v>
      </c>
      <c r="HH126" s="64"/>
      <c r="HI126" s="74"/>
      <c r="HJ126" s="73">
        <f t="shared" ca="1" si="1033"/>
        <v>0</v>
      </c>
      <c r="HK126" s="64"/>
      <c r="HL126" s="74"/>
      <c r="HM126" s="73">
        <f t="shared" ref="HM126:JX126" ca="1" si="1034">($M126=HL126)*$D$13</f>
        <v>0</v>
      </c>
      <c r="HN126" s="64"/>
      <c r="HO126" s="74"/>
      <c r="HP126" s="73">
        <f t="shared" ca="1" si="1034"/>
        <v>0</v>
      </c>
      <c r="HQ126" s="64"/>
      <c r="HR126" s="74"/>
      <c r="HS126" s="73">
        <f t="shared" ca="1" si="1034"/>
        <v>0</v>
      </c>
      <c r="HT126" s="64"/>
      <c r="HU126" s="74"/>
      <c r="HV126" s="73">
        <f t="shared" ca="1" si="1034"/>
        <v>0</v>
      </c>
      <c r="HW126" s="64"/>
      <c r="HX126" s="74"/>
      <c r="HY126" s="73">
        <f t="shared" ca="1" si="1034"/>
        <v>0</v>
      </c>
      <c r="HZ126" s="64"/>
      <c r="IA126" s="74"/>
      <c r="IB126" s="73">
        <f t="shared" ca="1" si="1034"/>
        <v>0</v>
      </c>
      <c r="IC126" s="64"/>
      <c r="ID126" s="74"/>
      <c r="IE126" s="73">
        <f t="shared" ca="1" si="1034"/>
        <v>0</v>
      </c>
      <c r="IF126" s="64"/>
      <c r="IG126" s="74"/>
      <c r="IH126" s="73">
        <f t="shared" ca="1" si="1034"/>
        <v>0</v>
      </c>
      <c r="II126" s="64"/>
      <c r="IJ126" s="74"/>
      <c r="IK126" s="73">
        <f t="shared" ca="1" si="1034"/>
        <v>0</v>
      </c>
      <c r="IL126" s="64"/>
      <c r="IM126" s="74"/>
      <c r="IN126" s="73">
        <f t="shared" ca="1" si="1034"/>
        <v>0</v>
      </c>
      <c r="IO126" s="64"/>
      <c r="IP126" s="74"/>
      <c r="IQ126" s="73">
        <f t="shared" ca="1" si="1034"/>
        <v>0</v>
      </c>
      <c r="IR126" s="64"/>
      <c r="IS126" s="74"/>
      <c r="IT126" s="73">
        <f t="shared" ca="1" si="1034"/>
        <v>0</v>
      </c>
      <c r="IU126" s="64"/>
      <c r="IV126" s="74"/>
      <c r="IW126" s="73">
        <f t="shared" ca="1" si="1034"/>
        <v>0</v>
      </c>
      <c r="IX126" s="64"/>
      <c r="IY126" s="74"/>
      <c r="IZ126" s="73">
        <f t="shared" ca="1" si="1034"/>
        <v>0</v>
      </c>
      <c r="JA126" s="64"/>
      <c r="JB126" s="74"/>
      <c r="JC126" s="73">
        <f t="shared" ca="1" si="1034"/>
        <v>0</v>
      </c>
      <c r="JD126" s="64"/>
      <c r="JE126" s="74"/>
      <c r="JF126" s="73">
        <f t="shared" ca="1" si="1034"/>
        <v>0</v>
      </c>
      <c r="JG126" s="64"/>
      <c r="JH126" s="74"/>
      <c r="JI126" s="73">
        <f t="shared" ca="1" si="1034"/>
        <v>0</v>
      </c>
      <c r="JJ126" s="64"/>
      <c r="JK126" s="74"/>
      <c r="JL126" s="73">
        <f t="shared" ca="1" si="1034"/>
        <v>0</v>
      </c>
      <c r="JM126" s="64"/>
      <c r="JN126" s="74"/>
      <c r="JO126" s="73">
        <f t="shared" ca="1" si="1034"/>
        <v>0</v>
      </c>
      <c r="JP126" s="64"/>
      <c r="JQ126" s="74"/>
      <c r="JR126" s="73">
        <f t="shared" ca="1" si="1034"/>
        <v>0</v>
      </c>
      <c r="JS126" s="64"/>
      <c r="JT126" s="74"/>
      <c r="JU126" s="73">
        <f t="shared" ca="1" si="1034"/>
        <v>0</v>
      </c>
      <c r="JV126" s="64"/>
      <c r="JW126" s="74"/>
      <c r="JX126" s="73">
        <f t="shared" ca="1" si="1034"/>
        <v>0</v>
      </c>
      <c r="JY126" s="64"/>
      <c r="JZ126" s="74"/>
      <c r="KA126" s="73">
        <f t="shared" ref="KA126:LE126" ca="1" si="1035">($M126=JZ126)*$D$13</f>
        <v>0</v>
      </c>
      <c r="KB126" s="64"/>
      <c r="KC126" s="74"/>
      <c r="KD126" s="73">
        <f t="shared" ca="1" si="1035"/>
        <v>0</v>
      </c>
      <c r="KE126" s="64"/>
      <c r="KF126" s="74"/>
      <c r="KG126" s="73">
        <f t="shared" ca="1" si="1035"/>
        <v>0</v>
      </c>
      <c r="KH126" s="64"/>
      <c r="KI126" s="74"/>
      <c r="KJ126" s="73">
        <f t="shared" ca="1" si="1035"/>
        <v>0</v>
      </c>
      <c r="KK126" s="64"/>
      <c r="KL126" s="74"/>
      <c r="KM126" s="73">
        <f t="shared" ca="1" si="1035"/>
        <v>0</v>
      </c>
      <c r="KN126" s="64"/>
      <c r="KO126" s="74"/>
      <c r="KP126" s="73">
        <f t="shared" ca="1" si="1035"/>
        <v>0</v>
      </c>
      <c r="KQ126" s="64"/>
      <c r="KR126" s="74"/>
      <c r="KS126" s="73">
        <f t="shared" ca="1" si="1035"/>
        <v>0</v>
      </c>
      <c r="KT126" s="64"/>
      <c r="KU126" s="74"/>
      <c r="KV126" s="73">
        <f t="shared" ca="1" si="1035"/>
        <v>0</v>
      </c>
      <c r="KW126" s="64"/>
      <c r="KX126" s="74"/>
      <c r="KY126" s="73">
        <f t="shared" ca="1" si="1035"/>
        <v>0</v>
      </c>
      <c r="KZ126" s="64"/>
      <c r="LA126" s="74"/>
      <c r="LB126" s="73">
        <f t="shared" ca="1" si="1035"/>
        <v>0</v>
      </c>
      <c r="LC126" s="64"/>
      <c r="LD126" s="74"/>
      <c r="LE126" s="73">
        <f t="shared" ca="1" si="1035"/>
        <v>0</v>
      </c>
      <c r="LF126" s="64"/>
      <c r="LG126" s="64"/>
    </row>
    <row r="127" spans="1:319">
      <c r="A127" s="49"/>
      <c r="B127" s="49"/>
      <c r="C127" s="49"/>
      <c r="D127" s="49"/>
      <c r="E127" s="65"/>
      <c r="F127" s="127">
        <f t="shared" ref="F127" si="1036">$D$14</f>
        <v>3</v>
      </c>
      <c r="G127" s="445">
        <f ca="1">VLOOKUP(H127,Equipos!$Q$1:$R$25,2,0)</f>
        <v>18</v>
      </c>
      <c r="H127" s="446">
        <f ca="1">$H$76</f>
        <v>46201</v>
      </c>
      <c r="I127" s="50"/>
      <c r="J127" s="847"/>
      <c r="K127" s="115" t="str">
        <f>Idiomas!D197</f>
        <v>4th GROUP L</v>
      </c>
      <c r="L127" s="115"/>
      <c r="M127" s="116" t="str">
        <f ca="1">IF(OR(SUM(WORLDCUP!$AN$94:$AN$97)=12,WORLDCUP!$AJ$99=144),WORLDCUP!AL97,LEFT(K127,1)&amp;RIGHT(K127,1))</f>
        <v>Panama</v>
      </c>
      <c r="N127" s="25"/>
      <c r="O127" s="25"/>
      <c r="P127" s="25"/>
      <c r="Q127" s="25"/>
      <c r="R127" s="110"/>
      <c r="S127" s="80" t="s">
        <v>296</v>
      </c>
      <c r="T127" s="81">
        <f t="shared" ref="T127" ca="1" si="1037">($M127=S127)*$D$14</f>
        <v>0</v>
      </c>
      <c r="U127" s="64"/>
      <c r="V127" s="80" t="s">
        <v>1731</v>
      </c>
      <c r="W127" s="81">
        <f t="shared" ref="W127:CH127" ca="1" si="1038">($M127=V127)*$D$14</f>
        <v>3</v>
      </c>
      <c r="X127" s="64"/>
      <c r="Y127" s="80" t="s">
        <v>1731</v>
      </c>
      <c r="Z127" s="81">
        <f t="shared" ca="1" si="1038"/>
        <v>3</v>
      </c>
      <c r="AA127" s="64"/>
      <c r="AB127" s="80" t="s">
        <v>1731</v>
      </c>
      <c r="AC127" s="81">
        <f t="shared" ca="1" si="1038"/>
        <v>3</v>
      </c>
      <c r="AD127" s="64"/>
      <c r="AE127" s="80" t="s">
        <v>1731</v>
      </c>
      <c r="AF127" s="81">
        <f t="shared" ca="1" si="1038"/>
        <v>3</v>
      </c>
      <c r="AG127" s="64"/>
      <c r="AH127" s="80" t="s">
        <v>1731</v>
      </c>
      <c r="AI127" s="81">
        <f t="shared" ca="1" si="1038"/>
        <v>3</v>
      </c>
      <c r="AJ127" s="64"/>
      <c r="AK127" s="80" t="s">
        <v>1551</v>
      </c>
      <c r="AL127" s="81">
        <f t="shared" ca="1" si="1038"/>
        <v>0</v>
      </c>
      <c r="AM127" s="64"/>
      <c r="AN127" s="80" t="s">
        <v>1731</v>
      </c>
      <c r="AO127" s="81">
        <f t="shared" ca="1" si="1038"/>
        <v>3</v>
      </c>
      <c r="AP127" s="64"/>
      <c r="AQ127" s="80" t="s">
        <v>1731</v>
      </c>
      <c r="AR127" s="81">
        <f t="shared" ca="1" si="1038"/>
        <v>3</v>
      </c>
      <c r="AS127" s="64"/>
      <c r="AT127" s="80" t="s">
        <v>1731</v>
      </c>
      <c r="AU127" s="81">
        <f t="shared" ca="1" si="1038"/>
        <v>3</v>
      </c>
      <c r="AV127" s="64"/>
      <c r="AW127" s="80" t="s">
        <v>1731</v>
      </c>
      <c r="AX127" s="81">
        <f t="shared" ca="1" si="1038"/>
        <v>3</v>
      </c>
      <c r="AY127" s="64"/>
      <c r="AZ127" s="80" t="s">
        <v>1551</v>
      </c>
      <c r="BA127" s="81">
        <f t="shared" ca="1" si="1038"/>
        <v>0</v>
      </c>
      <c r="BB127" s="64"/>
      <c r="BC127" s="80" t="s">
        <v>1731</v>
      </c>
      <c r="BD127" s="81">
        <f t="shared" ca="1" si="1038"/>
        <v>3</v>
      </c>
      <c r="BE127" s="64"/>
      <c r="BF127" s="80" t="s">
        <v>1731</v>
      </c>
      <c r="BG127" s="81">
        <f t="shared" ca="1" si="1038"/>
        <v>3</v>
      </c>
      <c r="BH127" s="64"/>
      <c r="BI127" s="80" t="s">
        <v>1731</v>
      </c>
      <c r="BJ127" s="81">
        <f t="shared" ca="1" si="1038"/>
        <v>3</v>
      </c>
      <c r="BK127" s="64"/>
      <c r="BL127" s="80" t="s">
        <v>1731</v>
      </c>
      <c r="BM127" s="81">
        <f t="shared" ca="1" si="1038"/>
        <v>3</v>
      </c>
      <c r="BN127" s="64"/>
      <c r="BO127" s="80" t="s">
        <v>1731</v>
      </c>
      <c r="BP127" s="81">
        <f t="shared" ca="1" si="1038"/>
        <v>3</v>
      </c>
      <c r="BQ127" s="64"/>
      <c r="BR127" s="80" t="s">
        <v>1731</v>
      </c>
      <c r="BS127" s="81">
        <f t="shared" ca="1" si="1038"/>
        <v>3</v>
      </c>
      <c r="BT127" s="64"/>
      <c r="BU127" s="80" t="s">
        <v>1731</v>
      </c>
      <c r="BV127" s="81">
        <f t="shared" ca="1" si="1038"/>
        <v>3</v>
      </c>
      <c r="BW127" s="64"/>
      <c r="BX127" s="80" t="s">
        <v>1551</v>
      </c>
      <c r="BY127" s="81">
        <f t="shared" ca="1" si="1038"/>
        <v>0</v>
      </c>
      <c r="BZ127" s="64"/>
      <c r="CA127" s="80" t="s">
        <v>1731</v>
      </c>
      <c r="CB127" s="81">
        <f t="shared" ca="1" si="1038"/>
        <v>3</v>
      </c>
      <c r="CC127" s="64"/>
      <c r="CD127" s="80" t="s">
        <v>1731</v>
      </c>
      <c r="CE127" s="81">
        <f t="shared" ca="1" si="1038"/>
        <v>3</v>
      </c>
      <c r="CF127" s="64"/>
      <c r="CG127" s="80" t="s">
        <v>1731</v>
      </c>
      <c r="CH127" s="81">
        <f t="shared" ca="1" si="1038"/>
        <v>3</v>
      </c>
      <c r="CI127" s="64"/>
      <c r="CJ127" s="80" t="s">
        <v>1731</v>
      </c>
      <c r="CK127" s="81">
        <f t="shared" ref="CK127:EV127" ca="1" si="1039">($M127=CJ127)*$D$14</f>
        <v>3</v>
      </c>
      <c r="CL127" s="64"/>
      <c r="CM127" s="80" t="s">
        <v>1731</v>
      </c>
      <c r="CN127" s="81">
        <f t="shared" ca="1" si="1039"/>
        <v>3</v>
      </c>
      <c r="CO127" s="64"/>
      <c r="CP127" s="80" t="s">
        <v>1731</v>
      </c>
      <c r="CQ127" s="81">
        <f t="shared" ca="1" si="1039"/>
        <v>3</v>
      </c>
      <c r="CR127" s="64"/>
      <c r="CS127" s="80" t="s">
        <v>1731</v>
      </c>
      <c r="CT127" s="81">
        <f t="shared" ca="1" si="1039"/>
        <v>3</v>
      </c>
      <c r="CU127" s="64"/>
      <c r="CV127" s="80" t="s">
        <v>1551</v>
      </c>
      <c r="CW127" s="81">
        <f t="shared" ca="1" si="1039"/>
        <v>0</v>
      </c>
      <c r="CX127" s="64"/>
      <c r="CY127" s="80" t="s">
        <v>1731</v>
      </c>
      <c r="CZ127" s="81">
        <f t="shared" ca="1" si="1039"/>
        <v>3</v>
      </c>
      <c r="DA127" s="64"/>
      <c r="DB127" s="80" t="s">
        <v>1731</v>
      </c>
      <c r="DC127" s="81">
        <f t="shared" ca="1" si="1039"/>
        <v>3</v>
      </c>
      <c r="DD127" s="64"/>
      <c r="DE127" s="80" t="s">
        <v>1731</v>
      </c>
      <c r="DF127" s="81">
        <f t="shared" ca="1" si="1039"/>
        <v>3</v>
      </c>
      <c r="DG127" s="64"/>
      <c r="DH127" s="80" t="s">
        <v>1731</v>
      </c>
      <c r="DI127" s="81">
        <f t="shared" ca="1" si="1039"/>
        <v>3</v>
      </c>
      <c r="DJ127" s="64"/>
      <c r="DK127" s="80" t="s">
        <v>1731</v>
      </c>
      <c r="DL127" s="81">
        <f t="shared" ca="1" si="1039"/>
        <v>3</v>
      </c>
      <c r="DM127" s="64"/>
      <c r="DN127" s="80" t="s">
        <v>1551</v>
      </c>
      <c r="DO127" s="81">
        <f t="shared" ca="1" si="1039"/>
        <v>0</v>
      </c>
      <c r="DP127" s="64"/>
      <c r="DQ127" s="80" t="s">
        <v>1731</v>
      </c>
      <c r="DR127" s="81">
        <f t="shared" ca="1" si="1039"/>
        <v>3</v>
      </c>
      <c r="DS127" s="64"/>
      <c r="DT127" s="80" t="s">
        <v>1731</v>
      </c>
      <c r="DU127" s="81">
        <f t="shared" ca="1" si="1039"/>
        <v>3</v>
      </c>
      <c r="DV127" s="64"/>
      <c r="DW127" s="80" t="s">
        <v>1731</v>
      </c>
      <c r="DX127" s="81">
        <f t="shared" ca="1" si="1039"/>
        <v>3</v>
      </c>
      <c r="DY127" s="64"/>
      <c r="DZ127" s="80" t="s">
        <v>1731</v>
      </c>
      <c r="EA127" s="81">
        <f t="shared" ca="1" si="1039"/>
        <v>3</v>
      </c>
      <c r="EB127" s="64"/>
      <c r="EC127" s="80" t="s">
        <v>1731</v>
      </c>
      <c r="ED127" s="81">
        <f t="shared" ca="1" si="1039"/>
        <v>3</v>
      </c>
      <c r="EE127" s="64"/>
      <c r="EF127" s="80" t="s">
        <v>296</v>
      </c>
      <c r="EG127" s="81">
        <f t="shared" ca="1" si="1039"/>
        <v>0</v>
      </c>
      <c r="EH127" s="64"/>
      <c r="EI127" s="80" t="s">
        <v>1731</v>
      </c>
      <c r="EJ127" s="81">
        <f t="shared" ca="1" si="1039"/>
        <v>3</v>
      </c>
      <c r="EK127" s="64"/>
      <c r="EL127" s="80" t="s">
        <v>1731</v>
      </c>
      <c r="EM127" s="81">
        <f t="shared" ca="1" si="1039"/>
        <v>3</v>
      </c>
      <c r="EN127" s="64"/>
      <c r="EO127" s="80" t="s">
        <v>1731</v>
      </c>
      <c r="EP127" s="81">
        <f t="shared" ca="1" si="1039"/>
        <v>3</v>
      </c>
      <c r="EQ127" s="64"/>
      <c r="ER127" s="80" t="s">
        <v>1551</v>
      </c>
      <c r="ES127" s="81">
        <f t="shared" ca="1" si="1039"/>
        <v>0</v>
      </c>
      <c r="ET127" s="64"/>
      <c r="EU127" s="80" t="s">
        <v>1731</v>
      </c>
      <c r="EV127" s="81">
        <f t="shared" ca="1" si="1039"/>
        <v>3</v>
      </c>
      <c r="EW127" s="64"/>
      <c r="EX127" s="80" t="s">
        <v>1731</v>
      </c>
      <c r="EY127" s="81">
        <f t="shared" ref="EY127:HJ127" ca="1" si="1040">($M127=EX127)*$D$14</f>
        <v>3</v>
      </c>
      <c r="EZ127" s="64"/>
      <c r="FA127" s="80" t="s">
        <v>1731</v>
      </c>
      <c r="FB127" s="81">
        <f t="shared" ca="1" si="1040"/>
        <v>3</v>
      </c>
      <c r="FC127" s="64"/>
      <c r="FD127" s="80" t="s">
        <v>1731</v>
      </c>
      <c r="FE127" s="81">
        <f t="shared" ca="1" si="1040"/>
        <v>3</v>
      </c>
      <c r="FF127" s="64"/>
      <c r="FG127" s="80" t="s">
        <v>1731</v>
      </c>
      <c r="FH127" s="81">
        <f t="shared" ca="1" si="1040"/>
        <v>3</v>
      </c>
      <c r="FI127" s="64"/>
      <c r="FJ127" s="80" t="s">
        <v>1731</v>
      </c>
      <c r="FK127" s="81">
        <f t="shared" ca="1" si="1040"/>
        <v>3</v>
      </c>
      <c r="FL127" s="64"/>
      <c r="FM127" s="80" t="s">
        <v>1731</v>
      </c>
      <c r="FN127" s="81">
        <f t="shared" ca="1" si="1040"/>
        <v>3</v>
      </c>
      <c r="FO127" s="64"/>
      <c r="FP127" s="80" t="s">
        <v>1731</v>
      </c>
      <c r="FQ127" s="81">
        <f t="shared" ca="1" si="1040"/>
        <v>3</v>
      </c>
      <c r="FR127" s="64"/>
      <c r="FS127" s="80" t="s">
        <v>1731</v>
      </c>
      <c r="FT127" s="81">
        <f t="shared" ca="1" si="1040"/>
        <v>3</v>
      </c>
      <c r="FU127" s="64"/>
      <c r="FV127" s="80" t="s">
        <v>1731</v>
      </c>
      <c r="FW127" s="81">
        <f t="shared" ca="1" si="1040"/>
        <v>3</v>
      </c>
      <c r="FX127" s="64"/>
      <c r="FY127" s="80" t="s">
        <v>1731</v>
      </c>
      <c r="FZ127" s="81">
        <f t="shared" ca="1" si="1040"/>
        <v>3</v>
      </c>
      <c r="GA127" s="64"/>
      <c r="GB127" s="80" t="s">
        <v>1731</v>
      </c>
      <c r="GC127" s="81">
        <f t="shared" ca="1" si="1040"/>
        <v>3</v>
      </c>
      <c r="GD127" s="64"/>
      <c r="GE127" s="80" t="s">
        <v>1731</v>
      </c>
      <c r="GF127" s="81">
        <f t="shared" ca="1" si="1040"/>
        <v>3</v>
      </c>
      <c r="GG127" s="64"/>
      <c r="GH127" s="80" t="s">
        <v>1731</v>
      </c>
      <c r="GI127" s="81">
        <f t="shared" ca="1" si="1040"/>
        <v>3</v>
      </c>
      <c r="GJ127" s="64"/>
      <c r="GK127" s="80" t="s">
        <v>1731</v>
      </c>
      <c r="GL127" s="81">
        <f t="shared" ca="1" si="1040"/>
        <v>3</v>
      </c>
      <c r="GM127" s="64"/>
      <c r="GN127" s="80"/>
      <c r="GO127" s="81">
        <f t="shared" ca="1" si="1040"/>
        <v>0</v>
      </c>
      <c r="GP127" s="64"/>
      <c r="GQ127" s="80"/>
      <c r="GR127" s="81">
        <f t="shared" ca="1" si="1040"/>
        <v>0</v>
      </c>
      <c r="GS127" s="64"/>
      <c r="GT127" s="80"/>
      <c r="GU127" s="81">
        <f t="shared" ca="1" si="1040"/>
        <v>0</v>
      </c>
      <c r="GV127" s="64"/>
      <c r="GW127" s="80"/>
      <c r="GX127" s="81">
        <f t="shared" ca="1" si="1040"/>
        <v>0</v>
      </c>
      <c r="GY127" s="64"/>
      <c r="GZ127" s="80"/>
      <c r="HA127" s="81">
        <f t="shared" ca="1" si="1040"/>
        <v>0</v>
      </c>
      <c r="HB127" s="64"/>
      <c r="HC127" s="80"/>
      <c r="HD127" s="81">
        <f t="shared" ca="1" si="1040"/>
        <v>0</v>
      </c>
      <c r="HE127" s="64"/>
      <c r="HF127" s="80"/>
      <c r="HG127" s="81">
        <f t="shared" ca="1" si="1040"/>
        <v>0</v>
      </c>
      <c r="HH127" s="64"/>
      <c r="HI127" s="80"/>
      <c r="HJ127" s="81">
        <f t="shared" ca="1" si="1040"/>
        <v>0</v>
      </c>
      <c r="HK127" s="64"/>
      <c r="HL127" s="80"/>
      <c r="HM127" s="81">
        <f t="shared" ref="HM127:JX127" ca="1" si="1041">($M127=HL127)*$D$14</f>
        <v>0</v>
      </c>
      <c r="HN127" s="64"/>
      <c r="HO127" s="80"/>
      <c r="HP127" s="81">
        <f t="shared" ca="1" si="1041"/>
        <v>0</v>
      </c>
      <c r="HQ127" s="64"/>
      <c r="HR127" s="80"/>
      <c r="HS127" s="81">
        <f t="shared" ca="1" si="1041"/>
        <v>0</v>
      </c>
      <c r="HT127" s="64"/>
      <c r="HU127" s="80"/>
      <c r="HV127" s="81">
        <f t="shared" ca="1" si="1041"/>
        <v>0</v>
      </c>
      <c r="HW127" s="64"/>
      <c r="HX127" s="80"/>
      <c r="HY127" s="81">
        <f t="shared" ca="1" si="1041"/>
        <v>0</v>
      </c>
      <c r="HZ127" s="64"/>
      <c r="IA127" s="80"/>
      <c r="IB127" s="81">
        <f t="shared" ca="1" si="1041"/>
        <v>0</v>
      </c>
      <c r="IC127" s="64"/>
      <c r="ID127" s="80"/>
      <c r="IE127" s="81">
        <f t="shared" ca="1" si="1041"/>
        <v>0</v>
      </c>
      <c r="IF127" s="64"/>
      <c r="IG127" s="80"/>
      <c r="IH127" s="81">
        <f t="shared" ca="1" si="1041"/>
        <v>0</v>
      </c>
      <c r="II127" s="64"/>
      <c r="IJ127" s="80"/>
      <c r="IK127" s="81">
        <f t="shared" ca="1" si="1041"/>
        <v>0</v>
      </c>
      <c r="IL127" s="64"/>
      <c r="IM127" s="80"/>
      <c r="IN127" s="81">
        <f t="shared" ca="1" si="1041"/>
        <v>0</v>
      </c>
      <c r="IO127" s="64"/>
      <c r="IP127" s="80"/>
      <c r="IQ127" s="81">
        <f t="shared" ca="1" si="1041"/>
        <v>0</v>
      </c>
      <c r="IR127" s="64"/>
      <c r="IS127" s="80"/>
      <c r="IT127" s="81">
        <f t="shared" ca="1" si="1041"/>
        <v>0</v>
      </c>
      <c r="IU127" s="64"/>
      <c r="IV127" s="80"/>
      <c r="IW127" s="81">
        <f t="shared" ca="1" si="1041"/>
        <v>0</v>
      </c>
      <c r="IX127" s="64"/>
      <c r="IY127" s="80"/>
      <c r="IZ127" s="81">
        <f t="shared" ca="1" si="1041"/>
        <v>0</v>
      </c>
      <c r="JA127" s="64"/>
      <c r="JB127" s="80"/>
      <c r="JC127" s="81">
        <f t="shared" ca="1" si="1041"/>
        <v>0</v>
      </c>
      <c r="JD127" s="64"/>
      <c r="JE127" s="80"/>
      <c r="JF127" s="81">
        <f t="shared" ca="1" si="1041"/>
        <v>0</v>
      </c>
      <c r="JG127" s="64"/>
      <c r="JH127" s="80"/>
      <c r="JI127" s="81">
        <f t="shared" ca="1" si="1041"/>
        <v>0</v>
      </c>
      <c r="JJ127" s="64"/>
      <c r="JK127" s="80"/>
      <c r="JL127" s="81">
        <f t="shared" ca="1" si="1041"/>
        <v>0</v>
      </c>
      <c r="JM127" s="64"/>
      <c r="JN127" s="80"/>
      <c r="JO127" s="81">
        <f t="shared" ca="1" si="1041"/>
        <v>0</v>
      </c>
      <c r="JP127" s="64"/>
      <c r="JQ127" s="80"/>
      <c r="JR127" s="81">
        <f t="shared" ca="1" si="1041"/>
        <v>0</v>
      </c>
      <c r="JS127" s="64"/>
      <c r="JT127" s="80"/>
      <c r="JU127" s="81">
        <f t="shared" ca="1" si="1041"/>
        <v>0</v>
      </c>
      <c r="JV127" s="64"/>
      <c r="JW127" s="80"/>
      <c r="JX127" s="81">
        <f t="shared" ca="1" si="1041"/>
        <v>0</v>
      </c>
      <c r="JY127" s="64"/>
      <c r="JZ127" s="80"/>
      <c r="KA127" s="81">
        <f t="shared" ref="KA127:LE127" ca="1" si="1042">($M127=JZ127)*$D$14</f>
        <v>0</v>
      </c>
      <c r="KB127" s="64"/>
      <c r="KC127" s="80"/>
      <c r="KD127" s="81">
        <f t="shared" ca="1" si="1042"/>
        <v>0</v>
      </c>
      <c r="KE127" s="64"/>
      <c r="KF127" s="80"/>
      <c r="KG127" s="81">
        <f t="shared" ca="1" si="1042"/>
        <v>0</v>
      </c>
      <c r="KH127" s="64"/>
      <c r="KI127" s="80"/>
      <c r="KJ127" s="81">
        <f t="shared" ca="1" si="1042"/>
        <v>0</v>
      </c>
      <c r="KK127" s="64"/>
      <c r="KL127" s="80"/>
      <c r="KM127" s="81">
        <f t="shared" ca="1" si="1042"/>
        <v>0</v>
      </c>
      <c r="KN127" s="64"/>
      <c r="KO127" s="80"/>
      <c r="KP127" s="81">
        <f t="shared" ca="1" si="1042"/>
        <v>0</v>
      </c>
      <c r="KQ127" s="64"/>
      <c r="KR127" s="80"/>
      <c r="KS127" s="81">
        <f t="shared" ca="1" si="1042"/>
        <v>0</v>
      </c>
      <c r="KT127" s="64"/>
      <c r="KU127" s="80"/>
      <c r="KV127" s="81">
        <f t="shared" ca="1" si="1042"/>
        <v>0</v>
      </c>
      <c r="KW127" s="64"/>
      <c r="KX127" s="80"/>
      <c r="KY127" s="81">
        <f t="shared" ca="1" si="1042"/>
        <v>0</v>
      </c>
      <c r="KZ127" s="64"/>
      <c r="LA127" s="80"/>
      <c r="LB127" s="81">
        <f t="shared" ca="1" si="1042"/>
        <v>0</v>
      </c>
      <c r="LC127" s="64"/>
      <c r="LD127" s="80"/>
      <c r="LE127" s="81">
        <f t="shared" ca="1" si="1042"/>
        <v>0</v>
      </c>
      <c r="LF127" s="64"/>
      <c r="LG127" s="64"/>
    </row>
    <row r="128" spans="1:319">
      <c r="A128" s="49"/>
      <c r="B128" s="49"/>
      <c r="C128" s="49"/>
      <c r="D128" s="49"/>
      <c r="E128" s="65"/>
      <c r="F128" s="127"/>
      <c r="G128" s="445"/>
      <c r="H128" s="65"/>
      <c r="I128" s="50"/>
      <c r="J128" s="94"/>
      <c r="K128" s="434" t="str">
        <f>Idiomas!D456</f>
        <v>Group pos.</v>
      </c>
      <c r="L128" s="435"/>
      <c r="M128" s="434" t="str">
        <f>"Max: "&amp;SUM($D$11:$D$14)*12</f>
        <v>Max: 456</v>
      </c>
      <c r="N128" s="25"/>
      <c r="O128" s="25"/>
      <c r="P128" s="25"/>
      <c r="Q128" s="25"/>
      <c r="R128" s="49"/>
      <c r="S128" s="84"/>
      <c r="T128" s="71">
        <f ca="1">SUM(T80:T127)</f>
        <v>229</v>
      </c>
      <c r="U128" s="65"/>
      <c r="V128" s="84"/>
      <c r="W128" s="71">
        <f t="shared" ref="W128" ca="1" si="1043">SUM(W80:W127)</f>
        <v>327</v>
      </c>
      <c r="X128" s="65"/>
      <c r="Y128" s="84"/>
      <c r="Z128" s="71">
        <f t="shared" ref="Z128" ca="1" si="1044">SUM(Z80:Z127)</f>
        <v>370</v>
      </c>
      <c r="AA128" s="65"/>
      <c r="AB128" s="84"/>
      <c r="AC128" s="71">
        <f t="shared" ref="AC128" ca="1" si="1045">SUM(AC80:AC127)</f>
        <v>337</v>
      </c>
      <c r="AD128" s="65"/>
      <c r="AE128" s="84"/>
      <c r="AF128" s="71">
        <f t="shared" ref="AF128" ca="1" si="1046">SUM(AF80:AF127)</f>
        <v>347</v>
      </c>
      <c r="AG128" s="65"/>
      <c r="AH128" s="84"/>
      <c r="AI128" s="71">
        <f t="shared" ref="AI128" ca="1" si="1047">SUM(AI80:AI127)</f>
        <v>269</v>
      </c>
      <c r="AJ128" s="65"/>
      <c r="AK128" s="84"/>
      <c r="AL128" s="71">
        <f t="shared" ref="AL128" ca="1" si="1048">SUM(AL80:AL127)</f>
        <v>262</v>
      </c>
      <c r="AM128" s="65"/>
      <c r="AN128" s="84"/>
      <c r="AO128" s="71">
        <f t="shared" ref="AO128" ca="1" si="1049">SUM(AO80:AO127)</f>
        <v>182</v>
      </c>
      <c r="AP128" s="65"/>
      <c r="AQ128" s="84"/>
      <c r="AR128" s="71">
        <f t="shared" ref="AR128" ca="1" si="1050">SUM(AR80:AR127)</f>
        <v>281</v>
      </c>
      <c r="AS128" s="65"/>
      <c r="AT128" s="84"/>
      <c r="AU128" s="71">
        <f t="shared" ref="AU128" ca="1" si="1051">SUM(AU80:AU127)</f>
        <v>248</v>
      </c>
      <c r="AV128" s="65"/>
      <c r="AW128" s="84"/>
      <c r="AX128" s="71">
        <f t="shared" ref="AX128" ca="1" si="1052">SUM(AX80:AX127)</f>
        <v>221</v>
      </c>
      <c r="AY128" s="65"/>
      <c r="AZ128" s="84"/>
      <c r="BA128" s="71">
        <f t="shared" ref="BA128" ca="1" si="1053">SUM(BA80:BA127)</f>
        <v>327</v>
      </c>
      <c r="BB128" s="65"/>
      <c r="BC128" s="84"/>
      <c r="BD128" s="71">
        <f t="shared" ref="BD128" ca="1" si="1054">SUM(BD80:BD127)</f>
        <v>251</v>
      </c>
      <c r="BE128" s="65"/>
      <c r="BF128" s="84"/>
      <c r="BG128" s="71">
        <f t="shared" ref="BG128" ca="1" si="1055">SUM(BG80:BG127)</f>
        <v>243</v>
      </c>
      <c r="BH128" s="65"/>
      <c r="BI128" s="84"/>
      <c r="BJ128" s="71">
        <f t="shared" ref="BJ128" ca="1" si="1056">SUM(BJ80:BJ127)</f>
        <v>250</v>
      </c>
      <c r="BK128" s="65"/>
      <c r="BL128" s="84"/>
      <c r="BM128" s="71">
        <f t="shared" ref="BM128" ca="1" si="1057">SUM(BM80:BM127)</f>
        <v>347</v>
      </c>
      <c r="BN128" s="65"/>
      <c r="BO128" s="84"/>
      <c r="BP128" s="71">
        <f t="shared" ref="BP128" ca="1" si="1058">SUM(BP80:BP127)</f>
        <v>336</v>
      </c>
      <c r="BQ128" s="65"/>
      <c r="BR128" s="84"/>
      <c r="BS128" s="71">
        <f t="shared" ref="BS128" ca="1" si="1059">SUM(BS80:BS127)</f>
        <v>264</v>
      </c>
      <c r="BT128" s="65"/>
      <c r="BU128" s="84"/>
      <c r="BV128" s="71">
        <f t="shared" ref="BV128" ca="1" si="1060">SUM(BV80:BV127)</f>
        <v>317</v>
      </c>
      <c r="BW128" s="65"/>
      <c r="BX128" s="84"/>
      <c r="BY128" s="71">
        <f t="shared" ref="BY128" ca="1" si="1061">SUM(BY80:BY127)</f>
        <v>280</v>
      </c>
      <c r="BZ128" s="65"/>
      <c r="CA128" s="84"/>
      <c r="CB128" s="71">
        <f t="shared" ref="CB128" ca="1" si="1062">SUM(CB80:CB127)</f>
        <v>322</v>
      </c>
      <c r="CC128" s="65"/>
      <c r="CD128" s="84"/>
      <c r="CE128" s="71">
        <f t="shared" ref="CE128" ca="1" si="1063">SUM(CE80:CE127)</f>
        <v>261</v>
      </c>
      <c r="CF128" s="65"/>
      <c r="CG128" s="84"/>
      <c r="CH128" s="71">
        <f t="shared" ref="CH128" ca="1" si="1064">SUM(CH80:CH127)</f>
        <v>311</v>
      </c>
      <c r="CI128" s="65"/>
      <c r="CJ128" s="84"/>
      <c r="CK128" s="71">
        <f t="shared" ref="CK128" ca="1" si="1065">SUM(CK80:CK127)</f>
        <v>274</v>
      </c>
      <c r="CL128" s="65"/>
      <c r="CM128" s="84"/>
      <c r="CN128" s="71">
        <f t="shared" ref="CN128" ca="1" si="1066">SUM(CN80:CN127)</f>
        <v>322</v>
      </c>
      <c r="CO128" s="65"/>
      <c r="CP128" s="84"/>
      <c r="CQ128" s="71">
        <f t="shared" ref="CQ128" ca="1" si="1067">SUM(CQ80:CQ127)</f>
        <v>331</v>
      </c>
      <c r="CR128" s="65"/>
      <c r="CS128" s="84"/>
      <c r="CT128" s="71">
        <f t="shared" ref="CT128" ca="1" si="1068">SUM(CT80:CT127)</f>
        <v>233</v>
      </c>
      <c r="CU128" s="65"/>
      <c r="CV128" s="84"/>
      <c r="CW128" s="71">
        <f t="shared" ref="CW128" ca="1" si="1069">SUM(CW80:CW127)</f>
        <v>202</v>
      </c>
      <c r="CX128" s="65"/>
      <c r="CY128" s="84"/>
      <c r="CZ128" s="71">
        <f t="shared" ref="CZ128" ca="1" si="1070">SUM(CZ80:CZ127)</f>
        <v>154</v>
      </c>
      <c r="DA128" s="65"/>
      <c r="DB128" s="84"/>
      <c r="DC128" s="71">
        <f t="shared" ref="DC128" ca="1" si="1071">SUM(DC80:DC127)</f>
        <v>321</v>
      </c>
      <c r="DD128" s="65"/>
      <c r="DE128" s="84"/>
      <c r="DF128" s="71">
        <f t="shared" ref="DF128" ca="1" si="1072">SUM(DF80:DF127)</f>
        <v>354</v>
      </c>
      <c r="DG128" s="65"/>
      <c r="DH128" s="84"/>
      <c r="DI128" s="71">
        <f t="shared" ref="DI128" ca="1" si="1073">SUM(DI80:DI127)</f>
        <v>254</v>
      </c>
      <c r="DJ128" s="65"/>
      <c r="DK128" s="84"/>
      <c r="DL128" s="71">
        <f t="shared" ref="DL128" ca="1" si="1074">SUM(DL80:DL127)</f>
        <v>327</v>
      </c>
      <c r="DM128" s="65"/>
      <c r="DN128" s="84"/>
      <c r="DO128" s="71">
        <f t="shared" ref="DO128" ca="1" si="1075">SUM(DO80:DO127)</f>
        <v>284</v>
      </c>
      <c r="DP128" s="65"/>
      <c r="DQ128" s="84"/>
      <c r="DR128" s="71">
        <f t="shared" ref="DR128" ca="1" si="1076">SUM(DR80:DR127)</f>
        <v>284</v>
      </c>
      <c r="DS128" s="65"/>
      <c r="DT128" s="84"/>
      <c r="DU128" s="71">
        <f t="shared" ref="DU128" ca="1" si="1077">SUM(DU80:DU127)</f>
        <v>345</v>
      </c>
      <c r="DV128" s="65"/>
      <c r="DW128" s="84"/>
      <c r="DX128" s="71">
        <f t="shared" ref="DX128" ca="1" si="1078">SUM(DX80:DX127)</f>
        <v>274</v>
      </c>
      <c r="DY128" s="65"/>
      <c r="DZ128" s="84"/>
      <c r="EA128" s="71">
        <f t="shared" ref="EA128" ca="1" si="1079">SUM(EA80:EA127)</f>
        <v>342</v>
      </c>
      <c r="EB128" s="65"/>
      <c r="EC128" s="84"/>
      <c r="ED128" s="71">
        <f t="shared" ref="ED128" ca="1" si="1080">SUM(ED80:ED127)</f>
        <v>377</v>
      </c>
      <c r="EE128" s="65"/>
      <c r="EF128" s="84"/>
      <c r="EG128" s="71">
        <f t="shared" ref="EG128" ca="1" si="1081">SUM(EG80:EG127)</f>
        <v>268</v>
      </c>
      <c r="EH128" s="65"/>
      <c r="EI128" s="84"/>
      <c r="EJ128" s="71">
        <f t="shared" ref="EJ128" ca="1" si="1082">SUM(EJ80:EJ127)</f>
        <v>347</v>
      </c>
      <c r="EK128" s="65"/>
      <c r="EL128" s="84"/>
      <c r="EM128" s="71">
        <f t="shared" ref="EM128" ca="1" si="1083">SUM(EM80:EM127)</f>
        <v>332</v>
      </c>
      <c r="EN128" s="65"/>
      <c r="EO128" s="84"/>
      <c r="EP128" s="71">
        <f t="shared" ref="EP128" ca="1" si="1084">SUM(EP80:EP127)</f>
        <v>368</v>
      </c>
      <c r="EQ128" s="65"/>
      <c r="ER128" s="84"/>
      <c r="ES128" s="71">
        <f t="shared" ref="ES128" ca="1" si="1085">SUM(ES80:ES127)</f>
        <v>326</v>
      </c>
      <c r="ET128" s="65"/>
      <c r="EU128" s="84"/>
      <c r="EV128" s="71">
        <f t="shared" ref="EV128" ca="1" si="1086">SUM(EV80:EV127)</f>
        <v>270</v>
      </c>
      <c r="EW128" s="65"/>
      <c r="EX128" s="84"/>
      <c r="EY128" s="71">
        <f t="shared" ref="EY128" ca="1" si="1087">SUM(EY80:EY127)</f>
        <v>357</v>
      </c>
      <c r="EZ128" s="65"/>
      <c r="FA128" s="84"/>
      <c r="FB128" s="71">
        <f t="shared" ref="FB128" ca="1" si="1088">SUM(FB80:FB127)</f>
        <v>302</v>
      </c>
      <c r="FC128" s="65"/>
      <c r="FD128" s="84"/>
      <c r="FE128" s="71">
        <f t="shared" ref="FE128" ca="1" si="1089">SUM(FE80:FE127)</f>
        <v>297</v>
      </c>
      <c r="FF128" s="65"/>
      <c r="FG128" s="84"/>
      <c r="FH128" s="71">
        <f t="shared" ref="FH128" ca="1" si="1090">SUM(FH80:FH127)</f>
        <v>272</v>
      </c>
      <c r="FI128" s="65"/>
      <c r="FJ128" s="84"/>
      <c r="FK128" s="71">
        <f t="shared" ref="FK128" ca="1" si="1091">SUM(FK80:FK127)</f>
        <v>309</v>
      </c>
      <c r="FL128" s="65"/>
      <c r="FM128" s="84"/>
      <c r="FN128" s="71">
        <f t="shared" ref="FN128" ca="1" si="1092">SUM(FN80:FN127)</f>
        <v>327</v>
      </c>
      <c r="FO128" s="65"/>
      <c r="FP128" s="84"/>
      <c r="FQ128" s="71">
        <f t="shared" ref="FQ128" ca="1" si="1093">SUM(FQ80:FQ127)</f>
        <v>332</v>
      </c>
      <c r="FR128" s="65"/>
      <c r="FS128" s="84"/>
      <c r="FT128" s="71">
        <f t="shared" ref="FT128" ca="1" si="1094">SUM(FT80:FT127)</f>
        <v>287</v>
      </c>
      <c r="FU128" s="65"/>
      <c r="FV128" s="84"/>
      <c r="FW128" s="71">
        <f t="shared" ref="FW128" ca="1" si="1095">SUM(FW80:FW127)</f>
        <v>296</v>
      </c>
      <c r="FX128" s="65"/>
      <c r="FY128" s="84"/>
      <c r="FZ128" s="71">
        <f t="shared" ref="FZ128" ca="1" si="1096">SUM(FZ80:FZ127)</f>
        <v>239</v>
      </c>
      <c r="GA128" s="65"/>
      <c r="GB128" s="84"/>
      <c r="GC128" s="71">
        <f t="shared" ref="GC128" ca="1" si="1097">SUM(GC80:GC127)</f>
        <v>359</v>
      </c>
      <c r="GD128" s="65"/>
      <c r="GE128" s="84"/>
      <c r="GF128" s="71">
        <f t="shared" ref="GF128" ca="1" si="1098">SUM(GF80:GF127)</f>
        <v>327</v>
      </c>
      <c r="GG128" s="65"/>
      <c r="GH128" s="84"/>
      <c r="GI128" s="71">
        <f t="shared" ref="GI128" ca="1" si="1099">SUM(GI80:GI127)</f>
        <v>274</v>
      </c>
      <c r="GJ128" s="65"/>
      <c r="GK128" s="84"/>
      <c r="GL128" s="71">
        <f t="shared" ref="GL128" ca="1" si="1100">SUM(GL80:GL127)</f>
        <v>279</v>
      </c>
      <c r="GM128" s="65"/>
      <c r="GN128" s="84"/>
      <c r="GO128" s="71">
        <f t="shared" ref="GO128" ca="1" si="1101">SUM(GO80:GO127)</f>
        <v>0</v>
      </c>
      <c r="GP128" s="65"/>
      <c r="GQ128" s="84"/>
      <c r="GR128" s="71">
        <f t="shared" ref="GR128" ca="1" si="1102">SUM(GR80:GR127)</f>
        <v>0</v>
      </c>
      <c r="GS128" s="65"/>
      <c r="GT128" s="84"/>
      <c r="GU128" s="71">
        <f t="shared" ref="GU128" ca="1" si="1103">SUM(GU80:GU127)</f>
        <v>0</v>
      </c>
      <c r="GV128" s="65"/>
      <c r="GW128" s="84"/>
      <c r="GX128" s="71">
        <f t="shared" ref="GX128" ca="1" si="1104">SUM(GX80:GX127)</f>
        <v>0</v>
      </c>
      <c r="GY128" s="65"/>
      <c r="GZ128" s="84"/>
      <c r="HA128" s="71">
        <f t="shared" ref="HA128" ca="1" si="1105">SUM(HA80:HA127)</f>
        <v>0</v>
      </c>
      <c r="HB128" s="65"/>
      <c r="HC128" s="84"/>
      <c r="HD128" s="71">
        <f t="shared" ref="HD128" ca="1" si="1106">SUM(HD80:HD127)</f>
        <v>0</v>
      </c>
      <c r="HE128" s="65"/>
      <c r="HF128" s="84"/>
      <c r="HG128" s="71">
        <f t="shared" ref="HG128" ca="1" si="1107">SUM(HG80:HG127)</f>
        <v>0</v>
      </c>
      <c r="HH128" s="65"/>
      <c r="HI128" s="84"/>
      <c r="HJ128" s="71">
        <f t="shared" ref="HJ128" ca="1" si="1108">SUM(HJ80:HJ127)</f>
        <v>0</v>
      </c>
      <c r="HK128" s="65"/>
      <c r="HL128" s="84"/>
      <c r="HM128" s="71">
        <f t="shared" ref="HM128" ca="1" si="1109">SUM(HM80:HM127)</f>
        <v>0</v>
      </c>
      <c r="HN128" s="65"/>
      <c r="HO128" s="84"/>
      <c r="HP128" s="71">
        <f t="shared" ref="HP128" ca="1" si="1110">SUM(HP80:HP127)</f>
        <v>0</v>
      </c>
      <c r="HQ128" s="65"/>
      <c r="HR128" s="84"/>
      <c r="HS128" s="71">
        <f t="shared" ref="HS128" ca="1" si="1111">SUM(HS80:HS127)</f>
        <v>0</v>
      </c>
      <c r="HT128" s="65"/>
      <c r="HU128" s="84"/>
      <c r="HV128" s="71">
        <f t="shared" ref="HV128" ca="1" si="1112">SUM(HV80:HV127)</f>
        <v>0</v>
      </c>
      <c r="HW128" s="65"/>
      <c r="HX128" s="84"/>
      <c r="HY128" s="71">
        <f t="shared" ref="HY128" ca="1" si="1113">SUM(HY80:HY127)</f>
        <v>0</v>
      </c>
      <c r="HZ128" s="65"/>
      <c r="IA128" s="84"/>
      <c r="IB128" s="71">
        <f t="shared" ref="IB128" ca="1" si="1114">SUM(IB80:IB127)</f>
        <v>0</v>
      </c>
      <c r="IC128" s="65"/>
      <c r="ID128" s="84"/>
      <c r="IE128" s="71">
        <f t="shared" ref="IE128" ca="1" si="1115">SUM(IE80:IE127)</f>
        <v>0</v>
      </c>
      <c r="IF128" s="65"/>
      <c r="IG128" s="84"/>
      <c r="IH128" s="71">
        <f t="shared" ref="IH128" ca="1" si="1116">SUM(IH80:IH127)</f>
        <v>0</v>
      </c>
      <c r="II128" s="65"/>
      <c r="IJ128" s="84"/>
      <c r="IK128" s="71">
        <f t="shared" ref="IK128" ca="1" si="1117">SUM(IK80:IK127)</f>
        <v>0</v>
      </c>
      <c r="IL128" s="65"/>
      <c r="IM128" s="84"/>
      <c r="IN128" s="71">
        <f t="shared" ref="IN128" ca="1" si="1118">SUM(IN80:IN127)</f>
        <v>0</v>
      </c>
      <c r="IO128" s="65"/>
      <c r="IP128" s="84"/>
      <c r="IQ128" s="71">
        <f t="shared" ref="IQ128" ca="1" si="1119">SUM(IQ80:IQ127)</f>
        <v>0</v>
      </c>
      <c r="IR128" s="65"/>
      <c r="IS128" s="84"/>
      <c r="IT128" s="71">
        <f t="shared" ref="IT128" ca="1" si="1120">SUM(IT80:IT127)</f>
        <v>0</v>
      </c>
      <c r="IU128" s="65"/>
      <c r="IV128" s="84"/>
      <c r="IW128" s="71">
        <f t="shared" ref="IW128" ca="1" si="1121">SUM(IW80:IW127)</f>
        <v>0</v>
      </c>
      <c r="IX128" s="65"/>
      <c r="IY128" s="84"/>
      <c r="IZ128" s="71">
        <f t="shared" ref="IZ128" ca="1" si="1122">SUM(IZ80:IZ127)</f>
        <v>0</v>
      </c>
      <c r="JA128" s="65"/>
      <c r="JB128" s="84"/>
      <c r="JC128" s="71">
        <f t="shared" ref="JC128" ca="1" si="1123">SUM(JC80:JC127)</f>
        <v>0</v>
      </c>
      <c r="JD128" s="65"/>
      <c r="JE128" s="84"/>
      <c r="JF128" s="71">
        <f t="shared" ref="JF128" ca="1" si="1124">SUM(JF80:JF127)</f>
        <v>0</v>
      </c>
      <c r="JG128" s="65"/>
      <c r="JH128" s="84"/>
      <c r="JI128" s="71">
        <f t="shared" ref="JI128" ca="1" si="1125">SUM(JI80:JI127)</f>
        <v>0</v>
      </c>
      <c r="JJ128" s="65"/>
      <c r="JK128" s="84"/>
      <c r="JL128" s="71">
        <f t="shared" ref="JL128" ca="1" si="1126">SUM(JL80:JL127)</f>
        <v>0</v>
      </c>
      <c r="JM128" s="65"/>
      <c r="JN128" s="84"/>
      <c r="JO128" s="71">
        <f t="shared" ref="JO128" ca="1" si="1127">SUM(JO80:JO127)</f>
        <v>0</v>
      </c>
      <c r="JP128" s="65"/>
      <c r="JQ128" s="84"/>
      <c r="JR128" s="71">
        <f t="shared" ref="JR128" ca="1" si="1128">SUM(JR80:JR127)</f>
        <v>0</v>
      </c>
      <c r="JS128" s="65"/>
      <c r="JT128" s="84"/>
      <c r="JU128" s="71">
        <f t="shared" ref="JU128" ca="1" si="1129">SUM(JU80:JU127)</f>
        <v>0</v>
      </c>
      <c r="JV128" s="65"/>
      <c r="JW128" s="84"/>
      <c r="JX128" s="71">
        <f t="shared" ref="JX128" ca="1" si="1130">SUM(JX80:JX127)</f>
        <v>0</v>
      </c>
      <c r="JY128" s="65"/>
      <c r="JZ128" s="84"/>
      <c r="KA128" s="71">
        <f t="shared" ref="KA128" ca="1" si="1131">SUM(KA80:KA127)</f>
        <v>0</v>
      </c>
      <c r="KB128" s="65"/>
      <c r="KC128" s="84"/>
      <c r="KD128" s="71">
        <f t="shared" ref="KD128" ca="1" si="1132">SUM(KD80:KD127)</f>
        <v>0</v>
      </c>
      <c r="KE128" s="65"/>
      <c r="KF128" s="84"/>
      <c r="KG128" s="71">
        <f t="shared" ref="KG128" ca="1" si="1133">SUM(KG80:KG127)</f>
        <v>0</v>
      </c>
      <c r="KH128" s="65"/>
      <c r="KI128" s="84"/>
      <c r="KJ128" s="71">
        <f t="shared" ref="KJ128" ca="1" si="1134">SUM(KJ80:KJ127)</f>
        <v>0</v>
      </c>
      <c r="KK128" s="65"/>
      <c r="KL128" s="84"/>
      <c r="KM128" s="71">
        <f t="shared" ref="KM128" ca="1" si="1135">SUM(KM80:KM127)</f>
        <v>0</v>
      </c>
      <c r="KN128" s="65"/>
      <c r="KO128" s="84"/>
      <c r="KP128" s="71">
        <f t="shared" ref="KP128" ca="1" si="1136">SUM(KP80:KP127)</f>
        <v>0</v>
      </c>
      <c r="KQ128" s="65"/>
      <c r="KR128" s="84"/>
      <c r="KS128" s="71">
        <f t="shared" ref="KS128" ca="1" si="1137">SUM(KS80:KS127)</f>
        <v>0</v>
      </c>
      <c r="KT128" s="65"/>
      <c r="KU128" s="84"/>
      <c r="KV128" s="71">
        <f t="shared" ref="KV128" ca="1" si="1138">SUM(KV80:KV127)</f>
        <v>0</v>
      </c>
      <c r="KW128" s="65"/>
      <c r="KX128" s="84"/>
      <c r="KY128" s="71">
        <f t="shared" ref="KY128" ca="1" si="1139">SUM(KY80:KY127)</f>
        <v>0</v>
      </c>
      <c r="KZ128" s="65"/>
      <c r="LA128" s="84"/>
      <c r="LB128" s="71">
        <f t="shared" ref="LB128" ca="1" si="1140">SUM(LB80:LB127)</f>
        <v>0</v>
      </c>
      <c r="LC128" s="65"/>
      <c r="LD128" s="84"/>
      <c r="LE128" s="71">
        <f t="shared" ref="LE128" ca="1" si="1141">SUM(LE80:LE127)</f>
        <v>0</v>
      </c>
      <c r="LF128" s="65"/>
      <c r="LG128" s="65"/>
    </row>
    <row r="129" spans="1:319">
      <c r="A129" s="49"/>
      <c r="B129" s="49"/>
      <c r="C129" s="49"/>
      <c r="D129" s="49"/>
      <c r="E129" s="65"/>
      <c r="F129" s="127"/>
      <c r="G129" s="445"/>
      <c r="H129" s="65"/>
      <c r="I129" s="50"/>
      <c r="J129" s="94"/>
      <c r="K129" s="113" t="str">
        <f>Idiomas!D137</f>
        <v>QUALIFIED FOR ROUND OF 32</v>
      </c>
      <c r="L129" s="50"/>
      <c r="M129" s="71"/>
      <c r="N129" s="25"/>
      <c r="O129" s="25"/>
      <c r="P129" s="25"/>
      <c r="Q129" s="25"/>
      <c r="R129" s="49"/>
      <c r="S129" s="84"/>
      <c r="T129" s="71"/>
      <c r="U129" s="65"/>
      <c r="V129" s="84"/>
      <c r="W129" s="71"/>
      <c r="X129" s="65"/>
      <c r="Y129" s="84"/>
      <c r="Z129" s="71"/>
      <c r="AA129" s="65"/>
      <c r="AB129" s="84"/>
      <c r="AC129" s="71"/>
      <c r="AD129" s="65"/>
      <c r="AE129" s="84"/>
      <c r="AF129" s="71"/>
      <c r="AG129" s="65"/>
      <c r="AH129" s="84"/>
      <c r="AI129" s="71"/>
      <c r="AJ129" s="65"/>
      <c r="AK129" s="84"/>
      <c r="AL129" s="71"/>
      <c r="AM129" s="65"/>
      <c r="AN129" s="84"/>
      <c r="AO129" s="71"/>
      <c r="AP129" s="65"/>
      <c r="AQ129" s="84"/>
      <c r="AR129" s="71"/>
      <c r="AS129" s="65"/>
      <c r="AT129" s="84"/>
      <c r="AU129" s="71"/>
      <c r="AV129" s="65"/>
      <c r="AW129" s="84"/>
      <c r="AX129" s="71"/>
      <c r="AY129" s="65"/>
      <c r="AZ129" s="84"/>
      <c r="BA129" s="71"/>
      <c r="BB129" s="65"/>
      <c r="BC129" s="84"/>
      <c r="BD129" s="71"/>
      <c r="BE129" s="65"/>
      <c r="BF129" s="84"/>
      <c r="BG129" s="71"/>
      <c r="BH129" s="65"/>
      <c r="BI129" s="84"/>
      <c r="BJ129" s="71"/>
      <c r="BK129" s="65"/>
      <c r="BL129" s="84"/>
      <c r="BM129" s="71"/>
      <c r="BN129" s="65"/>
      <c r="BO129" s="84"/>
      <c r="BP129" s="71"/>
      <c r="BQ129" s="65"/>
      <c r="BR129" s="84"/>
      <c r="BS129" s="71"/>
      <c r="BT129" s="65"/>
      <c r="BU129" s="84"/>
      <c r="BV129" s="71"/>
      <c r="BW129" s="65"/>
      <c r="BX129" s="84"/>
      <c r="BY129" s="71"/>
      <c r="BZ129" s="65"/>
      <c r="CA129" s="84"/>
      <c r="CB129" s="71"/>
      <c r="CC129" s="65"/>
      <c r="CD129" s="84"/>
      <c r="CE129" s="71"/>
      <c r="CF129" s="65"/>
      <c r="CG129" s="84"/>
      <c r="CH129" s="71"/>
      <c r="CI129" s="65"/>
      <c r="CJ129" s="84"/>
      <c r="CK129" s="71"/>
      <c r="CL129" s="65"/>
      <c r="CM129" s="84"/>
      <c r="CN129" s="71"/>
      <c r="CO129" s="65"/>
      <c r="CP129" s="84"/>
      <c r="CQ129" s="71"/>
      <c r="CR129" s="65"/>
      <c r="CS129" s="84"/>
      <c r="CT129" s="71"/>
      <c r="CU129" s="65"/>
      <c r="CV129" s="84"/>
      <c r="CW129" s="71"/>
      <c r="CX129" s="65"/>
      <c r="CY129" s="84"/>
      <c r="CZ129" s="71"/>
      <c r="DA129" s="65"/>
      <c r="DB129" s="84"/>
      <c r="DC129" s="71"/>
      <c r="DD129" s="65"/>
      <c r="DE129" s="84"/>
      <c r="DF129" s="71"/>
      <c r="DG129" s="65"/>
      <c r="DH129" s="84"/>
      <c r="DI129" s="71"/>
      <c r="DJ129" s="65"/>
      <c r="DK129" s="84"/>
      <c r="DL129" s="71"/>
      <c r="DM129" s="65"/>
      <c r="DN129" s="84"/>
      <c r="DO129" s="71"/>
      <c r="DP129" s="65"/>
      <c r="DQ129" s="84"/>
      <c r="DR129" s="71"/>
      <c r="DS129" s="65"/>
      <c r="DT129" s="84"/>
      <c r="DU129" s="71"/>
      <c r="DV129" s="65"/>
      <c r="DW129" s="84"/>
      <c r="DX129" s="71"/>
      <c r="DY129" s="65"/>
      <c r="DZ129" s="84"/>
      <c r="EA129" s="71"/>
      <c r="EB129" s="65"/>
      <c r="EC129" s="84"/>
      <c r="ED129" s="71"/>
      <c r="EE129" s="65"/>
      <c r="EF129" s="84"/>
      <c r="EG129" s="71"/>
      <c r="EH129" s="65"/>
      <c r="EI129" s="84"/>
      <c r="EJ129" s="71"/>
      <c r="EK129" s="65"/>
      <c r="EL129" s="84"/>
      <c r="EM129" s="71"/>
      <c r="EN129" s="65"/>
      <c r="EO129" s="84"/>
      <c r="EP129" s="71"/>
      <c r="EQ129" s="65"/>
      <c r="ER129" s="84"/>
      <c r="ES129" s="71"/>
      <c r="ET129" s="65"/>
      <c r="EU129" s="84"/>
      <c r="EV129" s="71"/>
      <c r="EW129" s="65"/>
      <c r="EX129" s="84"/>
      <c r="EY129" s="71"/>
      <c r="EZ129" s="65"/>
      <c r="FA129" s="84"/>
      <c r="FB129" s="71"/>
      <c r="FC129" s="65"/>
      <c r="FD129" s="84"/>
      <c r="FE129" s="71"/>
      <c r="FF129" s="65"/>
      <c r="FG129" s="84"/>
      <c r="FH129" s="71"/>
      <c r="FI129" s="65"/>
      <c r="FJ129" s="84"/>
      <c r="FK129" s="71"/>
      <c r="FL129" s="65"/>
      <c r="FM129" s="84"/>
      <c r="FN129" s="71"/>
      <c r="FO129" s="65"/>
      <c r="FP129" s="84"/>
      <c r="FQ129" s="71"/>
      <c r="FR129" s="65"/>
      <c r="FS129" s="84"/>
      <c r="FT129" s="71"/>
      <c r="FU129" s="65"/>
      <c r="FV129" s="84"/>
      <c r="FW129" s="71"/>
      <c r="FX129" s="65"/>
      <c r="FY129" s="84"/>
      <c r="FZ129" s="71"/>
      <c r="GA129" s="65"/>
      <c r="GB129" s="84"/>
      <c r="GC129" s="71"/>
      <c r="GD129" s="65"/>
      <c r="GE129" s="84"/>
      <c r="GF129" s="71"/>
      <c r="GG129" s="65"/>
      <c r="GH129" s="84"/>
      <c r="GI129" s="71"/>
      <c r="GJ129" s="65"/>
      <c r="GK129" s="84"/>
      <c r="GL129" s="71"/>
      <c r="GM129" s="65"/>
      <c r="GN129" s="84"/>
      <c r="GO129" s="71"/>
      <c r="GP129" s="65"/>
      <c r="GQ129" s="84"/>
      <c r="GR129" s="71"/>
      <c r="GS129" s="65"/>
      <c r="GT129" s="84"/>
      <c r="GU129" s="71"/>
      <c r="GV129" s="65"/>
      <c r="GW129" s="84"/>
      <c r="GX129" s="71"/>
      <c r="GY129" s="65"/>
      <c r="GZ129" s="84"/>
      <c r="HA129" s="71"/>
      <c r="HB129" s="65"/>
      <c r="HC129" s="84"/>
      <c r="HD129" s="71"/>
      <c r="HE129" s="65"/>
      <c r="HF129" s="84"/>
      <c r="HG129" s="71"/>
      <c r="HH129" s="65"/>
      <c r="HI129" s="84"/>
      <c r="HJ129" s="71"/>
      <c r="HK129" s="65"/>
      <c r="HL129" s="84"/>
      <c r="HM129" s="71"/>
      <c r="HN129" s="65"/>
      <c r="HO129" s="84"/>
      <c r="HP129" s="71"/>
      <c r="HQ129" s="65"/>
      <c r="HR129" s="84"/>
      <c r="HS129" s="71"/>
      <c r="HT129" s="65"/>
      <c r="HU129" s="84"/>
      <c r="HV129" s="71"/>
      <c r="HW129" s="65"/>
      <c r="HX129" s="84"/>
      <c r="HY129" s="71"/>
      <c r="HZ129" s="65"/>
      <c r="IA129" s="84"/>
      <c r="IB129" s="71"/>
      <c r="IC129" s="65"/>
      <c r="ID129" s="84"/>
      <c r="IE129" s="71"/>
      <c r="IF129" s="65"/>
      <c r="IG129" s="84"/>
      <c r="IH129" s="71"/>
      <c r="II129" s="65"/>
      <c r="IJ129" s="84"/>
      <c r="IK129" s="71"/>
      <c r="IL129" s="65"/>
      <c r="IM129" s="84"/>
      <c r="IN129" s="71"/>
      <c r="IO129" s="65"/>
      <c r="IP129" s="84"/>
      <c r="IQ129" s="71"/>
      <c r="IR129" s="65"/>
      <c r="IS129" s="84"/>
      <c r="IT129" s="71"/>
      <c r="IU129" s="65"/>
      <c r="IV129" s="84"/>
      <c r="IW129" s="71"/>
      <c r="IX129" s="65"/>
      <c r="IY129" s="84"/>
      <c r="IZ129" s="71"/>
      <c r="JA129" s="65"/>
      <c r="JB129" s="84"/>
      <c r="JC129" s="71"/>
      <c r="JD129" s="65"/>
      <c r="JE129" s="84"/>
      <c r="JF129" s="71"/>
      <c r="JG129" s="65"/>
      <c r="JH129" s="84"/>
      <c r="JI129" s="71"/>
      <c r="JJ129" s="65"/>
      <c r="JK129" s="84"/>
      <c r="JL129" s="71"/>
      <c r="JM129" s="65"/>
      <c r="JN129" s="84"/>
      <c r="JO129" s="71"/>
      <c r="JP129" s="65"/>
      <c r="JQ129" s="84"/>
      <c r="JR129" s="71"/>
      <c r="JS129" s="65"/>
      <c r="JT129" s="84"/>
      <c r="JU129" s="71"/>
      <c r="JV129" s="65"/>
      <c r="JW129" s="84"/>
      <c r="JX129" s="71"/>
      <c r="JY129" s="65"/>
      <c r="JZ129" s="84"/>
      <c r="KA129" s="71"/>
      <c r="KB129" s="65"/>
      <c r="KC129" s="84"/>
      <c r="KD129" s="71"/>
      <c r="KE129" s="65"/>
      <c r="KF129" s="84"/>
      <c r="KG129" s="71"/>
      <c r="KH129" s="65"/>
      <c r="KI129" s="84"/>
      <c r="KJ129" s="71"/>
      <c r="KK129" s="65"/>
      <c r="KL129" s="84"/>
      <c r="KM129" s="71"/>
      <c r="KN129" s="65"/>
      <c r="KO129" s="84"/>
      <c r="KP129" s="71"/>
      <c r="KQ129" s="65"/>
      <c r="KR129" s="84"/>
      <c r="KS129" s="71"/>
      <c r="KT129" s="65"/>
      <c r="KU129" s="84"/>
      <c r="KV129" s="71"/>
      <c r="KW129" s="65"/>
      <c r="KX129" s="84"/>
      <c r="KY129" s="71"/>
      <c r="KZ129" s="65"/>
      <c r="LA129" s="84"/>
      <c r="LB129" s="71"/>
      <c r="LC129" s="65"/>
      <c r="LD129" s="84"/>
      <c r="LE129" s="71"/>
      <c r="LF129" s="65"/>
      <c r="LG129" s="65"/>
    </row>
    <row r="130" spans="1:319">
      <c r="A130" s="49"/>
      <c r="B130" s="49"/>
      <c r="C130" s="49"/>
      <c r="D130" s="49"/>
      <c r="E130" s="65"/>
      <c r="F130" s="127">
        <f>$D$15</f>
        <v>5</v>
      </c>
      <c r="G130" s="445">
        <f ca="1">VLOOKUP(H130,Equipos!$Q$1:$R$25,2,0)</f>
        <v>19</v>
      </c>
      <c r="H130" s="447" t="str">
        <f>Idiomas!$D$137</f>
        <v>QUALIFIED FOR ROUND OF 32</v>
      </c>
      <c r="I130" s="50"/>
      <c r="J130" s="845" t="s">
        <v>483</v>
      </c>
      <c r="K130" s="53" t="str">
        <f>Idiomas!$D$198&amp;"-"&amp;ROWS($L$130:L130)</f>
        <v>16-Finalist-1</v>
      </c>
      <c r="L130" s="53"/>
      <c r="M130" s="55" t="str">
        <f ca="1">WORLDCUP!AA101</f>
        <v>South Africa</v>
      </c>
      <c r="N130" s="25"/>
      <c r="O130" s="25"/>
      <c r="P130" s="25"/>
      <c r="Q130" s="25"/>
      <c r="R130" s="110"/>
      <c r="S130" s="76" t="s">
        <v>1278</v>
      </c>
      <c r="T130" s="77">
        <f t="shared" ref="T130:T161" ca="1" si="1142">COUNTIF($M$130:$M$161,S130)*$D$15</f>
        <v>0</v>
      </c>
      <c r="U130" s="64"/>
      <c r="V130" s="76" t="s">
        <v>1635</v>
      </c>
      <c r="W130" s="77">
        <f t="shared" ref="W130:W161" ca="1" si="1143">COUNTIF($M$130:$M$161,V130)*$D$15</f>
        <v>5</v>
      </c>
      <c r="X130" s="64"/>
      <c r="Y130" s="76" t="s">
        <v>1844</v>
      </c>
      <c r="Z130" s="77">
        <f t="shared" ref="Z130:Z161" ca="1" si="1144">COUNTIF($M$130:$M$161,Y130)*$D$15</f>
        <v>0</v>
      </c>
      <c r="AA130" s="64"/>
      <c r="AB130" s="76" t="s">
        <v>1288</v>
      </c>
      <c r="AC130" s="77">
        <f t="shared" ref="AC130:AC161" ca="1" si="1145">COUNTIF($M$130:$M$161,AB130)*$D$15</f>
        <v>5</v>
      </c>
      <c r="AD130" s="64"/>
      <c r="AE130" s="76" t="s">
        <v>1278</v>
      </c>
      <c r="AF130" s="77">
        <f t="shared" ref="AF130:AF161" ca="1" si="1146">COUNTIF($M$130:$M$161,AE130)*$D$15</f>
        <v>0</v>
      </c>
      <c r="AG130" s="64"/>
      <c r="AH130" s="76" t="s">
        <v>1278</v>
      </c>
      <c r="AI130" s="77">
        <f t="shared" ref="AI130:AI161" ca="1" si="1147">COUNTIF($M$130:$M$161,AH130)*$D$15</f>
        <v>0</v>
      </c>
      <c r="AJ130" s="64"/>
      <c r="AK130" s="76" t="s">
        <v>1844</v>
      </c>
      <c r="AL130" s="77">
        <f t="shared" ref="AL130:AL161" ca="1" si="1148">COUNTIF($M$130:$M$161,AK130)*$D$15</f>
        <v>0</v>
      </c>
      <c r="AM130" s="64"/>
      <c r="AN130" s="76" t="s">
        <v>1278</v>
      </c>
      <c r="AO130" s="77">
        <f t="shared" ref="AO130:AO161" ca="1" si="1149">COUNTIF($M$130:$M$161,AN130)*$D$15</f>
        <v>0</v>
      </c>
      <c r="AP130" s="64"/>
      <c r="AQ130" s="76" t="s">
        <v>1844</v>
      </c>
      <c r="AR130" s="77">
        <f t="shared" ref="AR130:AR161" ca="1" si="1150">COUNTIF($M$130:$M$161,AQ130)*$D$15</f>
        <v>0</v>
      </c>
      <c r="AS130" s="64"/>
      <c r="AT130" s="76" t="s">
        <v>1288</v>
      </c>
      <c r="AU130" s="77">
        <f t="shared" ref="AU130:AU161" ca="1" si="1151">COUNTIF($M$130:$M$161,AT130)*$D$15</f>
        <v>5</v>
      </c>
      <c r="AV130" s="64"/>
      <c r="AW130" s="76" t="s">
        <v>1844</v>
      </c>
      <c r="AX130" s="77">
        <f t="shared" ref="AX130:AX161" ca="1" si="1152">COUNTIF($M$130:$M$161,AW130)*$D$15</f>
        <v>0</v>
      </c>
      <c r="AY130" s="64"/>
      <c r="AZ130" s="76" t="s">
        <v>1844</v>
      </c>
      <c r="BA130" s="77">
        <f t="shared" ref="BA130:BA161" ca="1" si="1153">COUNTIF($M$130:$M$161,AZ130)*$D$15</f>
        <v>0</v>
      </c>
      <c r="BB130" s="64"/>
      <c r="BC130" s="76" t="s">
        <v>1844</v>
      </c>
      <c r="BD130" s="77">
        <f t="shared" ref="BD130:BD161" ca="1" si="1154">COUNTIF($M$130:$M$161,BC130)*$D$15</f>
        <v>0</v>
      </c>
      <c r="BE130" s="64"/>
      <c r="BF130" s="76" t="s">
        <v>1288</v>
      </c>
      <c r="BG130" s="77">
        <f t="shared" ref="BG130:BG161" ca="1" si="1155">COUNTIF($M$130:$M$161,BF130)*$D$15</f>
        <v>5</v>
      </c>
      <c r="BH130" s="64"/>
      <c r="BI130" s="76" t="s">
        <v>1288</v>
      </c>
      <c r="BJ130" s="77">
        <f t="shared" ref="BJ130:BJ161" ca="1" si="1156">COUNTIF($M$130:$M$161,BI130)*$D$15</f>
        <v>5</v>
      </c>
      <c r="BK130" s="64"/>
      <c r="BL130" s="76" t="s">
        <v>1278</v>
      </c>
      <c r="BM130" s="77">
        <f t="shared" ref="BM130:BM161" ca="1" si="1157">COUNTIF($M$130:$M$161,BL130)*$D$15</f>
        <v>0</v>
      </c>
      <c r="BN130" s="64"/>
      <c r="BO130" s="76" t="s">
        <v>1844</v>
      </c>
      <c r="BP130" s="77">
        <f t="shared" ref="BP130:BP161" ca="1" si="1158">COUNTIF($M$130:$M$161,BO130)*$D$15</f>
        <v>0</v>
      </c>
      <c r="BQ130" s="64"/>
      <c r="BR130" s="76" t="s">
        <v>1288</v>
      </c>
      <c r="BS130" s="77">
        <f t="shared" ref="BS130:BS161" ca="1" si="1159">COUNTIF($M$130:$M$161,BR130)*$D$15</f>
        <v>5</v>
      </c>
      <c r="BT130" s="64"/>
      <c r="BU130" s="76" t="s">
        <v>1844</v>
      </c>
      <c r="BV130" s="77">
        <f t="shared" ref="BV130:BV161" ca="1" si="1160">COUNTIF($M$130:$M$161,BU130)*$D$15</f>
        <v>0</v>
      </c>
      <c r="BW130" s="64"/>
      <c r="BX130" s="76" t="s">
        <v>1844</v>
      </c>
      <c r="BY130" s="77">
        <f t="shared" ref="BY130:BY161" ca="1" si="1161">COUNTIF($M$130:$M$161,BX130)*$D$15</f>
        <v>0</v>
      </c>
      <c r="BZ130" s="64"/>
      <c r="CA130" s="76" t="s">
        <v>1635</v>
      </c>
      <c r="CB130" s="77">
        <f t="shared" ref="CB130:CB161" ca="1" si="1162">COUNTIF($M$130:$M$161,CA130)*$D$15</f>
        <v>5</v>
      </c>
      <c r="CC130" s="64"/>
      <c r="CD130" s="76" t="s">
        <v>1288</v>
      </c>
      <c r="CE130" s="77">
        <f t="shared" ref="CE130:CE161" ca="1" si="1163">COUNTIF($M$130:$M$161,CD130)*$D$15</f>
        <v>5</v>
      </c>
      <c r="CF130" s="64"/>
      <c r="CG130" s="76" t="s">
        <v>1278</v>
      </c>
      <c r="CH130" s="77">
        <f t="shared" ref="CH130:CH161" ca="1" si="1164">COUNTIF($M$130:$M$161,CG130)*$D$15</f>
        <v>0</v>
      </c>
      <c r="CI130" s="64"/>
      <c r="CJ130" s="76" t="s">
        <v>1844</v>
      </c>
      <c r="CK130" s="77">
        <f t="shared" ref="CK130:CK161" ca="1" si="1165">COUNTIF($M$130:$M$161,CJ130)*$D$15</f>
        <v>0</v>
      </c>
      <c r="CL130" s="64"/>
      <c r="CM130" s="76" t="s">
        <v>1288</v>
      </c>
      <c r="CN130" s="77">
        <f t="shared" ref="CN130:CN161" ca="1" si="1166">COUNTIF($M$130:$M$161,CM130)*$D$15</f>
        <v>5</v>
      </c>
      <c r="CO130" s="64"/>
      <c r="CP130" s="76" t="s">
        <v>1278</v>
      </c>
      <c r="CQ130" s="77">
        <f t="shared" ref="CQ130:CQ161" ca="1" si="1167">COUNTIF($M$130:$M$161,CP130)*$D$15</f>
        <v>0</v>
      </c>
      <c r="CR130" s="64"/>
      <c r="CS130" s="76" t="s">
        <v>1844</v>
      </c>
      <c r="CT130" s="77">
        <f t="shared" ref="CT130:CT161" ca="1" si="1168">COUNTIF($M$130:$M$161,CS130)*$D$15</f>
        <v>0</v>
      </c>
      <c r="CU130" s="64"/>
      <c r="CV130" s="76" t="s">
        <v>1844</v>
      </c>
      <c r="CW130" s="77">
        <f t="shared" ref="CW130:CW161" ca="1" si="1169">COUNTIF($M$130:$M$161,CV130)*$D$15</f>
        <v>0</v>
      </c>
      <c r="CX130" s="64"/>
      <c r="CY130" s="76" t="s">
        <v>1288</v>
      </c>
      <c r="CZ130" s="77">
        <f t="shared" ref="CZ130:CZ161" ca="1" si="1170">COUNTIF($M$130:$M$161,CY130)*$D$15</f>
        <v>5</v>
      </c>
      <c r="DA130" s="64"/>
      <c r="DB130" s="76" t="s">
        <v>1844</v>
      </c>
      <c r="DC130" s="77">
        <f t="shared" ref="DC130:DC161" ca="1" si="1171">COUNTIF($M$130:$M$161,DB130)*$D$15</f>
        <v>0</v>
      </c>
      <c r="DD130" s="64"/>
      <c r="DE130" s="76" t="s">
        <v>1844</v>
      </c>
      <c r="DF130" s="77">
        <f t="shared" ref="DF130:DF161" ca="1" si="1172">COUNTIF($M$130:$M$161,DE130)*$D$15</f>
        <v>0</v>
      </c>
      <c r="DG130" s="64"/>
      <c r="DH130" s="76" t="s">
        <v>1844</v>
      </c>
      <c r="DI130" s="77">
        <f t="shared" ref="DI130:DI161" ca="1" si="1173">COUNTIF($M$130:$M$161,DH130)*$D$15</f>
        <v>0</v>
      </c>
      <c r="DJ130" s="64"/>
      <c r="DK130" s="76" t="s">
        <v>1844</v>
      </c>
      <c r="DL130" s="77">
        <f t="shared" ref="DL130:DL161" ca="1" si="1174">COUNTIF($M$130:$M$161,DK130)*$D$15</f>
        <v>0</v>
      </c>
      <c r="DM130" s="64"/>
      <c r="DN130" s="76" t="s">
        <v>1844</v>
      </c>
      <c r="DO130" s="77">
        <f t="shared" ref="DO130:DO161" ca="1" si="1175">COUNTIF($M$130:$M$161,DN130)*$D$15</f>
        <v>0</v>
      </c>
      <c r="DP130" s="64"/>
      <c r="DQ130" s="76" t="s">
        <v>1278</v>
      </c>
      <c r="DR130" s="77">
        <f t="shared" ref="DR130:DR161" ca="1" si="1176">COUNTIF($M$130:$M$161,DQ130)*$D$15</f>
        <v>0</v>
      </c>
      <c r="DS130" s="64"/>
      <c r="DT130" s="76" t="s">
        <v>1844</v>
      </c>
      <c r="DU130" s="77">
        <f t="shared" ref="DU130:DU161" ca="1" si="1177">COUNTIF($M$130:$M$161,DT130)*$D$15</f>
        <v>0</v>
      </c>
      <c r="DV130" s="64"/>
      <c r="DW130" s="76" t="s">
        <v>1844</v>
      </c>
      <c r="DX130" s="77">
        <f t="shared" ref="DX130:DX161" ca="1" si="1178">COUNTIF($M$130:$M$161,DW130)*$D$15</f>
        <v>0</v>
      </c>
      <c r="DY130" s="64"/>
      <c r="DZ130" s="76" t="s">
        <v>1844</v>
      </c>
      <c r="EA130" s="77">
        <f t="shared" ref="EA130:EA161" ca="1" si="1179">COUNTIF($M$130:$M$161,DZ130)*$D$15</f>
        <v>0</v>
      </c>
      <c r="EB130" s="64"/>
      <c r="EC130" s="76" t="s">
        <v>1844</v>
      </c>
      <c r="ED130" s="77">
        <f t="shared" ref="ED130:ED161" ca="1" si="1180">COUNTIF($M$130:$M$161,EC130)*$D$15</f>
        <v>0</v>
      </c>
      <c r="EE130" s="64"/>
      <c r="EF130" s="76" t="s">
        <v>1635</v>
      </c>
      <c r="EG130" s="77">
        <f t="shared" ref="EG130:EG161" ca="1" si="1181">COUNTIF($M$130:$M$161,EF130)*$D$15</f>
        <v>5</v>
      </c>
      <c r="EH130" s="64"/>
      <c r="EI130" s="76" t="s">
        <v>1844</v>
      </c>
      <c r="EJ130" s="77">
        <f t="shared" ref="EJ130:EJ161" ca="1" si="1182">COUNTIF($M$130:$M$161,EI130)*$D$15</f>
        <v>0</v>
      </c>
      <c r="EK130" s="64"/>
      <c r="EL130" s="76" t="s">
        <v>1844</v>
      </c>
      <c r="EM130" s="77">
        <f t="shared" ref="EM130:EM161" ca="1" si="1183">COUNTIF($M$130:$M$161,EL130)*$D$15</f>
        <v>0</v>
      </c>
      <c r="EN130" s="64"/>
      <c r="EO130" s="76" t="s">
        <v>1278</v>
      </c>
      <c r="EP130" s="77">
        <f t="shared" ref="EP130:EP161" ca="1" si="1184">COUNTIF($M$130:$M$161,EO130)*$D$15</f>
        <v>0</v>
      </c>
      <c r="EQ130" s="64"/>
      <c r="ER130" s="76" t="s">
        <v>1278</v>
      </c>
      <c r="ES130" s="77">
        <f t="shared" ref="ES130:ES161" ca="1" si="1185">COUNTIF($M$130:$M$161,ER130)*$D$15</f>
        <v>0</v>
      </c>
      <c r="ET130" s="64"/>
      <c r="EU130" s="76" t="s">
        <v>1278</v>
      </c>
      <c r="EV130" s="77">
        <f t="shared" ref="EV130:EV161" ca="1" si="1186">COUNTIF($M$130:$M$161,EU130)*$D$15</f>
        <v>0</v>
      </c>
      <c r="EW130" s="64"/>
      <c r="EX130" s="76" t="s">
        <v>1278</v>
      </c>
      <c r="EY130" s="77">
        <f t="shared" ref="EY130:EY161" ca="1" si="1187">COUNTIF($M$130:$M$161,EX130)*$D$15</f>
        <v>0</v>
      </c>
      <c r="EZ130" s="64"/>
      <c r="FA130" s="76" t="s">
        <v>1844</v>
      </c>
      <c r="FB130" s="77">
        <f t="shared" ref="FB130:FB161" ca="1" si="1188">COUNTIF($M$130:$M$161,FA130)*$D$15</f>
        <v>0</v>
      </c>
      <c r="FC130" s="64"/>
      <c r="FD130" s="76" t="s">
        <v>1278</v>
      </c>
      <c r="FE130" s="77">
        <f t="shared" ref="FE130:FE161" ca="1" si="1189">COUNTIF($M$130:$M$161,FD130)*$D$15</f>
        <v>0</v>
      </c>
      <c r="FF130" s="64"/>
      <c r="FG130" s="76" t="s">
        <v>1288</v>
      </c>
      <c r="FH130" s="77">
        <f t="shared" ref="FH130:FH161" ca="1" si="1190">COUNTIF($M$130:$M$161,FG130)*$D$15</f>
        <v>5</v>
      </c>
      <c r="FI130" s="64"/>
      <c r="FJ130" s="76" t="s">
        <v>1844</v>
      </c>
      <c r="FK130" s="77">
        <f t="shared" ref="FK130:FK161" ca="1" si="1191">COUNTIF($M$130:$M$161,FJ130)*$D$15</f>
        <v>0</v>
      </c>
      <c r="FL130" s="64"/>
      <c r="FM130" s="76" t="s">
        <v>1844</v>
      </c>
      <c r="FN130" s="77">
        <f t="shared" ref="FN130:FN161" ca="1" si="1192">COUNTIF($M$130:$M$161,FM130)*$D$15</f>
        <v>0</v>
      </c>
      <c r="FO130" s="64"/>
      <c r="FP130" s="76" t="s">
        <v>1844</v>
      </c>
      <c r="FQ130" s="77">
        <f t="shared" ref="FQ130:FQ161" ca="1" si="1193">COUNTIF($M$130:$M$161,FP130)*$D$15</f>
        <v>0</v>
      </c>
      <c r="FR130" s="64"/>
      <c r="FS130" s="76" t="s">
        <v>1844</v>
      </c>
      <c r="FT130" s="77">
        <f t="shared" ref="FT130:FT161" ca="1" si="1194">COUNTIF($M$130:$M$161,FS130)*$D$15</f>
        <v>0</v>
      </c>
      <c r="FU130" s="64"/>
      <c r="FV130" s="76" t="s">
        <v>1278</v>
      </c>
      <c r="FW130" s="77">
        <f t="shared" ref="FW130:FW161" ca="1" si="1195">COUNTIF($M$130:$M$161,FV130)*$D$15</f>
        <v>0</v>
      </c>
      <c r="FX130" s="64"/>
      <c r="FY130" s="76" t="s">
        <v>1288</v>
      </c>
      <c r="FZ130" s="77">
        <f t="shared" ref="FZ130:FZ161" ca="1" si="1196">COUNTIF($M$130:$M$161,FY130)*$D$15</f>
        <v>5</v>
      </c>
      <c r="GA130" s="64"/>
      <c r="GB130" s="76" t="s">
        <v>1844</v>
      </c>
      <c r="GC130" s="77">
        <f t="shared" ref="GC130:GC161" ca="1" si="1197">COUNTIF($M$130:$M$161,GB130)*$D$15</f>
        <v>0</v>
      </c>
      <c r="GD130" s="64"/>
      <c r="GE130" s="76" t="s">
        <v>1844</v>
      </c>
      <c r="GF130" s="77">
        <f t="shared" ref="GF130:GF161" ca="1" si="1198">COUNTIF($M$130:$M$161,GE130)*$D$15</f>
        <v>0</v>
      </c>
      <c r="GG130" s="64"/>
      <c r="GH130" s="76" t="s">
        <v>1278</v>
      </c>
      <c r="GI130" s="77">
        <f t="shared" ref="GI130:GI161" ca="1" si="1199">COUNTIF($M$130:$M$161,GH130)*$D$15</f>
        <v>0</v>
      </c>
      <c r="GJ130" s="64"/>
      <c r="GK130" s="76" t="s">
        <v>1288</v>
      </c>
      <c r="GL130" s="77">
        <f t="shared" ref="GL130:GL161" ca="1" si="1200">COUNTIF($M$130:$M$161,GK130)*$D$15</f>
        <v>5</v>
      </c>
      <c r="GM130" s="64"/>
      <c r="GN130" s="76"/>
      <c r="GO130" s="77">
        <f t="shared" ref="GO130:GO161" ca="1" si="1201">COUNTIF($M$130:$M$161,GN130)*$D$15</f>
        <v>0</v>
      </c>
      <c r="GP130" s="64"/>
      <c r="GQ130" s="76"/>
      <c r="GR130" s="77">
        <f t="shared" ref="GR130:GR161" ca="1" si="1202">COUNTIF($M$130:$M$161,GQ130)*$D$15</f>
        <v>0</v>
      </c>
      <c r="GS130" s="64"/>
      <c r="GT130" s="76"/>
      <c r="GU130" s="77">
        <f t="shared" ref="GU130:GU161" ca="1" si="1203">COUNTIF($M$130:$M$161,GT130)*$D$15</f>
        <v>0</v>
      </c>
      <c r="GV130" s="64"/>
      <c r="GW130" s="76"/>
      <c r="GX130" s="77">
        <f t="shared" ref="GX130:GX161" ca="1" si="1204">COUNTIF($M$130:$M$161,GW130)*$D$15</f>
        <v>0</v>
      </c>
      <c r="GY130" s="64"/>
      <c r="GZ130" s="76"/>
      <c r="HA130" s="77">
        <f t="shared" ref="HA130:HA161" ca="1" si="1205">COUNTIF($M$130:$M$161,GZ130)*$D$15</f>
        <v>0</v>
      </c>
      <c r="HB130" s="64"/>
      <c r="HC130" s="76"/>
      <c r="HD130" s="77">
        <f t="shared" ref="HD130:HD161" ca="1" si="1206">COUNTIF($M$130:$M$161,HC130)*$D$15</f>
        <v>0</v>
      </c>
      <c r="HE130" s="64"/>
      <c r="HF130" s="76"/>
      <c r="HG130" s="77">
        <f t="shared" ref="HG130:HG161" ca="1" si="1207">COUNTIF($M$130:$M$161,HF130)*$D$15</f>
        <v>0</v>
      </c>
      <c r="HH130" s="64"/>
      <c r="HI130" s="76"/>
      <c r="HJ130" s="77">
        <f t="shared" ref="HJ130:HJ161" ca="1" si="1208">COUNTIF($M$130:$M$161,HI130)*$D$15</f>
        <v>0</v>
      </c>
      <c r="HK130" s="64"/>
      <c r="HL130" s="76"/>
      <c r="HM130" s="77">
        <f t="shared" ref="HM130:HM161" ca="1" si="1209">COUNTIF($M$130:$M$161,HL130)*$D$15</f>
        <v>0</v>
      </c>
      <c r="HN130" s="64"/>
      <c r="HO130" s="76"/>
      <c r="HP130" s="77">
        <f t="shared" ref="HP130:HP161" ca="1" si="1210">COUNTIF($M$130:$M$161,HO130)*$D$15</f>
        <v>0</v>
      </c>
      <c r="HQ130" s="64"/>
      <c r="HR130" s="76"/>
      <c r="HS130" s="77">
        <f t="shared" ref="HS130:HS161" ca="1" si="1211">COUNTIF($M$130:$M$161,HR130)*$D$15</f>
        <v>0</v>
      </c>
      <c r="HT130" s="64"/>
      <c r="HU130" s="76"/>
      <c r="HV130" s="77">
        <f t="shared" ref="HV130:HV161" ca="1" si="1212">COUNTIF($M$130:$M$161,HU130)*$D$15</f>
        <v>0</v>
      </c>
      <c r="HW130" s="64"/>
      <c r="HX130" s="76"/>
      <c r="HY130" s="77">
        <f t="shared" ref="HY130:HY161" ca="1" si="1213">COUNTIF($M$130:$M$161,HX130)*$D$15</f>
        <v>0</v>
      </c>
      <c r="HZ130" s="64"/>
      <c r="IA130" s="76"/>
      <c r="IB130" s="77">
        <f t="shared" ref="IB130:IB161" ca="1" si="1214">COUNTIF($M$130:$M$161,IA130)*$D$15</f>
        <v>0</v>
      </c>
      <c r="IC130" s="64"/>
      <c r="ID130" s="76"/>
      <c r="IE130" s="77">
        <f t="shared" ref="IE130:IE161" ca="1" si="1215">COUNTIF($M$130:$M$161,ID130)*$D$15</f>
        <v>0</v>
      </c>
      <c r="IF130" s="64"/>
      <c r="IG130" s="76"/>
      <c r="IH130" s="77">
        <f t="shared" ref="IH130:IH161" ca="1" si="1216">COUNTIF($M$130:$M$161,IG130)*$D$15</f>
        <v>0</v>
      </c>
      <c r="II130" s="64"/>
      <c r="IJ130" s="76"/>
      <c r="IK130" s="77">
        <f t="shared" ref="IK130:IK161" ca="1" si="1217">COUNTIF($M$130:$M$161,IJ130)*$D$15</f>
        <v>0</v>
      </c>
      <c r="IL130" s="64"/>
      <c r="IM130" s="76"/>
      <c r="IN130" s="77">
        <f t="shared" ref="IN130:IN161" ca="1" si="1218">COUNTIF($M$130:$M$161,IM130)*$D$15</f>
        <v>0</v>
      </c>
      <c r="IO130" s="64"/>
      <c r="IP130" s="76"/>
      <c r="IQ130" s="77">
        <f t="shared" ref="IQ130:IQ161" ca="1" si="1219">COUNTIF($M$130:$M$161,IP130)*$D$15</f>
        <v>0</v>
      </c>
      <c r="IR130" s="64"/>
      <c r="IS130" s="76"/>
      <c r="IT130" s="77">
        <f t="shared" ref="IT130:IT161" ca="1" si="1220">COUNTIF($M$130:$M$161,IS130)*$D$15</f>
        <v>0</v>
      </c>
      <c r="IU130" s="64"/>
      <c r="IV130" s="76"/>
      <c r="IW130" s="77">
        <f t="shared" ref="IW130:IW161" ca="1" si="1221">COUNTIF($M$130:$M$161,IV130)*$D$15</f>
        <v>0</v>
      </c>
      <c r="IX130" s="64"/>
      <c r="IY130" s="76"/>
      <c r="IZ130" s="77">
        <f t="shared" ref="IZ130:IZ161" ca="1" si="1222">COUNTIF($M$130:$M$161,IY130)*$D$15</f>
        <v>0</v>
      </c>
      <c r="JA130" s="64"/>
      <c r="JB130" s="76"/>
      <c r="JC130" s="77">
        <f t="shared" ref="JC130:JC161" ca="1" si="1223">COUNTIF($M$130:$M$161,JB130)*$D$15</f>
        <v>0</v>
      </c>
      <c r="JD130" s="64"/>
      <c r="JE130" s="76"/>
      <c r="JF130" s="77">
        <f t="shared" ref="JF130:JF161" ca="1" si="1224">COUNTIF($M$130:$M$161,JE130)*$D$15</f>
        <v>0</v>
      </c>
      <c r="JG130" s="64"/>
      <c r="JH130" s="76"/>
      <c r="JI130" s="77">
        <f t="shared" ref="JI130:JI161" ca="1" si="1225">COUNTIF($M$130:$M$161,JH130)*$D$15</f>
        <v>0</v>
      </c>
      <c r="JJ130" s="64"/>
      <c r="JK130" s="76"/>
      <c r="JL130" s="77">
        <f t="shared" ref="JL130:JL161" ca="1" si="1226">COUNTIF($M$130:$M$161,JK130)*$D$15</f>
        <v>0</v>
      </c>
      <c r="JM130" s="64"/>
      <c r="JN130" s="76"/>
      <c r="JO130" s="77">
        <f t="shared" ref="JO130:JO161" ca="1" si="1227">COUNTIF($M$130:$M$161,JN130)*$D$15</f>
        <v>0</v>
      </c>
      <c r="JP130" s="64"/>
      <c r="JQ130" s="76"/>
      <c r="JR130" s="77">
        <f t="shared" ref="JR130:JR161" ca="1" si="1228">COUNTIF($M$130:$M$161,JQ130)*$D$15</f>
        <v>0</v>
      </c>
      <c r="JS130" s="64"/>
      <c r="JT130" s="76"/>
      <c r="JU130" s="77">
        <f t="shared" ref="JU130:JU161" ca="1" si="1229">COUNTIF($M$130:$M$161,JT130)*$D$15</f>
        <v>0</v>
      </c>
      <c r="JV130" s="64"/>
      <c r="JW130" s="76"/>
      <c r="JX130" s="77">
        <f t="shared" ref="JX130:JX161" ca="1" si="1230">COUNTIF($M$130:$M$161,JW130)*$D$15</f>
        <v>0</v>
      </c>
      <c r="JY130" s="64"/>
      <c r="JZ130" s="76"/>
      <c r="KA130" s="77">
        <f t="shared" ref="KA130:KA161" ca="1" si="1231">COUNTIF($M$130:$M$161,JZ130)*$D$15</f>
        <v>0</v>
      </c>
      <c r="KB130" s="64"/>
      <c r="KC130" s="76"/>
      <c r="KD130" s="77">
        <f t="shared" ref="KD130:KD161" ca="1" si="1232">COUNTIF($M$130:$M$161,KC130)*$D$15</f>
        <v>0</v>
      </c>
      <c r="KE130" s="64"/>
      <c r="KF130" s="76"/>
      <c r="KG130" s="77">
        <f t="shared" ref="KG130:KG161" ca="1" si="1233">COUNTIF($M$130:$M$161,KF130)*$D$15</f>
        <v>0</v>
      </c>
      <c r="KH130" s="64"/>
      <c r="KI130" s="76"/>
      <c r="KJ130" s="77">
        <f t="shared" ref="KJ130:KJ161" ca="1" si="1234">COUNTIF($M$130:$M$161,KI130)*$D$15</f>
        <v>0</v>
      </c>
      <c r="KK130" s="64"/>
      <c r="KL130" s="76"/>
      <c r="KM130" s="77">
        <f t="shared" ref="KM130:KM161" ca="1" si="1235">COUNTIF($M$130:$M$161,KL130)*$D$15</f>
        <v>0</v>
      </c>
      <c r="KN130" s="64"/>
      <c r="KO130" s="76"/>
      <c r="KP130" s="77">
        <f t="shared" ref="KP130:KP161" ca="1" si="1236">COUNTIF($M$130:$M$161,KO130)*$D$15</f>
        <v>0</v>
      </c>
      <c r="KQ130" s="64"/>
      <c r="KR130" s="76"/>
      <c r="KS130" s="77">
        <f t="shared" ref="KS130:KS161" ca="1" si="1237">COUNTIF($M$130:$M$161,KR130)*$D$15</f>
        <v>0</v>
      </c>
      <c r="KT130" s="64"/>
      <c r="KU130" s="76"/>
      <c r="KV130" s="77">
        <f t="shared" ref="KV130:KV161" ca="1" si="1238">COUNTIF($M$130:$M$161,KU130)*$D$15</f>
        <v>0</v>
      </c>
      <c r="KW130" s="64"/>
      <c r="KX130" s="76"/>
      <c r="KY130" s="77">
        <f t="shared" ref="KY130:KY161" ca="1" si="1239">COUNTIF($M$130:$M$161,KX130)*$D$15</f>
        <v>0</v>
      </c>
      <c r="KZ130" s="64"/>
      <c r="LA130" s="76"/>
      <c r="LB130" s="77">
        <f t="shared" ref="LB130:LB161" ca="1" si="1240">COUNTIF($M$130:$M$161,LA130)*$D$15</f>
        <v>0</v>
      </c>
      <c r="LC130" s="64"/>
      <c r="LD130" s="76"/>
      <c r="LE130" s="77">
        <f t="shared" ref="LE130:LE161" ca="1" si="1241">COUNTIF($M$130:$M$161,LD130)*$D$15</f>
        <v>0</v>
      </c>
      <c r="LF130" s="64"/>
      <c r="LG130" s="64"/>
    </row>
    <row r="131" spans="1:319">
      <c r="A131" s="49"/>
      <c r="B131" s="49"/>
      <c r="C131" s="49"/>
      <c r="D131" s="49"/>
      <c r="E131" s="65"/>
      <c r="F131" s="127">
        <f t="shared" ref="F131:F161" si="1242">$D$15</f>
        <v>5</v>
      </c>
      <c r="G131" s="445">
        <f ca="1">VLOOKUP(H131,Equipos!$Q$1:$R$25,2,0)</f>
        <v>19</v>
      </c>
      <c r="H131" s="447" t="str">
        <f>Idiomas!$D$137</f>
        <v>QUALIFIED FOR ROUND OF 32</v>
      </c>
      <c r="I131" s="50"/>
      <c r="J131" s="845"/>
      <c r="K131" s="56" t="str">
        <f>Idiomas!$D$198&amp;"-"&amp;ROWS($L$130:L131)</f>
        <v>16-Finalist-2</v>
      </c>
      <c r="L131" s="53"/>
      <c r="M131" s="55" t="str">
        <f ca="1">WORLDCUP!AA102</f>
        <v>Brazil</v>
      </c>
      <c r="N131" s="25"/>
      <c r="O131" s="25"/>
      <c r="P131" s="25"/>
      <c r="Q131" s="25"/>
      <c r="R131" s="110"/>
      <c r="S131" s="74" t="s">
        <v>1274</v>
      </c>
      <c r="T131" s="73">
        <f t="shared" ca="1" si="1142"/>
        <v>5</v>
      </c>
      <c r="U131" s="64"/>
      <c r="V131" s="74" t="s">
        <v>1274</v>
      </c>
      <c r="W131" s="73">
        <f t="shared" ca="1" si="1143"/>
        <v>5</v>
      </c>
      <c r="X131" s="64"/>
      <c r="Y131" s="74" t="s">
        <v>1274</v>
      </c>
      <c r="Z131" s="73">
        <f t="shared" ca="1" si="1144"/>
        <v>5</v>
      </c>
      <c r="AA131" s="64"/>
      <c r="AB131" s="74" t="s">
        <v>1274</v>
      </c>
      <c r="AC131" s="73">
        <f t="shared" ca="1" si="1145"/>
        <v>5</v>
      </c>
      <c r="AD131" s="64"/>
      <c r="AE131" s="74" t="s">
        <v>1274</v>
      </c>
      <c r="AF131" s="73">
        <f t="shared" ca="1" si="1146"/>
        <v>5</v>
      </c>
      <c r="AG131" s="64"/>
      <c r="AH131" s="74" t="s">
        <v>1274</v>
      </c>
      <c r="AI131" s="73">
        <f t="shared" ca="1" si="1147"/>
        <v>5</v>
      </c>
      <c r="AJ131" s="64"/>
      <c r="AK131" s="74" t="s">
        <v>1274</v>
      </c>
      <c r="AL131" s="73">
        <f t="shared" ca="1" si="1148"/>
        <v>5</v>
      </c>
      <c r="AM131" s="64"/>
      <c r="AN131" s="74" t="s">
        <v>1274</v>
      </c>
      <c r="AO131" s="73">
        <f t="shared" ca="1" si="1149"/>
        <v>5</v>
      </c>
      <c r="AP131" s="64"/>
      <c r="AQ131" s="74" t="s">
        <v>1274</v>
      </c>
      <c r="AR131" s="73">
        <f t="shared" ca="1" si="1150"/>
        <v>5</v>
      </c>
      <c r="AS131" s="64"/>
      <c r="AT131" s="74" t="s">
        <v>1274</v>
      </c>
      <c r="AU131" s="73">
        <f t="shared" ca="1" si="1151"/>
        <v>5</v>
      </c>
      <c r="AV131" s="64"/>
      <c r="AW131" s="74" t="s">
        <v>1274</v>
      </c>
      <c r="AX131" s="73">
        <f t="shared" ca="1" si="1152"/>
        <v>5</v>
      </c>
      <c r="AY131" s="64"/>
      <c r="AZ131" s="74" t="s">
        <v>1274</v>
      </c>
      <c r="BA131" s="73">
        <f t="shared" ca="1" si="1153"/>
        <v>5</v>
      </c>
      <c r="BB131" s="64"/>
      <c r="BC131" s="74" t="s">
        <v>1326</v>
      </c>
      <c r="BD131" s="73">
        <f t="shared" ca="1" si="1154"/>
        <v>5</v>
      </c>
      <c r="BE131" s="64"/>
      <c r="BF131" s="74" t="s">
        <v>1274</v>
      </c>
      <c r="BG131" s="73">
        <f t="shared" ca="1" si="1155"/>
        <v>5</v>
      </c>
      <c r="BH131" s="64"/>
      <c r="BI131" s="74" t="s">
        <v>1274</v>
      </c>
      <c r="BJ131" s="73">
        <f t="shared" ca="1" si="1156"/>
        <v>5</v>
      </c>
      <c r="BK131" s="64"/>
      <c r="BL131" s="74" t="s">
        <v>1274</v>
      </c>
      <c r="BM131" s="73">
        <f t="shared" ca="1" si="1157"/>
        <v>5</v>
      </c>
      <c r="BN131" s="64"/>
      <c r="BO131" s="74" t="s">
        <v>1274</v>
      </c>
      <c r="BP131" s="73">
        <f t="shared" ca="1" si="1158"/>
        <v>5</v>
      </c>
      <c r="BQ131" s="64"/>
      <c r="BR131" s="74" t="s">
        <v>1274</v>
      </c>
      <c r="BS131" s="73">
        <f t="shared" ca="1" si="1159"/>
        <v>5</v>
      </c>
      <c r="BT131" s="64"/>
      <c r="BU131" s="74" t="s">
        <v>1274</v>
      </c>
      <c r="BV131" s="73">
        <f t="shared" ca="1" si="1160"/>
        <v>5</v>
      </c>
      <c r="BW131" s="64"/>
      <c r="BX131" s="74" t="s">
        <v>1274</v>
      </c>
      <c r="BY131" s="73">
        <f t="shared" ca="1" si="1161"/>
        <v>5</v>
      </c>
      <c r="BZ131" s="64"/>
      <c r="CA131" s="74" t="s">
        <v>1274</v>
      </c>
      <c r="CB131" s="73">
        <f t="shared" ca="1" si="1162"/>
        <v>5</v>
      </c>
      <c r="CC131" s="64"/>
      <c r="CD131" s="74" t="s">
        <v>1274</v>
      </c>
      <c r="CE131" s="73">
        <f t="shared" ca="1" si="1163"/>
        <v>5</v>
      </c>
      <c r="CF131" s="64"/>
      <c r="CG131" s="74" t="s">
        <v>1274</v>
      </c>
      <c r="CH131" s="73">
        <f t="shared" ca="1" si="1164"/>
        <v>5</v>
      </c>
      <c r="CI131" s="64"/>
      <c r="CJ131" s="74" t="s">
        <v>1274</v>
      </c>
      <c r="CK131" s="73">
        <f t="shared" ca="1" si="1165"/>
        <v>5</v>
      </c>
      <c r="CL131" s="64"/>
      <c r="CM131" s="74" t="s">
        <v>1274</v>
      </c>
      <c r="CN131" s="73">
        <f t="shared" ca="1" si="1166"/>
        <v>5</v>
      </c>
      <c r="CO131" s="64"/>
      <c r="CP131" s="74" t="s">
        <v>1274</v>
      </c>
      <c r="CQ131" s="73">
        <f t="shared" ca="1" si="1167"/>
        <v>5</v>
      </c>
      <c r="CR131" s="64"/>
      <c r="CS131" s="74" t="s">
        <v>1274</v>
      </c>
      <c r="CT131" s="73">
        <f t="shared" ca="1" si="1168"/>
        <v>5</v>
      </c>
      <c r="CU131" s="64"/>
      <c r="CV131" s="74" t="s">
        <v>1274</v>
      </c>
      <c r="CW131" s="73">
        <f t="shared" ca="1" si="1169"/>
        <v>5</v>
      </c>
      <c r="CX131" s="64"/>
      <c r="CY131" s="74" t="s">
        <v>1326</v>
      </c>
      <c r="CZ131" s="73">
        <f t="shared" ca="1" si="1170"/>
        <v>5</v>
      </c>
      <c r="DA131" s="64"/>
      <c r="DB131" s="74" t="s">
        <v>1274</v>
      </c>
      <c r="DC131" s="73">
        <f t="shared" ca="1" si="1171"/>
        <v>5</v>
      </c>
      <c r="DD131" s="64"/>
      <c r="DE131" s="74" t="s">
        <v>1274</v>
      </c>
      <c r="DF131" s="73">
        <f t="shared" ca="1" si="1172"/>
        <v>5</v>
      </c>
      <c r="DG131" s="64"/>
      <c r="DH131" s="74" t="s">
        <v>1274</v>
      </c>
      <c r="DI131" s="73">
        <f t="shared" ca="1" si="1173"/>
        <v>5</v>
      </c>
      <c r="DJ131" s="64"/>
      <c r="DK131" s="74" t="s">
        <v>1274</v>
      </c>
      <c r="DL131" s="73">
        <f t="shared" ca="1" si="1174"/>
        <v>5</v>
      </c>
      <c r="DM131" s="64"/>
      <c r="DN131" s="74" t="s">
        <v>1274</v>
      </c>
      <c r="DO131" s="73">
        <f t="shared" ca="1" si="1175"/>
        <v>5</v>
      </c>
      <c r="DP131" s="64"/>
      <c r="DQ131" s="74" t="s">
        <v>1326</v>
      </c>
      <c r="DR131" s="73">
        <f t="shared" ca="1" si="1176"/>
        <v>5</v>
      </c>
      <c r="DS131" s="64"/>
      <c r="DT131" s="74" t="s">
        <v>1274</v>
      </c>
      <c r="DU131" s="73">
        <f t="shared" ca="1" si="1177"/>
        <v>5</v>
      </c>
      <c r="DV131" s="64"/>
      <c r="DW131" s="74" t="s">
        <v>1326</v>
      </c>
      <c r="DX131" s="73">
        <f t="shared" ca="1" si="1178"/>
        <v>5</v>
      </c>
      <c r="DY131" s="64"/>
      <c r="DZ131" s="74" t="s">
        <v>1274</v>
      </c>
      <c r="EA131" s="73">
        <f t="shared" ca="1" si="1179"/>
        <v>5</v>
      </c>
      <c r="EB131" s="64"/>
      <c r="EC131" s="74" t="s">
        <v>1274</v>
      </c>
      <c r="ED131" s="73">
        <f t="shared" ca="1" si="1180"/>
        <v>5</v>
      </c>
      <c r="EE131" s="64"/>
      <c r="EF131" s="74" t="s">
        <v>1274</v>
      </c>
      <c r="EG131" s="73">
        <f t="shared" ca="1" si="1181"/>
        <v>5</v>
      </c>
      <c r="EH131" s="64"/>
      <c r="EI131" s="74" t="s">
        <v>1274</v>
      </c>
      <c r="EJ131" s="73">
        <f t="shared" ca="1" si="1182"/>
        <v>5</v>
      </c>
      <c r="EK131" s="64"/>
      <c r="EL131" s="74" t="s">
        <v>1274</v>
      </c>
      <c r="EM131" s="73">
        <f t="shared" ca="1" si="1183"/>
        <v>5</v>
      </c>
      <c r="EN131" s="64"/>
      <c r="EO131" s="74" t="s">
        <v>1274</v>
      </c>
      <c r="EP131" s="73">
        <f t="shared" ca="1" si="1184"/>
        <v>5</v>
      </c>
      <c r="EQ131" s="64"/>
      <c r="ER131" s="74" t="s">
        <v>1274</v>
      </c>
      <c r="ES131" s="73">
        <f t="shared" ca="1" si="1185"/>
        <v>5</v>
      </c>
      <c r="ET131" s="64"/>
      <c r="EU131" s="74" t="s">
        <v>1274</v>
      </c>
      <c r="EV131" s="73">
        <f t="shared" ca="1" si="1186"/>
        <v>5</v>
      </c>
      <c r="EW131" s="64"/>
      <c r="EX131" s="74" t="s">
        <v>1274</v>
      </c>
      <c r="EY131" s="73">
        <f t="shared" ca="1" si="1187"/>
        <v>5</v>
      </c>
      <c r="EZ131" s="64"/>
      <c r="FA131" s="74" t="s">
        <v>1274</v>
      </c>
      <c r="FB131" s="73">
        <f t="shared" ca="1" si="1188"/>
        <v>5</v>
      </c>
      <c r="FC131" s="64"/>
      <c r="FD131" s="74" t="s">
        <v>1274</v>
      </c>
      <c r="FE131" s="73">
        <f t="shared" ca="1" si="1189"/>
        <v>5</v>
      </c>
      <c r="FF131" s="64"/>
      <c r="FG131" s="74" t="s">
        <v>1274</v>
      </c>
      <c r="FH131" s="73">
        <f t="shared" ca="1" si="1190"/>
        <v>5</v>
      </c>
      <c r="FI131" s="64"/>
      <c r="FJ131" s="74" t="s">
        <v>1274</v>
      </c>
      <c r="FK131" s="73">
        <f t="shared" ca="1" si="1191"/>
        <v>5</v>
      </c>
      <c r="FL131" s="64"/>
      <c r="FM131" s="74" t="s">
        <v>1274</v>
      </c>
      <c r="FN131" s="73">
        <f t="shared" ca="1" si="1192"/>
        <v>5</v>
      </c>
      <c r="FO131" s="64"/>
      <c r="FP131" s="74" t="s">
        <v>1274</v>
      </c>
      <c r="FQ131" s="73">
        <f t="shared" ca="1" si="1193"/>
        <v>5</v>
      </c>
      <c r="FR131" s="64"/>
      <c r="FS131" s="74" t="s">
        <v>1274</v>
      </c>
      <c r="FT131" s="73">
        <f t="shared" ca="1" si="1194"/>
        <v>5</v>
      </c>
      <c r="FU131" s="64"/>
      <c r="FV131" s="74" t="s">
        <v>1274</v>
      </c>
      <c r="FW131" s="73">
        <f t="shared" ca="1" si="1195"/>
        <v>5</v>
      </c>
      <c r="FX131" s="64"/>
      <c r="FY131" s="74" t="s">
        <v>1274</v>
      </c>
      <c r="FZ131" s="73">
        <f t="shared" ca="1" si="1196"/>
        <v>5</v>
      </c>
      <c r="GA131" s="64"/>
      <c r="GB131" s="74" t="s">
        <v>1274</v>
      </c>
      <c r="GC131" s="73">
        <f t="shared" ca="1" si="1197"/>
        <v>5</v>
      </c>
      <c r="GD131" s="64"/>
      <c r="GE131" s="74" t="s">
        <v>1274</v>
      </c>
      <c r="GF131" s="73">
        <f t="shared" ca="1" si="1198"/>
        <v>5</v>
      </c>
      <c r="GG131" s="64"/>
      <c r="GH131" s="74" t="s">
        <v>1274</v>
      </c>
      <c r="GI131" s="73">
        <f t="shared" ca="1" si="1199"/>
        <v>5</v>
      </c>
      <c r="GJ131" s="64"/>
      <c r="GK131" s="74" t="s">
        <v>1274</v>
      </c>
      <c r="GL131" s="73">
        <f t="shared" ca="1" si="1200"/>
        <v>5</v>
      </c>
      <c r="GM131" s="64"/>
      <c r="GN131" s="74"/>
      <c r="GO131" s="73">
        <f t="shared" ca="1" si="1201"/>
        <v>0</v>
      </c>
      <c r="GP131" s="64"/>
      <c r="GQ131" s="74"/>
      <c r="GR131" s="73">
        <f t="shared" ca="1" si="1202"/>
        <v>0</v>
      </c>
      <c r="GS131" s="64"/>
      <c r="GT131" s="74"/>
      <c r="GU131" s="73">
        <f t="shared" ca="1" si="1203"/>
        <v>0</v>
      </c>
      <c r="GV131" s="64"/>
      <c r="GW131" s="74"/>
      <c r="GX131" s="73">
        <f t="shared" ca="1" si="1204"/>
        <v>0</v>
      </c>
      <c r="GY131" s="64"/>
      <c r="GZ131" s="74"/>
      <c r="HA131" s="73">
        <f t="shared" ca="1" si="1205"/>
        <v>0</v>
      </c>
      <c r="HB131" s="64"/>
      <c r="HC131" s="74"/>
      <c r="HD131" s="73">
        <f t="shared" ca="1" si="1206"/>
        <v>0</v>
      </c>
      <c r="HE131" s="64"/>
      <c r="HF131" s="74"/>
      <c r="HG131" s="73">
        <f t="shared" ca="1" si="1207"/>
        <v>0</v>
      </c>
      <c r="HH131" s="64"/>
      <c r="HI131" s="74"/>
      <c r="HJ131" s="73">
        <f t="shared" ca="1" si="1208"/>
        <v>0</v>
      </c>
      <c r="HK131" s="64"/>
      <c r="HL131" s="74"/>
      <c r="HM131" s="73">
        <f t="shared" ca="1" si="1209"/>
        <v>0</v>
      </c>
      <c r="HN131" s="64"/>
      <c r="HO131" s="74"/>
      <c r="HP131" s="73">
        <f t="shared" ca="1" si="1210"/>
        <v>0</v>
      </c>
      <c r="HQ131" s="64"/>
      <c r="HR131" s="74"/>
      <c r="HS131" s="73">
        <f t="shared" ca="1" si="1211"/>
        <v>0</v>
      </c>
      <c r="HT131" s="64"/>
      <c r="HU131" s="74"/>
      <c r="HV131" s="73">
        <f t="shared" ca="1" si="1212"/>
        <v>0</v>
      </c>
      <c r="HW131" s="64"/>
      <c r="HX131" s="74"/>
      <c r="HY131" s="73">
        <f t="shared" ca="1" si="1213"/>
        <v>0</v>
      </c>
      <c r="HZ131" s="64"/>
      <c r="IA131" s="74"/>
      <c r="IB131" s="73">
        <f t="shared" ca="1" si="1214"/>
        <v>0</v>
      </c>
      <c r="IC131" s="64"/>
      <c r="ID131" s="74"/>
      <c r="IE131" s="73">
        <f t="shared" ca="1" si="1215"/>
        <v>0</v>
      </c>
      <c r="IF131" s="64"/>
      <c r="IG131" s="74"/>
      <c r="IH131" s="73">
        <f t="shared" ca="1" si="1216"/>
        <v>0</v>
      </c>
      <c r="II131" s="64"/>
      <c r="IJ131" s="74"/>
      <c r="IK131" s="73">
        <f t="shared" ca="1" si="1217"/>
        <v>0</v>
      </c>
      <c r="IL131" s="64"/>
      <c r="IM131" s="74"/>
      <c r="IN131" s="73">
        <f t="shared" ca="1" si="1218"/>
        <v>0</v>
      </c>
      <c r="IO131" s="64"/>
      <c r="IP131" s="74"/>
      <c r="IQ131" s="73">
        <f t="shared" ca="1" si="1219"/>
        <v>0</v>
      </c>
      <c r="IR131" s="64"/>
      <c r="IS131" s="74"/>
      <c r="IT131" s="73">
        <f t="shared" ca="1" si="1220"/>
        <v>0</v>
      </c>
      <c r="IU131" s="64"/>
      <c r="IV131" s="74"/>
      <c r="IW131" s="73">
        <f t="shared" ca="1" si="1221"/>
        <v>0</v>
      </c>
      <c r="IX131" s="64"/>
      <c r="IY131" s="74"/>
      <c r="IZ131" s="73">
        <f t="shared" ca="1" si="1222"/>
        <v>0</v>
      </c>
      <c r="JA131" s="64"/>
      <c r="JB131" s="74"/>
      <c r="JC131" s="73">
        <f t="shared" ca="1" si="1223"/>
        <v>0</v>
      </c>
      <c r="JD131" s="64"/>
      <c r="JE131" s="74"/>
      <c r="JF131" s="73">
        <f t="shared" ca="1" si="1224"/>
        <v>0</v>
      </c>
      <c r="JG131" s="64"/>
      <c r="JH131" s="74"/>
      <c r="JI131" s="73">
        <f t="shared" ca="1" si="1225"/>
        <v>0</v>
      </c>
      <c r="JJ131" s="64"/>
      <c r="JK131" s="74"/>
      <c r="JL131" s="73">
        <f t="shared" ca="1" si="1226"/>
        <v>0</v>
      </c>
      <c r="JM131" s="64"/>
      <c r="JN131" s="74"/>
      <c r="JO131" s="73">
        <f t="shared" ca="1" si="1227"/>
        <v>0</v>
      </c>
      <c r="JP131" s="64"/>
      <c r="JQ131" s="74"/>
      <c r="JR131" s="73">
        <f t="shared" ca="1" si="1228"/>
        <v>0</v>
      </c>
      <c r="JS131" s="64"/>
      <c r="JT131" s="74"/>
      <c r="JU131" s="73">
        <f t="shared" ca="1" si="1229"/>
        <v>0</v>
      </c>
      <c r="JV131" s="64"/>
      <c r="JW131" s="74"/>
      <c r="JX131" s="73">
        <f t="shared" ca="1" si="1230"/>
        <v>0</v>
      </c>
      <c r="JY131" s="64"/>
      <c r="JZ131" s="74"/>
      <c r="KA131" s="73">
        <f t="shared" ca="1" si="1231"/>
        <v>0</v>
      </c>
      <c r="KB131" s="64"/>
      <c r="KC131" s="74"/>
      <c r="KD131" s="73">
        <f t="shared" ca="1" si="1232"/>
        <v>0</v>
      </c>
      <c r="KE131" s="64"/>
      <c r="KF131" s="74"/>
      <c r="KG131" s="73">
        <f t="shared" ca="1" si="1233"/>
        <v>0</v>
      </c>
      <c r="KH131" s="64"/>
      <c r="KI131" s="74"/>
      <c r="KJ131" s="73">
        <f t="shared" ca="1" si="1234"/>
        <v>0</v>
      </c>
      <c r="KK131" s="64"/>
      <c r="KL131" s="74"/>
      <c r="KM131" s="73">
        <f t="shared" ca="1" si="1235"/>
        <v>0</v>
      </c>
      <c r="KN131" s="64"/>
      <c r="KO131" s="74"/>
      <c r="KP131" s="73">
        <f t="shared" ca="1" si="1236"/>
        <v>0</v>
      </c>
      <c r="KQ131" s="64"/>
      <c r="KR131" s="74"/>
      <c r="KS131" s="73">
        <f t="shared" ca="1" si="1237"/>
        <v>0</v>
      </c>
      <c r="KT131" s="64"/>
      <c r="KU131" s="74"/>
      <c r="KV131" s="73">
        <f t="shared" ca="1" si="1238"/>
        <v>0</v>
      </c>
      <c r="KW131" s="64"/>
      <c r="KX131" s="74"/>
      <c r="KY131" s="73">
        <f t="shared" ca="1" si="1239"/>
        <v>0</v>
      </c>
      <c r="KZ131" s="64"/>
      <c r="LA131" s="74"/>
      <c r="LB131" s="73">
        <f t="shared" ca="1" si="1240"/>
        <v>0</v>
      </c>
      <c r="LC131" s="64"/>
      <c r="LD131" s="74"/>
      <c r="LE131" s="73">
        <f t="shared" ca="1" si="1241"/>
        <v>0</v>
      </c>
      <c r="LF131" s="64"/>
      <c r="LG131" s="64"/>
    </row>
    <row r="132" spans="1:319">
      <c r="A132" s="49"/>
      <c r="B132" s="49"/>
      <c r="C132" s="49"/>
      <c r="D132" s="49"/>
      <c r="E132" s="65"/>
      <c r="F132" s="127">
        <f t="shared" si="1242"/>
        <v>5</v>
      </c>
      <c r="G132" s="445">
        <f ca="1">VLOOKUP(H132,Equipos!$Q$1:$R$25,2,0)</f>
        <v>19</v>
      </c>
      <c r="H132" s="447" t="str">
        <f>Idiomas!$D$137</f>
        <v>QUALIFIED FOR ROUND OF 32</v>
      </c>
      <c r="I132" s="50"/>
      <c r="J132" s="845"/>
      <c r="K132" s="56" t="str">
        <f>Idiomas!$D$198&amp;"-"&amp;ROWS($L$130:L132)</f>
        <v>16-Finalist-3</v>
      </c>
      <c r="L132" s="53"/>
      <c r="M132" s="55" t="str">
        <f ca="1">WORLDCUP!AA103</f>
        <v>Germany</v>
      </c>
      <c r="N132" s="25"/>
      <c r="O132" s="25"/>
      <c r="P132" s="25"/>
      <c r="Q132" s="25"/>
      <c r="R132" s="110"/>
      <c r="S132" s="74" t="s">
        <v>297</v>
      </c>
      <c r="T132" s="73">
        <f t="shared" ca="1" si="1142"/>
        <v>5</v>
      </c>
      <c r="U132" s="64"/>
      <c r="V132" s="74" t="s">
        <v>297</v>
      </c>
      <c r="W132" s="73">
        <f t="shared" ca="1" si="1143"/>
        <v>5</v>
      </c>
      <c r="X132" s="64"/>
      <c r="Y132" s="74" t="s">
        <v>297</v>
      </c>
      <c r="Z132" s="73">
        <f t="shared" ca="1" si="1144"/>
        <v>5</v>
      </c>
      <c r="AA132" s="64"/>
      <c r="AB132" s="74" t="s">
        <v>297</v>
      </c>
      <c r="AC132" s="73">
        <f t="shared" ca="1" si="1145"/>
        <v>5</v>
      </c>
      <c r="AD132" s="64"/>
      <c r="AE132" s="74" t="s">
        <v>297</v>
      </c>
      <c r="AF132" s="73">
        <f t="shared" ca="1" si="1146"/>
        <v>5</v>
      </c>
      <c r="AG132" s="64"/>
      <c r="AH132" s="74" t="s">
        <v>297</v>
      </c>
      <c r="AI132" s="73">
        <f t="shared" ca="1" si="1147"/>
        <v>5</v>
      </c>
      <c r="AJ132" s="64"/>
      <c r="AK132" s="74" t="s">
        <v>297</v>
      </c>
      <c r="AL132" s="73">
        <f t="shared" ca="1" si="1148"/>
        <v>5</v>
      </c>
      <c r="AM132" s="64"/>
      <c r="AN132" s="74" t="s">
        <v>297</v>
      </c>
      <c r="AO132" s="73">
        <f t="shared" ca="1" si="1149"/>
        <v>5</v>
      </c>
      <c r="AP132" s="64"/>
      <c r="AQ132" s="74" t="s">
        <v>297</v>
      </c>
      <c r="AR132" s="73">
        <f t="shared" ca="1" si="1150"/>
        <v>5</v>
      </c>
      <c r="AS132" s="64"/>
      <c r="AT132" s="74" t="s">
        <v>297</v>
      </c>
      <c r="AU132" s="73">
        <f t="shared" ca="1" si="1151"/>
        <v>5</v>
      </c>
      <c r="AV132" s="64"/>
      <c r="AW132" s="74" t="s">
        <v>297</v>
      </c>
      <c r="AX132" s="73">
        <f t="shared" ca="1" si="1152"/>
        <v>5</v>
      </c>
      <c r="AY132" s="64"/>
      <c r="AZ132" s="74" t="s">
        <v>297</v>
      </c>
      <c r="BA132" s="73">
        <f t="shared" ca="1" si="1153"/>
        <v>5</v>
      </c>
      <c r="BB132" s="64"/>
      <c r="BC132" s="74" t="s">
        <v>297</v>
      </c>
      <c r="BD132" s="73">
        <f t="shared" ca="1" si="1154"/>
        <v>5</v>
      </c>
      <c r="BE132" s="64"/>
      <c r="BF132" s="74" t="s">
        <v>297</v>
      </c>
      <c r="BG132" s="73">
        <f t="shared" ca="1" si="1155"/>
        <v>5</v>
      </c>
      <c r="BH132" s="64"/>
      <c r="BI132" s="74" t="s">
        <v>297</v>
      </c>
      <c r="BJ132" s="73">
        <f t="shared" ca="1" si="1156"/>
        <v>5</v>
      </c>
      <c r="BK132" s="64"/>
      <c r="BL132" s="74" t="s">
        <v>297</v>
      </c>
      <c r="BM132" s="73">
        <f t="shared" ca="1" si="1157"/>
        <v>5</v>
      </c>
      <c r="BN132" s="64"/>
      <c r="BO132" s="74" t="s">
        <v>297</v>
      </c>
      <c r="BP132" s="73">
        <f t="shared" ca="1" si="1158"/>
        <v>5</v>
      </c>
      <c r="BQ132" s="64"/>
      <c r="BR132" s="74" t="s">
        <v>297</v>
      </c>
      <c r="BS132" s="73">
        <f t="shared" ca="1" si="1159"/>
        <v>5</v>
      </c>
      <c r="BT132" s="64"/>
      <c r="BU132" s="74" t="s">
        <v>297</v>
      </c>
      <c r="BV132" s="73">
        <f t="shared" ca="1" si="1160"/>
        <v>5</v>
      </c>
      <c r="BW132" s="64"/>
      <c r="BX132" s="74" t="s">
        <v>297</v>
      </c>
      <c r="BY132" s="73">
        <f t="shared" ca="1" si="1161"/>
        <v>5</v>
      </c>
      <c r="BZ132" s="64"/>
      <c r="CA132" s="74" t="s">
        <v>297</v>
      </c>
      <c r="CB132" s="73">
        <f t="shared" ca="1" si="1162"/>
        <v>5</v>
      </c>
      <c r="CC132" s="64"/>
      <c r="CD132" s="74" t="s">
        <v>297</v>
      </c>
      <c r="CE132" s="73">
        <f t="shared" ca="1" si="1163"/>
        <v>5</v>
      </c>
      <c r="CF132" s="64"/>
      <c r="CG132" s="74" t="s">
        <v>297</v>
      </c>
      <c r="CH132" s="73">
        <f t="shared" ca="1" si="1164"/>
        <v>5</v>
      </c>
      <c r="CI132" s="64"/>
      <c r="CJ132" s="74" t="s">
        <v>1261</v>
      </c>
      <c r="CK132" s="73">
        <f t="shared" ca="1" si="1165"/>
        <v>5</v>
      </c>
      <c r="CL132" s="64"/>
      <c r="CM132" s="74" t="s">
        <v>297</v>
      </c>
      <c r="CN132" s="73">
        <f t="shared" ca="1" si="1166"/>
        <v>5</v>
      </c>
      <c r="CO132" s="64"/>
      <c r="CP132" s="74" t="s">
        <v>297</v>
      </c>
      <c r="CQ132" s="73">
        <f t="shared" ca="1" si="1167"/>
        <v>5</v>
      </c>
      <c r="CR132" s="64"/>
      <c r="CS132" s="74" t="s">
        <v>297</v>
      </c>
      <c r="CT132" s="73">
        <f t="shared" ca="1" si="1168"/>
        <v>5</v>
      </c>
      <c r="CU132" s="64"/>
      <c r="CV132" s="74" t="s">
        <v>297</v>
      </c>
      <c r="CW132" s="73">
        <f t="shared" ca="1" si="1169"/>
        <v>5</v>
      </c>
      <c r="CX132" s="64"/>
      <c r="CY132" s="74" t="s">
        <v>1261</v>
      </c>
      <c r="CZ132" s="73">
        <f t="shared" ca="1" si="1170"/>
        <v>5</v>
      </c>
      <c r="DA132" s="64"/>
      <c r="DB132" s="74" t="s">
        <v>297</v>
      </c>
      <c r="DC132" s="73">
        <f t="shared" ca="1" si="1171"/>
        <v>5</v>
      </c>
      <c r="DD132" s="64"/>
      <c r="DE132" s="74" t="s">
        <v>297</v>
      </c>
      <c r="DF132" s="73">
        <f t="shared" ca="1" si="1172"/>
        <v>5</v>
      </c>
      <c r="DG132" s="64"/>
      <c r="DH132" s="74" t="s">
        <v>297</v>
      </c>
      <c r="DI132" s="73">
        <f t="shared" ca="1" si="1173"/>
        <v>5</v>
      </c>
      <c r="DJ132" s="64"/>
      <c r="DK132" s="74" t="s">
        <v>297</v>
      </c>
      <c r="DL132" s="73">
        <f t="shared" ca="1" si="1174"/>
        <v>5</v>
      </c>
      <c r="DM132" s="64"/>
      <c r="DN132" s="74" t="s">
        <v>297</v>
      </c>
      <c r="DO132" s="73">
        <f t="shared" ca="1" si="1175"/>
        <v>5</v>
      </c>
      <c r="DP132" s="64"/>
      <c r="DQ132" s="74" t="s">
        <v>297</v>
      </c>
      <c r="DR132" s="73">
        <f t="shared" ca="1" si="1176"/>
        <v>5</v>
      </c>
      <c r="DS132" s="64"/>
      <c r="DT132" s="74" t="s">
        <v>297</v>
      </c>
      <c r="DU132" s="73">
        <f t="shared" ca="1" si="1177"/>
        <v>5</v>
      </c>
      <c r="DV132" s="64"/>
      <c r="DW132" s="74" t="s">
        <v>297</v>
      </c>
      <c r="DX132" s="73">
        <f t="shared" ca="1" si="1178"/>
        <v>5</v>
      </c>
      <c r="DY132" s="64"/>
      <c r="DZ132" s="74" t="s">
        <v>297</v>
      </c>
      <c r="EA132" s="73">
        <f t="shared" ca="1" si="1179"/>
        <v>5</v>
      </c>
      <c r="EB132" s="64"/>
      <c r="EC132" s="74" t="s">
        <v>297</v>
      </c>
      <c r="ED132" s="73">
        <f t="shared" ca="1" si="1180"/>
        <v>5</v>
      </c>
      <c r="EE132" s="64"/>
      <c r="EF132" s="74" t="s">
        <v>297</v>
      </c>
      <c r="EG132" s="73">
        <f t="shared" ca="1" si="1181"/>
        <v>5</v>
      </c>
      <c r="EH132" s="64"/>
      <c r="EI132" s="74" t="s">
        <v>297</v>
      </c>
      <c r="EJ132" s="73">
        <f t="shared" ca="1" si="1182"/>
        <v>5</v>
      </c>
      <c r="EK132" s="64"/>
      <c r="EL132" s="74" t="s">
        <v>297</v>
      </c>
      <c r="EM132" s="73">
        <f t="shared" ca="1" si="1183"/>
        <v>5</v>
      </c>
      <c r="EN132" s="64"/>
      <c r="EO132" s="74" t="s">
        <v>297</v>
      </c>
      <c r="EP132" s="73">
        <f t="shared" ca="1" si="1184"/>
        <v>5</v>
      </c>
      <c r="EQ132" s="64"/>
      <c r="ER132" s="74" t="s">
        <v>297</v>
      </c>
      <c r="ES132" s="73">
        <f t="shared" ca="1" si="1185"/>
        <v>5</v>
      </c>
      <c r="ET132" s="64"/>
      <c r="EU132" s="74" t="s">
        <v>297</v>
      </c>
      <c r="EV132" s="73">
        <f t="shared" ca="1" si="1186"/>
        <v>5</v>
      </c>
      <c r="EW132" s="64"/>
      <c r="EX132" s="74" t="s">
        <v>297</v>
      </c>
      <c r="EY132" s="73">
        <f t="shared" ca="1" si="1187"/>
        <v>5</v>
      </c>
      <c r="EZ132" s="64"/>
      <c r="FA132" s="74" t="s">
        <v>297</v>
      </c>
      <c r="FB132" s="73">
        <f t="shared" ca="1" si="1188"/>
        <v>5</v>
      </c>
      <c r="FC132" s="64"/>
      <c r="FD132" s="74" t="s">
        <v>297</v>
      </c>
      <c r="FE132" s="73">
        <f t="shared" ca="1" si="1189"/>
        <v>5</v>
      </c>
      <c r="FF132" s="64"/>
      <c r="FG132" s="74" t="s">
        <v>1641</v>
      </c>
      <c r="FH132" s="73">
        <f t="shared" ca="1" si="1190"/>
        <v>5</v>
      </c>
      <c r="FI132" s="64"/>
      <c r="FJ132" s="74" t="s">
        <v>297</v>
      </c>
      <c r="FK132" s="73">
        <f t="shared" ca="1" si="1191"/>
        <v>5</v>
      </c>
      <c r="FL132" s="64"/>
      <c r="FM132" s="74" t="s">
        <v>297</v>
      </c>
      <c r="FN132" s="73">
        <f t="shared" ca="1" si="1192"/>
        <v>5</v>
      </c>
      <c r="FO132" s="64"/>
      <c r="FP132" s="74" t="s">
        <v>297</v>
      </c>
      <c r="FQ132" s="73">
        <f t="shared" ca="1" si="1193"/>
        <v>5</v>
      </c>
      <c r="FR132" s="64"/>
      <c r="FS132" s="74" t="s">
        <v>297</v>
      </c>
      <c r="FT132" s="73">
        <f t="shared" ca="1" si="1194"/>
        <v>5</v>
      </c>
      <c r="FU132" s="64"/>
      <c r="FV132" s="74" t="s">
        <v>297</v>
      </c>
      <c r="FW132" s="73">
        <f t="shared" ca="1" si="1195"/>
        <v>5</v>
      </c>
      <c r="FX132" s="64"/>
      <c r="FY132" s="74" t="s">
        <v>297</v>
      </c>
      <c r="FZ132" s="73">
        <f t="shared" ca="1" si="1196"/>
        <v>5</v>
      </c>
      <c r="GA132" s="64"/>
      <c r="GB132" s="74" t="s">
        <v>297</v>
      </c>
      <c r="GC132" s="73">
        <f t="shared" ca="1" si="1197"/>
        <v>5</v>
      </c>
      <c r="GD132" s="64"/>
      <c r="GE132" s="74" t="s">
        <v>297</v>
      </c>
      <c r="GF132" s="73">
        <f t="shared" ca="1" si="1198"/>
        <v>5</v>
      </c>
      <c r="GG132" s="64"/>
      <c r="GH132" s="74" t="s">
        <v>297</v>
      </c>
      <c r="GI132" s="73">
        <f t="shared" ca="1" si="1199"/>
        <v>5</v>
      </c>
      <c r="GJ132" s="64"/>
      <c r="GK132" s="74" t="s">
        <v>297</v>
      </c>
      <c r="GL132" s="73">
        <f t="shared" ca="1" si="1200"/>
        <v>5</v>
      </c>
      <c r="GM132" s="64"/>
      <c r="GN132" s="74"/>
      <c r="GO132" s="73">
        <f t="shared" ca="1" si="1201"/>
        <v>0</v>
      </c>
      <c r="GP132" s="64"/>
      <c r="GQ132" s="74"/>
      <c r="GR132" s="73">
        <f t="shared" ca="1" si="1202"/>
        <v>0</v>
      </c>
      <c r="GS132" s="64"/>
      <c r="GT132" s="74"/>
      <c r="GU132" s="73">
        <f t="shared" ca="1" si="1203"/>
        <v>0</v>
      </c>
      <c r="GV132" s="64"/>
      <c r="GW132" s="74"/>
      <c r="GX132" s="73">
        <f t="shared" ca="1" si="1204"/>
        <v>0</v>
      </c>
      <c r="GY132" s="64"/>
      <c r="GZ132" s="74"/>
      <c r="HA132" s="73">
        <f t="shared" ca="1" si="1205"/>
        <v>0</v>
      </c>
      <c r="HB132" s="64"/>
      <c r="HC132" s="74"/>
      <c r="HD132" s="73">
        <f t="shared" ca="1" si="1206"/>
        <v>0</v>
      </c>
      <c r="HE132" s="64"/>
      <c r="HF132" s="74"/>
      <c r="HG132" s="73">
        <f t="shared" ca="1" si="1207"/>
        <v>0</v>
      </c>
      <c r="HH132" s="64"/>
      <c r="HI132" s="74"/>
      <c r="HJ132" s="73">
        <f t="shared" ca="1" si="1208"/>
        <v>0</v>
      </c>
      <c r="HK132" s="64"/>
      <c r="HL132" s="74"/>
      <c r="HM132" s="73">
        <f t="shared" ca="1" si="1209"/>
        <v>0</v>
      </c>
      <c r="HN132" s="64"/>
      <c r="HO132" s="74"/>
      <c r="HP132" s="73">
        <f t="shared" ca="1" si="1210"/>
        <v>0</v>
      </c>
      <c r="HQ132" s="64"/>
      <c r="HR132" s="74"/>
      <c r="HS132" s="73">
        <f t="shared" ca="1" si="1211"/>
        <v>0</v>
      </c>
      <c r="HT132" s="64"/>
      <c r="HU132" s="74"/>
      <c r="HV132" s="73">
        <f t="shared" ca="1" si="1212"/>
        <v>0</v>
      </c>
      <c r="HW132" s="64"/>
      <c r="HX132" s="74"/>
      <c r="HY132" s="73">
        <f t="shared" ca="1" si="1213"/>
        <v>0</v>
      </c>
      <c r="HZ132" s="64"/>
      <c r="IA132" s="74"/>
      <c r="IB132" s="73">
        <f t="shared" ca="1" si="1214"/>
        <v>0</v>
      </c>
      <c r="IC132" s="64"/>
      <c r="ID132" s="74"/>
      <c r="IE132" s="73">
        <f t="shared" ca="1" si="1215"/>
        <v>0</v>
      </c>
      <c r="IF132" s="64"/>
      <c r="IG132" s="74"/>
      <c r="IH132" s="73">
        <f t="shared" ca="1" si="1216"/>
        <v>0</v>
      </c>
      <c r="II132" s="64"/>
      <c r="IJ132" s="74"/>
      <c r="IK132" s="73">
        <f t="shared" ca="1" si="1217"/>
        <v>0</v>
      </c>
      <c r="IL132" s="64"/>
      <c r="IM132" s="74"/>
      <c r="IN132" s="73">
        <f t="shared" ca="1" si="1218"/>
        <v>0</v>
      </c>
      <c r="IO132" s="64"/>
      <c r="IP132" s="74"/>
      <c r="IQ132" s="73">
        <f t="shared" ca="1" si="1219"/>
        <v>0</v>
      </c>
      <c r="IR132" s="64"/>
      <c r="IS132" s="74"/>
      <c r="IT132" s="73">
        <f t="shared" ca="1" si="1220"/>
        <v>0</v>
      </c>
      <c r="IU132" s="64"/>
      <c r="IV132" s="74"/>
      <c r="IW132" s="73">
        <f t="shared" ca="1" si="1221"/>
        <v>0</v>
      </c>
      <c r="IX132" s="64"/>
      <c r="IY132" s="74"/>
      <c r="IZ132" s="73">
        <f t="shared" ca="1" si="1222"/>
        <v>0</v>
      </c>
      <c r="JA132" s="64"/>
      <c r="JB132" s="74"/>
      <c r="JC132" s="73">
        <f t="shared" ca="1" si="1223"/>
        <v>0</v>
      </c>
      <c r="JD132" s="64"/>
      <c r="JE132" s="74"/>
      <c r="JF132" s="73">
        <f t="shared" ca="1" si="1224"/>
        <v>0</v>
      </c>
      <c r="JG132" s="64"/>
      <c r="JH132" s="74"/>
      <c r="JI132" s="73">
        <f t="shared" ca="1" si="1225"/>
        <v>0</v>
      </c>
      <c r="JJ132" s="64"/>
      <c r="JK132" s="74"/>
      <c r="JL132" s="73">
        <f t="shared" ca="1" si="1226"/>
        <v>0</v>
      </c>
      <c r="JM132" s="64"/>
      <c r="JN132" s="74"/>
      <c r="JO132" s="73">
        <f t="shared" ca="1" si="1227"/>
        <v>0</v>
      </c>
      <c r="JP132" s="64"/>
      <c r="JQ132" s="74"/>
      <c r="JR132" s="73">
        <f t="shared" ca="1" si="1228"/>
        <v>0</v>
      </c>
      <c r="JS132" s="64"/>
      <c r="JT132" s="74"/>
      <c r="JU132" s="73">
        <f t="shared" ca="1" si="1229"/>
        <v>0</v>
      </c>
      <c r="JV132" s="64"/>
      <c r="JW132" s="74"/>
      <c r="JX132" s="73">
        <f t="shared" ca="1" si="1230"/>
        <v>0</v>
      </c>
      <c r="JY132" s="64"/>
      <c r="JZ132" s="74"/>
      <c r="KA132" s="73">
        <f t="shared" ca="1" si="1231"/>
        <v>0</v>
      </c>
      <c r="KB132" s="64"/>
      <c r="KC132" s="74"/>
      <c r="KD132" s="73">
        <f t="shared" ca="1" si="1232"/>
        <v>0</v>
      </c>
      <c r="KE132" s="64"/>
      <c r="KF132" s="74"/>
      <c r="KG132" s="73">
        <f t="shared" ca="1" si="1233"/>
        <v>0</v>
      </c>
      <c r="KH132" s="64"/>
      <c r="KI132" s="74"/>
      <c r="KJ132" s="73">
        <f t="shared" ca="1" si="1234"/>
        <v>0</v>
      </c>
      <c r="KK132" s="64"/>
      <c r="KL132" s="74"/>
      <c r="KM132" s="73">
        <f t="shared" ca="1" si="1235"/>
        <v>0</v>
      </c>
      <c r="KN132" s="64"/>
      <c r="KO132" s="74"/>
      <c r="KP132" s="73">
        <f t="shared" ca="1" si="1236"/>
        <v>0</v>
      </c>
      <c r="KQ132" s="64"/>
      <c r="KR132" s="74"/>
      <c r="KS132" s="73">
        <f t="shared" ca="1" si="1237"/>
        <v>0</v>
      </c>
      <c r="KT132" s="64"/>
      <c r="KU132" s="74"/>
      <c r="KV132" s="73">
        <f t="shared" ca="1" si="1238"/>
        <v>0</v>
      </c>
      <c r="KW132" s="64"/>
      <c r="KX132" s="74"/>
      <c r="KY132" s="73">
        <f t="shared" ca="1" si="1239"/>
        <v>0</v>
      </c>
      <c r="KZ132" s="64"/>
      <c r="LA132" s="74"/>
      <c r="LB132" s="73">
        <f t="shared" ca="1" si="1240"/>
        <v>0</v>
      </c>
      <c r="LC132" s="64"/>
      <c r="LD132" s="74"/>
      <c r="LE132" s="73">
        <f t="shared" ca="1" si="1241"/>
        <v>0</v>
      </c>
      <c r="LF132" s="64"/>
      <c r="LG132" s="64"/>
    </row>
    <row r="133" spans="1:319">
      <c r="A133" s="49"/>
      <c r="B133" s="49"/>
      <c r="C133" s="49"/>
      <c r="D133" s="49"/>
      <c r="E133" s="65"/>
      <c r="F133" s="127">
        <f t="shared" si="1242"/>
        <v>5</v>
      </c>
      <c r="G133" s="445">
        <f ca="1">VLOOKUP(H133,Equipos!$Q$1:$R$25,2,0)</f>
        <v>19</v>
      </c>
      <c r="H133" s="447" t="str">
        <f>Idiomas!$D$137</f>
        <v>QUALIFIED FOR ROUND OF 32</v>
      </c>
      <c r="I133" s="50"/>
      <c r="J133" s="845"/>
      <c r="K133" s="56" t="str">
        <f>Idiomas!$D$198&amp;"-"&amp;ROWS($L$130:L133)</f>
        <v>16-Finalist-4</v>
      </c>
      <c r="L133" s="53"/>
      <c r="M133" s="55" t="str">
        <f ca="1">WORLDCUP!AA104</f>
        <v>Netherlands</v>
      </c>
      <c r="N133" s="25"/>
      <c r="O133" s="25"/>
      <c r="P133" s="25"/>
      <c r="Q133" s="25"/>
      <c r="R133" s="110"/>
      <c r="S133" s="74" t="s">
        <v>291</v>
      </c>
      <c r="T133" s="73">
        <f t="shared" ca="1" si="1142"/>
        <v>5</v>
      </c>
      <c r="U133" s="64"/>
      <c r="V133" s="74" t="s">
        <v>291</v>
      </c>
      <c r="W133" s="73">
        <f t="shared" ca="1" si="1143"/>
        <v>5</v>
      </c>
      <c r="X133" s="64"/>
      <c r="Y133" s="74" t="s">
        <v>291</v>
      </c>
      <c r="Z133" s="73">
        <f t="shared" ca="1" si="1144"/>
        <v>5</v>
      </c>
      <c r="AA133" s="64"/>
      <c r="AB133" s="74" t="s">
        <v>291</v>
      </c>
      <c r="AC133" s="73">
        <f t="shared" ca="1" si="1145"/>
        <v>5</v>
      </c>
      <c r="AD133" s="64"/>
      <c r="AE133" s="74" t="s">
        <v>291</v>
      </c>
      <c r="AF133" s="73">
        <f t="shared" ca="1" si="1146"/>
        <v>5</v>
      </c>
      <c r="AG133" s="64"/>
      <c r="AH133" s="74" t="s">
        <v>291</v>
      </c>
      <c r="AI133" s="73">
        <f t="shared" ca="1" si="1147"/>
        <v>5</v>
      </c>
      <c r="AJ133" s="64"/>
      <c r="AK133" s="74" t="s">
        <v>291</v>
      </c>
      <c r="AL133" s="73">
        <f t="shared" ca="1" si="1148"/>
        <v>5</v>
      </c>
      <c r="AM133" s="64"/>
      <c r="AN133" s="74" t="s">
        <v>1284</v>
      </c>
      <c r="AO133" s="73">
        <f t="shared" ca="1" si="1149"/>
        <v>5</v>
      </c>
      <c r="AP133" s="64"/>
      <c r="AQ133" s="74" t="s">
        <v>291</v>
      </c>
      <c r="AR133" s="73">
        <f t="shared" ca="1" si="1150"/>
        <v>5</v>
      </c>
      <c r="AS133" s="64"/>
      <c r="AT133" s="74" t="s">
        <v>291</v>
      </c>
      <c r="AU133" s="73">
        <f t="shared" ca="1" si="1151"/>
        <v>5</v>
      </c>
      <c r="AV133" s="64"/>
      <c r="AW133" s="74" t="s">
        <v>1834</v>
      </c>
      <c r="AX133" s="73">
        <f t="shared" ca="1" si="1152"/>
        <v>5</v>
      </c>
      <c r="AY133" s="64"/>
      <c r="AZ133" s="74" t="s">
        <v>291</v>
      </c>
      <c r="BA133" s="73">
        <f t="shared" ca="1" si="1153"/>
        <v>5</v>
      </c>
      <c r="BB133" s="64"/>
      <c r="BC133" s="74" t="s">
        <v>1284</v>
      </c>
      <c r="BD133" s="73">
        <f t="shared" ca="1" si="1154"/>
        <v>5</v>
      </c>
      <c r="BE133" s="64"/>
      <c r="BF133" s="74" t="s">
        <v>291</v>
      </c>
      <c r="BG133" s="73">
        <f t="shared" ca="1" si="1155"/>
        <v>5</v>
      </c>
      <c r="BH133" s="64"/>
      <c r="BI133" s="74" t="s">
        <v>291</v>
      </c>
      <c r="BJ133" s="73">
        <f t="shared" ca="1" si="1156"/>
        <v>5</v>
      </c>
      <c r="BK133" s="64"/>
      <c r="BL133" s="74" t="s">
        <v>291</v>
      </c>
      <c r="BM133" s="73">
        <f t="shared" ca="1" si="1157"/>
        <v>5</v>
      </c>
      <c r="BN133" s="64"/>
      <c r="BO133" s="74" t="s">
        <v>291</v>
      </c>
      <c r="BP133" s="73">
        <f t="shared" ca="1" si="1158"/>
        <v>5</v>
      </c>
      <c r="BQ133" s="64"/>
      <c r="BR133" s="74" t="s">
        <v>291</v>
      </c>
      <c r="BS133" s="73">
        <f t="shared" ca="1" si="1159"/>
        <v>5</v>
      </c>
      <c r="BT133" s="64"/>
      <c r="BU133" s="74" t="s">
        <v>291</v>
      </c>
      <c r="BV133" s="73">
        <f t="shared" ca="1" si="1160"/>
        <v>5</v>
      </c>
      <c r="BW133" s="64"/>
      <c r="BX133" s="74" t="s">
        <v>291</v>
      </c>
      <c r="BY133" s="73">
        <f t="shared" ca="1" si="1161"/>
        <v>5</v>
      </c>
      <c r="BZ133" s="64"/>
      <c r="CA133" s="74" t="s">
        <v>291</v>
      </c>
      <c r="CB133" s="73">
        <f t="shared" ca="1" si="1162"/>
        <v>5</v>
      </c>
      <c r="CC133" s="64"/>
      <c r="CD133" s="74" t="s">
        <v>291</v>
      </c>
      <c r="CE133" s="73">
        <f t="shared" ca="1" si="1163"/>
        <v>5</v>
      </c>
      <c r="CF133" s="64"/>
      <c r="CG133" s="74" t="s">
        <v>291</v>
      </c>
      <c r="CH133" s="73">
        <f t="shared" ca="1" si="1164"/>
        <v>5</v>
      </c>
      <c r="CI133" s="64"/>
      <c r="CJ133" s="74" t="s">
        <v>291</v>
      </c>
      <c r="CK133" s="73">
        <f t="shared" ca="1" si="1165"/>
        <v>5</v>
      </c>
      <c r="CL133" s="64"/>
      <c r="CM133" s="74" t="s">
        <v>291</v>
      </c>
      <c r="CN133" s="73">
        <f t="shared" ca="1" si="1166"/>
        <v>5</v>
      </c>
      <c r="CO133" s="64"/>
      <c r="CP133" s="74" t="s">
        <v>291</v>
      </c>
      <c r="CQ133" s="73">
        <f t="shared" ca="1" si="1167"/>
        <v>5</v>
      </c>
      <c r="CR133" s="64"/>
      <c r="CS133" s="74" t="s">
        <v>1284</v>
      </c>
      <c r="CT133" s="73">
        <f t="shared" ca="1" si="1168"/>
        <v>5</v>
      </c>
      <c r="CU133" s="64"/>
      <c r="CV133" s="74" t="s">
        <v>291</v>
      </c>
      <c r="CW133" s="73">
        <f t="shared" ca="1" si="1169"/>
        <v>5</v>
      </c>
      <c r="CX133" s="64"/>
      <c r="CY133" s="74" t="s">
        <v>291</v>
      </c>
      <c r="CZ133" s="73">
        <f t="shared" ca="1" si="1170"/>
        <v>5</v>
      </c>
      <c r="DA133" s="64"/>
      <c r="DB133" s="74" t="s">
        <v>291</v>
      </c>
      <c r="DC133" s="73">
        <f t="shared" ca="1" si="1171"/>
        <v>5</v>
      </c>
      <c r="DD133" s="64"/>
      <c r="DE133" s="74" t="s">
        <v>291</v>
      </c>
      <c r="DF133" s="73">
        <f t="shared" ca="1" si="1172"/>
        <v>5</v>
      </c>
      <c r="DG133" s="64"/>
      <c r="DH133" s="74" t="s">
        <v>1284</v>
      </c>
      <c r="DI133" s="73">
        <f t="shared" ca="1" si="1173"/>
        <v>5</v>
      </c>
      <c r="DJ133" s="64"/>
      <c r="DK133" s="74" t="s">
        <v>291</v>
      </c>
      <c r="DL133" s="73">
        <f t="shared" ca="1" si="1174"/>
        <v>5</v>
      </c>
      <c r="DM133" s="64"/>
      <c r="DN133" s="74" t="s">
        <v>291</v>
      </c>
      <c r="DO133" s="73">
        <f t="shared" ca="1" si="1175"/>
        <v>5</v>
      </c>
      <c r="DP133" s="64"/>
      <c r="DQ133" s="74" t="s">
        <v>291</v>
      </c>
      <c r="DR133" s="73">
        <f t="shared" ca="1" si="1176"/>
        <v>5</v>
      </c>
      <c r="DS133" s="64"/>
      <c r="DT133" s="74" t="s">
        <v>291</v>
      </c>
      <c r="DU133" s="73">
        <f t="shared" ca="1" si="1177"/>
        <v>5</v>
      </c>
      <c r="DV133" s="64"/>
      <c r="DW133" s="74" t="s">
        <v>291</v>
      </c>
      <c r="DX133" s="73">
        <f t="shared" ca="1" si="1178"/>
        <v>5</v>
      </c>
      <c r="DY133" s="64"/>
      <c r="DZ133" s="74" t="s">
        <v>291</v>
      </c>
      <c r="EA133" s="73">
        <f t="shared" ca="1" si="1179"/>
        <v>5</v>
      </c>
      <c r="EB133" s="64"/>
      <c r="EC133" s="74" t="s">
        <v>291</v>
      </c>
      <c r="ED133" s="73">
        <f t="shared" ca="1" si="1180"/>
        <v>5</v>
      </c>
      <c r="EE133" s="64"/>
      <c r="EF133" s="74" t="s">
        <v>291</v>
      </c>
      <c r="EG133" s="73">
        <f t="shared" ca="1" si="1181"/>
        <v>5</v>
      </c>
      <c r="EH133" s="64"/>
      <c r="EI133" s="74" t="s">
        <v>291</v>
      </c>
      <c r="EJ133" s="73">
        <f t="shared" ca="1" si="1182"/>
        <v>5</v>
      </c>
      <c r="EK133" s="64"/>
      <c r="EL133" s="74" t="s">
        <v>291</v>
      </c>
      <c r="EM133" s="73">
        <f t="shared" ca="1" si="1183"/>
        <v>5</v>
      </c>
      <c r="EN133" s="64"/>
      <c r="EO133" s="74" t="s">
        <v>291</v>
      </c>
      <c r="EP133" s="73">
        <f t="shared" ca="1" si="1184"/>
        <v>5</v>
      </c>
      <c r="EQ133" s="64"/>
      <c r="ER133" s="74" t="s">
        <v>291</v>
      </c>
      <c r="ES133" s="73">
        <f t="shared" ca="1" si="1185"/>
        <v>5</v>
      </c>
      <c r="ET133" s="64"/>
      <c r="EU133" s="74" t="s">
        <v>1834</v>
      </c>
      <c r="EV133" s="73">
        <f t="shared" ca="1" si="1186"/>
        <v>5</v>
      </c>
      <c r="EW133" s="64"/>
      <c r="EX133" s="74" t="s">
        <v>291</v>
      </c>
      <c r="EY133" s="73">
        <f t="shared" ca="1" si="1187"/>
        <v>5</v>
      </c>
      <c r="EZ133" s="64"/>
      <c r="FA133" s="74" t="s">
        <v>291</v>
      </c>
      <c r="FB133" s="73">
        <f t="shared" ca="1" si="1188"/>
        <v>5</v>
      </c>
      <c r="FC133" s="64"/>
      <c r="FD133" s="74" t="s">
        <v>291</v>
      </c>
      <c r="FE133" s="73">
        <f t="shared" ca="1" si="1189"/>
        <v>5</v>
      </c>
      <c r="FF133" s="64"/>
      <c r="FG133" s="74" t="s">
        <v>291</v>
      </c>
      <c r="FH133" s="73">
        <f t="shared" ca="1" si="1190"/>
        <v>5</v>
      </c>
      <c r="FI133" s="64"/>
      <c r="FJ133" s="74" t="s">
        <v>291</v>
      </c>
      <c r="FK133" s="73">
        <f t="shared" ca="1" si="1191"/>
        <v>5</v>
      </c>
      <c r="FL133" s="64"/>
      <c r="FM133" s="74" t="s">
        <v>291</v>
      </c>
      <c r="FN133" s="73">
        <f t="shared" ca="1" si="1192"/>
        <v>5</v>
      </c>
      <c r="FO133" s="64"/>
      <c r="FP133" s="74" t="s">
        <v>291</v>
      </c>
      <c r="FQ133" s="73">
        <f t="shared" ca="1" si="1193"/>
        <v>5</v>
      </c>
      <c r="FR133" s="64"/>
      <c r="FS133" s="74" t="s">
        <v>291</v>
      </c>
      <c r="FT133" s="73">
        <f t="shared" ca="1" si="1194"/>
        <v>5</v>
      </c>
      <c r="FU133" s="64"/>
      <c r="FV133" s="74" t="s">
        <v>291</v>
      </c>
      <c r="FW133" s="73">
        <f t="shared" ca="1" si="1195"/>
        <v>5</v>
      </c>
      <c r="FX133" s="64"/>
      <c r="FY133" s="74" t="s">
        <v>291</v>
      </c>
      <c r="FZ133" s="73">
        <f t="shared" ca="1" si="1196"/>
        <v>5</v>
      </c>
      <c r="GA133" s="64"/>
      <c r="GB133" s="74" t="s">
        <v>291</v>
      </c>
      <c r="GC133" s="73">
        <f t="shared" ca="1" si="1197"/>
        <v>5</v>
      </c>
      <c r="GD133" s="64"/>
      <c r="GE133" s="74" t="s">
        <v>291</v>
      </c>
      <c r="GF133" s="73">
        <f t="shared" ca="1" si="1198"/>
        <v>5</v>
      </c>
      <c r="GG133" s="64"/>
      <c r="GH133" s="74" t="s">
        <v>291</v>
      </c>
      <c r="GI133" s="73">
        <f t="shared" ca="1" si="1199"/>
        <v>5</v>
      </c>
      <c r="GJ133" s="64"/>
      <c r="GK133" s="74" t="s">
        <v>291</v>
      </c>
      <c r="GL133" s="73">
        <f t="shared" ca="1" si="1200"/>
        <v>5</v>
      </c>
      <c r="GM133" s="64"/>
      <c r="GN133" s="74"/>
      <c r="GO133" s="73">
        <f t="shared" ca="1" si="1201"/>
        <v>0</v>
      </c>
      <c r="GP133" s="64"/>
      <c r="GQ133" s="74"/>
      <c r="GR133" s="73">
        <f t="shared" ca="1" si="1202"/>
        <v>0</v>
      </c>
      <c r="GS133" s="64"/>
      <c r="GT133" s="74"/>
      <c r="GU133" s="73">
        <f t="shared" ca="1" si="1203"/>
        <v>0</v>
      </c>
      <c r="GV133" s="64"/>
      <c r="GW133" s="74"/>
      <c r="GX133" s="73">
        <f t="shared" ca="1" si="1204"/>
        <v>0</v>
      </c>
      <c r="GY133" s="64"/>
      <c r="GZ133" s="74"/>
      <c r="HA133" s="73">
        <f t="shared" ca="1" si="1205"/>
        <v>0</v>
      </c>
      <c r="HB133" s="64"/>
      <c r="HC133" s="74"/>
      <c r="HD133" s="73">
        <f t="shared" ca="1" si="1206"/>
        <v>0</v>
      </c>
      <c r="HE133" s="64"/>
      <c r="HF133" s="74"/>
      <c r="HG133" s="73">
        <f t="shared" ca="1" si="1207"/>
        <v>0</v>
      </c>
      <c r="HH133" s="64"/>
      <c r="HI133" s="74"/>
      <c r="HJ133" s="73">
        <f t="shared" ca="1" si="1208"/>
        <v>0</v>
      </c>
      <c r="HK133" s="64"/>
      <c r="HL133" s="74"/>
      <c r="HM133" s="73">
        <f t="shared" ca="1" si="1209"/>
        <v>0</v>
      </c>
      <c r="HN133" s="64"/>
      <c r="HO133" s="74"/>
      <c r="HP133" s="73">
        <f t="shared" ca="1" si="1210"/>
        <v>0</v>
      </c>
      <c r="HQ133" s="64"/>
      <c r="HR133" s="74"/>
      <c r="HS133" s="73">
        <f t="shared" ca="1" si="1211"/>
        <v>0</v>
      </c>
      <c r="HT133" s="64"/>
      <c r="HU133" s="74"/>
      <c r="HV133" s="73">
        <f t="shared" ca="1" si="1212"/>
        <v>0</v>
      </c>
      <c r="HW133" s="64"/>
      <c r="HX133" s="74"/>
      <c r="HY133" s="73">
        <f t="shared" ca="1" si="1213"/>
        <v>0</v>
      </c>
      <c r="HZ133" s="64"/>
      <c r="IA133" s="74"/>
      <c r="IB133" s="73">
        <f t="shared" ca="1" si="1214"/>
        <v>0</v>
      </c>
      <c r="IC133" s="64"/>
      <c r="ID133" s="74"/>
      <c r="IE133" s="73">
        <f t="shared" ca="1" si="1215"/>
        <v>0</v>
      </c>
      <c r="IF133" s="64"/>
      <c r="IG133" s="74"/>
      <c r="IH133" s="73">
        <f t="shared" ca="1" si="1216"/>
        <v>0</v>
      </c>
      <c r="II133" s="64"/>
      <c r="IJ133" s="74"/>
      <c r="IK133" s="73">
        <f t="shared" ca="1" si="1217"/>
        <v>0</v>
      </c>
      <c r="IL133" s="64"/>
      <c r="IM133" s="74"/>
      <c r="IN133" s="73">
        <f t="shared" ca="1" si="1218"/>
        <v>0</v>
      </c>
      <c r="IO133" s="64"/>
      <c r="IP133" s="74"/>
      <c r="IQ133" s="73">
        <f t="shared" ca="1" si="1219"/>
        <v>0</v>
      </c>
      <c r="IR133" s="64"/>
      <c r="IS133" s="74"/>
      <c r="IT133" s="73">
        <f t="shared" ca="1" si="1220"/>
        <v>0</v>
      </c>
      <c r="IU133" s="64"/>
      <c r="IV133" s="74"/>
      <c r="IW133" s="73">
        <f t="shared" ca="1" si="1221"/>
        <v>0</v>
      </c>
      <c r="IX133" s="64"/>
      <c r="IY133" s="74"/>
      <c r="IZ133" s="73">
        <f t="shared" ca="1" si="1222"/>
        <v>0</v>
      </c>
      <c r="JA133" s="64"/>
      <c r="JB133" s="74"/>
      <c r="JC133" s="73">
        <f t="shared" ca="1" si="1223"/>
        <v>0</v>
      </c>
      <c r="JD133" s="64"/>
      <c r="JE133" s="74"/>
      <c r="JF133" s="73">
        <f t="shared" ca="1" si="1224"/>
        <v>0</v>
      </c>
      <c r="JG133" s="64"/>
      <c r="JH133" s="74"/>
      <c r="JI133" s="73">
        <f t="shared" ca="1" si="1225"/>
        <v>0</v>
      </c>
      <c r="JJ133" s="64"/>
      <c r="JK133" s="74"/>
      <c r="JL133" s="73">
        <f t="shared" ca="1" si="1226"/>
        <v>0</v>
      </c>
      <c r="JM133" s="64"/>
      <c r="JN133" s="74"/>
      <c r="JO133" s="73">
        <f t="shared" ca="1" si="1227"/>
        <v>0</v>
      </c>
      <c r="JP133" s="64"/>
      <c r="JQ133" s="74"/>
      <c r="JR133" s="73">
        <f t="shared" ca="1" si="1228"/>
        <v>0</v>
      </c>
      <c r="JS133" s="64"/>
      <c r="JT133" s="74"/>
      <c r="JU133" s="73">
        <f t="shared" ca="1" si="1229"/>
        <v>0</v>
      </c>
      <c r="JV133" s="64"/>
      <c r="JW133" s="74"/>
      <c r="JX133" s="73">
        <f t="shared" ca="1" si="1230"/>
        <v>0</v>
      </c>
      <c r="JY133" s="64"/>
      <c r="JZ133" s="74"/>
      <c r="KA133" s="73">
        <f t="shared" ca="1" si="1231"/>
        <v>0</v>
      </c>
      <c r="KB133" s="64"/>
      <c r="KC133" s="74"/>
      <c r="KD133" s="73">
        <f t="shared" ca="1" si="1232"/>
        <v>0</v>
      </c>
      <c r="KE133" s="64"/>
      <c r="KF133" s="74"/>
      <c r="KG133" s="73">
        <f t="shared" ca="1" si="1233"/>
        <v>0</v>
      </c>
      <c r="KH133" s="64"/>
      <c r="KI133" s="74"/>
      <c r="KJ133" s="73">
        <f t="shared" ca="1" si="1234"/>
        <v>0</v>
      </c>
      <c r="KK133" s="64"/>
      <c r="KL133" s="74"/>
      <c r="KM133" s="73">
        <f t="shared" ca="1" si="1235"/>
        <v>0</v>
      </c>
      <c r="KN133" s="64"/>
      <c r="KO133" s="74"/>
      <c r="KP133" s="73">
        <f t="shared" ca="1" si="1236"/>
        <v>0</v>
      </c>
      <c r="KQ133" s="64"/>
      <c r="KR133" s="74"/>
      <c r="KS133" s="73">
        <f t="shared" ca="1" si="1237"/>
        <v>0</v>
      </c>
      <c r="KT133" s="64"/>
      <c r="KU133" s="74"/>
      <c r="KV133" s="73">
        <f t="shared" ca="1" si="1238"/>
        <v>0</v>
      </c>
      <c r="KW133" s="64"/>
      <c r="KX133" s="74"/>
      <c r="KY133" s="73">
        <f t="shared" ca="1" si="1239"/>
        <v>0</v>
      </c>
      <c r="KZ133" s="64"/>
      <c r="LA133" s="74"/>
      <c r="LB133" s="73">
        <f t="shared" ca="1" si="1240"/>
        <v>0</v>
      </c>
      <c r="LC133" s="64"/>
      <c r="LD133" s="74"/>
      <c r="LE133" s="73">
        <f t="shared" ca="1" si="1241"/>
        <v>0</v>
      </c>
      <c r="LF133" s="64"/>
      <c r="LG133" s="64"/>
    </row>
    <row r="134" spans="1:319">
      <c r="A134" s="49"/>
      <c r="B134" s="49"/>
      <c r="C134" s="49"/>
      <c r="D134" s="49"/>
      <c r="E134" s="65"/>
      <c r="F134" s="127">
        <f t="shared" si="1242"/>
        <v>5</v>
      </c>
      <c r="G134" s="445">
        <f ca="1">VLOOKUP(H134,Equipos!$Q$1:$R$25,2,0)</f>
        <v>19</v>
      </c>
      <c r="H134" s="447" t="str">
        <f>Idiomas!$D$137</f>
        <v>QUALIFIED FOR ROUND OF 32</v>
      </c>
      <c r="I134" s="50"/>
      <c r="J134" s="845"/>
      <c r="K134" s="56" t="str">
        <f>Idiomas!$D$198&amp;"-"&amp;ROWS($L$130:L134)</f>
        <v>16-Finalist-5</v>
      </c>
      <c r="L134" s="53"/>
      <c r="M134" s="55" t="str">
        <f ca="1">WORLDCUP!AA105</f>
        <v>Ivory Coast</v>
      </c>
      <c r="N134" s="25"/>
      <c r="O134" s="25"/>
      <c r="P134" s="25"/>
      <c r="Q134" s="25"/>
      <c r="R134" s="110"/>
      <c r="S134" s="74" t="s">
        <v>1261</v>
      </c>
      <c r="T134" s="73">
        <f t="shared" ca="1" si="1142"/>
        <v>5</v>
      </c>
      <c r="U134" s="64"/>
      <c r="V134" s="74" t="s">
        <v>1261</v>
      </c>
      <c r="W134" s="73">
        <f t="shared" ca="1" si="1143"/>
        <v>5</v>
      </c>
      <c r="X134" s="64"/>
      <c r="Y134" s="74" t="s">
        <v>1261</v>
      </c>
      <c r="Z134" s="73">
        <f t="shared" ca="1" si="1144"/>
        <v>5</v>
      </c>
      <c r="AA134" s="64"/>
      <c r="AB134" s="74" t="s">
        <v>1261</v>
      </c>
      <c r="AC134" s="73">
        <f t="shared" ca="1" si="1145"/>
        <v>5</v>
      </c>
      <c r="AD134" s="64"/>
      <c r="AE134" s="74" t="s">
        <v>1261</v>
      </c>
      <c r="AF134" s="73">
        <f t="shared" ca="1" si="1146"/>
        <v>5</v>
      </c>
      <c r="AG134" s="64"/>
      <c r="AH134" s="74" t="s">
        <v>1261</v>
      </c>
      <c r="AI134" s="73">
        <f t="shared" ca="1" si="1147"/>
        <v>5</v>
      </c>
      <c r="AJ134" s="64"/>
      <c r="AK134" s="74" t="s">
        <v>1727</v>
      </c>
      <c r="AL134" s="73">
        <f t="shared" ca="1" si="1148"/>
        <v>0</v>
      </c>
      <c r="AM134" s="64"/>
      <c r="AN134" s="74" t="s">
        <v>1641</v>
      </c>
      <c r="AO134" s="73">
        <f t="shared" ca="1" si="1149"/>
        <v>5</v>
      </c>
      <c r="AP134" s="64"/>
      <c r="AQ134" s="74" t="s">
        <v>1261</v>
      </c>
      <c r="AR134" s="73">
        <f t="shared" ca="1" si="1150"/>
        <v>5</v>
      </c>
      <c r="AS134" s="64"/>
      <c r="AT134" s="74" t="s">
        <v>1261</v>
      </c>
      <c r="AU134" s="73">
        <f t="shared" ca="1" si="1151"/>
        <v>5</v>
      </c>
      <c r="AV134" s="64"/>
      <c r="AW134" s="74" t="s">
        <v>1261</v>
      </c>
      <c r="AX134" s="73">
        <f t="shared" ca="1" si="1152"/>
        <v>5</v>
      </c>
      <c r="AY134" s="64"/>
      <c r="AZ134" s="74" t="s">
        <v>1261</v>
      </c>
      <c r="BA134" s="73">
        <f t="shared" ca="1" si="1153"/>
        <v>5</v>
      </c>
      <c r="BB134" s="64"/>
      <c r="BC134" s="74" t="s">
        <v>1261</v>
      </c>
      <c r="BD134" s="73">
        <f t="shared" ca="1" si="1154"/>
        <v>5</v>
      </c>
      <c r="BE134" s="64"/>
      <c r="BF134" s="74" t="s">
        <v>1261</v>
      </c>
      <c r="BG134" s="73">
        <f t="shared" ca="1" si="1155"/>
        <v>5</v>
      </c>
      <c r="BH134" s="64"/>
      <c r="BI134" s="74" t="s">
        <v>1261</v>
      </c>
      <c r="BJ134" s="73">
        <f t="shared" ca="1" si="1156"/>
        <v>5</v>
      </c>
      <c r="BK134" s="64"/>
      <c r="BL134" s="74" t="s">
        <v>1261</v>
      </c>
      <c r="BM134" s="73">
        <f t="shared" ca="1" si="1157"/>
        <v>5</v>
      </c>
      <c r="BN134" s="64"/>
      <c r="BO134" s="74" t="s">
        <v>1261</v>
      </c>
      <c r="BP134" s="73">
        <f t="shared" ca="1" si="1158"/>
        <v>5</v>
      </c>
      <c r="BQ134" s="64"/>
      <c r="BR134" s="74" t="s">
        <v>1641</v>
      </c>
      <c r="BS134" s="73">
        <f t="shared" ca="1" si="1159"/>
        <v>5</v>
      </c>
      <c r="BT134" s="64"/>
      <c r="BU134" s="74" t="s">
        <v>1261</v>
      </c>
      <c r="BV134" s="73">
        <f t="shared" ca="1" si="1160"/>
        <v>5</v>
      </c>
      <c r="BW134" s="64"/>
      <c r="BX134" s="74" t="s">
        <v>1641</v>
      </c>
      <c r="BY134" s="73">
        <f t="shared" ca="1" si="1161"/>
        <v>5</v>
      </c>
      <c r="BZ134" s="64"/>
      <c r="CA134" s="74" t="s">
        <v>1641</v>
      </c>
      <c r="CB134" s="73">
        <f t="shared" ca="1" si="1162"/>
        <v>5</v>
      </c>
      <c r="CC134" s="64"/>
      <c r="CD134" s="74" t="s">
        <v>1261</v>
      </c>
      <c r="CE134" s="73">
        <f t="shared" ca="1" si="1163"/>
        <v>5</v>
      </c>
      <c r="CF134" s="64"/>
      <c r="CG134" s="74" t="s">
        <v>1641</v>
      </c>
      <c r="CH134" s="73">
        <f t="shared" ca="1" si="1164"/>
        <v>5</v>
      </c>
      <c r="CI134" s="64"/>
      <c r="CJ134" s="74" t="s">
        <v>297</v>
      </c>
      <c r="CK134" s="73">
        <f t="shared" ca="1" si="1165"/>
        <v>5</v>
      </c>
      <c r="CL134" s="64"/>
      <c r="CM134" s="74" t="s">
        <v>1641</v>
      </c>
      <c r="CN134" s="73">
        <f t="shared" ca="1" si="1166"/>
        <v>5</v>
      </c>
      <c r="CO134" s="64"/>
      <c r="CP134" s="74" t="s">
        <v>1641</v>
      </c>
      <c r="CQ134" s="73">
        <f t="shared" ca="1" si="1167"/>
        <v>5</v>
      </c>
      <c r="CR134" s="64"/>
      <c r="CS134" s="74" t="s">
        <v>1641</v>
      </c>
      <c r="CT134" s="73">
        <f t="shared" ca="1" si="1168"/>
        <v>5</v>
      </c>
      <c r="CU134" s="64"/>
      <c r="CV134" s="74" t="s">
        <v>1727</v>
      </c>
      <c r="CW134" s="73">
        <f t="shared" ca="1" si="1169"/>
        <v>0</v>
      </c>
      <c r="CX134" s="64"/>
      <c r="CY134" s="74" t="s">
        <v>297</v>
      </c>
      <c r="CZ134" s="73">
        <f t="shared" ca="1" si="1170"/>
        <v>5</v>
      </c>
      <c r="DA134" s="64"/>
      <c r="DB134" s="74" t="s">
        <v>1641</v>
      </c>
      <c r="DC134" s="73">
        <f t="shared" ca="1" si="1171"/>
        <v>5</v>
      </c>
      <c r="DD134" s="64"/>
      <c r="DE134" s="74" t="s">
        <v>1261</v>
      </c>
      <c r="DF134" s="73">
        <f t="shared" ca="1" si="1172"/>
        <v>5</v>
      </c>
      <c r="DG134" s="64"/>
      <c r="DH134" s="74" t="s">
        <v>1641</v>
      </c>
      <c r="DI134" s="73">
        <f t="shared" ca="1" si="1173"/>
        <v>5</v>
      </c>
      <c r="DJ134" s="64"/>
      <c r="DK134" s="74" t="s">
        <v>1261</v>
      </c>
      <c r="DL134" s="73">
        <f t="shared" ca="1" si="1174"/>
        <v>5</v>
      </c>
      <c r="DM134" s="64"/>
      <c r="DN134" s="74" t="s">
        <v>1261</v>
      </c>
      <c r="DO134" s="73">
        <f t="shared" ca="1" si="1175"/>
        <v>5</v>
      </c>
      <c r="DP134" s="64"/>
      <c r="DQ134" s="74" t="s">
        <v>1261</v>
      </c>
      <c r="DR134" s="73">
        <f t="shared" ca="1" si="1176"/>
        <v>5</v>
      </c>
      <c r="DS134" s="64"/>
      <c r="DT134" s="74" t="s">
        <v>1641</v>
      </c>
      <c r="DU134" s="73">
        <f t="shared" ca="1" si="1177"/>
        <v>5</v>
      </c>
      <c r="DV134" s="64"/>
      <c r="DW134" s="74" t="s">
        <v>1261</v>
      </c>
      <c r="DX134" s="73">
        <f t="shared" ca="1" si="1178"/>
        <v>5</v>
      </c>
      <c r="DY134" s="64"/>
      <c r="DZ134" s="74" t="s">
        <v>1641</v>
      </c>
      <c r="EA134" s="73">
        <f t="shared" ca="1" si="1179"/>
        <v>5</v>
      </c>
      <c r="EB134" s="64"/>
      <c r="EC134" s="74" t="s">
        <v>1641</v>
      </c>
      <c r="ED134" s="73">
        <f t="shared" ca="1" si="1180"/>
        <v>5</v>
      </c>
      <c r="EE134" s="64"/>
      <c r="EF134" s="74" t="s">
        <v>1641</v>
      </c>
      <c r="EG134" s="73">
        <f t="shared" ca="1" si="1181"/>
        <v>5</v>
      </c>
      <c r="EH134" s="64"/>
      <c r="EI134" s="74" t="s">
        <v>1261</v>
      </c>
      <c r="EJ134" s="73">
        <f t="shared" ca="1" si="1182"/>
        <v>5</v>
      </c>
      <c r="EK134" s="64"/>
      <c r="EL134" s="74" t="s">
        <v>1261</v>
      </c>
      <c r="EM134" s="73">
        <f t="shared" ca="1" si="1183"/>
        <v>5</v>
      </c>
      <c r="EN134" s="64"/>
      <c r="EO134" s="74" t="s">
        <v>1261</v>
      </c>
      <c r="EP134" s="73">
        <f t="shared" ca="1" si="1184"/>
        <v>5</v>
      </c>
      <c r="EQ134" s="64"/>
      <c r="ER134" s="74" t="s">
        <v>1261</v>
      </c>
      <c r="ES134" s="73">
        <f t="shared" ca="1" si="1185"/>
        <v>5</v>
      </c>
      <c r="ET134" s="64"/>
      <c r="EU134" s="74" t="s">
        <v>1261</v>
      </c>
      <c r="EV134" s="73">
        <f t="shared" ca="1" si="1186"/>
        <v>5</v>
      </c>
      <c r="EW134" s="64"/>
      <c r="EX134" s="74" t="s">
        <v>1641</v>
      </c>
      <c r="EY134" s="73">
        <f t="shared" ca="1" si="1187"/>
        <v>5</v>
      </c>
      <c r="EZ134" s="64"/>
      <c r="FA134" s="74" t="s">
        <v>1261</v>
      </c>
      <c r="FB134" s="73">
        <f t="shared" ca="1" si="1188"/>
        <v>5</v>
      </c>
      <c r="FC134" s="64"/>
      <c r="FD134" s="74" t="s">
        <v>1727</v>
      </c>
      <c r="FE134" s="73">
        <f t="shared" ca="1" si="1189"/>
        <v>0</v>
      </c>
      <c r="FF134" s="64"/>
      <c r="FG134" s="74" t="s">
        <v>297</v>
      </c>
      <c r="FH134" s="73">
        <f t="shared" ca="1" si="1190"/>
        <v>5</v>
      </c>
      <c r="FI134" s="64"/>
      <c r="FJ134" s="74" t="s">
        <v>1261</v>
      </c>
      <c r="FK134" s="73">
        <f t="shared" ca="1" si="1191"/>
        <v>5</v>
      </c>
      <c r="FL134" s="64"/>
      <c r="FM134" s="74" t="s">
        <v>1261</v>
      </c>
      <c r="FN134" s="73">
        <f t="shared" ca="1" si="1192"/>
        <v>5</v>
      </c>
      <c r="FO134" s="64"/>
      <c r="FP134" s="74" t="s">
        <v>1641</v>
      </c>
      <c r="FQ134" s="73">
        <f t="shared" ca="1" si="1193"/>
        <v>5</v>
      </c>
      <c r="FR134" s="64"/>
      <c r="FS134" s="74" t="s">
        <v>1261</v>
      </c>
      <c r="FT134" s="73">
        <f t="shared" ca="1" si="1194"/>
        <v>5</v>
      </c>
      <c r="FU134" s="64"/>
      <c r="FV134" s="74" t="s">
        <v>1641</v>
      </c>
      <c r="FW134" s="73">
        <f t="shared" ca="1" si="1195"/>
        <v>5</v>
      </c>
      <c r="FX134" s="64"/>
      <c r="FY134" s="74" t="s">
        <v>1261</v>
      </c>
      <c r="FZ134" s="73">
        <f t="shared" ca="1" si="1196"/>
        <v>5</v>
      </c>
      <c r="GA134" s="64"/>
      <c r="GB134" s="74" t="s">
        <v>1261</v>
      </c>
      <c r="GC134" s="73">
        <f t="shared" ca="1" si="1197"/>
        <v>5</v>
      </c>
      <c r="GD134" s="64"/>
      <c r="GE134" s="74" t="s">
        <v>1261</v>
      </c>
      <c r="GF134" s="73">
        <f t="shared" ca="1" si="1198"/>
        <v>5</v>
      </c>
      <c r="GG134" s="64"/>
      <c r="GH134" s="74" t="s">
        <v>1261</v>
      </c>
      <c r="GI134" s="73">
        <f t="shared" ca="1" si="1199"/>
        <v>5</v>
      </c>
      <c r="GJ134" s="64"/>
      <c r="GK134" s="74" t="s">
        <v>1261</v>
      </c>
      <c r="GL134" s="73">
        <f t="shared" ca="1" si="1200"/>
        <v>5</v>
      </c>
      <c r="GM134" s="64"/>
      <c r="GN134" s="74"/>
      <c r="GO134" s="73">
        <f t="shared" ca="1" si="1201"/>
        <v>0</v>
      </c>
      <c r="GP134" s="64"/>
      <c r="GQ134" s="74"/>
      <c r="GR134" s="73">
        <f t="shared" ca="1" si="1202"/>
        <v>0</v>
      </c>
      <c r="GS134" s="64"/>
      <c r="GT134" s="74"/>
      <c r="GU134" s="73">
        <f t="shared" ca="1" si="1203"/>
        <v>0</v>
      </c>
      <c r="GV134" s="64"/>
      <c r="GW134" s="74"/>
      <c r="GX134" s="73">
        <f t="shared" ca="1" si="1204"/>
        <v>0</v>
      </c>
      <c r="GY134" s="64"/>
      <c r="GZ134" s="74"/>
      <c r="HA134" s="73">
        <f t="shared" ca="1" si="1205"/>
        <v>0</v>
      </c>
      <c r="HB134" s="64"/>
      <c r="HC134" s="74"/>
      <c r="HD134" s="73">
        <f t="shared" ca="1" si="1206"/>
        <v>0</v>
      </c>
      <c r="HE134" s="64"/>
      <c r="HF134" s="74"/>
      <c r="HG134" s="73">
        <f t="shared" ca="1" si="1207"/>
        <v>0</v>
      </c>
      <c r="HH134" s="64"/>
      <c r="HI134" s="74"/>
      <c r="HJ134" s="73">
        <f t="shared" ca="1" si="1208"/>
        <v>0</v>
      </c>
      <c r="HK134" s="64"/>
      <c r="HL134" s="74"/>
      <c r="HM134" s="73">
        <f t="shared" ca="1" si="1209"/>
        <v>0</v>
      </c>
      <c r="HN134" s="64"/>
      <c r="HO134" s="74"/>
      <c r="HP134" s="73">
        <f t="shared" ca="1" si="1210"/>
        <v>0</v>
      </c>
      <c r="HQ134" s="64"/>
      <c r="HR134" s="74"/>
      <c r="HS134" s="73">
        <f t="shared" ca="1" si="1211"/>
        <v>0</v>
      </c>
      <c r="HT134" s="64"/>
      <c r="HU134" s="74"/>
      <c r="HV134" s="73">
        <f t="shared" ca="1" si="1212"/>
        <v>0</v>
      </c>
      <c r="HW134" s="64"/>
      <c r="HX134" s="74"/>
      <c r="HY134" s="73">
        <f t="shared" ca="1" si="1213"/>
        <v>0</v>
      </c>
      <c r="HZ134" s="64"/>
      <c r="IA134" s="74"/>
      <c r="IB134" s="73">
        <f t="shared" ca="1" si="1214"/>
        <v>0</v>
      </c>
      <c r="IC134" s="64"/>
      <c r="ID134" s="74"/>
      <c r="IE134" s="73">
        <f t="shared" ca="1" si="1215"/>
        <v>0</v>
      </c>
      <c r="IF134" s="64"/>
      <c r="IG134" s="74"/>
      <c r="IH134" s="73">
        <f t="shared" ca="1" si="1216"/>
        <v>0</v>
      </c>
      <c r="II134" s="64"/>
      <c r="IJ134" s="74"/>
      <c r="IK134" s="73">
        <f t="shared" ca="1" si="1217"/>
        <v>0</v>
      </c>
      <c r="IL134" s="64"/>
      <c r="IM134" s="74"/>
      <c r="IN134" s="73">
        <f t="shared" ca="1" si="1218"/>
        <v>0</v>
      </c>
      <c r="IO134" s="64"/>
      <c r="IP134" s="74"/>
      <c r="IQ134" s="73">
        <f t="shared" ca="1" si="1219"/>
        <v>0</v>
      </c>
      <c r="IR134" s="64"/>
      <c r="IS134" s="74"/>
      <c r="IT134" s="73">
        <f t="shared" ca="1" si="1220"/>
        <v>0</v>
      </c>
      <c r="IU134" s="64"/>
      <c r="IV134" s="74"/>
      <c r="IW134" s="73">
        <f t="shared" ca="1" si="1221"/>
        <v>0</v>
      </c>
      <c r="IX134" s="64"/>
      <c r="IY134" s="74"/>
      <c r="IZ134" s="73">
        <f t="shared" ca="1" si="1222"/>
        <v>0</v>
      </c>
      <c r="JA134" s="64"/>
      <c r="JB134" s="74"/>
      <c r="JC134" s="73">
        <f t="shared" ca="1" si="1223"/>
        <v>0</v>
      </c>
      <c r="JD134" s="64"/>
      <c r="JE134" s="74"/>
      <c r="JF134" s="73">
        <f t="shared" ca="1" si="1224"/>
        <v>0</v>
      </c>
      <c r="JG134" s="64"/>
      <c r="JH134" s="74"/>
      <c r="JI134" s="73">
        <f t="shared" ca="1" si="1225"/>
        <v>0</v>
      </c>
      <c r="JJ134" s="64"/>
      <c r="JK134" s="74"/>
      <c r="JL134" s="73">
        <f t="shared" ca="1" si="1226"/>
        <v>0</v>
      </c>
      <c r="JM134" s="64"/>
      <c r="JN134" s="74"/>
      <c r="JO134" s="73">
        <f t="shared" ca="1" si="1227"/>
        <v>0</v>
      </c>
      <c r="JP134" s="64"/>
      <c r="JQ134" s="74"/>
      <c r="JR134" s="73">
        <f t="shared" ca="1" si="1228"/>
        <v>0</v>
      </c>
      <c r="JS134" s="64"/>
      <c r="JT134" s="74"/>
      <c r="JU134" s="73">
        <f t="shared" ca="1" si="1229"/>
        <v>0</v>
      </c>
      <c r="JV134" s="64"/>
      <c r="JW134" s="74"/>
      <c r="JX134" s="73">
        <f t="shared" ca="1" si="1230"/>
        <v>0</v>
      </c>
      <c r="JY134" s="64"/>
      <c r="JZ134" s="74"/>
      <c r="KA134" s="73">
        <f t="shared" ca="1" si="1231"/>
        <v>0</v>
      </c>
      <c r="KB134" s="64"/>
      <c r="KC134" s="74"/>
      <c r="KD134" s="73">
        <f t="shared" ca="1" si="1232"/>
        <v>0</v>
      </c>
      <c r="KE134" s="64"/>
      <c r="KF134" s="74"/>
      <c r="KG134" s="73">
        <f t="shared" ca="1" si="1233"/>
        <v>0</v>
      </c>
      <c r="KH134" s="64"/>
      <c r="KI134" s="74"/>
      <c r="KJ134" s="73">
        <f t="shared" ca="1" si="1234"/>
        <v>0</v>
      </c>
      <c r="KK134" s="64"/>
      <c r="KL134" s="74"/>
      <c r="KM134" s="73">
        <f t="shared" ca="1" si="1235"/>
        <v>0</v>
      </c>
      <c r="KN134" s="64"/>
      <c r="KO134" s="74"/>
      <c r="KP134" s="73">
        <f t="shared" ca="1" si="1236"/>
        <v>0</v>
      </c>
      <c r="KQ134" s="64"/>
      <c r="KR134" s="74"/>
      <c r="KS134" s="73">
        <f t="shared" ca="1" si="1237"/>
        <v>0</v>
      </c>
      <c r="KT134" s="64"/>
      <c r="KU134" s="74"/>
      <c r="KV134" s="73">
        <f t="shared" ca="1" si="1238"/>
        <v>0</v>
      </c>
      <c r="KW134" s="64"/>
      <c r="KX134" s="74"/>
      <c r="KY134" s="73">
        <f t="shared" ca="1" si="1239"/>
        <v>0</v>
      </c>
      <c r="KZ134" s="64"/>
      <c r="LA134" s="74"/>
      <c r="LB134" s="73">
        <f t="shared" ca="1" si="1240"/>
        <v>0</v>
      </c>
      <c r="LC134" s="64"/>
      <c r="LD134" s="74"/>
      <c r="LE134" s="73">
        <f t="shared" ca="1" si="1241"/>
        <v>0</v>
      </c>
      <c r="LF134" s="64"/>
      <c r="LG134" s="64"/>
    </row>
    <row r="135" spans="1:319">
      <c r="A135" s="49"/>
      <c r="B135" s="49"/>
      <c r="C135" s="49"/>
      <c r="D135" s="49"/>
      <c r="E135" s="65"/>
      <c r="F135" s="127">
        <f t="shared" si="1242"/>
        <v>5</v>
      </c>
      <c r="G135" s="445">
        <f ca="1">VLOOKUP(H135,Equipos!$Q$1:$R$25,2,0)</f>
        <v>19</v>
      </c>
      <c r="H135" s="447" t="str">
        <f>Idiomas!$D$137</f>
        <v>QUALIFIED FOR ROUND OF 32</v>
      </c>
      <c r="I135" s="50"/>
      <c r="J135" s="845"/>
      <c r="K135" s="56" t="str">
        <f>Idiomas!$D$198&amp;"-"&amp;ROWS($L$130:L135)</f>
        <v>16-Finalist-6</v>
      </c>
      <c r="L135" s="53"/>
      <c r="M135" s="55" t="str">
        <f ca="1">WORLDCUP!AA106</f>
        <v>France</v>
      </c>
      <c r="N135" s="25"/>
      <c r="O135" s="25"/>
      <c r="P135" s="25"/>
      <c r="Q135" s="25"/>
      <c r="R135" s="110"/>
      <c r="S135" s="74" t="s">
        <v>1634</v>
      </c>
      <c r="T135" s="73">
        <f t="shared" ca="1" si="1142"/>
        <v>5</v>
      </c>
      <c r="U135" s="64"/>
      <c r="V135" s="74" t="s">
        <v>294</v>
      </c>
      <c r="W135" s="73">
        <f t="shared" ca="1" si="1143"/>
        <v>5</v>
      </c>
      <c r="X135" s="64"/>
      <c r="Y135" s="74" t="s">
        <v>294</v>
      </c>
      <c r="Z135" s="73">
        <f t="shared" ca="1" si="1144"/>
        <v>5</v>
      </c>
      <c r="AA135" s="64"/>
      <c r="AB135" s="74" t="s">
        <v>294</v>
      </c>
      <c r="AC135" s="73">
        <f t="shared" ca="1" si="1145"/>
        <v>5</v>
      </c>
      <c r="AD135" s="64"/>
      <c r="AE135" s="74" t="s">
        <v>294</v>
      </c>
      <c r="AF135" s="73">
        <f t="shared" ca="1" si="1146"/>
        <v>5</v>
      </c>
      <c r="AG135" s="64"/>
      <c r="AH135" s="74" t="s">
        <v>294</v>
      </c>
      <c r="AI135" s="73">
        <f t="shared" ca="1" si="1147"/>
        <v>5</v>
      </c>
      <c r="AJ135" s="64"/>
      <c r="AK135" s="74" t="s">
        <v>294</v>
      </c>
      <c r="AL135" s="73">
        <f t="shared" ca="1" si="1148"/>
        <v>5</v>
      </c>
      <c r="AM135" s="64"/>
      <c r="AN135" s="74" t="s">
        <v>294</v>
      </c>
      <c r="AO135" s="73">
        <f t="shared" ca="1" si="1149"/>
        <v>5</v>
      </c>
      <c r="AP135" s="64"/>
      <c r="AQ135" s="74" t="s">
        <v>294</v>
      </c>
      <c r="AR135" s="73">
        <f t="shared" ca="1" si="1150"/>
        <v>5</v>
      </c>
      <c r="AS135" s="64"/>
      <c r="AT135" s="74" t="s">
        <v>294</v>
      </c>
      <c r="AU135" s="73">
        <f t="shared" ca="1" si="1151"/>
        <v>5</v>
      </c>
      <c r="AV135" s="64"/>
      <c r="AW135" s="74" t="s">
        <v>294</v>
      </c>
      <c r="AX135" s="73">
        <f t="shared" ca="1" si="1152"/>
        <v>5</v>
      </c>
      <c r="AY135" s="64"/>
      <c r="AZ135" s="74" t="s">
        <v>294</v>
      </c>
      <c r="BA135" s="73">
        <f t="shared" ca="1" si="1153"/>
        <v>5</v>
      </c>
      <c r="BB135" s="64"/>
      <c r="BC135" s="74" t="s">
        <v>294</v>
      </c>
      <c r="BD135" s="73">
        <f t="shared" ca="1" si="1154"/>
        <v>5</v>
      </c>
      <c r="BE135" s="64"/>
      <c r="BF135" s="74" t="s">
        <v>294</v>
      </c>
      <c r="BG135" s="73">
        <f t="shared" ca="1" si="1155"/>
        <v>5</v>
      </c>
      <c r="BH135" s="64"/>
      <c r="BI135" s="74" t="s">
        <v>299</v>
      </c>
      <c r="BJ135" s="73">
        <f t="shared" ca="1" si="1156"/>
        <v>5</v>
      </c>
      <c r="BK135" s="64"/>
      <c r="BL135" s="74" t="s">
        <v>294</v>
      </c>
      <c r="BM135" s="73">
        <f t="shared" ca="1" si="1157"/>
        <v>5</v>
      </c>
      <c r="BN135" s="64"/>
      <c r="BO135" s="74" t="s">
        <v>294</v>
      </c>
      <c r="BP135" s="73">
        <f t="shared" ca="1" si="1158"/>
        <v>5</v>
      </c>
      <c r="BQ135" s="64"/>
      <c r="BR135" s="74" t="s">
        <v>294</v>
      </c>
      <c r="BS135" s="73">
        <f t="shared" ca="1" si="1159"/>
        <v>5</v>
      </c>
      <c r="BT135" s="64"/>
      <c r="BU135" s="74" t="s">
        <v>294</v>
      </c>
      <c r="BV135" s="73">
        <f t="shared" ca="1" si="1160"/>
        <v>5</v>
      </c>
      <c r="BW135" s="64"/>
      <c r="BX135" s="74" t="s">
        <v>294</v>
      </c>
      <c r="BY135" s="73">
        <f t="shared" ca="1" si="1161"/>
        <v>5</v>
      </c>
      <c r="BZ135" s="64"/>
      <c r="CA135" s="74" t="s">
        <v>294</v>
      </c>
      <c r="CB135" s="73">
        <f t="shared" ca="1" si="1162"/>
        <v>5</v>
      </c>
      <c r="CC135" s="64"/>
      <c r="CD135" s="74" t="s">
        <v>294</v>
      </c>
      <c r="CE135" s="73">
        <f t="shared" ca="1" si="1163"/>
        <v>5</v>
      </c>
      <c r="CF135" s="64"/>
      <c r="CG135" s="74" t="s">
        <v>294</v>
      </c>
      <c r="CH135" s="73">
        <f t="shared" ca="1" si="1164"/>
        <v>5</v>
      </c>
      <c r="CI135" s="64"/>
      <c r="CJ135" s="74" t="s">
        <v>294</v>
      </c>
      <c r="CK135" s="73">
        <f t="shared" ca="1" si="1165"/>
        <v>5</v>
      </c>
      <c r="CL135" s="64"/>
      <c r="CM135" s="74" t="s">
        <v>294</v>
      </c>
      <c r="CN135" s="73">
        <f t="shared" ca="1" si="1166"/>
        <v>5</v>
      </c>
      <c r="CO135" s="64"/>
      <c r="CP135" s="74" t="s">
        <v>294</v>
      </c>
      <c r="CQ135" s="73">
        <f t="shared" ca="1" si="1167"/>
        <v>5</v>
      </c>
      <c r="CR135" s="64"/>
      <c r="CS135" s="74" t="s">
        <v>299</v>
      </c>
      <c r="CT135" s="73">
        <f t="shared" ca="1" si="1168"/>
        <v>5</v>
      </c>
      <c r="CU135" s="64"/>
      <c r="CV135" s="74" t="s">
        <v>294</v>
      </c>
      <c r="CW135" s="73">
        <f t="shared" ca="1" si="1169"/>
        <v>5</v>
      </c>
      <c r="CX135" s="64"/>
      <c r="CY135" s="74" t="s">
        <v>294</v>
      </c>
      <c r="CZ135" s="73">
        <f t="shared" ca="1" si="1170"/>
        <v>5</v>
      </c>
      <c r="DA135" s="64"/>
      <c r="DB135" s="74" t="s">
        <v>294</v>
      </c>
      <c r="DC135" s="73">
        <f t="shared" ca="1" si="1171"/>
        <v>5</v>
      </c>
      <c r="DD135" s="64"/>
      <c r="DE135" s="74" t="s">
        <v>294</v>
      </c>
      <c r="DF135" s="73">
        <f t="shared" ca="1" si="1172"/>
        <v>5</v>
      </c>
      <c r="DG135" s="64"/>
      <c r="DH135" s="74" t="s">
        <v>294</v>
      </c>
      <c r="DI135" s="73">
        <f t="shared" ca="1" si="1173"/>
        <v>5</v>
      </c>
      <c r="DJ135" s="64"/>
      <c r="DK135" s="74" t="s">
        <v>294</v>
      </c>
      <c r="DL135" s="73">
        <f t="shared" ca="1" si="1174"/>
        <v>5</v>
      </c>
      <c r="DM135" s="64"/>
      <c r="DN135" s="74" t="s">
        <v>1634</v>
      </c>
      <c r="DO135" s="73">
        <f t="shared" ca="1" si="1175"/>
        <v>5</v>
      </c>
      <c r="DP135" s="64"/>
      <c r="DQ135" s="74" t="s">
        <v>294</v>
      </c>
      <c r="DR135" s="73">
        <f t="shared" ca="1" si="1176"/>
        <v>5</v>
      </c>
      <c r="DS135" s="64"/>
      <c r="DT135" s="74" t="s">
        <v>294</v>
      </c>
      <c r="DU135" s="73">
        <f t="shared" ca="1" si="1177"/>
        <v>5</v>
      </c>
      <c r="DV135" s="64"/>
      <c r="DW135" s="74" t="s">
        <v>294</v>
      </c>
      <c r="DX135" s="73">
        <f t="shared" ca="1" si="1178"/>
        <v>5</v>
      </c>
      <c r="DY135" s="64"/>
      <c r="DZ135" s="74" t="s">
        <v>294</v>
      </c>
      <c r="EA135" s="73">
        <f t="shared" ca="1" si="1179"/>
        <v>5</v>
      </c>
      <c r="EB135" s="64"/>
      <c r="EC135" s="74" t="s">
        <v>294</v>
      </c>
      <c r="ED135" s="73">
        <f t="shared" ca="1" si="1180"/>
        <v>5</v>
      </c>
      <c r="EE135" s="64"/>
      <c r="EF135" s="74" t="s">
        <v>294</v>
      </c>
      <c r="EG135" s="73">
        <f t="shared" ca="1" si="1181"/>
        <v>5</v>
      </c>
      <c r="EH135" s="64"/>
      <c r="EI135" s="74" t="s">
        <v>294</v>
      </c>
      <c r="EJ135" s="73">
        <f t="shared" ca="1" si="1182"/>
        <v>5</v>
      </c>
      <c r="EK135" s="64"/>
      <c r="EL135" s="74" t="s">
        <v>294</v>
      </c>
      <c r="EM135" s="73">
        <f t="shared" ca="1" si="1183"/>
        <v>5</v>
      </c>
      <c r="EN135" s="64"/>
      <c r="EO135" s="74" t="s">
        <v>294</v>
      </c>
      <c r="EP135" s="73">
        <f t="shared" ca="1" si="1184"/>
        <v>5</v>
      </c>
      <c r="EQ135" s="64"/>
      <c r="ER135" s="74" t="s">
        <v>294</v>
      </c>
      <c r="ES135" s="73">
        <f t="shared" ca="1" si="1185"/>
        <v>5</v>
      </c>
      <c r="ET135" s="64"/>
      <c r="EU135" s="74" t="s">
        <v>294</v>
      </c>
      <c r="EV135" s="73">
        <f t="shared" ca="1" si="1186"/>
        <v>5</v>
      </c>
      <c r="EW135" s="64"/>
      <c r="EX135" s="74" t="s">
        <v>294</v>
      </c>
      <c r="EY135" s="73">
        <f t="shared" ca="1" si="1187"/>
        <v>5</v>
      </c>
      <c r="EZ135" s="64"/>
      <c r="FA135" s="74" t="s">
        <v>294</v>
      </c>
      <c r="FB135" s="73">
        <f t="shared" ca="1" si="1188"/>
        <v>5</v>
      </c>
      <c r="FC135" s="64"/>
      <c r="FD135" s="74" t="s">
        <v>294</v>
      </c>
      <c r="FE135" s="73">
        <f t="shared" ca="1" si="1189"/>
        <v>5</v>
      </c>
      <c r="FF135" s="64"/>
      <c r="FG135" s="74" t="s">
        <v>294</v>
      </c>
      <c r="FH135" s="73">
        <f t="shared" ca="1" si="1190"/>
        <v>5</v>
      </c>
      <c r="FI135" s="64"/>
      <c r="FJ135" s="74" t="s">
        <v>294</v>
      </c>
      <c r="FK135" s="73">
        <f t="shared" ca="1" si="1191"/>
        <v>5</v>
      </c>
      <c r="FL135" s="64"/>
      <c r="FM135" s="74" t="s">
        <v>294</v>
      </c>
      <c r="FN135" s="73">
        <f t="shared" ca="1" si="1192"/>
        <v>5</v>
      </c>
      <c r="FO135" s="64"/>
      <c r="FP135" s="74" t="s">
        <v>294</v>
      </c>
      <c r="FQ135" s="73">
        <f t="shared" ca="1" si="1193"/>
        <v>5</v>
      </c>
      <c r="FR135" s="64"/>
      <c r="FS135" s="74" t="s">
        <v>294</v>
      </c>
      <c r="FT135" s="73">
        <f t="shared" ca="1" si="1194"/>
        <v>5</v>
      </c>
      <c r="FU135" s="64"/>
      <c r="FV135" s="74" t="s">
        <v>294</v>
      </c>
      <c r="FW135" s="73">
        <f t="shared" ca="1" si="1195"/>
        <v>5</v>
      </c>
      <c r="FX135" s="64"/>
      <c r="FY135" s="74" t="s">
        <v>294</v>
      </c>
      <c r="FZ135" s="73">
        <f t="shared" ca="1" si="1196"/>
        <v>5</v>
      </c>
      <c r="GA135" s="64"/>
      <c r="GB135" s="74" t="s">
        <v>294</v>
      </c>
      <c r="GC135" s="73">
        <f t="shared" ca="1" si="1197"/>
        <v>5</v>
      </c>
      <c r="GD135" s="64"/>
      <c r="GE135" s="74" t="s">
        <v>294</v>
      </c>
      <c r="GF135" s="73">
        <f t="shared" ca="1" si="1198"/>
        <v>5</v>
      </c>
      <c r="GG135" s="64"/>
      <c r="GH135" s="74" t="s">
        <v>294</v>
      </c>
      <c r="GI135" s="73">
        <f t="shared" ca="1" si="1199"/>
        <v>5</v>
      </c>
      <c r="GJ135" s="64"/>
      <c r="GK135" s="74" t="s">
        <v>294</v>
      </c>
      <c r="GL135" s="73">
        <f t="shared" ca="1" si="1200"/>
        <v>5</v>
      </c>
      <c r="GM135" s="64"/>
      <c r="GN135" s="74"/>
      <c r="GO135" s="73">
        <f t="shared" ca="1" si="1201"/>
        <v>0</v>
      </c>
      <c r="GP135" s="64"/>
      <c r="GQ135" s="74"/>
      <c r="GR135" s="73">
        <f t="shared" ca="1" si="1202"/>
        <v>0</v>
      </c>
      <c r="GS135" s="64"/>
      <c r="GT135" s="74"/>
      <c r="GU135" s="73">
        <f t="shared" ca="1" si="1203"/>
        <v>0</v>
      </c>
      <c r="GV135" s="64"/>
      <c r="GW135" s="74"/>
      <c r="GX135" s="73">
        <f t="shared" ca="1" si="1204"/>
        <v>0</v>
      </c>
      <c r="GY135" s="64"/>
      <c r="GZ135" s="74"/>
      <c r="HA135" s="73">
        <f t="shared" ca="1" si="1205"/>
        <v>0</v>
      </c>
      <c r="HB135" s="64"/>
      <c r="HC135" s="74"/>
      <c r="HD135" s="73">
        <f t="shared" ca="1" si="1206"/>
        <v>0</v>
      </c>
      <c r="HE135" s="64"/>
      <c r="HF135" s="74"/>
      <c r="HG135" s="73">
        <f t="shared" ca="1" si="1207"/>
        <v>0</v>
      </c>
      <c r="HH135" s="64"/>
      <c r="HI135" s="74"/>
      <c r="HJ135" s="73">
        <f t="shared" ca="1" si="1208"/>
        <v>0</v>
      </c>
      <c r="HK135" s="64"/>
      <c r="HL135" s="74"/>
      <c r="HM135" s="73">
        <f t="shared" ca="1" si="1209"/>
        <v>0</v>
      </c>
      <c r="HN135" s="64"/>
      <c r="HO135" s="74"/>
      <c r="HP135" s="73">
        <f t="shared" ca="1" si="1210"/>
        <v>0</v>
      </c>
      <c r="HQ135" s="64"/>
      <c r="HR135" s="74"/>
      <c r="HS135" s="73">
        <f t="shared" ca="1" si="1211"/>
        <v>0</v>
      </c>
      <c r="HT135" s="64"/>
      <c r="HU135" s="74"/>
      <c r="HV135" s="73">
        <f t="shared" ca="1" si="1212"/>
        <v>0</v>
      </c>
      <c r="HW135" s="64"/>
      <c r="HX135" s="74"/>
      <c r="HY135" s="73">
        <f t="shared" ca="1" si="1213"/>
        <v>0</v>
      </c>
      <c r="HZ135" s="64"/>
      <c r="IA135" s="74"/>
      <c r="IB135" s="73">
        <f t="shared" ca="1" si="1214"/>
        <v>0</v>
      </c>
      <c r="IC135" s="64"/>
      <c r="ID135" s="74"/>
      <c r="IE135" s="73">
        <f t="shared" ca="1" si="1215"/>
        <v>0</v>
      </c>
      <c r="IF135" s="64"/>
      <c r="IG135" s="74"/>
      <c r="IH135" s="73">
        <f t="shared" ca="1" si="1216"/>
        <v>0</v>
      </c>
      <c r="II135" s="64"/>
      <c r="IJ135" s="74"/>
      <c r="IK135" s="73">
        <f t="shared" ca="1" si="1217"/>
        <v>0</v>
      </c>
      <c r="IL135" s="64"/>
      <c r="IM135" s="74"/>
      <c r="IN135" s="73">
        <f t="shared" ca="1" si="1218"/>
        <v>0</v>
      </c>
      <c r="IO135" s="64"/>
      <c r="IP135" s="74"/>
      <c r="IQ135" s="73">
        <f t="shared" ca="1" si="1219"/>
        <v>0</v>
      </c>
      <c r="IR135" s="64"/>
      <c r="IS135" s="74"/>
      <c r="IT135" s="73">
        <f t="shared" ca="1" si="1220"/>
        <v>0</v>
      </c>
      <c r="IU135" s="64"/>
      <c r="IV135" s="74"/>
      <c r="IW135" s="73">
        <f t="shared" ca="1" si="1221"/>
        <v>0</v>
      </c>
      <c r="IX135" s="64"/>
      <c r="IY135" s="74"/>
      <c r="IZ135" s="73">
        <f t="shared" ca="1" si="1222"/>
        <v>0</v>
      </c>
      <c r="JA135" s="64"/>
      <c r="JB135" s="74"/>
      <c r="JC135" s="73">
        <f t="shared" ca="1" si="1223"/>
        <v>0</v>
      </c>
      <c r="JD135" s="64"/>
      <c r="JE135" s="74"/>
      <c r="JF135" s="73">
        <f t="shared" ca="1" si="1224"/>
        <v>0</v>
      </c>
      <c r="JG135" s="64"/>
      <c r="JH135" s="74"/>
      <c r="JI135" s="73">
        <f t="shared" ca="1" si="1225"/>
        <v>0</v>
      </c>
      <c r="JJ135" s="64"/>
      <c r="JK135" s="74"/>
      <c r="JL135" s="73">
        <f t="shared" ca="1" si="1226"/>
        <v>0</v>
      </c>
      <c r="JM135" s="64"/>
      <c r="JN135" s="74"/>
      <c r="JO135" s="73">
        <f t="shared" ca="1" si="1227"/>
        <v>0</v>
      </c>
      <c r="JP135" s="64"/>
      <c r="JQ135" s="74"/>
      <c r="JR135" s="73">
        <f t="shared" ca="1" si="1228"/>
        <v>0</v>
      </c>
      <c r="JS135" s="64"/>
      <c r="JT135" s="74"/>
      <c r="JU135" s="73">
        <f t="shared" ca="1" si="1229"/>
        <v>0</v>
      </c>
      <c r="JV135" s="64"/>
      <c r="JW135" s="74"/>
      <c r="JX135" s="73">
        <f t="shared" ca="1" si="1230"/>
        <v>0</v>
      </c>
      <c r="JY135" s="64"/>
      <c r="JZ135" s="74"/>
      <c r="KA135" s="73">
        <f t="shared" ca="1" si="1231"/>
        <v>0</v>
      </c>
      <c r="KB135" s="64"/>
      <c r="KC135" s="74"/>
      <c r="KD135" s="73">
        <f t="shared" ca="1" si="1232"/>
        <v>0</v>
      </c>
      <c r="KE135" s="64"/>
      <c r="KF135" s="74"/>
      <c r="KG135" s="73">
        <f t="shared" ca="1" si="1233"/>
        <v>0</v>
      </c>
      <c r="KH135" s="64"/>
      <c r="KI135" s="74"/>
      <c r="KJ135" s="73">
        <f t="shared" ca="1" si="1234"/>
        <v>0</v>
      </c>
      <c r="KK135" s="64"/>
      <c r="KL135" s="74"/>
      <c r="KM135" s="73">
        <f t="shared" ca="1" si="1235"/>
        <v>0</v>
      </c>
      <c r="KN135" s="64"/>
      <c r="KO135" s="74"/>
      <c r="KP135" s="73">
        <f t="shared" ca="1" si="1236"/>
        <v>0</v>
      </c>
      <c r="KQ135" s="64"/>
      <c r="KR135" s="74"/>
      <c r="KS135" s="73">
        <f t="shared" ca="1" si="1237"/>
        <v>0</v>
      </c>
      <c r="KT135" s="64"/>
      <c r="KU135" s="74"/>
      <c r="KV135" s="73">
        <f t="shared" ca="1" si="1238"/>
        <v>0</v>
      </c>
      <c r="KW135" s="64"/>
      <c r="KX135" s="74"/>
      <c r="KY135" s="73">
        <f t="shared" ca="1" si="1239"/>
        <v>0</v>
      </c>
      <c r="KZ135" s="64"/>
      <c r="LA135" s="74"/>
      <c r="LB135" s="73">
        <f t="shared" ca="1" si="1240"/>
        <v>0</v>
      </c>
      <c r="LC135" s="64"/>
      <c r="LD135" s="74"/>
      <c r="LE135" s="73">
        <f t="shared" ca="1" si="1241"/>
        <v>0</v>
      </c>
      <c r="LF135" s="64"/>
      <c r="LG135" s="64"/>
    </row>
    <row r="136" spans="1:319">
      <c r="A136" s="49"/>
      <c r="B136" s="49"/>
      <c r="C136" s="49"/>
      <c r="D136" s="49"/>
      <c r="E136" s="65"/>
      <c r="F136" s="127">
        <f t="shared" si="1242"/>
        <v>5</v>
      </c>
      <c r="G136" s="445">
        <f ca="1">VLOOKUP(H136,Equipos!$Q$1:$R$25,2,0)</f>
        <v>19</v>
      </c>
      <c r="H136" s="447" t="str">
        <f>Idiomas!$D$137</f>
        <v>QUALIFIED FOR ROUND OF 32</v>
      </c>
      <c r="I136" s="50"/>
      <c r="J136" s="845"/>
      <c r="K136" s="56" t="str">
        <f>Idiomas!$D$198&amp;"-"&amp;ROWS($L$130:L136)</f>
        <v>16-Finalist-7</v>
      </c>
      <c r="L136" s="53"/>
      <c r="M136" s="55" t="str">
        <f ca="1">WORLDCUP!AA107</f>
        <v>Mexico</v>
      </c>
      <c r="N136" s="25"/>
      <c r="O136" s="25"/>
      <c r="P136" s="25"/>
      <c r="Q136" s="25"/>
      <c r="R136" s="110"/>
      <c r="S136" s="74" t="s">
        <v>1288</v>
      </c>
      <c r="T136" s="73">
        <f t="shared" ca="1" si="1142"/>
        <v>5</v>
      </c>
      <c r="U136" s="64"/>
      <c r="V136" s="74" t="s">
        <v>1288</v>
      </c>
      <c r="W136" s="73">
        <f t="shared" ca="1" si="1143"/>
        <v>5</v>
      </c>
      <c r="X136" s="64"/>
      <c r="Y136" s="74" t="s">
        <v>1288</v>
      </c>
      <c r="Z136" s="73">
        <f t="shared" ca="1" si="1144"/>
        <v>5</v>
      </c>
      <c r="AA136" s="64"/>
      <c r="AB136" s="74" t="s">
        <v>1278</v>
      </c>
      <c r="AC136" s="73">
        <f t="shared" ca="1" si="1145"/>
        <v>0</v>
      </c>
      <c r="AD136" s="64"/>
      <c r="AE136" s="74" t="s">
        <v>1288</v>
      </c>
      <c r="AF136" s="73">
        <f t="shared" ca="1" si="1146"/>
        <v>5</v>
      </c>
      <c r="AG136" s="64"/>
      <c r="AH136" s="74" t="s">
        <v>1288</v>
      </c>
      <c r="AI136" s="73">
        <f t="shared" ca="1" si="1147"/>
        <v>5</v>
      </c>
      <c r="AJ136" s="64"/>
      <c r="AK136" s="74" t="s">
        <v>1278</v>
      </c>
      <c r="AL136" s="73">
        <f t="shared" ca="1" si="1148"/>
        <v>0</v>
      </c>
      <c r="AM136" s="64"/>
      <c r="AN136" s="74" t="s">
        <v>1288</v>
      </c>
      <c r="AO136" s="73">
        <f t="shared" ca="1" si="1149"/>
        <v>5</v>
      </c>
      <c r="AP136" s="64"/>
      <c r="AQ136" s="74" t="s">
        <v>1288</v>
      </c>
      <c r="AR136" s="73">
        <f t="shared" ca="1" si="1150"/>
        <v>5</v>
      </c>
      <c r="AS136" s="64"/>
      <c r="AT136" s="74" t="s">
        <v>1844</v>
      </c>
      <c r="AU136" s="73">
        <f t="shared" ca="1" si="1151"/>
        <v>0</v>
      </c>
      <c r="AV136" s="64"/>
      <c r="AW136" s="74" t="s">
        <v>1288</v>
      </c>
      <c r="AX136" s="73">
        <f t="shared" ca="1" si="1152"/>
        <v>5</v>
      </c>
      <c r="AY136" s="64"/>
      <c r="AZ136" s="74" t="s">
        <v>1288</v>
      </c>
      <c r="BA136" s="73">
        <f t="shared" ca="1" si="1153"/>
        <v>5</v>
      </c>
      <c r="BB136" s="64"/>
      <c r="BC136" s="74" t="s">
        <v>1288</v>
      </c>
      <c r="BD136" s="73">
        <f t="shared" ca="1" si="1154"/>
        <v>5</v>
      </c>
      <c r="BE136" s="64"/>
      <c r="BF136" s="74" t="s">
        <v>1844</v>
      </c>
      <c r="BG136" s="73">
        <f t="shared" ca="1" si="1155"/>
        <v>0</v>
      </c>
      <c r="BH136" s="64"/>
      <c r="BI136" s="74" t="s">
        <v>1278</v>
      </c>
      <c r="BJ136" s="73">
        <f t="shared" ca="1" si="1156"/>
        <v>0</v>
      </c>
      <c r="BK136" s="64"/>
      <c r="BL136" s="74" t="s">
        <v>1288</v>
      </c>
      <c r="BM136" s="73">
        <f t="shared" ca="1" si="1157"/>
        <v>5</v>
      </c>
      <c r="BN136" s="64"/>
      <c r="BO136" s="74" t="s">
        <v>1288</v>
      </c>
      <c r="BP136" s="73">
        <f t="shared" ca="1" si="1158"/>
        <v>5</v>
      </c>
      <c r="BQ136" s="64"/>
      <c r="BR136" s="74" t="s">
        <v>1844</v>
      </c>
      <c r="BS136" s="73">
        <f t="shared" ca="1" si="1159"/>
        <v>0</v>
      </c>
      <c r="BT136" s="64"/>
      <c r="BU136" s="74" t="s">
        <v>1288</v>
      </c>
      <c r="BV136" s="73">
        <f t="shared" ca="1" si="1160"/>
        <v>5</v>
      </c>
      <c r="BW136" s="64"/>
      <c r="BX136" s="74" t="s">
        <v>1288</v>
      </c>
      <c r="BY136" s="73">
        <f t="shared" ca="1" si="1161"/>
        <v>5</v>
      </c>
      <c r="BZ136" s="64"/>
      <c r="CA136" s="74" t="s">
        <v>1288</v>
      </c>
      <c r="CB136" s="73">
        <f t="shared" ca="1" si="1162"/>
        <v>5</v>
      </c>
      <c r="CC136" s="64"/>
      <c r="CD136" s="74" t="s">
        <v>1278</v>
      </c>
      <c r="CE136" s="73">
        <f t="shared" ca="1" si="1163"/>
        <v>0</v>
      </c>
      <c r="CF136" s="64"/>
      <c r="CG136" s="74" t="s">
        <v>1288</v>
      </c>
      <c r="CH136" s="73">
        <f t="shared" ca="1" si="1164"/>
        <v>5</v>
      </c>
      <c r="CI136" s="64"/>
      <c r="CJ136" s="74" t="s">
        <v>1288</v>
      </c>
      <c r="CK136" s="73">
        <f t="shared" ca="1" si="1165"/>
        <v>5</v>
      </c>
      <c r="CL136" s="64"/>
      <c r="CM136" s="74" t="s">
        <v>1278</v>
      </c>
      <c r="CN136" s="73">
        <f t="shared" ca="1" si="1166"/>
        <v>0</v>
      </c>
      <c r="CO136" s="64"/>
      <c r="CP136" s="74" t="s">
        <v>1288</v>
      </c>
      <c r="CQ136" s="73">
        <f t="shared" ca="1" si="1167"/>
        <v>5</v>
      </c>
      <c r="CR136" s="64"/>
      <c r="CS136" s="74" t="s">
        <v>1288</v>
      </c>
      <c r="CT136" s="73">
        <f t="shared" ca="1" si="1168"/>
        <v>5</v>
      </c>
      <c r="CU136" s="64"/>
      <c r="CV136" s="74" t="s">
        <v>1288</v>
      </c>
      <c r="CW136" s="73">
        <f t="shared" ca="1" si="1169"/>
        <v>5</v>
      </c>
      <c r="CX136" s="64"/>
      <c r="CY136" s="74" t="s">
        <v>1635</v>
      </c>
      <c r="CZ136" s="73">
        <f t="shared" ca="1" si="1170"/>
        <v>5</v>
      </c>
      <c r="DA136" s="64"/>
      <c r="DB136" s="74" t="s">
        <v>1288</v>
      </c>
      <c r="DC136" s="73">
        <f t="shared" ca="1" si="1171"/>
        <v>5</v>
      </c>
      <c r="DD136" s="64"/>
      <c r="DE136" s="74" t="s">
        <v>1288</v>
      </c>
      <c r="DF136" s="73">
        <f t="shared" ca="1" si="1172"/>
        <v>5</v>
      </c>
      <c r="DG136" s="64"/>
      <c r="DH136" s="74" t="s">
        <v>1288</v>
      </c>
      <c r="DI136" s="73">
        <f t="shared" ca="1" si="1173"/>
        <v>5</v>
      </c>
      <c r="DJ136" s="64"/>
      <c r="DK136" s="74" t="s">
        <v>1288</v>
      </c>
      <c r="DL136" s="73">
        <f t="shared" ca="1" si="1174"/>
        <v>5</v>
      </c>
      <c r="DM136" s="64"/>
      <c r="DN136" s="74" t="s">
        <v>1288</v>
      </c>
      <c r="DO136" s="73">
        <f t="shared" ca="1" si="1175"/>
        <v>5</v>
      </c>
      <c r="DP136" s="64"/>
      <c r="DQ136" s="74" t="s">
        <v>1288</v>
      </c>
      <c r="DR136" s="73">
        <f t="shared" ca="1" si="1176"/>
        <v>5</v>
      </c>
      <c r="DS136" s="64"/>
      <c r="DT136" s="74" t="s">
        <v>1288</v>
      </c>
      <c r="DU136" s="73">
        <f t="shared" ca="1" si="1177"/>
        <v>5</v>
      </c>
      <c r="DV136" s="64"/>
      <c r="DW136" s="74" t="s">
        <v>1288</v>
      </c>
      <c r="DX136" s="73">
        <f t="shared" ca="1" si="1178"/>
        <v>5</v>
      </c>
      <c r="DY136" s="64"/>
      <c r="DZ136" s="74" t="s">
        <v>1288</v>
      </c>
      <c r="EA136" s="73">
        <f t="shared" ca="1" si="1179"/>
        <v>5</v>
      </c>
      <c r="EB136" s="64"/>
      <c r="EC136" s="74" t="s">
        <v>1288</v>
      </c>
      <c r="ED136" s="73">
        <f t="shared" ca="1" si="1180"/>
        <v>5</v>
      </c>
      <c r="EE136" s="64"/>
      <c r="EF136" s="74" t="s">
        <v>1288</v>
      </c>
      <c r="EG136" s="73">
        <f t="shared" ca="1" si="1181"/>
        <v>5</v>
      </c>
      <c r="EH136" s="64"/>
      <c r="EI136" s="74" t="s">
        <v>1288</v>
      </c>
      <c r="EJ136" s="73">
        <f t="shared" ca="1" si="1182"/>
        <v>5</v>
      </c>
      <c r="EK136" s="64"/>
      <c r="EL136" s="74" t="s">
        <v>1288</v>
      </c>
      <c r="EM136" s="73">
        <f t="shared" ca="1" si="1183"/>
        <v>5</v>
      </c>
      <c r="EN136" s="64"/>
      <c r="EO136" s="74" t="s">
        <v>1288</v>
      </c>
      <c r="EP136" s="73">
        <f t="shared" ca="1" si="1184"/>
        <v>5</v>
      </c>
      <c r="EQ136" s="64"/>
      <c r="ER136" s="74" t="s">
        <v>1288</v>
      </c>
      <c r="ES136" s="73">
        <f t="shared" ca="1" si="1185"/>
        <v>5</v>
      </c>
      <c r="ET136" s="64"/>
      <c r="EU136" s="74" t="s">
        <v>1288</v>
      </c>
      <c r="EV136" s="73">
        <f t="shared" ca="1" si="1186"/>
        <v>5</v>
      </c>
      <c r="EW136" s="64"/>
      <c r="EX136" s="74" t="s">
        <v>1288</v>
      </c>
      <c r="EY136" s="73">
        <f t="shared" ca="1" si="1187"/>
        <v>5</v>
      </c>
      <c r="EZ136" s="64"/>
      <c r="FA136" s="74" t="s">
        <v>1288</v>
      </c>
      <c r="FB136" s="73">
        <f t="shared" ca="1" si="1188"/>
        <v>5</v>
      </c>
      <c r="FC136" s="64"/>
      <c r="FD136" s="74" t="s">
        <v>1288</v>
      </c>
      <c r="FE136" s="73">
        <f t="shared" ca="1" si="1189"/>
        <v>5</v>
      </c>
      <c r="FF136" s="64"/>
      <c r="FG136" s="74" t="s">
        <v>1278</v>
      </c>
      <c r="FH136" s="73">
        <f t="shared" ca="1" si="1190"/>
        <v>0</v>
      </c>
      <c r="FI136" s="64"/>
      <c r="FJ136" s="74" t="s">
        <v>1288</v>
      </c>
      <c r="FK136" s="73">
        <f t="shared" ca="1" si="1191"/>
        <v>5</v>
      </c>
      <c r="FL136" s="64"/>
      <c r="FM136" s="74" t="s">
        <v>1288</v>
      </c>
      <c r="FN136" s="73">
        <f t="shared" ca="1" si="1192"/>
        <v>5</v>
      </c>
      <c r="FO136" s="64"/>
      <c r="FP136" s="74" t="s">
        <v>1288</v>
      </c>
      <c r="FQ136" s="73">
        <f t="shared" ca="1" si="1193"/>
        <v>5</v>
      </c>
      <c r="FR136" s="64"/>
      <c r="FS136" s="74" t="s">
        <v>1288</v>
      </c>
      <c r="FT136" s="73">
        <f t="shared" ca="1" si="1194"/>
        <v>5</v>
      </c>
      <c r="FU136" s="64"/>
      <c r="FV136" s="74" t="s">
        <v>1288</v>
      </c>
      <c r="FW136" s="73">
        <f t="shared" ca="1" si="1195"/>
        <v>5</v>
      </c>
      <c r="FX136" s="64"/>
      <c r="FY136" s="74" t="s">
        <v>1844</v>
      </c>
      <c r="FZ136" s="73">
        <f t="shared" ca="1" si="1196"/>
        <v>0</v>
      </c>
      <c r="GA136" s="64"/>
      <c r="GB136" s="74" t="s">
        <v>1288</v>
      </c>
      <c r="GC136" s="73">
        <f t="shared" ca="1" si="1197"/>
        <v>5</v>
      </c>
      <c r="GD136" s="64"/>
      <c r="GE136" s="74" t="s">
        <v>1288</v>
      </c>
      <c r="GF136" s="73">
        <f t="shared" ca="1" si="1198"/>
        <v>5</v>
      </c>
      <c r="GG136" s="64"/>
      <c r="GH136" s="74" t="s">
        <v>1288</v>
      </c>
      <c r="GI136" s="73">
        <f t="shared" ca="1" si="1199"/>
        <v>5</v>
      </c>
      <c r="GJ136" s="64"/>
      <c r="GK136" s="74" t="s">
        <v>1278</v>
      </c>
      <c r="GL136" s="73">
        <f t="shared" ca="1" si="1200"/>
        <v>0</v>
      </c>
      <c r="GM136" s="64"/>
      <c r="GN136" s="74"/>
      <c r="GO136" s="73">
        <f t="shared" ca="1" si="1201"/>
        <v>0</v>
      </c>
      <c r="GP136" s="64"/>
      <c r="GQ136" s="74"/>
      <c r="GR136" s="73">
        <f t="shared" ca="1" si="1202"/>
        <v>0</v>
      </c>
      <c r="GS136" s="64"/>
      <c r="GT136" s="74"/>
      <c r="GU136" s="73">
        <f t="shared" ca="1" si="1203"/>
        <v>0</v>
      </c>
      <c r="GV136" s="64"/>
      <c r="GW136" s="74"/>
      <c r="GX136" s="73">
        <f t="shared" ca="1" si="1204"/>
        <v>0</v>
      </c>
      <c r="GY136" s="64"/>
      <c r="GZ136" s="74"/>
      <c r="HA136" s="73">
        <f t="shared" ca="1" si="1205"/>
        <v>0</v>
      </c>
      <c r="HB136" s="64"/>
      <c r="HC136" s="74"/>
      <c r="HD136" s="73">
        <f t="shared" ca="1" si="1206"/>
        <v>0</v>
      </c>
      <c r="HE136" s="64"/>
      <c r="HF136" s="74"/>
      <c r="HG136" s="73">
        <f t="shared" ca="1" si="1207"/>
        <v>0</v>
      </c>
      <c r="HH136" s="64"/>
      <c r="HI136" s="74"/>
      <c r="HJ136" s="73">
        <f t="shared" ca="1" si="1208"/>
        <v>0</v>
      </c>
      <c r="HK136" s="64"/>
      <c r="HL136" s="74"/>
      <c r="HM136" s="73">
        <f t="shared" ca="1" si="1209"/>
        <v>0</v>
      </c>
      <c r="HN136" s="64"/>
      <c r="HO136" s="74"/>
      <c r="HP136" s="73">
        <f t="shared" ca="1" si="1210"/>
        <v>0</v>
      </c>
      <c r="HQ136" s="64"/>
      <c r="HR136" s="74"/>
      <c r="HS136" s="73">
        <f t="shared" ca="1" si="1211"/>
        <v>0</v>
      </c>
      <c r="HT136" s="64"/>
      <c r="HU136" s="74"/>
      <c r="HV136" s="73">
        <f t="shared" ca="1" si="1212"/>
        <v>0</v>
      </c>
      <c r="HW136" s="64"/>
      <c r="HX136" s="74"/>
      <c r="HY136" s="73">
        <f t="shared" ca="1" si="1213"/>
        <v>0</v>
      </c>
      <c r="HZ136" s="64"/>
      <c r="IA136" s="74"/>
      <c r="IB136" s="73">
        <f t="shared" ca="1" si="1214"/>
        <v>0</v>
      </c>
      <c r="IC136" s="64"/>
      <c r="ID136" s="74"/>
      <c r="IE136" s="73">
        <f t="shared" ca="1" si="1215"/>
        <v>0</v>
      </c>
      <c r="IF136" s="64"/>
      <c r="IG136" s="74"/>
      <c r="IH136" s="73">
        <f t="shared" ca="1" si="1216"/>
        <v>0</v>
      </c>
      <c r="II136" s="64"/>
      <c r="IJ136" s="74"/>
      <c r="IK136" s="73">
        <f t="shared" ca="1" si="1217"/>
        <v>0</v>
      </c>
      <c r="IL136" s="64"/>
      <c r="IM136" s="74"/>
      <c r="IN136" s="73">
        <f t="shared" ca="1" si="1218"/>
        <v>0</v>
      </c>
      <c r="IO136" s="64"/>
      <c r="IP136" s="74"/>
      <c r="IQ136" s="73">
        <f t="shared" ca="1" si="1219"/>
        <v>0</v>
      </c>
      <c r="IR136" s="64"/>
      <c r="IS136" s="74"/>
      <c r="IT136" s="73">
        <f t="shared" ca="1" si="1220"/>
        <v>0</v>
      </c>
      <c r="IU136" s="64"/>
      <c r="IV136" s="74"/>
      <c r="IW136" s="73">
        <f t="shared" ca="1" si="1221"/>
        <v>0</v>
      </c>
      <c r="IX136" s="64"/>
      <c r="IY136" s="74"/>
      <c r="IZ136" s="73">
        <f t="shared" ca="1" si="1222"/>
        <v>0</v>
      </c>
      <c r="JA136" s="64"/>
      <c r="JB136" s="74"/>
      <c r="JC136" s="73">
        <f t="shared" ca="1" si="1223"/>
        <v>0</v>
      </c>
      <c r="JD136" s="64"/>
      <c r="JE136" s="74"/>
      <c r="JF136" s="73">
        <f t="shared" ca="1" si="1224"/>
        <v>0</v>
      </c>
      <c r="JG136" s="64"/>
      <c r="JH136" s="74"/>
      <c r="JI136" s="73">
        <f t="shared" ca="1" si="1225"/>
        <v>0</v>
      </c>
      <c r="JJ136" s="64"/>
      <c r="JK136" s="74"/>
      <c r="JL136" s="73">
        <f t="shared" ca="1" si="1226"/>
        <v>0</v>
      </c>
      <c r="JM136" s="64"/>
      <c r="JN136" s="74"/>
      <c r="JO136" s="73">
        <f t="shared" ca="1" si="1227"/>
        <v>0</v>
      </c>
      <c r="JP136" s="64"/>
      <c r="JQ136" s="74"/>
      <c r="JR136" s="73">
        <f t="shared" ca="1" si="1228"/>
        <v>0</v>
      </c>
      <c r="JS136" s="64"/>
      <c r="JT136" s="74"/>
      <c r="JU136" s="73">
        <f t="shared" ca="1" si="1229"/>
        <v>0</v>
      </c>
      <c r="JV136" s="64"/>
      <c r="JW136" s="74"/>
      <c r="JX136" s="73">
        <f t="shared" ca="1" si="1230"/>
        <v>0</v>
      </c>
      <c r="JY136" s="64"/>
      <c r="JZ136" s="74"/>
      <c r="KA136" s="73">
        <f t="shared" ca="1" si="1231"/>
        <v>0</v>
      </c>
      <c r="KB136" s="64"/>
      <c r="KC136" s="74"/>
      <c r="KD136" s="73">
        <f t="shared" ca="1" si="1232"/>
        <v>0</v>
      </c>
      <c r="KE136" s="64"/>
      <c r="KF136" s="74"/>
      <c r="KG136" s="73">
        <f t="shared" ca="1" si="1233"/>
        <v>0</v>
      </c>
      <c r="KH136" s="64"/>
      <c r="KI136" s="74"/>
      <c r="KJ136" s="73">
        <f t="shared" ca="1" si="1234"/>
        <v>0</v>
      </c>
      <c r="KK136" s="64"/>
      <c r="KL136" s="74"/>
      <c r="KM136" s="73">
        <f t="shared" ca="1" si="1235"/>
        <v>0</v>
      </c>
      <c r="KN136" s="64"/>
      <c r="KO136" s="74"/>
      <c r="KP136" s="73">
        <f t="shared" ca="1" si="1236"/>
        <v>0</v>
      </c>
      <c r="KQ136" s="64"/>
      <c r="KR136" s="74"/>
      <c r="KS136" s="73">
        <f t="shared" ca="1" si="1237"/>
        <v>0</v>
      </c>
      <c r="KT136" s="64"/>
      <c r="KU136" s="74"/>
      <c r="KV136" s="73">
        <f t="shared" ca="1" si="1238"/>
        <v>0</v>
      </c>
      <c r="KW136" s="64"/>
      <c r="KX136" s="74"/>
      <c r="KY136" s="73">
        <f t="shared" ca="1" si="1239"/>
        <v>0</v>
      </c>
      <c r="KZ136" s="64"/>
      <c r="LA136" s="74"/>
      <c r="LB136" s="73">
        <f t="shared" ca="1" si="1240"/>
        <v>0</v>
      </c>
      <c r="LC136" s="64"/>
      <c r="LD136" s="74"/>
      <c r="LE136" s="73">
        <f t="shared" ca="1" si="1241"/>
        <v>0</v>
      </c>
      <c r="LF136" s="64"/>
      <c r="LG136" s="64"/>
    </row>
    <row r="137" spans="1:319">
      <c r="A137" s="49"/>
      <c r="B137" s="49"/>
      <c r="C137" s="49"/>
      <c r="D137" s="49"/>
      <c r="E137" s="65"/>
      <c r="F137" s="127">
        <f t="shared" si="1242"/>
        <v>5</v>
      </c>
      <c r="G137" s="445">
        <f ca="1">VLOOKUP(H137,Equipos!$Q$1:$R$25,2,0)</f>
        <v>19</v>
      </c>
      <c r="H137" s="447" t="str">
        <f>Idiomas!$D$137</f>
        <v>QUALIFIED FOR ROUND OF 32</v>
      </c>
      <c r="I137" s="50"/>
      <c r="J137" s="845"/>
      <c r="K137" s="56" t="str">
        <f>Idiomas!$D$198&amp;"-"&amp;ROWS($L$130:L137)</f>
        <v>16-Finalist-8</v>
      </c>
      <c r="L137" s="53"/>
      <c r="M137" s="55" t="str">
        <f ca="1">WORLDCUP!AA108</f>
        <v>England</v>
      </c>
      <c r="N137" s="25"/>
      <c r="O137" s="25"/>
      <c r="P137" s="25"/>
      <c r="Q137" s="25"/>
      <c r="R137" s="110"/>
      <c r="S137" s="74" t="s">
        <v>292</v>
      </c>
      <c r="T137" s="73">
        <f t="shared" ca="1" si="1142"/>
        <v>5</v>
      </c>
      <c r="U137" s="64"/>
      <c r="V137" s="74" t="s">
        <v>296</v>
      </c>
      <c r="W137" s="73">
        <f t="shared" ca="1" si="1143"/>
        <v>5</v>
      </c>
      <c r="X137" s="64"/>
      <c r="Y137" s="74" t="s">
        <v>292</v>
      </c>
      <c r="Z137" s="73">
        <f t="shared" ca="1" si="1144"/>
        <v>5</v>
      </c>
      <c r="AA137" s="64"/>
      <c r="AB137" s="74" t="s">
        <v>292</v>
      </c>
      <c r="AC137" s="73">
        <f t="shared" ca="1" si="1145"/>
        <v>5</v>
      </c>
      <c r="AD137" s="64"/>
      <c r="AE137" s="74" t="s">
        <v>292</v>
      </c>
      <c r="AF137" s="73">
        <f t="shared" ca="1" si="1146"/>
        <v>5</v>
      </c>
      <c r="AG137" s="64"/>
      <c r="AH137" s="74" t="s">
        <v>292</v>
      </c>
      <c r="AI137" s="73">
        <f t="shared" ca="1" si="1147"/>
        <v>5</v>
      </c>
      <c r="AJ137" s="64"/>
      <c r="AK137" s="74" t="s">
        <v>292</v>
      </c>
      <c r="AL137" s="73">
        <f t="shared" ca="1" si="1148"/>
        <v>5</v>
      </c>
      <c r="AM137" s="64"/>
      <c r="AN137" s="74" t="s">
        <v>1551</v>
      </c>
      <c r="AO137" s="73">
        <f t="shared" ca="1" si="1149"/>
        <v>5</v>
      </c>
      <c r="AP137" s="64"/>
      <c r="AQ137" s="74" t="s">
        <v>296</v>
      </c>
      <c r="AR137" s="73">
        <f t="shared" ca="1" si="1150"/>
        <v>5</v>
      </c>
      <c r="AS137" s="64"/>
      <c r="AT137" s="74" t="s">
        <v>296</v>
      </c>
      <c r="AU137" s="73">
        <f t="shared" ca="1" si="1151"/>
        <v>5</v>
      </c>
      <c r="AV137" s="64"/>
      <c r="AW137" s="74" t="s">
        <v>292</v>
      </c>
      <c r="AX137" s="73">
        <f t="shared" ca="1" si="1152"/>
        <v>5</v>
      </c>
      <c r="AY137" s="64"/>
      <c r="AZ137" s="74" t="s">
        <v>292</v>
      </c>
      <c r="BA137" s="73">
        <f t="shared" ca="1" si="1153"/>
        <v>5</v>
      </c>
      <c r="BB137" s="64"/>
      <c r="BC137" s="74" t="s">
        <v>292</v>
      </c>
      <c r="BD137" s="73">
        <f t="shared" ca="1" si="1154"/>
        <v>5</v>
      </c>
      <c r="BE137" s="64"/>
      <c r="BF137" s="74" t="s">
        <v>292</v>
      </c>
      <c r="BG137" s="73">
        <f t="shared" ca="1" si="1155"/>
        <v>5</v>
      </c>
      <c r="BH137" s="64"/>
      <c r="BI137" s="74" t="s">
        <v>292</v>
      </c>
      <c r="BJ137" s="73">
        <f t="shared" ca="1" si="1156"/>
        <v>5</v>
      </c>
      <c r="BK137" s="64"/>
      <c r="BL137" s="74" t="s">
        <v>292</v>
      </c>
      <c r="BM137" s="73">
        <f t="shared" ca="1" si="1157"/>
        <v>5</v>
      </c>
      <c r="BN137" s="64"/>
      <c r="BO137" s="74" t="s">
        <v>292</v>
      </c>
      <c r="BP137" s="73">
        <f t="shared" ca="1" si="1158"/>
        <v>5</v>
      </c>
      <c r="BQ137" s="64"/>
      <c r="BR137" s="74" t="s">
        <v>292</v>
      </c>
      <c r="BS137" s="73">
        <f t="shared" ca="1" si="1159"/>
        <v>5</v>
      </c>
      <c r="BT137" s="64"/>
      <c r="BU137" s="74" t="s">
        <v>292</v>
      </c>
      <c r="BV137" s="73">
        <f t="shared" ca="1" si="1160"/>
        <v>5</v>
      </c>
      <c r="BW137" s="64"/>
      <c r="BX137" s="74" t="s">
        <v>292</v>
      </c>
      <c r="BY137" s="73">
        <f t="shared" ca="1" si="1161"/>
        <v>5</v>
      </c>
      <c r="BZ137" s="64"/>
      <c r="CA137" s="74" t="s">
        <v>292</v>
      </c>
      <c r="CB137" s="73">
        <f t="shared" ca="1" si="1162"/>
        <v>5</v>
      </c>
      <c r="CC137" s="64"/>
      <c r="CD137" s="74" t="s">
        <v>296</v>
      </c>
      <c r="CE137" s="73">
        <f t="shared" ca="1" si="1163"/>
        <v>5</v>
      </c>
      <c r="CF137" s="64"/>
      <c r="CG137" s="74" t="s">
        <v>292</v>
      </c>
      <c r="CH137" s="73">
        <f t="shared" ca="1" si="1164"/>
        <v>5</v>
      </c>
      <c r="CI137" s="64"/>
      <c r="CJ137" s="74" t="s">
        <v>292</v>
      </c>
      <c r="CK137" s="73">
        <f t="shared" ca="1" si="1165"/>
        <v>5</v>
      </c>
      <c r="CL137" s="64"/>
      <c r="CM137" s="74" t="s">
        <v>292</v>
      </c>
      <c r="CN137" s="73">
        <f t="shared" ca="1" si="1166"/>
        <v>5</v>
      </c>
      <c r="CO137" s="64"/>
      <c r="CP137" s="74" t="s">
        <v>292</v>
      </c>
      <c r="CQ137" s="73">
        <f t="shared" ca="1" si="1167"/>
        <v>5</v>
      </c>
      <c r="CR137" s="64"/>
      <c r="CS137" s="74" t="s">
        <v>292</v>
      </c>
      <c r="CT137" s="73">
        <f t="shared" ca="1" si="1168"/>
        <v>5</v>
      </c>
      <c r="CU137" s="64"/>
      <c r="CV137" s="74" t="s">
        <v>296</v>
      </c>
      <c r="CW137" s="73">
        <f t="shared" ca="1" si="1169"/>
        <v>5</v>
      </c>
      <c r="CX137" s="64"/>
      <c r="CY137" s="74" t="s">
        <v>292</v>
      </c>
      <c r="CZ137" s="73">
        <f t="shared" ca="1" si="1170"/>
        <v>5</v>
      </c>
      <c r="DA137" s="64"/>
      <c r="DB137" s="74" t="s">
        <v>292</v>
      </c>
      <c r="DC137" s="73">
        <f t="shared" ca="1" si="1171"/>
        <v>5</v>
      </c>
      <c r="DD137" s="64"/>
      <c r="DE137" s="74" t="s">
        <v>292</v>
      </c>
      <c r="DF137" s="73">
        <f t="shared" ca="1" si="1172"/>
        <v>5</v>
      </c>
      <c r="DG137" s="64"/>
      <c r="DH137" s="74" t="s">
        <v>292</v>
      </c>
      <c r="DI137" s="73">
        <f t="shared" ca="1" si="1173"/>
        <v>5</v>
      </c>
      <c r="DJ137" s="64"/>
      <c r="DK137" s="74" t="s">
        <v>292</v>
      </c>
      <c r="DL137" s="73">
        <f t="shared" ca="1" si="1174"/>
        <v>5</v>
      </c>
      <c r="DM137" s="64"/>
      <c r="DN137" s="74" t="s">
        <v>292</v>
      </c>
      <c r="DO137" s="73">
        <f t="shared" ca="1" si="1175"/>
        <v>5</v>
      </c>
      <c r="DP137" s="64"/>
      <c r="DQ137" s="74" t="s">
        <v>292</v>
      </c>
      <c r="DR137" s="73">
        <f t="shared" ca="1" si="1176"/>
        <v>5</v>
      </c>
      <c r="DS137" s="64"/>
      <c r="DT137" s="74" t="s">
        <v>292</v>
      </c>
      <c r="DU137" s="73">
        <f t="shared" ca="1" si="1177"/>
        <v>5</v>
      </c>
      <c r="DV137" s="64"/>
      <c r="DW137" s="74" t="s">
        <v>292</v>
      </c>
      <c r="DX137" s="73">
        <f t="shared" ca="1" si="1178"/>
        <v>5</v>
      </c>
      <c r="DY137" s="64"/>
      <c r="DZ137" s="74" t="s">
        <v>292</v>
      </c>
      <c r="EA137" s="73">
        <f t="shared" ca="1" si="1179"/>
        <v>5</v>
      </c>
      <c r="EB137" s="64"/>
      <c r="EC137" s="74" t="s">
        <v>292</v>
      </c>
      <c r="ED137" s="73">
        <f t="shared" ca="1" si="1180"/>
        <v>5</v>
      </c>
      <c r="EE137" s="64"/>
      <c r="EF137" s="74" t="s">
        <v>292</v>
      </c>
      <c r="EG137" s="73">
        <f t="shared" ca="1" si="1181"/>
        <v>5</v>
      </c>
      <c r="EH137" s="64"/>
      <c r="EI137" s="74" t="s">
        <v>292</v>
      </c>
      <c r="EJ137" s="73">
        <f t="shared" ca="1" si="1182"/>
        <v>5</v>
      </c>
      <c r="EK137" s="64"/>
      <c r="EL137" s="74" t="s">
        <v>292</v>
      </c>
      <c r="EM137" s="73">
        <f t="shared" ca="1" si="1183"/>
        <v>5</v>
      </c>
      <c r="EN137" s="64"/>
      <c r="EO137" s="74" t="s">
        <v>292</v>
      </c>
      <c r="EP137" s="73">
        <f t="shared" ca="1" si="1184"/>
        <v>5</v>
      </c>
      <c r="EQ137" s="64"/>
      <c r="ER137" s="74" t="s">
        <v>292</v>
      </c>
      <c r="ES137" s="73">
        <f t="shared" ca="1" si="1185"/>
        <v>5</v>
      </c>
      <c r="ET137" s="64"/>
      <c r="EU137" s="74" t="s">
        <v>292</v>
      </c>
      <c r="EV137" s="73">
        <f t="shared" ca="1" si="1186"/>
        <v>5</v>
      </c>
      <c r="EW137" s="64"/>
      <c r="EX137" s="74" t="s">
        <v>292</v>
      </c>
      <c r="EY137" s="73">
        <f t="shared" ca="1" si="1187"/>
        <v>5</v>
      </c>
      <c r="EZ137" s="64"/>
      <c r="FA137" s="74" t="s">
        <v>292</v>
      </c>
      <c r="FB137" s="73">
        <f t="shared" ca="1" si="1188"/>
        <v>5</v>
      </c>
      <c r="FC137" s="64"/>
      <c r="FD137" s="74" t="s">
        <v>292</v>
      </c>
      <c r="FE137" s="73">
        <f t="shared" ca="1" si="1189"/>
        <v>5</v>
      </c>
      <c r="FF137" s="64"/>
      <c r="FG137" s="74" t="s">
        <v>292</v>
      </c>
      <c r="FH137" s="73">
        <f t="shared" ca="1" si="1190"/>
        <v>5</v>
      </c>
      <c r="FI137" s="64"/>
      <c r="FJ137" s="74" t="s">
        <v>292</v>
      </c>
      <c r="FK137" s="73">
        <f t="shared" ca="1" si="1191"/>
        <v>5</v>
      </c>
      <c r="FL137" s="64"/>
      <c r="FM137" s="74" t="s">
        <v>292</v>
      </c>
      <c r="FN137" s="73">
        <f t="shared" ca="1" si="1192"/>
        <v>5</v>
      </c>
      <c r="FO137" s="64"/>
      <c r="FP137" s="74" t="s">
        <v>292</v>
      </c>
      <c r="FQ137" s="73">
        <f t="shared" ca="1" si="1193"/>
        <v>5</v>
      </c>
      <c r="FR137" s="64"/>
      <c r="FS137" s="74" t="s">
        <v>292</v>
      </c>
      <c r="FT137" s="73">
        <f t="shared" ca="1" si="1194"/>
        <v>5</v>
      </c>
      <c r="FU137" s="64"/>
      <c r="FV137" s="74" t="s">
        <v>292</v>
      </c>
      <c r="FW137" s="73">
        <f t="shared" ca="1" si="1195"/>
        <v>5</v>
      </c>
      <c r="FX137" s="64"/>
      <c r="FY137" s="74" t="s">
        <v>292</v>
      </c>
      <c r="FZ137" s="73">
        <f t="shared" ca="1" si="1196"/>
        <v>5</v>
      </c>
      <c r="GA137" s="64"/>
      <c r="GB137" s="74" t="s">
        <v>292</v>
      </c>
      <c r="GC137" s="73">
        <f t="shared" ca="1" si="1197"/>
        <v>5</v>
      </c>
      <c r="GD137" s="64"/>
      <c r="GE137" s="74" t="s">
        <v>292</v>
      </c>
      <c r="GF137" s="73">
        <f t="shared" ca="1" si="1198"/>
        <v>5</v>
      </c>
      <c r="GG137" s="64"/>
      <c r="GH137" s="74" t="s">
        <v>296</v>
      </c>
      <c r="GI137" s="73">
        <f t="shared" ca="1" si="1199"/>
        <v>5</v>
      </c>
      <c r="GJ137" s="64"/>
      <c r="GK137" s="74" t="s">
        <v>292</v>
      </c>
      <c r="GL137" s="73">
        <f t="shared" ca="1" si="1200"/>
        <v>5</v>
      </c>
      <c r="GM137" s="64"/>
      <c r="GN137" s="74"/>
      <c r="GO137" s="73">
        <f t="shared" ca="1" si="1201"/>
        <v>0</v>
      </c>
      <c r="GP137" s="64"/>
      <c r="GQ137" s="74"/>
      <c r="GR137" s="73">
        <f t="shared" ca="1" si="1202"/>
        <v>0</v>
      </c>
      <c r="GS137" s="64"/>
      <c r="GT137" s="74"/>
      <c r="GU137" s="73">
        <f t="shared" ca="1" si="1203"/>
        <v>0</v>
      </c>
      <c r="GV137" s="64"/>
      <c r="GW137" s="74"/>
      <c r="GX137" s="73">
        <f t="shared" ca="1" si="1204"/>
        <v>0</v>
      </c>
      <c r="GY137" s="64"/>
      <c r="GZ137" s="74"/>
      <c r="HA137" s="73">
        <f t="shared" ca="1" si="1205"/>
        <v>0</v>
      </c>
      <c r="HB137" s="64"/>
      <c r="HC137" s="74"/>
      <c r="HD137" s="73">
        <f t="shared" ca="1" si="1206"/>
        <v>0</v>
      </c>
      <c r="HE137" s="64"/>
      <c r="HF137" s="74"/>
      <c r="HG137" s="73">
        <f t="shared" ca="1" si="1207"/>
        <v>0</v>
      </c>
      <c r="HH137" s="64"/>
      <c r="HI137" s="74"/>
      <c r="HJ137" s="73">
        <f t="shared" ca="1" si="1208"/>
        <v>0</v>
      </c>
      <c r="HK137" s="64"/>
      <c r="HL137" s="74"/>
      <c r="HM137" s="73">
        <f t="shared" ca="1" si="1209"/>
        <v>0</v>
      </c>
      <c r="HN137" s="64"/>
      <c r="HO137" s="74"/>
      <c r="HP137" s="73">
        <f t="shared" ca="1" si="1210"/>
        <v>0</v>
      </c>
      <c r="HQ137" s="64"/>
      <c r="HR137" s="74"/>
      <c r="HS137" s="73">
        <f t="shared" ca="1" si="1211"/>
        <v>0</v>
      </c>
      <c r="HT137" s="64"/>
      <c r="HU137" s="74"/>
      <c r="HV137" s="73">
        <f t="shared" ca="1" si="1212"/>
        <v>0</v>
      </c>
      <c r="HW137" s="64"/>
      <c r="HX137" s="74"/>
      <c r="HY137" s="73">
        <f t="shared" ca="1" si="1213"/>
        <v>0</v>
      </c>
      <c r="HZ137" s="64"/>
      <c r="IA137" s="74"/>
      <c r="IB137" s="73">
        <f t="shared" ca="1" si="1214"/>
        <v>0</v>
      </c>
      <c r="IC137" s="64"/>
      <c r="ID137" s="74"/>
      <c r="IE137" s="73">
        <f t="shared" ca="1" si="1215"/>
        <v>0</v>
      </c>
      <c r="IF137" s="64"/>
      <c r="IG137" s="74"/>
      <c r="IH137" s="73">
        <f t="shared" ca="1" si="1216"/>
        <v>0</v>
      </c>
      <c r="II137" s="64"/>
      <c r="IJ137" s="74"/>
      <c r="IK137" s="73">
        <f t="shared" ca="1" si="1217"/>
        <v>0</v>
      </c>
      <c r="IL137" s="64"/>
      <c r="IM137" s="74"/>
      <c r="IN137" s="73">
        <f t="shared" ca="1" si="1218"/>
        <v>0</v>
      </c>
      <c r="IO137" s="64"/>
      <c r="IP137" s="74"/>
      <c r="IQ137" s="73">
        <f t="shared" ca="1" si="1219"/>
        <v>0</v>
      </c>
      <c r="IR137" s="64"/>
      <c r="IS137" s="74"/>
      <c r="IT137" s="73">
        <f t="shared" ca="1" si="1220"/>
        <v>0</v>
      </c>
      <c r="IU137" s="64"/>
      <c r="IV137" s="74"/>
      <c r="IW137" s="73">
        <f t="shared" ca="1" si="1221"/>
        <v>0</v>
      </c>
      <c r="IX137" s="64"/>
      <c r="IY137" s="74"/>
      <c r="IZ137" s="73">
        <f t="shared" ca="1" si="1222"/>
        <v>0</v>
      </c>
      <c r="JA137" s="64"/>
      <c r="JB137" s="74"/>
      <c r="JC137" s="73">
        <f t="shared" ca="1" si="1223"/>
        <v>0</v>
      </c>
      <c r="JD137" s="64"/>
      <c r="JE137" s="74"/>
      <c r="JF137" s="73">
        <f t="shared" ca="1" si="1224"/>
        <v>0</v>
      </c>
      <c r="JG137" s="64"/>
      <c r="JH137" s="74"/>
      <c r="JI137" s="73">
        <f t="shared" ca="1" si="1225"/>
        <v>0</v>
      </c>
      <c r="JJ137" s="64"/>
      <c r="JK137" s="74"/>
      <c r="JL137" s="73">
        <f t="shared" ca="1" si="1226"/>
        <v>0</v>
      </c>
      <c r="JM137" s="64"/>
      <c r="JN137" s="74"/>
      <c r="JO137" s="73">
        <f t="shared" ca="1" si="1227"/>
        <v>0</v>
      </c>
      <c r="JP137" s="64"/>
      <c r="JQ137" s="74"/>
      <c r="JR137" s="73">
        <f t="shared" ca="1" si="1228"/>
        <v>0</v>
      </c>
      <c r="JS137" s="64"/>
      <c r="JT137" s="74"/>
      <c r="JU137" s="73">
        <f t="shared" ca="1" si="1229"/>
        <v>0</v>
      </c>
      <c r="JV137" s="64"/>
      <c r="JW137" s="74"/>
      <c r="JX137" s="73">
        <f t="shared" ca="1" si="1230"/>
        <v>0</v>
      </c>
      <c r="JY137" s="64"/>
      <c r="JZ137" s="74"/>
      <c r="KA137" s="73">
        <f t="shared" ca="1" si="1231"/>
        <v>0</v>
      </c>
      <c r="KB137" s="64"/>
      <c r="KC137" s="74"/>
      <c r="KD137" s="73">
        <f t="shared" ca="1" si="1232"/>
        <v>0</v>
      </c>
      <c r="KE137" s="64"/>
      <c r="KF137" s="74"/>
      <c r="KG137" s="73">
        <f t="shared" ca="1" si="1233"/>
        <v>0</v>
      </c>
      <c r="KH137" s="64"/>
      <c r="KI137" s="74"/>
      <c r="KJ137" s="73">
        <f t="shared" ca="1" si="1234"/>
        <v>0</v>
      </c>
      <c r="KK137" s="64"/>
      <c r="KL137" s="74"/>
      <c r="KM137" s="73">
        <f t="shared" ca="1" si="1235"/>
        <v>0</v>
      </c>
      <c r="KN137" s="64"/>
      <c r="KO137" s="74"/>
      <c r="KP137" s="73">
        <f t="shared" ca="1" si="1236"/>
        <v>0</v>
      </c>
      <c r="KQ137" s="64"/>
      <c r="KR137" s="74"/>
      <c r="KS137" s="73">
        <f t="shared" ca="1" si="1237"/>
        <v>0</v>
      </c>
      <c r="KT137" s="64"/>
      <c r="KU137" s="74"/>
      <c r="KV137" s="73">
        <f t="shared" ca="1" si="1238"/>
        <v>0</v>
      </c>
      <c r="KW137" s="64"/>
      <c r="KX137" s="74"/>
      <c r="KY137" s="73">
        <f t="shared" ca="1" si="1239"/>
        <v>0</v>
      </c>
      <c r="KZ137" s="64"/>
      <c r="LA137" s="74"/>
      <c r="LB137" s="73">
        <f t="shared" ca="1" si="1240"/>
        <v>0</v>
      </c>
      <c r="LC137" s="64"/>
      <c r="LD137" s="74"/>
      <c r="LE137" s="73">
        <f t="shared" ca="1" si="1241"/>
        <v>0</v>
      </c>
      <c r="LF137" s="64"/>
      <c r="LG137" s="64"/>
    </row>
    <row r="138" spans="1:319">
      <c r="A138" s="49"/>
      <c r="B138" s="49"/>
      <c r="C138" s="49"/>
      <c r="D138" s="49"/>
      <c r="E138" s="65"/>
      <c r="F138" s="127">
        <f t="shared" si="1242"/>
        <v>5</v>
      </c>
      <c r="G138" s="445">
        <f ca="1">VLOOKUP(H138,Equipos!$Q$1:$R$25,2,0)</f>
        <v>19</v>
      </c>
      <c r="H138" s="447" t="str">
        <f>Idiomas!$D$137</f>
        <v>QUALIFIED FOR ROUND OF 32</v>
      </c>
      <c r="I138" s="50"/>
      <c r="J138" s="845"/>
      <c r="K138" s="56" t="str">
        <f>Idiomas!$D$198&amp;"-"&amp;ROWS($L$130:L138)</f>
        <v>16-Finalist-9</v>
      </c>
      <c r="L138" s="53"/>
      <c r="M138" s="55" t="str">
        <f ca="1">WORLDCUP!AA109</f>
        <v>Belgium</v>
      </c>
      <c r="N138" s="25"/>
      <c r="O138" s="25"/>
      <c r="P138" s="25"/>
      <c r="Q138" s="25"/>
      <c r="R138" s="110"/>
      <c r="S138" s="74" t="s">
        <v>1290</v>
      </c>
      <c r="T138" s="73">
        <f t="shared" ca="1" si="1142"/>
        <v>0</v>
      </c>
      <c r="U138" s="64"/>
      <c r="V138" s="74" t="s">
        <v>293</v>
      </c>
      <c r="W138" s="73">
        <f t="shared" ca="1" si="1143"/>
        <v>5</v>
      </c>
      <c r="X138" s="64"/>
      <c r="Y138" s="74" t="s">
        <v>293</v>
      </c>
      <c r="Z138" s="73">
        <f t="shared" ca="1" si="1144"/>
        <v>5</v>
      </c>
      <c r="AA138" s="64"/>
      <c r="AB138" s="74" t="s">
        <v>293</v>
      </c>
      <c r="AC138" s="73">
        <f t="shared" ca="1" si="1145"/>
        <v>5</v>
      </c>
      <c r="AD138" s="64"/>
      <c r="AE138" s="74" t="s">
        <v>293</v>
      </c>
      <c r="AF138" s="73">
        <f t="shared" ca="1" si="1146"/>
        <v>5</v>
      </c>
      <c r="AG138" s="64"/>
      <c r="AH138" s="74" t="s">
        <v>293</v>
      </c>
      <c r="AI138" s="73">
        <f t="shared" ca="1" si="1147"/>
        <v>5</v>
      </c>
      <c r="AJ138" s="64"/>
      <c r="AK138" s="74" t="s">
        <v>293</v>
      </c>
      <c r="AL138" s="73">
        <f t="shared" ca="1" si="1148"/>
        <v>5</v>
      </c>
      <c r="AM138" s="64"/>
      <c r="AN138" s="74" t="s">
        <v>1282</v>
      </c>
      <c r="AO138" s="73">
        <f t="shared" ca="1" si="1149"/>
        <v>0</v>
      </c>
      <c r="AP138" s="64"/>
      <c r="AQ138" s="74" t="s">
        <v>293</v>
      </c>
      <c r="AR138" s="73">
        <f t="shared" ca="1" si="1150"/>
        <v>5</v>
      </c>
      <c r="AS138" s="64"/>
      <c r="AT138" s="74" t="s">
        <v>293</v>
      </c>
      <c r="AU138" s="73">
        <f t="shared" ca="1" si="1151"/>
        <v>5</v>
      </c>
      <c r="AV138" s="64"/>
      <c r="AW138" s="74" t="s">
        <v>293</v>
      </c>
      <c r="AX138" s="73">
        <f t="shared" ca="1" si="1152"/>
        <v>5</v>
      </c>
      <c r="AY138" s="64"/>
      <c r="AZ138" s="74" t="s">
        <v>293</v>
      </c>
      <c r="BA138" s="73">
        <f t="shared" ca="1" si="1153"/>
        <v>5</v>
      </c>
      <c r="BB138" s="64"/>
      <c r="BC138" s="74" t="s">
        <v>293</v>
      </c>
      <c r="BD138" s="73">
        <f t="shared" ca="1" si="1154"/>
        <v>5</v>
      </c>
      <c r="BE138" s="64"/>
      <c r="BF138" s="74" t="s">
        <v>293</v>
      </c>
      <c r="BG138" s="73">
        <f t="shared" ca="1" si="1155"/>
        <v>5</v>
      </c>
      <c r="BH138" s="64"/>
      <c r="BI138" s="74" t="s">
        <v>1553</v>
      </c>
      <c r="BJ138" s="73">
        <f t="shared" ca="1" si="1156"/>
        <v>5</v>
      </c>
      <c r="BK138" s="64"/>
      <c r="BL138" s="74" t="s">
        <v>293</v>
      </c>
      <c r="BM138" s="73">
        <f t="shared" ca="1" si="1157"/>
        <v>5</v>
      </c>
      <c r="BN138" s="64"/>
      <c r="BO138" s="74" t="s">
        <v>1553</v>
      </c>
      <c r="BP138" s="73">
        <f t="shared" ca="1" si="1158"/>
        <v>5</v>
      </c>
      <c r="BQ138" s="64"/>
      <c r="BR138" s="74" t="s">
        <v>1553</v>
      </c>
      <c r="BS138" s="73">
        <f t="shared" ca="1" si="1159"/>
        <v>5</v>
      </c>
      <c r="BT138" s="64"/>
      <c r="BU138" s="74" t="s">
        <v>293</v>
      </c>
      <c r="BV138" s="73">
        <f t="shared" ca="1" si="1160"/>
        <v>5</v>
      </c>
      <c r="BW138" s="64"/>
      <c r="BX138" s="74" t="s">
        <v>293</v>
      </c>
      <c r="BY138" s="73">
        <f t="shared" ca="1" si="1161"/>
        <v>5</v>
      </c>
      <c r="BZ138" s="64"/>
      <c r="CA138" s="74" t="s">
        <v>293</v>
      </c>
      <c r="CB138" s="73">
        <f t="shared" ca="1" si="1162"/>
        <v>5</v>
      </c>
      <c r="CC138" s="64"/>
      <c r="CD138" s="74" t="s">
        <v>293</v>
      </c>
      <c r="CE138" s="73">
        <f t="shared" ca="1" si="1163"/>
        <v>5</v>
      </c>
      <c r="CF138" s="64"/>
      <c r="CG138" s="74" t="s">
        <v>293</v>
      </c>
      <c r="CH138" s="73">
        <f t="shared" ca="1" si="1164"/>
        <v>5</v>
      </c>
      <c r="CI138" s="64"/>
      <c r="CJ138" s="74" t="s">
        <v>293</v>
      </c>
      <c r="CK138" s="73">
        <f t="shared" ca="1" si="1165"/>
        <v>5</v>
      </c>
      <c r="CL138" s="64"/>
      <c r="CM138" s="74" t="s">
        <v>293</v>
      </c>
      <c r="CN138" s="73">
        <f t="shared" ca="1" si="1166"/>
        <v>5</v>
      </c>
      <c r="CO138" s="64"/>
      <c r="CP138" s="74" t="s">
        <v>293</v>
      </c>
      <c r="CQ138" s="73">
        <f t="shared" ca="1" si="1167"/>
        <v>5</v>
      </c>
      <c r="CR138" s="64"/>
      <c r="CS138" s="74" t="s">
        <v>1553</v>
      </c>
      <c r="CT138" s="73">
        <f t="shared" ca="1" si="1168"/>
        <v>5</v>
      </c>
      <c r="CU138" s="64"/>
      <c r="CV138" s="74" t="s">
        <v>293</v>
      </c>
      <c r="CW138" s="73">
        <f t="shared" ca="1" si="1169"/>
        <v>5</v>
      </c>
      <c r="CX138" s="64"/>
      <c r="CY138" s="74" t="s">
        <v>293</v>
      </c>
      <c r="CZ138" s="73">
        <f t="shared" ca="1" si="1170"/>
        <v>5</v>
      </c>
      <c r="DA138" s="64"/>
      <c r="DB138" s="74" t="s">
        <v>293</v>
      </c>
      <c r="DC138" s="73">
        <f t="shared" ca="1" si="1171"/>
        <v>5</v>
      </c>
      <c r="DD138" s="64"/>
      <c r="DE138" s="74" t="s">
        <v>293</v>
      </c>
      <c r="DF138" s="73">
        <f t="shared" ca="1" si="1172"/>
        <v>5</v>
      </c>
      <c r="DG138" s="64"/>
      <c r="DH138" s="74" t="s">
        <v>293</v>
      </c>
      <c r="DI138" s="73">
        <f t="shared" ca="1" si="1173"/>
        <v>5</v>
      </c>
      <c r="DJ138" s="64"/>
      <c r="DK138" s="74" t="s">
        <v>293</v>
      </c>
      <c r="DL138" s="73">
        <f t="shared" ca="1" si="1174"/>
        <v>5</v>
      </c>
      <c r="DM138" s="64"/>
      <c r="DN138" s="74" t="s">
        <v>293</v>
      </c>
      <c r="DO138" s="73">
        <f t="shared" ca="1" si="1175"/>
        <v>5</v>
      </c>
      <c r="DP138" s="64"/>
      <c r="DQ138" s="74" t="s">
        <v>293</v>
      </c>
      <c r="DR138" s="73">
        <f t="shared" ca="1" si="1176"/>
        <v>5</v>
      </c>
      <c r="DS138" s="64"/>
      <c r="DT138" s="74" t="s">
        <v>293</v>
      </c>
      <c r="DU138" s="73">
        <f t="shared" ca="1" si="1177"/>
        <v>5</v>
      </c>
      <c r="DV138" s="64"/>
      <c r="DW138" s="74" t="s">
        <v>293</v>
      </c>
      <c r="DX138" s="73">
        <f t="shared" ca="1" si="1178"/>
        <v>5</v>
      </c>
      <c r="DY138" s="64"/>
      <c r="DZ138" s="74" t="s">
        <v>293</v>
      </c>
      <c r="EA138" s="73">
        <f t="shared" ca="1" si="1179"/>
        <v>5</v>
      </c>
      <c r="EB138" s="64"/>
      <c r="EC138" s="74" t="s">
        <v>293</v>
      </c>
      <c r="ED138" s="73">
        <f t="shared" ca="1" si="1180"/>
        <v>5</v>
      </c>
      <c r="EE138" s="64"/>
      <c r="EF138" s="74" t="s">
        <v>1553</v>
      </c>
      <c r="EG138" s="73">
        <f t="shared" ca="1" si="1181"/>
        <v>5</v>
      </c>
      <c r="EH138" s="64"/>
      <c r="EI138" s="74" t="s">
        <v>293</v>
      </c>
      <c r="EJ138" s="73">
        <f t="shared" ca="1" si="1182"/>
        <v>5</v>
      </c>
      <c r="EK138" s="64"/>
      <c r="EL138" s="74" t="s">
        <v>293</v>
      </c>
      <c r="EM138" s="73">
        <f t="shared" ca="1" si="1183"/>
        <v>5</v>
      </c>
      <c r="EN138" s="64"/>
      <c r="EO138" s="74" t="s">
        <v>293</v>
      </c>
      <c r="EP138" s="73">
        <f t="shared" ca="1" si="1184"/>
        <v>5</v>
      </c>
      <c r="EQ138" s="64"/>
      <c r="ER138" s="74" t="s">
        <v>293</v>
      </c>
      <c r="ES138" s="73">
        <f t="shared" ca="1" si="1185"/>
        <v>5</v>
      </c>
      <c r="ET138" s="64"/>
      <c r="EU138" s="74" t="s">
        <v>293</v>
      </c>
      <c r="EV138" s="73">
        <f t="shared" ca="1" si="1186"/>
        <v>5</v>
      </c>
      <c r="EW138" s="64"/>
      <c r="EX138" s="74" t="s">
        <v>293</v>
      </c>
      <c r="EY138" s="73">
        <f t="shared" ca="1" si="1187"/>
        <v>5</v>
      </c>
      <c r="EZ138" s="64"/>
      <c r="FA138" s="74" t="s">
        <v>293</v>
      </c>
      <c r="FB138" s="73">
        <f t="shared" ca="1" si="1188"/>
        <v>5</v>
      </c>
      <c r="FC138" s="64"/>
      <c r="FD138" s="74" t="s">
        <v>293</v>
      </c>
      <c r="FE138" s="73">
        <f t="shared" ca="1" si="1189"/>
        <v>5</v>
      </c>
      <c r="FF138" s="64"/>
      <c r="FG138" s="74" t="s">
        <v>293</v>
      </c>
      <c r="FH138" s="73">
        <f t="shared" ca="1" si="1190"/>
        <v>5</v>
      </c>
      <c r="FI138" s="64"/>
      <c r="FJ138" s="74" t="s">
        <v>293</v>
      </c>
      <c r="FK138" s="73">
        <f t="shared" ca="1" si="1191"/>
        <v>5</v>
      </c>
      <c r="FL138" s="64"/>
      <c r="FM138" s="74" t="s">
        <v>293</v>
      </c>
      <c r="FN138" s="73">
        <f t="shared" ca="1" si="1192"/>
        <v>5</v>
      </c>
      <c r="FO138" s="64"/>
      <c r="FP138" s="74" t="s">
        <v>293</v>
      </c>
      <c r="FQ138" s="73">
        <f t="shared" ca="1" si="1193"/>
        <v>5</v>
      </c>
      <c r="FR138" s="64"/>
      <c r="FS138" s="74" t="s">
        <v>293</v>
      </c>
      <c r="FT138" s="73">
        <f t="shared" ca="1" si="1194"/>
        <v>5</v>
      </c>
      <c r="FU138" s="64"/>
      <c r="FV138" s="74" t="s">
        <v>293</v>
      </c>
      <c r="FW138" s="73">
        <f t="shared" ca="1" si="1195"/>
        <v>5</v>
      </c>
      <c r="FX138" s="64"/>
      <c r="FY138" s="74" t="s">
        <v>293</v>
      </c>
      <c r="FZ138" s="73">
        <f t="shared" ca="1" si="1196"/>
        <v>5</v>
      </c>
      <c r="GA138" s="64"/>
      <c r="GB138" s="74" t="s">
        <v>293</v>
      </c>
      <c r="GC138" s="73">
        <f t="shared" ca="1" si="1197"/>
        <v>5</v>
      </c>
      <c r="GD138" s="64"/>
      <c r="GE138" s="74" t="s">
        <v>293</v>
      </c>
      <c r="GF138" s="73">
        <f t="shared" ca="1" si="1198"/>
        <v>5</v>
      </c>
      <c r="GG138" s="64"/>
      <c r="GH138" s="74" t="s">
        <v>293</v>
      </c>
      <c r="GI138" s="73">
        <f t="shared" ca="1" si="1199"/>
        <v>5</v>
      </c>
      <c r="GJ138" s="64"/>
      <c r="GK138" s="74" t="s">
        <v>293</v>
      </c>
      <c r="GL138" s="73">
        <f t="shared" ca="1" si="1200"/>
        <v>5</v>
      </c>
      <c r="GM138" s="64"/>
      <c r="GN138" s="74"/>
      <c r="GO138" s="73">
        <f t="shared" ca="1" si="1201"/>
        <v>0</v>
      </c>
      <c r="GP138" s="64"/>
      <c r="GQ138" s="74"/>
      <c r="GR138" s="73">
        <f t="shared" ca="1" si="1202"/>
        <v>0</v>
      </c>
      <c r="GS138" s="64"/>
      <c r="GT138" s="74"/>
      <c r="GU138" s="73">
        <f t="shared" ca="1" si="1203"/>
        <v>0</v>
      </c>
      <c r="GV138" s="64"/>
      <c r="GW138" s="74"/>
      <c r="GX138" s="73">
        <f t="shared" ca="1" si="1204"/>
        <v>0</v>
      </c>
      <c r="GY138" s="64"/>
      <c r="GZ138" s="74"/>
      <c r="HA138" s="73">
        <f t="shared" ca="1" si="1205"/>
        <v>0</v>
      </c>
      <c r="HB138" s="64"/>
      <c r="HC138" s="74"/>
      <c r="HD138" s="73">
        <f t="shared" ca="1" si="1206"/>
        <v>0</v>
      </c>
      <c r="HE138" s="64"/>
      <c r="HF138" s="74"/>
      <c r="HG138" s="73">
        <f t="shared" ca="1" si="1207"/>
        <v>0</v>
      </c>
      <c r="HH138" s="64"/>
      <c r="HI138" s="74"/>
      <c r="HJ138" s="73">
        <f t="shared" ca="1" si="1208"/>
        <v>0</v>
      </c>
      <c r="HK138" s="64"/>
      <c r="HL138" s="74"/>
      <c r="HM138" s="73">
        <f t="shared" ca="1" si="1209"/>
        <v>0</v>
      </c>
      <c r="HN138" s="64"/>
      <c r="HO138" s="74"/>
      <c r="HP138" s="73">
        <f t="shared" ca="1" si="1210"/>
        <v>0</v>
      </c>
      <c r="HQ138" s="64"/>
      <c r="HR138" s="74"/>
      <c r="HS138" s="73">
        <f t="shared" ca="1" si="1211"/>
        <v>0</v>
      </c>
      <c r="HT138" s="64"/>
      <c r="HU138" s="74"/>
      <c r="HV138" s="73">
        <f t="shared" ca="1" si="1212"/>
        <v>0</v>
      </c>
      <c r="HW138" s="64"/>
      <c r="HX138" s="74"/>
      <c r="HY138" s="73">
        <f t="shared" ca="1" si="1213"/>
        <v>0</v>
      </c>
      <c r="HZ138" s="64"/>
      <c r="IA138" s="74"/>
      <c r="IB138" s="73">
        <f t="shared" ca="1" si="1214"/>
        <v>0</v>
      </c>
      <c r="IC138" s="64"/>
      <c r="ID138" s="74"/>
      <c r="IE138" s="73">
        <f t="shared" ca="1" si="1215"/>
        <v>0</v>
      </c>
      <c r="IF138" s="64"/>
      <c r="IG138" s="74"/>
      <c r="IH138" s="73">
        <f t="shared" ca="1" si="1216"/>
        <v>0</v>
      </c>
      <c r="II138" s="64"/>
      <c r="IJ138" s="74"/>
      <c r="IK138" s="73">
        <f t="shared" ca="1" si="1217"/>
        <v>0</v>
      </c>
      <c r="IL138" s="64"/>
      <c r="IM138" s="74"/>
      <c r="IN138" s="73">
        <f t="shared" ca="1" si="1218"/>
        <v>0</v>
      </c>
      <c r="IO138" s="64"/>
      <c r="IP138" s="74"/>
      <c r="IQ138" s="73">
        <f t="shared" ca="1" si="1219"/>
        <v>0</v>
      </c>
      <c r="IR138" s="64"/>
      <c r="IS138" s="74"/>
      <c r="IT138" s="73">
        <f t="shared" ca="1" si="1220"/>
        <v>0</v>
      </c>
      <c r="IU138" s="64"/>
      <c r="IV138" s="74"/>
      <c r="IW138" s="73">
        <f t="shared" ca="1" si="1221"/>
        <v>0</v>
      </c>
      <c r="IX138" s="64"/>
      <c r="IY138" s="74"/>
      <c r="IZ138" s="73">
        <f t="shared" ca="1" si="1222"/>
        <v>0</v>
      </c>
      <c r="JA138" s="64"/>
      <c r="JB138" s="74"/>
      <c r="JC138" s="73">
        <f t="shared" ca="1" si="1223"/>
        <v>0</v>
      </c>
      <c r="JD138" s="64"/>
      <c r="JE138" s="74"/>
      <c r="JF138" s="73">
        <f t="shared" ca="1" si="1224"/>
        <v>0</v>
      </c>
      <c r="JG138" s="64"/>
      <c r="JH138" s="74"/>
      <c r="JI138" s="73">
        <f t="shared" ca="1" si="1225"/>
        <v>0</v>
      </c>
      <c r="JJ138" s="64"/>
      <c r="JK138" s="74"/>
      <c r="JL138" s="73">
        <f t="shared" ca="1" si="1226"/>
        <v>0</v>
      </c>
      <c r="JM138" s="64"/>
      <c r="JN138" s="74"/>
      <c r="JO138" s="73">
        <f t="shared" ca="1" si="1227"/>
        <v>0</v>
      </c>
      <c r="JP138" s="64"/>
      <c r="JQ138" s="74"/>
      <c r="JR138" s="73">
        <f t="shared" ca="1" si="1228"/>
        <v>0</v>
      </c>
      <c r="JS138" s="64"/>
      <c r="JT138" s="74"/>
      <c r="JU138" s="73">
        <f t="shared" ca="1" si="1229"/>
        <v>0</v>
      </c>
      <c r="JV138" s="64"/>
      <c r="JW138" s="74"/>
      <c r="JX138" s="73">
        <f t="shared" ca="1" si="1230"/>
        <v>0</v>
      </c>
      <c r="JY138" s="64"/>
      <c r="JZ138" s="74"/>
      <c r="KA138" s="73">
        <f t="shared" ca="1" si="1231"/>
        <v>0</v>
      </c>
      <c r="KB138" s="64"/>
      <c r="KC138" s="74"/>
      <c r="KD138" s="73">
        <f t="shared" ca="1" si="1232"/>
        <v>0</v>
      </c>
      <c r="KE138" s="64"/>
      <c r="KF138" s="74"/>
      <c r="KG138" s="73">
        <f t="shared" ca="1" si="1233"/>
        <v>0</v>
      </c>
      <c r="KH138" s="64"/>
      <c r="KI138" s="74"/>
      <c r="KJ138" s="73">
        <f t="shared" ca="1" si="1234"/>
        <v>0</v>
      </c>
      <c r="KK138" s="64"/>
      <c r="KL138" s="74"/>
      <c r="KM138" s="73">
        <f t="shared" ca="1" si="1235"/>
        <v>0</v>
      </c>
      <c r="KN138" s="64"/>
      <c r="KO138" s="74"/>
      <c r="KP138" s="73">
        <f t="shared" ca="1" si="1236"/>
        <v>0</v>
      </c>
      <c r="KQ138" s="64"/>
      <c r="KR138" s="74"/>
      <c r="KS138" s="73">
        <f t="shared" ca="1" si="1237"/>
        <v>0</v>
      </c>
      <c r="KT138" s="64"/>
      <c r="KU138" s="74"/>
      <c r="KV138" s="73">
        <f t="shared" ca="1" si="1238"/>
        <v>0</v>
      </c>
      <c r="KW138" s="64"/>
      <c r="KX138" s="74"/>
      <c r="KY138" s="73">
        <f t="shared" ca="1" si="1239"/>
        <v>0</v>
      </c>
      <c r="KZ138" s="64"/>
      <c r="LA138" s="74"/>
      <c r="LB138" s="73">
        <f t="shared" ca="1" si="1240"/>
        <v>0</v>
      </c>
      <c r="LC138" s="64"/>
      <c r="LD138" s="74"/>
      <c r="LE138" s="73">
        <f t="shared" ca="1" si="1241"/>
        <v>0</v>
      </c>
      <c r="LF138" s="64"/>
      <c r="LG138" s="64"/>
    </row>
    <row r="139" spans="1:319">
      <c r="A139" s="49"/>
      <c r="B139" s="49"/>
      <c r="C139" s="49"/>
      <c r="D139" s="49"/>
      <c r="E139" s="65"/>
      <c r="F139" s="127">
        <f t="shared" si="1242"/>
        <v>5</v>
      </c>
      <c r="G139" s="445">
        <f ca="1">VLOOKUP(H139,Equipos!$Q$1:$R$25,2,0)</f>
        <v>19</v>
      </c>
      <c r="H139" s="447" t="str">
        <f>Idiomas!$D$137</f>
        <v>QUALIFIED FOR ROUND OF 32</v>
      </c>
      <c r="I139" s="50"/>
      <c r="J139" s="845"/>
      <c r="K139" s="56" t="str">
        <f>Idiomas!$D$198&amp;"-"&amp;ROWS($L$130:L139)</f>
        <v>16-Finalist-10</v>
      </c>
      <c r="L139" s="53"/>
      <c r="M139" s="55" t="str">
        <f ca="1">WORLDCUP!AA110</f>
        <v>United States</v>
      </c>
      <c r="N139" s="25"/>
      <c r="O139" s="25"/>
      <c r="P139" s="25"/>
      <c r="Q139" s="25"/>
      <c r="R139" s="110"/>
      <c r="S139" s="74" t="s">
        <v>498</v>
      </c>
      <c r="T139" s="73">
        <f t="shared" ca="1" si="1142"/>
        <v>5</v>
      </c>
      <c r="U139" s="64"/>
      <c r="V139" s="74" t="s">
        <v>498</v>
      </c>
      <c r="W139" s="73">
        <f t="shared" ca="1" si="1143"/>
        <v>5</v>
      </c>
      <c r="X139" s="64"/>
      <c r="Y139" s="74" t="s">
        <v>498</v>
      </c>
      <c r="Z139" s="73">
        <f t="shared" ca="1" si="1144"/>
        <v>5</v>
      </c>
      <c r="AA139" s="64"/>
      <c r="AB139" s="74" t="s">
        <v>498</v>
      </c>
      <c r="AC139" s="73">
        <f t="shared" ca="1" si="1145"/>
        <v>5</v>
      </c>
      <c r="AD139" s="64"/>
      <c r="AE139" s="74" t="s">
        <v>498</v>
      </c>
      <c r="AF139" s="73">
        <f t="shared" ca="1" si="1146"/>
        <v>5</v>
      </c>
      <c r="AG139" s="64"/>
      <c r="AH139" s="74" t="s">
        <v>1836</v>
      </c>
      <c r="AI139" s="73">
        <f t="shared" ca="1" si="1147"/>
        <v>0</v>
      </c>
      <c r="AJ139" s="64"/>
      <c r="AK139" s="74" t="s">
        <v>498</v>
      </c>
      <c r="AL139" s="73">
        <f t="shared" ca="1" si="1148"/>
        <v>5</v>
      </c>
      <c r="AM139" s="64"/>
      <c r="AN139" s="74" t="s">
        <v>1319</v>
      </c>
      <c r="AO139" s="73">
        <f t="shared" ca="1" si="1149"/>
        <v>5</v>
      </c>
      <c r="AP139" s="64"/>
      <c r="AQ139" s="74" t="s">
        <v>498</v>
      </c>
      <c r="AR139" s="73">
        <f t="shared" ca="1" si="1150"/>
        <v>5</v>
      </c>
      <c r="AS139" s="64"/>
      <c r="AT139" s="74" t="s">
        <v>1319</v>
      </c>
      <c r="AU139" s="73">
        <f t="shared" ca="1" si="1151"/>
        <v>5</v>
      </c>
      <c r="AV139" s="64"/>
      <c r="AW139" s="74" t="s">
        <v>1836</v>
      </c>
      <c r="AX139" s="73">
        <f t="shared" ca="1" si="1152"/>
        <v>0</v>
      </c>
      <c r="AY139" s="64"/>
      <c r="AZ139" s="74" t="s">
        <v>1836</v>
      </c>
      <c r="BA139" s="73">
        <f t="shared" ca="1" si="1153"/>
        <v>0</v>
      </c>
      <c r="BB139" s="64"/>
      <c r="BC139" s="74" t="s">
        <v>1257</v>
      </c>
      <c r="BD139" s="73">
        <f t="shared" ca="1" si="1154"/>
        <v>5</v>
      </c>
      <c r="BE139" s="64"/>
      <c r="BF139" s="74" t="s">
        <v>498</v>
      </c>
      <c r="BG139" s="73">
        <f t="shared" ca="1" si="1155"/>
        <v>5</v>
      </c>
      <c r="BH139" s="64"/>
      <c r="BI139" s="74" t="s">
        <v>1836</v>
      </c>
      <c r="BJ139" s="73">
        <f t="shared" ca="1" si="1156"/>
        <v>0</v>
      </c>
      <c r="BK139" s="64"/>
      <c r="BL139" s="74" t="s">
        <v>498</v>
      </c>
      <c r="BM139" s="73">
        <f t="shared" ca="1" si="1157"/>
        <v>5</v>
      </c>
      <c r="BN139" s="64"/>
      <c r="BO139" s="74" t="s">
        <v>498</v>
      </c>
      <c r="BP139" s="73">
        <f t="shared" ca="1" si="1158"/>
        <v>5</v>
      </c>
      <c r="BQ139" s="64"/>
      <c r="BR139" s="74" t="s">
        <v>1836</v>
      </c>
      <c r="BS139" s="73">
        <f t="shared" ca="1" si="1159"/>
        <v>0</v>
      </c>
      <c r="BT139" s="64"/>
      <c r="BU139" s="74" t="s">
        <v>1836</v>
      </c>
      <c r="BV139" s="73">
        <f t="shared" ca="1" si="1160"/>
        <v>0</v>
      </c>
      <c r="BW139" s="64"/>
      <c r="BX139" s="74" t="s">
        <v>498</v>
      </c>
      <c r="BY139" s="73">
        <f t="shared" ca="1" si="1161"/>
        <v>5</v>
      </c>
      <c r="BZ139" s="64"/>
      <c r="CA139" s="74" t="s">
        <v>1836</v>
      </c>
      <c r="CB139" s="73">
        <f t="shared" ca="1" si="1162"/>
        <v>0</v>
      </c>
      <c r="CC139" s="64"/>
      <c r="CD139" s="74" t="s">
        <v>1836</v>
      </c>
      <c r="CE139" s="73">
        <f t="shared" ca="1" si="1163"/>
        <v>0</v>
      </c>
      <c r="CF139" s="64"/>
      <c r="CG139" s="74" t="s">
        <v>498</v>
      </c>
      <c r="CH139" s="73">
        <f t="shared" ca="1" si="1164"/>
        <v>5</v>
      </c>
      <c r="CI139" s="64"/>
      <c r="CJ139" s="74" t="s">
        <v>1319</v>
      </c>
      <c r="CK139" s="73">
        <f t="shared" ca="1" si="1165"/>
        <v>5</v>
      </c>
      <c r="CL139" s="64"/>
      <c r="CM139" s="74" t="s">
        <v>1836</v>
      </c>
      <c r="CN139" s="73">
        <f t="shared" ca="1" si="1166"/>
        <v>0</v>
      </c>
      <c r="CO139" s="64"/>
      <c r="CP139" s="74" t="s">
        <v>498</v>
      </c>
      <c r="CQ139" s="73">
        <f t="shared" ca="1" si="1167"/>
        <v>5</v>
      </c>
      <c r="CR139" s="64"/>
      <c r="CS139" s="74" t="s">
        <v>1836</v>
      </c>
      <c r="CT139" s="73">
        <f t="shared" ca="1" si="1168"/>
        <v>0</v>
      </c>
      <c r="CU139" s="64"/>
      <c r="CV139" s="74" t="s">
        <v>1319</v>
      </c>
      <c r="CW139" s="73">
        <f t="shared" ca="1" si="1169"/>
        <v>5</v>
      </c>
      <c r="CX139" s="64"/>
      <c r="CY139" s="74" t="s">
        <v>1257</v>
      </c>
      <c r="CZ139" s="73">
        <f t="shared" ca="1" si="1170"/>
        <v>5</v>
      </c>
      <c r="DA139" s="64"/>
      <c r="DB139" s="74" t="s">
        <v>1836</v>
      </c>
      <c r="DC139" s="73">
        <f t="shared" ca="1" si="1171"/>
        <v>0</v>
      </c>
      <c r="DD139" s="64"/>
      <c r="DE139" s="74" t="s">
        <v>498</v>
      </c>
      <c r="DF139" s="73">
        <f t="shared" ca="1" si="1172"/>
        <v>5</v>
      </c>
      <c r="DG139" s="64"/>
      <c r="DH139" s="74" t="s">
        <v>1257</v>
      </c>
      <c r="DI139" s="73">
        <f t="shared" ca="1" si="1173"/>
        <v>5</v>
      </c>
      <c r="DJ139" s="64"/>
      <c r="DK139" s="74" t="s">
        <v>498</v>
      </c>
      <c r="DL139" s="73">
        <f t="shared" ca="1" si="1174"/>
        <v>5</v>
      </c>
      <c r="DM139" s="64"/>
      <c r="DN139" s="74" t="s">
        <v>1257</v>
      </c>
      <c r="DO139" s="73">
        <f t="shared" ca="1" si="1175"/>
        <v>5</v>
      </c>
      <c r="DP139" s="64"/>
      <c r="DQ139" s="74" t="s">
        <v>1257</v>
      </c>
      <c r="DR139" s="73">
        <f t="shared" ca="1" si="1176"/>
        <v>5</v>
      </c>
      <c r="DS139" s="64"/>
      <c r="DT139" s="74" t="s">
        <v>1319</v>
      </c>
      <c r="DU139" s="73">
        <f t="shared" ca="1" si="1177"/>
        <v>5</v>
      </c>
      <c r="DV139" s="64"/>
      <c r="DW139" s="74" t="s">
        <v>498</v>
      </c>
      <c r="DX139" s="73">
        <f t="shared" ca="1" si="1178"/>
        <v>5</v>
      </c>
      <c r="DY139" s="64"/>
      <c r="DZ139" s="74" t="s">
        <v>498</v>
      </c>
      <c r="EA139" s="73">
        <f t="shared" ca="1" si="1179"/>
        <v>5</v>
      </c>
      <c r="EB139" s="64"/>
      <c r="EC139" s="74" t="s">
        <v>498</v>
      </c>
      <c r="ED139" s="73">
        <f t="shared" ca="1" si="1180"/>
        <v>5</v>
      </c>
      <c r="EE139" s="64"/>
      <c r="EF139" s="74" t="s">
        <v>498</v>
      </c>
      <c r="EG139" s="73">
        <f t="shared" ca="1" si="1181"/>
        <v>5</v>
      </c>
      <c r="EH139" s="64"/>
      <c r="EI139" s="74" t="s">
        <v>1836</v>
      </c>
      <c r="EJ139" s="73">
        <f t="shared" ca="1" si="1182"/>
        <v>0</v>
      </c>
      <c r="EK139" s="64"/>
      <c r="EL139" s="74" t="s">
        <v>1836</v>
      </c>
      <c r="EM139" s="73">
        <f t="shared" ca="1" si="1183"/>
        <v>0</v>
      </c>
      <c r="EN139" s="64"/>
      <c r="EO139" s="74" t="s">
        <v>498</v>
      </c>
      <c r="EP139" s="73">
        <f t="shared" ca="1" si="1184"/>
        <v>5</v>
      </c>
      <c r="EQ139" s="64"/>
      <c r="ER139" s="74" t="s">
        <v>498</v>
      </c>
      <c r="ES139" s="73">
        <f t="shared" ca="1" si="1185"/>
        <v>5</v>
      </c>
      <c r="ET139" s="64"/>
      <c r="EU139" s="74" t="s">
        <v>498</v>
      </c>
      <c r="EV139" s="73">
        <f t="shared" ca="1" si="1186"/>
        <v>5</v>
      </c>
      <c r="EW139" s="64"/>
      <c r="EX139" s="74" t="s">
        <v>1836</v>
      </c>
      <c r="EY139" s="73">
        <f t="shared" ca="1" si="1187"/>
        <v>0</v>
      </c>
      <c r="EZ139" s="64"/>
      <c r="FA139" s="74" t="s">
        <v>498</v>
      </c>
      <c r="FB139" s="73">
        <f t="shared" ca="1" si="1188"/>
        <v>5</v>
      </c>
      <c r="FC139" s="64"/>
      <c r="FD139" s="74" t="s">
        <v>498</v>
      </c>
      <c r="FE139" s="73">
        <f t="shared" ca="1" si="1189"/>
        <v>5</v>
      </c>
      <c r="FF139" s="64"/>
      <c r="FG139" s="74" t="s">
        <v>1836</v>
      </c>
      <c r="FH139" s="73">
        <f t="shared" ca="1" si="1190"/>
        <v>0</v>
      </c>
      <c r="FI139" s="64"/>
      <c r="FJ139" s="74" t="s">
        <v>1836</v>
      </c>
      <c r="FK139" s="73">
        <f t="shared" ca="1" si="1191"/>
        <v>0</v>
      </c>
      <c r="FL139" s="64"/>
      <c r="FM139" s="74" t="s">
        <v>1836</v>
      </c>
      <c r="FN139" s="73">
        <f t="shared" ca="1" si="1192"/>
        <v>0</v>
      </c>
      <c r="FO139" s="64"/>
      <c r="FP139" s="74" t="s">
        <v>1836</v>
      </c>
      <c r="FQ139" s="73">
        <f t="shared" ca="1" si="1193"/>
        <v>0</v>
      </c>
      <c r="FR139" s="64"/>
      <c r="FS139" s="74" t="s">
        <v>1836</v>
      </c>
      <c r="FT139" s="73">
        <f t="shared" ca="1" si="1194"/>
        <v>0</v>
      </c>
      <c r="FU139" s="64"/>
      <c r="FV139" s="74" t="s">
        <v>1836</v>
      </c>
      <c r="FW139" s="73">
        <f t="shared" ca="1" si="1195"/>
        <v>0</v>
      </c>
      <c r="FX139" s="64"/>
      <c r="FY139" s="74" t="s">
        <v>1319</v>
      </c>
      <c r="FZ139" s="73">
        <f t="shared" ca="1" si="1196"/>
        <v>5</v>
      </c>
      <c r="GA139" s="64"/>
      <c r="GB139" s="74" t="s">
        <v>1836</v>
      </c>
      <c r="GC139" s="73">
        <f t="shared" ca="1" si="1197"/>
        <v>0</v>
      </c>
      <c r="GD139" s="64"/>
      <c r="GE139" s="74" t="s">
        <v>498</v>
      </c>
      <c r="GF139" s="73">
        <f t="shared" ca="1" si="1198"/>
        <v>5</v>
      </c>
      <c r="GG139" s="64"/>
      <c r="GH139" s="74" t="s">
        <v>498</v>
      </c>
      <c r="GI139" s="73">
        <f t="shared" ca="1" si="1199"/>
        <v>5</v>
      </c>
      <c r="GJ139" s="64"/>
      <c r="GK139" s="74" t="s">
        <v>1836</v>
      </c>
      <c r="GL139" s="73">
        <f t="shared" ca="1" si="1200"/>
        <v>0</v>
      </c>
      <c r="GM139" s="64"/>
      <c r="GN139" s="74"/>
      <c r="GO139" s="73">
        <f t="shared" ca="1" si="1201"/>
        <v>0</v>
      </c>
      <c r="GP139" s="64"/>
      <c r="GQ139" s="74"/>
      <c r="GR139" s="73">
        <f t="shared" ca="1" si="1202"/>
        <v>0</v>
      </c>
      <c r="GS139" s="64"/>
      <c r="GT139" s="74"/>
      <c r="GU139" s="73">
        <f t="shared" ca="1" si="1203"/>
        <v>0</v>
      </c>
      <c r="GV139" s="64"/>
      <c r="GW139" s="74"/>
      <c r="GX139" s="73">
        <f t="shared" ca="1" si="1204"/>
        <v>0</v>
      </c>
      <c r="GY139" s="64"/>
      <c r="GZ139" s="74"/>
      <c r="HA139" s="73">
        <f t="shared" ca="1" si="1205"/>
        <v>0</v>
      </c>
      <c r="HB139" s="64"/>
      <c r="HC139" s="74"/>
      <c r="HD139" s="73">
        <f t="shared" ca="1" si="1206"/>
        <v>0</v>
      </c>
      <c r="HE139" s="64"/>
      <c r="HF139" s="74"/>
      <c r="HG139" s="73">
        <f t="shared" ca="1" si="1207"/>
        <v>0</v>
      </c>
      <c r="HH139" s="64"/>
      <c r="HI139" s="74"/>
      <c r="HJ139" s="73">
        <f t="shared" ca="1" si="1208"/>
        <v>0</v>
      </c>
      <c r="HK139" s="64"/>
      <c r="HL139" s="74"/>
      <c r="HM139" s="73">
        <f t="shared" ca="1" si="1209"/>
        <v>0</v>
      </c>
      <c r="HN139" s="64"/>
      <c r="HO139" s="74"/>
      <c r="HP139" s="73">
        <f t="shared" ca="1" si="1210"/>
        <v>0</v>
      </c>
      <c r="HQ139" s="64"/>
      <c r="HR139" s="74"/>
      <c r="HS139" s="73">
        <f t="shared" ca="1" si="1211"/>
        <v>0</v>
      </c>
      <c r="HT139" s="64"/>
      <c r="HU139" s="74"/>
      <c r="HV139" s="73">
        <f t="shared" ca="1" si="1212"/>
        <v>0</v>
      </c>
      <c r="HW139" s="64"/>
      <c r="HX139" s="74"/>
      <c r="HY139" s="73">
        <f t="shared" ca="1" si="1213"/>
        <v>0</v>
      </c>
      <c r="HZ139" s="64"/>
      <c r="IA139" s="74"/>
      <c r="IB139" s="73">
        <f t="shared" ca="1" si="1214"/>
        <v>0</v>
      </c>
      <c r="IC139" s="64"/>
      <c r="ID139" s="74"/>
      <c r="IE139" s="73">
        <f t="shared" ca="1" si="1215"/>
        <v>0</v>
      </c>
      <c r="IF139" s="64"/>
      <c r="IG139" s="74"/>
      <c r="IH139" s="73">
        <f t="shared" ca="1" si="1216"/>
        <v>0</v>
      </c>
      <c r="II139" s="64"/>
      <c r="IJ139" s="74"/>
      <c r="IK139" s="73">
        <f t="shared" ca="1" si="1217"/>
        <v>0</v>
      </c>
      <c r="IL139" s="64"/>
      <c r="IM139" s="74"/>
      <c r="IN139" s="73">
        <f t="shared" ca="1" si="1218"/>
        <v>0</v>
      </c>
      <c r="IO139" s="64"/>
      <c r="IP139" s="74"/>
      <c r="IQ139" s="73">
        <f t="shared" ca="1" si="1219"/>
        <v>0</v>
      </c>
      <c r="IR139" s="64"/>
      <c r="IS139" s="74"/>
      <c r="IT139" s="73">
        <f t="shared" ca="1" si="1220"/>
        <v>0</v>
      </c>
      <c r="IU139" s="64"/>
      <c r="IV139" s="74"/>
      <c r="IW139" s="73">
        <f t="shared" ca="1" si="1221"/>
        <v>0</v>
      </c>
      <c r="IX139" s="64"/>
      <c r="IY139" s="74"/>
      <c r="IZ139" s="73">
        <f t="shared" ca="1" si="1222"/>
        <v>0</v>
      </c>
      <c r="JA139" s="64"/>
      <c r="JB139" s="74"/>
      <c r="JC139" s="73">
        <f t="shared" ca="1" si="1223"/>
        <v>0</v>
      </c>
      <c r="JD139" s="64"/>
      <c r="JE139" s="74"/>
      <c r="JF139" s="73">
        <f t="shared" ca="1" si="1224"/>
        <v>0</v>
      </c>
      <c r="JG139" s="64"/>
      <c r="JH139" s="74"/>
      <c r="JI139" s="73">
        <f t="shared" ca="1" si="1225"/>
        <v>0</v>
      </c>
      <c r="JJ139" s="64"/>
      <c r="JK139" s="74"/>
      <c r="JL139" s="73">
        <f t="shared" ca="1" si="1226"/>
        <v>0</v>
      </c>
      <c r="JM139" s="64"/>
      <c r="JN139" s="74"/>
      <c r="JO139" s="73">
        <f t="shared" ca="1" si="1227"/>
        <v>0</v>
      </c>
      <c r="JP139" s="64"/>
      <c r="JQ139" s="74"/>
      <c r="JR139" s="73">
        <f t="shared" ca="1" si="1228"/>
        <v>0</v>
      </c>
      <c r="JS139" s="64"/>
      <c r="JT139" s="74"/>
      <c r="JU139" s="73">
        <f t="shared" ca="1" si="1229"/>
        <v>0</v>
      </c>
      <c r="JV139" s="64"/>
      <c r="JW139" s="74"/>
      <c r="JX139" s="73">
        <f t="shared" ca="1" si="1230"/>
        <v>0</v>
      </c>
      <c r="JY139" s="64"/>
      <c r="JZ139" s="74"/>
      <c r="KA139" s="73">
        <f t="shared" ca="1" si="1231"/>
        <v>0</v>
      </c>
      <c r="KB139" s="64"/>
      <c r="KC139" s="74"/>
      <c r="KD139" s="73">
        <f t="shared" ca="1" si="1232"/>
        <v>0</v>
      </c>
      <c r="KE139" s="64"/>
      <c r="KF139" s="74"/>
      <c r="KG139" s="73">
        <f t="shared" ca="1" si="1233"/>
        <v>0</v>
      </c>
      <c r="KH139" s="64"/>
      <c r="KI139" s="74"/>
      <c r="KJ139" s="73">
        <f t="shared" ca="1" si="1234"/>
        <v>0</v>
      </c>
      <c r="KK139" s="64"/>
      <c r="KL139" s="74"/>
      <c r="KM139" s="73">
        <f t="shared" ca="1" si="1235"/>
        <v>0</v>
      </c>
      <c r="KN139" s="64"/>
      <c r="KO139" s="74"/>
      <c r="KP139" s="73">
        <f t="shared" ca="1" si="1236"/>
        <v>0</v>
      </c>
      <c r="KQ139" s="64"/>
      <c r="KR139" s="74"/>
      <c r="KS139" s="73">
        <f t="shared" ca="1" si="1237"/>
        <v>0</v>
      </c>
      <c r="KT139" s="64"/>
      <c r="KU139" s="74"/>
      <c r="KV139" s="73">
        <f t="shared" ca="1" si="1238"/>
        <v>0</v>
      </c>
      <c r="KW139" s="64"/>
      <c r="KX139" s="74"/>
      <c r="KY139" s="73">
        <f t="shared" ca="1" si="1239"/>
        <v>0</v>
      </c>
      <c r="KZ139" s="64"/>
      <c r="LA139" s="74"/>
      <c r="LB139" s="73">
        <f t="shared" ca="1" si="1240"/>
        <v>0</v>
      </c>
      <c r="LC139" s="64"/>
      <c r="LD139" s="74"/>
      <c r="LE139" s="73">
        <f t="shared" ca="1" si="1241"/>
        <v>0</v>
      </c>
      <c r="LF139" s="64"/>
      <c r="LG139" s="64"/>
    </row>
    <row r="140" spans="1:319">
      <c r="A140" s="49"/>
      <c r="B140" s="49"/>
      <c r="C140" s="49"/>
      <c r="D140" s="49"/>
      <c r="E140" s="65"/>
      <c r="F140" s="127">
        <f t="shared" si="1242"/>
        <v>5</v>
      </c>
      <c r="G140" s="445">
        <f ca="1">VLOOKUP(H140,Equipos!$Q$1:$R$25,2,0)</f>
        <v>19</v>
      </c>
      <c r="H140" s="447" t="str">
        <f>Idiomas!$D$137</f>
        <v>QUALIFIED FOR ROUND OF 32</v>
      </c>
      <c r="I140" s="50"/>
      <c r="J140" s="845"/>
      <c r="K140" s="56" t="str">
        <f>Idiomas!$D$198&amp;"-"&amp;ROWS($L$130:L140)</f>
        <v>16-Finalist-11</v>
      </c>
      <c r="L140" s="53"/>
      <c r="M140" s="55" t="str">
        <f ca="1">WORLDCUP!AA111</f>
        <v>Spain</v>
      </c>
      <c r="N140" s="25"/>
      <c r="O140" s="25"/>
      <c r="P140" s="25"/>
      <c r="Q140" s="25"/>
      <c r="R140" s="110"/>
      <c r="S140" s="74" t="s">
        <v>295</v>
      </c>
      <c r="T140" s="73">
        <f t="shared" ca="1" si="1142"/>
        <v>5</v>
      </c>
      <c r="U140" s="64"/>
      <c r="V140" s="74" t="s">
        <v>295</v>
      </c>
      <c r="W140" s="73">
        <f t="shared" ca="1" si="1143"/>
        <v>5</v>
      </c>
      <c r="X140" s="64"/>
      <c r="Y140" s="74" t="s">
        <v>295</v>
      </c>
      <c r="Z140" s="73">
        <f t="shared" ca="1" si="1144"/>
        <v>5</v>
      </c>
      <c r="AA140" s="64"/>
      <c r="AB140" s="74" t="s">
        <v>295</v>
      </c>
      <c r="AC140" s="73">
        <f t="shared" ca="1" si="1145"/>
        <v>5</v>
      </c>
      <c r="AD140" s="64"/>
      <c r="AE140" s="74" t="s">
        <v>295</v>
      </c>
      <c r="AF140" s="73">
        <f t="shared" ca="1" si="1146"/>
        <v>5</v>
      </c>
      <c r="AG140" s="64"/>
      <c r="AH140" s="74" t="s">
        <v>295</v>
      </c>
      <c r="AI140" s="73">
        <f t="shared" ca="1" si="1147"/>
        <v>5</v>
      </c>
      <c r="AJ140" s="64"/>
      <c r="AK140" s="74" t="s">
        <v>295</v>
      </c>
      <c r="AL140" s="73">
        <f t="shared" ca="1" si="1148"/>
        <v>5</v>
      </c>
      <c r="AM140" s="64"/>
      <c r="AN140" s="74" t="s">
        <v>1318</v>
      </c>
      <c r="AO140" s="73">
        <f t="shared" ca="1" si="1149"/>
        <v>0</v>
      </c>
      <c r="AP140" s="64"/>
      <c r="AQ140" s="74" t="s">
        <v>295</v>
      </c>
      <c r="AR140" s="73">
        <f t="shared" ca="1" si="1150"/>
        <v>5</v>
      </c>
      <c r="AS140" s="64"/>
      <c r="AT140" s="74" t="s">
        <v>295</v>
      </c>
      <c r="AU140" s="73">
        <f t="shared" ca="1" si="1151"/>
        <v>5</v>
      </c>
      <c r="AV140" s="64"/>
      <c r="AW140" s="74" t="s">
        <v>295</v>
      </c>
      <c r="AX140" s="73">
        <f t="shared" ca="1" si="1152"/>
        <v>5</v>
      </c>
      <c r="AY140" s="64"/>
      <c r="AZ140" s="74" t="s">
        <v>295</v>
      </c>
      <c r="BA140" s="73">
        <f t="shared" ca="1" si="1153"/>
        <v>5</v>
      </c>
      <c r="BB140" s="64"/>
      <c r="BC140" s="74" t="s">
        <v>295</v>
      </c>
      <c r="BD140" s="73">
        <f t="shared" ca="1" si="1154"/>
        <v>5</v>
      </c>
      <c r="BE140" s="64"/>
      <c r="BF140" s="74" t="s">
        <v>295</v>
      </c>
      <c r="BG140" s="73">
        <f t="shared" ca="1" si="1155"/>
        <v>5</v>
      </c>
      <c r="BH140" s="64"/>
      <c r="BI140" s="74" t="s">
        <v>295</v>
      </c>
      <c r="BJ140" s="73">
        <f t="shared" ca="1" si="1156"/>
        <v>5</v>
      </c>
      <c r="BK140" s="64"/>
      <c r="BL140" s="74" t="s">
        <v>295</v>
      </c>
      <c r="BM140" s="73">
        <f t="shared" ca="1" si="1157"/>
        <v>5</v>
      </c>
      <c r="BN140" s="64"/>
      <c r="BO140" s="74" t="s">
        <v>295</v>
      </c>
      <c r="BP140" s="73">
        <f t="shared" ca="1" si="1158"/>
        <v>5</v>
      </c>
      <c r="BQ140" s="64"/>
      <c r="BR140" s="74" t="s">
        <v>295</v>
      </c>
      <c r="BS140" s="73">
        <f t="shared" ca="1" si="1159"/>
        <v>5</v>
      </c>
      <c r="BT140" s="64"/>
      <c r="BU140" s="74" t="s">
        <v>295</v>
      </c>
      <c r="BV140" s="73">
        <f t="shared" ca="1" si="1160"/>
        <v>5</v>
      </c>
      <c r="BW140" s="64"/>
      <c r="BX140" s="74" t="s">
        <v>295</v>
      </c>
      <c r="BY140" s="73">
        <f t="shared" ca="1" si="1161"/>
        <v>5</v>
      </c>
      <c r="BZ140" s="64"/>
      <c r="CA140" s="74" t="s">
        <v>295</v>
      </c>
      <c r="CB140" s="73">
        <f t="shared" ca="1" si="1162"/>
        <v>5</v>
      </c>
      <c r="CC140" s="64"/>
      <c r="CD140" s="74" t="s">
        <v>295</v>
      </c>
      <c r="CE140" s="73">
        <f t="shared" ca="1" si="1163"/>
        <v>5</v>
      </c>
      <c r="CF140" s="64"/>
      <c r="CG140" s="74" t="s">
        <v>295</v>
      </c>
      <c r="CH140" s="73">
        <f t="shared" ca="1" si="1164"/>
        <v>5</v>
      </c>
      <c r="CI140" s="64"/>
      <c r="CJ140" s="74" t="s">
        <v>295</v>
      </c>
      <c r="CK140" s="73">
        <f t="shared" ca="1" si="1165"/>
        <v>5</v>
      </c>
      <c r="CL140" s="64"/>
      <c r="CM140" s="74" t="s">
        <v>295</v>
      </c>
      <c r="CN140" s="73">
        <f t="shared" ca="1" si="1166"/>
        <v>5</v>
      </c>
      <c r="CO140" s="64"/>
      <c r="CP140" s="74" t="s">
        <v>295</v>
      </c>
      <c r="CQ140" s="73">
        <f t="shared" ca="1" si="1167"/>
        <v>5</v>
      </c>
      <c r="CR140" s="64"/>
      <c r="CS140" s="74" t="s">
        <v>295</v>
      </c>
      <c r="CT140" s="73">
        <f t="shared" ca="1" si="1168"/>
        <v>5</v>
      </c>
      <c r="CU140" s="64"/>
      <c r="CV140" s="74" t="s">
        <v>295</v>
      </c>
      <c r="CW140" s="73">
        <f t="shared" ca="1" si="1169"/>
        <v>5</v>
      </c>
      <c r="CX140" s="64"/>
      <c r="CY140" s="74" t="s">
        <v>295</v>
      </c>
      <c r="CZ140" s="73">
        <f t="shared" ca="1" si="1170"/>
        <v>5</v>
      </c>
      <c r="DA140" s="64"/>
      <c r="DB140" s="74" t="s">
        <v>295</v>
      </c>
      <c r="DC140" s="73">
        <f t="shared" ca="1" si="1171"/>
        <v>5</v>
      </c>
      <c r="DD140" s="64"/>
      <c r="DE140" s="74" t="s">
        <v>295</v>
      </c>
      <c r="DF140" s="73">
        <f t="shared" ca="1" si="1172"/>
        <v>5</v>
      </c>
      <c r="DG140" s="64"/>
      <c r="DH140" s="74" t="s">
        <v>295</v>
      </c>
      <c r="DI140" s="73">
        <f t="shared" ca="1" si="1173"/>
        <v>5</v>
      </c>
      <c r="DJ140" s="64"/>
      <c r="DK140" s="74" t="s">
        <v>295</v>
      </c>
      <c r="DL140" s="73">
        <f t="shared" ca="1" si="1174"/>
        <v>5</v>
      </c>
      <c r="DM140" s="64"/>
      <c r="DN140" s="74" t="s">
        <v>295</v>
      </c>
      <c r="DO140" s="73">
        <f t="shared" ca="1" si="1175"/>
        <v>5</v>
      </c>
      <c r="DP140" s="64"/>
      <c r="DQ140" s="74" t="s">
        <v>295</v>
      </c>
      <c r="DR140" s="73">
        <f t="shared" ca="1" si="1176"/>
        <v>5</v>
      </c>
      <c r="DS140" s="64"/>
      <c r="DT140" s="74" t="s">
        <v>295</v>
      </c>
      <c r="DU140" s="73">
        <f t="shared" ca="1" si="1177"/>
        <v>5</v>
      </c>
      <c r="DV140" s="64"/>
      <c r="DW140" s="74" t="s">
        <v>295</v>
      </c>
      <c r="DX140" s="73">
        <f t="shared" ca="1" si="1178"/>
        <v>5</v>
      </c>
      <c r="DY140" s="64"/>
      <c r="DZ140" s="74" t="s">
        <v>295</v>
      </c>
      <c r="EA140" s="73">
        <f t="shared" ca="1" si="1179"/>
        <v>5</v>
      </c>
      <c r="EB140" s="64"/>
      <c r="EC140" s="74" t="s">
        <v>295</v>
      </c>
      <c r="ED140" s="73">
        <f t="shared" ca="1" si="1180"/>
        <v>5</v>
      </c>
      <c r="EE140" s="64"/>
      <c r="EF140" s="74" t="s">
        <v>295</v>
      </c>
      <c r="EG140" s="73">
        <f t="shared" ca="1" si="1181"/>
        <v>5</v>
      </c>
      <c r="EH140" s="64"/>
      <c r="EI140" s="74" t="s">
        <v>295</v>
      </c>
      <c r="EJ140" s="73">
        <f t="shared" ca="1" si="1182"/>
        <v>5</v>
      </c>
      <c r="EK140" s="64"/>
      <c r="EL140" s="74" t="s">
        <v>295</v>
      </c>
      <c r="EM140" s="73">
        <f t="shared" ca="1" si="1183"/>
        <v>5</v>
      </c>
      <c r="EN140" s="64"/>
      <c r="EO140" s="74" t="s">
        <v>295</v>
      </c>
      <c r="EP140" s="73">
        <f t="shared" ca="1" si="1184"/>
        <v>5</v>
      </c>
      <c r="EQ140" s="64"/>
      <c r="ER140" s="74" t="s">
        <v>295</v>
      </c>
      <c r="ES140" s="73">
        <f t="shared" ca="1" si="1185"/>
        <v>5</v>
      </c>
      <c r="ET140" s="64"/>
      <c r="EU140" s="74" t="s">
        <v>295</v>
      </c>
      <c r="EV140" s="73">
        <f t="shared" ca="1" si="1186"/>
        <v>5</v>
      </c>
      <c r="EW140" s="64"/>
      <c r="EX140" s="74" t="s">
        <v>295</v>
      </c>
      <c r="EY140" s="73">
        <f t="shared" ca="1" si="1187"/>
        <v>5</v>
      </c>
      <c r="EZ140" s="64"/>
      <c r="FA140" s="74" t="s">
        <v>295</v>
      </c>
      <c r="FB140" s="73">
        <f t="shared" ca="1" si="1188"/>
        <v>5</v>
      </c>
      <c r="FC140" s="64"/>
      <c r="FD140" s="74" t="s">
        <v>295</v>
      </c>
      <c r="FE140" s="73">
        <f t="shared" ca="1" si="1189"/>
        <v>5</v>
      </c>
      <c r="FF140" s="64"/>
      <c r="FG140" s="74" t="s">
        <v>295</v>
      </c>
      <c r="FH140" s="73">
        <f t="shared" ca="1" si="1190"/>
        <v>5</v>
      </c>
      <c r="FI140" s="64"/>
      <c r="FJ140" s="74" t="s">
        <v>295</v>
      </c>
      <c r="FK140" s="73">
        <f t="shared" ca="1" si="1191"/>
        <v>5</v>
      </c>
      <c r="FL140" s="64"/>
      <c r="FM140" s="74" t="s">
        <v>295</v>
      </c>
      <c r="FN140" s="73">
        <f t="shared" ca="1" si="1192"/>
        <v>5</v>
      </c>
      <c r="FO140" s="64"/>
      <c r="FP140" s="74" t="s">
        <v>295</v>
      </c>
      <c r="FQ140" s="73">
        <f t="shared" ca="1" si="1193"/>
        <v>5</v>
      </c>
      <c r="FR140" s="64"/>
      <c r="FS140" s="74" t="s">
        <v>295</v>
      </c>
      <c r="FT140" s="73">
        <f t="shared" ca="1" si="1194"/>
        <v>5</v>
      </c>
      <c r="FU140" s="64"/>
      <c r="FV140" s="74" t="s">
        <v>295</v>
      </c>
      <c r="FW140" s="73">
        <f t="shared" ca="1" si="1195"/>
        <v>5</v>
      </c>
      <c r="FX140" s="64"/>
      <c r="FY140" s="74" t="s">
        <v>295</v>
      </c>
      <c r="FZ140" s="73">
        <f t="shared" ca="1" si="1196"/>
        <v>5</v>
      </c>
      <c r="GA140" s="64"/>
      <c r="GB140" s="74" t="s">
        <v>295</v>
      </c>
      <c r="GC140" s="73">
        <f t="shared" ca="1" si="1197"/>
        <v>5</v>
      </c>
      <c r="GD140" s="64"/>
      <c r="GE140" s="74" t="s">
        <v>295</v>
      </c>
      <c r="GF140" s="73">
        <f t="shared" ca="1" si="1198"/>
        <v>5</v>
      </c>
      <c r="GG140" s="64"/>
      <c r="GH140" s="74" t="s">
        <v>295</v>
      </c>
      <c r="GI140" s="73">
        <f t="shared" ca="1" si="1199"/>
        <v>5</v>
      </c>
      <c r="GJ140" s="64"/>
      <c r="GK140" s="74" t="s">
        <v>295</v>
      </c>
      <c r="GL140" s="73">
        <f t="shared" ca="1" si="1200"/>
        <v>5</v>
      </c>
      <c r="GM140" s="64"/>
      <c r="GN140" s="74"/>
      <c r="GO140" s="73">
        <f t="shared" ca="1" si="1201"/>
        <v>0</v>
      </c>
      <c r="GP140" s="64"/>
      <c r="GQ140" s="74"/>
      <c r="GR140" s="73">
        <f t="shared" ca="1" si="1202"/>
        <v>0</v>
      </c>
      <c r="GS140" s="64"/>
      <c r="GT140" s="74"/>
      <c r="GU140" s="73">
        <f t="shared" ca="1" si="1203"/>
        <v>0</v>
      </c>
      <c r="GV140" s="64"/>
      <c r="GW140" s="74"/>
      <c r="GX140" s="73">
        <f t="shared" ca="1" si="1204"/>
        <v>0</v>
      </c>
      <c r="GY140" s="64"/>
      <c r="GZ140" s="74"/>
      <c r="HA140" s="73">
        <f t="shared" ca="1" si="1205"/>
        <v>0</v>
      </c>
      <c r="HB140" s="64"/>
      <c r="HC140" s="74"/>
      <c r="HD140" s="73">
        <f t="shared" ca="1" si="1206"/>
        <v>0</v>
      </c>
      <c r="HE140" s="64"/>
      <c r="HF140" s="74"/>
      <c r="HG140" s="73">
        <f t="shared" ca="1" si="1207"/>
        <v>0</v>
      </c>
      <c r="HH140" s="64"/>
      <c r="HI140" s="74"/>
      <c r="HJ140" s="73">
        <f t="shared" ca="1" si="1208"/>
        <v>0</v>
      </c>
      <c r="HK140" s="64"/>
      <c r="HL140" s="74"/>
      <c r="HM140" s="73">
        <f t="shared" ca="1" si="1209"/>
        <v>0</v>
      </c>
      <c r="HN140" s="64"/>
      <c r="HO140" s="74"/>
      <c r="HP140" s="73">
        <f t="shared" ca="1" si="1210"/>
        <v>0</v>
      </c>
      <c r="HQ140" s="64"/>
      <c r="HR140" s="74"/>
      <c r="HS140" s="73">
        <f t="shared" ca="1" si="1211"/>
        <v>0</v>
      </c>
      <c r="HT140" s="64"/>
      <c r="HU140" s="74"/>
      <c r="HV140" s="73">
        <f t="shared" ca="1" si="1212"/>
        <v>0</v>
      </c>
      <c r="HW140" s="64"/>
      <c r="HX140" s="74"/>
      <c r="HY140" s="73">
        <f t="shared" ca="1" si="1213"/>
        <v>0</v>
      </c>
      <c r="HZ140" s="64"/>
      <c r="IA140" s="74"/>
      <c r="IB140" s="73">
        <f t="shared" ca="1" si="1214"/>
        <v>0</v>
      </c>
      <c r="IC140" s="64"/>
      <c r="ID140" s="74"/>
      <c r="IE140" s="73">
        <f t="shared" ca="1" si="1215"/>
        <v>0</v>
      </c>
      <c r="IF140" s="64"/>
      <c r="IG140" s="74"/>
      <c r="IH140" s="73">
        <f t="shared" ca="1" si="1216"/>
        <v>0</v>
      </c>
      <c r="II140" s="64"/>
      <c r="IJ140" s="74"/>
      <c r="IK140" s="73">
        <f t="shared" ca="1" si="1217"/>
        <v>0</v>
      </c>
      <c r="IL140" s="64"/>
      <c r="IM140" s="74"/>
      <c r="IN140" s="73">
        <f t="shared" ca="1" si="1218"/>
        <v>0</v>
      </c>
      <c r="IO140" s="64"/>
      <c r="IP140" s="74"/>
      <c r="IQ140" s="73">
        <f t="shared" ca="1" si="1219"/>
        <v>0</v>
      </c>
      <c r="IR140" s="64"/>
      <c r="IS140" s="74"/>
      <c r="IT140" s="73">
        <f t="shared" ca="1" si="1220"/>
        <v>0</v>
      </c>
      <c r="IU140" s="64"/>
      <c r="IV140" s="74"/>
      <c r="IW140" s="73">
        <f t="shared" ca="1" si="1221"/>
        <v>0</v>
      </c>
      <c r="IX140" s="64"/>
      <c r="IY140" s="74"/>
      <c r="IZ140" s="73">
        <f t="shared" ca="1" si="1222"/>
        <v>0</v>
      </c>
      <c r="JA140" s="64"/>
      <c r="JB140" s="74"/>
      <c r="JC140" s="73">
        <f t="shared" ca="1" si="1223"/>
        <v>0</v>
      </c>
      <c r="JD140" s="64"/>
      <c r="JE140" s="74"/>
      <c r="JF140" s="73">
        <f t="shared" ca="1" si="1224"/>
        <v>0</v>
      </c>
      <c r="JG140" s="64"/>
      <c r="JH140" s="74"/>
      <c r="JI140" s="73">
        <f t="shared" ca="1" si="1225"/>
        <v>0</v>
      </c>
      <c r="JJ140" s="64"/>
      <c r="JK140" s="74"/>
      <c r="JL140" s="73">
        <f t="shared" ca="1" si="1226"/>
        <v>0</v>
      </c>
      <c r="JM140" s="64"/>
      <c r="JN140" s="74"/>
      <c r="JO140" s="73">
        <f t="shared" ca="1" si="1227"/>
        <v>0</v>
      </c>
      <c r="JP140" s="64"/>
      <c r="JQ140" s="74"/>
      <c r="JR140" s="73">
        <f t="shared" ca="1" si="1228"/>
        <v>0</v>
      </c>
      <c r="JS140" s="64"/>
      <c r="JT140" s="74"/>
      <c r="JU140" s="73">
        <f t="shared" ca="1" si="1229"/>
        <v>0</v>
      </c>
      <c r="JV140" s="64"/>
      <c r="JW140" s="74"/>
      <c r="JX140" s="73">
        <f t="shared" ca="1" si="1230"/>
        <v>0</v>
      </c>
      <c r="JY140" s="64"/>
      <c r="JZ140" s="74"/>
      <c r="KA140" s="73">
        <f t="shared" ca="1" si="1231"/>
        <v>0</v>
      </c>
      <c r="KB140" s="64"/>
      <c r="KC140" s="74"/>
      <c r="KD140" s="73">
        <f t="shared" ca="1" si="1232"/>
        <v>0</v>
      </c>
      <c r="KE140" s="64"/>
      <c r="KF140" s="74"/>
      <c r="KG140" s="73">
        <f t="shared" ca="1" si="1233"/>
        <v>0</v>
      </c>
      <c r="KH140" s="64"/>
      <c r="KI140" s="74"/>
      <c r="KJ140" s="73">
        <f t="shared" ca="1" si="1234"/>
        <v>0</v>
      </c>
      <c r="KK140" s="64"/>
      <c r="KL140" s="74"/>
      <c r="KM140" s="73">
        <f t="shared" ca="1" si="1235"/>
        <v>0</v>
      </c>
      <c r="KN140" s="64"/>
      <c r="KO140" s="74"/>
      <c r="KP140" s="73">
        <f t="shared" ca="1" si="1236"/>
        <v>0</v>
      </c>
      <c r="KQ140" s="64"/>
      <c r="KR140" s="74"/>
      <c r="KS140" s="73">
        <f t="shared" ca="1" si="1237"/>
        <v>0</v>
      </c>
      <c r="KT140" s="64"/>
      <c r="KU140" s="74"/>
      <c r="KV140" s="73">
        <f t="shared" ca="1" si="1238"/>
        <v>0</v>
      </c>
      <c r="KW140" s="64"/>
      <c r="KX140" s="74"/>
      <c r="KY140" s="73">
        <f t="shared" ca="1" si="1239"/>
        <v>0</v>
      </c>
      <c r="KZ140" s="64"/>
      <c r="LA140" s="74"/>
      <c r="LB140" s="73">
        <f t="shared" ca="1" si="1240"/>
        <v>0</v>
      </c>
      <c r="LC140" s="64"/>
      <c r="LD140" s="74"/>
      <c r="LE140" s="73">
        <f t="shared" ca="1" si="1241"/>
        <v>0</v>
      </c>
      <c r="LF140" s="64"/>
      <c r="LG140" s="64"/>
    </row>
    <row r="141" spans="1:319">
      <c r="A141" s="49"/>
      <c r="B141" s="49"/>
      <c r="C141" s="49"/>
      <c r="D141" s="49"/>
      <c r="E141" s="65"/>
      <c r="F141" s="127">
        <f t="shared" si="1242"/>
        <v>5</v>
      </c>
      <c r="G141" s="445">
        <f ca="1">VLOOKUP(H141,Equipos!$Q$1:$R$25,2,0)</f>
        <v>19</v>
      </c>
      <c r="H141" s="447" t="str">
        <f>Idiomas!$D$137</f>
        <v>QUALIFIED FOR ROUND OF 32</v>
      </c>
      <c r="I141" s="50"/>
      <c r="J141" s="845"/>
      <c r="K141" s="56" t="str">
        <f>Idiomas!$D$198&amp;"-"&amp;ROWS($L$130:L141)</f>
        <v>16-Finalist-12</v>
      </c>
      <c r="L141" s="53"/>
      <c r="M141" s="55" t="str">
        <f ca="1">WORLDCUP!AA112</f>
        <v>Portugal</v>
      </c>
      <c r="N141" s="25"/>
      <c r="O141" s="25"/>
      <c r="P141" s="25"/>
      <c r="Q141" s="25"/>
      <c r="R141" s="110"/>
      <c r="S141" s="74" t="s">
        <v>1292</v>
      </c>
      <c r="T141" s="73">
        <f t="shared" ca="1" si="1142"/>
        <v>0</v>
      </c>
      <c r="U141" s="64"/>
      <c r="V141" s="74" t="s">
        <v>79</v>
      </c>
      <c r="W141" s="73">
        <f t="shared" ca="1" si="1143"/>
        <v>5</v>
      </c>
      <c r="X141" s="64"/>
      <c r="Y141" s="74" t="s">
        <v>1320</v>
      </c>
      <c r="Z141" s="73">
        <f t="shared" ca="1" si="1144"/>
        <v>5</v>
      </c>
      <c r="AA141" s="64"/>
      <c r="AB141" s="74" t="s">
        <v>1320</v>
      </c>
      <c r="AC141" s="73">
        <f t="shared" ca="1" si="1145"/>
        <v>5</v>
      </c>
      <c r="AD141" s="64"/>
      <c r="AE141" s="74" t="s">
        <v>1320</v>
      </c>
      <c r="AF141" s="73">
        <f t="shared" ca="1" si="1146"/>
        <v>5</v>
      </c>
      <c r="AG141" s="64"/>
      <c r="AH141" s="74" t="s">
        <v>1320</v>
      </c>
      <c r="AI141" s="73">
        <f t="shared" ca="1" si="1147"/>
        <v>5</v>
      </c>
      <c r="AJ141" s="64"/>
      <c r="AK141" s="74" t="s">
        <v>1320</v>
      </c>
      <c r="AL141" s="73">
        <f t="shared" ca="1" si="1148"/>
        <v>5</v>
      </c>
      <c r="AM141" s="64"/>
      <c r="AN141" s="74" t="s">
        <v>79</v>
      </c>
      <c r="AO141" s="73">
        <f t="shared" ca="1" si="1149"/>
        <v>5</v>
      </c>
      <c r="AP141" s="64"/>
      <c r="AQ141" s="74" t="s">
        <v>1320</v>
      </c>
      <c r="AR141" s="73">
        <f t="shared" ca="1" si="1150"/>
        <v>5</v>
      </c>
      <c r="AS141" s="64"/>
      <c r="AT141" s="74" t="s">
        <v>79</v>
      </c>
      <c r="AU141" s="73">
        <f t="shared" ca="1" si="1151"/>
        <v>5</v>
      </c>
      <c r="AV141" s="64"/>
      <c r="AW141" s="74" t="s">
        <v>1320</v>
      </c>
      <c r="AX141" s="73">
        <f t="shared" ca="1" si="1152"/>
        <v>5</v>
      </c>
      <c r="AY141" s="64"/>
      <c r="AZ141" s="74" t="s">
        <v>1320</v>
      </c>
      <c r="BA141" s="73">
        <f t="shared" ca="1" si="1153"/>
        <v>5</v>
      </c>
      <c r="BB141" s="64"/>
      <c r="BC141" s="74" t="s">
        <v>1320</v>
      </c>
      <c r="BD141" s="73">
        <f t="shared" ca="1" si="1154"/>
        <v>5</v>
      </c>
      <c r="BE141" s="64"/>
      <c r="BF141" s="74" t="s">
        <v>1320</v>
      </c>
      <c r="BG141" s="73">
        <f t="shared" ca="1" si="1155"/>
        <v>5</v>
      </c>
      <c r="BH141" s="64"/>
      <c r="BI141" s="74" t="s">
        <v>1320</v>
      </c>
      <c r="BJ141" s="73">
        <f t="shared" ca="1" si="1156"/>
        <v>5</v>
      </c>
      <c r="BK141" s="64"/>
      <c r="BL141" s="74" t="s">
        <v>1320</v>
      </c>
      <c r="BM141" s="73">
        <f t="shared" ca="1" si="1157"/>
        <v>5</v>
      </c>
      <c r="BN141" s="64"/>
      <c r="BO141" s="74" t="s">
        <v>79</v>
      </c>
      <c r="BP141" s="73">
        <f t="shared" ca="1" si="1158"/>
        <v>5</v>
      </c>
      <c r="BQ141" s="64"/>
      <c r="BR141" s="74" t="s">
        <v>1320</v>
      </c>
      <c r="BS141" s="73">
        <f t="shared" ca="1" si="1159"/>
        <v>5</v>
      </c>
      <c r="BT141" s="64"/>
      <c r="BU141" s="74" t="s">
        <v>1320</v>
      </c>
      <c r="BV141" s="73">
        <f t="shared" ca="1" si="1160"/>
        <v>5</v>
      </c>
      <c r="BW141" s="64"/>
      <c r="BX141" s="74" t="s">
        <v>1320</v>
      </c>
      <c r="BY141" s="73">
        <f t="shared" ca="1" si="1161"/>
        <v>5</v>
      </c>
      <c r="BZ141" s="64"/>
      <c r="CA141" s="74" t="s">
        <v>1320</v>
      </c>
      <c r="CB141" s="73">
        <f t="shared" ca="1" si="1162"/>
        <v>5</v>
      </c>
      <c r="CC141" s="64"/>
      <c r="CD141" s="74" t="s">
        <v>1320</v>
      </c>
      <c r="CE141" s="73">
        <f t="shared" ca="1" si="1163"/>
        <v>5</v>
      </c>
      <c r="CF141" s="64"/>
      <c r="CG141" s="74" t="s">
        <v>1320</v>
      </c>
      <c r="CH141" s="73">
        <f t="shared" ca="1" si="1164"/>
        <v>5</v>
      </c>
      <c r="CI141" s="64"/>
      <c r="CJ141" s="74" t="s">
        <v>1320</v>
      </c>
      <c r="CK141" s="73">
        <f t="shared" ca="1" si="1165"/>
        <v>5</v>
      </c>
      <c r="CL141" s="64"/>
      <c r="CM141" s="74" t="s">
        <v>1320</v>
      </c>
      <c r="CN141" s="73">
        <f t="shared" ca="1" si="1166"/>
        <v>5</v>
      </c>
      <c r="CO141" s="64"/>
      <c r="CP141" s="74" t="s">
        <v>1320</v>
      </c>
      <c r="CQ141" s="73">
        <f t="shared" ca="1" si="1167"/>
        <v>5</v>
      </c>
      <c r="CR141" s="64"/>
      <c r="CS141" s="74" t="s">
        <v>1320</v>
      </c>
      <c r="CT141" s="73">
        <f t="shared" ca="1" si="1168"/>
        <v>5</v>
      </c>
      <c r="CU141" s="64"/>
      <c r="CV141" s="74" t="s">
        <v>1320</v>
      </c>
      <c r="CW141" s="73">
        <f t="shared" ca="1" si="1169"/>
        <v>5</v>
      </c>
      <c r="CX141" s="64"/>
      <c r="CY141" s="74" t="s">
        <v>1320</v>
      </c>
      <c r="CZ141" s="73">
        <f t="shared" ca="1" si="1170"/>
        <v>5</v>
      </c>
      <c r="DA141" s="64"/>
      <c r="DB141" s="74" t="s">
        <v>1320</v>
      </c>
      <c r="DC141" s="73">
        <f t="shared" ca="1" si="1171"/>
        <v>5</v>
      </c>
      <c r="DD141" s="64"/>
      <c r="DE141" s="74" t="s">
        <v>1320</v>
      </c>
      <c r="DF141" s="73">
        <f t="shared" ca="1" si="1172"/>
        <v>5</v>
      </c>
      <c r="DG141" s="64"/>
      <c r="DH141" s="74" t="s">
        <v>1320</v>
      </c>
      <c r="DI141" s="73">
        <f t="shared" ca="1" si="1173"/>
        <v>5</v>
      </c>
      <c r="DJ141" s="64"/>
      <c r="DK141" s="74" t="s">
        <v>1320</v>
      </c>
      <c r="DL141" s="73">
        <f t="shared" ca="1" si="1174"/>
        <v>5</v>
      </c>
      <c r="DM141" s="64"/>
      <c r="DN141" s="74" t="s">
        <v>1320</v>
      </c>
      <c r="DO141" s="73">
        <f t="shared" ca="1" si="1175"/>
        <v>5</v>
      </c>
      <c r="DP141" s="64"/>
      <c r="DQ141" s="74" t="s">
        <v>1320</v>
      </c>
      <c r="DR141" s="73">
        <f t="shared" ca="1" si="1176"/>
        <v>5</v>
      </c>
      <c r="DS141" s="64"/>
      <c r="DT141" s="74" t="s">
        <v>1320</v>
      </c>
      <c r="DU141" s="73">
        <f t="shared" ca="1" si="1177"/>
        <v>5</v>
      </c>
      <c r="DV141" s="64"/>
      <c r="DW141" s="74" t="s">
        <v>1320</v>
      </c>
      <c r="DX141" s="73">
        <f t="shared" ca="1" si="1178"/>
        <v>5</v>
      </c>
      <c r="DY141" s="64"/>
      <c r="DZ141" s="74" t="s">
        <v>1320</v>
      </c>
      <c r="EA141" s="73">
        <f t="shared" ca="1" si="1179"/>
        <v>5</v>
      </c>
      <c r="EB141" s="64"/>
      <c r="EC141" s="74" t="s">
        <v>1320</v>
      </c>
      <c r="ED141" s="73">
        <f t="shared" ca="1" si="1180"/>
        <v>5</v>
      </c>
      <c r="EE141" s="64"/>
      <c r="EF141" s="74" t="s">
        <v>1320</v>
      </c>
      <c r="EG141" s="73">
        <f t="shared" ca="1" si="1181"/>
        <v>5</v>
      </c>
      <c r="EH141" s="64"/>
      <c r="EI141" s="74" t="s">
        <v>1320</v>
      </c>
      <c r="EJ141" s="73">
        <f t="shared" ca="1" si="1182"/>
        <v>5</v>
      </c>
      <c r="EK141" s="64"/>
      <c r="EL141" s="74" t="s">
        <v>1320</v>
      </c>
      <c r="EM141" s="73">
        <f t="shared" ca="1" si="1183"/>
        <v>5</v>
      </c>
      <c r="EN141" s="64"/>
      <c r="EO141" s="74" t="s">
        <v>1320</v>
      </c>
      <c r="EP141" s="73">
        <f t="shared" ca="1" si="1184"/>
        <v>5</v>
      </c>
      <c r="EQ141" s="64"/>
      <c r="ER141" s="74" t="s">
        <v>1320</v>
      </c>
      <c r="ES141" s="73">
        <f t="shared" ca="1" si="1185"/>
        <v>5</v>
      </c>
      <c r="ET141" s="64"/>
      <c r="EU141" s="74" t="s">
        <v>1320</v>
      </c>
      <c r="EV141" s="73">
        <f t="shared" ca="1" si="1186"/>
        <v>5</v>
      </c>
      <c r="EW141" s="64"/>
      <c r="EX141" s="74" t="s">
        <v>1320</v>
      </c>
      <c r="EY141" s="73">
        <f t="shared" ca="1" si="1187"/>
        <v>5</v>
      </c>
      <c r="EZ141" s="64"/>
      <c r="FA141" s="74" t="s">
        <v>1320</v>
      </c>
      <c r="FB141" s="73">
        <f t="shared" ca="1" si="1188"/>
        <v>5</v>
      </c>
      <c r="FC141" s="64"/>
      <c r="FD141" s="74" t="s">
        <v>1320</v>
      </c>
      <c r="FE141" s="73">
        <f t="shared" ca="1" si="1189"/>
        <v>5</v>
      </c>
      <c r="FF141" s="64"/>
      <c r="FG141" s="74" t="s">
        <v>1320</v>
      </c>
      <c r="FH141" s="73">
        <f t="shared" ca="1" si="1190"/>
        <v>5</v>
      </c>
      <c r="FI141" s="64"/>
      <c r="FJ141" s="74" t="s">
        <v>1320</v>
      </c>
      <c r="FK141" s="73">
        <f t="shared" ca="1" si="1191"/>
        <v>5</v>
      </c>
      <c r="FL141" s="64"/>
      <c r="FM141" s="74" t="s">
        <v>1320</v>
      </c>
      <c r="FN141" s="73">
        <f t="shared" ca="1" si="1192"/>
        <v>5</v>
      </c>
      <c r="FO141" s="64"/>
      <c r="FP141" s="74" t="s">
        <v>1320</v>
      </c>
      <c r="FQ141" s="73">
        <f t="shared" ca="1" si="1193"/>
        <v>5</v>
      </c>
      <c r="FR141" s="64"/>
      <c r="FS141" s="74" t="s">
        <v>1320</v>
      </c>
      <c r="FT141" s="73">
        <f t="shared" ca="1" si="1194"/>
        <v>5</v>
      </c>
      <c r="FU141" s="64"/>
      <c r="FV141" s="74" t="s">
        <v>1320</v>
      </c>
      <c r="FW141" s="73">
        <f t="shared" ca="1" si="1195"/>
        <v>5</v>
      </c>
      <c r="FX141" s="64"/>
      <c r="FY141" s="74" t="s">
        <v>1320</v>
      </c>
      <c r="FZ141" s="73">
        <f t="shared" ca="1" si="1196"/>
        <v>5</v>
      </c>
      <c r="GA141" s="64"/>
      <c r="GB141" s="74" t="s">
        <v>79</v>
      </c>
      <c r="GC141" s="73">
        <f t="shared" ca="1" si="1197"/>
        <v>5</v>
      </c>
      <c r="GD141" s="64"/>
      <c r="GE141" s="74" t="s">
        <v>1320</v>
      </c>
      <c r="GF141" s="73">
        <f t="shared" ca="1" si="1198"/>
        <v>5</v>
      </c>
      <c r="GG141" s="64"/>
      <c r="GH141" s="74" t="s">
        <v>1320</v>
      </c>
      <c r="GI141" s="73">
        <f t="shared" ca="1" si="1199"/>
        <v>5</v>
      </c>
      <c r="GJ141" s="64"/>
      <c r="GK141" s="74" t="s">
        <v>1320</v>
      </c>
      <c r="GL141" s="73">
        <f t="shared" ca="1" si="1200"/>
        <v>5</v>
      </c>
      <c r="GM141" s="64"/>
      <c r="GN141" s="74"/>
      <c r="GO141" s="73">
        <f t="shared" ca="1" si="1201"/>
        <v>0</v>
      </c>
      <c r="GP141" s="64"/>
      <c r="GQ141" s="74"/>
      <c r="GR141" s="73">
        <f t="shared" ca="1" si="1202"/>
        <v>0</v>
      </c>
      <c r="GS141" s="64"/>
      <c r="GT141" s="74"/>
      <c r="GU141" s="73">
        <f t="shared" ca="1" si="1203"/>
        <v>0</v>
      </c>
      <c r="GV141" s="64"/>
      <c r="GW141" s="74"/>
      <c r="GX141" s="73">
        <f t="shared" ca="1" si="1204"/>
        <v>0</v>
      </c>
      <c r="GY141" s="64"/>
      <c r="GZ141" s="74"/>
      <c r="HA141" s="73">
        <f t="shared" ca="1" si="1205"/>
        <v>0</v>
      </c>
      <c r="HB141" s="64"/>
      <c r="HC141" s="74"/>
      <c r="HD141" s="73">
        <f t="shared" ca="1" si="1206"/>
        <v>0</v>
      </c>
      <c r="HE141" s="64"/>
      <c r="HF141" s="74"/>
      <c r="HG141" s="73">
        <f t="shared" ca="1" si="1207"/>
        <v>0</v>
      </c>
      <c r="HH141" s="64"/>
      <c r="HI141" s="74"/>
      <c r="HJ141" s="73">
        <f t="shared" ca="1" si="1208"/>
        <v>0</v>
      </c>
      <c r="HK141" s="64"/>
      <c r="HL141" s="74"/>
      <c r="HM141" s="73">
        <f t="shared" ca="1" si="1209"/>
        <v>0</v>
      </c>
      <c r="HN141" s="64"/>
      <c r="HO141" s="74"/>
      <c r="HP141" s="73">
        <f t="shared" ca="1" si="1210"/>
        <v>0</v>
      </c>
      <c r="HQ141" s="64"/>
      <c r="HR141" s="74"/>
      <c r="HS141" s="73">
        <f t="shared" ca="1" si="1211"/>
        <v>0</v>
      </c>
      <c r="HT141" s="64"/>
      <c r="HU141" s="74"/>
      <c r="HV141" s="73">
        <f t="shared" ca="1" si="1212"/>
        <v>0</v>
      </c>
      <c r="HW141" s="64"/>
      <c r="HX141" s="74"/>
      <c r="HY141" s="73">
        <f t="shared" ca="1" si="1213"/>
        <v>0</v>
      </c>
      <c r="HZ141" s="64"/>
      <c r="IA141" s="74"/>
      <c r="IB141" s="73">
        <f t="shared" ca="1" si="1214"/>
        <v>0</v>
      </c>
      <c r="IC141" s="64"/>
      <c r="ID141" s="74"/>
      <c r="IE141" s="73">
        <f t="shared" ca="1" si="1215"/>
        <v>0</v>
      </c>
      <c r="IF141" s="64"/>
      <c r="IG141" s="74"/>
      <c r="IH141" s="73">
        <f t="shared" ca="1" si="1216"/>
        <v>0</v>
      </c>
      <c r="II141" s="64"/>
      <c r="IJ141" s="74"/>
      <c r="IK141" s="73">
        <f t="shared" ca="1" si="1217"/>
        <v>0</v>
      </c>
      <c r="IL141" s="64"/>
      <c r="IM141" s="74"/>
      <c r="IN141" s="73">
        <f t="shared" ca="1" si="1218"/>
        <v>0</v>
      </c>
      <c r="IO141" s="64"/>
      <c r="IP141" s="74"/>
      <c r="IQ141" s="73">
        <f t="shared" ca="1" si="1219"/>
        <v>0</v>
      </c>
      <c r="IR141" s="64"/>
      <c r="IS141" s="74"/>
      <c r="IT141" s="73">
        <f t="shared" ca="1" si="1220"/>
        <v>0</v>
      </c>
      <c r="IU141" s="64"/>
      <c r="IV141" s="74"/>
      <c r="IW141" s="73">
        <f t="shared" ca="1" si="1221"/>
        <v>0</v>
      </c>
      <c r="IX141" s="64"/>
      <c r="IY141" s="74"/>
      <c r="IZ141" s="73">
        <f t="shared" ca="1" si="1222"/>
        <v>0</v>
      </c>
      <c r="JA141" s="64"/>
      <c r="JB141" s="74"/>
      <c r="JC141" s="73">
        <f t="shared" ca="1" si="1223"/>
        <v>0</v>
      </c>
      <c r="JD141" s="64"/>
      <c r="JE141" s="74"/>
      <c r="JF141" s="73">
        <f t="shared" ca="1" si="1224"/>
        <v>0</v>
      </c>
      <c r="JG141" s="64"/>
      <c r="JH141" s="74"/>
      <c r="JI141" s="73">
        <f t="shared" ca="1" si="1225"/>
        <v>0</v>
      </c>
      <c r="JJ141" s="64"/>
      <c r="JK141" s="74"/>
      <c r="JL141" s="73">
        <f t="shared" ca="1" si="1226"/>
        <v>0</v>
      </c>
      <c r="JM141" s="64"/>
      <c r="JN141" s="74"/>
      <c r="JO141" s="73">
        <f t="shared" ca="1" si="1227"/>
        <v>0</v>
      </c>
      <c r="JP141" s="64"/>
      <c r="JQ141" s="74"/>
      <c r="JR141" s="73">
        <f t="shared" ca="1" si="1228"/>
        <v>0</v>
      </c>
      <c r="JS141" s="64"/>
      <c r="JT141" s="74"/>
      <c r="JU141" s="73">
        <f t="shared" ca="1" si="1229"/>
        <v>0</v>
      </c>
      <c r="JV141" s="64"/>
      <c r="JW141" s="74"/>
      <c r="JX141" s="73">
        <f t="shared" ca="1" si="1230"/>
        <v>0</v>
      </c>
      <c r="JY141" s="64"/>
      <c r="JZ141" s="74"/>
      <c r="KA141" s="73">
        <f t="shared" ca="1" si="1231"/>
        <v>0</v>
      </c>
      <c r="KB141" s="64"/>
      <c r="KC141" s="74"/>
      <c r="KD141" s="73">
        <f t="shared" ca="1" si="1232"/>
        <v>0</v>
      </c>
      <c r="KE141" s="64"/>
      <c r="KF141" s="74"/>
      <c r="KG141" s="73">
        <f t="shared" ca="1" si="1233"/>
        <v>0</v>
      </c>
      <c r="KH141" s="64"/>
      <c r="KI141" s="74"/>
      <c r="KJ141" s="73">
        <f t="shared" ca="1" si="1234"/>
        <v>0</v>
      </c>
      <c r="KK141" s="64"/>
      <c r="KL141" s="74"/>
      <c r="KM141" s="73">
        <f t="shared" ca="1" si="1235"/>
        <v>0</v>
      </c>
      <c r="KN141" s="64"/>
      <c r="KO141" s="74"/>
      <c r="KP141" s="73">
        <f t="shared" ca="1" si="1236"/>
        <v>0</v>
      </c>
      <c r="KQ141" s="64"/>
      <c r="KR141" s="74"/>
      <c r="KS141" s="73">
        <f t="shared" ca="1" si="1237"/>
        <v>0</v>
      </c>
      <c r="KT141" s="64"/>
      <c r="KU141" s="74"/>
      <c r="KV141" s="73">
        <f t="shared" ca="1" si="1238"/>
        <v>0</v>
      </c>
      <c r="KW141" s="64"/>
      <c r="KX141" s="74"/>
      <c r="KY141" s="73">
        <f t="shared" ca="1" si="1239"/>
        <v>0</v>
      </c>
      <c r="KZ141" s="64"/>
      <c r="LA141" s="74"/>
      <c r="LB141" s="73">
        <f t="shared" ca="1" si="1240"/>
        <v>0</v>
      </c>
      <c r="LC141" s="64"/>
      <c r="LD141" s="74"/>
      <c r="LE141" s="73">
        <f t="shared" ca="1" si="1241"/>
        <v>0</v>
      </c>
      <c r="LF141" s="64"/>
      <c r="LG141" s="64"/>
    </row>
    <row r="142" spans="1:319">
      <c r="A142" s="49"/>
      <c r="B142" s="49"/>
      <c r="C142" s="49"/>
      <c r="D142" s="49"/>
      <c r="E142" s="65"/>
      <c r="F142" s="127">
        <f t="shared" si="1242"/>
        <v>5</v>
      </c>
      <c r="G142" s="445">
        <f ca="1">VLOOKUP(H142,Equipos!$Q$1:$R$25,2,0)</f>
        <v>19</v>
      </c>
      <c r="H142" s="447" t="str">
        <f>Idiomas!$D$137</f>
        <v>QUALIFIED FOR ROUND OF 32</v>
      </c>
      <c r="I142" s="50"/>
      <c r="J142" s="845"/>
      <c r="K142" s="56" t="str">
        <f>Idiomas!$D$198&amp;"-"&amp;ROWS($L$130:L142)</f>
        <v>16-Finalist-13</v>
      </c>
      <c r="L142" s="53"/>
      <c r="M142" s="55" t="str">
        <f ca="1">WORLDCUP!AA113</f>
        <v>Switzerland</v>
      </c>
      <c r="N142" s="25"/>
      <c r="O142" s="25"/>
      <c r="P142" s="25"/>
      <c r="Q142" s="25"/>
      <c r="R142" s="110"/>
      <c r="S142" s="74" t="s">
        <v>290</v>
      </c>
      <c r="T142" s="73">
        <f t="shared" ca="1" si="1142"/>
        <v>5</v>
      </c>
      <c r="U142" s="64"/>
      <c r="V142" s="74" t="s">
        <v>290</v>
      </c>
      <c r="W142" s="73">
        <f t="shared" ca="1" si="1143"/>
        <v>5</v>
      </c>
      <c r="X142" s="64"/>
      <c r="Y142" s="74" t="s">
        <v>290</v>
      </c>
      <c r="Z142" s="73">
        <f t="shared" ca="1" si="1144"/>
        <v>5</v>
      </c>
      <c r="AA142" s="64"/>
      <c r="AB142" s="74" t="s">
        <v>290</v>
      </c>
      <c r="AC142" s="73">
        <f t="shared" ca="1" si="1145"/>
        <v>5</v>
      </c>
      <c r="AD142" s="64"/>
      <c r="AE142" s="74" t="s">
        <v>290</v>
      </c>
      <c r="AF142" s="73">
        <f t="shared" ca="1" si="1146"/>
        <v>5</v>
      </c>
      <c r="AG142" s="64"/>
      <c r="AH142" s="74" t="s">
        <v>290</v>
      </c>
      <c r="AI142" s="73">
        <f t="shared" ca="1" si="1147"/>
        <v>5</v>
      </c>
      <c r="AJ142" s="64"/>
      <c r="AK142" s="74" t="s">
        <v>1276</v>
      </c>
      <c r="AL142" s="73">
        <f t="shared" ca="1" si="1148"/>
        <v>5</v>
      </c>
      <c r="AM142" s="64"/>
      <c r="AN142" s="74" t="s">
        <v>1276</v>
      </c>
      <c r="AO142" s="73">
        <f t="shared" ca="1" si="1149"/>
        <v>5</v>
      </c>
      <c r="AP142" s="64"/>
      <c r="AQ142" s="74" t="s">
        <v>1842</v>
      </c>
      <c r="AR142" s="73">
        <f t="shared" ca="1" si="1150"/>
        <v>5</v>
      </c>
      <c r="AS142" s="64"/>
      <c r="AT142" s="74" t="s">
        <v>290</v>
      </c>
      <c r="AU142" s="73">
        <f t="shared" ca="1" si="1151"/>
        <v>5</v>
      </c>
      <c r="AV142" s="64"/>
      <c r="AW142" s="74" t="s">
        <v>1276</v>
      </c>
      <c r="AX142" s="73">
        <f t="shared" ca="1" si="1152"/>
        <v>5</v>
      </c>
      <c r="AY142" s="64"/>
      <c r="AZ142" s="74" t="s">
        <v>290</v>
      </c>
      <c r="BA142" s="73">
        <f t="shared" ca="1" si="1153"/>
        <v>5</v>
      </c>
      <c r="BB142" s="64"/>
      <c r="BC142" s="74" t="s">
        <v>290</v>
      </c>
      <c r="BD142" s="73">
        <f t="shared" ca="1" si="1154"/>
        <v>5</v>
      </c>
      <c r="BE142" s="64"/>
      <c r="BF142" s="74" t="s">
        <v>1276</v>
      </c>
      <c r="BG142" s="73">
        <f t="shared" ca="1" si="1155"/>
        <v>5</v>
      </c>
      <c r="BH142" s="64"/>
      <c r="BI142" s="74" t="s">
        <v>290</v>
      </c>
      <c r="BJ142" s="73">
        <f t="shared" ca="1" si="1156"/>
        <v>5</v>
      </c>
      <c r="BK142" s="64"/>
      <c r="BL142" s="74" t="s">
        <v>290</v>
      </c>
      <c r="BM142" s="73">
        <f t="shared" ca="1" si="1157"/>
        <v>5</v>
      </c>
      <c r="BN142" s="64"/>
      <c r="BO142" s="74" t="s">
        <v>290</v>
      </c>
      <c r="BP142" s="73">
        <f t="shared" ca="1" si="1158"/>
        <v>5</v>
      </c>
      <c r="BQ142" s="64"/>
      <c r="BR142" s="74" t="s">
        <v>290</v>
      </c>
      <c r="BS142" s="73">
        <f t="shared" ca="1" si="1159"/>
        <v>5</v>
      </c>
      <c r="BT142" s="64"/>
      <c r="BU142" s="74" t="s">
        <v>290</v>
      </c>
      <c r="BV142" s="73">
        <f t="shared" ca="1" si="1160"/>
        <v>5</v>
      </c>
      <c r="BW142" s="64"/>
      <c r="BX142" s="74" t="s">
        <v>1276</v>
      </c>
      <c r="BY142" s="73">
        <f t="shared" ca="1" si="1161"/>
        <v>5</v>
      </c>
      <c r="BZ142" s="64"/>
      <c r="CA142" s="74" t="s">
        <v>290</v>
      </c>
      <c r="CB142" s="73">
        <f t="shared" ca="1" si="1162"/>
        <v>5</v>
      </c>
      <c r="CC142" s="64"/>
      <c r="CD142" s="74" t="s">
        <v>290</v>
      </c>
      <c r="CE142" s="73">
        <f t="shared" ca="1" si="1163"/>
        <v>5</v>
      </c>
      <c r="CF142" s="64"/>
      <c r="CG142" s="74" t="s">
        <v>1276</v>
      </c>
      <c r="CH142" s="73">
        <f t="shared" ca="1" si="1164"/>
        <v>5</v>
      </c>
      <c r="CI142" s="64"/>
      <c r="CJ142" s="74" t="s">
        <v>290</v>
      </c>
      <c r="CK142" s="73">
        <f t="shared" ca="1" si="1165"/>
        <v>5</v>
      </c>
      <c r="CL142" s="64"/>
      <c r="CM142" s="74" t="s">
        <v>290</v>
      </c>
      <c r="CN142" s="73">
        <f t="shared" ca="1" si="1166"/>
        <v>5</v>
      </c>
      <c r="CO142" s="64"/>
      <c r="CP142" s="74" t="s">
        <v>290</v>
      </c>
      <c r="CQ142" s="73">
        <f t="shared" ca="1" si="1167"/>
        <v>5</v>
      </c>
      <c r="CR142" s="64"/>
      <c r="CS142" s="74" t="s">
        <v>290</v>
      </c>
      <c r="CT142" s="73">
        <f t="shared" ca="1" si="1168"/>
        <v>5</v>
      </c>
      <c r="CU142" s="64"/>
      <c r="CV142" s="74" t="s">
        <v>1276</v>
      </c>
      <c r="CW142" s="73">
        <f t="shared" ca="1" si="1169"/>
        <v>5</v>
      </c>
      <c r="CX142" s="64"/>
      <c r="CY142" s="74" t="s">
        <v>1637</v>
      </c>
      <c r="CZ142" s="73">
        <f t="shared" ca="1" si="1170"/>
        <v>0</v>
      </c>
      <c r="DA142" s="64"/>
      <c r="DB142" s="74" t="s">
        <v>290</v>
      </c>
      <c r="DC142" s="73">
        <f t="shared" ca="1" si="1171"/>
        <v>5</v>
      </c>
      <c r="DD142" s="64"/>
      <c r="DE142" s="74" t="s">
        <v>290</v>
      </c>
      <c r="DF142" s="73">
        <f t="shared" ca="1" si="1172"/>
        <v>5</v>
      </c>
      <c r="DG142" s="64"/>
      <c r="DH142" s="74" t="s">
        <v>1276</v>
      </c>
      <c r="DI142" s="73">
        <f t="shared" ca="1" si="1173"/>
        <v>5</v>
      </c>
      <c r="DJ142" s="64"/>
      <c r="DK142" s="74" t="s">
        <v>290</v>
      </c>
      <c r="DL142" s="73">
        <f t="shared" ca="1" si="1174"/>
        <v>5</v>
      </c>
      <c r="DM142" s="64"/>
      <c r="DN142" s="74" t="s">
        <v>290</v>
      </c>
      <c r="DO142" s="73">
        <f t="shared" ca="1" si="1175"/>
        <v>5</v>
      </c>
      <c r="DP142" s="64"/>
      <c r="DQ142" s="74" t="s">
        <v>290</v>
      </c>
      <c r="DR142" s="73">
        <f t="shared" ca="1" si="1176"/>
        <v>5</v>
      </c>
      <c r="DS142" s="64"/>
      <c r="DT142" s="74" t="s">
        <v>290</v>
      </c>
      <c r="DU142" s="73">
        <f t="shared" ca="1" si="1177"/>
        <v>5</v>
      </c>
      <c r="DV142" s="64"/>
      <c r="DW142" s="74" t="s">
        <v>290</v>
      </c>
      <c r="DX142" s="73">
        <f t="shared" ca="1" si="1178"/>
        <v>5</v>
      </c>
      <c r="DY142" s="64"/>
      <c r="DZ142" s="74" t="s">
        <v>290</v>
      </c>
      <c r="EA142" s="73">
        <f t="shared" ca="1" si="1179"/>
        <v>5</v>
      </c>
      <c r="EB142" s="64"/>
      <c r="EC142" s="74" t="s">
        <v>290</v>
      </c>
      <c r="ED142" s="73">
        <f t="shared" ca="1" si="1180"/>
        <v>5</v>
      </c>
      <c r="EE142" s="64"/>
      <c r="EF142" s="74" t="s">
        <v>1842</v>
      </c>
      <c r="EG142" s="73">
        <f t="shared" ca="1" si="1181"/>
        <v>5</v>
      </c>
      <c r="EH142" s="64"/>
      <c r="EI142" s="74" t="s">
        <v>290</v>
      </c>
      <c r="EJ142" s="73">
        <f t="shared" ca="1" si="1182"/>
        <v>5</v>
      </c>
      <c r="EK142" s="64"/>
      <c r="EL142" s="74" t="s">
        <v>290</v>
      </c>
      <c r="EM142" s="73">
        <f t="shared" ca="1" si="1183"/>
        <v>5</v>
      </c>
      <c r="EN142" s="64"/>
      <c r="EO142" s="74" t="s">
        <v>290</v>
      </c>
      <c r="EP142" s="73">
        <f t="shared" ca="1" si="1184"/>
        <v>5</v>
      </c>
      <c r="EQ142" s="64"/>
      <c r="ER142" s="74" t="s">
        <v>290</v>
      </c>
      <c r="ES142" s="73">
        <f t="shared" ca="1" si="1185"/>
        <v>5</v>
      </c>
      <c r="ET142" s="64"/>
      <c r="EU142" s="74" t="s">
        <v>1276</v>
      </c>
      <c r="EV142" s="73">
        <f t="shared" ca="1" si="1186"/>
        <v>5</v>
      </c>
      <c r="EW142" s="64"/>
      <c r="EX142" s="74" t="s">
        <v>290</v>
      </c>
      <c r="EY142" s="73">
        <f t="shared" ca="1" si="1187"/>
        <v>5</v>
      </c>
      <c r="EZ142" s="64"/>
      <c r="FA142" s="74" t="s">
        <v>1276</v>
      </c>
      <c r="FB142" s="73">
        <f t="shared" ca="1" si="1188"/>
        <v>5</v>
      </c>
      <c r="FC142" s="64"/>
      <c r="FD142" s="74" t="s">
        <v>290</v>
      </c>
      <c r="FE142" s="73">
        <f t="shared" ca="1" si="1189"/>
        <v>5</v>
      </c>
      <c r="FF142" s="64"/>
      <c r="FG142" s="74" t="s">
        <v>1276</v>
      </c>
      <c r="FH142" s="73">
        <f t="shared" ca="1" si="1190"/>
        <v>5</v>
      </c>
      <c r="FI142" s="64"/>
      <c r="FJ142" s="74" t="s">
        <v>290</v>
      </c>
      <c r="FK142" s="73">
        <f t="shared" ca="1" si="1191"/>
        <v>5</v>
      </c>
      <c r="FL142" s="64"/>
      <c r="FM142" s="74" t="s">
        <v>290</v>
      </c>
      <c r="FN142" s="73">
        <f t="shared" ca="1" si="1192"/>
        <v>5</v>
      </c>
      <c r="FO142" s="64"/>
      <c r="FP142" s="74" t="s">
        <v>290</v>
      </c>
      <c r="FQ142" s="73">
        <f t="shared" ca="1" si="1193"/>
        <v>5</v>
      </c>
      <c r="FR142" s="64"/>
      <c r="FS142" s="74" t="s">
        <v>290</v>
      </c>
      <c r="FT142" s="73">
        <f t="shared" ca="1" si="1194"/>
        <v>5</v>
      </c>
      <c r="FU142" s="64"/>
      <c r="FV142" s="74" t="s">
        <v>1276</v>
      </c>
      <c r="FW142" s="73">
        <f t="shared" ca="1" si="1195"/>
        <v>5</v>
      </c>
      <c r="FX142" s="64"/>
      <c r="FY142" s="74" t="s">
        <v>1842</v>
      </c>
      <c r="FZ142" s="73">
        <f t="shared" ca="1" si="1196"/>
        <v>5</v>
      </c>
      <c r="GA142" s="64"/>
      <c r="GB142" s="74" t="s">
        <v>290</v>
      </c>
      <c r="GC142" s="73">
        <f t="shared" ca="1" si="1197"/>
        <v>5</v>
      </c>
      <c r="GD142" s="64"/>
      <c r="GE142" s="74" t="s">
        <v>290</v>
      </c>
      <c r="GF142" s="73">
        <f t="shared" ca="1" si="1198"/>
        <v>5</v>
      </c>
      <c r="GG142" s="64"/>
      <c r="GH142" s="74" t="s">
        <v>290</v>
      </c>
      <c r="GI142" s="73">
        <f t="shared" ca="1" si="1199"/>
        <v>5</v>
      </c>
      <c r="GJ142" s="64"/>
      <c r="GK142" s="74" t="s">
        <v>290</v>
      </c>
      <c r="GL142" s="73">
        <f t="shared" ca="1" si="1200"/>
        <v>5</v>
      </c>
      <c r="GM142" s="64"/>
      <c r="GN142" s="74"/>
      <c r="GO142" s="73">
        <f t="shared" ca="1" si="1201"/>
        <v>0</v>
      </c>
      <c r="GP142" s="64"/>
      <c r="GQ142" s="74"/>
      <c r="GR142" s="73">
        <f t="shared" ca="1" si="1202"/>
        <v>0</v>
      </c>
      <c r="GS142" s="64"/>
      <c r="GT142" s="74"/>
      <c r="GU142" s="73">
        <f t="shared" ca="1" si="1203"/>
        <v>0</v>
      </c>
      <c r="GV142" s="64"/>
      <c r="GW142" s="74"/>
      <c r="GX142" s="73">
        <f t="shared" ca="1" si="1204"/>
        <v>0</v>
      </c>
      <c r="GY142" s="64"/>
      <c r="GZ142" s="74"/>
      <c r="HA142" s="73">
        <f t="shared" ca="1" si="1205"/>
        <v>0</v>
      </c>
      <c r="HB142" s="64"/>
      <c r="HC142" s="74"/>
      <c r="HD142" s="73">
        <f t="shared" ca="1" si="1206"/>
        <v>0</v>
      </c>
      <c r="HE142" s="64"/>
      <c r="HF142" s="74"/>
      <c r="HG142" s="73">
        <f t="shared" ca="1" si="1207"/>
        <v>0</v>
      </c>
      <c r="HH142" s="64"/>
      <c r="HI142" s="74"/>
      <c r="HJ142" s="73">
        <f t="shared" ca="1" si="1208"/>
        <v>0</v>
      </c>
      <c r="HK142" s="64"/>
      <c r="HL142" s="74"/>
      <c r="HM142" s="73">
        <f t="shared" ca="1" si="1209"/>
        <v>0</v>
      </c>
      <c r="HN142" s="64"/>
      <c r="HO142" s="74"/>
      <c r="HP142" s="73">
        <f t="shared" ca="1" si="1210"/>
        <v>0</v>
      </c>
      <c r="HQ142" s="64"/>
      <c r="HR142" s="74"/>
      <c r="HS142" s="73">
        <f t="shared" ca="1" si="1211"/>
        <v>0</v>
      </c>
      <c r="HT142" s="64"/>
      <c r="HU142" s="74"/>
      <c r="HV142" s="73">
        <f t="shared" ca="1" si="1212"/>
        <v>0</v>
      </c>
      <c r="HW142" s="64"/>
      <c r="HX142" s="74"/>
      <c r="HY142" s="73">
        <f t="shared" ca="1" si="1213"/>
        <v>0</v>
      </c>
      <c r="HZ142" s="64"/>
      <c r="IA142" s="74"/>
      <c r="IB142" s="73">
        <f t="shared" ca="1" si="1214"/>
        <v>0</v>
      </c>
      <c r="IC142" s="64"/>
      <c r="ID142" s="74"/>
      <c r="IE142" s="73">
        <f t="shared" ca="1" si="1215"/>
        <v>0</v>
      </c>
      <c r="IF142" s="64"/>
      <c r="IG142" s="74"/>
      <c r="IH142" s="73">
        <f t="shared" ca="1" si="1216"/>
        <v>0</v>
      </c>
      <c r="II142" s="64"/>
      <c r="IJ142" s="74"/>
      <c r="IK142" s="73">
        <f t="shared" ca="1" si="1217"/>
        <v>0</v>
      </c>
      <c r="IL142" s="64"/>
      <c r="IM142" s="74"/>
      <c r="IN142" s="73">
        <f t="shared" ca="1" si="1218"/>
        <v>0</v>
      </c>
      <c r="IO142" s="64"/>
      <c r="IP142" s="74"/>
      <c r="IQ142" s="73">
        <f t="shared" ca="1" si="1219"/>
        <v>0</v>
      </c>
      <c r="IR142" s="64"/>
      <c r="IS142" s="74"/>
      <c r="IT142" s="73">
        <f t="shared" ca="1" si="1220"/>
        <v>0</v>
      </c>
      <c r="IU142" s="64"/>
      <c r="IV142" s="74"/>
      <c r="IW142" s="73">
        <f t="shared" ca="1" si="1221"/>
        <v>0</v>
      </c>
      <c r="IX142" s="64"/>
      <c r="IY142" s="74"/>
      <c r="IZ142" s="73">
        <f t="shared" ca="1" si="1222"/>
        <v>0</v>
      </c>
      <c r="JA142" s="64"/>
      <c r="JB142" s="74"/>
      <c r="JC142" s="73">
        <f t="shared" ca="1" si="1223"/>
        <v>0</v>
      </c>
      <c r="JD142" s="64"/>
      <c r="JE142" s="74"/>
      <c r="JF142" s="73">
        <f t="shared" ca="1" si="1224"/>
        <v>0</v>
      </c>
      <c r="JG142" s="64"/>
      <c r="JH142" s="74"/>
      <c r="JI142" s="73">
        <f t="shared" ca="1" si="1225"/>
        <v>0</v>
      </c>
      <c r="JJ142" s="64"/>
      <c r="JK142" s="74"/>
      <c r="JL142" s="73">
        <f t="shared" ca="1" si="1226"/>
        <v>0</v>
      </c>
      <c r="JM142" s="64"/>
      <c r="JN142" s="74"/>
      <c r="JO142" s="73">
        <f t="shared" ca="1" si="1227"/>
        <v>0</v>
      </c>
      <c r="JP142" s="64"/>
      <c r="JQ142" s="74"/>
      <c r="JR142" s="73">
        <f t="shared" ca="1" si="1228"/>
        <v>0</v>
      </c>
      <c r="JS142" s="64"/>
      <c r="JT142" s="74"/>
      <c r="JU142" s="73">
        <f t="shared" ca="1" si="1229"/>
        <v>0</v>
      </c>
      <c r="JV142" s="64"/>
      <c r="JW142" s="74"/>
      <c r="JX142" s="73">
        <f t="shared" ca="1" si="1230"/>
        <v>0</v>
      </c>
      <c r="JY142" s="64"/>
      <c r="JZ142" s="74"/>
      <c r="KA142" s="73">
        <f t="shared" ca="1" si="1231"/>
        <v>0</v>
      </c>
      <c r="KB142" s="64"/>
      <c r="KC142" s="74"/>
      <c r="KD142" s="73">
        <f t="shared" ca="1" si="1232"/>
        <v>0</v>
      </c>
      <c r="KE142" s="64"/>
      <c r="KF142" s="74"/>
      <c r="KG142" s="73">
        <f t="shared" ca="1" si="1233"/>
        <v>0</v>
      </c>
      <c r="KH142" s="64"/>
      <c r="KI142" s="74"/>
      <c r="KJ142" s="73">
        <f t="shared" ca="1" si="1234"/>
        <v>0</v>
      </c>
      <c r="KK142" s="64"/>
      <c r="KL142" s="74"/>
      <c r="KM142" s="73">
        <f t="shared" ca="1" si="1235"/>
        <v>0</v>
      </c>
      <c r="KN142" s="64"/>
      <c r="KO142" s="74"/>
      <c r="KP142" s="73">
        <f t="shared" ca="1" si="1236"/>
        <v>0</v>
      </c>
      <c r="KQ142" s="64"/>
      <c r="KR142" s="74"/>
      <c r="KS142" s="73">
        <f t="shared" ca="1" si="1237"/>
        <v>0</v>
      </c>
      <c r="KT142" s="64"/>
      <c r="KU142" s="74"/>
      <c r="KV142" s="73">
        <f t="shared" ca="1" si="1238"/>
        <v>0</v>
      </c>
      <c r="KW142" s="64"/>
      <c r="KX142" s="74"/>
      <c r="KY142" s="73">
        <f t="shared" ca="1" si="1239"/>
        <v>0</v>
      </c>
      <c r="KZ142" s="64"/>
      <c r="LA142" s="74"/>
      <c r="LB142" s="73">
        <f t="shared" ca="1" si="1240"/>
        <v>0</v>
      </c>
      <c r="LC142" s="64"/>
      <c r="LD142" s="74"/>
      <c r="LE142" s="73">
        <f t="shared" ca="1" si="1241"/>
        <v>0</v>
      </c>
      <c r="LF142" s="64"/>
      <c r="LG142" s="64"/>
    </row>
    <row r="143" spans="1:319">
      <c r="A143" s="49"/>
      <c r="B143" s="49"/>
      <c r="C143" s="49"/>
      <c r="D143" s="49"/>
      <c r="E143" s="65"/>
      <c r="F143" s="127">
        <f t="shared" si="1242"/>
        <v>5</v>
      </c>
      <c r="G143" s="445">
        <f ca="1">VLOOKUP(H143,Equipos!$Q$1:$R$25,2,0)</f>
        <v>19</v>
      </c>
      <c r="H143" s="447" t="str">
        <f>Idiomas!$D$137</f>
        <v>QUALIFIED FOR ROUND OF 32</v>
      </c>
      <c r="I143" s="50"/>
      <c r="J143" s="845"/>
      <c r="K143" s="56" t="str">
        <f>Idiomas!$D$198&amp;"-"&amp;ROWS($L$130:L143)</f>
        <v>16-Finalist-14</v>
      </c>
      <c r="L143" s="53"/>
      <c r="M143" s="55" t="str">
        <f ca="1">WORLDCUP!AA114</f>
        <v>Australia</v>
      </c>
      <c r="N143" s="25"/>
      <c r="O143" s="25"/>
      <c r="P143" s="25"/>
      <c r="Q143" s="25"/>
      <c r="R143" s="110"/>
      <c r="S143" s="74" t="s">
        <v>1257</v>
      </c>
      <c r="T143" s="73">
        <f t="shared" ca="1" si="1142"/>
        <v>5</v>
      </c>
      <c r="U143" s="64"/>
      <c r="V143" s="74" t="s">
        <v>1836</v>
      </c>
      <c r="W143" s="73">
        <f t="shared" ca="1" si="1143"/>
        <v>0</v>
      </c>
      <c r="X143" s="64"/>
      <c r="Y143" s="74" t="s">
        <v>1836</v>
      </c>
      <c r="Z143" s="73">
        <f t="shared" ca="1" si="1144"/>
        <v>0</v>
      </c>
      <c r="AA143" s="64"/>
      <c r="AB143" s="74" t="s">
        <v>1836</v>
      </c>
      <c r="AC143" s="73">
        <f t="shared" ca="1" si="1145"/>
        <v>0</v>
      </c>
      <c r="AD143" s="64"/>
      <c r="AE143" s="74" t="s">
        <v>1836</v>
      </c>
      <c r="AF143" s="73">
        <f t="shared" ca="1" si="1146"/>
        <v>0</v>
      </c>
      <c r="AG143" s="64"/>
      <c r="AH143" s="74" t="s">
        <v>498</v>
      </c>
      <c r="AI143" s="73">
        <f t="shared" ca="1" si="1147"/>
        <v>5</v>
      </c>
      <c r="AJ143" s="64"/>
      <c r="AK143" s="74" t="s">
        <v>1257</v>
      </c>
      <c r="AL143" s="73">
        <f t="shared" ca="1" si="1148"/>
        <v>5</v>
      </c>
      <c r="AM143" s="64"/>
      <c r="AN143" s="74" t="s">
        <v>498</v>
      </c>
      <c r="AO143" s="73">
        <f t="shared" ca="1" si="1149"/>
        <v>5</v>
      </c>
      <c r="AP143" s="64"/>
      <c r="AQ143" s="74" t="s">
        <v>1836</v>
      </c>
      <c r="AR143" s="73">
        <f t="shared" ca="1" si="1150"/>
        <v>0</v>
      </c>
      <c r="AS143" s="64"/>
      <c r="AT143" s="74" t="s">
        <v>1836</v>
      </c>
      <c r="AU143" s="73">
        <f t="shared" ca="1" si="1151"/>
        <v>0</v>
      </c>
      <c r="AV143" s="64"/>
      <c r="AW143" s="74" t="s">
        <v>498</v>
      </c>
      <c r="AX143" s="73">
        <f t="shared" ca="1" si="1152"/>
        <v>5</v>
      </c>
      <c r="AY143" s="64"/>
      <c r="AZ143" s="74" t="s">
        <v>498</v>
      </c>
      <c r="BA143" s="73">
        <f t="shared" ca="1" si="1153"/>
        <v>5</v>
      </c>
      <c r="BB143" s="64"/>
      <c r="BC143" s="74" t="s">
        <v>1836</v>
      </c>
      <c r="BD143" s="73">
        <f t="shared" ca="1" si="1154"/>
        <v>0</v>
      </c>
      <c r="BE143" s="64"/>
      <c r="BF143" s="74" t="s">
        <v>1836</v>
      </c>
      <c r="BG143" s="73">
        <f t="shared" ca="1" si="1155"/>
        <v>0</v>
      </c>
      <c r="BH143" s="64"/>
      <c r="BI143" s="74" t="s">
        <v>1257</v>
      </c>
      <c r="BJ143" s="73">
        <f t="shared" ca="1" si="1156"/>
        <v>5</v>
      </c>
      <c r="BK143" s="64"/>
      <c r="BL143" s="74" t="s">
        <v>1836</v>
      </c>
      <c r="BM143" s="73">
        <f t="shared" ca="1" si="1157"/>
        <v>0</v>
      </c>
      <c r="BN143" s="64"/>
      <c r="BO143" s="74" t="s">
        <v>1836</v>
      </c>
      <c r="BP143" s="73">
        <f t="shared" ca="1" si="1158"/>
        <v>0</v>
      </c>
      <c r="BQ143" s="64"/>
      <c r="BR143" s="74" t="s">
        <v>1257</v>
      </c>
      <c r="BS143" s="73">
        <f t="shared" ca="1" si="1159"/>
        <v>5</v>
      </c>
      <c r="BT143" s="64"/>
      <c r="BU143" s="74" t="s">
        <v>498</v>
      </c>
      <c r="BV143" s="73">
        <f t="shared" ca="1" si="1160"/>
        <v>5</v>
      </c>
      <c r="BW143" s="64"/>
      <c r="BX143" s="74" t="s">
        <v>1836</v>
      </c>
      <c r="BY143" s="73">
        <f t="shared" ca="1" si="1161"/>
        <v>0</v>
      </c>
      <c r="BZ143" s="64"/>
      <c r="CA143" s="74" t="s">
        <v>1319</v>
      </c>
      <c r="CB143" s="73">
        <f t="shared" ca="1" si="1162"/>
        <v>5</v>
      </c>
      <c r="CC143" s="64"/>
      <c r="CD143" s="74" t="s">
        <v>498</v>
      </c>
      <c r="CE143" s="73">
        <f t="shared" ca="1" si="1163"/>
        <v>5</v>
      </c>
      <c r="CF143" s="64"/>
      <c r="CG143" s="74" t="s">
        <v>1836</v>
      </c>
      <c r="CH143" s="73">
        <f t="shared" ca="1" si="1164"/>
        <v>0</v>
      </c>
      <c r="CI143" s="64"/>
      <c r="CJ143" s="74" t="s">
        <v>1836</v>
      </c>
      <c r="CK143" s="73">
        <f t="shared" ca="1" si="1165"/>
        <v>0</v>
      </c>
      <c r="CL143" s="64"/>
      <c r="CM143" s="74" t="s">
        <v>498</v>
      </c>
      <c r="CN143" s="73">
        <f t="shared" ca="1" si="1166"/>
        <v>5</v>
      </c>
      <c r="CO143" s="64"/>
      <c r="CP143" s="74" t="s">
        <v>1836</v>
      </c>
      <c r="CQ143" s="73">
        <f t="shared" ca="1" si="1167"/>
        <v>0</v>
      </c>
      <c r="CR143" s="64"/>
      <c r="CS143" s="74" t="s">
        <v>1257</v>
      </c>
      <c r="CT143" s="73">
        <f t="shared" ca="1" si="1168"/>
        <v>5</v>
      </c>
      <c r="CU143" s="64"/>
      <c r="CV143" s="74" t="s">
        <v>498</v>
      </c>
      <c r="CW143" s="73">
        <f t="shared" ca="1" si="1169"/>
        <v>5</v>
      </c>
      <c r="CX143" s="64"/>
      <c r="CY143" s="74" t="s">
        <v>1836</v>
      </c>
      <c r="CZ143" s="73">
        <f t="shared" ca="1" si="1170"/>
        <v>0</v>
      </c>
      <c r="DA143" s="64"/>
      <c r="DB143" s="74" t="s">
        <v>1319</v>
      </c>
      <c r="DC143" s="73">
        <f t="shared" ca="1" si="1171"/>
        <v>5</v>
      </c>
      <c r="DD143" s="64"/>
      <c r="DE143" s="74" t="s">
        <v>1836</v>
      </c>
      <c r="DF143" s="73">
        <f t="shared" ca="1" si="1172"/>
        <v>0</v>
      </c>
      <c r="DG143" s="64"/>
      <c r="DH143" s="74" t="s">
        <v>1836</v>
      </c>
      <c r="DI143" s="73">
        <f t="shared" ca="1" si="1173"/>
        <v>0</v>
      </c>
      <c r="DJ143" s="64"/>
      <c r="DK143" s="74" t="s">
        <v>1319</v>
      </c>
      <c r="DL143" s="73">
        <f t="shared" ca="1" si="1174"/>
        <v>5</v>
      </c>
      <c r="DM143" s="64"/>
      <c r="DN143" s="74" t="s">
        <v>1836</v>
      </c>
      <c r="DO143" s="73">
        <f t="shared" ca="1" si="1175"/>
        <v>0</v>
      </c>
      <c r="DP143" s="64"/>
      <c r="DQ143" s="74" t="s">
        <v>498</v>
      </c>
      <c r="DR143" s="73">
        <f t="shared" ca="1" si="1176"/>
        <v>5</v>
      </c>
      <c r="DS143" s="64"/>
      <c r="DT143" s="74" t="s">
        <v>498</v>
      </c>
      <c r="DU143" s="73">
        <f t="shared" ca="1" si="1177"/>
        <v>5</v>
      </c>
      <c r="DV143" s="64"/>
      <c r="DW143" s="74" t="s">
        <v>1836</v>
      </c>
      <c r="DX143" s="73">
        <f t="shared" ca="1" si="1178"/>
        <v>0</v>
      </c>
      <c r="DY143" s="64"/>
      <c r="DZ143" s="74" t="s">
        <v>1836</v>
      </c>
      <c r="EA143" s="73">
        <f t="shared" ca="1" si="1179"/>
        <v>0</v>
      </c>
      <c r="EB143" s="64"/>
      <c r="EC143" s="74" t="s">
        <v>1836</v>
      </c>
      <c r="ED143" s="73">
        <f t="shared" ca="1" si="1180"/>
        <v>0</v>
      </c>
      <c r="EE143" s="64"/>
      <c r="EF143" s="74" t="s">
        <v>1836</v>
      </c>
      <c r="EG143" s="73">
        <f t="shared" ca="1" si="1181"/>
        <v>0</v>
      </c>
      <c r="EH143" s="64"/>
      <c r="EI143" s="74" t="s">
        <v>498</v>
      </c>
      <c r="EJ143" s="73">
        <f t="shared" ca="1" si="1182"/>
        <v>5</v>
      </c>
      <c r="EK143" s="64"/>
      <c r="EL143" s="74" t="s">
        <v>498</v>
      </c>
      <c r="EM143" s="73">
        <f t="shared" ca="1" si="1183"/>
        <v>5</v>
      </c>
      <c r="EN143" s="64"/>
      <c r="EO143" s="74" t="s">
        <v>1836</v>
      </c>
      <c r="EP143" s="73">
        <f t="shared" ca="1" si="1184"/>
        <v>0</v>
      </c>
      <c r="EQ143" s="64"/>
      <c r="ER143" s="74" t="s">
        <v>1836</v>
      </c>
      <c r="ES143" s="73">
        <f t="shared" ca="1" si="1185"/>
        <v>0</v>
      </c>
      <c r="ET143" s="64"/>
      <c r="EU143" s="74" t="s">
        <v>1836</v>
      </c>
      <c r="EV143" s="73">
        <f t="shared" ca="1" si="1186"/>
        <v>0</v>
      </c>
      <c r="EW143" s="64"/>
      <c r="EX143" s="74" t="s">
        <v>498</v>
      </c>
      <c r="EY143" s="73">
        <f t="shared" ca="1" si="1187"/>
        <v>5</v>
      </c>
      <c r="EZ143" s="64"/>
      <c r="FA143" s="74" t="s">
        <v>1836</v>
      </c>
      <c r="FB143" s="73">
        <f t="shared" ca="1" si="1188"/>
        <v>0</v>
      </c>
      <c r="FC143" s="64"/>
      <c r="FD143" s="74" t="s">
        <v>1836</v>
      </c>
      <c r="FE143" s="73">
        <f t="shared" ca="1" si="1189"/>
        <v>0</v>
      </c>
      <c r="FF143" s="64"/>
      <c r="FG143" s="74" t="s">
        <v>498</v>
      </c>
      <c r="FH143" s="73">
        <f t="shared" ca="1" si="1190"/>
        <v>5</v>
      </c>
      <c r="FI143" s="64"/>
      <c r="FJ143" s="74" t="s">
        <v>498</v>
      </c>
      <c r="FK143" s="73">
        <f t="shared" ca="1" si="1191"/>
        <v>5</v>
      </c>
      <c r="FL143" s="64"/>
      <c r="FM143" s="74" t="s">
        <v>1319</v>
      </c>
      <c r="FN143" s="73">
        <f t="shared" ca="1" si="1192"/>
        <v>5</v>
      </c>
      <c r="FO143" s="64"/>
      <c r="FP143" s="74" t="s">
        <v>498</v>
      </c>
      <c r="FQ143" s="73">
        <f t="shared" ca="1" si="1193"/>
        <v>5</v>
      </c>
      <c r="FR143" s="64"/>
      <c r="FS143" s="74" t="s">
        <v>498</v>
      </c>
      <c r="FT143" s="73">
        <f t="shared" ca="1" si="1194"/>
        <v>5</v>
      </c>
      <c r="FU143" s="64"/>
      <c r="FV143" s="74" t="s">
        <v>498</v>
      </c>
      <c r="FW143" s="73">
        <f t="shared" ca="1" si="1195"/>
        <v>5</v>
      </c>
      <c r="FX143" s="64"/>
      <c r="FY143" s="74" t="s">
        <v>1836</v>
      </c>
      <c r="FZ143" s="73">
        <f t="shared" ca="1" si="1196"/>
        <v>0</v>
      </c>
      <c r="GA143" s="64"/>
      <c r="GB143" s="74" t="s">
        <v>1257</v>
      </c>
      <c r="GC143" s="73">
        <f t="shared" ca="1" si="1197"/>
        <v>5</v>
      </c>
      <c r="GD143" s="64"/>
      <c r="GE143" s="74" t="s">
        <v>1836</v>
      </c>
      <c r="GF143" s="73">
        <f t="shared" ca="1" si="1198"/>
        <v>0</v>
      </c>
      <c r="GG143" s="64"/>
      <c r="GH143" s="74" t="s">
        <v>1836</v>
      </c>
      <c r="GI143" s="73">
        <f t="shared" ca="1" si="1199"/>
        <v>0</v>
      </c>
      <c r="GJ143" s="64"/>
      <c r="GK143" s="74" t="s">
        <v>1319</v>
      </c>
      <c r="GL143" s="73">
        <f t="shared" ca="1" si="1200"/>
        <v>5</v>
      </c>
      <c r="GM143" s="64"/>
      <c r="GN143" s="74"/>
      <c r="GO143" s="73">
        <f t="shared" ca="1" si="1201"/>
        <v>0</v>
      </c>
      <c r="GP143" s="64"/>
      <c r="GQ143" s="74"/>
      <c r="GR143" s="73">
        <f t="shared" ca="1" si="1202"/>
        <v>0</v>
      </c>
      <c r="GS143" s="64"/>
      <c r="GT143" s="74"/>
      <c r="GU143" s="73">
        <f t="shared" ca="1" si="1203"/>
        <v>0</v>
      </c>
      <c r="GV143" s="64"/>
      <c r="GW143" s="74"/>
      <c r="GX143" s="73">
        <f t="shared" ca="1" si="1204"/>
        <v>0</v>
      </c>
      <c r="GY143" s="64"/>
      <c r="GZ143" s="74"/>
      <c r="HA143" s="73">
        <f t="shared" ca="1" si="1205"/>
        <v>0</v>
      </c>
      <c r="HB143" s="64"/>
      <c r="HC143" s="74"/>
      <c r="HD143" s="73">
        <f t="shared" ca="1" si="1206"/>
        <v>0</v>
      </c>
      <c r="HE143" s="64"/>
      <c r="HF143" s="74"/>
      <c r="HG143" s="73">
        <f t="shared" ca="1" si="1207"/>
        <v>0</v>
      </c>
      <c r="HH143" s="64"/>
      <c r="HI143" s="74"/>
      <c r="HJ143" s="73">
        <f t="shared" ca="1" si="1208"/>
        <v>0</v>
      </c>
      <c r="HK143" s="64"/>
      <c r="HL143" s="74"/>
      <c r="HM143" s="73">
        <f t="shared" ca="1" si="1209"/>
        <v>0</v>
      </c>
      <c r="HN143" s="64"/>
      <c r="HO143" s="74"/>
      <c r="HP143" s="73">
        <f t="shared" ca="1" si="1210"/>
        <v>0</v>
      </c>
      <c r="HQ143" s="64"/>
      <c r="HR143" s="74"/>
      <c r="HS143" s="73">
        <f t="shared" ca="1" si="1211"/>
        <v>0</v>
      </c>
      <c r="HT143" s="64"/>
      <c r="HU143" s="74"/>
      <c r="HV143" s="73">
        <f t="shared" ca="1" si="1212"/>
        <v>0</v>
      </c>
      <c r="HW143" s="64"/>
      <c r="HX143" s="74"/>
      <c r="HY143" s="73">
        <f t="shared" ca="1" si="1213"/>
        <v>0</v>
      </c>
      <c r="HZ143" s="64"/>
      <c r="IA143" s="74"/>
      <c r="IB143" s="73">
        <f t="shared" ca="1" si="1214"/>
        <v>0</v>
      </c>
      <c r="IC143" s="64"/>
      <c r="ID143" s="74"/>
      <c r="IE143" s="73">
        <f t="shared" ca="1" si="1215"/>
        <v>0</v>
      </c>
      <c r="IF143" s="64"/>
      <c r="IG143" s="74"/>
      <c r="IH143" s="73">
        <f t="shared" ca="1" si="1216"/>
        <v>0</v>
      </c>
      <c r="II143" s="64"/>
      <c r="IJ143" s="74"/>
      <c r="IK143" s="73">
        <f t="shared" ca="1" si="1217"/>
        <v>0</v>
      </c>
      <c r="IL143" s="64"/>
      <c r="IM143" s="74"/>
      <c r="IN143" s="73">
        <f t="shared" ca="1" si="1218"/>
        <v>0</v>
      </c>
      <c r="IO143" s="64"/>
      <c r="IP143" s="74"/>
      <c r="IQ143" s="73">
        <f t="shared" ca="1" si="1219"/>
        <v>0</v>
      </c>
      <c r="IR143" s="64"/>
      <c r="IS143" s="74"/>
      <c r="IT143" s="73">
        <f t="shared" ca="1" si="1220"/>
        <v>0</v>
      </c>
      <c r="IU143" s="64"/>
      <c r="IV143" s="74"/>
      <c r="IW143" s="73">
        <f t="shared" ca="1" si="1221"/>
        <v>0</v>
      </c>
      <c r="IX143" s="64"/>
      <c r="IY143" s="74"/>
      <c r="IZ143" s="73">
        <f t="shared" ca="1" si="1222"/>
        <v>0</v>
      </c>
      <c r="JA143" s="64"/>
      <c r="JB143" s="74"/>
      <c r="JC143" s="73">
        <f t="shared" ca="1" si="1223"/>
        <v>0</v>
      </c>
      <c r="JD143" s="64"/>
      <c r="JE143" s="74"/>
      <c r="JF143" s="73">
        <f t="shared" ca="1" si="1224"/>
        <v>0</v>
      </c>
      <c r="JG143" s="64"/>
      <c r="JH143" s="74"/>
      <c r="JI143" s="73">
        <f t="shared" ca="1" si="1225"/>
        <v>0</v>
      </c>
      <c r="JJ143" s="64"/>
      <c r="JK143" s="74"/>
      <c r="JL143" s="73">
        <f t="shared" ca="1" si="1226"/>
        <v>0</v>
      </c>
      <c r="JM143" s="64"/>
      <c r="JN143" s="74"/>
      <c r="JO143" s="73">
        <f t="shared" ca="1" si="1227"/>
        <v>0</v>
      </c>
      <c r="JP143" s="64"/>
      <c r="JQ143" s="74"/>
      <c r="JR143" s="73">
        <f t="shared" ca="1" si="1228"/>
        <v>0</v>
      </c>
      <c r="JS143" s="64"/>
      <c r="JT143" s="74"/>
      <c r="JU143" s="73">
        <f t="shared" ca="1" si="1229"/>
        <v>0</v>
      </c>
      <c r="JV143" s="64"/>
      <c r="JW143" s="74"/>
      <c r="JX143" s="73">
        <f t="shared" ca="1" si="1230"/>
        <v>0</v>
      </c>
      <c r="JY143" s="64"/>
      <c r="JZ143" s="74"/>
      <c r="KA143" s="73">
        <f t="shared" ca="1" si="1231"/>
        <v>0</v>
      </c>
      <c r="KB143" s="64"/>
      <c r="KC143" s="74"/>
      <c r="KD143" s="73">
        <f t="shared" ca="1" si="1232"/>
        <v>0</v>
      </c>
      <c r="KE143" s="64"/>
      <c r="KF143" s="74"/>
      <c r="KG143" s="73">
        <f t="shared" ca="1" si="1233"/>
        <v>0</v>
      </c>
      <c r="KH143" s="64"/>
      <c r="KI143" s="74"/>
      <c r="KJ143" s="73">
        <f t="shared" ca="1" si="1234"/>
        <v>0</v>
      </c>
      <c r="KK143" s="64"/>
      <c r="KL143" s="74"/>
      <c r="KM143" s="73">
        <f t="shared" ca="1" si="1235"/>
        <v>0</v>
      </c>
      <c r="KN143" s="64"/>
      <c r="KO143" s="74"/>
      <c r="KP143" s="73">
        <f t="shared" ca="1" si="1236"/>
        <v>0</v>
      </c>
      <c r="KQ143" s="64"/>
      <c r="KR143" s="74"/>
      <c r="KS143" s="73">
        <f t="shared" ca="1" si="1237"/>
        <v>0</v>
      </c>
      <c r="KT143" s="64"/>
      <c r="KU143" s="74"/>
      <c r="KV143" s="73">
        <f t="shared" ca="1" si="1238"/>
        <v>0</v>
      </c>
      <c r="KW143" s="64"/>
      <c r="KX143" s="74"/>
      <c r="KY143" s="73">
        <f t="shared" ca="1" si="1239"/>
        <v>0</v>
      </c>
      <c r="KZ143" s="64"/>
      <c r="LA143" s="74"/>
      <c r="LB143" s="73">
        <f t="shared" ca="1" si="1240"/>
        <v>0</v>
      </c>
      <c r="LC143" s="64"/>
      <c r="LD143" s="74"/>
      <c r="LE143" s="73">
        <f t="shared" ca="1" si="1241"/>
        <v>0</v>
      </c>
      <c r="LF143" s="64"/>
      <c r="LG143" s="64"/>
    </row>
    <row r="144" spans="1:319">
      <c r="A144" s="49"/>
      <c r="B144" s="49"/>
      <c r="C144" s="49"/>
      <c r="D144" s="49"/>
      <c r="E144" s="65"/>
      <c r="F144" s="127">
        <f t="shared" si="1242"/>
        <v>5</v>
      </c>
      <c r="G144" s="445">
        <f ca="1">VLOOKUP(H144,Equipos!$Q$1:$R$25,2,0)</f>
        <v>19</v>
      </c>
      <c r="H144" s="447" t="str">
        <f>Idiomas!$D$137</f>
        <v>QUALIFIED FOR ROUND OF 32</v>
      </c>
      <c r="I144" s="50"/>
      <c r="J144" s="845"/>
      <c r="K144" s="56" t="str">
        <f>Idiomas!$D$198&amp;"-"&amp;ROWS($L$130:L144)</f>
        <v>16-Finalist-15</v>
      </c>
      <c r="L144" s="53"/>
      <c r="M144" s="55" t="str">
        <f ca="1">WORLDCUP!AA115</f>
        <v>Argentina</v>
      </c>
      <c r="N144" s="25"/>
      <c r="O144" s="25"/>
      <c r="P144" s="25"/>
      <c r="Q144" s="25"/>
      <c r="R144" s="110"/>
      <c r="S144" s="74" t="s">
        <v>1256</v>
      </c>
      <c r="T144" s="73">
        <f t="shared" ca="1" si="1142"/>
        <v>5</v>
      </c>
      <c r="U144" s="64"/>
      <c r="V144" s="74" t="s">
        <v>1256</v>
      </c>
      <c r="W144" s="73">
        <f t="shared" ca="1" si="1143"/>
        <v>5</v>
      </c>
      <c r="X144" s="64"/>
      <c r="Y144" s="74" t="s">
        <v>1256</v>
      </c>
      <c r="Z144" s="73">
        <f t="shared" ca="1" si="1144"/>
        <v>5</v>
      </c>
      <c r="AA144" s="64"/>
      <c r="AB144" s="74" t="s">
        <v>1256</v>
      </c>
      <c r="AC144" s="73">
        <f t="shared" ca="1" si="1145"/>
        <v>5</v>
      </c>
      <c r="AD144" s="64"/>
      <c r="AE144" s="74" t="s">
        <v>1256</v>
      </c>
      <c r="AF144" s="73">
        <f t="shared" ca="1" si="1146"/>
        <v>5</v>
      </c>
      <c r="AG144" s="64"/>
      <c r="AH144" s="74" t="s">
        <v>1256</v>
      </c>
      <c r="AI144" s="73">
        <f t="shared" ca="1" si="1147"/>
        <v>5</v>
      </c>
      <c r="AJ144" s="64"/>
      <c r="AK144" s="74" t="s">
        <v>1256</v>
      </c>
      <c r="AL144" s="73">
        <f t="shared" ca="1" si="1148"/>
        <v>5</v>
      </c>
      <c r="AM144" s="64"/>
      <c r="AN144" s="74" t="s">
        <v>1559</v>
      </c>
      <c r="AO144" s="73">
        <f t="shared" ca="1" si="1149"/>
        <v>5</v>
      </c>
      <c r="AP144" s="64"/>
      <c r="AQ144" s="74" t="s">
        <v>1256</v>
      </c>
      <c r="AR144" s="73">
        <f t="shared" ca="1" si="1150"/>
        <v>5</v>
      </c>
      <c r="AS144" s="64"/>
      <c r="AT144" s="74" t="s">
        <v>1256</v>
      </c>
      <c r="AU144" s="73">
        <f t="shared" ca="1" si="1151"/>
        <v>5</v>
      </c>
      <c r="AV144" s="64"/>
      <c r="AW144" s="74" t="s">
        <v>1256</v>
      </c>
      <c r="AX144" s="73">
        <f t="shared" ca="1" si="1152"/>
        <v>5</v>
      </c>
      <c r="AY144" s="64"/>
      <c r="AZ144" s="74" t="s">
        <v>1256</v>
      </c>
      <c r="BA144" s="73">
        <f t="shared" ca="1" si="1153"/>
        <v>5</v>
      </c>
      <c r="BB144" s="64"/>
      <c r="BC144" s="74" t="s">
        <v>1256</v>
      </c>
      <c r="BD144" s="73">
        <f t="shared" ca="1" si="1154"/>
        <v>5</v>
      </c>
      <c r="BE144" s="64"/>
      <c r="BF144" s="74" t="s">
        <v>1256</v>
      </c>
      <c r="BG144" s="73">
        <f t="shared" ca="1" si="1155"/>
        <v>5</v>
      </c>
      <c r="BH144" s="64"/>
      <c r="BI144" s="74" t="s">
        <v>1256</v>
      </c>
      <c r="BJ144" s="73">
        <f t="shared" ca="1" si="1156"/>
        <v>5</v>
      </c>
      <c r="BK144" s="64"/>
      <c r="BL144" s="74" t="s">
        <v>1256</v>
      </c>
      <c r="BM144" s="73">
        <f t="shared" ca="1" si="1157"/>
        <v>5</v>
      </c>
      <c r="BN144" s="64"/>
      <c r="BO144" s="74" t="s">
        <v>1256</v>
      </c>
      <c r="BP144" s="73">
        <f t="shared" ca="1" si="1158"/>
        <v>5</v>
      </c>
      <c r="BQ144" s="64"/>
      <c r="BR144" s="74" t="s">
        <v>1256</v>
      </c>
      <c r="BS144" s="73">
        <f t="shared" ca="1" si="1159"/>
        <v>5</v>
      </c>
      <c r="BT144" s="64"/>
      <c r="BU144" s="74" t="s">
        <v>1256</v>
      </c>
      <c r="BV144" s="73">
        <f t="shared" ca="1" si="1160"/>
        <v>5</v>
      </c>
      <c r="BW144" s="64"/>
      <c r="BX144" s="74" t="s">
        <v>1256</v>
      </c>
      <c r="BY144" s="73">
        <f t="shared" ca="1" si="1161"/>
        <v>5</v>
      </c>
      <c r="BZ144" s="64"/>
      <c r="CA144" s="74" t="s">
        <v>1256</v>
      </c>
      <c r="CB144" s="73">
        <f t="shared" ca="1" si="1162"/>
        <v>5</v>
      </c>
      <c r="CC144" s="64"/>
      <c r="CD144" s="74" t="s">
        <v>1256</v>
      </c>
      <c r="CE144" s="73">
        <f t="shared" ca="1" si="1163"/>
        <v>5</v>
      </c>
      <c r="CF144" s="64"/>
      <c r="CG144" s="74" t="s">
        <v>1256</v>
      </c>
      <c r="CH144" s="73">
        <f t="shared" ca="1" si="1164"/>
        <v>5</v>
      </c>
      <c r="CI144" s="64"/>
      <c r="CJ144" s="74" t="s">
        <v>1256</v>
      </c>
      <c r="CK144" s="73">
        <f t="shared" ca="1" si="1165"/>
        <v>5</v>
      </c>
      <c r="CL144" s="64"/>
      <c r="CM144" s="74" t="s">
        <v>1256</v>
      </c>
      <c r="CN144" s="73">
        <f t="shared" ca="1" si="1166"/>
        <v>5</v>
      </c>
      <c r="CO144" s="64"/>
      <c r="CP144" s="74" t="s">
        <v>1256</v>
      </c>
      <c r="CQ144" s="73">
        <f t="shared" ca="1" si="1167"/>
        <v>5</v>
      </c>
      <c r="CR144" s="64"/>
      <c r="CS144" s="74" t="s">
        <v>1256</v>
      </c>
      <c r="CT144" s="73">
        <f t="shared" ca="1" si="1168"/>
        <v>5</v>
      </c>
      <c r="CU144" s="64"/>
      <c r="CV144" s="74" t="s">
        <v>1256</v>
      </c>
      <c r="CW144" s="73">
        <f t="shared" ca="1" si="1169"/>
        <v>5</v>
      </c>
      <c r="CX144" s="64"/>
      <c r="CY144" s="74" t="s">
        <v>80</v>
      </c>
      <c r="CZ144" s="73">
        <f t="shared" ca="1" si="1170"/>
        <v>5</v>
      </c>
      <c r="DA144" s="64"/>
      <c r="DB144" s="74" t="s">
        <v>1256</v>
      </c>
      <c r="DC144" s="73">
        <f t="shared" ca="1" si="1171"/>
        <v>5</v>
      </c>
      <c r="DD144" s="64"/>
      <c r="DE144" s="74" t="s">
        <v>1256</v>
      </c>
      <c r="DF144" s="73">
        <f t="shared" ca="1" si="1172"/>
        <v>5</v>
      </c>
      <c r="DG144" s="64"/>
      <c r="DH144" s="74" t="s">
        <v>1256</v>
      </c>
      <c r="DI144" s="73">
        <f t="shared" ca="1" si="1173"/>
        <v>5</v>
      </c>
      <c r="DJ144" s="64"/>
      <c r="DK144" s="74" t="s">
        <v>1256</v>
      </c>
      <c r="DL144" s="73">
        <f t="shared" ca="1" si="1174"/>
        <v>5</v>
      </c>
      <c r="DM144" s="64"/>
      <c r="DN144" s="74" t="s">
        <v>1256</v>
      </c>
      <c r="DO144" s="73">
        <f t="shared" ca="1" si="1175"/>
        <v>5</v>
      </c>
      <c r="DP144" s="64"/>
      <c r="DQ144" s="74" t="s">
        <v>1256</v>
      </c>
      <c r="DR144" s="73">
        <f t="shared" ca="1" si="1176"/>
        <v>5</v>
      </c>
      <c r="DS144" s="64"/>
      <c r="DT144" s="74" t="s">
        <v>1256</v>
      </c>
      <c r="DU144" s="73">
        <f t="shared" ca="1" si="1177"/>
        <v>5</v>
      </c>
      <c r="DV144" s="64"/>
      <c r="DW144" s="74" t="s">
        <v>80</v>
      </c>
      <c r="DX144" s="73">
        <f t="shared" ca="1" si="1178"/>
        <v>5</v>
      </c>
      <c r="DY144" s="64"/>
      <c r="DZ144" s="74" t="s">
        <v>1256</v>
      </c>
      <c r="EA144" s="73">
        <f t="shared" ca="1" si="1179"/>
        <v>5</v>
      </c>
      <c r="EB144" s="64"/>
      <c r="EC144" s="74" t="s">
        <v>1256</v>
      </c>
      <c r="ED144" s="73">
        <f t="shared" ca="1" si="1180"/>
        <v>5</v>
      </c>
      <c r="EE144" s="64"/>
      <c r="EF144" s="74" t="s">
        <v>1256</v>
      </c>
      <c r="EG144" s="73">
        <f t="shared" ca="1" si="1181"/>
        <v>5</v>
      </c>
      <c r="EH144" s="64"/>
      <c r="EI144" s="74" t="s">
        <v>1256</v>
      </c>
      <c r="EJ144" s="73">
        <f t="shared" ca="1" si="1182"/>
        <v>5</v>
      </c>
      <c r="EK144" s="64"/>
      <c r="EL144" s="74" t="s">
        <v>1256</v>
      </c>
      <c r="EM144" s="73">
        <f t="shared" ca="1" si="1183"/>
        <v>5</v>
      </c>
      <c r="EN144" s="64"/>
      <c r="EO144" s="74" t="s">
        <v>1256</v>
      </c>
      <c r="EP144" s="73">
        <f t="shared" ca="1" si="1184"/>
        <v>5</v>
      </c>
      <c r="EQ144" s="64"/>
      <c r="ER144" s="74" t="s">
        <v>1256</v>
      </c>
      <c r="ES144" s="73">
        <f t="shared" ca="1" si="1185"/>
        <v>5</v>
      </c>
      <c r="ET144" s="64"/>
      <c r="EU144" s="74" t="s">
        <v>1256</v>
      </c>
      <c r="EV144" s="73">
        <f t="shared" ca="1" si="1186"/>
        <v>5</v>
      </c>
      <c r="EW144" s="64"/>
      <c r="EX144" s="74" t="s">
        <v>1256</v>
      </c>
      <c r="EY144" s="73">
        <f t="shared" ca="1" si="1187"/>
        <v>5</v>
      </c>
      <c r="EZ144" s="64"/>
      <c r="FA144" s="74" t="s">
        <v>1256</v>
      </c>
      <c r="FB144" s="73">
        <f t="shared" ca="1" si="1188"/>
        <v>5</v>
      </c>
      <c r="FC144" s="64"/>
      <c r="FD144" s="74" t="s">
        <v>1256</v>
      </c>
      <c r="FE144" s="73">
        <f t="shared" ca="1" si="1189"/>
        <v>5</v>
      </c>
      <c r="FF144" s="64"/>
      <c r="FG144" s="74" t="s">
        <v>1256</v>
      </c>
      <c r="FH144" s="73">
        <f t="shared" ca="1" si="1190"/>
        <v>5</v>
      </c>
      <c r="FI144" s="64"/>
      <c r="FJ144" s="74" t="s">
        <v>1256</v>
      </c>
      <c r="FK144" s="73">
        <f t="shared" ca="1" si="1191"/>
        <v>5</v>
      </c>
      <c r="FL144" s="64"/>
      <c r="FM144" s="74" t="s">
        <v>1256</v>
      </c>
      <c r="FN144" s="73">
        <f t="shared" ca="1" si="1192"/>
        <v>5</v>
      </c>
      <c r="FO144" s="64"/>
      <c r="FP144" s="74" t="s">
        <v>1256</v>
      </c>
      <c r="FQ144" s="73">
        <f t="shared" ca="1" si="1193"/>
        <v>5</v>
      </c>
      <c r="FR144" s="64"/>
      <c r="FS144" s="74" t="s">
        <v>1256</v>
      </c>
      <c r="FT144" s="73">
        <f t="shared" ca="1" si="1194"/>
        <v>5</v>
      </c>
      <c r="FU144" s="64"/>
      <c r="FV144" s="74" t="s">
        <v>1256</v>
      </c>
      <c r="FW144" s="73">
        <f t="shared" ca="1" si="1195"/>
        <v>5</v>
      </c>
      <c r="FX144" s="64"/>
      <c r="FY144" s="74" t="s">
        <v>1256</v>
      </c>
      <c r="FZ144" s="73">
        <f t="shared" ca="1" si="1196"/>
        <v>5</v>
      </c>
      <c r="GA144" s="64"/>
      <c r="GB144" s="74" t="s">
        <v>1256</v>
      </c>
      <c r="GC144" s="73">
        <f t="shared" ca="1" si="1197"/>
        <v>5</v>
      </c>
      <c r="GD144" s="64"/>
      <c r="GE144" s="74" t="s">
        <v>1256</v>
      </c>
      <c r="GF144" s="73">
        <f t="shared" ca="1" si="1198"/>
        <v>5</v>
      </c>
      <c r="GG144" s="64"/>
      <c r="GH144" s="74" t="s">
        <v>80</v>
      </c>
      <c r="GI144" s="73">
        <f t="shared" ca="1" si="1199"/>
        <v>5</v>
      </c>
      <c r="GJ144" s="64"/>
      <c r="GK144" s="74" t="s">
        <v>1256</v>
      </c>
      <c r="GL144" s="73">
        <f t="shared" ca="1" si="1200"/>
        <v>5</v>
      </c>
      <c r="GM144" s="64"/>
      <c r="GN144" s="74"/>
      <c r="GO144" s="73">
        <f t="shared" ca="1" si="1201"/>
        <v>0</v>
      </c>
      <c r="GP144" s="64"/>
      <c r="GQ144" s="74"/>
      <c r="GR144" s="73">
        <f t="shared" ca="1" si="1202"/>
        <v>0</v>
      </c>
      <c r="GS144" s="64"/>
      <c r="GT144" s="74"/>
      <c r="GU144" s="73">
        <f t="shared" ca="1" si="1203"/>
        <v>0</v>
      </c>
      <c r="GV144" s="64"/>
      <c r="GW144" s="74"/>
      <c r="GX144" s="73">
        <f t="shared" ca="1" si="1204"/>
        <v>0</v>
      </c>
      <c r="GY144" s="64"/>
      <c r="GZ144" s="74"/>
      <c r="HA144" s="73">
        <f t="shared" ca="1" si="1205"/>
        <v>0</v>
      </c>
      <c r="HB144" s="64"/>
      <c r="HC144" s="74"/>
      <c r="HD144" s="73">
        <f t="shared" ca="1" si="1206"/>
        <v>0</v>
      </c>
      <c r="HE144" s="64"/>
      <c r="HF144" s="74"/>
      <c r="HG144" s="73">
        <f t="shared" ca="1" si="1207"/>
        <v>0</v>
      </c>
      <c r="HH144" s="64"/>
      <c r="HI144" s="74"/>
      <c r="HJ144" s="73">
        <f t="shared" ca="1" si="1208"/>
        <v>0</v>
      </c>
      <c r="HK144" s="64"/>
      <c r="HL144" s="74"/>
      <c r="HM144" s="73">
        <f t="shared" ca="1" si="1209"/>
        <v>0</v>
      </c>
      <c r="HN144" s="64"/>
      <c r="HO144" s="74"/>
      <c r="HP144" s="73">
        <f t="shared" ca="1" si="1210"/>
        <v>0</v>
      </c>
      <c r="HQ144" s="64"/>
      <c r="HR144" s="74"/>
      <c r="HS144" s="73">
        <f t="shared" ca="1" si="1211"/>
        <v>0</v>
      </c>
      <c r="HT144" s="64"/>
      <c r="HU144" s="74"/>
      <c r="HV144" s="73">
        <f t="shared" ca="1" si="1212"/>
        <v>0</v>
      </c>
      <c r="HW144" s="64"/>
      <c r="HX144" s="74"/>
      <c r="HY144" s="73">
        <f t="shared" ca="1" si="1213"/>
        <v>0</v>
      </c>
      <c r="HZ144" s="64"/>
      <c r="IA144" s="74"/>
      <c r="IB144" s="73">
        <f t="shared" ca="1" si="1214"/>
        <v>0</v>
      </c>
      <c r="IC144" s="64"/>
      <c r="ID144" s="74"/>
      <c r="IE144" s="73">
        <f t="shared" ca="1" si="1215"/>
        <v>0</v>
      </c>
      <c r="IF144" s="64"/>
      <c r="IG144" s="74"/>
      <c r="IH144" s="73">
        <f t="shared" ca="1" si="1216"/>
        <v>0</v>
      </c>
      <c r="II144" s="64"/>
      <c r="IJ144" s="74"/>
      <c r="IK144" s="73">
        <f t="shared" ca="1" si="1217"/>
        <v>0</v>
      </c>
      <c r="IL144" s="64"/>
      <c r="IM144" s="74"/>
      <c r="IN144" s="73">
        <f t="shared" ca="1" si="1218"/>
        <v>0</v>
      </c>
      <c r="IO144" s="64"/>
      <c r="IP144" s="74"/>
      <c r="IQ144" s="73">
        <f t="shared" ca="1" si="1219"/>
        <v>0</v>
      </c>
      <c r="IR144" s="64"/>
      <c r="IS144" s="74"/>
      <c r="IT144" s="73">
        <f t="shared" ca="1" si="1220"/>
        <v>0</v>
      </c>
      <c r="IU144" s="64"/>
      <c r="IV144" s="74"/>
      <c r="IW144" s="73">
        <f t="shared" ca="1" si="1221"/>
        <v>0</v>
      </c>
      <c r="IX144" s="64"/>
      <c r="IY144" s="74"/>
      <c r="IZ144" s="73">
        <f t="shared" ca="1" si="1222"/>
        <v>0</v>
      </c>
      <c r="JA144" s="64"/>
      <c r="JB144" s="74"/>
      <c r="JC144" s="73">
        <f t="shared" ca="1" si="1223"/>
        <v>0</v>
      </c>
      <c r="JD144" s="64"/>
      <c r="JE144" s="74"/>
      <c r="JF144" s="73">
        <f t="shared" ca="1" si="1224"/>
        <v>0</v>
      </c>
      <c r="JG144" s="64"/>
      <c r="JH144" s="74"/>
      <c r="JI144" s="73">
        <f t="shared" ca="1" si="1225"/>
        <v>0</v>
      </c>
      <c r="JJ144" s="64"/>
      <c r="JK144" s="74"/>
      <c r="JL144" s="73">
        <f t="shared" ca="1" si="1226"/>
        <v>0</v>
      </c>
      <c r="JM144" s="64"/>
      <c r="JN144" s="74"/>
      <c r="JO144" s="73">
        <f t="shared" ca="1" si="1227"/>
        <v>0</v>
      </c>
      <c r="JP144" s="64"/>
      <c r="JQ144" s="74"/>
      <c r="JR144" s="73">
        <f t="shared" ca="1" si="1228"/>
        <v>0</v>
      </c>
      <c r="JS144" s="64"/>
      <c r="JT144" s="74"/>
      <c r="JU144" s="73">
        <f t="shared" ca="1" si="1229"/>
        <v>0</v>
      </c>
      <c r="JV144" s="64"/>
      <c r="JW144" s="74"/>
      <c r="JX144" s="73">
        <f t="shared" ca="1" si="1230"/>
        <v>0</v>
      </c>
      <c r="JY144" s="64"/>
      <c r="JZ144" s="74"/>
      <c r="KA144" s="73">
        <f t="shared" ca="1" si="1231"/>
        <v>0</v>
      </c>
      <c r="KB144" s="64"/>
      <c r="KC144" s="74"/>
      <c r="KD144" s="73">
        <f t="shared" ca="1" si="1232"/>
        <v>0</v>
      </c>
      <c r="KE144" s="64"/>
      <c r="KF144" s="74"/>
      <c r="KG144" s="73">
        <f t="shared" ca="1" si="1233"/>
        <v>0</v>
      </c>
      <c r="KH144" s="64"/>
      <c r="KI144" s="74"/>
      <c r="KJ144" s="73">
        <f t="shared" ca="1" si="1234"/>
        <v>0</v>
      </c>
      <c r="KK144" s="64"/>
      <c r="KL144" s="74"/>
      <c r="KM144" s="73">
        <f t="shared" ca="1" si="1235"/>
        <v>0</v>
      </c>
      <c r="KN144" s="64"/>
      <c r="KO144" s="74"/>
      <c r="KP144" s="73">
        <f t="shared" ca="1" si="1236"/>
        <v>0</v>
      </c>
      <c r="KQ144" s="64"/>
      <c r="KR144" s="74"/>
      <c r="KS144" s="73">
        <f t="shared" ca="1" si="1237"/>
        <v>0</v>
      </c>
      <c r="KT144" s="64"/>
      <c r="KU144" s="74"/>
      <c r="KV144" s="73">
        <f t="shared" ca="1" si="1238"/>
        <v>0</v>
      </c>
      <c r="KW144" s="64"/>
      <c r="KX144" s="74"/>
      <c r="KY144" s="73">
        <f t="shared" ca="1" si="1239"/>
        <v>0</v>
      </c>
      <c r="KZ144" s="64"/>
      <c r="LA144" s="74"/>
      <c r="LB144" s="73">
        <f t="shared" ca="1" si="1240"/>
        <v>0</v>
      </c>
      <c r="LC144" s="64"/>
      <c r="LD144" s="74"/>
      <c r="LE144" s="73">
        <f t="shared" ca="1" si="1241"/>
        <v>0</v>
      </c>
      <c r="LF144" s="64"/>
      <c r="LG144" s="64"/>
    </row>
    <row r="145" spans="1:319">
      <c r="A145" s="49"/>
      <c r="B145" s="49"/>
      <c r="C145" s="49"/>
      <c r="D145" s="49"/>
      <c r="E145" s="65"/>
      <c r="F145" s="127">
        <f t="shared" si="1242"/>
        <v>5</v>
      </c>
      <c r="G145" s="445">
        <f ca="1">VLOOKUP(H145,Equipos!$Q$1:$R$25,2,0)</f>
        <v>19</v>
      </c>
      <c r="H145" s="447" t="str">
        <f>Idiomas!$D$137</f>
        <v>QUALIFIED FOR ROUND OF 32</v>
      </c>
      <c r="I145" s="50"/>
      <c r="J145" s="845"/>
      <c r="K145" s="56" t="str">
        <f>Idiomas!$D$198&amp;"-"&amp;ROWS($L$130:L145)</f>
        <v>16-Finalist-16</v>
      </c>
      <c r="L145" s="53"/>
      <c r="M145" s="55" t="str">
        <f ca="1">WORLDCUP!AA116</f>
        <v>Colombia</v>
      </c>
      <c r="N145" s="25"/>
      <c r="O145" s="25"/>
      <c r="P145" s="25"/>
      <c r="Q145" s="25"/>
      <c r="R145" s="110"/>
      <c r="S145" s="74" t="s">
        <v>1320</v>
      </c>
      <c r="T145" s="73">
        <f t="shared" ca="1" si="1142"/>
        <v>5</v>
      </c>
      <c r="U145" s="64"/>
      <c r="V145" s="74" t="s">
        <v>1320</v>
      </c>
      <c r="W145" s="73">
        <f t="shared" ca="1" si="1143"/>
        <v>5</v>
      </c>
      <c r="X145" s="64"/>
      <c r="Y145" s="74" t="s">
        <v>79</v>
      </c>
      <c r="Z145" s="73">
        <f t="shared" ca="1" si="1144"/>
        <v>5</v>
      </c>
      <c r="AA145" s="64"/>
      <c r="AB145" s="74" t="s">
        <v>79</v>
      </c>
      <c r="AC145" s="73">
        <f t="shared" ca="1" si="1145"/>
        <v>5</v>
      </c>
      <c r="AD145" s="64"/>
      <c r="AE145" s="74" t="s">
        <v>79</v>
      </c>
      <c r="AF145" s="73">
        <f t="shared" ca="1" si="1146"/>
        <v>5</v>
      </c>
      <c r="AG145" s="64"/>
      <c r="AH145" s="74" t="s">
        <v>79</v>
      </c>
      <c r="AI145" s="73">
        <f t="shared" ca="1" si="1147"/>
        <v>5</v>
      </c>
      <c r="AJ145" s="64"/>
      <c r="AK145" s="74" t="s">
        <v>79</v>
      </c>
      <c r="AL145" s="73">
        <f t="shared" ca="1" si="1148"/>
        <v>5</v>
      </c>
      <c r="AM145" s="64"/>
      <c r="AN145" s="74" t="s">
        <v>1320</v>
      </c>
      <c r="AO145" s="73">
        <f t="shared" ca="1" si="1149"/>
        <v>5</v>
      </c>
      <c r="AP145" s="64"/>
      <c r="AQ145" s="74" t="s">
        <v>79</v>
      </c>
      <c r="AR145" s="73">
        <f t="shared" ca="1" si="1150"/>
        <v>5</v>
      </c>
      <c r="AS145" s="64"/>
      <c r="AT145" s="74" t="s">
        <v>1840</v>
      </c>
      <c r="AU145" s="73">
        <f t="shared" ca="1" si="1151"/>
        <v>5</v>
      </c>
      <c r="AV145" s="64"/>
      <c r="AW145" s="74" t="s">
        <v>79</v>
      </c>
      <c r="AX145" s="73">
        <f t="shared" ca="1" si="1152"/>
        <v>5</v>
      </c>
      <c r="AY145" s="64"/>
      <c r="AZ145" s="74" t="s">
        <v>79</v>
      </c>
      <c r="BA145" s="73">
        <f t="shared" ca="1" si="1153"/>
        <v>5</v>
      </c>
      <c r="BB145" s="64"/>
      <c r="BC145" s="74" t="s">
        <v>79</v>
      </c>
      <c r="BD145" s="73">
        <f t="shared" ca="1" si="1154"/>
        <v>5</v>
      </c>
      <c r="BE145" s="64"/>
      <c r="BF145" s="74" t="s">
        <v>79</v>
      </c>
      <c r="BG145" s="73">
        <f t="shared" ca="1" si="1155"/>
        <v>5</v>
      </c>
      <c r="BH145" s="64"/>
      <c r="BI145" s="74" t="s">
        <v>79</v>
      </c>
      <c r="BJ145" s="73">
        <f t="shared" ca="1" si="1156"/>
        <v>5</v>
      </c>
      <c r="BK145" s="64"/>
      <c r="BL145" s="74" t="s">
        <v>79</v>
      </c>
      <c r="BM145" s="73">
        <f t="shared" ca="1" si="1157"/>
        <v>5</v>
      </c>
      <c r="BN145" s="64"/>
      <c r="BO145" s="74" t="s">
        <v>1320</v>
      </c>
      <c r="BP145" s="73">
        <f t="shared" ca="1" si="1158"/>
        <v>5</v>
      </c>
      <c r="BQ145" s="64"/>
      <c r="BR145" s="74" t="s">
        <v>79</v>
      </c>
      <c r="BS145" s="73">
        <f t="shared" ca="1" si="1159"/>
        <v>5</v>
      </c>
      <c r="BT145" s="64"/>
      <c r="BU145" s="74" t="s">
        <v>79</v>
      </c>
      <c r="BV145" s="73">
        <f t="shared" ca="1" si="1160"/>
        <v>5</v>
      </c>
      <c r="BW145" s="64"/>
      <c r="BX145" s="74" t="s">
        <v>79</v>
      </c>
      <c r="BY145" s="73">
        <f t="shared" ca="1" si="1161"/>
        <v>5</v>
      </c>
      <c r="BZ145" s="64"/>
      <c r="CA145" s="74" t="s">
        <v>79</v>
      </c>
      <c r="CB145" s="73">
        <f t="shared" ca="1" si="1162"/>
        <v>5</v>
      </c>
      <c r="CC145" s="64"/>
      <c r="CD145" s="74" t="s">
        <v>79</v>
      </c>
      <c r="CE145" s="73">
        <f t="shared" ca="1" si="1163"/>
        <v>5</v>
      </c>
      <c r="CF145" s="64"/>
      <c r="CG145" s="74" t="s">
        <v>79</v>
      </c>
      <c r="CH145" s="73">
        <f t="shared" ca="1" si="1164"/>
        <v>5</v>
      </c>
      <c r="CI145" s="64"/>
      <c r="CJ145" s="74" t="s">
        <v>79</v>
      </c>
      <c r="CK145" s="73">
        <f t="shared" ca="1" si="1165"/>
        <v>5</v>
      </c>
      <c r="CL145" s="64"/>
      <c r="CM145" s="74" t="s">
        <v>79</v>
      </c>
      <c r="CN145" s="73">
        <f t="shared" ca="1" si="1166"/>
        <v>5</v>
      </c>
      <c r="CO145" s="64"/>
      <c r="CP145" s="74" t="s">
        <v>79</v>
      </c>
      <c r="CQ145" s="73">
        <f t="shared" ca="1" si="1167"/>
        <v>5</v>
      </c>
      <c r="CR145" s="64"/>
      <c r="CS145" s="74" t="s">
        <v>79</v>
      </c>
      <c r="CT145" s="73">
        <f t="shared" ca="1" si="1168"/>
        <v>5</v>
      </c>
      <c r="CU145" s="64"/>
      <c r="CV145" s="74" t="s">
        <v>79</v>
      </c>
      <c r="CW145" s="73">
        <f t="shared" ca="1" si="1169"/>
        <v>5</v>
      </c>
      <c r="CX145" s="64"/>
      <c r="CY145" s="74" t="s">
        <v>79</v>
      </c>
      <c r="CZ145" s="73">
        <f t="shared" ca="1" si="1170"/>
        <v>5</v>
      </c>
      <c r="DA145" s="64"/>
      <c r="DB145" s="74" t="s">
        <v>79</v>
      </c>
      <c r="DC145" s="73">
        <f t="shared" ca="1" si="1171"/>
        <v>5</v>
      </c>
      <c r="DD145" s="64"/>
      <c r="DE145" s="74" t="s">
        <v>79</v>
      </c>
      <c r="DF145" s="73">
        <f t="shared" ca="1" si="1172"/>
        <v>5</v>
      </c>
      <c r="DG145" s="64"/>
      <c r="DH145" s="74" t="s">
        <v>79</v>
      </c>
      <c r="DI145" s="73">
        <f t="shared" ca="1" si="1173"/>
        <v>5</v>
      </c>
      <c r="DJ145" s="64"/>
      <c r="DK145" s="74" t="s">
        <v>79</v>
      </c>
      <c r="DL145" s="73">
        <f t="shared" ca="1" si="1174"/>
        <v>5</v>
      </c>
      <c r="DM145" s="64"/>
      <c r="DN145" s="74" t="s">
        <v>79</v>
      </c>
      <c r="DO145" s="73">
        <f t="shared" ca="1" si="1175"/>
        <v>5</v>
      </c>
      <c r="DP145" s="64"/>
      <c r="DQ145" s="74" t="s">
        <v>79</v>
      </c>
      <c r="DR145" s="73">
        <f t="shared" ca="1" si="1176"/>
        <v>5</v>
      </c>
      <c r="DS145" s="64"/>
      <c r="DT145" s="74" t="s">
        <v>79</v>
      </c>
      <c r="DU145" s="73">
        <f t="shared" ca="1" si="1177"/>
        <v>5</v>
      </c>
      <c r="DV145" s="64"/>
      <c r="DW145" s="74" t="s">
        <v>79</v>
      </c>
      <c r="DX145" s="73">
        <f t="shared" ca="1" si="1178"/>
        <v>5</v>
      </c>
      <c r="DY145" s="64"/>
      <c r="DZ145" s="74" t="s">
        <v>79</v>
      </c>
      <c r="EA145" s="73">
        <f t="shared" ca="1" si="1179"/>
        <v>5</v>
      </c>
      <c r="EB145" s="64"/>
      <c r="EC145" s="74" t="s">
        <v>79</v>
      </c>
      <c r="ED145" s="73">
        <f t="shared" ca="1" si="1180"/>
        <v>5</v>
      </c>
      <c r="EE145" s="64"/>
      <c r="EF145" s="74" t="s">
        <v>79</v>
      </c>
      <c r="EG145" s="73">
        <f t="shared" ca="1" si="1181"/>
        <v>5</v>
      </c>
      <c r="EH145" s="64"/>
      <c r="EI145" s="74" t="s">
        <v>79</v>
      </c>
      <c r="EJ145" s="73">
        <f t="shared" ca="1" si="1182"/>
        <v>5</v>
      </c>
      <c r="EK145" s="64"/>
      <c r="EL145" s="74" t="s">
        <v>79</v>
      </c>
      <c r="EM145" s="73">
        <f t="shared" ca="1" si="1183"/>
        <v>5</v>
      </c>
      <c r="EN145" s="64"/>
      <c r="EO145" s="74" t="s">
        <v>79</v>
      </c>
      <c r="EP145" s="73">
        <f t="shared" ca="1" si="1184"/>
        <v>5</v>
      </c>
      <c r="EQ145" s="64"/>
      <c r="ER145" s="74" t="s">
        <v>79</v>
      </c>
      <c r="ES145" s="73">
        <f t="shared" ca="1" si="1185"/>
        <v>5</v>
      </c>
      <c r="ET145" s="64"/>
      <c r="EU145" s="74" t="s">
        <v>79</v>
      </c>
      <c r="EV145" s="73">
        <f t="shared" ca="1" si="1186"/>
        <v>5</v>
      </c>
      <c r="EW145" s="64"/>
      <c r="EX145" s="74" t="s">
        <v>79</v>
      </c>
      <c r="EY145" s="73">
        <f t="shared" ca="1" si="1187"/>
        <v>5</v>
      </c>
      <c r="EZ145" s="64"/>
      <c r="FA145" s="74" t="s">
        <v>79</v>
      </c>
      <c r="FB145" s="73">
        <f t="shared" ca="1" si="1188"/>
        <v>5</v>
      </c>
      <c r="FC145" s="64"/>
      <c r="FD145" s="74" t="s">
        <v>79</v>
      </c>
      <c r="FE145" s="73">
        <f t="shared" ca="1" si="1189"/>
        <v>5</v>
      </c>
      <c r="FF145" s="64"/>
      <c r="FG145" s="74" t="s">
        <v>79</v>
      </c>
      <c r="FH145" s="73">
        <f t="shared" ca="1" si="1190"/>
        <v>5</v>
      </c>
      <c r="FI145" s="64"/>
      <c r="FJ145" s="74" t="s">
        <v>79</v>
      </c>
      <c r="FK145" s="73">
        <f t="shared" ca="1" si="1191"/>
        <v>5</v>
      </c>
      <c r="FL145" s="64"/>
      <c r="FM145" s="74" t="s">
        <v>79</v>
      </c>
      <c r="FN145" s="73">
        <f t="shared" ca="1" si="1192"/>
        <v>5</v>
      </c>
      <c r="FO145" s="64"/>
      <c r="FP145" s="74" t="s">
        <v>79</v>
      </c>
      <c r="FQ145" s="73">
        <f t="shared" ca="1" si="1193"/>
        <v>5</v>
      </c>
      <c r="FR145" s="64"/>
      <c r="FS145" s="74" t="s">
        <v>79</v>
      </c>
      <c r="FT145" s="73">
        <f t="shared" ca="1" si="1194"/>
        <v>5</v>
      </c>
      <c r="FU145" s="64"/>
      <c r="FV145" s="74" t="s">
        <v>79</v>
      </c>
      <c r="FW145" s="73">
        <f t="shared" ca="1" si="1195"/>
        <v>5</v>
      </c>
      <c r="FX145" s="64"/>
      <c r="FY145" s="74" t="s">
        <v>79</v>
      </c>
      <c r="FZ145" s="73">
        <f t="shared" ca="1" si="1196"/>
        <v>5</v>
      </c>
      <c r="GA145" s="64"/>
      <c r="GB145" s="74" t="s">
        <v>1320</v>
      </c>
      <c r="GC145" s="73">
        <f t="shared" ca="1" si="1197"/>
        <v>5</v>
      </c>
      <c r="GD145" s="64"/>
      <c r="GE145" s="74" t="s">
        <v>79</v>
      </c>
      <c r="GF145" s="73">
        <f t="shared" ca="1" si="1198"/>
        <v>5</v>
      </c>
      <c r="GG145" s="64"/>
      <c r="GH145" s="74" t="s">
        <v>79</v>
      </c>
      <c r="GI145" s="73">
        <f t="shared" ca="1" si="1199"/>
        <v>5</v>
      </c>
      <c r="GJ145" s="64"/>
      <c r="GK145" s="74" t="s">
        <v>79</v>
      </c>
      <c r="GL145" s="73">
        <f t="shared" ca="1" si="1200"/>
        <v>5</v>
      </c>
      <c r="GM145" s="64"/>
      <c r="GN145" s="74"/>
      <c r="GO145" s="73">
        <f t="shared" ca="1" si="1201"/>
        <v>0</v>
      </c>
      <c r="GP145" s="64"/>
      <c r="GQ145" s="74"/>
      <c r="GR145" s="73">
        <f t="shared" ca="1" si="1202"/>
        <v>0</v>
      </c>
      <c r="GS145" s="64"/>
      <c r="GT145" s="74"/>
      <c r="GU145" s="73">
        <f t="shared" ca="1" si="1203"/>
        <v>0</v>
      </c>
      <c r="GV145" s="64"/>
      <c r="GW145" s="74"/>
      <c r="GX145" s="73">
        <f t="shared" ca="1" si="1204"/>
        <v>0</v>
      </c>
      <c r="GY145" s="64"/>
      <c r="GZ145" s="74"/>
      <c r="HA145" s="73">
        <f t="shared" ca="1" si="1205"/>
        <v>0</v>
      </c>
      <c r="HB145" s="64"/>
      <c r="HC145" s="74"/>
      <c r="HD145" s="73">
        <f t="shared" ca="1" si="1206"/>
        <v>0</v>
      </c>
      <c r="HE145" s="64"/>
      <c r="HF145" s="74"/>
      <c r="HG145" s="73">
        <f t="shared" ca="1" si="1207"/>
        <v>0</v>
      </c>
      <c r="HH145" s="64"/>
      <c r="HI145" s="74"/>
      <c r="HJ145" s="73">
        <f t="shared" ca="1" si="1208"/>
        <v>0</v>
      </c>
      <c r="HK145" s="64"/>
      <c r="HL145" s="74"/>
      <c r="HM145" s="73">
        <f t="shared" ca="1" si="1209"/>
        <v>0</v>
      </c>
      <c r="HN145" s="64"/>
      <c r="HO145" s="74"/>
      <c r="HP145" s="73">
        <f t="shared" ca="1" si="1210"/>
        <v>0</v>
      </c>
      <c r="HQ145" s="64"/>
      <c r="HR145" s="74"/>
      <c r="HS145" s="73">
        <f t="shared" ca="1" si="1211"/>
        <v>0</v>
      </c>
      <c r="HT145" s="64"/>
      <c r="HU145" s="74"/>
      <c r="HV145" s="73">
        <f t="shared" ca="1" si="1212"/>
        <v>0</v>
      </c>
      <c r="HW145" s="64"/>
      <c r="HX145" s="74"/>
      <c r="HY145" s="73">
        <f t="shared" ca="1" si="1213"/>
        <v>0</v>
      </c>
      <c r="HZ145" s="64"/>
      <c r="IA145" s="74"/>
      <c r="IB145" s="73">
        <f t="shared" ca="1" si="1214"/>
        <v>0</v>
      </c>
      <c r="IC145" s="64"/>
      <c r="ID145" s="74"/>
      <c r="IE145" s="73">
        <f t="shared" ca="1" si="1215"/>
        <v>0</v>
      </c>
      <c r="IF145" s="64"/>
      <c r="IG145" s="74"/>
      <c r="IH145" s="73">
        <f t="shared" ca="1" si="1216"/>
        <v>0</v>
      </c>
      <c r="II145" s="64"/>
      <c r="IJ145" s="74"/>
      <c r="IK145" s="73">
        <f t="shared" ca="1" si="1217"/>
        <v>0</v>
      </c>
      <c r="IL145" s="64"/>
      <c r="IM145" s="74"/>
      <c r="IN145" s="73">
        <f t="shared" ca="1" si="1218"/>
        <v>0</v>
      </c>
      <c r="IO145" s="64"/>
      <c r="IP145" s="74"/>
      <c r="IQ145" s="73">
        <f t="shared" ca="1" si="1219"/>
        <v>0</v>
      </c>
      <c r="IR145" s="64"/>
      <c r="IS145" s="74"/>
      <c r="IT145" s="73">
        <f t="shared" ca="1" si="1220"/>
        <v>0</v>
      </c>
      <c r="IU145" s="64"/>
      <c r="IV145" s="74"/>
      <c r="IW145" s="73">
        <f t="shared" ca="1" si="1221"/>
        <v>0</v>
      </c>
      <c r="IX145" s="64"/>
      <c r="IY145" s="74"/>
      <c r="IZ145" s="73">
        <f t="shared" ca="1" si="1222"/>
        <v>0</v>
      </c>
      <c r="JA145" s="64"/>
      <c r="JB145" s="74"/>
      <c r="JC145" s="73">
        <f t="shared" ca="1" si="1223"/>
        <v>0</v>
      </c>
      <c r="JD145" s="64"/>
      <c r="JE145" s="74"/>
      <c r="JF145" s="73">
        <f t="shared" ca="1" si="1224"/>
        <v>0</v>
      </c>
      <c r="JG145" s="64"/>
      <c r="JH145" s="74"/>
      <c r="JI145" s="73">
        <f t="shared" ca="1" si="1225"/>
        <v>0</v>
      </c>
      <c r="JJ145" s="64"/>
      <c r="JK145" s="74"/>
      <c r="JL145" s="73">
        <f t="shared" ca="1" si="1226"/>
        <v>0</v>
      </c>
      <c r="JM145" s="64"/>
      <c r="JN145" s="74"/>
      <c r="JO145" s="73">
        <f t="shared" ca="1" si="1227"/>
        <v>0</v>
      </c>
      <c r="JP145" s="64"/>
      <c r="JQ145" s="74"/>
      <c r="JR145" s="73">
        <f t="shared" ca="1" si="1228"/>
        <v>0</v>
      </c>
      <c r="JS145" s="64"/>
      <c r="JT145" s="74"/>
      <c r="JU145" s="73">
        <f t="shared" ca="1" si="1229"/>
        <v>0</v>
      </c>
      <c r="JV145" s="64"/>
      <c r="JW145" s="74"/>
      <c r="JX145" s="73">
        <f t="shared" ca="1" si="1230"/>
        <v>0</v>
      </c>
      <c r="JY145" s="64"/>
      <c r="JZ145" s="74"/>
      <c r="KA145" s="73">
        <f t="shared" ca="1" si="1231"/>
        <v>0</v>
      </c>
      <c r="KB145" s="64"/>
      <c r="KC145" s="74"/>
      <c r="KD145" s="73">
        <f t="shared" ca="1" si="1232"/>
        <v>0</v>
      </c>
      <c r="KE145" s="64"/>
      <c r="KF145" s="74"/>
      <c r="KG145" s="73">
        <f t="shared" ca="1" si="1233"/>
        <v>0</v>
      </c>
      <c r="KH145" s="64"/>
      <c r="KI145" s="74"/>
      <c r="KJ145" s="73">
        <f t="shared" ca="1" si="1234"/>
        <v>0</v>
      </c>
      <c r="KK145" s="64"/>
      <c r="KL145" s="74"/>
      <c r="KM145" s="73">
        <f t="shared" ca="1" si="1235"/>
        <v>0</v>
      </c>
      <c r="KN145" s="64"/>
      <c r="KO145" s="74"/>
      <c r="KP145" s="73">
        <f t="shared" ca="1" si="1236"/>
        <v>0</v>
      </c>
      <c r="KQ145" s="64"/>
      <c r="KR145" s="74"/>
      <c r="KS145" s="73">
        <f t="shared" ca="1" si="1237"/>
        <v>0</v>
      </c>
      <c r="KT145" s="64"/>
      <c r="KU145" s="74"/>
      <c r="KV145" s="73">
        <f t="shared" ca="1" si="1238"/>
        <v>0</v>
      </c>
      <c r="KW145" s="64"/>
      <c r="KX145" s="74"/>
      <c r="KY145" s="73">
        <f t="shared" ca="1" si="1239"/>
        <v>0</v>
      </c>
      <c r="KZ145" s="64"/>
      <c r="LA145" s="74"/>
      <c r="LB145" s="73">
        <f t="shared" ca="1" si="1240"/>
        <v>0</v>
      </c>
      <c r="LC145" s="64"/>
      <c r="LD145" s="74"/>
      <c r="LE145" s="73">
        <f t="shared" ca="1" si="1241"/>
        <v>0</v>
      </c>
      <c r="LF145" s="64"/>
      <c r="LG145" s="64"/>
    </row>
    <row r="146" spans="1:319">
      <c r="A146" s="49"/>
      <c r="B146" s="49"/>
      <c r="C146" s="49"/>
      <c r="D146" s="49"/>
      <c r="E146" s="65"/>
      <c r="F146" s="127">
        <f t="shared" si="1242"/>
        <v>5</v>
      </c>
      <c r="G146" s="445">
        <f ca="1">VLOOKUP(H146,Equipos!$Q$1:$R$25,2,0)</f>
        <v>19</v>
      </c>
      <c r="H146" s="447" t="str">
        <f>Idiomas!$D$137</f>
        <v>QUALIFIED FOR ROUND OF 32</v>
      </c>
      <c r="I146" s="50"/>
      <c r="J146" s="845"/>
      <c r="K146" s="56" t="str">
        <f>Idiomas!$D$198&amp;"-"&amp;ROWS($L$130:L146)</f>
        <v>16-Finalist-17</v>
      </c>
      <c r="L146" s="53"/>
      <c r="M146" s="55" t="str">
        <f ca="1">WORLDCUP!AF101</f>
        <v>Canada</v>
      </c>
      <c r="N146" s="25"/>
      <c r="O146" s="25"/>
      <c r="P146" s="25"/>
      <c r="Q146" s="25"/>
      <c r="R146" s="110"/>
      <c r="S146" s="74" t="s">
        <v>1637</v>
      </c>
      <c r="T146" s="73">
        <f t="shared" ca="1" si="1142"/>
        <v>0</v>
      </c>
      <c r="U146" s="64"/>
      <c r="V146" s="74" t="s">
        <v>1842</v>
      </c>
      <c r="W146" s="73">
        <f t="shared" ca="1" si="1143"/>
        <v>5</v>
      </c>
      <c r="X146" s="64"/>
      <c r="Y146" s="74" t="s">
        <v>1276</v>
      </c>
      <c r="Z146" s="73">
        <f t="shared" ca="1" si="1144"/>
        <v>5</v>
      </c>
      <c r="AA146" s="64"/>
      <c r="AB146" s="74" t="s">
        <v>1276</v>
      </c>
      <c r="AC146" s="73">
        <f t="shared" ca="1" si="1145"/>
        <v>5</v>
      </c>
      <c r="AD146" s="64"/>
      <c r="AE146" s="74" t="s">
        <v>1276</v>
      </c>
      <c r="AF146" s="73">
        <f t="shared" ca="1" si="1146"/>
        <v>5</v>
      </c>
      <c r="AG146" s="64"/>
      <c r="AH146" s="74" t="s">
        <v>1842</v>
      </c>
      <c r="AI146" s="73">
        <f t="shared" ca="1" si="1147"/>
        <v>5</v>
      </c>
      <c r="AJ146" s="64"/>
      <c r="AK146" s="74" t="s">
        <v>290</v>
      </c>
      <c r="AL146" s="73">
        <f t="shared" ca="1" si="1148"/>
        <v>5</v>
      </c>
      <c r="AM146" s="64"/>
      <c r="AN146" s="74" t="s">
        <v>290</v>
      </c>
      <c r="AO146" s="73">
        <f t="shared" ca="1" si="1149"/>
        <v>5</v>
      </c>
      <c r="AP146" s="64"/>
      <c r="AQ146" s="74" t="s">
        <v>1276</v>
      </c>
      <c r="AR146" s="73">
        <f t="shared" ca="1" si="1150"/>
        <v>5</v>
      </c>
      <c r="AS146" s="64"/>
      <c r="AT146" s="74" t="s">
        <v>1276</v>
      </c>
      <c r="AU146" s="73">
        <f t="shared" ca="1" si="1151"/>
        <v>5</v>
      </c>
      <c r="AV146" s="64"/>
      <c r="AW146" s="74" t="s">
        <v>1842</v>
      </c>
      <c r="AX146" s="73">
        <f t="shared" ca="1" si="1152"/>
        <v>5</v>
      </c>
      <c r="AY146" s="64"/>
      <c r="AZ146" s="74" t="s">
        <v>1276</v>
      </c>
      <c r="BA146" s="73">
        <f t="shared" ca="1" si="1153"/>
        <v>5</v>
      </c>
      <c r="BB146" s="64"/>
      <c r="BC146" s="74" t="s">
        <v>1842</v>
      </c>
      <c r="BD146" s="73">
        <f t="shared" ca="1" si="1154"/>
        <v>5</v>
      </c>
      <c r="BE146" s="64"/>
      <c r="BF146" s="74" t="s">
        <v>290</v>
      </c>
      <c r="BG146" s="73">
        <f t="shared" ca="1" si="1155"/>
        <v>5</v>
      </c>
      <c r="BH146" s="64"/>
      <c r="BI146" s="74" t="s">
        <v>1842</v>
      </c>
      <c r="BJ146" s="73">
        <f t="shared" ca="1" si="1156"/>
        <v>5</v>
      </c>
      <c r="BK146" s="64"/>
      <c r="BL146" s="74" t="s">
        <v>1276</v>
      </c>
      <c r="BM146" s="73">
        <f t="shared" ca="1" si="1157"/>
        <v>5</v>
      </c>
      <c r="BN146" s="64"/>
      <c r="BO146" s="74" t="s">
        <v>1276</v>
      </c>
      <c r="BP146" s="73">
        <f t="shared" ca="1" si="1158"/>
        <v>5</v>
      </c>
      <c r="BQ146" s="64"/>
      <c r="BR146" s="74" t="s">
        <v>1276</v>
      </c>
      <c r="BS146" s="73">
        <f t="shared" ca="1" si="1159"/>
        <v>5</v>
      </c>
      <c r="BT146" s="64"/>
      <c r="BU146" s="74" t="s">
        <v>1276</v>
      </c>
      <c r="BV146" s="73">
        <f t="shared" ca="1" si="1160"/>
        <v>5</v>
      </c>
      <c r="BW146" s="64"/>
      <c r="BX146" s="74" t="s">
        <v>290</v>
      </c>
      <c r="BY146" s="73">
        <f t="shared" ca="1" si="1161"/>
        <v>5</v>
      </c>
      <c r="BZ146" s="64"/>
      <c r="CA146" s="74" t="s">
        <v>1842</v>
      </c>
      <c r="CB146" s="73">
        <f t="shared" ca="1" si="1162"/>
        <v>5</v>
      </c>
      <c r="CC146" s="64"/>
      <c r="CD146" s="74" t="s">
        <v>1276</v>
      </c>
      <c r="CE146" s="73">
        <f t="shared" ca="1" si="1163"/>
        <v>5</v>
      </c>
      <c r="CF146" s="64"/>
      <c r="CG146" s="74" t="s">
        <v>290</v>
      </c>
      <c r="CH146" s="73">
        <f t="shared" ca="1" si="1164"/>
        <v>5</v>
      </c>
      <c r="CI146" s="64"/>
      <c r="CJ146" s="74" t="s">
        <v>1276</v>
      </c>
      <c r="CK146" s="73">
        <f t="shared" ca="1" si="1165"/>
        <v>5</v>
      </c>
      <c r="CL146" s="64"/>
      <c r="CM146" s="74" t="s">
        <v>1276</v>
      </c>
      <c r="CN146" s="73">
        <f t="shared" ca="1" si="1166"/>
        <v>5</v>
      </c>
      <c r="CO146" s="64"/>
      <c r="CP146" s="74" t="s">
        <v>1842</v>
      </c>
      <c r="CQ146" s="73">
        <f t="shared" ca="1" si="1167"/>
        <v>5</v>
      </c>
      <c r="CR146" s="64"/>
      <c r="CS146" s="74" t="s">
        <v>1637</v>
      </c>
      <c r="CT146" s="73">
        <f t="shared" ca="1" si="1168"/>
        <v>0</v>
      </c>
      <c r="CU146" s="64"/>
      <c r="CV146" s="74" t="s">
        <v>290</v>
      </c>
      <c r="CW146" s="73">
        <f t="shared" ca="1" si="1169"/>
        <v>5</v>
      </c>
      <c r="CX146" s="64"/>
      <c r="CY146" s="74" t="s">
        <v>1842</v>
      </c>
      <c r="CZ146" s="73">
        <f t="shared" ca="1" si="1170"/>
        <v>5</v>
      </c>
      <c r="DA146" s="64"/>
      <c r="DB146" s="74" t="s">
        <v>1637</v>
      </c>
      <c r="DC146" s="73">
        <f t="shared" ca="1" si="1171"/>
        <v>0</v>
      </c>
      <c r="DD146" s="64"/>
      <c r="DE146" s="74" t="s">
        <v>1276</v>
      </c>
      <c r="DF146" s="73">
        <f t="shared" ca="1" si="1172"/>
        <v>5</v>
      </c>
      <c r="DG146" s="64"/>
      <c r="DH146" s="74" t="s">
        <v>290</v>
      </c>
      <c r="DI146" s="73">
        <f t="shared" ca="1" si="1173"/>
        <v>5</v>
      </c>
      <c r="DJ146" s="64"/>
      <c r="DK146" s="74" t="s">
        <v>1276</v>
      </c>
      <c r="DL146" s="73">
        <f t="shared" ca="1" si="1174"/>
        <v>5</v>
      </c>
      <c r="DM146" s="64"/>
      <c r="DN146" s="74" t="s">
        <v>1276</v>
      </c>
      <c r="DO146" s="73">
        <f t="shared" ca="1" si="1175"/>
        <v>5</v>
      </c>
      <c r="DP146" s="64"/>
      <c r="DQ146" s="74" t="s">
        <v>1276</v>
      </c>
      <c r="DR146" s="73">
        <f t="shared" ca="1" si="1176"/>
        <v>5</v>
      </c>
      <c r="DS146" s="64"/>
      <c r="DT146" s="74" t="s">
        <v>1276</v>
      </c>
      <c r="DU146" s="73">
        <f t="shared" ca="1" si="1177"/>
        <v>5</v>
      </c>
      <c r="DV146" s="64"/>
      <c r="DW146" s="74" t="s">
        <v>1276</v>
      </c>
      <c r="DX146" s="73">
        <f t="shared" ca="1" si="1178"/>
        <v>5</v>
      </c>
      <c r="DY146" s="64"/>
      <c r="DZ146" s="74" t="s">
        <v>1276</v>
      </c>
      <c r="EA146" s="73">
        <f t="shared" ca="1" si="1179"/>
        <v>5</v>
      </c>
      <c r="EB146" s="64"/>
      <c r="EC146" s="74" t="s">
        <v>1276</v>
      </c>
      <c r="ED146" s="73">
        <f t="shared" ca="1" si="1180"/>
        <v>5</v>
      </c>
      <c r="EE146" s="64"/>
      <c r="EF146" s="74" t="s">
        <v>290</v>
      </c>
      <c r="EG146" s="73">
        <f t="shared" ca="1" si="1181"/>
        <v>5</v>
      </c>
      <c r="EH146" s="64"/>
      <c r="EI146" s="74" t="s">
        <v>1276</v>
      </c>
      <c r="EJ146" s="73">
        <f t="shared" ca="1" si="1182"/>
        <v>5</v>
      </c>
      <c r="EK146" s="64"/>
      <c r="EL146" s="74" t="s">
        <v>1276</v>
      </c>
      <c r="EM146" s="73">
        <f t="shared" ca="1" si="1183"/>
        <v>5</v>
      </c>
      <c r="EN146" s="64"/>
      <c r="EO146" s="74" t="s">
        <v>1276</v>
      </c>
      <c r="EP146" s="73">
        <f t="shared" ca="1" si="1184"/>
        <v>5</v>
      </c>
      <c r="EQ146" s="64"/>
      <c r="ER146" s="74" t="s">
        <v>1276</v>
      </c>
      <c r="ES146" s="73">
        <f t="shared" ca="1" si="1185"/>
        <v>5</v>
      </c>
      <c r="ET146" s="64"/>
      <c r="EU146" s="74" t="s">
        <v>290</v>
      </c>
      <c r="EV146" s="73">
        <f t="shared" ca="1" si="1186"/>
        <v>5</v>
      </c>
      <c r="EW146" s="64"/>
      <c r="EX146" s="74" t="s">
        <v>1276</v>
      </c>
      <c r="EY146" s="73">
        <f t="shared" ca="1" si="1187"/>
        <v>5</v>
      </c>
      <c r="EZ146" s="64"/>
      <c r="FA146" s="74" t="s">
        <v>290</v>
      </c>
      <c r="FB146" s="73">
        <f t="shared" ca="1" si="1188"/>
        <v>5</v>
      </c>
      <c r="FC146" s="64"/>
      <c r="FD146" s="74" t="s">
        <v>1276</v>
      </c>
      <c r="FE146" s="73">
        <f t="shared" ca="1" si="1189"/>
        <v>5</v>
      </c>
      <c r="FF146" s="64"/>
      <c r="FG146" s="74" t="s">
        <v>290</v>
      </c>
      <c r="FH146" s="73">
        <f t="shared" ca="1" si="1190"/>
        <v>5</v>
      </c>
      <c r="FI146" s="64"/>
      <c r="FJ146" s="74" t="s">
        <v>1276</v>
      </c>
      <c r="FK146" s="73">
        <f t="shared" ca="1" si="1191"/>
        <v>5</v>
      </c>
      <c r="FL146" s="64"/>
      <c r="FM146" s="74" t="s">
        <v>1276</v>
      </c>
      <c r="FN146" s="73">
        <f t="shared" ca="1" si="1192"/>
        <v>5</v>
      </c>
      <c r="FO146" s="64"/>
      <c r="FP146" s="74" t="s">
        <v>1842</v>
      </c>
      <c r="FQ146" s="73">
        <f t="shared" ca="1" si="1193"/>
        <v>5</v>
      </c>
      <c r="FR146" s="64"/>
      <c r="FS146" s="74" t="s">
        <v>1842</v>
      </c>
      <c r="FT146" s="73">
        <f t="shared" ca="1" si="1194"/>
        <v>5</v>
      </c>
      <c r="FU146" s="64"/>
      <c r="FV146" s="74" t="s">
        <v>290</v>
      </c>
      <c r="FW146" s="73">
        <f t="shared" ca="1" si="1195"/>
        <v>5</v>
      </c>
      <c r="FX146" s="64"/>
      <c r="FY146" s="74" t="s">
        <v>1276</v>
      </c>
      <c r="FZ146" s="73">
        <f t="shared" ca="1" si="1196"/>
        <v>5</v>
      </c>
      <c r="GA146" s="64"/>
      <c r="GB146" s="74" t="s">
        <v>1276</v>
      </c>
      <c r="GC146" s="73">
        <f t="shared" ca="1" si="1197"/>
        <v>5</v>
      </c>
      <c r="GD146" s="64"/>
      <c r="GE146" s="74" t="s">
        <v>1842</v>
      </c>
      <c r="GF146" s="73">
        <f t="shared" ca="1" si="1198"/>
        <v>5</v>
      </c>
      <c r="GG146" s="64"/>
      <c r="GH146" s="74" t="s">
        <v>1276</v>
      </c>
      <c r="GI146" s="73">
        <f t="shared" ca="1" si="1199"/>
        <v>5</v>
      </c>
      <c r="GJ146" s="64"/>
      <c r="GK146" s="74" t="s">
        <v>1276</v>
      </c>
      <c r="GL146" s="73">
        <f t="shared" ca="1" si="1200"/>
        <v>5</v>
      </c>
      <c r="GM146" s="64"/>
      <c r="GN146" s="74"/>
      <c r="GO146" s="73">
        <f t="shared" ca="1" si="1201"/>
        <v>0</v>
      </c>
      <c r="GP146" s="64"/>
      <c r="GQ146" s="74"/>
      <c r="GR146" s="73">
        <f t="shared" ca="1" si="1202"/>
        <v>0</v>
      </c>
      <c r="GS146" s="64"/>
      <c r="GT146" s="74"/>
      <c r="GU146" s="73">
        <f t="shared" ca="1" si="1203"/>
        <v>0</v>
      </c>
      <c r="GV146" s="64"/>
      <c r="GW146" s="74"/>
      <c r="GX146" s="73">
        <f t="shared" ca="1" si="1204"/>
        <v>0</v>
      </c>
      <c r="GY146" s="64"/>
      <c r="GZ146" s="74"/>
      <c r="HA146" s="73">
        <f t="shared" ca="1" si="1205"/>
        <v>0</v>
      </c>
      <c r="HB146" s="64"/>
      <c r="HC146" s="74"/>
      <c r="HD146" s="73">
        <f t="shared" ca="1" si="1206"/>
        <v>0</v>
      </c>
      <c r="HE146" s="64"/>
      <c r="HF146" s="74"/>
      <c r="HG146" s="73">
        <f t="shared" ca="1" si="1207"/>
        <v>0</v>
      </c>
      <c r="HH146" s="64"/>
      <c r="HI146" s="74"/>
      <c r="HJ146" s="73">
        <f t="shared" ca="1" si="1208"/>
        <v>0</v>
      </c>
      <c r="HK146" s="64"/>
      <c r="HL146" s="74"/>
      <c r="HM146" s="73">
        <f t="shared" ca="1" si="1209"/>
        <v>0</v>
      </c>
      <c r="HN146" s="64"/>
      <c r="HO146" s="74"/>
      <c r="HP146" s="73">
        <f t="shared" ca="1" si="1210"/>
        <v>0</v>
      </c>
      <c r="HQ146" s="64"/>
      <c r="HR146" s="74"/>
      <c r="HS146" s="73">
        <f t="shared" ca="1" si="1211"/>
        <v>0</v>
      </c>
      <c r="HT146" s="64"/>
      <c r="HU146" s="74"/>
      <c r="HV146" s="73">
        <f t="shared" ca="1" si="1212"/>
        <v>0</v>
      </c>
      <c r="HW146" s="64"/>
      <c r="HX146" s="74"/>
      <c r="HY146" s="73">
        <f t="shared" ca="1" si="1213"/>
        <v>0</v>
      </c>
      <c r="HZ146" s="64"/>
      <c r="IA146" s="74"/>
      <c r="IB146" s="73">
        <f t="shared" ca="1" si="1214"/>
        <v>0</v>
      </c>
      <c r="IC146" s="64"/>
      <c r="ID146" s="74"/>
      <c r="IE146" s="73">
        <f t="shared" ca="1" si="1215"/>
        <v>0</v>
      </c>
      <c r="IF146" s="64"/>
      <c r="IG146" s="74"/>
      <c r="IH146" s="73">
        <f t="shared" ca="1" si="1216"/>
        <v>0</v>
      </c>
      <c r="II146" s="64"/>
      <c r="IJ146" s="74"/>
      <c r="IK146" s="73">
        <f t="shared" ca="1" si="1217"/>
        <v>0</v>
      </c>
      <c r="IL146" s="64"/>
      <c r="IM146" s="74"/>
      <c r="IN146" s="73">
        <f t="shared" ca="1" si="1218"/>
        <v>0</v>
      </c>
      <c r="IO146" s="64"/>
      <c r="IP146" s="74"/>
      <c r="IQ146" s="73">
        <f t="shared" ca="1" si="1219"/>
        <v>0</v>
      </c>
      <c r="IR146" s="64"/>
      <c r="IS146" s="74"/>
      <c r="IT146" s="73">
        <f t="shared" ca="1" si="1220"/>
        <v>0</v>
      </c>
      <c r="IU146" s="64"/>
      <c r="IV146" s="74"/>
      <c r="IW146" s="73">
        <f t="shared" ca="1" si="1221"/>
        <v>0</v>
      </c>
      <c r="IX146" s="64"/>
      <c r="IY146" s="74"/>
      <c r="IZ146" s="73">
        <f t="shared" ca="1" si="1222"/>
        <v>0</v>
      </c>
      <c r="JA146" s="64"/>
      <c r="JB146" s="74"/>
      <c r="JC146" s="73">
        <f t="shared" ca="1" si="1223"/>
        <v>0</v>
      </c>
      <c r="JD146" s="64"/>
      <c r="JE146" s="74"/>
      <c r="JF146" s="73">
        <f t="shared" ca="1" si="1224"/>
        <v>0</v>
      </c>
      <c r="JG146" s="64"/>
      <c r="JH146" s="74"/>
      <c r="JI146" s="73">
        <f t="shared" ca="1" si="1225"/>
        <v>0</v>
      </c>
      <c r="JJ146" s="64"/>
      <c r="JK146" s="74"/>
      <c r="JL146" s="73">
        <f t="shared" ca="1" si="1226"/>
        <v>0</v>
      </c>
      <c r="JM146" s="64"/>
      <c r="JN146" s="74"/>
      <c r="JO146" s="73">
        <f t="shared" ca="1" si="1227"/>
        <v>0</v>
      </c>
      <c r="JP146" s="64"/>
      <c r="JQ146" s="74"/>
      <c r="JR146" s="73">
        <f t="shared" ca="1" si="1228"/>
        <v>0</v>
      </c>
      <c r="JS146" s="64"/>
      <c r="JT146" s="74"/>
      <c r="JU146" s="73">
        <f t="shared" ca="1" si="1229"/>
        <v>0</v>
      </c>
      <c r="JV146" s="64"/>
      <c r="JW146" s="74"/>
      <c r="JX146" s="73">
        <f t="shared" ca="1" si="1230"/>
        <v>0</v>
      </c>
      <c r="JY146" s="64"/>
      <c r="JZ146" s="74"/>
      <c r="KA146" s="73">
        <f t="shared" ca="1" si="1231"/>
        <v>0</v>
      </c>
      <c r="KB146" s="64"/>
      <c r="KC146" s="74"/>
      <c r="KD146" s="73">
        <f t="shared" ca="1" si="1232"/>
        <v>0</v>
      </c>
      <c r="KE146" s="64"/>
      <c r="KF146" s="74"/>
      <c r="KG146" s="73">
        <f t="shared" ca="1" si="1233"/>
        <v>0</v>
      </c>
      <c r="KH146" s="64"/>
      <c r="KI146" s="74"/>
      <c r="KJ146" s="73">
        <f t="shared" ca="1" si="1234"/>
        <v>0</v>
      </c>
      <c r="KK146" s="64"/>
      <c r="KL146" s="74"/>
      <c r="KM146" s="73">
        <f t="shared" ca="1" si="1235"/>
        <v>0</v>
      </c>
      <c r="KN146" s="64"/>
      <c r="KO146" s="74"/>
      <c r="KP146" s="73">
        <f t="shared" ca="1" si="1236"/>
        <v>0</v>
      </c>
      <c r="KQ146" s="64"/>
      <c r="KR146" s="74"/>
      <c r="KS146" s="73">
        <f t="shared" ca="1" si="1237"/>
        <v>0</v>
      </c>
      <c r="KT146" s="64"/>
      <c r="KU146" s="74"/>
      <c r="KV146" s="73">
        <f t="shared" ca="1" si="1238"/>
        <v>0</v>
      </c>
      <c r="KW146" s="64"/>
      <c r="KX146" s="74"/>
      <c r="KY146" s="73">
        <f t="shared" ca="1" si="1239"/>
        <v>0</v>
      </c>
      <c r="KZ146" s="64"/>
      <c r="LA146" s="74"/>
      <c r="LB146" s="73">
        <f t="shared" ca="1" si="1240"/>
        <v>0</v>
      </c>
      <c r="LC146" s="64"/>
      <c r="LD146" s="74"/>
      <c r="LE146" s="73">
        <f t="shared" ca="1" si="1241"/>
        <v>0</v>
      </c>
      <c r="LF146" s="64"/>
      <c r="LG146" s="64"/>
    </row>
    <row r="147" spans="1:319">
      <c r="A147" s="49"/>
      <c r="B147" s="49"/>
      <c r="C147" s="49"/>
      <c r="D147" s="49"/>
      <c r="E147" s="65"/>
      <c r="F147" s="127">
        <f t="shared" si="1242"/>
        <v>5</v>
      </c>
      <c r="G147" s="445">
        <f ca="1">VLOOKUP(H147,Equipos!$Q$1:$R$25,2,0)</f>
        <v>19</v>
      </c>
      <c r="H147" s="447" t="str">
        <f>Idiomas!$D$137</f>
        <v>QUALIFIED FOR ROUND OF 32</v>
      </c>
      <c r="I147" s="50"/>
      <c r="J147" s="845"/>
      <c r="K147" s="56" t="str">
        <f>Idiomas!$D$198&amp;"-"&amp;ROWS($L$130:L147)</f>
        <v>16-Finalist-18</v>
      </c>
      <c r="L147" s="53"/>
      <c r="M147" s="55" t="str">
        <f ca="1">WORLDCUP!AF102</f>
        <v>Japan</v>
      </c>
      <c r="N147" s="25"/>
      <c r="O147" s="25"/>
      <c r="P147" s="25"/>
      <c r="Q147" s="25"/>
      <c r="R147" s="110"/>
      <c r="S147" s="74" t="s">
        <v>1834</v>
      </c>
      <c r="T147" s="73">
        <f t="shared" ca="1" si="1142"/>
        <v>5</v>
      </c>
      <c r="U147" s="64"/>
      <c r="V147" s="74" t="s">
        <v>1834</v>
      </c>
      <c r="W147" s="73">
        <f t="shared" ca="1" si="1143"/>
        <v>5</v>
      </c>
      <c r="X147" s="64"/>
      <c r="Y147" s="74" t="s">
        <v>1284</v>
      </c>
      <c r="Z147" s="73">
        <f t="shared" ca="1" si="1144"/>
        <v>5</v>
      </c>
      <c r="AA147" s="64"/>
      <c r="AB147" s="74" t="s">
        <v>1284</v>
      </c>
      <c r="AC147" s="73">
        <f t="shared" ca="1" si="1145"/>
        <v>5</v>
      </c>
      <c r="AD147" s="64"/>
      <c r="AE147" s="74" t="s">
        <v>1834</v>
      </c>
      <c r="AF147" s="73">
        <f t="shared" ca="1" si="1146"/>
        <v>5</v>
      </c>
      <c r="AG147" s="64"/>
      <c r="AH147" s="74" t="s">
        <v>1834</v>
      </c>
      <c r="AI147" s="73">
        <f t="shared" ca="1" si="1147"/>
        <v>5</v>
      </c>
      <c r="AJ147" s="64"/>
      <c r="AK147" s="74" t="s">
        <v>1834</v>
      </c>
      <c r="AL147" s="73">
        <f t="shared" ca="1" si="1148"/>
        <v>5</v>
      </c>
      <c r="AM147" s="64"/>
      <c r="AN147" s="74" t="s">
        <v>291</v>
      </c>
      <c r="AO147" s="73">
        <f t="shared" ca="1" si="1149"/>
        <v>5</v>
      </c>
      <c r="AP147" s="64"/>
      <c r="AQ147" s="74" t="s">
        <v>1284</v>
      </c>
      <c r="AR147" s="73">
        <f t="shared" ca="1" si="1150"/>
        <v>5</v>
      </c>
      <c r="AS147" s="64"/>
      <c r="AT147" s="74" t="s">
        <v>1284</v>
      </c>
      <c r="AU147" s="73">
        <f t="shared" ca="1" si="1151"/>
        <v>5</v>
      </c>
      <c r="AV147" s="64"/>
      <c r="AW147" s="74" t="s">
        <v>291</v>
      </c>
      <c r="AX147" s="73">
        <f t="shared" ca="1" si="1152"/>
        <v>5</v>
      </c>
      <c r="AY147" s="64"/>
      <c r="AZ147" s="74" t="s">
        <v>1284</v>
      </c>
      <c r="BA147" s="73">
        <f t="shared" ca="1" si="1153"/>
        <v>5</v>
      </c>
      <c r="BB147" s="64"/>
      <c r="BC147" s="74" t="s">
        <v>291</v>
      </c>
      <c r="BD147" s="73">
        <f t="shared" ca="1" si="1154"/>
        <v>5</v>
      </c>
      <c r="BE147" s="64"/>
      <c r="BF147" s="74" t="s">
        <v>1834</v>
      </c>
      <c r="BG147" s="73">
        <f t="shared" ca="1" si="1155"/>
        <v>5</v>
      </c>
      <c r="BH147" s="64"/>
      <c r="BI147" s="74" t="s">
        <v>1284</v>
      </c>
      <c r="BJ147" s="73">
        <f t="shared" ca="1" si="1156"/>
        <v>5</v>
      </c>
      <c r="BK147" s="64"/>
      <c r="BL147" s="74" t="s">
        <v>1834</v>
      </c>
      <c r="BM147" s="73">
        <f t="shared" ca="1" si="1157"/>
        <v>5</v>
      </c>
      <c r="BN147" s="64"/>
      <c r="BO147" s="74" t="s">
        <v>1834</v>
      </c>
      <c r="BP147" s="73">
        <f t="shared" ca="1" si="1158"/>
        <v>5</v>
      </c>
      <c r="BQ147" s="64"/>
      <c r="BR147" s="74" t="s">
        <v>1834</v>
      </c>
      <c r="BS147" s="73">
        <f t="shared" ca="1" si="1159"/>
        <v>5</v>
      </c>
      <c r="BT147" s="64"/>
      <c r="BU147" s="74" t="s">
        <v>1834</v>
      </c>
      <c r="BV147" s="73">
        <f t="shared" ca="1" si="1160"/>
        <v>5</v>
      </c>
      <c r="BW147" s="64"/>
      <c r="BX147" s="74" t="s">
        <v>1834</v>
      </c>
      <c r="BY147" s="73">
        <f t="shared" ca="1" si="1161"/>
        <v>5</v>
      </c>
      <c r="BZ147" s="64"/>
      <c r="CA147" s="74" t="s">
        <v>1284</v>
      </c>
      <c r="CB147" s="73">
        <f t="shared" ca="1" si="1162"/>
        <v>5</v>
      </c>
      <c r="CC147" s="64"/>
      <c r="CD147" s="74" t="s">
        <v>1834</v>
      </c>
      <c r="CE147" s="73">
        <f t="shared" ca="1" si="1163"/>
        <v>5</v>
      </c>
      <c r="CF147" s="64"/>
      <c r="CG147" s="74" t="s">
        <v>1284</v>
      </c>
      <c r="CH147" s="73">
        <f t="shared" ca="1" si="1164"/>
        <v>5</v>
      </c>
      <c r="CI147" s="64"/>
      <c r="CJ147" s="74" t="s">
        <v>1284</v>
      </c>
      <c r="CK147" s="73">
        <f t="shared" ca="1" si="1165"/>
        <v>5</v>
      </c>
      <c r="CL147" s="64"/>
      <c r="CM147" s="74" t="s">
        <v>1284</v>
      </c>
      <c r="CN147" s="73">
        <f t="shared" ca="1" si="1166"/>
        <v>5</v>
      </c>
      <c r="CO147" s="64"/>
      <c r="CP147" s="74" t="s">
        <v>1284</v>
      </c>
      <c r="CQ147" s="73">
        <f t="shared" ca="1" si="1167"/>
        <v>5</v>
      </c>
      <c r="CR147" s="64"/>
      <c r="CS147" s="74" t="s">
        <v>1834</v>
      </c>
      <c r="CT147" s="73">
        <f t="shared" ca="1" si="1168"/>
        <v>5</v>
      </c>
      <c r="CU147" s="64"/>
      <c r="CV147" s="74" t="s">
        <v>1284</v>
      </c>
      <c r="CW147" s="73">
        <f t="shared" ca="1" si="1169"/>
        <v>5</v>
      </c>
      <c r="CX147" s="64"/>
      <c r="CY147" s="74" t="s">
        <v>1284</v>
      </c>
      <c r="CZ147" s="73">
        <f t="shared" ca="1" si="1170"/>
        <v>5</v>
      </c>
      <c r="DA147" s="64"/>
      <c r="DB147" s="74" t="s">
        <v>1284</v>
      </c>
      <c r="DC147" s="73">
        <f t="shared" ca="1" si="1171"/>
        <v>5</v>
      </c>
      <c r="DD147" s="64"/>
      <c r="DE147" s="74" t="s">
        <v>1284</v>
      </c>
      <c r="DF147" s="73">
        <f t="shared" ca="1" si="1172"/>
        <v>5</v>
      </c>
      <c r="DG147" s="64"/>
      <c r="DH147" s="74" t="s">
        <v>291</v>
      </c>
      <c r="DI147" s="73">
        <f t="shared" ca="1" si="1173"/>
        <v>5</v>
      </c>
      <c r="DJ147" s="64"/>
      <c r="DK147" s="74" t="s">
        <v>1834</v>
      </c>
      <c r="DL147" s="73">
        <f t="shared" ca="1" si="1174"/>
        <v>5</v>
      </c>
      <c r="DM147" s="64"/>
      <c r="DN147" s="74" t="s">
        <v>1284</v>
      </c>
      <c r="DO147" s="73">
        <f t="shared" ca="1" si="1175"/>
        <v>5</v>
      </c>
      <c r="DP147" s="64"/>
      <c r="DQ147" s="74" t="s">
        <v>1834</v>
      </c>
      <c r="DR147" s="73">
        <f t="shared" ca="1" si="1176"/>
        <v>5</v>
      </c>
      <c r="DS147" s="64"/>
      <c r="DT147" s="74" t="s">
        <v>1284</v>
      </c>
      <c r="DU147" s="73">
        <f t="shared" ca="1" si="1177"/>
        <v>5</v>
      </c>
      <c r="DV147" s="64"/>
      <c r="DW147" s="74" t="s">
        <v>1284</v>
      </c>
      <c r="DX147" s="73">
        <f t="shared" ca="1" si="1178"/>
        <v>5</v>
      </c>
      <c r="DY147" s="64"/>
      <c r="DZ147" s="74" t="s">
        <v>1834</v>
      </c>
      <c r="EA147" s="73">
        <f t="shared" ca="1" si="1179"/>
        <v>5</v>
      </c>
      <c r="EB147" s="64"/>
      <c r="EC147" s="74" t="s">
        <v>1284</v>
      </c>
      <c r="ED147" s="73">
        <f t="shared" ca="1" si="1180"/>
        <v>5</v>
      </c>
      <c r="EE147" s="64"/>
      <c r="EF147" s="74" t="s">
        <v>1284</v>
      </c>
      <c r="EG147" s="73">
        <f t="shared" ca="1" si="1181"/>
        <v>5</v>
      </c>
      <c r="EH147" s="64"/>
      <c r="EI147" s="74" t="s">
        <v>1284</v>
      </c>
      <c r="EJ147" s="73">
        <f t="shared" ca="1" si="1182"/>
        <v>5</v>
      </c>
      <c r="EK147" s="64"/>
      <c r="EL147" s="74" t="s">
        <v>1284</v>
      </c>
      <c r="EM147" s="73">
        <f t="shared" ca="1" si="1183"/>
        <v>5</v>
      </c>
      <c r="EN147" s="64"/>
      <c r="EO147" s="74" t="s">
        <v>1284</v>
      </c>
      <c r="EP147" s="73">
        <f t="shared" ca="1" si="1184"/>
        <v>5</v>
      </c>
      <c r="EQ147" s="64"/>
      <c r="ER147" s="74" t="s">
        <v>1284</v>
      </c>
      <c r="ES147" s="73">
        <f t="shared" ca="1" si="1185"/>
        <v>5</v>
      </c>
      <c r="ET147" s="64"/>
      <c r="EU147" s="74" t="s">
        <v>291</v>
      </c>
      <c r="EV147" s="73">
        <f t="shared" ca="1" si="1186"/>
        <v>5</v>
      </c>
      <c r="EW147" s="64"/>
      <c r="EX147" s="74" t="s">
        <v>1284</v>
      </c>
      <c r="EY147" s="73">
        <f t="shared" ca="1" si="1187"/>
        <v>5</v>
      </c>
      <c r="EZ147" s="64"/>
      <c r="FA147" s="74" t="s">
        <v>1834</v>
      </c>
      <c r="FB147" s="73">
        <f t="shared" ca="1" si="1188"/>
        <v>5</v>
      </c>
      <c r="FC147" s="64"/>
      <c r="FD147" s="74" t="s">
        <v>1834</v>
      </c>
      <c r="FE147" s="73">
        <f t="shared" ca="1" si="1189"/>
        <v>5</v>
      </c>
      <c r="FF147" s="64"/>
      <c r="FG147" s="74" t="s">
        <v>1284</v>
      </c>
      <c r="FH147" s="73">
        <f t="shared" ca="1" si="1190"/>
        <v>5</v>
      </c>
      <c r="FI147" s="64"/>
      <c r="FJ147" s="74" t="s">
        <v>1284</v>
      </c>
      <c r="FK147" s="73">
        <f t="shared" ca="1" si="1191"/>
        <v>5</v>
      </c>
      <c r="FL147" s="64"/>
      <c r="FM147" s="74" t="s">
        <v>1284</v>
      </c>
      <c r="FN147" s="73">
        <f t="shared" ca="1" si="1192"/>
        <v>5</v>
      </c>
      <c r="FO147" s="64"/>
      <c r="FP147" s="74" t="s">
        <v>1834</v>
      </c>
      <c r="FQ147" s="73">
        <f t="shared" ca="1" si="1193"/>
        <v>5</v>
      </c>
      <c r="FR147" s="64"/>
      <c r="FS147" s="74" t="s">
        <v>1834</v>
      </c>
      <c r="FT147" s="73">
        <f t="shared" ca="1" si="1194"/>
        <v>5</v>
      </c>
      <c r="FU147" s="64"/>
      <c r="FV147" s="74" t="s">
        <v>1284</v>
      </c>
      <c r="FW147" s="73">
        <f t="shared" ca="1" si="1195"/>
        <v>5</v>
      </c>
      <c r="FX147" s="64"/>
      <c r="FY147" s="74" t="s">
        <v>1834</v>
      </c>
      <c r="FZ147" s="73">
        <f t="shared" ca="1" si="1196"/>
        <v>5</v>
      </c>
      <c r="GA147" s="64"/>
      <c r="GB147" s="74" t="s">
        <v>1284</v>
      </c>
      <c r="GC147" s="73">
        <f t="shared" ca="1" si="1197"/>
        <v>5</v>
      </c>
      <c r="GD147" s="64"/>
      <c r="GE147" s="74" t="s">
        <v>1284</v>
      </c>
      <c r="GF147" s="73">
        <f t="shared" ca="1" si="1198"/>
        <v>5</v>
      </c>
      <c r="GG147" s="64"/>
      <c r="GH147" s="74" t="s">
        <v>1834</v>
      </c>
      <c r="GI147" s="73">
        <f t="shared" ca="1" si="1199"/>
        <v>5</v>
      </c>
      <c r="GJ147" s="64"/>
      <c r="GK147" s="74" t="s">
        <v>1834</v>
      </c>
      <c r="GL147" s="73">
        <f t="shared" ca="1" si="1200"/>
        <v>5</v>
      </c>
      <c r="GM147" s="64"/>
      <c r="GN147" s="74"/>
      <c r="GO147" s="73">
        <f t="shared" ca="1" si="1201"/>
        <v>0</v>
      </c>
      <c r="GP147" s="64"/>
      <c r="GQ147" s="74"/>
      <c r="GR147" s="73">
        <f t="shared" ca="1" si="1202"/>
        <v>0</v>
      </c>
      <c r="GS147" s="64"/>
      <c r="GT147" s="74"/>
      <c r="GU147" s="73">
        <f t="shared" ca="1" si="1203"/>
        <v>0</v>
      </c>
      <c r="GV147" s="64"/>
      <c r="GW147" s="74"/>
      <c r="GX147" s="73">
        <f t="shared" ca="1" si="1204"/>
        <v>0</v>
      </c>
      <c r="GY147" s="64"/>
      <c r="GZ147" s="74"/>
      <c r="HA147" s="73">
        <f t="shared" ca="1" si="1205"/>
        <v>0</v>
      </c>
      <c r="HB147" s="64"/>
      <c r="HC147" s="74"/>
      <c r="HD147" s="73">
        <f t="shared" ca="1" si="1206"/>
        <v>0</v>
      </c>
      <c r="HE147" s="64"/>
      <c r="HF147" s="74"/>
      <c r="HG147" s="73">
        <f t="shared" ca="1" si="1207"/>
        <v>0</v>
      </c>
      <c r="HH147" s="64"/>
      <c r="HI147" s="74"/>
      <c r="HJ147" s="73">
        <f t="shared" ca="1" si="1208"/>
        <v>0</v>
      </c>
      <c r="HK147" s="64"/>
      <c r="HL147" s="74"/>
      <c r="HM147" s="73">
        <f t="shared" ca="1" si="1209"/>
        <v>0</v>
      </c>
      <c r="HN147" s="64"/>
      <c r="HO147" s="74"/>
      <c r="HP147" s="73">
        <f t="shared" ca="1" si="1210"/>
        <v>0</v>
      </c>
      <c r="HQ147" s="64"/>
      <c r="HR147" s="74"/>
      <c r="HS147" s="73">
        <f t="shared" ca="1" si="1211"/>
        <v>0</v>
      </c>
      <c r="HT147" s="64"/>
      <c r="HU147" s="74"/>
      <c r="HV147" s="73">
        <f t="shared" ca="1" si="1212"/>
        <v>0</v>
      </c>
      <c r="HW147" s="64"/>
      <c r="HX147" s="74"/>
      <c r="HY147" s="73">
        <f t="shared" ca="1" si="1213"/>
        <v>0</v>
      </c>
      <c r="HZ147" s="64"/>
      <c r="IA147" s="74"/>
      <c r="IB147" s="73">
        <f t="shared" ca="1" si="1214"/>
        <v>0</v>
      </c>
      <c r="IC147" s="64"/>
      <c r="ID147" s="74"/>
      <c r="IE147" s="73">
        <f t="shared" ca="1" si="1215"/>
        <v>0</v>
      </c>
      <c r="IF147" s="64"/>
      <c r="IG147" s="74"/>
      <c r="IH147" s="73">
        <f t="shared" ca="1" si="1216"/>
        <v>0</v>
      </c>
      <c r="II147" s="64"/>
      <c r="IJ147" s="74"/>
      <c r="IK147" s="73">
        <f t="shared" ca="1" si="1217"/>
        <v>0</v>
      </c>
      <c r="IL147" s="64"/>
      <c r="IM147" s="74"/>
      <c r="IN147" s="73">
        <f t="shared" ca="1" si="1218"/>
        <v>0</v>
      </c>
      <c r="IO147" s="64"/>
      <c r="IP147" s="74"/>
      <c r="IQ147" s="73">
        <f t="shared" ca="1" si="1219"/>
        <v>0</v>
      </c>
      <c r="IR147" s="64"/>
      <c r="IS147" s="74"/>
      <c r="IT147" s="73">
        <f t="shared" ca="1" si="1220"/>
        <v>0</v>
      </c>
      <c r="IU147" s="64"/>
      <c r="IV147" s="74"/>
      <c r="IW147" s="73">
        <f t="shared" ca="1" si="1221"/>
        <v>0</v>
      </c>
      <c r="IX147" s="64"/>
      <c r="IY147" s="74"/>
      <c r="IZ147" s="73">
        <f t="shared" ca="1" si="1222"/>
        <v>0</v>
      </c>
      <c r="JA147" s="64"/>
      <c r="JB147" s="74"/>
      <c r="JC147" s="73">
        <f t="shared" ca="1" si="1223"/>
        <v>0</v>
      </c>
      <c r="JD147" s="64"/>
      <c r="JE147" s="74"/>
      <c r="JF147" s="73">
        <f t="shared" ca="1" si="1224"/>
        <v>0</v>
      </c>
      <c r="JG147" s="64"/>
      <c r="JH147" s="74"/>
      <c r="JI147" s="73">
        <f t="shared" ca="1" si="1225"/>
        <v>0</v>
      </c>
      <c r="JJ147" s="64"/>
      <c r="JK147" s="74"/>
      <c r="JL147" s="73">
        <f t="shared" ca="1" si="1226"/>
        <v>0</v>
      </c>
      <c r="JM147" s="64"/>
      <c r="JN147" s="74"/>
      <c r="JO147" s="73">
        <f t="shared" ca="1" si="1227"/>
        <v>0</v>
      </c>
      <c r="JP147" s="64"/>
      <c r="JQ147" s="74"/>
      <c r="JR147" s="73">
        <f t="shared" ca="1" si="1228"/>
        <v>0</v>
      </c>
      <c r="JS147" s="64"/>
      <c r="JT147" s="74"/>
      <c r="JU147" s="73">
        <f t="shared" ca="1" si="1229"/>
        <v>0</v>
      </c>
      <c r="JV147" s="64"/>
      <c r="JW147" s="74"/>
      <c r="JX147" s="73">
        <f t="shared" ca="1" si="1230"/>
        <v>0</v>
      </c>
      <c r="JY147" s="64"/>
      <c r="JZ147" s="74"/>
      <c r="KA147" s="73">
        <f t="shared" ca="1" si="1231"/>
        <v>0</v>
      </c>
      <c r="KB147" s="64"/>
      <c r="KC147" s="74"/>
      <c r="KD147" s="73">
        <f t="shared" ca="1" si="1232"/>
        <v>0</v>
      </c>
      <c r="KE147" s="64"/>
      <c r="KF147" s="74"/>
      <c r="KG147" s="73">
        <f t="shared" ca="1" si="1233"/>
        <v>0</v>
      </c>
      <c r="KH147" s="64"/>
      <c r="KI147" s="74"/>
      <c r="KJ147" s="73">
        <f t="shared" ca="1" si="1234"/>
        <v>0</v>
      </c>
      <c r="KK147" s="64"/>
      <c r="KL147" s="74"/>
      <c r="KM147" s="73">
        <f t="shared" ca="1" si="1235"/>
        <v>0</v>
      </c>
      <c r="KN147" s="64"/>
      <c r="KO147" s="74"/>
      <c r="KP147" s="73">
        <f t="shared" ca="1" si="1236"/>
        <v>0</v>
      </c>
      <c r="KQ147" s="64"/>
      <c r="KR147" s="74"/>
      <c r="KS147" s="73">
        <f t="shared" ca="1" si="1237"/>
        <v>0</v>
      </c>
      <c r="KT147" s="64"/>
      <c r="KU147" s="74"/>
      <c r="KV147" s="73">
        <f t="shared" ca="1" si="1238"/>
        <v>0</v>
      </c>
      <c r="KW147" s="64"/>
      <c r="KX147" s="74"/>
      <c r="KY147" s="73">
        <f t="shared" ca="1" si="1239"/>
        <v>0</v>
      </c>
      <c r="KZ147" s="64"/>
      <c r="LA147" s="74"/>
      <c r="LB147" s="73">
        <f t="shared" ca="1" si="1240"/>
        <v>0</v>
      </c>
      <c r="LC147" s="64"/>
      <c r="LD147" s="74"/>
      <c r="LE147" s="73">
        <f t="shared" ca="1" si="1241"/>
        <v>0</v>
      </c>
      <c r="LF147" s="64"/>
      <c r="LG147" s="64"/>
    </row>
    <row r="148" spans="1:319">
      <c r="A148" s="49"/>
      <c r="B148" s="49"/>
      <c r="C148" s="49"/>
      <c r="D148" s="49"/>
      <c r="E148" s="65"/>
      <c r="F148" s="127">
        <f t="shared" si="1242"/>
        <v>5</v>
      </c>
      <c r="G148" s="445">
        <f ca="1">VLOOKUP(H148,Equipos!$Q$1:$R$25,2,0)</f>
        <v>19</v>
      </c>
      <c r="H148" s="447" t="str">
        <f>Idiomas!$D$137</f>
        <v>QUALIFIED FOR ROUND OF 32</v>
      </c>
      <c r="I148" s="50"/>
      <c r="J148" s="845"/>
      <c r="K148" s="56" t="str">
        <f>Idiomas!$D$198&amp;"-"&amp;ROWS($L$130:L148)</f>
        <v>16-Finalist-19</v>
      </c>
      <c r="L148" s="53"/>
      <c r="M148" s="55" t="str">
        <f ca="1">WORLDCUP!AF103</f>
        <v>Paraguay</v>
      </c>
      <c r="N148" s="25"/>
      <c r="O148" s="25"/>
      <c r="P148" s="25"/>
      <c r="Q148" s="25"/>
      <c r="R148" s="110"/>
      <c r="S148" s="74" t="s">
        <v>1284</v>
      </c>
      <c r="T148" s="73">
        <f t="shared" ca="1" si="1142"/>
        <v>5</v>
      </c>
      <c r="U148" s="64"/>
      <c r="V148" s="74" t="s">
        <v>298</v>
      </c>
      <c r="W148" s="73">
        <f t="shared" ca="1" si="1143"/>
        <v>0</v>
      </c>
      <c r="X148" s="64"/>
      <c r="Y148" s="74" t="s">
        <v>1319</v>
      </c>
      <c r="Z148" s="73">
        <f t="shared" ca="1" si="1144"/>
        <v>5</v>
      </c>
      <c r="AA148" s="64"/>
      <c r="AB148" s="74" t="s">
        <v>298</v>
      </c>
      <c r="AC148" s="73">
        <f t="shared" ca="1" si="1145"/>
        <v>0</v>
      </c>
      <c r="AD148" s="64"/>
      <c r="AE148" s="74" t="s">
        <v>298</v>
      </c>
      <c r="AF148" s="73">
        <f t="shared" ca="1" si="1146"/>
        <v>0</v>
      </c>
      <c r="AG148" s="64"/>
      <c r="AH148" s="74" t="s">
        <v>1257</v>
      </c>
      <c r="AI148" s="73">
        <f t="shared" ca="1" si="1147"/>
        <v>5</v>
      </c>
      <c r="AJ148" s="64"/>
      <c r="AK148" s="74" t="s">
        <v>1288</v>
      </c>
      <c r="AL148" s="73">
        <f t="shared" ca="1" si="1148"/>
        <v>5</v>
      </c>
      <c r="AM148" s="64"/>
      <c r="AN148" s="74" t="s">
        <v>1836</v>
      </c>
      <c r="AO148" s="73">
        <f t="shared" ca="1" si="1149"/>
        <v>0</v>
      </c>
      <c r="AP148" s="64"/>
      <c r="AQ148" s="74" t="s">
        <v>1257</v>
      </c>
      <c r="AR148" s="73">
        <f t="shared" ca="1" si="1150"/>
        <v>5</v>
      </c>
      <c r="AS148" s="64"/>
      <c r="AT148" s="74" t="s">
        <v>1326</v>
      </c>
      <c r="AU148" s="73">
        <f t="shared" ca="1" si="1151"/>
        <v>5</v>
      </c>
      <c r="AV148" s="64"/>
      <c r="AW148" s="74" t="s">
        <v>1278</v>
      </c>
      <c r="AX148" s="73">
        <f t="shared" ca="1" si="1152"/>
        <v>0</v>
      </c>
      <c r="AY148" s="64"/>
      <c r="AZ148" s="74" t="s">
        <v>1319</v>
      </c>
      <c r="BA148" s="73">
        <f t="shared" ca="1" si="1153"/>
        <v>5</v>
      </c>
      <c r="BB148" s="64"/>
      <c r="BC148" s="74" t="s">
        <v>298</v>
      </c>
      <c r="BD148" s="73">
        <f t="shared" ca="1" si="1154"/>
        <v>0</v>
      </c>
      <c r="BE148" s="64"/>
      <c r="BF148" s="74" t="s">
        <v>1326</v>
      </c>
      <c r="BG148" s="73">
        <f t="shared" ca="1" si="1155"/>
        <v>5</v>
      </c>
      <c r="BH148" s="64"/>
      <c r="BI148" s="74" t="s">
        <v>298</v>
      </c>
      <c r="BJ148" s="73">
        <f t="shared" ca="1" si="1156"/>
        <v>0</v>
      </c>
      <c r="BK148" s="64"/>
      <c r="BL148" s="74" t="s">
        <v>298</v>
      </c>
      <c r="BM148" s="73">
        <f t="shared" ca="1" si="1157"/>
        <v>0</v>
      </c>
      <c r="BN148" s="64"/>
      <c r="BO148" s="74" t="s">
        <v>1319</v>
      </c>
      <c r="BP148" s="73">
        <f t="shared" ca="1" si="1158"/>
        <v>5</v>
      </c>
      <c r="BQ148" s="64"/>
      <c r="BR148" s="74" t="s">
        <v>1326</v>
      </c>
      <c r="BS148" s="73">
        <f t="shared" ca="1" si="1159"/>
        <v>5</v>
      </c>
      <c r="BT148" s="64"/>
      <c r="BU148" s="74" t="s">
        <v>298</v>
      </c>
      <c r="BV148" s="73">
        <f t="shared" ca="1" si="1160"/>
        <v>0</v>
      </c>
      <c r="BW148" s="64"/>
      <c r="BX148" s="74" t="s">
        <v>1319</v>
      </c>
      <c r="BY148" s="73">
        <f t="shared" ca="1" si="1161"/>
        <v>5</v>
      </c>
      <c r="BZ148" s="64"/>
      <c r="CA148" s="74" t="s">
        <v>498</v>
      </c>
      <c r="CB148" s="73">
        <f t="shared" ca="1" si="1162"/>
        <v>5</v>
      </c>
      <c r="CC148" s="64"/>
      <c r="CD148" s="74" t="s">
        <v>1257</v>
      </c>
      <c r="CE148" s="73">
        <f t="shared" ca="1" si="1163"/>
        <v>5</v>
      </c>
      <c r="CF148" s="64"/>
      <c r="CG148" s="74" t="s">
        <v>1257</v>
      </c>
      <c r="CH148" s="73">
        <f t="shared" ca="1" si="1164"/>
        <v>5</v>
      </c>
      <c r="CI148" s="64"/>
      <c r="CJ148" s="74" t="s">
        <v>498</v>
      </c>
      <c r="CK148" s="73">
        <f t="shared" ca="1" si="1165"/>
        <v>5</v>
      </c>
      <c r="CL148" s="64"/>
      <c r="CM148" s="74" t="s">
        <v>1319</v>
      </c>
      <c r="CN148" s="73">
        <f t="shared" ca="1" si="1166"/>
        <v>5</v>
      </c>
      <c r="CO148" s="64"/>
      <c r="CP148" s="74" t="s">
        <v>1319</v>
      </c>
      <c r="CQ148" s="73">
        <f t="shared" ca="1" si="1167"/>
        <v>5</v>
      </c>
      <c r="CR148" s="64"/>
      <c r="CS148" s="74" t="s">
        <v>498</v>
      </c>
      <c r="CT148" s="73">
        <f t="shared" ca="1" si="1168"/>
        <v>5</v>
      </c>
      <c r="CU148" s="64"/>
      <c r="CV148" s="74" t="s">
        <v>1836</v>
      </c>
      <c r="CW148" s="73">
        <f t="shared" ca="1" si="1169"/>
        <v>0</v>
      </c>
      <c r="CX148" s="64"/>
      <c r="CY148" s="74" t="s">
        <v>1729</v>
      </c>
      <c r="CZ148" s="73">
        <f t="shared" ca="1" si="1170"/>
        <v>0</v>
      </c>
      <c r="DA148" s="64"/>
      <c r="DB148" s="74" t="s">
        <v>498</v>
      </c>
      <c r="DC148" s="73">
        <f t="shared" ca="1" si="1171"/>
        <v>5</v>
      </c>
      <c r="DD148" s="64"/>
      <c r="DE148" s="74" t="s">
        <v>298</v>
      </c>
      <c r="DF148" s="73">
        <f t="shared" ca="1" si="1172"/>
        <v>0</v>
      </c>
      <c r="DG148" s="64"/>
      <c r="DH148" s="74" t="s">
        <v>498</v>
      </c>
      <c r="DI148" s="73">
        <f t="shared" ca="1" si="1173"/>
        <v>5</v>
      </c>
      <c r="DJ148" s="64"/>
      <c r="DK148" s="74" t="s">
        <v>1836</v>
      </c>
      <c r="DL148" s="73">
        <f t="shared" ca="1" si="1174"/>
        <v>0</v>
      </c>
      <c r="DM148" s="64"/>
      <c r="DN148" s="74" t="s">
        <v>498</v>
      </c>
      <c r="DO148" s="73">
        <f t="shared" ca="1" si="1175"/>
        <v>5</v>
      </c>
      <c r="DP148" s="64"/>
      <c r="DQ148" s="74" t="s">
        <v>1836</v>
      </c>
      <c r="DR148" s="73">
        <f t="shared" ca="1" si="1176"/>
        <v>0</v>
      </c>
      <c r="DS148" s="64"/>
      <c r="DT148" s="74" t="s">
        <v>1836</v>
      </c>
      <c r="DU148" s="73">
        <f t="shared" ca="1" si="1177"/>
        <v>0</v>
      </c>
      <c r="DV148" s="64"/>
      <c r="DW148" s="74" t="s">
        <v>298</v>
      </c>
      <c r="DX148" s="73">
        <f t="shared" ca="1" si="1178"/>
        <v>0</v>
      </c>
      <c r="DY148" s="64"/>
      <c r="DZ148" s="74" t="s">
        <v>298</v>
      </c>
      <c r="EA148" s="73">
        <f t="shared" ca="1" si="1179"/>
        <v>0</v>
      </c>
      <c r="EB148" s="64"/>
      <c r="EC148" s="74" t="s">
        <v>1834</v>
      </c>
      <c r="ED148" s="73">
        <f t="shared" ca="1" si="1180"/>
        <v>5</v>
      </c>
      <c r="EE148" s="64"/>
      <c r="EF148" s="74" t="s">
        <v>298</v>
      </c>
      <c r="EG148" s="73">
        <f t="shared" ca="1" si="1181"/>
        <v>0</v>
      </c>
      <c r="EH148" s="64"/>
      <c r="EI148" s="74" t="s">
        <v>298</v>
      </c>
      <c r="EJ148" s="73">
        <f t="shared" ca="1" si="1182"/>
        <v>0</v>
      </c>
      <c r="EK148" s="64"/>
      <c r="EL148" s="74" t="s">
        <v>1319</v>
      </c>
      <c r="EM148" s="73">
        <f t="shared" ca="1" si="1183"/>
        <v>5</v>
      </c>
      <c r="EN148" s="64"/>
      <c r="EO148" s="74" t="s">
        <v>1319</v>
      </c>
      <c r="EP148" s="73">
        <f t="shared" ca="1" si="1184"/>
        <v>5</v>
      </c>
      <c r="EQ148" s="64"/>
      <c r="ER148" s="74" t="s">
        <v>1257</v>
      </c>
      <c r="ES148" s="73">
        <f t="shared" ca="1" si="1185"/>
        <v>5</v>
      </c>
      <c r="ET148" s="64"/>
      <c r="EU148" s="74" t="s">
        <v>298</v>
      </c>
      <c r="EV148" s="73">
        <f t="shared" ca="1" si="1186"/>
        <v>0</v>
      </c>
      <c r="EW148" s="64"/>
      <c r="EX148" s="74" t="s">
        <v>298</v>
      </c>
      <c r="EY148" s="73">
        <f t="shared" ca="1" si="1187"/>
        <v>0</v>
      </c>
      <c r="EZ148" s="64"/>
      <c r="FA148" s="74" t="s">
        <v>1319</v>
      </c>
      <c r="FB148" s="73">
        <f t="shared" ca="1" si="1188"/>
        <v>5</v>
      </c>
      <c r="FC148" s="64"/>
      <c r="FD148" s="74" t="s">
        <v>1326</v>
      </c>
      <c r="FE148" s="73">
        <f t="shared" ca="1" si="1189"/>
        <v>5</v>
      </c>
      <c r="FF148" s="64"/>
      <c r="FG148" s="74" t="s">
        <v>1319</v>
      </c>
      <c r="FH148" s="73">
        <f t="shared" ca="1" si="1190"/>
        <v>5</v>
      </c>
      <c r="FI148" s="64"/>
      <c r="FJ148" s="74" t="s">
        <v>298</v>
      </c>
      <c r="FK148" s="73">
        <f t="shared" ca="1" si="1191"/>
        <v>0</v>
      </c>
      <c r="FL148" s="64"/>
      <c r="FM148" s="74" t="s">
        <v>1257</v>
      </c>
      <c r="FN148" s="73">
        <f t="shared" ca="1" si="1192"/>
        <v>5</v>
      </c>
      <c r="FO148" s="64"/>
      <c r="FP148" s="74" t="s">
        <v>298</v>
      </c>
      <c r="FQ148" s="73">
        <f t="shared" ca="1" si="1193"/>
        <v>0</v>
      </c>
      <c r="FR148" s="64"/>
      <c r="FS148" s="74" t="s">
        <v>1319</v>
      </c>
      <c r="FT148" s="73">
        <f t="shared" ca="1" si="1194"/>
        <v>5</v>
      </c>
      <c r="FU148" s="64"/>
      <c r="FV148" s="74" t="s">
        <v>298</v>
      </c>
      <c r="FW148" s="73">
        <f t="shared" ca="1" si="1195"/>
        <v>0</v>
      </c>
      <c r="FX148" s="64"/>
      <c r="FY148" s="74" t="s">
        <v>298</v>
      </c>
      <c r="FZ148" s="73">
        <f t="shared" ca="1" si="1196"/>
        <v>0</v>
      </c>
      <c r="GA148" s="64"/>
      <c r="GB148" s="74" t="s">
        <v>498</v>
      </c>
      <c r="GC148" s="73">
        <f t="shared" ca="1" si="1197"/>
        <v>5</v>
      </c>
      <c r="GD148" s="64"/>
      <c r="GE148" s="74" t="s">
        <v>1257</v>
      </c>
      <c r="GF148" s="73">
        <f t="shared" ca="1" si="1198"/>
        <v>5</v>
      </c>
      <c r="GG148" s="64"/>
      <c r="GH148" s="74" t="s">
        <v>298</v>
      </c>
      <c r="GI148" s="73">
        <f t="shared" ca="1" si="1199"/>
        <v>0</v>
      </c>
      <c r="GJ148" s="64"/>
      <c r="GK148" s="74" t="s">
        <v>498</v>
      </c>
      <c r="GL148" s="73">
        <f t="shared" ca="1" si="1200"/>
        <v>5</v>
      </c>
      <c r="GM148" s="64"/>
      <c r="GN148" s="74"/>
      <c r="GO148" s="73">
        <f t="shared" ca="1" si="1201"/>
        <v>0</v>
      </c>
      <c r="GP148" s="64"/>
      <c r="GQ148" s="74"/>
      <c r="GR148" s="73">
        <f t="shared" ca="1" si="1202"/>
        <v>0</v>
      </c>
      <c r="GS148" s="64"/>
      <c r="GT148" s="74"/>
      <c r="GU148" s="73">
        <f t="shared" ca="1" si="1203"/>
        <v>0</v>
      </c>
      <c r="GV148" s="64"/>
      <c r="GW148" s="74"/>
      <c r="GX148" s="73">
        <f t="shared" ca="1" si="1204"/>
        <v>0</v>
      </c>
      <c r="GY148" s="64"/>
      <c r="GZ148" s="74"/>
      <c r="HA148" s="73">
        <f t="shared" ca="1" si="1205"/>
        <v>0</v>
      </c>
      <c r="HB148" s="64"/>
      <c r="HC148" s="74"/>
      <c r="HD148" s="73">
        <f t="shared" ca="1" si="1206"/>
        <v>0</v>
      </c>
      <c r="HE148" s="64"/>
      <c r="HF148" s="74"/>
      <c r="HG148" s="73">
        <f t="shared" ca="1" si="1207"/>
        <v>0</v>
      </c>
      <c r="HH148" s="64"/>
      <c r="HI148" s="74"/>
      <c r="HJ148" s="73">
        <f t="shared" ca="1" si="1208"/>
        <v>0</v>
      </c>
      <c r="HK148" s="64"/>
      <c r="HL148" s="74"/>
      <c r="HM148" s="73">
        <f t="shared" ca="1" si="1209"/>
        <v>0</v>
      </c>
      <c r="HN148" s="64"/>
      <c r="HO148" s="74"/>
      <c r="HP148" s="73">
        <f t="shared" ca="1" si="1210"/>
        <v>0</v>
      </c>
      <c r="HQ148" s="64"/>
      <c r="HR148" s="74"/>
      <c r="HS148" s="73">
        <f t="shared" ca="1" si="1211"/>
        <v>0</v>
      </c>
      <c r="HT148" s="64"/>
      <c r="HU148" s="74"/>
      <c r="HV148" s="73">
        <f t="shared" ca="1" si="1212"/>
        <v>0</v>
      </c>
      <c r="HW148" s="64"/>
      <c r="HX148" s="74"/>
      <c r="HY148" s="73">
        <f t="shared" ca="1" si="1213"/>
        <v>0</v>
      </c>
      <c r="HZ148" s="64"/>
      <c r="IA148" s="74"/>
      <c r="IB148" s="73">
        <f t="shared" ca="1" si="1214"/>
        <v>0</v>
      </c>
      <c r="IC148" s="64"/>
      <c r="ID148" s="74"/>
      <c r="IE148" s="73">
        <f t="shared" ca="1" si="1215"/>
        <v>0</v>
      </c>
      <c r="IF148" s="64"/>
      <c r="IG148" s="74"/>
      <c r="IH148" s="73">
        <f t="shared" ca="1" si="1216"/>
        <v>0</v>
      </c>
      <c r="II148" s="64"/>
      <c r="IJ148" s="74"/>
      <c r="IK148" s="73">
        <f t="shared" ca="1" si="1217"/>
        <v>0</v>
      </c>
      <c r="IL148" s="64"/>
      <c r="IM148" s="74"/>
      <c r="IN148" s="73">
        <f t="shared" ca="1" si="1218"/>
        <v>0</v>
      </c>
      <c r="IO148" s="64"/>
      <c r="IP148" s="74"/>
      <c r="IQ148" s="73">
        <f t="shared" ca="1" si="1219"/>
        <v>0</v>
      </c>
      <c r="IR148" s="64"/>
      <c r="IS148" s="74"/>
      <c r="IT148" s="73">
        <f t="shared" ca="1" si="1220"/>
        <v>0</v>
      </c>
      <c r="IU148" s="64"/>
      <c r="IV148" s="74"/>
      <c r="IW148" s="73">
        <f t="shared" ca="1" si="1221"/>
        <v>0</v>
      </c>
      <c r="IX148" s="64"/>
      <c r="IY148" s="74"/>
      <c r="IZ148" s="73">
        <f t="shared" ca="1" si="1222"/>
        <v>0</v>
      </c>
      <c r="JA148" s="64"/>
      <c r="JB148" s="74"/>
      <c r="JC148" s="73">
        <f t="shared" ca="1" si="1223"/>
        <v>0</v>
      </c>
      <c r="JD148" s="64"/>
      <c r="JE148" s="74"/>
      <c r="JF148" s="73">
        <f t="shared" ca="1" si="1224"/>
        <v>0</v>
      </c>
      <c r="JG148" s="64"/>
      <c r="JH148" s="74"/>
      <c r="JI148" s="73">
        <f t="shared" ca="1" si="1225"/>
        <v>0</v>
      </c>
      <c r="JJ148" s="64"/>
      <c r="JK148" s="74"/>
      <c r="JL148" s="73">
        <f t="shared" ca="1" si="1226"/>
        <v>0</v>
      </c>
      <c r="JM148" s="64"/>
      <c r="JN148" s="74"/>
      <c r="JO148" s="73">
        <f t="shared" ca="1" si="1227"/>
        <v>0</v>
      </c>
      <c r="JP148" s="64"/>
      <c r="JQ148" s="74"/>
      <c r="JR148" s="73">
        <f t="shared" ca="1" si="1228"/>
        <v>0</v>
      </c>
      <c r="JS148" s="64"/>
      <c r="JT148" s="74"/>
      <c r="JU148" s="73">
        <f t="shared" ca="1" si="1229"/>
        <v>0</v>
      </c>
      <c r="JV148" s="64"/>
      <c r="JW148" s="74"/>
      <c r="JX148" s="73">
        <f t="shared" ca="1" si="1230"/>
        <v>0</v>
      </c>
      <c r="JY148" s="64"/>
      <c r="JZ148" s="74"/>
      <c r="KA148" s="73">
        <f t="shared" ca="1" si="1231"/>
        <v>0</v>
      </c>
      <c r="KB148" s="64"/>
      <c r="KC148" s="74"/>
      <c r="KD148" s="73">
        <f t="shared" ca="1" si="1232"/>
        <v>0</v>
      </c>
      <c r="KE148" s="64"/>
      <c r="KF148" s="74"/>
      <c r="KG148" s="73">
        <f t="shared" ca="1" si="1233"/>
        <v>0</v>
      </c>
      <c r="KH148" s="64"/>
      <c r="KI148" s="74"/>
      <c r="KJ148" s="73">
        <f t="shared" ca="1" si="1234"/>
        <v>0</v>
      </c>
      <c r="KK148" s="64"/>
      <c r="KL148" s="74"/>
      <c r="KM148" s="73">
        <f t="shared" ca="1" si="1235"/>
        <v>0</v>
      </c>
      <c r="KN148" s="64"/>
      <c r="KO148" s="74"/>
      <c r="KP148" s="73">
        <f t="shared" ca="1" si="1236"/>
        <v>0</v>
      </c>
      <c r="KQ148" s="64"/>
      <c r="KR148" s="74"/>
      <c r="KS148" s="73">
        <f t="shared" ca="1" si="1237"/>
        <v>0</v>
      </c>
      <c r="KT148" s="64"/>
      <c r="KU148" s="74"/>
      <c r="KV148" s="73">
        <f t="shared" ca="1" si="1238"/>
        <v>0</v>
      </c>
      <c r="KW148" s="64"/>
      <c r="KX148" s="74"/>
      <c r="KY148" s="73">
        <f t="shared" ca="1" si="1239"/>
        <v>0</v>
      </c>
      <c r="KZ148" s="64"/>
      <c r="LA148" s="74"/>
      <c r="LB148" s="73">
        <f t="shared" ca="1" si="1240"/>
        <v>0</v>
      </c>
      <c r="LC148" s="64"/>
      <c r="LD148" s="74"/>
      <c r="LE148" s="73">
        <f t="shared" ca="1" si="1241"/>
        <v>0</v>
      </c>
      <c r="LF148" s="64"/>
      <c r="LG148" s="64"/>
    </row>
    <row r="149" spans="1:319">
      <c r="A149" s="49"/>
      <c r="B149" s="49"/>
      <c r="C149" s="49"/>
      <c r="D149" s="49"/>
      <c r="E149" s="65"/>
      <c r="F149" s="127">
        <f t="shared" si="1242"/>
        <v>5</v>
      </c>
      <c r="G149" s="445">
        <f ca="1">VLOOKUP(H149,Equipos!$Q$1:$R$25,2,0)</f>
        <v>19</v>
      </c>
      <c r="H149" s="447" t="str">
        <f>Idiomas!$D$137</f>
        <v>QUALIFIED FOR ROUND OF 32</v>
      </c>
      <c r="I149" s="50"/>
      <c r="J149" s="845"/>
      <c r="K149" s="56" t="str">
        <f>Idiomas!$D$198&amp;"-"&amp;ROWS($L$130:L149)</f>
        <v>16-Finalist-20</v>
      </c>
      <c r="L149" s="53"/>
      <c r="M149" s="55" t="str">
        <f ca="1">WORLDCUP!AF104</f>
        <v>Morocco</v>
      </c>
      <c r="N149" s="25"/>
      <c r="O149" s="25"/>
      <c r="P149" s="25"/>
      <c r="Q149" s="25"/>
      <c r="R149" s="110"/>
      <c r="S149" s="74" t="s">
        <v>298</v>
      </c>
      <c r="T149" s="73">
        <f t="shared" ca="1" si="1142"/>
        <v>0</v>
      </c>
      <c r="U149" s="64"/>
      <c r="V149" s="74" t="s">
        <v>1326</v>
      </c>
      <c r="W149" s="73">
        <f t="shared" ca="1" si="1143"/>
        <v>5</v>
      </c>
      <c r="X149" s="64"/>
      <c r="Y149" s="74" t="s">
        <v>1326</v>
      </c>
      <c r="Z149" s="73">
        <f t="shared" ca="1" si="1144"/>
        <v>5</v>
      </c>
      <c r="AA149" s="64"/>
      <c r="AB149" s="74" t="s">
        <v>1326</v>
      </c>
      <c r="AC149" s="73">
        <f t="shared" ca="1" si="1145"/>
        <v>5</v>
      </c>
      <c r="AD149" s="64"/>
      <c r="AE149" s="74" t="s">
        <v>1326</v>
      </c>
      <c r="AF149" s="73">
        <f t="shared" ca="1" si="1146"/>
        <v>5</v>
      </c>
      <c r="AG149" s="64"/>
      <c r="AH149" s="74" t="s">
        <v>1326</v>
      </c>
      <c r="AI149" s="73">
        <f t="shared" ca="1" si="1147"/>
        <v>5</v>
      </c>
      <c r="AJ149" s="64"/>
      <c r="AK149" s="74" t="s">
        <v>1326</v>
      </c>
      <c r="AL149" s="73">
        <f t="shared" ca="1" si="1148"/>
        <v>5</v>
      </c>
      <c r="AM149" s="64"/>
      <c r="AN149" s="74" t="s">
        <v>1326</v>
      </c>
      <c r="AO149" s="73">
        <f t="shared" ca="1" si="1149"/>
        <v>5</v>
      </c>
      <c r="AP149" s="64"/>
      <c r="AQ149" s="74" t="s">
        <v>1326</v>
      </c>
      <c r="AR149" s="73">
        <f t="shared" ca="1" si="1150"/>
        <v>5</v>
      </c>
      <c r="AS149" s="64"/>
      <c r="AT149" s="74" t="s">
        <v>298</v>
      </c>
      <c r="AU149" s="73">
        <f t="shared" ca="1" si="1151"/>
        <v>0</v>
      </c>
      <c r="AV149" s="64"/>
      <c r="AW149" s="74" t="s">
        <v>1326</v>
      </c>
      <c r="AX149" s="73">
        <f t="shared" ca="1" si="1152"/>
        <v>5</v>
      </c>
      <c r="AY149" s="64"/>
      <c r="AZ149" s="74" t="s">
        <v>1326</v>
      </c>
      <c r="BA149" s="73">
        <f t="shared" ca="1" si="1153"/>
        <v>5</v>
      </c>
      <c r="BB149" s="64"/>
      <c r="BC149" s="74" t="s">
        <v>1274</v>
      </c>
      <c r="BD149" s="73">
        <f t="shared" ca="1" si="1154"/>
        <v>5</v>
      </c>
      <c r="BE149" s="64"/>
      <c r="BF149" s="74" t="s">
        <v>298</v>
      </c>
      <c r="BG149" s="73">
        <f t="shared" ca="1" si="1155"/>
        <v>0</v>
      </c>
      <c r="BH149" s="64"/>
      <c r="BI149" s="74" t="s">
        <v>1326</v>
      </c>
      <c r="BJ149" s="73">
        <f t="shared" ca="1" si="1156"/>
        <v>5</v>
      </c>
      <c r="BK149" s="64"/>
      <c r="BL149" s="74" t="s">
        <v>1326</v>
      </c>
      <c r="BM149" s="73">
        <f t="shared" ca="1" si="1157"/>
        <v>5</v>
      </c>
      <c r="BN149" s="64"/>
      <c r="BO149" s="74" t="s">
        <v>1326</v>
      </c>
      <c r="BP149" s="73">
        <f t="shared" ca="1" si="1158"/>
        <v>5</v>
      </c>
      <c r="BQ149" s="64"/>
      <c r="BR149" s="74" t="s">
        <v>298</v>
      </c>
      <c r="BS149" s="73">
        <f t="shared" ca="1" si="1159"/>
        <v>0</v>
      </c>
      <c r="BT149" s="64"/>
      <c r="BU149" s="74" t="s">
        <v>1326</v>
      </c>
      <c r="BV149" s="73">
        <f t="shared" ca="1" si="1160"/>
        <v>5</v>
      </c>
      <c r="BW149" s="64"/>
      <c r="BX149" s="74" t="s">
        <v>1326</v>
      </c>
      <c r="BY149" s="73">
        <f t="shared" ca="1" si="1161"/>
        <v>5</v>
      </c>
      <c r="BZ149" s="64"/>
      <c r="CA149" s="74" t="s">
        <v>1326</v>
      </c>
      <c r="CB149" s="73">
        <f t="shared" ca="1" si="1162"/>
        <v>5</v>
      </c>
      <c r="CC149" s="64"/>
      <c r="CD149" s="74" t="s">
        <v>1326</v>
      </c>
      <c r="CE149" s="73">
        <f t="shared" ca="1" si="1163"/>
        <v>5</v>
      </c>
      <c r="CF149" s="64"/>
      <c r="CG149" s="74" t="s">
        <v>1326</v>
      </c>
      <c r="CH149" s="73">
        <f t="shared" ca="1" si="1164"/>
        <v>5</v>
      </c>
      <c r="CI149" s="64"/>
      <c r="CJ149" s="74" t="s">
        <v>1326</v>
      </c>
      <c r="CK149" s="73">
        <f t="shared" ca="1" si="1165"/>
        <v>5</v>
      </c>
      <c r="CL149" s="64"/>
      <c r="CM149" s="74" t="s">
        <v>1326</v>
      </c>
      <c r="CN149" s="73">
        <f t="shared" ca="1" si="1166"/>
        <v>5</v>
      </c>
      <c r="CO149" s="64"/>
      <c r="CP149" s="74" t="s">
        <v>1326</v>
      </c>
      <c r="CQ149" s="73">
        <f t="shared" ca="1" si="1167"/>
        <v>5</v>
      </c>
      <c r="CR149" s="64"/>
      <c r="CS149" s="74" t="s">
        <v>1326</v>
      </c>
      <c r="CT149" s="73">
        <f t="shared" ca="1" si="1168"/>
        <v>5</v>
      </c>
      <c r="CU149" s="64"/>
      <c r="CV149" s="74" t="s">
        <v>298</v>
      </c>
      <c r="CW149" s="73">
        <f t="shared" ca="1" si="1169"/>
        <v>0</v>
      </c>
      <c r="CX149" s="64"/>
      <c r="CY149" s="74" t="s">
        <v>1274</v>
      </c>
      <c r="CZ149" s="73">
        <f t="shared" ca="1" si="1170"/>
        <v>5</v>
      </c>
      <c r="DA149" s="64"/>
      <c r="DB149" s="74" t="s">
        <v>1326</v>
      </c>
      <c r="DC149" s="73">
        <f t="shared" ca="1" si="1171"/>
        <v>5</v>
      </c>
      <c r="DD149" s="64"/>
      <c r="DE149" s="74" t="s">
        <v>1326</v>
      </c>
      <c r="DF149" s="73">
        <f t="shared" ca="1" si="1172"/>
        <v>5</v>
      </c>
      <c r="DG149" s="64"/>
      <c r="DH149" s="74" t="s">
        <v>1326</v>
      </c>
      <c r="DI149" s="73">
        <f t="shared" ca="1" si="1173"/>
        <v>5</v>
      </c>
      <c r="DJ149" s="64"/>
      <c r="DK149" s="74" t="s">
        <v>298</v>
      </c>
      <c r="DL149" s="73">
        <f t="shared" ca="1" si="1174"/>
        <v>0</v>
      </c>
      <c r="DM149" s="64"/>
      <c r="DN149" s="74" t="s">
        <v>1326</v>
      </c>
      <c r="DO149" s="73">
        <f t="shared" ca="1" si="1175"/>
        <v>5</v>
      </c>
      <c r="DP149" s="64"/>
      <c r="DQ149" s="74" t="s">
        <v>1274</v>
      </c>
      <c r="DR149" s="73">
        <f t="shared" ca="1" si="1176"/>
        <v>5</v>
      </c>
      <c r="DS149" s="64"/>
      <c r="DT149" s="74" t="s">
        <v>1326</v>
      </c>
      <c r="DU149" s="73">
        <f t="shared" ca="1" si="1177"/>
        <v>5</v>
      </c>
      <c r="DV149" s="64"/>
      <c r="DW149" s="74" t="s">
        <v>1274</v>
      </c>
      <c r="DX149" s="73">
        <f t="shared" ca="1" si="1178"/>
        <v>5</v>
      </c>
      <c r="DY149" s="64"/>
      <c r="DZ149" s="74" t="s">
        <v>1326</v>
      </c>
      <c r="EA149" s="73">
        <f t="shared" ca="1" si="1179"/>
        <v>5</v>
      </c>
      <c r="EB149" s="64"/>
      <c r="EC149" s="74" t="s">
        <v>1326</v>
      </c>
      <c r="ED149" s="73">
        <f t="shared" ca="1" si="1180"/>
        <v>5</v>
      </c>
      <c r="EE149" s="64"/>
      <c r="EF149" s="74" t="s">
        <v>1326</v>
      </c>
      <c r="EG149" s="73">
        <f t="shared" ca="1" si="1181"/>
        <v>5</v>
      </c>
      <c r="EH149" s="64"/>
      <c r="EI149" s="74" t="s">
        <v>1326</v>
      </c>
      <c r="EJ149" s="73">
        <f t="shared" ca="1" si="1182"/>
        <v>5</v>
      </c>
      <c r="EK149" s="64"/>
      <c r="EL149" s="74" t="s">
        <v>1326</v>
      </c>
      <c r="EM149" s="73">
        <f t="shared" ca="1" si="1183"/>
        <v>5</v>
      </c>
      <c r="EN149" s="64"/>
      <c r="EO149" s="74" t="s">
        <v>1326</v>
      </c>
      <c r="EP149" s="73">
        <f t="shared" ca="1" si="1184"/>
        <v>5</v>
      </c>
      <c r="EQ149" s="64"/>
      <c r="ER149" s="74" t="s">
        <v>1326</v>
      </c>
      <c r="ES149" s="73">
        <f t="shared" ca="1" si="1185"/>
        <v>5</v>
      </c>
      <c r="ET149" s="64"/>
      <c r="EU149" s="74" t="s">
        <v>1326</v>
      </c>
      <c r="EV149" s="73">
        <f t="shared" ca="1" si="1186"/>
        <v>5</v>
      </c>
      <c r="EW149" s="64"/>
      <c r="EX149" s="74" t="s">
        <v>1326</v>
      </c>
      <c r="EY149" s="73">
        <f t="shared" ca="1" si="1187"/>
        <v>5</v>
      </c>
      <c r="EZ149" s="64"/>
      <c r="FA149" s="74" t="s">
        <v>1326</v>
      </c>
      <c r="FB149" s="73">
        <f t="shared" ca="1" si="1188"/>
        <v>5</v>
      </c>
      <c r="FC149" s="64"/>
      <c r="FD149" s="74" t="s">
        <v>298</v>
      </c>
      <c r="FE149" s="73">
        <f t="shared" ca="1" si="1189"/>
        <v>0</v>
      </c>
      <c r="FF149" s="64"/>
      <c r="FG149" s="74" t="s">
        <v>1326</v>
      </c>
      <c r="FH149" s="73">
        <f t="shared" ca="1" si="1190"/>
        <v>5</v>
      </c>
      <c r="FI149" s="64"/>
      <c r="FJ149" s="74" t="s">
        <v>1326</v>
      </c>
      <c r="FK149" s="73">
        <f t="shared" ca="1" si="1191"/>
        <v>5</v>
      </c>
      <c r="FL149" s="64"/>
      <c r="FM149" s="74" t="s">
        <v>1326</v>
      </c>
      <c r="FN149" s="73">
        <f t="shared" ca="1" si="1192"/>
        <v>5</v>
      </c>
      <c r="FO149" s="64"/>
      <c r="FP149" s="74" t="s">
        <v>1326</v>
      </c>
      <c r="FQ149" s="73">
        <f t="shared" ca="1" si="1193"/>
        <v>5</v>
      </c>
      <c r="FR149" s="64"/>
      <c r="FS149" s="74" t="s">
        <v>1326</v>
      </c>
      <c r="FT149" s="73">
        <f t="shared" ca="1" si="1194"/>
        <v>5</v>
      </c>
      <c r="FU149" s="64"/>
      <c r="FV149" s="74" t="s">
        <v>1326</v>
      </c>
      <c r="FW149" s="73">
        <f t="shared" ca="1" si="1195"/>
        <v>5</v>
      </c>
      <c r="FX149" s="64"/>
      <c r="FY149" s="74" t="s">
        <v>1326</v>
      </c>
      <c r="FZ149" s="73">
        <f t="shared" ca="1" si="1196"/>
        <v>5</v>
      </c>
      <c r="GA149" s="64"/>
      <c r="GB149" s="74" t="s">
        <v>1326</v>
      </c>
      <c r="GC149" s="73">
        <f t="shared" ca="1" si="1197"/>
        <v>5</v>
      </c>
      <c r="GD149" s="64"/>
      <c r="GE149" s="74" t="s">
        <v>1326</v>
      </c>
      <c r="GF149" s="73">
        <f t="shared" ca="1" si="1198"/>
        <v>5</v>
      </c>
      <c r="GG149" s="64"/>
      <c r="GH149" s="74" t="s">
        <v>1326</v>
      </c>
      <c r="GI149" s="73">
        <f t="shared" ca="1" si="1199"/>
        <v>5</v>
      </c>
      <c r="GJ149" s="64"/>
      <c r="GK149" s="74" t="s">
        <v>1326</v>
      </c>
      <c r="GL149" s="73">
        <f t="shared" ca="1" si="1200"/>
        <v>5</v>
      </c>
      <c r="GM149" s="64"/>
      <c r="GN149" s="74"/>
      <c r="GO149" s="73">
        <f t="shared" ca="1" si="1201"/>
        <v>0</v>
      </c>
      <c r="GP149" s="64"/>
      <c r="GQ149" s="74"/>
      <c r="GR149" s="73">
        <f t="shared" ca="1" si="1202"/>
        <v>0</v>
      </c>
      <c r="GS149" s="64"/>
      <c r="GT149" s="74"/>
      <c r="GU149" s="73">
        <f t="shared" ca="1" si="1203"/>
        <v>0</v>
      </c>
      <c r="GV149" s="64"/>
      <c r="GW149" s="74"/>
      <c r="GX149" s="73">
        <f t="shared" ca="1" si="1204"/>
        <v>0</v>
      </c>
      <c r="GY149" s="64"/>
      <c r="GZ149" s="74"/>
      <c r="HA149" s="73">
        <f t="shared" ca="1" si="1205"/>
        <v>0</v>
      </c>
      <c r="HB149" s="64"/>
      <c r="HC149" s="74"/>
      <c r="HD149" s="73">
        <f t="shared" ca="1" si="1206"/>
        <v>0</v>
      </c>
      <c r="HE149" s="64"/>
      <c r="HF149" s="74"/>
      <c r="HG149" s="73">
        <f t="shared" ca="1" si="1207"/>
        <v>0</v>
      </c>
      <c r="HH149" s="64"/>
      <c r="HI149" s="74"/>
      <c r="HJ149" s="73">
        <f t="shared" ca="1" si="1208"/>
        <v>0</v>
      </c>
      <c r="HK149" s="64"/>
      <c r="HL149" s="74"/>
      <c r="HM149" s="73">
        <f t="shared" ca="1" si="1209"/>
        <v>0</v>
      </c>
      <c r="HN149" s="64"/>
      <c r="HO149" s="74"/>
      <c r="HP149" s="73">
        <f t="shared" ca="1" si="1210"/>
        <v>0</v>
      </c>
      <c r="HQ149" s="64"/>
      <c r="HR149" s="74"/>
      <c r="HS149" s="73">
        <f t="shared" ca="1" si="1211"/>
        <v>0</v>
      </c>
      <c r="HT149" s="64"/>
      <c r="HU149" s="74"/>
      <c r="HV149" s="73">
        <f t="shared" ca="1" si="1212"/>
        <v>0</v>
      </c>
      <c r="HW149" s="64"/>
      <c r="HX149" s="74"/>
      <c r="HY149" s="73">
        <f t="shared" ca="1" si="1213"/>
        <v>0</v>
      </c>
      <c r="HZ149" s="64"/>
      <c r="IA149" s="74"/>
      <c r="IB149" s="73">
        <f t="shared" ca="1" si="1214"/>
        <v>0</v>
      </c>
      <c r="IC149" s="64"/>
      <c r="ID149" s="74"/>
      <c r="IE149" s="73">
        <f t="shared" ca="1" si="1215"/>
        <v>0</v>
      </c>
      <c r="IF149" s="64"/>
      <c r="IG149" s="74"/>
      <c r="IH149" s="73">
        <f t="shared" ca="1" si="1216"/>
        <v>0</v>
      </c>
      <c r="II149" s="64"/>
      <c r="IJ149" s="74"/>
      <c r="IK149" s="73">
        <f t="shared" ca="1" si="1217"/>
        <v>0</v>
      </c>
      <c r="IL149" s="64"/>
      <c r="IM149" s="74"/>
      <c r="IN149" s="73">
        <f t="shared" ca="1" si="1218"/>
        <v>0</v>
      </c>
      <c r="IO149" s="64"/>
      <c r="IP149" s="74"/>
      <c r="IQ149" s="73">
        <f t="shared" ca="1" si="1219"/>
        <v>0</v>
      </c>
      <c r="IR149" s="64"/>
      <c r="IS149" s="74"/>
      <c r="IT149" s="73">
        <f t="shared" ca="1" si="1220"/>
        <v>0</v>
      </c>
      <c r="IU149" s="64"/>
      <c r="IV149" s="74"/>
      <c r="IW149" s="73">
        <f t="shared" ca="1" si="1221"/>
        <v>0</v>
      </c>
      <c r="IX149" s="64"/>
      <c r="IY149" s="74"/>
      <c r="IZ149" s="73">
        <f t="shared" ca="1" si="1222"/>
        <v>0</v>
      </c>
      <c r="JA149" s="64"/>
      <c r="JB149" s="74"/>
      <c r="JC149" s="73">
        <f t="shared" ca="1" si="1223"/>
        <v>0</v>
      </c>
      <c r="JD149" s="64"/>
      <c r="JE149" s="74"/>
      <c r="JF149" s="73">
        <f t="shared" ca="1" si="1224"/>
        <v>0</v>
      </c>
      <c r="JG149" s="64"/>
      <c r="JH149" s="74"/>
      <c r="JI149" s="73">
        <f t="shared" ca="1" si="1225"/>
        <v>0</v>
      </c>
      <c r="JJ149" s="64"/>
      <c r="JK149" s="74"/>
      <c r="JL149" s="73">
        <f t="shared" ca="1" si="1226"/>
        <v>0</v>
      </c>
      <c r="JM149" s="64"/>
      <c r="JN149" s="74"/>
      <c r="JO149" s="73">
        <f t="shared" ca="1" si="1227"/>
        <v>0</v>
      </c>
      <c r="JP149" s="64"/>
      <c r="JQ149" s="74"/>
      <c r="JR149" s="73">
        <f t="shared" ca="1" si="1228"/>
        <v>0</v>
      </c>
      <c r="JS149" s="64"/>
      <c r="JT149" s="74"/>
      <c r="JU149" s="73">
        <f t="shared" ca="1" si="1229"/>
        <v>0</v>
      </c>
      <c r="JV149" s="64"/>
      <c r="JW149" s="74"/>
      <c r="JX149" s="73">
        <f t="shared" ca="1" si="1230"/>
        <v>0</v>
      </c>
      <c r="JY149" s="64"/>
      <c r="JZ149" s="74"/>
      <c r="KA149" s="73">
        <f t="shared" ca="1" si="1231"/>
        <v>0</v>
      </c>
      <c r="KB149" s="64"/>
      <c r="KC149" s="74"/>
      <c r="KD149" s="73">
        <f t="shared" ca="1" si="1232"/>
        <v>0</v>
      </c>
      <c r="KE149" s="64"/>
      <c r="KF149" s="74"/>
      <c r="KG149" s="73">
        <f t="shared" ca="1" si="1233"/>
        <v>0</v>
      </c>
      <c r="KH149" s="64"/>
      <c r="KI149" s="74"/>
      <c r="KJ149" s="73">
        <f t="shared" ca="1" si="1234"/>
        <v>0</v>
      </c>
      <c r="KK149" s="64"/>
      <c r="KL149" s="74"/>
      <c r="KM149" s="73">
        <f t="shared" ca="1" si="1235"/>
        <v>0</v>
      </c>
      <c r="KN149" s="64"/>
      <c r="KO149" s="74"/>
      <c r="KP149" s="73">
        <f t="shared" ca="1" si="1236"/>
        <v>0</v>
      </c>
      <c r="KQ149" s="64"/>
      <c r="KR149" s="74"/>
      <c r="KS149" s="73">
        <f t="shared" ca="1" si="1237"/>
        <v>0</v>
      </c>
      <c r="KT149" s="64"/>
      <c r="KU149" s="74"/>
      <c r="KV149" s="73">
        <f t="shared" ca="1" si="1238"/>
        <v>0</v>
      </c>
      <c r="KW149" s="64"/>
      <c r="KX149" s="74"/>
      <c r="KY149" s="73">
        <f t="shared" ca="1" si="1239"/>
        <v>0</v>
      </c>
      <c r="KZ149" s="64"/>
      <c r="LA149" s="74"/>
      <c r="LB149" s="73">
        <f t="shared" ca="1" si="1240"/>
        <v>0</v>
      </c>
      <c r="LC149" s="64"/>
      <c r="LD149" s="74"/>
      <c r="LE149" s="73">
        <f t="shared" ca="1" si="1241"/>
        <v>0</v>
      </c>
      <c r="LF149" s="64"/>
      <c r="LG149" s="64"/>
    </row>
    <row r="150" spans="1:319">
      <c r="A150" s="49"/>
      <c r="B150" s="49"/>
      <c r="C150" s="49"/>
      <c r="D150" s="49"/>
      <c r="E150" s="65"/>
      <c r="F150" s="127">
        <f t="shared" si="1242"/>
        <v>5</v>
      </c>
      <c r="G150" s="445">
        <f ca="1">VLOOKUP(H150,Equipos!$Q$1:$R$25,2,0)</f>
        <v>19</v>
      </c>
      <c r="H150" s="447" t="str">
        <f>Idiomas!$D$137</f>
        <v>QUALIFIED FOR ROUND OF 32</v>
      </c>
      <c r="I150" s="50"/>
      <c r="J150" s="845"/>
      <c r="K150" s="56" t="str">
        <f>Idiomas!$D$198&amp;"-"&amp;ROWS($L$130:L150)</f>
        <v>16-Finalist-21</v>
      </c>
      <c r="L150" s="53"/>
      <c r="M150" s="55" t="str">
        <f ca="1">WORLDCUP!AF105</f>
        <v>Norway</v>
      </c>
      <c r="N150" s="25"/>
      <c r="O150" s="25"/>
      <c r="P150" s="25"/>
      <c r="Q150" s="25"/>
      <c r="R150" s="110"/>
      <c r="S150" s="74" t="s">
        <v>294</v>
      </c>
      <c r="T150" s="73">
        <f t="shared" ca="1" si="1142"/>
        <v>5</v>
      </c>
      <c r="U150" s="64"/>
      <c r="V150" s="74" t="s">
        <v>299</v>
      </c>
      <c r="W150" s="73">
        <f t="shared" ca="1" si="1143"/>
        <v>5</v>
      </c>
      <c r="X150" s="64"/>
      <c r="Y150" s="74" t="s">
        <v>299</v>
      </c>
      <c r="Z150" s="73">
        <f t="shared" ca="1" si="1144"/>
        <v>5</v>
      </c>
      <c r="AA150" s="64"/>
      <c r="AB150" s="74" t="s">
        <v>299</v>
      </c>
      <c r="AC150" s="73">
        <f t="shared" ca="1" si="1145"/>
        <v>5</v>
      </c>
      <c r="AD150" s="64"/>
      <c r="AE150" s="74" t="s">
        <v>299</v>
      </c>
      <c r="AF150" s="73">
        <f t="shared" ca="1" si="1146"/>
        <v>5</v>
      </c>
      <c r="AG150" s="64"/>
      <c r="AH150" s="74" t="s">
        <v>1634</v>
      </c>
      <c r="AI150" s="73">
        <f t="shared" ca="1" si="1147"/>
        <v>5</v>
      </c>
      <c r="AJ150" s="64"/>
      <c r="AK150" s="74" t="s">
        <v>299</v>
      </c>
      <c r="AL150" s="73">
        <f t="shared" ca="1" si="1148"/>
        <v>5</v>
      </c>
      <c r="AM150" s="64"/>
      <c r="AN150" s="74" t="s">
        <v>1634</v>
      </c>
      <c r="AO150" s="73">
        <f t="shared" ca="1" si="1149"/>
        <v>5</v>
      </c>
      <c r="AP150" s="64"/>
      <c r="AQ150" s="74" t="s">
        <v>1634</v>
      </c>
      <c r="AR150" s="73">
        <f t="shared" ca="1" si="1150"/>
        <v>5</v>
      </c>
      <c r="AS150" s="64"/>
      <c r="AT150" s="74" t="s">
        <v>299</v>
      </c>
      <c r="AU150" s="73">
        <f t="shared" ca="1" si="1151"/>
        <v>5</v>
      </c>
      <c r="AV150" s="64"/>
      <c r="AW150" s="74" t="s">
        <v>1634</v>
      </c>
      <c r="AX150" s="73">
        <f t="shared" ca="1" si="1152"/>
        <v>5</v>
      </c>
      <c r="AY150" s="64"/>
      <c r="AZ150" s="74" t="s">
        <v>299</v>
      </c>
      <c r="BA150" s="73">
        <f t="shared" ca="1" si="1153"/>
        <v>5</v>
      </c>
      <c r="BB150" s="64"/>
      <c r="BC150" s="74" t="s">
        <v>299</v>
      </c>
      <c r="BD150" s="73">
        <f t="shared" ca="1" si="1154"/>
        <v>5</v>
      </c>
      <c r="BE150" s="64"/>
      <c r="BF150" s="74" t="s">
        <v>299</v>
      </c>
      <c r="BG150" s="73">
        <f t="shared" ca="1" si="1155"/>
        <v>5</v>
      </c>
      <c r="BH150" s="64"/>
      <c r="BI150" s="74" t="s">
        <v>294</v>
      </c>
      <c r="BJ150" s="73">
        <f t="shared" ca="1" si="1156"/>
        <v>5</v>
      </c>
      <c r="BK150" s="64"/>
      <c r="BL150" s="74" t="s">
        <v>299</v>
      </c>
      <c r="BM150" s="73">
        <f t="shared" ca="1" si="1157"/>
        <v>5</v>
      </c>
      <c r="BN150" s="64"/>
      <c r="BO150" s="74" t="s">
        <v>299</v>
      </c>
      <c r="BP150" s="73">
        <f t="shared" ca="1" si="1158"/>
        <v>5</v>
      </c>
      <c r="BQ150" s="64"/>
      <c r="BR150" s="74" t="s">
        <v>299</v>
      </c>
      <c r="BS150" s="73">
        <f t="shared" ca="1" si="1159"/>
        <v>5</v>
      </c>
      <c r="BT150" s="64"/>
      <c r="BU150" s="74" t="s">
        <v>299</v>
      </c>
      <c r="BV150" s="73">
        <f t="shared" ca="1" si="1160"/>
        <v>5</v>
      </c>
      <c r="BW150" s="64"/>
      <c r="BX150" s="74" t="s">
        <v>1634</v>
      </c>
      <c r="BY150" s="73">
        <f t="shared" ca="1" si="1161"/>
        <v>5</v>
      </c>
      <c r="BZ150" s="64"/>
      <c r="CA150" s="74" t="s">
        <v>1634</v>
      </c>
      <c r="CB150" s="73">
        <f t="shared" ca="1" si="1162"/>
        <v>5</v>
      </c>
      <c r="CC150" s="64"/>
      <c r="CD150" s="74" t="s">
        <v>299</v>
      </c>
      <c r="CE150" s="73">
        <f t="shared" ca="1" si="1163"/>
        <v>5</v>
      </c>
      <c r="CF150" s="64"/>
      <c r="CG150" s="74" t="s">
        <v>299</v>
      </c>
      <c r="CH150" s="73">
        <f t="shared" ca="1" si="1164"/>
        <v>5</v>
      </c>
      <c r="CI150" s="64"/>
      <c r="CJ150" s="74" t="s">
        <v>299</v>
      </c>
      <c r="CK150" s="73">
        <f t="shared" ca="1" si="1165"/>
        <v>5</v>
      </c>
      <c r="CL150" s="64"/>
      <c r="CM150" s="74" t="s">
        <v>299</v>
      </c>
      <c r="CN150" s="73">
        <f t="shared" ca="1" si="1166"/>
        <v>5</v>
      </c>
      <c r="CO150" s="64"/>
      <c r="CP150" s="74" t="s">
        <v>299</v>
      </c>
      <c r="CQ150" s="73">
        <f t="shared" ca="1" si="1167"/>
        <v>5</v>
      </c>
      <c r="CR150" s="64"/>
      <c r="CS150" s="74" t="s">
        <v>1634</v>
      </c>
      <c r="CT150" s="73">
        <f t="shared" ca="1" si="1168"/>
        <v>5</v>
      </c>
      <c r="CU150" s="64"/>
      <c r="CV150" s="74" t="s">
        <v>1634</v>
      </c>
      <c r="CW150" s="73">
        <f t="shared" ca="1" si="1169"/>
        <v>5</v>
      </c>
      <c r="CX150" s="64"/>
      <c r="CY150" s="74" t="s">
        <v>1634</v>
      </c>
      <c r="CZ150" s="73">
        <f t="shared" ca="1" si="1170"/>
        <v>5</v>
      </c>
      <c r="DA150" s="64"/>
      <c r="DB150" s="74" t="s">
        <v>1634</v>
      </c>
      <c r="DC150" s="73">
        <f t="shared" ca="1" si="1171"/>
        <v>5</v>
      </c>
      <c r="DD150" s="64"/>
      <c r="DE150" s="74" t="s">
        <v>299</v>
      </c>
      <c r="DF150" s="73">
        <f t="shared" ca="1" si="1172"/>
        <v>5</v>
      </c>
      <c r="DG150" s="64"/>
      <c r="DH150" s="74" t="s">
        <v>299</v>
      </c>
      <c r="DI150" s="73">
        <f t="shared" ca="1" si="1173"/>
        <v>5</v>
      </c>
      <c r="DJ150" s="64"/>
      <c r="DK150" s="74" t="s">
        <v>299</v>
      </c>
      <c r="DL150" s="73">
        <f t="shared" ca="1" si="1174"/>
        <v>5</v>
      </c>
      <c r="DM150" s="64"/>
      <c r="DN150" s="74" t="s">
        <v>294</v>
      </c>
      <c r="DO150" s="73">
        <f t="shared" ca="1" si="1175"/>
        <v>5</v>
      </c>
      <c r="DP150" s="64"/>
      <c r="DQ150" s="74" t="s">
        <v>299</v>
      </c>
      <c r="DR150" s="73">
        <f t="shared" ca="1" si="1176"/>
        <v>5</v>
      </c>
      <c r="DS150" s="64"/>
      <c r="DT150" s="74" t="s">
        <v>299</v>
      </c>
      <c r="DU150" s="73">
        <f t="shared" ca="1" si="1177"/>
        <v>5</v>
      </c>
      <c r="DV150" s="64"/>
      <c r="DW150" s="74" t="s">
        <v>1634</v>
      </c>
      <c r="DX150" s="73">
        <f t="shared" ca="1" si="1178"/>
        <v>5</v>
      </c>
      <c r="DY150" s="64"/>
      <c r="DZ150" s="74" t="s">
        <v>299</v>
      </c>
      <c r="EA150" s="73">
        <f t="shared" ca="1" si="1179"/>
        <v>5</v>
      </c>
      <c r="EB150" s="64"/>
      <c r="EC150" s="74" t="s">
        <v>299</v>
      </c>
      <c r="ED150" s="73">
        <f t="shared" ca="1" si="1180"/>
        <v>5</v>
      </c>
      <c r="EE150" s="64"/>
      <c r="EF150" s="74" t="s">
        <v>1634</v>
      </c>
      <c r="EG150" s="73">
        <f t="shared" ca="1" si="1181"/>
        <v>5</v>
      </c>
      <c r="EH150" s="64"/>
      <c r="EI150" s="74" t="s">
        <v>299</v>
      </c>
      <c r="EJ150" s="73">
        <f t="shared" ca="1" si="1182"/>
        <v>5</v>
      </c>
      <c r="EK150" s="64"/>
      <c r="EL150" s="74" t="s">
        <v>1634</v>
      </c>
      <c r="EM150" s="73">
        <f t="shared" ca="1" si="1183"/>
        <v>5</v>
      </c>
      <c r="EN150" s="64"/>
      <c r="EO150" s="74" t="s">
        <v>299</v>
      </c>
      <c r="EP150" s="73">
        <f t="shared" ca="1" si="1184"/>
        <v>5</v>
      </c>
      <c r="EQ150" s="64"/>
      <c r="ER150" s="74" t="s">
        <v>1634</v>
      </c>
      <c r="ES150" s="73">
        <f t="shared" ca="1" si="1185"/>
        <v>5</v>
      </c>
      <c r="ET150" s="64"/>
      <c r="EU150" s="74" t="s">
        <v>1634</v>
      </c>
      <c r="EV150" s="73">
        <f t="shared" ca="1" si="1186"/>
        <v>5</v>
      </c>
      <c r="EW150" s="64"/>
      <c r="EX150" s="74" t="s">
        <v>299</v>
      </c>
      <c r="EY150" s="73">
        <f t="shared" ca="1" si="1187"/>
        <v>5</v>
      </c>
      <c r="EZ150" s="64"/>
      <c r="FA150" s="74" t="s">
        <v>1634</v>
      </c>
      <c r="FB150" s="73">
        <f t="shared" ca="1" si="1188"/>
        <v>5</v>
      </c>
      <c r="FC150" s="64"/>
      <c r="FD150" s="74" t="s">
        <v>299</v>
      </c>
      <c r="FE150" s="73">
        <f t="shared" ca="1" si="1189"/>
        <v>5</v>
      </c>
      <c r="FF150" s="64"/>
      <c r="FG150" s="74" t="s">
        <v>299</v>
      </c>
      <c r="FH150" s="73">
        <f t="shared" ca="1" si="1190"/>
        <v>5</v>
      </c>
      <c r="FI150" s="64"/>
      <c r="FJ150" s="74" t="s">
        <v>1634</v>
      </c>
      <c r="FK150" s="73">
        <f t="shared" ca="1" si="1191"/>
        <v>5</v>
      </c>
      <c r="FL150" s="64"/>
      <c r="FM150" s="74" t="s">
        <v>299</v>
      </c>
      <c r="FN150" s="73">
        <f t="shared" ca="1" si="1192"/>
        <v>5</v>
      </c>
      <c r="FO150" s="64"/>
      <c r="FP150" s="74" t="s">
        <v>299</v>
      </c>
      <c r="FQ150" s="73">
        <f t="shared" ca="1" si="1193"/>
        <v>5</v>
      </c>
      <c r="FR150" s="64"/>
      <c r="FS150" s="74" t="s">
        <v>1634</v>
      </c>
      <c r="FT150" s="73">
        <f t="shared" ca="1" si="1194"/>
        <v>5</v>
      </c>
      <c r="FU150" s="64"/>
      <c r="FV150" s="74" t="s">
        <v>299</v>
      </c>
      <c r="FW150" s="73">
        <f t="shared" ca="1" si="1195"/>
        <v>5</v>
      </c>
      <c r="FX150" s="64"/>
      <c r="FY150" s="74" t="s">
        <v>299</v>
      </c>
      <c r="FZ150" s="73">
        <f t="shared" ca="1" si="1196"/>
        <v>5</v>
      </c>
      <c r="GA150" s="64"/>
      <c r="GB150" s="74" t="s">
        <v>299</v>
      </c>
      <c r="GC150" s="73">
        <f t="shared" ca="1" si="1197"/>
        <v>5</v>
      </c>
      <c r="GD150" s="64"/>
      <c r="GE150" s="74" t="s">
        <v>1634</v>
      </c>
      <c r="GF150" s="73">
        <f t="shared" ca="1" si="1198"/>
        <v>5</v>
      </c>
      <c r="GG150" s="64"/>
      <c r="GH150" s="74" t="s">
        <v>299</v>
      </c>
      <c r="GI150" s="73">
        <f t="shared" ca="1" si="1199"/>
        <v>5</v>
      </c>
      <c r="GJ150" s="64"/>
      <c r="GK150" s="74" t="s">
        <v>299</v>
      </c>
      <c r="GL150" s="73">
        <f t="shared" ca="1" si="1200"/>
        <v>5</v>
      </c>
      <c r="GM150" s="64"/>
      <c r="GN150" s="74"/>
      <c r="GO150" s="73">
        <f t="shared" ca="1" si="1201"/>
        <v>0</v>
      </c>
      <c r="GP150" s="64"/>
      <c r="GQ150" s="74"/>
      <c r="GR150" s="73">
        <f t="shared" ca="1" si="1202"/>
        <v>0</v>
      </c>
      <c r="GS150" s="64"/>
      <c r="GT150" s="74"/>
      <c r="GU150" s="73">
        <f t="shared" ca="1" si="1203"/>
        <v>0</v>
      </c>
      <c r="GV150" s="64"/>
      <c r="GW150" s="74"/>
      <c r="GX150" s="73">
        <f t="shared" ca="1" si="1204"/>
        <v>0</v>
      </c>
      <c r="GY150" s="64"/>
      <c r="GZ150" s="74"/>
      <c r="HA150" s="73">
        <f t="shared" ca="1" si="1205"/>
        <v>0</v>
      </c>
      <c r="HB150" s="64"/>
      <c r="HC150" s="74"/>
      <c r="HD150" s="73">
        <f t="shared" ca="1" si="1206"/>
        <v>0</v>
      </c>
      <c r="HE150" s="64"/>
      <c r="HF150" s="74"/>
      <c r="HG150" s="73">
        <f t="shared" ca="1" si="1207"/>
        <v>0</v>
      </c>
      <c r="HH150" s="64"/>
      <c r="HI150" s="74"/>
      <c r="HJ150" s="73">
        <f t="shared" ca="1" si="1208"/>
        <v>0</v>
      </c>
      <c r="HK150" s="64"/>
      <c r="HL150" s="74"/>
      <c r="HM150" s="73">
        <f t="shared" ca="1" si="1209"/>
        <v>0</v>
      </c>
      <c r="HN150" s="64"/>
      <c r="HO150" s="74"/>
      <c r="HP150" s="73">
        <f t="shared" ca="1" si="1210"/>
        <v>0</v>
      </c>
      <c r="HQ150" s="64"/>
      <c r="HR150" s="74"/>
      <c r="HS150" s="73">
        <f t="shared" ca="1" si="1211"/>
        <v>0</v>
      </c>
      <c r="HT150" s="64"/>
      <c r="HU150" s="74"/>
      <c r="HV150" s="73">
        <f t="shared" ca="1" si="1212"/>
        <v>0</v>
      </c>
      <c r="HW150" s="64"/>
      <c r="HX150" s="74"/>
      <c r="HY150" s="73">
        <f t="shared" ca="1" si="1213"/>
        <v>0</v>
      </c>
      <c r="HZ150" s="64"/>
      <c r="IA150" s="74"/>
      <c r="IB150" s="73">
        <f t="shared" ca="1" si="1214"/>
        <v>0</v>
      </c>
      <c r="IC150" s="64"/>
      <c r="ID150" s="74"/>
      <c r="IE150" s="73">
        <f t="shared" ca="1" si="1215"/>
        <v>0</v>
      </c>
      <c r="IF150" s="64"/>
      <c r="IG150" s="74"/>
      <c r="IH150" s="73">
        <f t="shared" ca="1" si="1216"/>
        <v>0</v>
      </c>
      <c r="II150" s="64"/>
      <c r="IJ150" s="74"/>
      <c r="IK150" s="73">
        <f t="shared" ca="1" si="1217"/>
        <v>0</v>
      </c>
      <c r="IL150" s="64"/>
      <c r="IM150" s="74"/>
      <c r="IN150" s="73">
        <f t="shared" ca="1" si="1218"/>
        <v>0</v>
      </c>
      <c r="IO150" s="64"/>
      <c r="IP150" s="74"/>
      <c r="IQ150" s="73">
        <f t="shared" ca="1" si="1219"/>
        <v>0</v>
      </c>
      <c r="IR150" s="64"/>
      <c r="IS150" s="74"/>
      <c r="IT150" s="73">
        <f t="shared" ca="1" si="1220"/>
        <v>0</v>
      </c>
      <c r="IU150" s="64"/>
      <c r="IV150" s="74"/>
      <c r="IW150" s="73">
        <f t="shared" ca="1" si="1221"/>
        <v>0</v>
      </c>
      <c r="IX150" s="64"/>
      <c r="IY150" s="74"/>
      <c r="IZ150" s="73">
        <f t="shared" ca="1" si="1222"/>
        <v>0</v>
      </c>
      <c r="JA150" s="64"/>
      <c r="JB150" s="74"/>
      <c r="JC150" s="73">
        <f t="shared" ca="1" si="1223"/>
        <v>0</v>
      </c>
      <c r="JD150" s="64"/>
      <c r="JE150" s="74"/>
      <c r="JF150" s="73">
        <f t="shared" ca="1" si="1224"/>
        <v>0</v>
      </c>
      <c r="JG150" s="64"/>
      <c r="JH150" s="74"/>
      <c r="JI150" s="73">
        <f t="shared" ca="1" si="1225"/>
        <v>0</v>
      </c>
      <c r="JJ150" s="64"/>
      <c r="JK150" s="74"/>
      <c r="JL150" s="73">
        <f t="shared" ca="1" si="1226"/>
        <v>0</v>
      </c>
      <c r="JM150" s="64"/>
      <c r="JN150" s="74"/>
      <c r="JO150" s="73">
        <f t="shared" ca="1" si="1227"/>
        <v>0</v>
      </c>
      <c r="JP150" s="64"/>
      <c r="JQ150" s="74"/>
      <c r="JR150" s="73">
        <f t="shared" ca="1" si="1228"/>
        <v>0</v>
      </c>
      <c r="JS150" s="64"/>
      <c r="JT150" s="74"/>
      <c r="JU150" s="73">
        <f t="shared" ca="1" si="1229"/>
        <v>0</v>
      </c>
      <c r="JV150" s="64"/>
      <c r="JW150" s="74"/>
      <c r="JX150" s="73">
        <f t="shared" ca="1" si="1230"/>
        <v>0</v>
      </c>
      <c r="JY150" s="64"/>
      <c r="JZ150" s="74"/>
      <c r="KA150" s="73">
        <f t="shared" ca="1" si="1231"/>
        <v>0</v>
      </c>
      <c r="KB150" s="64"/>
      <c r="KC150" s="74"/>
      <c r="KD150" s="73">
        <f t="shared" ca="1" si="1232"/>
        <v>0</v>
      </c>
      <c r="KE150" s="64"/>
      <c r="KF150" s="74"/>
      <c r="KG150" s="73">
        <f t="shared" ca="1" si="1233"/>
        <v>0</v>
      </c>
      <c r="KH150" s="64"/>
      <c r="KI150" s="74"/>
      <c r="KJ150" s="73">
        <f t="shared" ca="1" si="1234"/>
        <v>0</v>
      </c>
      <c r="KK150" s="64"/>
      <c r="KL150" s="74"/>
      <c r="KM150" s="73">
        <f t="shared" ca="1" si="1235"/>
        <v>0</v>
      </c>
      <c r="KN150" s="64"/>
      <c r="KO150" s="74"/>
      <c r="KP150" s="73">
        <f t="shared" ca="1" si="1236"/>
        <v>0</v>
      </c>
      <c r="KQ150" s="64"/>
      <c r="KR150" s="74"/>
      <c r="KS150" s="73">
        <f t="shared" ca="1" si="1237"/>
        <v>0</v>
      </c>
      <c r="KT150" s="64"/>
      <c r="KU150" s="74"/>
      <c r="KV150" s="73">
        <f t="shared" ca="1" si="1238"/>
        <v>0</v>
      </c>
      <c r="KW150" s="64"/>
      <c r="KX150" s="74"/>
      <c r="KY150" s="73">
        <f t="shared" ca="1" si="1239"/>
        <v>0</v>
      </c>
      <c r="KZ150" s="64"/>
      <c r="LA150" s="74"/>
      <c r="LB150" s="73">
        <f t="shared" ca="1" si="1240"/>
        <v>0</v>
      </c>
      <c r="LC150" s="64"/>
      <c r="LD150" s="74"/>
      <c r="LE150" s="73">
        <f t="shared" ca="1" si="1241"/>
        <v>0</v>
      </c>
      <c r="LF150" s="64"/>
      <c r="LG150" s="64"/>
    </row>
    <row r="151" spans="1:319">
      <c r="A151" s="49"/>
      <c r="B151" s="49"/>
      <c r="C151" s="49"/>
      <c r="D151" s="49"/>
      <c r="E151" s="65"/>
      <c r="F151" s="127">
        <f t="shared" si="1242"/>
        <v>5</v>
      </c>
      <c r="G151" s="445">
        <f ca="1">VLOOKUP(H151,Equipos!$Q$1:$R$25,2,0)</f>
        <v>19</v>
      </c>
      <c r="H151" s="447" t="str">
        <f>Idiomas!$D$137</f>
        <v>QUALIFIED FOR ROUND OF 32</v>
      </c>
      <c r="I151" s="50"/>
      <c r="J151" s="845"/>
      <c r="K151" s="56" t="str">
        <f>Idiomas!$D$198&amp;"-"&amp;ROWS($L$130:L151)</f>
        <v>16-Finalist-22</v>
      </c>
      <c r="L151" s="53"/>
      <c r="M151" s="55" t="str">
        <f ca="1">WORLDCUP!AF106</f>
        <v>Sweden</v>
      </c>
      <c r="N151" s="25"/>
      <c r="O151" s="25"/>
      <c r="P151" s="25"/>
      <c r="Q151" s="25"/>
      <c r="R151" s="110"/>
      <c r="S151" s="74" t="s">
        <v>1553</v>
      </c>
      <c r="T151" s="73">
        <f t="shared" ca="1" si="1142"/>
        <v>5</v>
      </c>
      <c r="U151" s="64"/>
      <c r="V151" s="74" t="s">
        <v>1257</v>
      </c>
      <c r="W151" s="73">
        <f t="shared" ca="1" si="1143"/>
        <v>5</v>
      </c>
      <c r="X151" s="64"/>
      <c r="Y151" s="74" t="s">
        <v>1282</v>
      </c>
      <c r="Z151" s="73">
        <f t="shared" ca="1" si="1144"/>
        <v>0</v>
      </c>
      <c r="AA151" s="64"/>
      <c r="AB151" s="74" t="s">
        <v>1282</v>
      </c>
      <c r="AC151" s="73">
        <f t="shared" ca="1" si="1145"/>
        <v>0</v>
      </c>
      <c r="AD151" s="64"/>
      <c r="AE151" s="74" t="s">
        <v>1284</v>
      </c>
      <c r="AF151" s="73">
        <f t="shared" ca="1" si="1146"/>
        <v>5</v>
      </c>
      <c r="AG151" s="64"/>
      <c r="AH151" s="74" t="s">
        <v>1284</v>
      </c>
      <c r="AI151" s="73">
        <f t="shared" ca="1" si="1147"/>
        <v>5</v>
      </c>
      <c r="AJ151" s="64"/>
      <c r="AK151" s="74" t="s">
        <v>1284</v>
      </c>
      <c r="AL151" s="73">
        <f t="shared" ca="1" si="1148"/>
        <v>5</v>
      </c>
      <c r="AM151" s="64"/>
      <c r="AN151" s="74" t="s">
        <v>1553</v>
      </c>
      <c r="AO151" s="73">
        <f t="shared" ca="1" si="1149"/>
        <v>5</v>
      </c>
      <c r="AP151" s="64"/>
      <c r="AQ151" s="74" t="s">
        <v>1834</v>
      </c>
      <c r="AR151" s="73">
        <f t="shared" ca="1" si="1150"/>
        <v>5</v>
      </c>
      <c r="AS151" s="64"/>
      <c r="AT151" s="74" t="s">
        <v>1834</v>
      </c>
      <c r="AU151" s="73">
        <f t="shared" ca="1" si="1151"/>
        <v>5</v>
      </c>
      <c r="AV151" s="64"/>
      <c r="AW151" s="74" t="s">
        <v>298</v>
      </c>
      <c r="AX151" s="73">
        <f t="shared" ca="1" si="1152"/>
        <v>0</v>
      </c>
      <c r="AY151" s="64"/>
      <c r="AZ151" s="74" t="s">
        <v>1834</v>
      </c>
      <c r="BA151" s="73">
        <f t="shared" ca="1" si="1153"/>
        <v>5</v>
      </c>
      <c r="BB151" s="64"/>
      <c r="BC151" s="74" t="s">
        <v>498</v>
      </c>
      <c r="BD151" s="73">
        <f t="shared" ca="1" si="1154"/>
        <v>5</v>
      </c>
      <c r="BE151" s="64"/>
      <c r="BF151" s="74" t="s">
        <v>1257</v>
      </c>
      <c r="BG151" s="73">
        <f t="shared" ca="1" si="1155"/>
        <v>5</v>
      </c>
      <c r="BH151" s="64"/>
      <c r="BI151" s="74" t="s">
        <v>498</v>
      </c>
      <c r="BJ151" s="73">
        <f t="shared" ca="1" si="1156"/>
        <v>5</v>
      </c>
      <c r="BK151" s="64"/>
      <c r="BL151" s="74" t="s">
        <v>1319</v>
      </c>
      <c r="BM151" s="73">
        <f t="shared" ca="1" si="1157"/>
        <v>5</v>
      </c>
      <c r="BN151" s="64"/>
      <c r="BO151" s="74" t="s">
        <v>1284</v>
      </c>
      <c r="BP151" s="73">
        <f t="shared" ca="1" si="1158"/>
        <v>5</v>
      </c>
      <c r="BQ151" s="64"/>
      <c r="BR151" s="74" t="s">
        <v>1284</v>
      </c>
      <c r="BS151" s="73">
        <f t="shared" ca="1" si="1159"/>
        <v>5</v>
      </c>
      <c r="BT151" s="64"/>
      <c r="BU151" s="74" t="s">
        <v>1284</v>
      </c>
      <c r="BV151" s="73">
        <f t="shared" ca="1" si="1160"/>
        <v>5</v>
      </c>
      <c r="BW151" s="64"/>
      <c r="BX151" s="74" t="s">
        <v>1284</v>
      </c>
      <c r="BY151" s="73">
        <f t="shared" ca="1" si="1161"/>
        <v>5</v>
      </c>
      <c r="BZ151" s="64"/>
      <c r="CA151" s="74" t="s">
        <v>1834</v>
      </c>
      <c r="CB151" s="73">
        <f t="shared" ca="1" si="1162"/>
        <v>5</v>
      </c>
      <c r="CC151" s="64"/>
      <c r="CD151" s="74" t="s">
        <v>1284</v>
      </c>
      <c r="CE151" s="73">
        <f t="shared" ca="1" si="1163"/>
        <v>5</v>
      </c>
      <c r="CF151" s="64"/>
      <c r="CG151" s="74" t="s">
        <v>1834</v>
      </c>
      <c r="CH151" s="73">
        <f t="shared" ca="1" si="1164"/>
        <v>5</v>
      </c>
      <c r="CI151" s="64"/>
      <c r="CJ151" s="74" t="s">
        <v>1834</v>
      </c>
      <c r="CK151" s="73">
        <f t="shared" ca="1" si="1165"/>
        <v>5</v>
      </c>
      <c r="CL151" s="64"/>
      <c r="CM151" s="74" t="s">
        <v>1834</v>
      </c>
      <c r="CN151" s="73">
        <f t="shared" ca="1" si="1166"/>
        <v>5</v>
      </c>
      <c r="CO151" s="64"/>
      <c r="CP151" s="74" t="s">
        <v>1834</v>
      </c>
      <c r="CQ151" s="73">
        <f t="shared" ca="1" si="1167"/>
        <v>5</v>
      </c>
      <c r="CR151" s="64"/>
      <c r="CS151" s="74" t="s">
        <v>291</v>
      </c>
      <c r="CT151" s="73">
        <f t="shared" ca="1" si="1168"/>
        <v>5</v>
      </c>
      <c r="CU151" s="64"/>
      <c r="CV151" s="74" t="s">
        <v>1834</v>
      </c>
      <c r="CW151" s="73">
        <f t="shared" ca="1" si="1169"/>
        <v>5</v>
      </c>
      <c r="CX151" s="64"/>
      <c r="CY151" s="74" t="s">
        <v>1319</v>
      </c>
      <c r="CZ151" s="73">
        <f t="shared" ca="1" si="1170"/>
        <v>5</v>
      </c>
      <c r="DA151" s="64"/>
      <c r="DB151" s="74" t="s">
        <v>1834</v>
      </c>
      <c r="DC151" s="73">
        <f t="shared" ca="1" si="1171"/>
        <v>5</v>
      </c>
      <c r="DD151" s="64"/>
      <c r="DE151" s="74" t="s">
        <v>1834</v>
      </c>
      <c r="DF151" s="73">
        <f t="shared" ca="1" si="1172"/>
        <v>5</v>
      </c>
      <c r="DG151" s="64"/>
      <c r="DH151" s="74" t="s">
        <v>1834</v>
      </c>
      <c r="DI151" s="73">
        <f t="shared" ca="1" si="1173"/>
        <v>5</v>
      </c>
      <c r="DJ151" s="64"/>
      <c r="DK151" s="74" t="s">
        <v>1284</v>
      </c>
      <c r="DL151" s="73">
        <f t="shared" ca="1" si="1174"/>
        <v>5</v>
      </c>
      <c r="DM151" s="64"/>
      <c r="DN151" s="74" t="s">
        <v>1834</v>
      </c>
      <c r="DO151" s="73">
        <f t="shared" ca="1" si="1175"/>
        <v>5</v>
      </c>
      <c r="DP151" s="64"/>
      <c r="DQ151" s="74" t="s">
        <v>1284</v>
      </c>
      <c r="DR151" s="73">
        <f t="shared" ca="1" si="1176"/>
        <v>5</v>
      </c>
      <c r="DS151" s="64"/>
      <c r="DT151" s="74" t="s">
        <v>1834</v>
      </c>
      <c r="DU151" s="73">
        <f t="shared" ca="1" si="1177"/>
        <v>5</v>
      </c>
      <c r="DV151" s="64"/>
      <c r="DW151" s="74" t="s">
        <v>1834</v>
      </c>
      <c r="DX151" s="73">
        <f t="shared" ca="1" si="1178"/>
        <v>5</v>
      </c>
      <c r="DY151" s="64"/>
      <c r="DZ151" s="74" t="s">
        <v>1553</v>
      </c>
      <c r="EA151" s="73">
        <f t="shared" ca="1" si="1179"/>
        <v>5</v>
      </c>
      <c r="EB151" s="64"/>
      <c r="EC151" s="74" t="s">
        <v>1282</v>
      </c>
      <c r="ED151" s="73">
        <f t="shared" ca="1" si="1180"/>
        <v>0</v>
      </c>
      <c r="EE151" s="64"/>
      <c r="EF151" s="74" t="s">
        <v>1319</v>
      </c>
      <c r="EG151" s="73">
        <f t="shared" ca="1" si="1181"/>
        <v>5</v>
      </c>
      <c r="EH151" s="64"/>
      <c r="EI151" s="74" t="s">
        <v>1834</v>
      </c>
      <c r="EJ151" s="73">
        <f t="shared" ca="1" si="1182"/>
        <v>5</v>
      </c>
      <c r="EK151" s="64"/>
      <c r="EL151" s="74" t="s">
        <v>1834</v>
      </c>
      <c r="EM151" s="73">
        <f t="shared" ca="1" si="1183"/>
        <v>5</v>
      </c>
      <c r="EN151" s="64"/>
      <c r="EO151" s="74" t="s">
        <v>1282</v>
      </c>
      <c r="EP151" s="73">
        <f t="shared" ca="1" si="1184"/>
        <v>0</v>
      </c>
      <c r="EQ151" s="64"/>
      <c r="ER151" s="74" t="s">
        <v>1834</v>
      </c>
      <c r="ES151" s="73">
        <f t="shared" ca="1" si="1185"/>
        <v>5</v>
      </c>
      <c r="ET151" s="64"/>
      <c r="EU151" s="74" t="s">
        <v>1284</v>
      </c>
      <c r="EV151" s="73">
        <f t="shared" ca="1" si="1186"/>
        <v>5</v>
      </c>
      <c r="EW151" s="64"/>
      <c r="EX151" s="74" t="s">
        <v>1834</v>
      </c>
      <c r="EY151" s="73">
        <f t="shared" ca="1" si="1187"/>
        <v>5</v>
      </c>
      <c r="EZ151" s="64"/>
      <c r="FA151" s="74" t="s">
        <v>1282</v>
      </c>
      <c r="FB151" s="73">
        <f t="shared" ca="1" si="1188"/>
        <v>0</v>
      </c>
      <c r="FC151" s="64"/>
      <c r="FD151" s="74" t="s">
        <v>1284</v>
      </c>
      <c r="FE151" s="73">
        <f t="shared" ca="1" si="1189"/>
        <v>5</v>
      </c>
      <c r="FF151" s="64"/>
      <c r="FG151" s="74" t="s">
        <v>1834</v>
      </c>
      <c r="FH151" s="73">
        <f t="shared" ca="1" si="1190"/>
        <v>5</v>
      </c>
      <c r="FI151" s="64"/>
      <c r="FJ151" s="74" t="s">
        <v>1834</v>
      </c>
      <c r="FK151" s="73">
        <f t="shared" ca="1" si="1191"/>
        <v>5</v>
      </c>
      <c r="FL151" s="64"/>
      <c r="FM151" s="74" t="s">
        <v>1834</v>
      </c>
      <c r="FN151" s="73">
        <f t="shared" ca="1" si="1192"/>
        <v>5</v>
      </c>
      <c r="FO151" s="64"/>
      <c r="FP151" s="74" t="s">
        <v>1284</v>
      </c>
      <c r="FQ151" s="73">
        <f t="shared" ca="1" si="1193"/>
        <v>5</v>
      </c>
      <c r="FR151" s="64"/>
      <c r="FS151" s="74" t="s">
        <v>1284</v>
      </c>
      <c r="FT151" s="73">
        <f t="shared" ca="1" si="1194"/>
        <v>5</v>
      </c>
      <c r="FU151" s="64"/>
      <c r="FV151" s="74" t="s">
        <v>1319</v>
      </c>
      <c r="FW151" s="73">
        <f t="shared" ca="1" si="1195"/>
        <v>5</v>
      </c>
      <c r="FX151" s="64"/>
      <c r="FY151" s="74" t="s">
        <v>498</v>
      </c>
      <c r="FZ151" s="73">
        <f t="shared" ca="1" si="1196"/>
        <v>5</v>
      </c>
      <c r="GA151" s="64"/>
      <c r="GB151" s="74" t="s">
        <v>1834</v>
      </c>
      <c r="GC151" s="73">
        <f t="shared" ca="1" si="1197"/>
        <v>5</v>
      </c>
      <c r="GD151" s="64"/>
      <c r="GE151" s="74" t="s">
        <v>1834</v>
      </c>
      <c r="GF151" s="73">
        <f t="shared" ca="1" si="1198"/>
        <v>5</v>
      </c>
      <c r="GG151" s="64"/>
      <c r="GH151" s="74" t="s">
        <v>1284</v>
      </c>
      <c r="GI151" s="73">
        <f t="shared" ca="1" si="1199"/>
        <v>5</v>
      </c>
      <c r="GJ151" s="64"/>
      <c r="GK151" s="74" t="s">
        <v>1284</v>
      </c>
      <c r="GL151" s="73">
        <f t="shared" ca="1" si="1200"/>
        <v>5</v>
      </c>
      <c r="GM151" s="64"/>
      <c r="GN151" s="74"/>
      <c r="GO151" s="73">
        <f t="shared" ca="1" si="1201"/>
        <v>0</v>
      </c>
      <c r="GP151" s="64"/>
      <c r="GQ151" s="74"/>
      <c r="GR151" s="73">
        <f t="shared" ca="1" si="1202"/>
        <v>0</v>
      </c>
      <c r="GS151" s="64"/>
      <c r="GT151" s="74"/>
      <c r="GU151" s="73">
        <f t="shared" ca="1" si="1203"/>
        <v>0</v>
      </c>
      <c r="GV151" s="64"/>
      <c r="GW151" s="74"/>
      <c r="GX151" s="73">
        <f t="shared" ca="1" si="1204"/>
        <v>0</v>
      </c>
      <c r="GY151" s="64"/>
      <c r="GZ151" s="74"/>
      <c r="HA151" s="73">
        <f t="shared" ca="1" si="1205"/>
        <v>0</v>
      </c>
      <c r="HB151" s="64"/>
      <c r="HC151" s="74"/>
      <c r="HD151" s="73">
        <f t="shared" ca="1" si="1206"/>
        <v>0</v>
      </c>
      <c r="HE151" s="64"/>
      <c r="HF151" s="74"/>
      <c r="HG151" s="73">
        <f t="shared" ca="1" si="1207"/>
        <v>0</v>
      </c>
      <c r="HH151" s="64"/>
      <c r="HI151" s="74"/>
      <c r="HJ151" s="73">
        <f t="shared" ca="1" si="1208"/>
        <v>0</v>
      </c>
      <c r="HK151" s="64"/>
      <c r="HL151" s="74"/>
      <c r="HM151" s="73">
        <f t="shared" ca="1" si="1209"/>
        <v>0</v>
      </c>
      <c r="HN151" s="64"/>
      <c r="HO151" s="74"/>
      <c r="HP151" s="73">
        <f t="shared" ca="1" si="1210"/>
        <v>0</v>
      </c>
      <c r="HQ151" s="64"/>
      <c r="HR151" s="74"/>
      <c r="HS151" s="73">
        <f t="shared" ca="1" si="1211"/>
        <v>0</v>
      </c>
      <c r="HT151" s="64"/>
      <c r="HU151" s="74"/>
      <c r="HV151" s="73">
        <f t="shared" ca="1" si="1212"/>
        <v>0</v>
      </c>
      <c r="HW151" s="64"/>
      <c r="HX151" s="74"/>
      <c r="HY151" s="73">
        <f t="shared" ca="1" si="1213"/>
        <v>0</v>
      </c>
      <c r="HZ151" s="64"/>
      <c r="IA151" s="74"/>
      <c r="IB151" s="73">
        <f t="shared" ca="1" si="1214"/>
        <v>0</v>
      </c>
      <c r="IC151" s="64"/>
      <c r="ID151" s="74"/>
      <c r="IE151" s="73">
        <f t="shared" ca="1" si="1215"/>
        <v>0</v>
      </c>
      <c r="IF151" s="64"/>
      <c r="IG151" s="74"/>
      <c r="IH151" s="73">
        <f t="shared" ca="1" si="1216"/>
        <v>0</v>
      </c>
      <c r="II151" s="64"/>
      <c r="IJ151" s="74"/>
      <c r="IK151" s="73">
        <f t="shared" ca="1" si="1217"/>
        <v>0</v>
      </c>
      <c r="IL151" s="64"/>
      <c r="IM151" s="74"/>
      <c r="IN151" s="73">
        <f t="shared" ca="1" si="1218"/>
        <v>0</v>
      </c>
      <c r="IO151" s="64"/>
      <c r="IP151" s="74"/>
      <c r="IQ151" s="73">
        <f t="shared" ca="1" si="1219"/>
        <v>0</v>
      </c>
      <c r="IR151" s="64"/>
      <c r="IS151" s="74"/>
      <c r="IT151" s="73">
        <f t="shared" ca="1" si="1220"/>
        <v>0</v>
      </c>
      <c r="IU151" s="64"/>
      <c r="IV151" s="74"/>
      <c r="IW151" s="73">
        <f t="shared" ca="1" si="1221"/>
        <v>0</v>
      </c>
      <c r="IX151" s="64"/>
      <c r="IY151" s="74"/>
      <c r="IZ151" s="73">
        <f t="shared" ca="1" si="1222"/>
        <v>0</v>
      </c>
      <c r="JA151" s="64"/>
      <c r="JB151" s="74"/>
      <c r="JC151" s="73">
        <f t="shared" ca="1" si="1223"/>
        <v>0</v>
      </c>
      <c r="JD151" s="64"/>
      <c r="JE151" s="74"/>
      <c r="JF151" s="73">
        <f t="shared" ca="1" si="1224"/>
        <v>0</v>
      </c>
      <c r="JG151" s="64"/>
      <c r="JH151" s="74"/>
      <c r="JI151" s="73">
        <f t="shared" ca="1" si="1225"/>
        <v>0</v>
      </c>
      <c r="JJ151" s="64"/>
      <c r="JK151" s="74"/>
      <c r="JL151" s="73">
        <f t="shared" ca="1" si="1226"/>
        <v>0</v>
      </c>
      <c r="JM151" s="64"/>
      <c r="JN151" s="74"/>
      <c r="JO151" s="73">
        <f t="shared" ca="1" si="1227"/>
        <v>0</v>
      </c>
      <c r="JP151" s="64"/>
      <c r="JQ151" s="74"/>
      <c r="JR151" s="73">
        <f t="shared" ca="1" si="1228"/>
        <v>0</v>
      </c>
      <c r="JS151" s="64"/>
      <c r="JT151" s="74"/>
      <c r="JU151" s="73">
        <f t="shared" ca="1" si="1229"/>
        <v>0</v>
      </c>
      <c r="JV151" s="64"/>
      <c r="JW151" s="74"/>
      <c r="JX151" s="73">
        <f t="shared" ca="1" si="1230"/>
        <v>0</v>
      </c>
      <c r="JY151" s="64"/>
      <c r="JZ151" s="74"/>
      <c r="KA151" s="73">
        <f t="shared" ca="1" si="1231"/>
        <v>0</v>
      </c>
      <c r="KB151" s="64"/>
      <c r="KC151" s="74"/>
      <c r="KD151" s="73">
        <f t="shared" ca="1" si="1232"/>
        <v>0</v>
      </c>
      <c r="KE151" s="64"/>
      <c r="KF151" s="74"/>
      <c r="KG151" s="73">
        <f t="shared" ca="1" si="1233"/>
        <v>0</v>
      </c>
      <c r="KH151" s="64"/>
      <c r="KI151" s="74"/>
      <c r="KJ151" s="73">
        <f t="shared" ca="1" si="1234"/>
        <v>0</v>
      </c>
      <c r="KK151" s="64"/>
      <c r="KL151" s="74"/>
      <c r="KM151" s="73">
        <f t="shared" ca="1" si="1235"/>
        <v>0</v>
      </c>
      <c r="KN151" s="64"/>
      <c r="KO151" s="74"/>
      <c r="KP151" s="73">
        <f t="shared" ca="1" si="1236"/>
        <v>0</v>
      </c>
      <c r="KQ151" s="64"/>
      <c r="KR151" s="74"/>
      <c r="KS151" s="73">
        <f t="shared" ca="1" si="1237"/>
        <v>0</v>
      </c>
      <c r="KT151" s="64"/>
      <c r="KU151" s="74"/>
      <c r="KV151" s="73">
        <f t="shared" ca="1" si="1238"/>
        <v>0</v>
      </c>
      <c r="KW151" s="64"/>
      <c r="KX151" s="74"/>
      <c r="KY151" s="73">
        <f t="shared" ca="1" si="1239"/>
        <v>0</v>
      </c>
      <c r="KZ151" s="64"/>
      <c r="LA151" s="74"/>
      <c r="LB151" s="73">
        <f t="shared" ca="1" si="1240"/>
        <v>0</v>
      </c>
      <c r="LC151" s="64"/>
      <c r="LD151" s="74"/>
      <c r="LE151" s="73">
        <f t="shared" ca="1" si="1241"/>
        <v>0</v>
      </c>
      <c r="LF151" s="64"/>
      <c r="LG151" s="64"/>
    </row>
    <row r="152" spans="1:319">
      <c r="A152" s="49"/>
      <c r="B152" s="49"/>
      <c r="C152" s="49"/>
      <c r="D152" s="49"/>
      <c r="E152" s="65"/>
      <c r="F152" s="127">
        <f t="shared" si="1242"/>
        <v>5</v>
      </c>
      <c r="G152" s="445">
        <f ca="1">VLOOKUP(H152,Equipos!$Q$1:$R$25,2,0)</f>
        <v>19</v>
      </c>
      <c r="H152" s="447" t="str">
        <f>Idiomas!$D$137</f>
        <v>QUALIFIED FOR ROUND OF 32</v>
      </c>
      <c r="I152" s="50"/>
      <c r="J152" s="845"/>
      <c r="K152" s="56" t="str">
        <f>Idiomas!$D$198&amp;"-"&amp;ROWS($L$130:L152)</f>
        <v>16-Finalist-23</v>
      </c>
      <c r="L152" s="53"/>
      <c r="M152" s="55" t="str">
        <f ca="1">WORLDCUP!AF107</f>
        <v>Ecuador</v>
      </c>
      <c r="N152" s="25"/>
      <c r="O152" s="25"/>
      <c r="P152" s="25"/>
      <c r="Q152" s="25"/>
      <c r="R152" s="110"/>
      <c r="S152" s="74" t="s">
        <v>1641</v>
      </c>
      <c r="T152" s="73">
        <f t="shared" ca="1" si="1142"/>
        <v>5</v>
      </c>
      <c r="U152" s="64"/>
      <c r="V152" s="74" t="s">
        <v>1639</v>
      </c>
      <c r="W152" s="73">
        <f t="shared" ca="1" si="1143"/>
        <v>0</v>
      </c>
      <c r="X152" s="64"/>
      <c r="Y152" s="74" t="s">
        <v>1641</v>
      </c>
      <c r="Z152" s="73">
        <f t="shared" ca="1" si="1144"/>
        <v>5</v>
      </c>
      <c r="AA152" s="64"/>
      <c r="AB152" s="74" t="s">
        <v>1641</v>
      </c>
      <c r="AC152" s="73">
        <f t="shared" ca="1" si="1145"/>
        <v>5</v>
      </c>
      <c r="AD152" s="64"/>
      <c r="AE152" s="74" t="s">
        <v>1639</v>
      </c>
      <c r="AF152" s="73">
        <f t="shared" ca="1" si="1146"/>
        <v>0</v>
      </c>
      <c r="AG152" s="64"/>
      <c r="AH152" s="74" t="s">
        <v>298</v>
      </c>
      <c r="AI152" s="73">
        <f t="shared" ca="1" si="1147"/>
        <v>0</v>
      </c>
      <c r="AJ152" s="64"/>
      <c r="AK152" s="74" t="s">
        <v>1261</v>
      </c>
      <c r="AL152" s="73">
        <f t="shared" ca="1" si="1148"/>
        <v>5</v>
      </c>
      <c r="AM152" s="64"/>
      <c r="AN152" s="74" t="s">
        <v>1261</v>
      </c>
      <c r="AO152" s="73">
        <f t="shared" ca="1" si="1149"/>
        <v>5</v>
      </c>
      <c r="AP152" s="64"/>
      <c r="AQ152" s="74" t="s">
        <v>298</v>
      </c>
      <c r="AR152" s="73">
        <f t="shared" ca="1" si="1150"/>
        <v>0</v>
      </c>
      <c r="AS152" s="64"/>
      <c r="AT152" s="74" t="s">
        <v>1639</v>
      </c>
      <c r="AU152" s="73">
        <f t="shared" ca="1" si="1151"/>
        <v>0</v>
      </c>
      <c r="AV152" s="64"/>
      <c r="AW152" s="74" t="s">
        <v>1641</v>
      </c>
      <c r="AX152" s="73">
        <f t="shared" ca="1" si="1152"/>
        <v>5</v>
      </c>
      <c r="AY152" s="64"/>
      <c r="AZ152" s="74" t="s">
        <v>298</v>
      </c>
      <c r="BA152" s="73">
        <f t="shared" ca="1" si="1153"/>
        <v>0</v>
      </c>
      <c r="BB152" s="64"/>
      <c r="BC152" s="74" t="s">
        <v>1639</v>
      </c>
      <c r="BD152" s="73">
        <f t="shared" ca="1" si="1154"/>
        <v>0</v>
      </c>
      <c r="BE152" s="64"/>
      <c r="BF152" s="74" t="s">
        <v>1639</v>
      </c>
      <c r="BG152" s="73">
        <f t="shared" ca="1" si="1155"/>
        <v>0</v>
      </c>
      <c r="BH152" s="64"/>
      <c r="BI152" s="74" t="s">
        <v>1556</v>
      </c>
      <c r="BJ152" s="73">
        <f t="shared" ca="1" si="1156"/>
        <v>5</v>
      </c>
      <c r="BK152" s="64"/>
      <c r="BL152" s="74" t="s">
        <v>1641</v>
      </c>
      <c r="BM152" s="73">
        <f t="shared" ca="1" si="1157"/>
        <v>5</v>
      </c>
      <c r="BN152" s="64"/>
      <c r="BO152" s="74" t="s">
        <v>298</v>
      </c>
      <c r="BP152" s="73">
        <f t="shared" ca="1" si="1158"/>
        <v>0</v>
      </c>
      <c r="BQ152" s="64"/>
      <c r="BR152" s="74" t="s">
        <v>1261</v>
      </c>
      <c r="BS152" s="73">
        <f t="shared" ca="1" si="1159"/>
        <v>5</v>
      </c>
      <c r="BT152" s="64"/>
      <c r="BU152" s="74" t="s">
        <v>1641</v>
      </c>
      <c r="BV152" s="73">
        <f t="shared" ca="1" si="1160"/>
        <v>5</v>
      </c>
      <c r="BW152" s="64"/>
      <c r="BX152" s="74" t="s">
        <v>298</v>
      </c>
      <c r="BY152" s="73">
        <f t="shared" ca="1" si="1161"/>
        <v>0</v>
      </c>
      <c r="BZ152" s="64"/>
      <c r="CA152" s="74" t="s">
        <v>1261</v>
      </c>
      <c r="CB152" s="73">
        <f t="shared" ca="1" si="1162"/>
        <v>5</v>
      </c>
      <c r="CC152" s="64"/>
      <c r="CD152" s="74" t="s">
        <v>1727</v>
      </c>
      <c r="CE152" s="73">
        <f t="shared" ca="1" si="1163"/>
        <v>0</v>
      </c>
      <c r="CF152" s="64"/>
      <c r="CG152" s="74" t="s">
        <v>298</v>
      </c>
      <c r="CH152" s="73">
        <f t="shared" ca="1" si="1164"/>
        <v>0</v>
      </c>
      <c r="CI152" s="64"/>
      <c r="CJ152" s="74" t="s">
        <v>298</v>
      </c>
      <c r="CK152" s="73">
        <f t="shared" ca="1" si="1165"/>
        <v>0</v>
      </c>
      <c r="CL152" s="64"/>
      <c r="CM152" s="74" t="s">
        <v>298</v>
      </c>
      <c r="CN152" s="73">
        <f t="shared" ca="1" si="1166"/>
        <v>0</v>
      </c>
      <c r="CO152" s="64"/>
      <c r="CP152" s="74" t="s">
        <v>298</v>
      </c>
      <c r="CQ152" s="73">
        <f t="shared" ca="1" si="1167"/>
        <v>0</v>
      </c>
      <c r="CR152" s="64"/>
      <c r="CS152" s="74" t="s">
        <v>298</v>
      </c>
      <c r="CT152" s="73">
        <f t="shared" ca="1" si="1168"/>
        <v>0</v>
      </c>
      <c r="CU152" s="64"/>
      <c r="CV152" s="74" t="s">
        <v>1326</v>
      </c>
      <c r="CW152" s="73">
        <f t="shared" ca="1" si="1169"/>
        <v>5</v>
      </c>
      <c r="CX152" s="64"/>
      <c r="CY152" s="74" t="s">
        <v>1556</v>
      </c>
      <c r="CZ152" s="73">
        <f t="shared" ca="1" si="1170"/>
        <v>5</v>
      </c>
      <c r="DA152" s="64"/>
      <c r="DB152" s="74" t="s">
        <v>298</v>
      </c>
      <c r="DC152" s="73">
        <f t="shared" ca="1" si="1171"/>
        <v>0</v>
      </c>
      <c r="DD152" s="64"/>
      <c r="DE152" s="74" t="s">
        <v>1641</v>
      </c>
      <c r="DF152" s="73">
        <f t="shared" ca="1" si="1172"/>
        <v>5</v>
      </c>
      <c r="DG152" s="64"/>
      <c r="DH152" s="74" t="s">
        <v>298</v>
      </c>
      <c r="DI152" s="73">
        <f t="shared" ca="1" si="1173"/>
        <v>0</v>
      </c>
      <c r="DJ152" s="64"/>
      <c r="DK152" s="74" t="s">
        <v>1326</v>
      </c>
      <c r="DL152" s="73">
        <f t="shared" ca="1" si="1174"/>
        <v>5</v>
      </c>
      <c r="DM152" s="64"/>
      <c r="DN152" s="74" t="s">
        <v>298</v>
      </c>
      <c r="DO152" s="73">
        <f t="shared" ca="1" si="1175"/>
        <v>0</v>
      </c>
      <c r="DP152" s="64"/>
      <c r="DQ152" s="74" t="s">
        <v>298</v>
      </c>
      <c r="DR152" s="73">
        <f t="shared" ca="1" si="1176"/>
        <v>0</v>
      </c>
      <c r="DS152" s="64"/>
      <c r="DT152" s="74" t="s">
        <v>298</v>
      </c>
      <c r="DU152" s="73">
        <f t="shared" ca="1" si="1177"/>
        <v>0</v>
      </c>
      <c r="DV152" s="64"/>
      <c r="DW152" s="74" t="s">
        <v>1727</v>
      </c>
      <c r="DX152" s="73">
        <f t="shared" ca="1" si="1178"/>
        <v>0</v>
      </c>
      <c r="DY152" s="64"/>
      <c r="DZ152" s="74" t="s">
        <v>1261</v>
      </c>
      <c r="EA152" s="73">
        <f t="shared" ca="1" si="1179"/>
        <v>5</v>
      </c>
      <c r="EB152" s="64"/>
      <c r="EC152" s="74" t="s">
        <v>1261</v>
      </c>
      <c r="ED152" s="73">
        <f t="shared" ca="1" si="1180"/>
        <v>5</v>
      </c>
      <c r="EE152" s="64"/>
      <c r="EF152" s="74" t="s">
        <v>1318</v>
      </c>
      <c r="EG152" s="73">
        <f t="shared" ca="1" si="1181"/>
        <v>0</v>
      </c>
      <c r="EH152" s="64"/>
      <c r="EI152" s="74" t="s">
        <v>1641</v>
      </c>
      <c r="EJ152" s="73">
        <f t="shared" ca="1" si="1182"/>
        <v>5</v>
      </c>
      <c r="EK152" s="64"/>
      <c r="EL152" s="74" t="s">
        <v>1641</v>
      </c>
      <c r="EM152" s="73">
        <f t="shared" ca="1" si="1183"/>
        <v>5</v>
      </c>
      <c r="EN152" s="64"/>
      <c r="EO152" s="74" t="s">
        <v>1834</v>
      </c>
      <c r="EP152" s="73">
        <f t="shared" ca="1" si="1184"/>
        <v>5</v>
      </c>
      <c r="EQ152" s="64"/>
      <c r="ER152" s="74" t="s">
        <v>1641</v>
      </c>
      <c r="ES152" s="73">
        <f t="shared" ca="1" si="1185"/>
        <v>5</v>
      </c>
      <c r="ET152" s="64"/>
      <c r="EU152" s="74" t="s">
        <v>1641</v>
      </c>
      <c r="EV152" s="73">
        <f t="shared" ca="1" si="1186"/>
        <v>5</v>
      </c>
      <c r="EW152" s="64"/>
      <c r="EX152" s="74" t="s">
        <v>1261</v>
      </c>
      <c r="EY152" s="73">
        <f t="shared" ca="1" si="1187"/>
        <v>5</v>
      </c>
      <c r="EZ152" s="64"/>
      <c r="FA152" s="74" t="s">
        <v>1284</v>
      </c>
      <c r="FB152" s="73">
        <f t="shared" ca="1" si="1188"/>
        <v>5</v>
      </c>
      <c r="FC152" s="64"/>
      <c r="FD152" s="74" t="s">
        <v>1639</v>
      </c>
      <c r="FE152" s="73">
        <f t="shared" ca="1" si="1189"/>
        <v>0</v>
      </c>
      <c r="FF152" s="64"/>
      <c r="FG152" s="74" t="s">
        <v>298</v>
      </c>
      <c r="FH152" s="73">
        <f t="shared" ca="1" si="1190"/>
        <v>0</v>
      </c>
      <c r="FI152" s="64"/>
      <c r="FJ152" s="74" t="s">
        <v>1641</v>
      </c>
      <c r="FK152" s="73">
        <f t="shared" ca="1" si="1191"/>
        <v>5</v>
      </c>
      <c r="FL152" s="64"/>
      <c r="FM152" s="74" t="s">
        <v>298</v>
      </c>
      <c r="FN152" s="73">
        <f t="shared" ca="1" si="1192"/>
        <v>0</v>
      </c>
      <c r="FO152" s="64"/>
      <c r="FP152" s="74" t="s">
        <v>1261</v>
      </c>
      <c r="FQ152" s="73">
        <f t="shared" ca="1" si="1193"/>
        <v>5</v>
      </c>
      <c r="FR152" s="64"/>
      <c r="FS152" s="74" t="s">
        <v>298</v>
      </c>
      <c r="FT152" s="73">
        <f t="shared" ca="1" si="1194"/>
        <v>0</v>
      </c>
      <c r="FU152" s="64"/>
      <c r="FV152" s="74" t="s">
        <v>1634</v>
      </c>
      <c r="FW152" s="73">
        <f t="shared" ca="1" si="1195"/>
        <v>5</v>
      </c>
      <c r="FX152" s="64"/>
      <c r="FY152" s="74" t="s">
        <v>1641</v>
      </c>
      <c r="FZ152" s="73">
        <f t="shared" ca="1" si="1196"/>
        <v>5</v>
      </c>
      <c r="GA152" s="64"/>
      <c r="GB152" s="74" t="s">
        <v>298</v>
      </c>
      <c r="GC152" s="73">
        <f t="shared" ca="1" si="1197"/>
        <v>0</v>
      </c>
      <c r="GD152" s="64"/>
      <c r="GE152" s="74" t="s">
        <v>298</v>
      </c>
      <c r="GF152" s="73">
        <f t="shared" ca="1" si="1198"/>
        <v>0</v>
      </c>
      <c r="GG152" s="64"/>
      <c r="GH152" s="74" t="s">
        <v>1639</v>
      </c>
      <c r="GI152" s="73">
        <f t="shared" ca="1" si="1199"/>
        <v>0</v>
      </c>
      <c r="GJ152" s="64"/>
      <c r="GK152" s="74" t="s">
        <v>298</v>
      </c>
      <c r="GL152" s="73">
        <f t="shared" ca="1" si="1200"/>
        <v>0</v>
      </c>
      <c r="GM152" s="64"/>
      <c r="GN152" s="74"/>
      <c r="GO152" s="73">
        <f t="shared" ca="1" si="1201"/>
        <v>0</v>
      </c>
      <c r="GP152" s="64"/>
      <c r="GQ152" s="74"/>
      <c r="GR152" s="73">
        <f t="shared" ca="1" si="1202"/>
        <v>0</v>
      </c>
      <c r="GS152" s="64"/>
      <c r="GT152" s="74"/>
      <c r="GU152" s="73">
        <f t="shared" ca="1" si="1203"/>
        <v>0</v>
      </c>
      <c r="GV152" s="64"/>
      <c r="GW152" s="74"/>
      <c r="GX152" s="73">
        <f t="shared" ca="1" si="1204"/>
        <v>0</v>
      </c>
      <c r="GY152" s="64"/>
      <c r="GZ152" s="74"/>
      <c r="HA152" s="73">
        <f t="shared" ca="1" si="1205"/>
        <v>0</v>
      </c>
      <c r="HB152" s="64"/>
      <c r="HC152" s="74"/>
      <c r="HD152" s="73">
        <f t="shared" ca="1" si="1206"/>
        <v>0</v>
      </c>
      <c r="HE152" s="64"/>
      <c r="HF152" s="74"/>
      <c r="HG152" s="73">
        <f t="shared" ca="1" si="1207"/>
        <v>0</v>
      </c>
      <c r="HH152" s="64"/>
      <c r="HI152" s="74"/>
      <c r="HJ152" s="73">
        <f t="shared" ca="1" si="1208"/>
        <v>0</v>
      </c>
      <c r="HK152" s="64"/>
      <c r="HL152" s="74"/>
      <c r="HM152" s="73">
        <f t="shared" ca="1" si="1209"/>
        <v>0</v>
      </c>
      <c r="HN152" s="64"/>
      <c r="HO152" s="74"/>
      <c r="HP152" s="73">
        <f t="shared" ca="1" si="1210"/>
        <v>0</v>
      </c>
      <c r="HQ152" s="64"/>
      <c r="HR152" s="74"/>
      <c r="HS152" s="73">
        <f t="shared" ca="1" si="1211"/>
        <v>0</v>
      </c>
      <c r="HT152" s="64"/>
      <c r="HU152" s="74"/>
      <c r="HV152" s="73">
        <f t="shared" ca="1" si="1212"/>
        <v>0</v>
      </c>
      <c r="HW152" s="64"/>
      <c r="HX152" s="74"/>
      <c r="HY152" s="73">
        <f t="shared" ca="1" si="1213"/>
        <v>0</v>
      </c>
      <c r="HZ152" s="64"/>
      <c r="IA152" s="74"/>
      <c r="IB152" s="73">
        <f t="shared" ca="1" si="1214"/>
        <v>0</v>
      </c>
      <c r="IC152" s="64"/>
      <c r="ID152" s="74"/>
      <c r="IE152" s="73">
        <f t="shared" ca="1" si="1215"/>
        <v>0</v>
      </c>
      <c r="IF152" s="64"/>
      <c r="IG152" s="74"/>
      <c r="IH152" s="73">
        <f t="shared" ca="1" si="1216"/>
        <v>0</v>
      </c>
      <c r="II152" s="64"/>
      <c r="IJ152" s="74"/>
      <c r="IK152" s="73">
        <f t="shared" ca="1" si="1217"/>
        <v>0</v>
      </c>
      <c r="IL152" s="64"/>
      <c r="IM152" s="74"/>
      <c r="IN152" s="73">
        <f t="shared" ca="1" si="1218"/>
        <v>0</v>
      </c>
      <c r="IO152" s="64"/>
      <c r="IP152" s="74"/>
      <c r="IQ152" s="73">
        <f t="shared" ca="1" si="1219"/>
        <v>0</v>
      </c>
      <c r="IR152" s="64"/>
      <c r="IS152" s="74"/>
      <c r="IT152" s="73">
        <f t="shared" ca="1" si="1220"/>
        <v>0</v>
      </c>
      <c r="IU152" s="64"/>
      <c r="IV152" s="74"/>
      <c r="IW152" s="73">
        <f t="shared" ca="1" si="1221"/>
        <v>0</v>
      </c>
      <c r="IX152" s="64"/>
      <c r="IY152" s="74"/>
      <c r="IZ152" s="73">
        <f t="shared" ca="1" si="1222"/>
        <v>0</v>
      </c>
      <c r="JA152" s="64"/>
      <c r="JB152" s="74"/>
      <c r="JC152" s="73">
        <f t="shared" ca="1" si="1223"/>
        <v>0</v>
      </c>
      <c r="JD152" s="64"/>
      <c r="JE152" s="74"/>
      <c r="JF152" s="73">
        <f t="shared" ca="1" si="1224"/>
        <v>0</v>
      </c>
      <c r="JG152" s="64"/>
      <c r="JH152" s="74"/>
      <c r="JI152" s="73">
        <f t="shared" ca="1" si="1225"/>
        <v>0</v>
      </c>
      <c r="JJ152" s="64"/>
      <c r="JK152" s="74"/>
      <c r="JL152" s="73">
        <f t="shared" ca="1" si="1226"/>
        <v>0</v>
      </c>
      <c r="JM152" s="64"/>
      <c r="JN152" s="74"/>
      <c r="JO152" s="73">
        <f t="shared" ca="1" si="1227"/>
        <v>0</v>
      </c>
      <c r="JP152" s="64"/>
      <c r="JQ152" s="74"/>
      <c r="JR152" s="73">
        <f t="shared" ca="1" si="1228"/>
        <v>0</v>
      </c>
      <c r="JS152" s="64"/>
      <c r="JT152" s="74"/>
      <c r="JU152" s="73">
        <f t="shared" ca="1" si="1229"/>
        <v>0</v>
      </c>
      <c r="JV152" s="64"/>
      <c r="JW152" s="74"/>
      <c r="JX152" s="73">
        <f t="shared" ca="1" si="1230"/>
        <v>0</v>
      </c>
      <c r="JY152" s="64"/>
      <c r="JZ152" s="74"/>
      <c r="KA152" s="73">
        <f t="shared" ca="1" si="1231"/>
        <v>0</v>
      </c>
      <c r="KB152" s="64"/>
      <c r="KC152" s="74"/>
      <c r="KD152" s="73">
        <f t="shared" ca="1" si="1232"/>
        <v>0</v>
      </c>
      <c r="KE152" s="64"/>
      <c r="KF152" s="74"/>
      <c r="KG152" s="73">
        <f t="shared" ca="1" si="1233"/>
        <v>0</v>
      </c>
      <c r="KH152" s="64"/>
      <c r="KI152" s="74"/>
      <c r="KJ152" s="73">
        <f t="shared" ca="1" si="1234"/>
        <v>0</v>
      </c>
      <c r="KK152" s="64"/>
      <c r="KL152" s="74"/>
      <c r="KM152" s="73">
        <f t="shared" ca="1" si="1235"/>
        <v>0</v>
      </c>
      <c r="KN152" s="64"/>
      <c r="KO152" s="74"/>
      <c r="KP152" s="73">
        <f t="shared" ca="1" si="1236"/>
        <v>0</v>
      </c>
      <c r="KQ152" s="64"/>
      <c r="KR152" s="74"/>
      <c r="KS152" s="73">
        <f t="shared" ca="1" si="1237"/>
        <v>0</v>
      </c>
      <c r="KT152" s="64"/>
      <c r="KU152" s="74"/>
      <c r="KV152" s="73">
        <f t="shared" ca="1" si="1238"/>
        <v>0</v>
      </c>
      <c r="KW152" s="64"/>
      <c r="KX152" s="74"/>
      <c r="KY152" s="73">
        <f t="shared" ca="1" si="1239"/>
        <v>0</v>
      </c>
      <c r="KZ152" s="64"/>
      <c r="LA152" s="74"/>
      <c r="LB152" s="73">
        <f t="shared" ca="1" si="1240"/>
        <v>0</v>
      </c>
      <c r="LC152" s="64"/>
      <c r="LD152" s="74"/>
      <c r="LE152" s="73">
        <f t="shared" ca="1" si="1241"/>
        <v>0</v>
      </c>
      <c r="LF152" s="64"/>
      <c r="LG152" s="64"/>
    </row>
    <row r="153" spans="1:319">
      <c r="A153" s="49"/>
      <c r="B153" s="49"/>
      <c r="C153" s="49"/>
      <c r="D153" s="49"/>
      <c r="E153" s="65"/>
      <c r="F153" s="127">
        <f t="shared" si="1242"/>
        <v>5</v>
      </c>
      <c r="G153" s="445">
        <f ca="1">VLOOKUP(H153,Equipos!$Q$1:$R$25,2,0)</f>
        <v>19</v>
      </c>
      <c r="H153" s="447" t="str">
        <f>Idiomas!$D$137</f>
        <v>QUALIFIED FOR ROUND OF 32</v>
      </c>
      <c r="I153" s="50"/>
      <c r="J153" s="845"/>
      <c r="K153" s="56" t="str">
        <f>Idiomas!$D$198&amp;"-"&amp;ROWS($L$130:L153)</f>
        <v>16-Finalist-24</v>
      </c>
      <c r="L153" s="53"/>
      <c r="M153" s="55" t="str">
        <f ca="1">WORLDCUP!AF108</f>
        <v>DR Congo</v>
      </c>
      <c r="N153" s="25"/>
      <c r="O153" s="25"/>
      <c r="P153" s="25"/>
      <c r="Q153" s="25"/>
      <c r="R153" s="110"/>
      <c r="S153" s="74" t="s">
        <v>299</v>
      </c>
      <c r="T153" s="73">
        <f t="shared" ca="1" si="1142"/>
        <v>5</v>
      </c>
      <c r="U153" s="64"/>
      <c r="V153" s="74" t="s">
        <v>1840</v>
      </c>
      <c r="W153" s="73">
        <f t="shared" ca="1" si="1143"/>
        <v>5</v>
      </c>
      <c r="X153" s="64"/>
      <c r="Y153" s="74" t="s">
        <v>1840</v>
      </c>
      <c r="Z153" s="73">
        <f t="shared" ca="1" si="1144"/>
        <v>5</v>
      </c>
      <c r="AA153" s="64"/>
      <c r="AB153" s="74" t="s">
        <v>1634</v>
      </c>
      <c r="AC153" s="73">
        <f t="shared" ca="1" si="1145"/>
        <v>5</v>
      </c>
      <c r="AD153" s="64"/>
      <c r="AE153" s="74" t="s">
        <v>1634</v>
      </c>
      <c r="AF153" s="73">
        <f t="shared" ca="1" si="1146"/>
        <v>5</v>
      </c>
      <c r="AG153" s="64"/>
      <c r="AH153" s="74" t="s">
        <v>1840</v>
      </c>
      <c r="AI153" s="73">
        <f t="shared" ca="1" si="1147"/>
        <v>5</v>
      </c>
      <c r="AJ153" s="64"/>
      <c r="AK153" s="74" t="s">
        <v>1292</v>
      </c>
      <c r="AL153" s="73">
        <f t="shared" ca="1" si="1148"/>
        <v>0</v>
      </c>
      <c r="AM153" s="64"/>
      <c r="AN153" s="74" t="s">
        <v>1840</v>
      </c>
      <c r="AO153" s="73">
        <f t="shared" ca="1" si="1149"/>
        <v>5</v>
      </c>
      <c r="AP153" s="64"/>
      <c r="AQ153" s="74" t="s">
        <v>1559</v>
      </c>
      <c r="AR153" s="73">
        <f t="shared" ca="1" si="1150"/>
        <v>5</v>
      </c>
      <c r="AS153" s="64"/>
      <c r="AT153" s="74" t="s">
        <v>1727</v>
      </c>
      <c r="AU153" s="73">
        <f t="shared" ca="1" si="1151"/>
        <v>0</v>
      </c>
      <c r="AV153" s="64"/>
      <c r="AW153" s="74" t="s">
        <v>1840</v>
      </c>
      <c r="AX153" s="73">
        <f t="shared" ca="1" si="1152"/>
        <v>5</v>
      </c>
      <c r="AY153" s="64"/>
      <c r="AZ153" s="74" t="s">
        <v>1634</v>
      </c>
      <c r="BA153" s="73">
        <f t="shared" ca="1" si="1153"/>
        <v>5</v>
      </c>
      <c r="BB153" s="64"/>
      <c r="BC153" s="74" t="s">
        <v>1292</v>
      </c>
      <c r="BD153" s="73">
        <f t="shared" ca="1" si="1154"/>
        <v>0</v>
      </c>
      <c r="BE153" s="64"/>
      <c r="BF153" s="74" t="s">
        <v>1758</v>
      </c>
      <c r="BG153" s="73">
        <f t="shared" ca="1" si="1155"/>
        <v>0</v>
      </c>
      <c r="BH153" s="64"/>
      <c r="BI153" s="74" t="s">
        <v>1641</v>
      </c>
      <c r="BJ153" s="73">
        <f t="shared" ca="1" si="1156"/>
        <v>5</v>
      </c>
      <c r="BK153" s="64"/>
      <c r="BL153" s="74" t="s">
        <v>1634</v>
      </c>
      <c r="BM153" s="73">
        <f t="shared" ca="1" si="1157"/>
        <v>5</v>
      </c>
      <c r="BN153" s="64"/>
      <c r="BO153" s="74" t="s">
        <v>1641</v>
      </c>
      <c r="BP153" s="73">
        <f t="shared" ca="1" si="1158"/>
        <v>5</v>
      </c>
      <c r="BQ153" s="64"/>
      <c r="BR153" s="74" t="s">
        <v>1634</v>
      </c>
      <c r="BS153" s="73">
        <f t="shared" ca="1" si="1159"/>
        <v>5</v>
      </c>
      <c r="BT153" s="64"/>
      <c r="BU153" s="74" t="s">
        <v>1840</v>
      </c>
      <c r="BV153" s="73">
        <f t="shared" ca="1" si="1160"/>
        <v>5</v>
      </c>
      <c r="BW153" s="64"/>
      <c r="BX153" s="74" t="s">
        <v>1292</v>
      </c>
      <c r="BY153" s="73">
        <f t="shared" ca="1" si="1161"/>
        <v>0</v>
      </c>
      <c r="BZ153" s="64"/>
      <c r="CA153" s="74" t="s">
        <v>299</v>
      </c>
      <c r="CB153" s="73">
        <f t="shared" ca="1" si="1162"/>
        <v>5</v>
      </c>
      <c r="CC153" s="64"/>
      <c r="CD153" s="74" t="s">
        <v>1634</v>
      </c>
      <c r="CE153" s="73">
        <f t="shared" ca="1" si="1163"/>
        <v>5</v>
      </c>
      <c r="CF153" s="64"/>
      <c r="CG153" s="74" t="s">
        <v>1634</v>
      </c>
      <c r="CH153" s="73">
        <f t="shared" ca="1" si="1164"/>
        <v>5</v>
      </c>
      <c r="CI153" s="64"/>
      <c r="CJ153" s="74" t="s">
        <v>1840</v>
      </c>
      <c r="CK153" s="73">
        <f t="shared" ca="1" si="1165"/>
        <v>5</v>
      </c>
      <c r="CL153" s="64"/>
      <c r="CM153" s="74" t="s">
        <v>1261</v>
      </c>
      <c r="CN153" s="73">
        <f t="shared" ca="1" si="1166"/>
        <v>5</v>
      </c>
      <c r="CO153" s="64"/>
      <c r="CP153" s="74" t="s">
        <v>1559</v>
      </c>
      <c r="CQ153" s="73">
        <f t="shared" ca="1" si="1167"/>
        <v>5</v>
      </c>
      <c r="CR153" s="64"/>
      <c r="CS153" s="74" t="s">
        <v>294</v>
      </c>
      <c r="CT153" s="73">
        <f t="shared" ca="1" si="1168"/>
        <v>5</v>
      </c>
      <c r="CU153" s="64"/>
      <c r="CV153" s="74" t="s">
        <v>1292</v>
      </c>
      <c r="CW153" s="73">
        <f t="shared" ca="1" si="1169"/>
        <v>0</v>
      </c>
      <c r="CX153" s="64"/>
      <c r="CY153" s="74" t="s">
        <v>299</v>
      </c>
      <c r="CZ153" s="73">
        <f t="shared" ca="1" si="1170"/>
        <v>5</v>
      </c>
      <c r="DA153" s="64"/>
      <c r="DB153" s="74" t="s">
        <v>299</v>
      </c>
      <c r="DC153" s="73">
        <f t="shared" ca="1" si="1171"/>
        <v>5</v>
      </c>
      <c r="DD153" s="64"/>
      <c r="DE153" s="74" t="s">
        <v>1634</v>
      </c>
      <c r="DF153" s="73">
        <f t="shared" ca="1" si="1172"/>
        <v>5</v>
      </c>
      <c r="DG153" s="64"/>
      <c r="DH153" s="74" t="s">
        <v>1634</v>
      </c>
      <c r="DI153" s="73">
        <f t="shared" ca="1" si="1173"/>
        <v>5</v>
      </c>
      <c r="DJ153" s="64"/>
      <c r="DK153" s="74" t="s">
        <v>1634</v>
      </c>
      <c r="DL153" s="73">
        <f t="shared" ca="1" si="1174"/>
        <v>5</v>
      </c>
      <c r="DM153" s="64"/>
      <c r="DN153" s="74" t="s">
        <v>299</v>
      </c>
      <c r="DO153" s="73">
        <f t="shared" ca="1" si="1175"/>
        <v>5</v>
      </c>
      <c r="DP153" s="64"/>
      <c r="DQ153" s="74" t="s">
        <v>1634</v>
      </c>
      <c r="DR153" s="73">
        <f t="shared" ca="1" si="1176"/>
        <v>5</v>
      </c>
      <c r="DS153" s="64"/>
      <c r="DT153" s="74" t="s">
        <v>1634</v>
      </c>
      <c r="DU153" s="73">
        <f t="shared" ca="1" si="1177"/>
        <v>5</v>
      </c>
      <c r="DV153" s="64"/>
      <c r="DW153" s="74" t="s">
        <v>1292</v>
      </c>
      <c r="DX153" s="73">
        <f t="shared" ca="1" si="1178"/>
        <v>0</v>
      </c>
      <c r="DY153" s="64"/>
      <c r="DZ153" s="74" t="s">
        <v>1634</v>
      </c>
      <c r="EA153" s="73">
        <f t="shared" ca="1" si="1179"/>
        <v>5</v>
      </c>
      <c r="EB153" s="64"/>
      <c r="EC153" s="74" t="s">
        <v>1634</v>
      </c>
      <c r="ED153" s="73">
        <f t="shared" ca="1" si="1180"/>
        <v>5</v>
      </c>
      <c r="EE153" s="64"/>
      <c r="EF153" s="74" t="s">
        <v>299</v>
      </c>
      <c r="EG153" s="73">
        <f t="shared" ca="1" si="1181"/>
        <v>5</v>
      </c>
      <c r="EH153" s="64"/>
      <c r="EI153" s="74" t="s">
        <v>1559</v>
      </c>
      <c r="EJ153" s="73">
        <f t="shared" ca="1" si="1182"/>
        <v>5</v>
      </c>
      <c r="EK153" s="64"/>
      <c r="EL153" s="74" t="s">
        <v>299</v>
      </c>
      <c r="EM153" s="73">
        <f t="shared" ca="1" si="1183"/>
        <v>5</v>
      </c>
      <c r="EN153" s="64"/>
      <c r="EO153" s="74" t="s">
        <v>1634</v>
      </c>
      <c r="EP153" s="73">
        <f t="shared" ca="1" si="1184"/>
        <v>5</v>
      </c>
      <c r="EQ153" s="64"/>
      <c r="ER153" s="74" t="s">
        <v>1292</v>
      </c>
      <c r="ES153" s="73">
        <f t="shared" ca="1" si="1185"/>
        <v>0</v>
      </c>
      <c r="ET153" s="64"/>
      <c r="EU153" s="74" t="s">
        <v>1840</v>
      </c>
      <c r="EV153" s="73">
        <f t="shared" ca="1" si="1186"/>
        <v>5</v>
      </c>
      <c r="EW153" s="64"/>
      <c r="EX153" s="74" t="s">
        <v>1634</v>
      </c>
      <c r="EY153" s="73">
        <f t="shared" ca="1" si="1187"/>
        <v>5</v>
      </c>
      <c r="EZ153" s="64"/>
      <c r="FA153" s="74" t="s">
        <v>299</v>
      </c>
      <c r="FB153" s="73">
        <f t="shared" ca="1" si="1188"/>
        <v>5</v>
      </c>
      <c r="FC153" s="64"/>
      <c r="FD153" s="74" t="s">
        <v>1261</v>
      </c>
      <c r="FE153" s="73">
        <f t="shared" ca="1" si="1189"/>
        <v>5</v>
      </c>
      <c r="FF153" s="64"/>
      <c r="FG153" s="74" t="s">
        <v>1634</v>
      </c>
      <c r="FH153" s="73">
        <f t="shared" ca="1" si="1190"/>
        <v>5</v>
      </c>
      <c r="FI153" s="64"/>
      <c r="FJ153" s="74" t="s">
        <v>299</v>
      </c>
      <c r="FK153" s="73">
        <f t="shared" ca="1" si="1191"/>
        <v>5</v>
      </c>
      <c r="FL153" s="64"/>
      <c r="FM153" s="74" t="s">
        <v>1559</v>
      </c>
      <c r="FN153" s="73">
        <f t="shared" ca="1" si="1192"/>
        <v>5</v>
      </c>
      <c r="FO153" s="64"/>
      <c r="FP153" s="74" t="s">
        <v>1634</v>
      </c>
      <c r="FQ153" s="73">
        <f t="shared" ca="1" si="1193"/>
        <v>5</v>
      </c>
      <c r="FR153" s="64"/>
      <c r="FS153" s="74" t="s">
        <v>299</v>
      </c>
      <c r="FT153" s="73">
        <f t="shared" ca="1" si="1194"/>
        <v>5</v>
      </c>
      <c r="FU153" s="64"/>
      <c r="FV153" s="74" t="s">
        <v>1292</v>
      </c>
      <c r="FW153" s="73">
        <f t="shared" ca="1" si="1195"/>
        <v>0</v>
      </c>
      <c r="FX153" s="64"/>
      <c r="FY153" s="74" t="s">
        <v>1292</v>
      </c>
      <c r="FZ153" s="73">
        <f t="shared" ca="1" si="1196"/>
        <v>0</v>
      </c>
      <c r="GA153" s="64"/>
      <c r="GB153" s="74" t="s">
        <v>1634</v>
      </c>
      <c r="GC153" s="73">
        <f t="shared" ca="1" si="1197"/>
        <v>5</v>
      </c>
      <c r="GD153" s="64"/>
      <c r="GE153" s="74" t="s">
        <v>299</v>
      </c>
      <c r="GF153" s="73">
        <f t="shared" ca="1" si="1198"/>
        <v>5</v>
      </c>
      <c r="GG153" s="64"/>
      <c r="GH153" s="74" t="s">
        <v>1634</v>
      </c>
      <c r="GI153" s="73">
        <f t="shared" ca="1" si="1199"/>
        <v>5</v>
      </c>
      <c r="GJ153" s="64"/>
      <c r="GK153" s="74" t="s">
        <v>80</v>
      </c>
      <c r="GL153" s="73">
        <f t="shared" ca="1" si="1200"/>
        <v>5</v>
      </c>
      <c r="GM153" s="64"/>
      <c r="GN153" s="74"/>
      <c r="GO153" s="73">
        <f t="shared" ca="1" si="1201"/>
        <v>0</v>
      </c>
      <c r="GP153" s="64"/>
      <c r="GQ153" s="74"/>
      <c r="GR153" s="73">
        <f t="shared" ca="1" si="1202"/>
        <v>0</v>
      </c>
      <c r="GS153" s="64"/>
      <c r="GT153" s="74"/>
      <c r="GU153" s="73">
        <f t="shared" ca="1" si="1203"/>
        <v>0</v>
      </c>
      <c r="GV153" s="64"/>
      <c r="GW153" s="74"/>
      <c r="GX153" s="73">
        <f t="shared" ca="1" si="1204"/>
        <v>0</v>
      </c>
      <c r="GY153" s="64"/>
      <c r="GZ153" s="74"/>
      <c r="HA153" s="73">
        <f t="shared" ca="1" si="1205"/>
        <v>0</v>
      </c>
      <c r="HB153" s="64"/>
      <c r="HC153" s="74"/>
      <c r="HD153" s="73">
        <f t="shared" ca="1" si="1206"/>
        <v>0</v>
      </c>
      <c r="HE153" s="64"/>
      <c r="HF153" s="74"/>
      <c r="HG153" s="73">
        <f t="shared" ca="1" si="1207"/>
        <v>0</v>
      </c>
      <c r="HH153" s="64"/>
      <c r="HI153" s="74"/>
      <c r="HJ153" s="73">
        <f t="shared" ca="1" si="1208"/>
        <v>0</v>
      </c>
      <c r="HK153" s="64"/>
      <c r="HL153" s="74"/>
      <c r="HM153" s="73">
        <f t="shared" ca="1" si="1209"/>
        <v>0</v>
      </c>
      <c r="HN153" s="64"/>
      <c r="HO153" s="74"/>
      <c r="HP153" s="73">
        <f t="shared" ca="1" si="1210"/>
        <v>0</v>
      </c>
      <c r="HQ153" s="64"/>
      <c r="HR153" s="74"/>
      <c r="HS153" s="73">
        <f t="shared" ca="1" si="1211"/>
        <v>0</v>
      </c>
      <c r="HT153" s="64"/>
      <c r="HU153" s="74"/>
      <c r="HV153" s="73">
        <f t="shared" ca="1" si="1212"/>
        <v>0</v>
      </c>
      <c r="HW153" s="64"/>
      <c r="HX153" s="74"/>
      <c r="HY153" s="73">
        <f t="shared" ca="1" si="1213"/>
        <v>0</v>
      </c>
      <c r="HZ153" s="64"/>
      <c r="IA153" s="74"/>
      <c r="IB153" s="73">
        <f t="shared" ca="1" si="1214"/>
        <v>0</v>
      </c>
      <c r="IC153" s="64"/>
      <c r="ID153" s="74"/>
      <c r="IE153" s="73">
        <f t="shared" ca="1" si="1215"/>
        <v>0</v>
      </c>
      <c r="IF153" s="64"/>
      <c r="IG153" s="74"/>
      <c r="IH153" s="73">
        <f t="shared" ca="1" si="1216"/>
        <v>0</v>
      </c>
      <c r="II153" s="64"/>
      <c r="IJ153" s="74"/>
      <c r="IK153" s="73">
        <f t="shared" ca="1" si="1217"/>
        <v>0</v>
      </c>
      <c r="IL153" s="64"/>
      <c r="IM153" s="74"/>
      <c r="IN153" s="73">
        <f t="shared" ca="1" si="1218"/>
        <v>0</v>
      </c>
      <c r="IO153" s="64"/>
      <c r="IP153" s="74"/>
      <c r="IQ153" s="73">
        <f t="shared" ca="1" si="1219"/>
        <v>0</v>
      </c>
      <c r="IR153" s="64"/>
      <c r="IS153" s="74"/>
      <c r="IT153" s="73">
        <f t="shared" ca="1" si="1220"/>
        <v>0</v>
      </c>
      <c r="IU153" s="64"/>
      <c r="IV153" s="74"/>
      <c r="IW153" s="73">
        <f t="shared" ca="1" si="1221"/>
        <v>0</v>
      </c>
      <c r="IX153" s="64"/>
      <c r="IY153" s="74"/>
      <c r="IZ153" s="73">
        <f t="shared" ca="1" si="1222"/>
        <v>0</v>
      </c>
      <c r="JA153" s="64"/>
      <c r="JB153" s="74"/>
      <c r="JC153" s="73">
        <f t="shared" ca="1" si="1223"/>
        <v>0</v>
      </c>
      <c r="JD153" s="64"/>
      <c r="JE153" s="74"/>
      <c r="JF153" s="73">
        <f t="shared" ca="1" si="1224"/>
        <v>0</v>
      </c>
      <c r="JG153" s="64"/>
      <c r="JH153" s="74"/>
      <c r="JI153" s="73">
        <f t="shared" ca="1" si="1225"/>
        <v>0</v>
      </c>
      <c r="JJ153" s="64"/>
      <c r="JK153" s="74"/>
      <c r="JL153" s="73">
        <f t="shared" ca="1" si="1226"/>
        <v>0</v>
      </c>
      <c r="JM153" s="64"/>
      <c r="JN153" s="74"/>
      <c r="JO153" s="73">
        <f t="shared" ca="1" si="1227"/>
        <v>0</v>
      </c>
      <c r="JP153" s="64"/>
      <c r="JQ153" s="74"/>
      <c r="JR153" s="73">
        <f t="shared" ca="1" si="1228"/>
        <v>0</v>
      </c>
      <c r="JS153" s="64"/>
      <c r="JT153" s="74"/>
      <c r="JU153" s="73">
        <f t="shared" ca="1" si="1229"/>
        <v>0</v>
      </c>
      <c r="JV153" s="64"/>
      <c r="JW153" s="74"/>
      <c r="JX153" s="73">
        <f t="shared" ca="1" si="1230"/>
        <v>0</v>
      </c>
      <c r="JY153" s="64"/>
      <c r="JZ153" s="74"/>
      <c r="KA153" s="73">
        <f t="shared" ca="1" si="1231"/>
        <v>0</v>
      </c>
      <c r="KB153" s="64"/>
      <c r="KC153" s="74"/>
      <c r="KD153" s="73">
        <f t="shared" ca="1" si="1232"/>
        <v>0</v>
      </c>
      <c r="KE153" s="64"/>
      <c r="KF153" s="74"/>
      <c r="KG153" s="73">
        <f t="shared" ca="1" si="1233"/>
        <v>0</v>
      </c>
      <c r="KH153" s="64"/>
      <c r="KI153" s="74"/>
      <c r="KJ153" s="73">
        <f t="shared" ca="1" si="1234"/>
        <v>0</v>
      </c>
      <c r="KK153" s="64"/>
      <c r="KL153" s="74"/>
      <c r="KM153" s="73">
        <f t="shared" ca="1" si="1235"/>
        <v>0</v>
      </c>
      <c r="KN153" s="64"/>
      <c r="KO153" s="74"/>
      <c r="KP153" s="73">
        <f t="shared" ca="1" si="1236"/>
        <v>0</v>
      </c>
      <c r="KQ153" s="64"/>
      <c r="KR153" s="74"/>
      <c r="KS153" s="73">
        <f t="shared" ca="1" si="1237"/>
        <v>0</v>
      </c>
      <c r="KT153" s="64"/>
      <c r="KU153" s="74"/>
      <c r="KV153" s="73">
        <f t="shared" ca="1" si="1238"/>
        <v>0</v>
      </c>
      <c r="KW153" s="64"/>
      <c r="KX153" s="74"/>
      <c r="KY153" s="73">
        <f t="shared" ca="1" si="1239"/>
        <v>0</v>
      </c>
      <c r="KZ153" s="64"/>
      <c r="LA153" s="74"/>
      <c r="LB153" s="73">
        <f t="shared" ca="1" si="1240"/>
        <v>0</v>
      </c>
      <c r="LC153" s="64"/>
      <c r="LD153" s="74"/>
      <c r="LE153" s="73">
        <f t="shared" ca="1" si="1241"/>
        <v>0</v>
      </c>
      <c r="LF153" s="64"/>
      <c r="LG153" s="64"/>
    </row>
    <row r="154" spans="1:319">
      <c r="A154" s="49"/>
      <c r="B154" s="49"/>
      <c r="C154" s="49"/>
      <c r="D154" s="49"/>
      <c r="E154" s="65"/>
      <c r="F154" s="127">
        <f t="shared" si="1242"/>
        <v>5</v>
      </c>
      <c r="G154" s="445">
        <f ca="1">VLOOKUP(H154,Equipos!$Q$1:$R$25,2,0)</f>
        <v>19</v>
      </c>
      <c r="H154" s="447" t="str">
        <f>Idiomas!$D$137</f>
        <v>QUALIFIED FOR ROUND OF 32</v>
      </c>
      <c r="I154" s="50"/>
      <c r="J154" s="845"/>
      <c r="K154" s="56" t="str">
        <f>Idiomas!$D$198&amp;"-"&amp;ROWS($L$130:L154)</f>
        <v>16-Finalist-25</v>
      </c>
      <c r="L154" s="53"/>
      <c r="M154" s="55" t="str">
        <f ca="1">WORLDCUP!AF109</f>
        <v>Senegal</v>
      </c>
      <c r="N154" s="25"/>
      <c r="O154" s="25"/>
      <c r="P154" s="25"/>
      <c r="Q154" s="25"/>
      <c r="R154" s="110"/>
      <c r="S154" s="74" t="s">
        <v>1844</v>
      </c>
      <c r="T154" s="73">
        <f t="shared" ca="1" si="1142"/>
        <v>0</v>
      </c>
      <c r="U154" s="64"/>
      <c r="V154" s="74" t="s">
        <v>1278</v>
      </c>
      <c r="W154" s="73">
        <f t="shared" ca="1" si="1143"/>
        <v>0</v>
      </c>
      <c r="X154" s="64"/>
      <c r="Y154" s="74" t="s">
        <v>1556</v>
      </c>
      <c r="Z154" s="73">
        <f t="shared" ca="1" si="1144"/>
        <v>5</v>
      </c>
      <c r="AA154" s="64"/>
      <c r="AB154" s="74" t="s">
        <v>1844</v>
      </c>
      <c r="AC154" s="73">
        <f t="shared" ca="1" si="1145"/>
        <v>0</v>
      </c>
      <c r="AD154" s="64"/>
      <c r="AE154" s="74" t="s">
        <v>1844</v>
      </c>
      <c r="AF154" s="73">
        <f t="shared" ca="1" si="1146"/>
        <v>0</v>
      </c>
      <c r="AG154" s="64"/>
      <c r="AH154" s="74" t="s">
        <v>299</v>
      </c>
      <c r="AI154" s="73">
        <f t="shared" ca="1" si="1147"/>
        <v>5</v>
      </c>
      <c r="AJ154" s="64"/>
      <c r="AK154" s="74" t="s">
        <v>1634</v>
      </c>
      <c r="AL154" s="73">
        <f t="shared" ca="1" si="1148"/>
        <v>5</v>
      </c>
      <c r="AM154" s="64"/>
      <c r="AN154" s="74" t="s">
        <v>1844</v>
      </c>
      <c r="AO154" s="73">
        <f t="shared" ca="1" si="1149"/>
        <v>0</v>
      </c>
      <c r="AP154" s="64"/>
      <c r="AQ154" s="74" t="s">
        <v>1278</v>
      </c>
      <c r="AR154" s="73">
        <f t="shared" ca="1" si="1150"/>
        <v>0</v>
      </c>
      <c r="AS154" s="64"/>
      <c r="AT154" s="74" t="s">
        <v>1278</v>
      </c>
      <c r="AU154" s="73">
        <f t="shared" ca="1" si="1151"/>
        <v>0</v>
      </c>
      <c r="AV154" s="64"/>
      <c r="AW154" s="74" t="s">
        <v>299</v>
      </c>
      <c r="AX154" s="73">
        <f t="shared" ca="1" si="1152"/>
        <v>5</v>
      </c>
      <c r="AY154" s="64"/>
      <c r="AZ154" s="74" t="s">
        <v>1278</v>
      </c>
      <c r="BA154" s="73">
        <f t="shared" ca="1" si="1153"/>
        <v>0</v>
      </c>
      <c r="BB154" s="64"/>
      <c r="BC154" s="74" t="s">
        <v>1278</v>
      </c>
      <c r="BD154" s="73">
        <f t="shared" ca="1" si="1154"/>
        <v>0</v>
      </c>
      <c r="BE154" s="64"/>
      <c r="BF154" s="74" t="s">
        <v>1635</v>
      </c>
      <c r="BG154" s="73">
        <f t="shared" ca="1" si="1155"/>
        <v>5</v>
      </c>
      <c r="BH154" s="64"/>
      <c r="BI154" s="74" t="s">
        <v>1635</v>
      </c>
      <c r="BJ154" s="73">
        <f t="shared" ca="1" si="1156"/>
        <v>5</v>
      </c>
      <c r="BK154" s="64"/>
      <c r="BL154" s="74" t="s">
        <v>1844</v>
      </c>
      <c r="BM154" s="73">
        <f t="shared" ca="1" si="1157"/>
        <v>0</v>
      </c>
      <c r="BN154" s="64"/>
      <c r="BO154" s="74" t="s">
        <v>1278</v>
      </c>
      <c r="BP154" s="73">
        <f t="shared" ca="1" si="1158"/>
        <v>0</v>
      </c>
      <c r="BQ154" s="64"/>
      <c r="BR154" s="74" t="s">
        <v>1278</v>
      </c>
      <c r="BS154" s="73">
        <f t="shared" ca="1" si="1159"/>
        <v>0</v>
      </c>
      <c r="BT154" s="64"/>
      <c r="BU154" s="74" t="s">
        <v>1559</v>
      </c>
      <c r="BV154" s="73">
        <f t="shared" ca="1" si="1160"/>
        <v>5</v>
      </c>
      <c r="BW154" s="64"/>
      <c r="BX154" s="74" t="s">
        <v>1635</v>
      </c>
      <c r="BY154" s="73">
        <f t="shared" ca="1" si="1161"/>
        <v>5</v>
      </c>
      <c r="BZ154" s="64"/>
      <c r="CA154" s="74" t="s">
        <v>1278</v>
      </c>
      <c r="CB154" s="73">
        <f t="shared" ca="1" si="1162"/>
        <v>0</v>
      </c>
      <c r="CC154" s="64"/>
      <c r="CD154" s="74" t="s">
        <v>1844</v>
      </c>
      <c r="CE154" s="73">
        <f t="shared" ca="1" si="1163"/>
        <v>0</v>
      </c>
      <c r="CF154" s="64"/>
      <c r="CG154" s="74" t="s">
        <v>1844</v>
      </c>
      <c r="CH154" s="73">
        <f t="shared" ca="1" si="1164"/>
        <v>0</v>
      </c>
      <c r="CI154" s="64"/>
      <c r="CJ154" s="74" t="s">
        <v>1635</v>
      </c>
      <c r="CK154" s="73">
        <f t="shared" ca="1" si="1165"/>
        <v>5</v>
      </c>
      <c r="CL154" s="64"/>
      <c r="CM154" s="74" t="s">
        <v>80</v>
      </c>
      <c r="CN154" s="73">
        <f t="shared" ca="1" si="1166"/>
        <v>5</v>
      </c>
      <c r="CO154" s="64"/>
      <c r="CP154" s="74" t="s">
        <v>1844</v>
      </c>
      <c r="CQ154" s="73">
        <f t="shared" ca="1" si="1167"/>
        <v>0</v>
      </c>
      <c r="CR154" s="64"/>
      <c r="CS154" s="74" t="s">
        <v>1635</v>
      </c>
      <c r="CT154" s="73">
        <f t="shared" ca="1" si="1168"/>
        <v>5</v>
      </c>
      <c r="CU154" s="64"/>
      <c r="CV154" s="74" t="s">
        <v>80</v>
      </c>
      <c r="CW154" s="73">
        <f t="shared" ca="1" si="1169"/>
        <v>5</v>
      </c>
      <c r="CX154" s="64"/>
      <c r="CY154" s="74" t="s">
        <v>1278</v>
      </c>
      <c r="CZ154" s="73">
        <f t="shared" ca="1" si="1170"/>
        <v>0</v>
      </c>
      <c r="DA154" s="64"/>
      <c r="DB154" s="74" t="s">
        <v>1278</v>
      </c>
      <c r="DC154" s="73">
        <f t="shared" ca="1" si="1171"/>
        <v>0</v>
      </c>
      <c r="DD154" s="64"/>
      <c r="DE154" s="74" t="s">
        <v>1278</v>
      </c>
      <c r="DF154" s="73">
        <f t="shared" ca="1" si="1172"/>
        <v>0</v>
      </c>
      <c r="DG154" s="64"/>
      <c r="DH154" s="74" t="s">
        <v>1635</v>
      </c>
      <c r="DI154" s="73">
        <f t="shared" ca="1" si="1173"/>
        <v>5</v>
      </c>
      <c r="DJ154" s="64"/>
      <c r="DK154" s="74" t="s">
        <v>1278</v>
      </c>
      <c r="DL154" s="73">
        <f t="shared" ca="1" si="1174"/>
        <v>0</v>
      </c>
      <c r="DM154" s="64"/>
      <c r="DN154" s="74" t="s">
        <v>1639</v>
      </c>
      <c r="DO154" s="73">
        <f t="shared" ca="1" si="1175"/>
        <v>0</v>
      </c>
      <c r="DP154" s="64"/>
      <c r="DQ154" s="74" t="s">
        <v>1844</v>
      </c>
      <c r="DR154" s="73">
        <f t="shared" ca="1" si="1176"/>
        <v>0</v>
      </c>
      <c r="DS154" s="64"/>
      <c r="DT154" s="74" t="s">
        <v>1278</v>
      </c>
      <c r="DU154" s="73">
        <f t="shared" ca="1" si="1177"/>
        <v>0</v>
      </c>
      <c r="DV154" s="64"/>
      <c r="DW154" s="74" t="s">
        <v>1559</v>
      </c>
      <c r="DX154" s="73">
        <f t="shared" ca="1" si="1178"/>
        <v>5</v>
      </c>
      <c r="DY154" s="64"/>
      <c r="DZ154" s="74" t="s">
        <v>1278</v>
      </c>
      <c r="EA154" s="73">
        <f t="shared" ca="1" si="1179"/>
        <v>0</v>
      </c>
      <c r="EB154" s="64"/>
      <c r="EC154" s="74" t="s">
        <v>1278</v>
      </c>
      <c r="ED154" s="73">
        <f t="shared" ca="1" si="1180"/>
        <v>0</v>
      </c>
      <c r="EE154" s="64"/>
      <c r="EF154" s="74" t="s">
        <v>80</v>
      </c>
      <c r="EG154" s="73">
        <f t="shared" ca="1" si="1181"/>
        <v>5</v>
      </c>
      <c r="EH154" s="64"/>
      <c r="EI154" s="74" t="s">
        <v>1278</v>
      </c>
      <c r="EJ154" s="73">
        <f t="shared" ca="1" si="1182"/>
        <v>0</v>
      </c>
      <c r="EK154" s="64"/>
      <c r="EL154" s="74" t="s">
        <v>1278</v>
      </c>
      <c r="EM154" s="73">
        <f t="shared" ca="1" si="1183"/>
        <v>0</v>
      </c>
      <c r="EN154" s="64"/>
      <c r="EO154" s="74" t="s">
        <v>1635</v>
      </c>
      <c r="EP154" s="73">
        <f t="shared" ca="1" si="1184"/>
        <v>5</v>
      </c>
      <c r="EQ154" s="64"/>
      <c r="ER154" s="74" t="s">
        <v>1844</v>
      </c>
      <c r="ES154" s="73">
        <f t="shared" ca="1" si="1185"/>
        <v>0</v>
      </c>
      <c r="ET154" s="64"/>
      <c r="EU154" s="74" t="s">
        <v>1844</v>
      </c>
      <c r="EV154" s="73">
        <f t="shared" ca="1" si="1186"/>
        <v>0</v>
      </c>
      <c r="EW154" s="64"/>
      <c r="EX154" s="74" t="s">
        <v>1844</v>
      </c>
      <c r="EY154" s="73">
        <f t="shared" ca="1" si="1187"/>
        <v>0</v>
      </c>
      <c r="EZ154" s="64"/>
      <c r="FA154" s="74" t="s">
        <v>1278</v>
      </c>
      <c r="FB154" s="73">
        <f t="shared" ca="1" si="1188"/>
        <v>0</v>
      </c>
      <c r="FC154" s="64"/>
      <c r="FD154" s="74" t="s">
        <v>1635</v>
      </c>
      <c r="FE154" s="73">
        <f t="shared" ca="1" si="1189"/>
        <v>5</v>
      </c>
      <c r="FF154" s="64"/>
      <c r="FG154" s="74" t="s">
        <v>1261</v>
      </c>
      <c r="FH154" s="73">
        <f t="shared" ca="1" si="1190"/>
        <v>5</v>
      </c>
      <c r="FI154" s="64"/>
      <c r="FJ154" s="74" t="s">
        <v>1278</v>
      </c>
      <c r="FK154" s="73">
        <f t="shared" ca="1" si="1191"/>
        <v>0</v>
      </c>
      <c r="FL154" s="64"/>
      <c r="FM154" s="74" t="s">
        <v>1278</v>
      </c>
      <c r="FN154" s="73">
        <f t="shared" ca="1" si="1192"/>
        <v>0</v>
      </c>
      <c r="FO154" s="64"/>
      <c r="FP154" s="74" t="s">
        <v>1278</v>
      </c>
      <c r="FQ154" s="73">
        <f t="shared" ca="1" si="1193"/>
        <v>0</v>
      </c>
      <c r="FR154" s="64"/>
      <c r="FS154" s="74" t="s">
        <v>1559</v>
      </c>
      <c r="FT154" s="73">
        <f t="shared" ca="1" si="1194"/>
        <v>5</v>
      </c>
      <c r="FU154" s="64"/>
      <c r="FV154" s="74" t="s">
        <v>1844</v>
      </c>
      <c r="FW154" s="73">
        <f t="shared" ca="1" si="1195"/>
        <v>0</v>
      </c>
      <c r="FX154" s="64"/>
      <c r="FY154" s="74" t="s">
        <v>1635</v>
      </c>
      <c r="FZ154" s="73">
        <f t="shared" ca="1" si="1196"/>
        <v>5</v>
      </c>
      <c r="GA154" s="64"/>
      <c r="GB154" s="74" t="s">
        <v>1278</v>
      </c>
      <c r="GC154" s="73">
        <f t="shared" ca="1" si="1197"/>
        <v>0</v>
      </c>
      <c r="GD154" s="64"/>
      <c r="GE154" s="74" t="s">
        <v>1278</v>
      </c>
      <c r="GF154" s="73">
        <f t="shared" ca="1" si="1198"/>
        <v>0</v>
      </c>
      <c r="GG154" s="64"/>
      <c r="GH154" s="74" t="s">
        <v>1844</v>
      </c>
      <c r="GI154" s="73">
        <f t="shared" ca="1" si="1199"/>
        <v>0</v>
      </c>
      <c r="GJ154" s="64"/>
      <c r="GK154" s="74" t="s">
        <v>1635</v>
      </c>
      <c r="GL154" s="73">
        <f t="shared" ca="1" si="1200"/>
        <v>5</v>
      </c>
      <c r="GM154" s="64"/>
      <c r="GN154" s="74"/>
      <c r="GO154" s="73">
        <f t="shared" ca="1" si="1201"/>
        <v>0</v>
      </c>
      <c r="GP154" s="64"/>
      <c r="GQ154" s="74"/>
      <c r="GR154" s="73">
        <f t="shared" ca="1" si="1202"/>
        <v>0</v>
      </c>
      <c r="GS154" s="64"/>
      <c r="GT154" s="74"/>
      <c r="GU154" s="73">
        <f t="shared" ca="1" si="1203"/>
        <v>0</v>
      </c>
      <c r="GV154" s="64"/>
      <c r="GW154" s="74"/>
      <c r="GX154" s="73">
        <f t="shared" ca="1" si="1204"/>
        <v>0</v>
      </c>
      <c r="GY154" s="64"/>
      <c r="GZ154" s="74"/>
      <c r="HA154" s="73">
        <f t="shared" ca="1" si="1205"/>
        <v>0</v>
      </c>
      <c r="HB154" s="64"/>
      <c r="HC154" s="74"/>
      <c r="HD154" s="73">
        <f t="shared" ca="1" si="1206"/>
        <v>0</v>
      </c>
      <c r="HE154" s="64"/>
      <c r="HF154" s="74"/>
      <c r="HG154" s="73">
        <f t="shared" ca="1" si="1207"/>
        <v>0</v>
      </c>
      <c r="HH154" s="64"/>
      <c r="HI154" s="74"/>
      <c r="HJ154" s="73">
        <f t="shared" ca="1" si="1208"/>
        <v>0</v>
      </c>
      <c r="HK154" s="64"/>
      <c r="HL154" s="74"/>
      <c r="HM154" s="73">
        <f t="shared" ca="1" si="1209"/>
        <v>0</v>
      </c>
      <c r="HN154" s="64"/>
      <c r="HO154" s="74"/>
      <c r="HP154" s="73">
        <f t="shared" ca="1" si="1210"/>
        <v>0</v>
      </c>
      <c r="HQ154" s="64"/>
      <c r="HR154" s="74"/>
      <c r="HS154" s="73">
        <f t="shared" ca="1" si="1211"/>
        <v>0</v>
      </c>
      <c r="HT154" s="64"/>
      <c r="HU154" s="74"/>
      <c r="HV154" s="73">
        <f t="shared" ca="1" si="1212"/>
        <v>0</v>
      </c>
      <c r="HW154" s="64"/>
      <c r="HX154" s="74"/>
      <c r="HY154" s="73">
        <f t="shared" ca="1" si="1213"/>
        <v>0</v>
      </c>
      <c r="HZ154" s="64"/>
      <c r="IA154" s="74"/>
      <c r="IB154" s="73">
        <f t="shared" ca="1" si="1214"/>
        <v>0</v>
      </c>
      <c r="IC154" s="64"/>
      <c r="ID154" s="74"/>
      <c r="IE154" s="73">
        <f t="shared" ca="1" si="1215"/>
        <v>0</v>
      </c>
      <c r="IF154" s="64"/>
      <c r="IG154" s="74"/>
      <c r="IH154" s="73">
        <f t="shared" ca="1" si="1216"/>
        <v>0</v>
      </c>
      <c r="II154" s="64"/>
      <c r="IJ154" s="74"/>
      <c r="IK154" s="73">
        <f t="shared" ca="1" si="1217"/>
        <v>0</v>
      </c>
      <c r="IL154" s="64"/>
      <c r="IM154" s="74"/>
      <c r="IN154" s="73">
        <f t="shared" ca="1" si="1218"/>
        <v>0</v>
      </c>
      <c r="IO154" s="64"/>
      <c r="IP154" s="74"/>
      <c r="IQ154" s="73">
        <f t="shared" ca="1" si="1219"/>
        <v>0</v>
      </c>
      <c r="IR154" s="64"/>
      <c r="IS154" s="74"/>
      <c r="IT154" s="73">
        <f t="shared" ca="1" si="1220"/>
        <v>0</v>
      </c>
      <c r="IU154" s="64"/>
      <c r="IV154" s="74"/>
      <c r="IW154" s="73">
        <f t="shared" ca="1" si="1221"/>
        <v>0</v>
      </c>
      <c r="IX154" s="64"/>
      <c r="IY154" s="74"/>
      <c r="IZ154" s="73">
        <f t="shared" ca="1" si="1222"/>
        <v>0</v>
      </c>
      <c r="JA154" s="64"/>
      <c r="JB154" s="74"/>
      <c r="JC154" s="73">
        <f t="shared" ca="1" si="1223"/>
        <v>0</v>
      </c>
      <c r="JD154" s="64"/>
      <c r="JE154" s="74"/>
      <c r="JF154" s="73">
        <f t="shared" ca="1" si="1224"/>
        <v>0</v>
      </c>
      <c r="JG154" s="64"/>
      <c r="JH154" s="74"/>
      <c r="JI154" s="73">
        <f t="shared" ca="1" si="1225"/>
        <v>0</v>
      </c>
      <c r="JJ154" s="64"/>
      <c r="JK154" s="74"/>
      <c r="JL154" s="73">
        <f t="shared" ca="1" si="1226"/>
        <v>0</v>
      </c>
      <c r="JM154" s="64"/>
      <c r="JN154" s="74"/>
      <c r="JO154" s="73">
        <f t="shared" ca="1" si="1227"/>
        <v>0</v>
      </c>
      <c r="JP154" s="64"/>
      <c r="JQ154" s="74"/>
      <c r="JR154" s="73">
        <f t="shared" ca="1" si="1228"/>
        <v>0</v>
      </c>
      <c r="JS154" s="64"/>
      <c r="JT154" s="74"/>
      <c r="JU154" s="73">
        <f t="shared" ca="1" si="1229"/>
        <v>0</v>
      </c>
      <c r="JV154" s="64"/>
      <c r="JW154" s="74"/>
      <c r="JX154" s="73">
        <f t="shared" ca="1" si="1230"/>
        <v>0</v>
      </c>
      <c r="JY154" s="64"/>
      <c r="JZ154" s="74"/>
      <c r="KA154" s="73">
        <f t="shared" ca="1" si="1231"/>
        <v>0</v>
      </c>
      <c r="KB154" s="64"/>
      <c r="KC154" s="74"/>
      <c r="KD154" s="73">
        <f t="shared" ca="1" si="1232"/>
        <v>0</v>
      </c>
      <c r="KE154" s="64"/>
      <c r="KF154" s="74"/>
      <c r="KG154" s="73">
        <f t="shared" ca="1" si="1233"/>
        <v>0</v>
      </c>
      <c r="KH154" s="64"/>
      <c r="KI154" s="74"/>
      <c r="KJ154" s="73">
        <f t="shared" ca="1" si="1234"/>
        <v>0</v>
      </c>
      <c r="KK154" s="64"/>
      <c r="KL154" s="74"/>
      <c r="KM154" s="73">
        <f t="shared" ca="1" si="1235"/>
        <v>0</v>
      </c>
      <c r="KN154" s="64"/>
      <c r="KO154" s="74"/>
      <c r="KP154" s="73">
        <f t="shared" ca="1" si="1236"/>
        <v>0</v>
      </c>
      <c r="KQ154" s="64"/>
      <c r="KR154" s="74"/>
      <c r="KS154" s="73">
        <f t="shared" ca="1" si="1237"/>
        <v>0</v>
      </c>
      <c r="KT154" s="64"/>
      <c r="KU154" s="74"/>
      <c r="KV154" s="73">
        <f t="shared" ca="1" si="1238"/>
        <v>0</v>
      </c>
      <c r="KW154" s="64"/>
      <c r="KX154" s="74"/>
      <c r="KY154" s="73">
        <f t="shared" ca="1" si="1239"/>
        <v>0</v>
      </c>
      <c r="KZ154" s="64"/>
      <c r="LA154" s="74"/>
      <c r="LB154" s="73">
        <f t="shared" ca="1" si="1240"/>
        <v>0</v>
      </c>
      <c r="LC154" s="64"/>
      <c r="LD154" s="74"/>
      <c r="LE154" s="73">
        <f t="shared" ca="1" si="1241"/>
        <v>0</v>
      </c>
      <c r="LF154" s="64"/>
      <c r="LG154" s="64"/>
    </row>
    <row r="155" spans="1:319">
      <c r="A155" s="49"/>
      <c r="B155" s="49"/>
      <c r="C155" s="49"/>
      <c r="D155" s="49"/>
      <c r="E155" s="65"/>
      <c r="F155" s="127">
        <f t="shared" si="1242"/>
        <v>5</v>
      </c>
      <c r="G155" s="445">
        <f ca="1">VLOOKUP(H155,Equipos!$Q$1:$R$25,2,0)</f>
        <v>19</v>
      </c>
      <c r="H155" s="447" t="str">
        <f>Idiomas!$D$137</f>
        <v>QUALIFIED FOR ROUND OF 32</v>
      </c>
      <c r="I155" s="50"/>
      <c r="J155" s="845"/>
      <c r="K155" s="56" t="str">
        <f>Idiomas!$D$198&amp;"-"&amp;ROWS($L$130:L155)</f>
        <v>16-Finalist-26</v>
      </c>
      <c r="L155" s="53"/>
      <c r="M155" s="55" t="str">
        <f ca="1">WORLDCUP!AF110</f>
        <v>Bosnia and Herzegovina</v>
      </c>
      <c r="N155" s="25"/>
      <c r="O155" s="25"/>
      <c r="P155" s="25"/>
      <c r="Q155" s="25"/>
      <c r="R155" s="110"/>
      <c r="S155" s="74" t="s">
        <v>1276</v>
      </c>
      <c r="T155" s="73">
        <f t="shared" ca="1" si="1142"/>
        <v>5</v>
      </c>
      <c r="U155" s="64"/>
      <c r="V155" s="74" t="s">
        <v>1634</v>
      </c>
      <c r="W155" s="73">
        <f t="shared" ca="1" si="1143"/>
        <v>5</v>
      </c>
      <c r="X155" s="64"/>
      <c r="Y155" s="74" t="s">
        <v>1842</v>
      </c>
      <c r="Z155" s="73">
        <f t="shared" ca="1" si="1144"/>
        <v>5</v>
      </c>
      <c r="AA155" s="64"/>
      <c r="AB155" s="74" t="s">
        <v>1842</v>
      </c>
      <c r="AC155" s="73">
        <f t="shared" ca="1" si="1145"/>
        <v>5</v>
      </c>
      <c r="AD155" s="64"/>
      <c r="AE155" s="74" t="s">
        <v>1641</v>
      </c>
      <c r="AF155" s="73">
        <f t="shared" ca="1" si="1146"/>
        <v>5</v>
      </c>
      <c r="AG155" s="64"/>
      <c r="AH155" s="74" t="s">
        <v>1641</v>
      </c>
      <c r="AI155" s="73">
        <f t="shared" ca="1" si="1147"/>
        <v>5</v>
      </c>
      <c r="AJ155" s="64"/>
      <c r="AK155" s="74" t="s">
        <v>1637</v>
      </c>
      <c r="AL155" s="73">
        <f t="shared" ca="1" si="1148"/>
        <v>0</v>
      </c>
      <c r="AM155" s="64"/>
      <c r="AN155" s="74" t="s">
        <v>1842</v>
      </c>
      <c r="AO155" s="73">
        <f t="shared" ca="1" si="1149"/>
        <v>5</v>
      </c>
      <c r="AP155" s="64"/>
      <c r="AQ155" s="74" t="s">
        <v>290</v>
      </c>
      <c r="AR155" s="73">
        <f t="shared" ca="1" si="1150"/>
        <v>5</v>
      </c>
      <c r="AS155" s="64"/>
      <c r="AT155" s="74" t="s">
        <v>1842</v>
      </c>
      <c r="AU155" s="73">
        <f t="shared" ca="1" si="1151"/>
        <v>5</v>
      </c>
      <c r="AV155" s="64"/>
      <c r="AW155" s="74" t="s">
        <v>290</v>
      </c>
      <c r="AX155" s="73">
        <f t="shared" ca="1" si="1152"/>
        <v>5</v>
      </c>
      <c r="AY155" s="64"/>
      <c r="AZ155" s="74" t="s">
        <v>1842</v>
      </c>
      <c r="BA155" s="73">
        <f t="shared" ca="1" si="1153"/>
        <v>5</v>
      </c>
      <c r="BB155" s="64"/>
      <c r="BC155" s="74" t="s">
        <v>1634</v>
      </c>
      <c r="BD155" s="73">
        <f t="shared" ca="1" si="1154"/>
        <v>5</v>
      </c>
      <c r="BE155" s="64"/>
      <c r="BF155" s="74" t="s">
        <v>1842</v>
      </c>
      <c r="BG155" s="73">
        <f t="shared" ca="1" si="1155"/>
        <v>5</v>
      </c>
      <c r="BH155" s="64"/>
      <c r="BI155" s="74" t="s">
        <v>1559</v>
      </c>
      <c r="BJ155" s="73">
        <f t="shared" ca="1" si="1156"/>
        <v>5</v>
      </c>
      <c r="BK155" s="64"/>
      <c r="BL155" s="74" t="s">
        <v>1842</v>
      </c>
      <c r="BM155" s="73">
        <f t="shared" ca="1" si="1157"/>
        <v>5</v>
      </c>
      <c r="BN155" s="64"/>
      <c r="BO155" s="74" t="s">
        <v>1842</v>
      </c>
      <c r="BP155" s="73">
        <f t="shared" ca="1" si="1158"/>
        <v>5</v>
      </c>
      <c r="BQ155" s="64"/>
      <c r="BR155" s="74" t="s">
        <v>1842</v>
      </c>
      <c r="BS155" s="73">
        <f t="shared" ca="1" si="1159"/>
        <v>5</v>
      </c>
      <c r="BT155" s="64"/>
      <c r="BU155" s="74" t="s">
        <v>1634</v>
      </c>
      <c r="BV155" s="73">
        <f t="shared" ca="1" si="1160"/>
        <v>5</v>
      </c>
      <c r="BW155" s="64"/>
      <c r="BX155" s="74" t="s">
        <v>1727</v>
      </c>
      <c r="BY155" s="73">
        <f t="shared" ca="1" si="1161"/>
        <v>0</v>
      </c>
      <c r="BZ155" s="64"/>
      <c r="CA155" s="74" t="s">
        <v>1559</v>
      </c>
      <c r="CB155" s="73">
        <f t="shared" ca="1" si="1162"/>
        <v>5</v>
      </c>
      <c r="CC155" s="64"/>
      <c r="CD155" s="74" t="s">
        <v>1637</v>
      </c>
      <c r="CE155" s="73">
        <f t="shared" ca="1" si="1163"/>
        <v>0</v>
      </c>
      <c r="CF155" s="64"/>
      <c r="CG155" s="74" t="s">
        <v>1842</v>
      </c>
      <c r="CH155" s="73">
        <f t="shared" ca="1" si="1164"/>
        <v>5</v>
      </c>
      <c r="CI155" s="64"/>
      <c r="CJ155" s="74" t="s">
        <v>1634</v>
      </c>
      <c r="CK155" s="73">
        <f t="shared" ca="1" si="1165"/>
        <v>5</v>
      </c>
      <c r="CL155" s="64"/>
      <c r="CM155" s="74" t="s">
        <v>1842</v>
      </c>
      <c r="CN155" s="73">
        <f t="shared" ca="1" si="1166"/>
        <v>5</v>
      </c>
      <c r="CO155" s="64"/>
      <c r="CP155" s="74" t="s">
        <v>1276</v>
      </c>
      <c r="CQ155" s="73">
        <f t="shared" ca="1" si="1167"/>
        <v>5</v>
      </c>
      <c r="CR155" s="64"/>
      <c r="CS155" s="74" t="s">
        <v>1842</v>
      </c>
      <c r="CT155" s="73">
        <f t="shared" ca="1" si="1168"/>
        <v>5</v>
      </c>
      <c r="CU155" s="64"/>
      <c r="CV155" s="74" t="s">
        <v>1637</v>
      </c>
      <c r="CW155" s="73">
        <f t="shared" ca="1" si="1169"/>
        <v>0</v>
      </c>
      <c r="CX155" s="64"/>
      <c r="CY155" s="74" t="s">
        <v>290</v>
      </c>
      <c r="CZ155" s="73">
        <f t="shared" ca="1" si="1170"/>
        <v>5</v>
      </c>
      <c r="DA155" s="64"/>
      <c r="DB155" s="74" t="s">
        <v>1842</v>
      </c>
      <c r="DC155" s="73">
        <f t="shared" ca="1" si="1171"/>
        <v>5</v>
      </c>
      <c r="DD155" s="64"/>
      <c r="DE155" s="74" t="s">
        <v>1559</v>
      </c>
      <c r="DF155" s="73">
        <f t="shared" ca="1" si="1172"/>
        <v>5</v>
      </c>
      <c r="DG155" s="64"/>
      <c r="DH155" s="74" t="s">
        <v>1842</v>
      </c>
      <c r="DI155" s="73">
        <f t="shared" ca="1" si="1173"/>
        <v>5</v>
      </c>
      <c r="DJ155" s="64"/>
      <c r="DK155" s="74" t="s">
        <v>1842</v>
      </c>
      <c r="DL155" s="73">
        <f t="shared" ca="1" si="1174"/>
        <v>5</v>
      </c>
      <c r="DM155" s="64"/>
      <c r="DN155" s="74" t="s">
        <v>1842</v>
      </c>
      <c r="DO155" s="73">
        <f t="shared" ca="1" si="1175"/>
        <v>5</v>
      </c>
      <c r="DP155" s="64"/>
      <c r="DQ155" s="74" t="s">
        <v>1641</v>
      </c>
      <c r="DR155" s="73">
        <f t="shared" ca="1" si="1176"/>
        <v>5</v>
      </c>
      <c r="DS155" s="64"/>
      <c r="DT155" s="74" t="s">
        <v>1261</v>
      </c>
      <c r="DU155" s="73">
        <f t="shared" ca="1" si="1177"/>
        <v>5</v>
      </c>
      <c r="DV155" s="64"/>
      <c r="DW155" s="74" t="s">
        <v>1842</v>
      </c>
      <c r="DX155" s="73">
        <f t="shared" ca="1" si="1178"/>
        <v>5</v>
      </c>
      <c r="DY155" s="64"/>
      <c r="DZ155" s="74" t="s">
        <v>1842</v>
      </c>
      <c r="EA155" s="73">
        <f t="shared" ca="1" si="1179"/>
        <v>5</v>
      </c>
      <c r="EB155" s="64"/>
      <c r="EC155" s="74" t="s">
        <v>1842</v>
      </c>
      <c r="ED155" s="73">
        <f t="shared" ca="1" si="1180"/>
        <v>5</v>
      </c>
      <c r="EE155" s="64"/>
      <c r="EF155" s="74" t="s">
        <v>1637</v>
      </c>
      <c r="EG155" s="73">
        <f t="shared" ca="1" si="1181"/>
        <v>0</v>
      </c>
      <c r="EH155" s="64"/>
      <c r="EI155" s="74" t="s">
        <v>1842</v>
      </c>
      <c r="EJ155" s="73">
        <f t="shared" ca="1" si="1182"/>
        <v>5</v>
      </c>
      <c r="EK155" s="64"/>
      <c r="EL155" s="74" t="s">
        <v>1842</v>
      </c>
      <c r="EM155" s="73">
        <f t="shared" ca="1" si="1183"/>
        <v>5</v>
      </c>
      <c r="EN155" s="64"/>
      <c r="EO155" s="74" t="s">
        <v>1842</v>
      </c>
      <c r="EP155" s="73">
        <f t="shared" ca="1" si="1184"/>
        <v>5</v>
      </c>
      <c r="EQ155" s="64"/>
      <c r="ER155" s="74" t="s">
        <v>1559</v>
      </c>
      <c r="ES155" s="73">
        <f t="shared" ca="1" si="1185"/>
        <v>5</v>
      </c>
      <c r="ET155" s="64"/>
      <c r="EU155" s="74" t="s">
        <v>1559</v>
      </c>
      <c r="EV155" s="73">
        <f t="shared" ca="1" si="1186"/>
        <v>5</v>
      </c>
      <c r="EW155" s="64"/>
      <c r="EX155" s="74" t="s">
        <v>1842</v>
      </c>
      <c r="EY155" s="73">
        <f t="shared" ca="1" si="1187"/>
        <v>5</v>
      </c>
      <c r="EZ155" s="64"/>
      <c r="FA155" s="74" t="s">
        <v>1842</v>
      </c>
      <c r="FB155" s="73">
        <f t="shared" ca="1" si="1188"/>
        <v>5</v>
      </c>
      <c r="FC155" s="64"/>
      <c r="FD155" s="74" t="s">
        <v>1637</v>
      </c>
      <c r="FE155" s="73">
        <f t="shared" ca="1" si="1189"/>
        <v>0</v>
      </c>
      <c r="FF155" s="64"/>
      <c r="FG155" s="74" t="s">
        <v>1842</v>
      </c>
      <c r="FH155" s="73">
        <f t="shared" ca="1" si="1190"/>
        <v>5</v>
      </c>
      <c r="FI155" s="64"/>
      <c r="FJ155" s="74" t="s">
        <v>1559</v>
      </c>
      <c r="FK155" s="73">
        <f t="shared" ca="1" si="1191"/>
        <v>5</v>
      </c>
      <c r="FL155" s="64"/>
      <c r="FM155" s="74" t="s">
        <v>1842</v>
      </c>
      <c r="FN155" s="73">
        <f t="shared" ca="1" si="1192"/>
        <v>5</v>
      </c>
      <c r="FO155" s="64"/>
      <c r="FP155" s="74" t="s">
        <v>1276</v>
      </c>
      <c r="FQ155" s="73">
        <f t="shared" ca="1" si="1193"/>
        <v>5</v>
      </c>
      <c r="FR155" s="64"/>
      <c r="FS155" s="74" t="s">
        <v>1276</v>
      </c>
      <c r="FT155" s="73">
        <f t="shared" ca="1" si="1194"/>
        <v>5</v>
      </c>
      <c r="FU155" s="64"/>
      <c r="FV155" s="74" t="s">
        <v>1842</v>
      </c>
      <c r="FW155" s="73">
        <f t="shared" ca="1" si="1195"/>
        <v>5</v>
      </c>
      <c r="FX155" s="64"/>
      <c r="FY155" s="74" t="s">
        <v>290</v>
      </c>
      <c r="FZ155" s="73">
        <f t="shared" ca="1" si="1196"/>
        <v>5</v>
      </c>
      <c r="GA155" s="64"/>
      <c r="GB155" s="74" t="s">
        <v>1842</v>
      </c>
      <c r="GC155" s="73">
        <f t="shared" ca="1" si="1197"/>
        <v>5</v>
      </c>
      <c r="GD155" s="64"/>
      <c r="GE155" s="74" t="s">
        <v>1276</v>
      </c>
      <c r="GF155" s="73">
        <f t="shared" ca="1" si="1198"/>
        <v>5</v>
      </c>
      <c r="GG155" s="64"/>
      <c r="GH155" s="74" t="s">
        <v>1641</v>
      </c>
      <c r="GI155" s="73">
        <f t="shared" ca="1" si="1199"/>
        <v>5</v>
      </c>
      <c r="GJ155" s="64"/>
      <c r="GK155" s="74" t="s">
        <v>1842</v>
      </c>
      <c r="GL155" s="73">
        <f t="shared" ca="1" si="1200"/>
        <v>5</v>
      </c>
      <c r="GM155" s="64"/>
      <c r="GN155" s="74"/>
      <c r="GO155" s="73">
        <f t="shared" ca="1" si="1201"/>
        <v>0</v>
      </c>
      <c r="GP155" s="64"/>
      <c r="GQ155" s="74"/>
      <c r="GR155" s="73">
        <f t="shared" ca="1" si="1202"/>
        <v>0</v>
      </c>
      <c r="GS155" s="64"/>
      <c r="GT155" s="74"/>
      <c r="GU155" s="73">
        <f t="shared" ca="1" si="1203"/>
        <v>0</v>
      </c>
      <c r="GV155" s="64"/>
      <c r="GW155" s="74"/>
      <c r="GX155" s="73">
        <f t="shared" ca="1" si="1204"/>
        <v>0</v>
      </c>
      <c r="GY155" s="64"/>
      <c r="GZ155" s="74"/>
      <c r="HA155" s="73">
        <f t="shared" ca="1" si="1205"/>
        <v>0</v>
      </c>
      <c r="HB155" s="64"/>
      <c r="HC155" s="74"/>
      <c r="HD155" s="73">
        <f t="shared" ca="1" si="1206"/>
        <v>0</v>
      </c>
      <c r="HE155" s="64"/>
      <c r="HF155" s="74"/>
      <c r="HG155" s="73">
        <f t="shared" ca="1" si="1207"/>
        <v>0</v>
      </c>
      <c r="HH155" s="64"/>
      <c r="HI155" s="74"/>
      <c r="HJ155" s="73">
        <f t="shared" ca="1" si="1208"/>
        <v>0</v>
      </c>
      <c r="HK155" s="64"/>
      <c r="HL155" s="74"/>
      <c r="HM155" s="73">
        <f t="shared" ca="1" si="1209"/>
        <v>0</v>
      </c>
      <c r="HN155" s="64"/>
      <c r="HO155" s="74"/>
      <c r="HP155" s="73">
        <f t="shared" ca="1" si="1210"/>
        <v>0</v>
      </c>
      <c r="HQ155" s="64"/>
      <c r="HR155" s="74"/>
      <c r="HS155" s="73">
        <f t="shared" ca="1" si="1211"/>
        <v>0</v>
      </c>
      <c r="HT155" s="64"/>
      <c r="HU155" s="74"/>
      <c r="HV155" s="73">
        <f t="shared" ca="1" si="1212"/>
        <v>0</v>
      </c>
      <c r="HW155" s="64"/>
      <c r="HX155" s="74"/>
      <c r="HY155" s="73">
        <f t="shared" ca="1" si="1213"/>
        <v>0</v>
      </c>
      <c r="HZ155" s="64"/>
      <c r="IA155" s="74"/>
      <c r="IB155" s="73">
        <f t="shared" ca="1" si="1214"/>
        <v>0</v>
      </c>
      <c r="IC155" s="64"/>
      <c r="ID155" s="74"/>
      <c r="IE155" s="73">
        <f t="shared" ca="1" si="1215"/>
        <v>0</v>
      </c>
      <c r="IF155" s="64"/>
      <c r="IG155" s="74"/>
      <c r="IH155" s="73">
        <f t="shared" ca="1" si="1216"/>
        <v>0</v>
      </c>
      <c r="II155" s="64"/>
      <c r="IJ155" s="74"/>
      <c r="IK155" s="73">
        <f t="shared" ca="1" si="1217"/>
        <v>0</v>
      </c>
      <c r="IL155" s="64"/>
      <c r="IM155" s="74"/>
      <c r="IN155" s="73">
        <f t="shared" ca="1" si="1218"/>
        <v>0</v>
      </c>
      <c r="IO155" s="64"/>
      <c r="IP155" s="74"/>
      <c r="IQ155" s="73">
        <f t="shared" ca="1" si="1219"/>
        <v>0</v>
      </c>
      <c r="IR155" s="64"/>
      <c r="IS155" s="74"/>
      <c r="IT155" s="73">
        <f t="shared" ca="1" si="1220"/>
        <v>0</v>
      </c>
      <c r="IU155" s="64"/>
      <c r="IV155" s="74"/>
      <c r="IW155" s="73">
        <f t="shared" ca="1" si="1221"/>
        <v>0</v>
      </c>
      <c r="IX155" s="64"/>
      <c r="IY155" s="74"/>
      <c r="IZ155" s="73">
        <f t="shared" ca="1" si="1222"/>
        <v>0</v>
      </c>
      <c r="JA155" s="64"/>
      <c r="JB155" s="74"/>
      <c r="JC155" s="73">
        <f t="shared" ca="1" si="1223"/>
        <v>0</v>
      </c>
      <c r="JD155" s="64"/>
      <c r="JE155" s="74"/>
      <c r="JF155" s="73">
        <f t="shared" ca="1" si="1224"/>
        <v>0</v>
      </c>
      <c r="JG155" s="64"/>
      <c r="JH155" s="74"/>
      <c r="JI155" s="73">
        <f t="shared" ca="1" si="1225"/>
        <v>0</v>
      </c>
      <c r="JJ155" s="64"/>
      <c r="JK155" s="74"/>
      <c r="JL155" s="73">
        <f t="shared" ca="1" si="1226"/>
        <v>0</v>
      </c>
      <c r="JM155" s="64"/>
      <c r="JN155" s="74"/>
      <c r="JO155" s="73">
        <f t="shared" ca="1" si="1227"/>
        <v>0</v>
      </c>
      <c r="JP155" s="64"/>
      <c r="JQ155" s="74"/>
      <c r="JR155" s="73">
        <f t="shared" ca="1" si="1228"/>
        <v>0</v>
      </c>
      <c r="JS155" s="64"/>
      <c r="JT155" s="74"/>
      <c r="JU155" s="73">
        <f t="shared" ca="1" si="1229"/>
        <v>0</v>
      </c>
      <c r="JV155" s="64"/>
      <c r="JW155" s="74"/>
      <c r="JX155" s="73">
        <f t="shared" ca="1" si="1230"/>
        <v>0</v>
      </c>
      <c r="JY155" s="64"/>
      <c r="JZ155" s="74"/>
      <c r="KA155" s="73">
        <f t="shared" ca="1" si="1231"/>
        <v>0</v>
      </c>
      <c r="KB155" s="64"/>
      <c r="KC155" s="74"/>
      <c r="KD155" s="73">
        <f t="shared" ca="1" si="1232"/>
        <v>0</v>
      </c>
      <c r="KE155" s="64"/>
      <c r="KF155" s="74"/>
      <c r="KG155" s="73">
        <f t="shared" ca="1" si="1233"/>
        <v>0</v>
      </c>
      <c r="KH155" s="64"/>
      <c r="KI155" s="74"/>
      <c r="KJ155" s="73">
        <f t="shared" ca="1" si="1234"/>
        <v>0</v>
      </c>
      <c r="KK155" s="64"/>
      <c r="KL155" s="74"/>
      <c r="KM155" s="73">
        <f t="shared" ca="1" si="1235"/>
        <v>0</v>
      </c>
      <c r="KN155" s="64"/>
      <c r="KO155" s="74"/>
      <c r="KP155" s="73">
        <f t="shared" ca="1" si="1236"/>
        <v>0</v>
      </c>
      <c r="KQ155" s="64"/>
      <c r="KR155" s="74"/>
      <c r="KS155" s="73">
        <f t="shared" ca="1" si="1237"/>
        <v>0</v>
      </c>
      <c r="KT155" s="64"/>
      <c r="KU155" s="74"/>
      <c r="KV155" s="73">
        <f t="shared" ca="1" si="1238"/>
        <v>0</v>
      </c>
      <c r="KW155" s="64"/>
      <c r="KX155" s="74"/>
      <c r="KY155" s="73">
        <f t="shared" ca="1" si="1239"/>
        <v>0</v>
      </c>
      <c r="KZ155" s="64"/>
      <c r="LA155" s="74"/>
      <c r="LB155" s="73">
        <f t="shared" ca="1" si="1240"/>
        <v>0</v>
      </c>
      <c r="LC155" s="64"/>
      <c r="LD155" s="74"/>
      <c r="LE155" s="73">
        <f t="shared" ca="1" si="1241"/>
        <v>0</v>
      </c>
      <c r="LF155" s="64"/>
      <c r="LG155" s="64"/>
    </row>
    <row r="156" spans="1:319">
      <c r="A156" s="49"/>
      <c r="B156" s="49"/>
      <c r="C156" s="49"/>
      <c r="D156" s="49"/>
      <c r="E156" s="65"/>
      <c r="F156" s="127">
        <f t="shared" si="1242"/>
        <v>5</v>
      </c>
      <c r="G156" s="445">
        <f ca="1">VLOOKUP(H156,Equipos!$Q$1:$R$25,2,0)</f>
        <v>19</v>
      </c>
      <c r="H156" s="447" t="str">
        <f>Idiomas!$D$137</f>
        <v>QUALIFIED FOR ROUND OF 32</v>
      </c>
      <c r="I156" s="50"/>
      <c r="J156" s="845"/>
      <c r="K156" s="56" t="str">
        <f>Idiomas!$D$198&amp;"-"&amp;ROWS($L$130:L156)</f>
        <v>16-Finalist-27</v>
      </c>
      <c r="L156" s="53"/>
      <c r="M156" s="55" t="str">
        <f ca="1">WORLDCUP!AF111</f>
        <v>Austria</v>
      </c>
      <c r="N156" s="25"/>
      <c r="O156" s="25"/>
      <c r="P156" s="25"/>
      <c r="Q156" s="25"/>
      <c r="R156" s="110"/>
      <c r="S156" s="74" t="s">
        <v>1286</v>
      </c>
      <c r="T156" s="73">
        <f t="shared" ca="1" si="1142"/>
        <v>0</v>
      </c>
      <c r="U156" s="64"/>
      <c r="V156" s="74" t="s">
        <v>80</v>
      </c>
      <c r="W156" s="73">
        <f t="shared" ca="1" si="1143"/>
        <v>5</v>
      </c>
      <c r="X156" s="64"/>
      <c r="Y156" s="74" t="s">
        <v>80</v>
      </c>
      <c r="Z156" s="73">
        <f t="shared" ca="1" si="1144"/>
        <v>5</v>
      </c>
      <c r="AA156" s="64"/>
      <c r="AB156" s="74" t="s">
        <v>80</v>
      </c>
      <c r="AC156" s="73">
        <f t="shared" ca="1" si="1145"/>
        <v>5</v>
      </c>
      <c r="AD156" s="64"/>
      <c r="AE156" s="74" t="s">
        <v>80</v>
      </c>
      <c r="AF156" s="73">
        <f t="shared" ca="1" si="1146"/>
        <v>5</v>
      </c>
      <c r="AG156" s="64"/>
      <c r="AH156" s="74" t="s">
        <v>1559</v>
      </c>
      <c r="AI156" s="73">
        <f t="shared" ca="1" si="1147"/>
        <v>5</v>
      </c>
      <c r="AJ156" s="64"/>
      <c r="AK156" s="74" t="s">
        <v>80</v>
      </c>
      <c r="AL156" s="73">
        <f t="shared" ca="1" si="1148"/>
        <v>5</v>
      </c>
      <c r="AM156" s="64"/>
      <c r="AN156" s="74" t="s">
        <v>1256</v>
      </c>
      <c r="AO156" s="73">
        <f t="shared" ca="1" si="1149"/>
        <v>5</v>
      </c>
      <c r="AP156" s="64"/>
      <c r="AQ156" s="74" t="s">
        <v>80</v>
      </c>
      <c r="AR156" s="73">
        <f t="shared" ca="1" si="1150"/>
        <v>5</v>
      </c>
      <c r="AS156" s="64"/>
      <c r="AT156" s="74" t="s">
        <v>80</v>
      </c>
      <c r="AU156" s="73">
        <f t="shared" ca="1" si="1151"/>
        <v>5</v>
      </c>
      <c r="AV156" s="64"/>
      <c r="AW156" s="74" t="s">
        <v>80</v>
      </c>
      <c r="AX156" s="73">
        <f t="shared" ca="1" si="1152"/>
        <v>5</v>
      </c>
      <c r="AY156" s="64"/>
      <c r="AZ156" s="74" t="s">
        <v>1559</v>
      </c>
      <c r="BA156" s="73">
        <f t="shared" ca="1" si="1153"/>
        <v>5</v>
      </c>
      <c r="BB156" s="64"/>
      <c r="BC156" s="74" t="s">
        <v>80</v>
      </c>
      <c r="BD156" s="73">
        <f t="shared" ca="1" si="1154"/>
        <v>5</v>
      </c>
      <c r="BE156" s="64"/>
      <c r="BF156" s="74" t="s">
        <v>80</v>
      </c>
      <c r="BG156" s="73">
        <f t="shared" ca="1" si="1155"/>
        <v>5</v>
      </c>
      <c r="BH156" s="64"/>
      <c r="BI156" s="74" t="s">
        <v>80</v>
      </c>
      <c r="BJ156" s="73">
        <f t="shared" ca="1" si="1156"/>
        <v>5</v>
      </c>
      <c r="BK156" s="64"/>
      <c r="BL156" s="74" t="s">
        <v>80</v>
      </c>
      <c r="BM156" s="73">
        <f t="shared" ca="1" si="1157"/>
        <v>5</v>
      </c>
      <c r="BN156" s="64"/>
      <c r="BO156" s="74" t="s">
        <v>80</v>
      </c>
      <c r="BP156" s="73">
        <f t="shared" ca="1" si="1158"/>
        <v>5</v>
      </c>
      <c r="BQ156" s="64"/>
      <c r="BR156" s="74" t="s">
        <v>1559</v>
      </c>
      <c r="BS156" s="73">
        <f t="shared" ca="1" si="1159"/>
        <v>5</v>
      </c>
      <c r="BT156" s="64"/>
      <c r="BU156" s="74" t="s">
        <v>80</v>
      </c>
      <c r="BV156" s="73">
        <f t="shared" ca="1" si="1160"/>
        <v>5</v>
      </c>
      <c r="BW156" s="64"/>
      <c r="BX156" s="74" t="s">
        <v>80</v>
      </c>
      <c r="BY156" s="73">
        <f t="shared" ca="1" si="1161"/>
        <v>5</v>
      </c>
      <c r="BZ156" s="64"/>
      <c r="CA156" s="74" t="s">
        <v>80</v>
      </c>
      <c r="CB156" s="73">
        <f t="shared" ca="1" si="1162"/>
        <v>5</v>
      </c>
      <c r="CC156" s="64"/>
      <c r="CD156" s="74" t="s">
        <v>80</v>
      </c>
      <c r="CE156" s="73">
        <f t="shared" ca="1" si="1163"/>
        <v>5</v>
      </c>
      <c r="CF156" s="64"/>
      <c r="CG156" s="74" t="s">
        <v>80</v>
      </c>
      <c r="CH156" s="73">
        <f t="shared" ca="1" si="1164"/>
        <v>5</v>
      </c>
      <c r="CI156" s="64"/>
      <c r="CJ156" s="74" t="s">
        <v>1559</v>
      </c>
      <c r="CK156" s="73">
        <f t="shared" ca="1" si="1165"/>
        <v>5</v>
      </c>
      <c r="CL156" s="64"/>
      <c r="CM156" s="74" t="s">
        <v>1559</v>
      </c>
      <c r="CN156" s="73">
        <f t="shared" ca="1" si="1166"/>
        <v>5</v>
      </c>
      <c r="CO156" s="64"/>
      <c r="CP156" s="74" t="s">
        <v>80</v>
      </c>
      <c r="CQ156" s="73">
        <f t="shared" ca="1" si="1167"/>
        <v>5</v>
      </c>
      <c r="CR156" s="64"/>
      <c r="CS156" s="74" t="s">
        <v>80</v>
      </c>
      <c r="CT156" s="73">
        <f t="shared" ca="1" si="1168"/>
        <v>5</v>
      </c>
      <c r="CU156" s="64"/>
      <c r="CV156" s="74" t="s">
        <v>1559</v>
      </c>
      <c r="CW156" s="73">
        <f t="shared" ca="1" si="1169"/>
        <v>5</v>
      </c>
      <c r="CX156" s="64"/>
      <c r="CY156" s="74" t="s">
        <v>1256</v>
      </c>
      <c r="CZ156" s="73">
        <f t="shared" ca="1" si="1170"/>
        <v>5</v>
      </c>
      <c r="DA156" s="64"/>
      <c r="DB156" s="74" t="s">
        <v>80</v>
      </c>
      <c r="DC156" s="73">
        <f t="shared" ca="1" si="1171"/>
        <v>5</v>
      </c>
      <c r="DD156" s="64"/>
      <c r="DE156" s="74" t="s">
        <v>80</v>
      </c>
      <c r="DF156" s="73">
        <f t="shared" ca="1" si="1172"/>
        <v>5</v>
      </c>
      <c r="DG156" s="64"/>
      <c r="DH156" s="74" t="s">
        <v>1559</v>
      </c>
      <c r="DI156" s="73">
        <f t="shared" ca="1" si="1173"/>
        <v>5</v>
      </c>
      <c r="DJ156" s="64"/>
      <c r="DK156" s="74" t="s">
        <v>80</v>
      </c>
      <c r="DL156" s="73">
        <f t="shared" ca="1" si="1174"/>
        <v>5</v>
      </c>
      <c r="DM156" s="64"/>
      <c r="DN156" s="74" t="s">
        <v>80</v>
      </c>
      <c r="DO156" s="73">
        <f t="shared" ca="1" si="1175"/>
        <v>5</v>
      </c>
      <c r="DP156" s="64"/>
      <c r="DQ156" s="74" t="s">
        <v>80</v>
      </c>
      <c r="DR156" s="73">
        <f t="shared" ca="1" si="1176"/>
        <v>5</v>
      </c>
      <c r="DS156" s="64"/>
      <c r="DT156" s="74" t="s">
        <v>80</v>
      </c>
      <c r="DU156" s="73">
        <f t="shared" ca="1" si="1177"/>
        <v>5</v>
      </c>
      <c r="DV156" s="64"/>
      <c r="DW156" s="74" t="s">
        <v>1256</v>
      </c>
      <c r="DX156" s="73">
        <f t="shared" ca="1" si="1178"/>
        <v>5</v>
      </c>
      <c r="DY156" s="64"/>
      <c r="DZ156" s="74" t="s">
        <v>80</v>
      </c>
      <c r="EA156" s="73">
        <f t="shared" ca="1" si="1179"/>
        <v>5</v>
      </c>
      <c r="EB156" s="64"/>
      <c r="EC156" s="74" t="s">
        <v>80</v>
      </c>
      <c r="ED156" s="73">
        <f t="shared" ca="1" si="1180"/>
        <v>5</v>
      </c>
      <c r="EE156" s="64"/>
      <c r="EF156" s="74" t="s">
        <v>1559</v>
      </c>
      <c r="EG156" s="73">
        <f t="shared" ca="1" si="1181"/>
        <v>5</v>
      </c>
      <c r="EH156" s="64"/>
      <c r="EI156" s="74" t="s">
        <v>80</v>
      </c>
      <c r="EJ156" s="73">
        <f t="shared" ca="1" si="1182"/>
        <v>5</v>
      </c>
      <c r="EK156" s="64"/>
      <c r="EL156" s="74" t="s">
        <v>80</v>
      </c>
      <c r="EM156" s="73">
        <f t="shared" ca="1" si="1183"/>
        <v>5</v>
      </c>
      <c r="EN156" s="64"/>
      <c r="EO156" s="74" t="s">
        <v>80</v>
      </c>
      <c r="EP156" s="73">
        <f t="shared" ca="1" si="1184"/>
        <v>5</v>
      </c>
      <c r="EQ156" s="64"/>
      <c r="ER156" s="74" t="s">
        <v>80</v>
      </c>
      <c r="ES156" s="73">
        <f t="shared" ca="1" si="1185"/>
        <v>5</v>
      </c>
      <c r="ET156" s="64"/>
      <c r="EU156" s="74" t="s">
        <v>80</v>
      </c>
      <c r="EV156" s="73">
        <f t="shared" ca="1" si="1186"/>
        <v>5</v>
      </c>
      <c r="EW156" s="64"/>
      <c r="EX156" s="74" t="s">
        <v>80</v>
      </c>
      <c r="EY156" s="73">
        <f t="shared" ca="1" si="1187"/>
        <v>5</v>
      </c>
      <c r="EZ156" s="64"/>
      <c r="FA156" s="74" t="s">
        <v>80</v>
      </c>
      <c r="FB156" s="73">
        <f t="shared" ca="1" si="1188"/>
        <v>5</v>
      </c>
      <c r="FC156" s="64"/>
      <c r="FD156" s="74" t="s">
        <v>80</v>
      </c>
      <c r="FE156" s="73">
        <f t="shared" ca="1" si="1189"/>
        <v>5</v>
      </c>
      <c r="FF156" s="64"/>
      <c r="FG156" s="74" t="s">
        <v>80</v>
      </c>
      <c r="FH156" s="73">
        <f t="shared" ca="1" si="1190"/>
        <v>5</v>
      </c>
      <c r="FI156" s="64"/>
      <c r="FJ156" s="74" t="s">
        <v>80</v>
      </c>
      <c r="FK156" s="73">
        <f t="shared" ca="1" si="1191"/>
        <v>5</v>
      </c>
      <c r="FL156" s="64"/>
      <c r="FM156" s="74" t="s">
        <v>80</v>
      </c>
      <c r="FN156" s="73">
        <f t="shared" ca="1" si="1192"/>
        <v>5</v>
      </c>
      <c r="FO156" s="64"/>
      <c r="FP156" s="74" t="s">
        <v>80</v>
      </c>
      <c r="FQ156" s="73">
        <f t="shared" ca="1" si="1193"/>
        <v>5</v>
      </c>
      <c r="FR156" s="64"/>
      <c r="FS156" s="74" t="s">
        <v>80</v>
      </c>
      <c r="FT156" s="73">
        <f t="shared" ca="1" si="1194"/>
        <v>5</v>
      </c>
      <c r="FU156" s="64"/>
      <c r="FV156" s="74" t="s">
        <v>1559</v>
      </c>
      <c r="FW156" s="73">
        <f t="shared" ca="1" si="1195"/>
        <v>5</v>
      </c>
      <c r="FX156" s="64"/>
      <c r="FY156" s="74" t="s">
        <v>1559</v>
      </c>
      <c r="FZ156" s="73">
        <f t="shared" ca="1" si="1196"/>
        <v>5</v>
      </c>
      <c r="GA156" s="64"/>
      <c r="GB156" s="74" t="s">
        <v>1559</v>
      </c>
      <c r="GC156" s="73">
        <f t="shared" ca="1" si="1197"/>
        <v>5</v>
      </c>
      <c r="GD156" s="64"/>
      <c r="GE156" s="74" t="s">
        <v>80</v>
      </c>
      <c r="GF156" s="73">
        <f t="shared" ca="1" si="1198"/>
        <v>5</v>
      </c>
      <c r="GG156" s="64"/>
      <c r="GH156" s="74" t="s">
        <v>1256</v>
      </c>
      <c r="GI156" s="73">
        <f t="shared" ca="1" si="1199"/>
        <v>5</v>
      </c>
      <c r="GJ156" s="64"/>
      <c r="GK156" s="74" t="s">
        <v>1559</v>
      </c>
      <c r="GL156" s="73">
        <f t="shared" ca="1" si="1200"/>
        <v>5</v>
      </c>
      <c r="GM156" s="64"/>
      <c r="GN156" s="74"/>
      <c r="GO156" s="73">
        <f t="shared" ca="1" si="1201"/>
        <v>0</v>
      </c>
      <c r="GP156" s="64"/>
      <c r="GQ156" s="74"/>
      <c r="GR156" s="73">
        <f t="shared" ca="1" si="1202"/>
        <v>0</v>
      </c>
      <c r="GS156" s="64"/>
      <c r="GT156" s="74"/>
      <c r="GU156" s="73">
        <f t="shared" ca="1" si="1203"/>
        <v>0</v>
      </c>
      <c r="GV156" s="64"/>
      <c r="GW156" s="74"/>
      <c r="GX156" s="73">
        <f t="shared" ca="1" si="1204"/>
        <v>0</v>
      </c>
      <c r="GY156" s="64"/>
      <c r="GZ156" s="74"/>
      <c r="HA156" s="73">
        <f t="shared" ca="1" si="1205"/>
        <v>0</v>
      </c>
      <c r="HB156" s="64"/>
      <c r="HC156" s="74"/>
      <c r="HD156" s="73">
        <f t="shared" ca="1" si="1206"/>
        <v>0</v>
      </c>
      <c r="HE156" s="64"/>
      <c r="HF156" s="74"/>
      <c r="HG156" s="73">
        <f t="shared" ca="1" si="1207"/>
        <v>0</v>
      </c>
      <c r="HH156" s="64"/>
      <c r="HI156" s="74"/>
      <c r="HJ156" s="73">
        <f t="shared" ca="1" si="1208"/>
        <v>0</v>
      </c>
      <c r="HK156" s="64"/>
      <c r="HL156" s="74"/>
      <c r="HM156" s="73">
        <f t="shared" ca="1" si="1209"/>
        <v>0</v>
      </c>
      <c r="HN156" s="64"/>
      <c r="HO156" s="74"/>
      <c r="HP156" s="73">
        <f t="shared" ca="1" si="1210"/>
        <v>0</v>
      </c>
      <c r="HQ156" s="64"/>
      <c r="HR156" s="74"/>
      <c r="HS156" s="73">
        <f t="shared" ca="1" si="1211"/>
        <v>0</v>
      </c>
      <c r="HT156" s="64"/>
      <c r="HU156" s="74"/>
      <c r="HV156" s="73">
        <f t="shared" ca="1" si="1212"/>
        <v>0</v>
      </c>
      <c r="HW156" s="64"/>
      <c r="HX156" s="74"/>
      <c r="HY156" s="73">
        <f t="shared" ca="1" si="1213"/>
        <v>0</v>
      </c>
      <c r="HZ156" s="64"/>
      <c r="IA156" s="74"/>
      <c r="IB156" s="73">
        <f t="shared" ca="1" si="1214"/>
        <v>0</v>
      </c>
      <c r="IC156" s="64"/>
      <c r="ID156" s="74"/>
      <c r="IE156" s="73">
        <f t="shared" ca="1" si="1215"/>
        <v>0</v>
      </c>
      <c r="IF156" s="64"/>
      <c r="IG156" s="74"/>
      <c r="IH156" s="73">
        <f t="shared" ca="1" si="1216"/>
        <v>0</v>
      </c>
      <c r="II156" s="64"/>
      <c r="IJ156" s="74"/>
      <c r="IK156" s="73">
        <f t="shared" ca="1" si="1217"/>
        <v>0</v>
      </c>
      <c r="IL156" s="64"/>
      <c r="IM156" s="74"/>
      <c r="IN156" s="73">
        <f t="shared" ca="1" si="1218"/>
        <v>0</v>
      </c>
      <c r="IO156" s="64"/>
      <c r="IP156" s="74"/>
      <c r="IQ156" s="73">
        <f t="shared" ca="1" si="1219"/>
        <v>0</v>
      </c>
      <c r="IR156" s="64"/>
      <c r="IS156" s="74"/>
      <c r="IT156" s="73">
        <f t="shared" ca="1" si="1220"/>
        <v>0</v>
      </c>
      <c r="IU156" s="64"/>
      <c r="IV156" s="74"/>
      <c r="IW156" s="73">
        <f t="shared" ca="1" si="1221"/>
        <v>0</v>
      </c>
      <c r="IX156" s="64"/>
      <c r="IY156" s="74"/>
      <c r="IZ156" s="73">
        <f t="shared" ca="1" si="1222"/>
        <v>0</v>
      </c>
      <c r="JA156" s="64"/>
      <c r="JB156" s="74"/>
      <c r="JC156" s="73">
        <f t="shared" ca="1" si="1223"/>
        <v>0</v>
      </c>
      <c r="JD156" s="64"/>
      <c r="JE156" s="74"/>
      <c r="JF156" s="73">
        <f t="shared" ca="1" si="1224"/>
        <v>0</v>
      </c>
      <c r="JG156" s="64"/>
      <c r="JH156" s="74"/>
      <c r="JI156" s="73">
        <f t="shared" ca="1" si="1225"/>
        <v>0</v>
      </c>
      <c r="JJ156" s="64"/>
      <c r="JK156" s="74"/>
      <c r="JL156" s="73">
        <f t="shared" ca="1" si="1226"/>
        <v>0</v>
      </c>
      <c r="JM156" s="64"/>
      <c r="JN156" s="74"/>
      <c r="JO156" s="73">
        <f t="shared" ca="1" si="1227"/>
        <v>0</v>
      </c>
      <c r="JP156" s="64"/>
      <c r="JQ156" s="74"/>
      <c r="JR156" s="73">
        <f t="shared" ca="1" si="1228"/>
        <v>0</v>
      </c>
      <c r="JS156" s="64"/>
      <c r="JT156" s="74"/>
      <c r="JU156" s="73">
        <f t="shared" ca="1" si="1229"/>
        <v>0</v>
      </c>
      <c r="JV156" s="64"/>
      <c r="JW156" s="74"/>
      <c r="JX156" s="73">
        <f t="shared" ca="1" si="1230"/>
        <v>0</v>
      </c>
      <c r="JY156" s="64"/>
      <c r="JZ156" s="74"/>
      <c r="KA156" s="73">
        <f t="shared" ca="1" si="1231"/>
        <v>0</v>
      </c>
      <c r="KB156" s="64"/>
      <c r="KC156" s="74"/>
      <c r="KD156" s="73">
        <f t="shared" ca="1" si="1232"/>
        <v>0</v>
      </c>
      <c r="KE156" s="64"/>
      <c r="KF156" s="74"/>
      <c r="KG156" s="73">
        <f t="shared" ca="1" si="1233"/>
        <v>0</v>
      </c>
      <c r="KH156" s="64"/>
      <c r="KI156" s="74"/>
      <c r="KJ156" s="73">
        <f t="shared" ca="1" si="1234"/>
        <v>0</v>
      </c>
      <c r="KK156" s="64"/>
      <c r="KL156" s="74"/>
      <c r="KM156" s="73">
        <f t="shared" ca="1" si="1235"/>
        <v>0</v>
      </c>
      <c r="KN156" s="64"/>
      <c r="KO156" s="74"/>
      <c r="KP156" s="73">
        <f t="shared" ca="1" si="1236"/>
        <v>0</v>
      </c>
      <c r="KQ156" s="64"/>
      <c r="KR156" s="74"/>
      <c r="KS156" s="73">
        <f t="shared" ca="1" si="1237"/>
        <v>0</v>
      </c>
      <c r="KT156" s="64"/>
      <c r="KU156" s="74"/>
      <c r="KV156" s="73">
        <f t="shared" ca="1" si="1238"/>
        <v>0</v>
      </c>
      <c r="KW156" s="64"/>
      <c r="KX156" s="74"/>
      <c r="KY156" s="73">
        <f t="shared" ca="1" si="1239"/>
        <v>0</v>
      </c>
      <c r="KZ156" s="64"/>
      <c r="LA156" s="74"/>
      <c r="LB156" s="73">
        <f t="shared" ca="1" si="1240"/>
        <v>0</v>
      </c>
      <c r="LC156" s="64"/>
      <c r="LD156" s="74"/>
      <c r="LE156" s="73">
        <f t="shared" ca="1" si="1241"/>
        <v>0</v>
      </c>
      <c r="LF156" s="64"/>
      <c r="LG156" s="64"/>
    </row>
    <row r="157" spans="1:319">
      <c r="A157" s="49"/>
      <c r="B157" s="49"/>
      <c r="C157" s="49"/>
      <c r="D157" s="49"/>
      <c r="E157" s="65"/>
      <c r="F157" s="127">
        <f t="shared" si="1242"/>
        <v>5</v>
      </c>
      <c r="G157" s="445">
        <f ca="1">VLOOKUP(H157,Equipos!$Q$1:$R$25,2,0)</f>
        <v>19</v>
      </c>
      <c r="H157" s="447" t="str">
        <f>Idiomas!$D$137</f>
        <v>QUALIFIED FOR ROUND OF 32</v>
      </c>
      <c r="I157" s="50"/>
      <c r="J157" s="845"/>
      <c r="K157" s="56" t="str">
        <f>Idiomas!$D$198&amp;"-"&amp;ROWS($L$130:L157)</f>
        <v>16-Finalist-28</v>
      </c>
      <c r="L157" s="53"/>
      <c r="M157" s="55" t="str">
        <f ca="1">WORLDCUP!AF112</f>
        <v>Croatia</v>
      </c>
      <c r="N157" s="25"/>
      <c r="O157" s="25"/>
      <c r="P157" s="25"/>
      <c r="Q157" s="25"/>
      <c r="R157" s="110"/>
      <c r="S157" s="74" t="s">
        <v>1551</v>
      </c>
      <c r="T157" s="73">
        <f t="shared" ca="1" si="1142"/>
        <v>5</v>
      </c>
      <c r="U157" s="64"/>
      <c r="V157" s="74" t="s">
        <v>292</v>
      </c>
      <c r="W157" s="73">
        <f t="shared" ca="1" si="1143"/>
        <v>5</v>
      </c>
      <c r="X157" s="64"/>
      <c r="Y157" s="74" t="s">
        <v>296</v>
      </c>
      <c r="Z157" s="73">
        <f t="shared" ca="1" si="1144"/>
        <v>5</v>
      </c>
      <c r="AA157" s="64"/>
      <c r="AB157" s="74" t="s">
        <v>296</v>
      </c>
      <c r="AC157" s="73">
        <f t="shared" ca="1" si="1145"/>
        <v>5</v>
      </c>
      <c r="AD157" s="64"/>
      <c r="AE157" s="74" t="s">
        <v>296</v>
      </c>
      <c r="AF157" s="73">
        <f t="shared" ca="1" si="1146"/>
        <v>5</v>
      </c>
      <c r="AG157" s="64"/>
      <c r="AH157" s="74" t="s">
        <v>296</v>
      </c>
      <c r="AI157" s="73">
        <f t="shared" ca="1" si="1147"/>
        <v>5</v>
      </c>
      <c r="AJ157" s="64"/>
      <c r="AK157" s="74" t="s">
        <v>296</v>
      </c>
      <c r="AL157" s="73">
        <f t="shared" ca="1" si="1148"/>
        <v>5</v>
      </c>
      <c r="AM157" s="64"/>
      <c r="AN157" s="74" t="s">
        <v>292</v>
      </c>
      <c r="AO157" s="73">
        <f t="shared" ca="1" si="1149"/>
        <v>5</v>
      </c>
      <c r="AP157" s="64"/>
      <c r="AQ157" s="74" t="s">
        <v>292</v>
      </c>
      <c r="AR157" s="73">
        <f t="shared" ca="1" si="1150"/>
        <v>5</v>
      </c>
      <c r="AS157" s="64"/>
      <c r="AT157" s="74" t="s">
        <v>1551</v>
      </c>
      <c r="AU157" s="73">
        <f t="shared" ca="1" si="1151"/>
        <v>5</v>
      </c>
      <c r="AV157" s="64"/>
      <c r="AW157" s="74" t="s">
        <v>1551</v>
      </c>
      <c r="AX157" s="73">
        <f t="shared" ca="1" si="1152"/>
        <v>5</v>
      </c>
      <c r="AY157" s="64"/>
      <c r="AZ157" s="74" t="s">
        <v>296</v>
      </c>
      <c r="BA157" s="73">
        <f t="shared" ca="1" si="1153"/>
        <v>5</v>
      </c>
      <c r="BB157" s="64"/>
      <c r="BC157" s="74" t="s">
        <v>296</v>
      </c>
      <c r="BD157" s="73">
        <f t="shared" ca="1" si="1154"/>
        <v>5</v>
      </c>
      <c r="BE157" s="64"/>
      <c r="BF157" s="74" t="s">
        <v>296</v>
      </c>
      <c r="BG157" s="73">
        <f t="shared" ca="1" si="1155"/>
        <v>5</v>
      </c>
      <c r="BH157" s="64"/>
      <c r="BI157" s="74" t="s">
        <v>296</v>
      </c>
      <c r="BJ157" s="73">
        <f t="shared" ca="1" si="1156"/>
        <v>5</v>
      </c>
      <c r="BK157" s="64"/>
      <c r="BL157" s="74" t="s">
        <v>296</v>
      </c>
      <c r="BM157" s="73">
        <f t="shared" ca="1" si="1157"/>
        <v>5</v>
      </c>
      <c r="BN157" s="64"/>
      <c r="BO157" s="74" t="s">
        <v>296</v>
      </c>
      <c r="BP157" s="73">
        <f t="shared" ca="1" si="1158"/>
        <v>5</v>
      </c>
      <c r="BQ157" s="64"/>
      <c r="BR157" s="74" t="s">
        <v>296</v>
      </c>
      <c r="BS157" s="73">
        <f t="shared" ca="1" si="1159"/>
        <v>5</v>
      </c>
      <c r="BT157" s="64"/>
      <c r="BU157" s="74" t="s">
        <v>296</v>
      </c>
      <c r="BV157" s="73">
        <f t="shared" ca="1" si="1160"/>
        <v>5</v>
      </c>
      <c r="BW157" s="64"/>
      <c r="BX157" s="74" t="s">
        <v>296</v>
      </c>
      <c r="BY157" s="73">
        <f t="shared" ca="1" si="1161"/>
        <v>5</v>
      </c>
      <c r="BZ157" s="64"/>
      <c r="CA157" s="74" t="s">
        <v>296</v>
      </c>
      <c r="CB157" s="73">
        <f t="shared" ca="1" si="1162"/>
        <v>5</v>
      </c>
      <c r="CC157" s="64"/>
      <c r="CD157" s="74" t="s">
        <v>292</v>
      </c>
      <c r="CE157" s="73">
        <f t="shared" ca="1" si="1163"/>
        <v>5</v>
      </c>
      <c r="CF157" s="64"/>
      <c r="CG157" s="74" t="s">
        <v>296</v>
      </c>
      <c r="CH157" s="73">
        <f t="shared" ca="1" si="1164"/>
        <v>5</v>
      </c>
      <c r="CI157" s="64"/>
      <c r="CJ157" s="74" t="s">
        <v>1551</v>
      </c>
      <c r="CK157" s="73">
        <f t="shared" ca="1" si="1165"/>
        <v>5</v>
      </c>
      <c r="CL157" s="64"/>
      <c r="CM157" s="74" t="s">
        <v>296</v>
      </c>
      <c r="CN157" s="73">
        <f t="shared" ca="1" si="1166"/>
        <v>5</v>
      </c>
      <c r="CO157" s="64"/>
      <c r="CP157" s="74" t="s">
        <v>296</v>
      </c>
      <c r="CQ157" s="73">
        <f t="shared" ca="1" si="1167"/>
        <v>5</v>
      </c>
      <c r="CR157" s="64"/>
      <c r="CS157" s="74" t="s">
        <v>296</v>
      </c>
      <c r="CT157" s="73">
        <f t="shared" ca="1" si="1168"/>
        <v>5</v>
      </c>
      <c r="CU157" s="64"/>
      <c r="CV157" s="74" t="s">
        <v>292</v>
      </c>
      <c r="CW157" s="73">
        <f t="shared" ca="1" si="1169"/>
        <v>5</v>
      </c>
      <c r="CX157" s="64"/>
      <c r="CY157" s="74" t="s">
        <v>1551</v>
      </c>
      <c r="CZ157" s="73">
        <f t="shared" ca="1" si="1170"/>
        <v>5</v>
      </c>
      <c r="DA157" s="64"/>
      <c r="DB157" s="74" t="s">
        <v>296</v>
      </c>
      <c r="DC157" s="73">
        <f t="shared" ca="1" si="1171"/>
        <v>5</v>
      </c>
      <c r="DD157" s="64"/>
      <c r="DE157" s="74" t="s">
        <v>296</v>
      </c>
      <c r="DF157" s="73">
        <f t="shared" ca="1" si="1172"/>
        <v>5</v>
      </c>
      <c r="DG157" s="64"/>
      <c r="DH157" s="74" t="s">
        <v>296</v>
      </c>
      <c r="DI157" s="73">
        <f t="shared" ca="1" si="1173"/>
        <v>5</v>
      </c>
      <c r="DJ157" s="64"/>
      <c r="DK157" s="74" t="s">
        <v>296</v>
      </c>
      <c r="DL157" s="73">
        <f t="shared" ca="1" si="1174"/>
        <v>5</v>
      </c>
      <c r="DM157" s="64"/>
      <c r="DN157" s="74" t="s">
        <v>296</v>
      </c>
      <c r="DO157" s="73">
        <f t="shared" ca="1" si="1175"/>
        <v>5</v>
      </c>
      <c r="DP157" s="64"/>
      <c r="DQ157" s="74" t="s">
        <v>296</v>
      </c>
      <c r="DR157" s="73">
        <f t="shared" ca="1" si="1176"/>
        <v>5</v>
      </c>
      <c r="DS157" s="64"/>
      <c r="DT157" s="74" t="s">
        <v>296</v>
      </c>
      <c r="DU157" s="73">
        <f t="shared" ca="1" si="1177"/>
        <v>5</v>
      </c>
      <c r="DV157" s="64"/>
      <c r="DW157" s="74" t="s">
        <v>296</v>
      </c>
      <c r="DX157" s="73">
        <f t="shared" ca="1" si="1178"/>
        <v>5</v>
      </c>
      <c r="DY157" s="64"/>
      <c r="DZ157" s="74" t="s">
        <v>296</v>
      </c>
      <c r="EA157" s="73">
        <f t="shared" ca="1" si="1179"/>
        <v>5</v>
      </c>
      <c r="EB157" s="64"/>
      <c r="EC157" s="74" t="s">
        <v>296</v>
      </c>
      <c r="ED157" s="73">
        <f t="shared" ca="1" si="1180"/>
        <v>5</v>
      </c>
      <c r="EE157" s="64"/>
      <c r="EF157" s="74" t="s">
        <v>1551</v>
      </c>
      <c r="EG157" s="73">
        <f t="shared" ca="1" si="1181"/>
        <v>5</v>
      </c>
      <c r="EH157" s="64"/>
      <c r="EI157" s="74" t="s">
        <v>296</v>
      </c>
      <c r="EJ157" s="73">
        <f t="shared" ca="1" si="1182"/>
        <v>5</v>
      </c>
      <c r="EK157" s="64"/>
      <c r="EL157" s="74" t="s">
        <v>296</v>
      </c>
      <c r="EM157" s="73">
        <f t="shared" ca="1" si="1183"/>
        <v>5</v>
      </c>
      <c r="EN157" s="64"/>
      <c r="EO157" s="74" t="s">
        <v>296</v>
      </c>
      <c r="EP157" s="73">
        <f t="shared" ca="1" si="1184"/>
        <v>5</v>
      </c>
      <c r="EQ157" s="64"/>
      <c r="ER157" s="74" t="s">
        <v>296</v>
      </c>
      <c r="ES157" s="73">
        <f t="shared" ca="1" si="1185"/>
        <v>5</v>
      </c>
      <c r="ET157" s="64"/>
      <c r="EU157" s="74" t="s">
        <v>1551</v>
      </c>
      <c r="EV157" s="73">
        <f t="shared" ca="1" si="1186"/>
        <v>5</v>
      </c>
      <c r="EW157" s="64"/>
      <c r="EX157" s="74" t="s">
        <v>296</v>
      </c>
      <c r="EY157" s="73">
        <f t="shared" ca="1" si="1187"/>
        <v>5</v>
      </c>
      <c r="EZ157" s="64"/>
      <c r="FA157" s="74" t="s">
        <v>296</v>
      </c>
      <c r="FB157" s="73">
        <f t="shared" ca="1" si="1188"/>
        <v>5</v>
      </c>
      <c r="FC157" s="64"/>
      <c r="FD157" s="74" t="s">
        <v>296</v>
      </c>
      <c r="FE157" s="73">
        <f t="shared" ca="1" si="1189"/>
        <v>5</v>
      </c>
      <c r="FF157" s="64"/>
      <c r="FG157" s="74" t="s">
        <v>296</v>
      </c>
      <c r="FH157" s="73">
        <f t="shared" ca="1" si="1190"/>
        <v>5</v>
      </c>
      <c r="FI157" s="64"/>
      <c r="FJ157" s="74" t="s">
        <v>296</v>
      </c>
      <c r="FK157" s="73">
        <f t="shared" ca="1" si="1191"/>
        <v>5</v>
      </c>
      <c r="FL157" s="64"/>
      <c r="FM157" s="74" t="s">
        <v>296</v>
      </c>
      <c r="FN157" s="73">
        <f t="shared" ca="1" si="1192"/>
        <v>5</v>
      </c>
      <c r="FO157" s="64"/>
      <c r="FP157" s="74" t="s">
        <v>296</v>
      </c>
      <c r="FQ157" s="73">
        <f t="shared" ca="1" si="1193"/>
        <v>5</v>
      </c>
      <c r="FR157" s="64"/>
      <c r="FS157" s="74" t="s">
        <v>296</v>
      </c>
      <c r="FT157" s="73">
        <f t="shared" ca="1" si="1194"/>
        <v>5</v>
      </c>
      <c r="FU157" s="64"/>
      <c r="FV157" s="74" t="s">
        <v>296</v>
      </c>
      <c r="FW157" s="73">
        <f t="shared" ca="1" si="1195"/>
        <v>5</v>
      </c>
      <c r="FX157" s="64"/>
      <c r="FY157" s="74" t="s">
        <v>296</v>
      </c>
      <c r="FZ157" s="73">
        <f t="shared" ca="1" si="1196"/>
        <v>5</v>
      </c>
      <c r="GA157" s="64"/>
      <c r="GB157" s="74" t="s">
        <v>296</v>
      </c>
      <c r="GC157" s="73">
        <f t="shared" ca="1" si="1197"/>
        <v>5</v>
      </c>
      <c r="GD157" s="64"/>
      <c r="GE157" s="74" t="s">
        <v>296</v>
      </c>
      <c r="GF157" s="73">
        <f t="shared" ca="1" si="1198"/>
        <v>5</v>
      </c>
      <c r="GG157" s="64"/>
      <c r="GH157" s="74" t="s">
        <v>292</v>
      </c>
      <c r="GI157" s="73">
        <f t="shared" ca="1" si="1199"/>
        <v>5</v>
      </c>
      <c r="GJ157" s="64"/>
      <c r="GK157" s="74" t="s">
        <v>296</v>
      </c>
      <c r="GL157" s="73">
        <f t="shared" ca="1" si="1200"/>
        <v>5</v>
      </c>
      <c r="GM157" s="64"/>
      <c r="GN157" s="74"/>
      <c r="GO157" s="73">
        <f t="shared" ca="1" si="1201"/>
        <v>0</v>
      </c>
      <c r="GP157" s="64"/>
      <c r="GQ157" s="74"/>
      <c r="GR157" s="73">
        <f t="shared" ca="1" si="1202"/>
        <v>0</v>
      </c>
      <c r="GS157" s="64"/>
      <c r="GT157" s="74"/>
      <c r="GU157" s="73">
        <f t="shared" ca="1" si="1203"/>
        <v>0</v>
      </c>
      <c r="GV157" s="64"/>
      <c r="GW157" s="74"/>
      <c r="GX157" s="73">
        <f t="shared" ca="1" si="1204"/>
        <v>0</v>
      </c>
      <c r="GY157" s="64"/>
      <c r="GZ157" s="74"/>
      <c r="HA157" s="73">
        <f t="shared" ca="1" si="1205"/>
        <v>0</v>
      </c>
      <c r="HB157" s="64"/>
      <c r="HC157" s="74"/>
      <c r="HD157" s="73">
        <f t="shared" ca="1" si="1206"/>
        <v>0</v>
      </c>
      <c r="HE157" s="64"/>
      <c r="HF157" s="74"/>
      <c r="HG157" s="73">
        <f t="shared" ca="1" si="1207"/>
        <v>0</v>
      </c>
      <c r="HH157" s="64"/>
      <c r="HI157" s="74"/>
      <c r="HJ157" s="73">
        <f t="shared" ca="1" si="1208"/>
        <v>0</v>
      </c>
      <c r="HK157" s="64"/>
      <c r="HL157" s="74"/>
      <c r="HM157" s="73">
        <f t="shared" ca="1" si="1209"/>
        <v>0</v>
      </c>
      <c r="HN157" s="64"/>
      <c r="HO157" s="74"/>
      <c r="HP157" s="73">
        <f t="shared" ca="1" si="1210"/>
        <v>0</v>
      </c>
      <c r="HQ157" s="64"/>
      <c r="HR157" s="74"/>
      <c r="HS157" s="73">
        <f t="shared" ca="1" si="1211"/>
        <v>0</v>
      </c>
      <c r="HT157" s="64"/>
      <c r="HU157" s="74"/>
      <c r="HV157" s="73">
        <f t="shared" ca="1" si="1212"/>
        <v>0</v>
      </c>
      <c r="HW157" s="64"/>
      <c r="HX157" s="74"/>
      <c r="HY157" s="73">
        <f t="shared" ca="1" si="1213"/>
        <v>0</v>
      </c>
      <c r="HZ157" s="64"/>
      <c r="IA157" s="74"/>
      <c r="IB157" s="73">
        <f t="shared" ca="1" si="1214"/>
        <v>0</v>
      </c>
      <c r="IC157" s="64"/>
      <c r="ID157" s="74"/>
      <c r="IE157" s="73">
        <f t="shared" ca="1" si="1215"/>
        <v>0</v>
      </c>
      <c r="IF157" s="64"/>
      <c r="IG157" s="74"/>
      <c r="IH157" s="73">
        <f t="shared" ca="1" si="1216"/>
        <v>0</v>
      </c>
      <c r="II157" s="64"/>
      <c r="IJ157" s="74"/>
      <c r="IK157" s="73">
        <f t="shared" ca="1" si="1217"/>
        <v>0</v>
      </c>
      <c r="IL157" s="64"/>
      <c r="IM157" s="74"/>
      <c r="IN157" s="73">
        <f t="shared" ca="1" si="1218"/>
        <v>0</v>
      </c>
      <c r="IO157" s="64"/>
      <c r="IP157" s="74"/>
      <c r="IQ157" s="73">
        <f t="shared" ca="1" si="1219"/>
        <v>0</v>
      </c>
      <c r="IR157" s="64"/>
      <c r="IS157" s="74"/>
      <c r="IT157" s="73">
        <f t="shared" ca="1" si="1220"/>
        <v>0</v>
      </c>
      <c r="IU157" s="64"/>
      <c r="IV157" s="74"/>
      <c r="IW157" s="73">
        <f t="shared" ca="1" si="1221"/>
        <v>0</v>
      </c>
      <c r="IX157" s="64"/>
      <c r="IY157" s="74"/>
      <c r="IZ157" s="73">
        <f t="shared" ca="1" si="1222"/>
        <v>0</v>
      </c>
      <c r="JA157" s="64"/>
      <c r="JB157" s="74"/>
      <c r="JC157" s="73">
        <f t="shared" ca="1" si="1223"/>
        <v>0</v>
      </c>
      <c r="JD157" s="64"/>
      <c r="JE157" s="74"/>
      <c r="JF157" s="73">
        <f t="shared" ca="1" si="1224"/>
        <v>0</v>
      </c>
      <c r="JG157" s="64"/>
      <c r="JH157" s="74"/>
      <c r="JI157" s="73">
        <f t="shared" ca="1" si="1225"/>
        <v>0</v>
      </c>
      <c r="JJ157" s="64"/>
      <c r="JK157" s="74"/>
      <c r="JL157" s="73">
        <f t="shared" ca="1" si="1226"/>
        <v>0</v>
      </c>
      <c r="JM157" s="64"/>
      <c r="JN157" s="74"/>
      <c r="JO157" s="73">
        <f t="shared" ca="1" si="1227"/>
        <v>0</v>
      </c>
      <c r="JP157" s="64"/>
      <c r="JQ157" s="74"/>
      <c r="JR157" s="73">
        <f t="shared" ca="1" si="1228"/>
        <v>0</v>
      </c>
      <c r="JS157" s="64"/>
      <c r="JT157" s="74"/>
      <c r="JU157" s="73">
        <f t="shared" ca="1" si="1229"/>
        <v>0</v>
      </c>
      <c r="JV157" s="64"/>
      <c r="JW157" s="74"/>
      <c r="JX157" s="73">
        <f t="shared" ca="1" si="1230"/>
        <v>0</v>
      </c>
      <c r="JY157" s="64"/>
      <c r="JZ157" s="74"/>
      <c r="KA157" s="73">
        <f t="shared" ca="1" si="1231"/>
        <v>0</v>
      </c>
      <c r="KB157" s="64"/>
      <c r="KC157" s="74"/>
      <c r="KD157" s="73">
        <f t="shared" ca="1" si="1232"/>
        <v>0</v>
      </c>
      <c r="KE157" s="64"/>
      <c r="KF157" s="74"/>
      <c r="KG157" s="73">
        <f t="shared" ca="1" si="1233"/>
        <v>0</v>
      </c>
      <c r="KH157" s="64"/>
      <c r="KI157" s="74"/>
      <c r="KJ157" s="73">
        <f t="shared" ca="1" si="1234"/>
        <v>0</v>
      </c>
      <c r="KK157" s="64"/>
      <c r="KL157" s="74"/>
      <c r="KM157" s="73">
        <f t="shared" ca="1" si="1235"/>
        <v>0</v>
      </c>
      <c r="KN157" s="64"/>
      <c r="KO157" s="74"/>
      <c r="KP157" s="73">
        <f t="shared" ca="1" si="1236"/>
        <v>0</v>
      </c>
      <c r="KQ157" s="64"/>
      <c r="KR157" s="74"/>
      <c r="KS157" s="73">
        <f t="shared" ca="1" si="1237"/>
        <v>0</v>
      </c>
      <c r="KT157" s="64"/>
      <c r="KU157" s="74"/>
      <c r="KV157" s="73">
        <f t="shared" ca="1" si="1238"/>
        <v>0</v>
      </c>
      <c r="KW157" s="64"/>
      <c r="KX157" s="74"/>
      <c r="KY157" s="73">
        <f t="shared" ca="1" si="1239"/>
        <v>0</v>
      </c>
      <c r="KZ157" s="64"/>
      <c r="LA157" s="74"/>
      <c r="LB157" s="73">
        <f t="shared" ca="1" si="1240"/>
        <v>0</v>
      </c>
      <c r="LC157" s="64"/>
      <c r="LD157" s="74"/>
      <c r="LE157" s="73">
        <f t="shared" ca="1" si="1241"/>
        <v>0</v>
      </c>
      <c r="LF157" s="64"/>
      <c r="LG157" s="64"/>
    </row>
    <row r="158" spans="1:319">
      <c r="A158" s="49"/>
      <c r="B158" s="49"/>
      <c r="C158" s="49"/>
      <c r="D158" s="49"/>
      <c r="E158" s="65"/>
      <c r="F158" s="127">
        <f t="shared" si="1242"/>
        <v>5</v>
      </c>
      <c r="G158" s="445">
        <f ca="1">VLOOKUP(H158,Equipos!$Q$1:$R$25,2,0)</f>
        <v>19</v>
      </c>
      <c r="H158" s="447" t="str">
        <f>Idiomas!$D$137</f>
        <v>QUALIFIED FOR ROUND OF 32</v>
      </c>
      <c r="I158" s="50"/>
      <c r="J158" s="845"/>
      <c r="K158" s="56" t="str">
        <f>Idiomas!$D$198&amp;"-"&amp;ROWS($L$130:L158)</f>
        <v>16-Finalist-29</v>
      </c>
      <c r="L158" s="53"/>
      <c r="M158" s="55" t="str">
        <f ca="1">WORLDCUP!AF113</f>
        <v>Algeria</v>
      </c>
      <c r="N158" s="25"/>
      <c r="O158" s="25"/>
      <c r="P158" s="25"/>
      <c r="Q158" s="25"/>
      <c r="R158" s="110"/>
      <c r="S158" s="74" t="s">
        <v>1559</v>
      </c>
      <c r="T158" s="73">
        <f t="shared" ca="1" si="1142"/>
        <v>5</v>
      </c>
      <c r="U158" s="64"/>
      <c r="V158" s="74" t="s">
        <v>1284</v>
      </c>
      <c r="W158" s="73">
        <f t="shared" ca="1" si="1143"/>
        <v>5</v>
      </c>
      <c r="X158" s="64"/>
      <c r="Y158" s="74" t="s">
        <v>1559</v>
      </c>
      <c r="Z158" s="73">
        <f t="shared" ca="1" si="1144"/>
        <v>5</v>
      </c>
      <c r="AA158" s="64"/>
      <c r="AB158" s="74" t="s">
        <v>1559</v>
      </c>
      <c r="AC158" s="73">
        <f t="shared" ca="1" si="1145"/>
        <v>5</v>
      </c>
      <c r="AD158" s="64"/>
      <c r="AE158" s="74" t="s">
        <v>1559</v>
      </c>
      <c r="AF158" s="73">
        <f t="shared" ca="1" si="1146"/>
        <v>5</v>
      </c>
      <c r="AG158" s="64"/>
      <c r="AH158" s="74" t="s">
        <v>80</v>
      </c>
      <c r="AI158" s="73">
        <f t="shared" ca="1" si="1147"/>
        <v>5</v>
      </c>
      <c r="AJ158" s="64"/>
      <c r="AK158" s="74" t="s">
        <v>1290</v>
      </c>
      <c r="AL158" s="73">
        <f t="shared" ca="1" si="1148"/>
        <v>0</v>
      </c>
      <c r="AM158" s="64"/>
      <c r="AN158" s="74" t="s">
        <v>80</v>
      </c>
      <c r="AO158" s="73">
        <f t="shared" ca="1" si="1149"/>
        <v>5</v>
      </c>
      <c r="AP158" s="64"/>
      <c r="AQ158" s="74" t="s">
        <v>1290</v>
      </c>
      <c r="AR158" s="73">
        <f t="shared" ca="1" si="1150"/>
        <v>0</v>
      </c>
      <c r="AS158" s="64"/>
      <c r="AT158" s="74" t="s">
        <v>1553</v>
      </c>
      <c r="AU158" s="73">
        <f t="shared" ca="1" si="1151"/>
        <v>5</v>
      </c>
      <c r="AV158" s="64"/>
      <c r="AW158" s="74" t="s">
        <v>1553</v>
      </c>
      <c r="AX158" s="73">
        <f t="shared" ca="1" si="1152"/>
        <v>5</v>
      </c>
      <c r="AY158" s="64"/>
      <c r="AZ158" s="74" t="s">
        <v>1282</v>
      </c>
      <c r="BA158" s="73">
        <f t="shared" ca="1" si="1153"/>
        <v>0</v>
      </c>
      <c r="BB158" s="64"/>
      <c r="BC158" s="74" t="s">
        <v>1641</v>
      </c>
      <c r="BD158" s="73">
        <f t="shared" ca="1" si="1154"/>
        <v>5</v>
      </c>
      <c r="BE158" s="64"/>
      <c r="BF158" s="74" t="s">
        <v>1284</v>
      </c>
      <c r="BG158" s="73">
        <f t="shared" ca="1" si="1155"/>
        <v>5</v>
      </c>
      <c r="BH158" s="64"/>
      <c r="BI158" s="74" t="s">
        <v>1282</v>
      </c>
      <c r="BJ158" s="73">
        <f t="shared" ca="1" si="1156"/>
        <v>0</v>
      </c>
      <c r="BK158" s="64"/>
      <c r="BL158" s="74" t="s">
        <v>1559</v>
      </c>
      <c r="BM158" s="73">
        <f t="shared" ca="1" si="1157"/>
        <v>5</v>
      </c>
      <c r="BN158" s="64"/>
      <c r="BO158" s="74" t="s">
        <v>1559</v>
      </c>
      <c r="BP158" s="73">
        <f t="shared" ca="1" si="1158"/>
        <v>5</v>
      </c>
      <c r="BQ158" s="64"/>
      <c r="BR158" s="74" t="s">
        <v>80</v>
      </c>
      <c r="BS158" s="73">
        <f t="shared" ca="1" si="1159"/>
        <v>5</v>
      </c>
      <c r="BT158" s="64"/>
      <c r="BU158" s="74" t="s">
        <v>1553</v>
      </c>
      <c r="BV158" s="73">
        <f t="shared" ca="1" si="1160"/>
        <v>5</v>
      </c>
      <c r="BW158" s="64"/>
      <c r="BX158" s="74" t="s">
        <v>1290</v>
      </c>
      <c r="BY158" s="73">
        <f t="shared" ca="1" si="1161"/>
        <v>0</v>
      </c>
      <c r="BZ158" s="64"/>
      <c r="CA158" s="74" t="s">
        <v>1553</v>
      </c>
      <c r="CB158" s="73">
        <f t="shared" ca="1" si="1162"/>
        <v>5</v>
      </c>
      <c r="CC158" s="64"/>
      <c r="CD158" s="74" t="s">
        <v>1282</v>
      </c>
      <c r="CE158" s="73">
        <f t="shared" ca="1" si="1163"/>
        <v>0</v>
      </c>
      <c r="CF158" s="64"/>
      <c r="CG158" s="74" t="s">
        <v>1553</v>
      </c>
      <c r="CH158" s="73">
        <f t="shared" ca="1" si="1164"/>
        <v>5</v>
      </c>
      <c r="CI158" s="64"/>
      <c r="CJ158" s="74" t="s">
        <v>1641</v>
      </c>
      <c r="CK158" s="73">
        <f t="shared" ca="1" si="1165"/>
        <v>5</v>
      </c>
      <c r="CL158" s="64"/>
      <c r="CM158" s="74" t="s">
        <v>1282</v>
      </c>
      <c r="CN158" s="73">
        <f t="shared" ca="1" si="1166"/>
        <v>0</v>
      </c>
      <c r="CO158" s="64"/>
      <c r="CP158" s="74" t="s">
        <v>1553</v>
      </c>
      <c r="CQ158" s="73">
        <f t="shared" ca="1" si="1167"/>
        <v>5</v>
      </c>
      <c r="CR158" s="64"/>
      <c r="CS158" s="74" t="s">
        <v>1727</v>
      </c>
      <c r="CT158" s="73">
        <f t="shared" ca="1" si="1168"/>
        <v>0</v>
      </c>
      <c r="CU158" s="64"/>
      <c r="CV158" s="74" t="s">
        <v>1290</v>
      </c>
      <c r="CW158" s="73">
        <f t="shared" ca="1" si="1169"/>
        <v>0</v>
      </c>
      <c r="CX158" s="64"/>
      <c r="CY158" s="74" t="s">
        <v>1834</v>
      </c>
      <c r="CZ158" s="73">
        <f t="shared" ca="1" si="1170"/>
        <v>5</v>
      </c>
      <c r="DA158" s="64"/>
      <c r="DB158" s="74" t="s">
        <v>1290</v>
      </c>
      <c r="DC158" s="73">
        <f t="shared" ca="1" si="1171"/>
        <v>0</v>
      </c>
      <c r="DD158" s="64"/>
      <c r="DE158" s="74" t="s">
        <v>1282</v>
      </c>
      <c r="DF158" s="73">
        <f t="shared" ca="1" si="1172"/>
        <v>0</v>
      </c>
      <c r="DG158" s="64"/>
      <c r="DH158" s="74" t="s">
        <v>80</v>
      </c>
      <c r="DI158" s="73">
        <f t="shared" ca="1" si="1173"/>
        <v>5</v>
      </c>
      <c r="DJ158" s="64"/>
      <c r="DK158" s="74" t="s">
        <v>1641</v>
      </c>
      <c r="DL158" s="73">
        <f t="shared" ca="1" si="1174"/>
        <v>5</v>
      </c>
      <c r="DM158" s="64"/>
      <c r="DN158" s="74" t="s">
        <v>1553</v>
      </c>
      <c r="DO158" s="73">
        <f t="shared" ca="1" si="1175"/>
        <v>5</v>
      </c>
      <c r="DP158" s="64"/>
      <c r="DQ158" s="74" t="s">
        <v>1559</v>
      </c>
      <c r="DR158" s="73">
        <f t="shared" ca="1" si="1176"/>
        <v>5</v>
      </c>
      <c r="DS158" s="64"/>
      <c r="DT158" s="74" t="s">
        <v>1553</v>
      </c>
      <c r="DU158" s="73">
        <f t="shared" ca="1" si="1177"/>
        <v>5</v>
      </c>
      <c r="DV158" s="64"/>
      <c r="DW158" s="74" t="s">
        <v>1282</v>
      </c>
      <c r="DX158" s="73">
        <f t="shared" ca="1" si="1178"/>
        <v>0</v>
      </c>
      <c r="DY158" s="64"/>
      <c r="DZ158" s="74" t="s">
        <v>1559</v>
      </c>
      <c r="EA158" s="73">
        <f t="shared" ca="1" si="1179"/>
        <v>5</v>
      </c>
      <c r="EB158" s="64"/>
      <c r="EC158" s="74" t="s">
        <v>1559</v>
      </c>
      <c r="ED158" s="73">
        <f t="shared" ca="1" si="1180"/>
        <v>5</v>
      </c>
      <c r="EE158" s="64"/>
      <c r="EF158" s="74" t="s">
        <v>1282</v>
      </c>
      <c r="EG158" s="73">
        <f t="shared" ca="1" si="1181"/>
        <v>0</v>
      </c>
      <c r="EH158" s="64"/>
      <c r="EI158" s="74" t="s">
        <v>1282</v>
      </c>
      <c r="EJ158" s="73">
        <f t="shared" ca="1" si="1182"/>
        <v>0</v>
      </c>
      <c r="EK158" s="64"/>
      <c r="EL158" s="74" t="s">
        <v>1559</v>
      </c>
      <c r="EM158" s="73">
        <f t="shared" ca="1" si="1183"/>
        <v>5</v>
      </c>
      <c r="EN158" s="64"/>
      <c r="EO158" s="74" t="s">
        <v>1559</v>
      </c>
      <c r="EP158" s="73">
        <f t="shared" ca="1" si="1184"/>
        <v>5</v>
      </c>
      <c r="EQ158" s="64"/>
      <c r="ER158" s="74" t="s">
        <v>1282</v>
      </c>
      <c r="ES158" s="73">
        <f t="shared" ca="1" si="1185"/>
        <v>0</v>
      </c>
      <c r="ET158" s="64"/>
      <c r="EU158" s="74" t="s">
        <v>1282</v>
      </c>
      <c r="EV158" s="73">
        <f t="shared" ca="1" si="1186"/>
        <v>0</v>
      </c>
      <c r="EW158" s="64"/>
      <c r="EX158" s="74" t="s">
        <v>1559</v>
      </c>
      <c r="EY158" s="73">
        <f t="shared" ca="1" si="1187"/>
        <v>5</v>
      </c>
      <c r="EZ158" s="64"/>
      <c r="FA158" s="74" t="s">
        <v>1559</v>
      </c>
      <c r="FB158" s="73">
        <f t="shared" ca="1" si="1188"/>
        <v>5</v>
      </c>
      <c r="FC158" s="64"/>
      <c r="FD158" s="74" t="s">
        <v>1282</v>
      </c>
      <c r="FE158" s="73">
        <f t="shared" ca="1" si="1189"/>
        <v>0</v>
      </c>
      <c r="FF158" s="64"/>
      <c r="FG158" s="74" t="s">
        <v>1559</v>
      </c>
      <c r="FH158" s="73">
        <f t="shared" ca="1" si="1190"/>
        <v>5</v>
      </c>
      <c r="FI158" s="64"/>
      <c r="FJ158" s="74" t="s">
        <v>1553</v>
      </c>
      <c r="FK158" s="73">
        <f t="shared" ca="1" si="1191"/>
        <v>5</v>
      </c>
      <c r="FL158" s="64"/>
      <c r="FM158" s="74" t="s">
        <v>1553</v>
      </c>
      <c r="FN158" s="73">
        <f t="shared" ca="1" si="1192"/>
        <v>5</v>
      </c>
      <c r="FO158" s="64"/>
      <c r="FP158" s="74" t="s">
        <v>1559</v>
      </c>
      <c r="FQ158" s="73">
        <f t="shared" ca="1" si="1193"/>
        <v>5</v>
      </c>
      <c r="FR158" s="64"/>
      <c r="FS158" s="74" t="s">
        <v>1553</v>
      </c>
      <c r="FT158" s="73">
        <f t="shared" ca="1" si="1194"/>
        <v>5</v>
      </c>
      <c r="FU158" s="64"/>
      <c r="FV158" s="74" t="s">
        <v>80</v>
      </c>
      <c r="FW158" s="73">
        <f t="shared" ca="1" si="1195"/>
        <v>5</v>
      </c>
      <c r="FX158" s="64"/>
      <c r="FY158" s="74" t="s">
        <v>80</v>
      </c>
      <c r="FZ158" s="73">
        <f t="shared" ca="1" si="1196"/>
        <v>5</v>
      </c>
      <c r="GA158" s="64"/>
      <c r="GB158" s="74" t="s">
        <v>80</v>
      </c>
      <c r="GC158" s="73">
        <f t="shared" ca="1" si="1197"/>
        <v>5</v>
      </c>
      <c r="GD158" s="64"/>
      <c r="GE158" s="74" t="s">
        <v>1290</v>
      </c>
      <c r="GF158" s="73">
        <f t="shared" ca="1" si="1198"/>
        <v>0</v>
      </c>
      <c r="GG158" s="64"/>
      <c r="GH158" s="74" t="s">
        <v>1559</v>
      </c>
      <c r="GI158" s="73">
        <f t="shared" ca="1" si="1199"/>
        <v>5</v>
      </c>
      <c r="GJ158" s="64"/>
      <c r="GK158" s="74" t="s">
        <v>1290</v>
      </c>
      <c r="GL158" s="73">
        <f t="shared" ca="1" si="1200"/>
        <v>0</v>
      </c>
      <c r="GM158" s="64"/>
      <c r="GN158" s="74"/>
      <c r="GO158" s="73">
        <f t="shared" ca="1" si="1201"/>
        <v>0</v>
      </c>
      <c r="GP158" s="64"/>
      <c r="GQ158" s="74"/>
      <c r="GR158" s="73">
        <f t="shared" ca="1" si="1202"/>
        <v>0</v>
      </c>
      <c r="GS158" s="64"/>
      <c r="GT158" s="74"/>
      <c r="GU158" s="73">
        <f t="shared" ca="1" si="1203"/>
        <v>0</v>
      </c>
      <c r="GV158" s="64"/>
      <c r="GW158" s="74"/>
      <c r="GX158" s="73">
        <f t="shared" ca="1" si="1204"/>
        <v>0</v>
      </c>
      <c r="GY158" s="64"/>
      <c r="GZ158" s="74"/>
      <c r="HA158" s="73">
        <f t="shared" ca="1" si="1205"/>
        <v>0</v>
      </c>
      <c r="HB158" s="64"/>
      <c r="HC158" s="74"/>
      <c r="HD158" s="73">
        <f t="shared" ca="1" si="1206"/>
        <v>0</v>
      </c>
      <c r="HE158" s="64"/>
      <c r="HF158" s="74"/>
      <c r="HG158" s="73">
        <f t="shared" ca="1" si="1207"/>
        <v>0</v>
      </c>
      <c r="HH158" s="64"/>
      <c r="HI158" s="74"/>
      <c r="HJ158" s="73">
        <f t="shared" ca="1" si="1208"/>
        <v>0</v>
      </c>
      <c r="HK158" s="64"/>
      <c r="HL158" s="74"/>
      <c r="HM158" s="73">
        <f t="shared" ca="1" si="1209"/>
        <v>0</v>
      </c>
      <c r="HN158" s="64"/>
      <c r="HO158" s="74"/>
      <c r="HP158" s="73">
        <f t="shared" ca="1" si="1210"/>
        <v>0</v>
      </c>
      <c r="HQ158" s="64"/>
      <c r="HR158" s="74"/>
      <c r="HS158" s="73">
        <f t="shared" ca="1" si="1211"/>
        <v>0</v>
      </c>
      <c r="HT158" s="64"/>
      <c r="HU158" s="74"/>
      <c r="HV158" s="73">
        <f t="shared" ca="1" si="1212"/>
        <v>0</v>
      </c>
      <c r="HW158" s="64"/>
      <c r="HX158" s="74"/>
      <c r="HY158" s="73">
        <f t="shared" ca="1" si="1213"/>
        <v>0</v>
      </c>
      <c r="HZ158" s="64"/>
      <c r="IA158" s="74"/>
      <c r="IB158" s="73">
        <f t="shared" ca="1" si="1214"/>
        <v>0</v>
      </c>
      <c r="IC158" s="64"/>
      <c r="ID158" s="74"/>
      <c r="IE158" s="73">
        <f t="shared" ca="1" si="1215"/>
        <v>0</v>
      </c>
      <c r="IF158" s="64"/>
      <c r="IG158" s="74"/>
      <c r="IH158" s="73">
        <f t="shared" ca="1" si="1216"/>
        <v>0</v>
      </c>
      <c r="II158" s="64"/>
      <c r="IJ158" s="74"/>
      <c r="IK158" s="73">
        <f t="shared" ca="1" si="1217"/>
        <v>0</v>
      </c>
      <c r="IL158" s="64"/>
      <c r="IM158" s="74"/>
      <c r="IN158" s="73">
        <f t="shared" ca="1" si="1218"/>
        <v>0</v>
      </c>
      <c r="IO158" s="64"/>
      <c r="IP158" s="74"/>
      <c r="IQ158" s="73">
        <f t="shared" ca="1" si="1219"/>
        <v>0</v>
      </c>
      <c r="IR158" s="64"/>
      <c r="IS158" s="74"/>
      <c r="IT158" s="73">
        <f t="shared" ca="1" si="1220"/>
        <v>0</v>
      </c>
      <c r="IU158" s="64"/>
      <c r="IV158" s="74"/>
      <c r="IW158" s="73">
        <f t="shared" ca="1" si="1221"/>
        <v>0</v>
      </c>
      <c r="IX158" s="64"/>
      <c r="IY158" s="74"/>
      <c r="IZ158" s="73">
        <f t="shared" ca="1" si="1222"/>
        <v>0</v>
      </c>
      <c r="JA158" s="64"/>
      <c r="JB158" s="74"/>
      <c r="JC158" s="73">
        <f t="shared" ca="1" si="1223"/>
        <v>0</v>
      </c>
      <c r="JD158" s="64"/>
      <c r="JE158" s="74"/>
      <c r="JF158" s="73">
        <f t="shared" ca="1" si="1224"/>
        <v>0</v>
      </c>
      <c r="JG158" s="64"/>
      <c r="JH158" s="74"/>
      <c r="JI158" s="73">
        <f t="shared" ca="1" si="1225"/>
        <v>0</v>
      </c>
      <c r="JJ158" s="64"/>
      <c r="JK158" s="74"/>
      <c r="JL158" s="73">
        <f t="shared" ca="1" si="1226"/>
        <v>0</v>
      </c>
      <c r="JM158" s="64"/>
      <c r="JN158" s="74"/>
      <c r="JO158" s="73">
        <f t="shared" ca="1" si="1227"/>
        <v>0</v>
      </c>
      <c r="JP158" s="64"/>
      <c r="JQ158" s="74"/>
      <c r="JR158" s="73">
        <f t="shared" ca="1" si="1228"/>
        <v>0</v>
      </c>
      <c r="JS158" s="64"/>
      <c r="JT158" s="74"/>
      <c r="JU158" s="73">
        <f t="shared" ca="1" si="1229"/>
        <v>0</v>
      </c>
      <c r="JV158" s="64"/>
      <c r="JW158" s="74"/>
      <c r="JX158" s="73">
        <f t="shared" ca="1" si="1230"/>
        <v>0</v>
      </c>
      <c r="JY158" s="64"/>
      <c r="JZ158" s="74"/>
      <c r="KA158" s="73">
        <f t="shared" ca="1" si="1231"/>
        <v>0</v>
      </c>
      <c r="KB158" s="64"/>
      <c r="KC158" s="74"/>
      <c r="KD158" s="73">
        <f t="shared" ca="1" si="1232"/>
        <v>0</v>
      </c>
      <c r="KE158" s="64"/>
      <c r="KF158" s="74"/>
      <c r="KG158" s="73">
        <f t="shared" ca="1" si="1233"/>
        <v>0</v>
      </c>
      <c r="KH158" s="64"/>
      <c r="KI158" s="74"/>
      <c r="KJ158" s="73">
        <f t="shared" ca="1" si="1234"/>
        <v>0</v>
      </c>
      <c r="KK158" s="64"/>
      <c r="KL158" s="74"/>
      <c r="KM158" s="73">
        <f t="shared" ca="1" si="1235"/>
        <v>0</v>
      </c>
      <c r="KN158" s="64"/>
      <c r="KO158" s="74"/>
      <c r="KP158" s="73">
        <f t="shared" ca="1" si="1236"/>
        <v>0</v>
      </c>
      <c r="KQ158" s="64"/>
      <c r="KR158" s="74"/>
      <c r="KS158" s="73">
        <f t="shared" ca="1" si="1237"/>
        <v>0</v>
      </c>
      <c r="KT158" s="64"/>
      <c r="KU158" s="74"/>
      <c r="KV158" s="73">
        <f t="shared" ca="1" si="1238"/>
        <v>0</v>
      </c>
      <c r="KW158" s="64"/>
      <c r="KX158" s="74"/>
      <c r="KY158" s="73">
        <f t="shared" ca="1" si="1239"/>
        <v>0</v>
      </c>
      <c r="KZ158" s="64"/>
      <c r="LA158" s="74"/>
      <c r="LB158" s="73">
        <f t="shared" ca="1" si="1240"/>
        <v>0</v>
      </c>
      <c r="LC158" s="64"/>
      <c r="LD158" s="74"/>
      <c r="LE158" s="73">
        <f t="shared" ca="1" si="1241"/>
        <v>0</v>
      </c>
      <c r="LF158" s="64"/>
      <c r="LG158" s="64"/>
    </row>
    <row r="159" spans="1:319">
      <c r="A159" s="49"/>
      <c r="B159" s="49"/>
      <c r="C159" s="49"/>
      <c r="D159" s="49"/>
      <c r="E159" s="65"/>
      <c r="F159" s="127">
        <f t="shared" si="1242"/>
        <v>5</v>
      </c>
      <c r="G159" s="445">
        <f ca="1">VLOOKUP(H159,Equipos!$Q$1:$R$25,2,0)</f>
        <v>19</v>
      </c>
      <c r="H159" s="447" t="str">
        <f>Idiomas!$D$137</f>
        <v>QUALIFIED FOR ROUND OF 32</v>
      </c>
      <c r="I159" s="50"/>
      <c r="J159" s="845"/>
      <c r="K159" s="56" t="str">
        <f>Idiomas!$D$198&amp;"-"&amp;ROWS($L$130:L159)</f>
        <v>16-Finalist-30</v>
      </c>
      <c r="L159" s="53"/>
      <c r="M159" s="55" t="str">
        <f ca="1">WORLDCUP!AF114</f>
        <v>Egypt</v>
      </c>
      <c r="N159" s="25"/>
      <c r="O159" s="25"/>
      <c r="P159" s="25"/>
      <c r="Q159" s="25"/>
      <c r="R159" s="110"/>
      <c r="S159" s="74" t="s">
        <v>293</v>
      </c>
      <c r="T159" s="73">
        <f t="shared" ca="1" si="1142"/>
        <v>5</v>
      </c>
      <c r="U159" s="64"/>
      <c r="V159" s="74" t="s">
        <v>1290</v>
      </c>
      <c r="W159" s="73">
        <f t="shared" ca="1" si="1143"/>
        <v>0</v>
      </c>
      <c r="X159" s="64"/>
      <c r="Y159" s="74" t="s">
        <v>1553</v>
      </c>
      <c r="Z159" s="73">
        <f t="shared" ca="1" si="1144"/>
        <v>5</v>
      </c>
      <c r="AA159" s="64"/>
      <c r="AB159" s="74" t="s">
        <v>1553</v>
      </c>
      <c r="AC159" s="73">
        <f t="shared" ca="1" si="1145"/>
        <v>5</v>
      </c>
      <c r="AD159" s="64"/>
      <c r="AE159" s="74" t="s">
        <v>1553</v>
      </c>
      <c r="AF159" s="73">
        <f t="shared" ca="1" si="1146"/>
        <v>5</v>
      </c>
      <c r="AG159" s="64"/>
      <c r="AH159" s="74" t="s">
        <v>1553</v>
      </c>
      <c r="AI159" s="73">
        <f t="shared" ca="1" si="1147"/>
        <v>5</v>
      </c>
      <c r="AJ159" s="64"/>
      <c r="AK159" s="74" t="s">
        <v>1282</v>
      </c>
      <c r="AL159" s="73">
        <f t="shared" ca="1" si="1148"/>
        <v>0</v>
      </c>
      <c r="AM159" s="64"/>
      <c r="AN159" s="74" t="s">
        <v>293</v>
      </c>
      <c r="AO159" s="73">
        <f t="shared" ca="1" si="1149"/>
        <v>5</v>
      </c>
      <c r="AP159" s="64"/>
      <c r="AQ159" s="74" t="s">
        <v>1553</v>
      </c>
      <c r="AR159" s="73">
        <f t="shared" ca="1" si="1150"/>
        <v>5</v>
      </c>
      <c r="AS159" s="64"/>
      <c r="AT159" s="74" t="s">
        <v>1290</v>
      </c>
      <c r="AU159" s="73">
        <f t="shared" ca="1" si="1151"/>
        <v>0</v>
      </c>
      <c r="AV159" s="64"/>
      <c r="AW159" s="74" t="s">
        <v>1290</v>
      </c>
      <c r="AX159" s="73">
        <f t="shared" ca="1" si="1152"/>
        <v>0</v>
      </c>
      <c r="AY159" s="64"/>
      <c r="AZ159" s="74" t="s">
        <v>1553</v>
      </c>
      <c r="BA159" s="73">
        <f t="shared" ca="1" si="1153"/>
        <v>5</v>
      </c>
      <c r="BB159" s="64"/>
      <c r="BC159" s="74" t="s">
        <v>1553</v>
      </c>
      <c r="BD159" s="73">
        <f t="shared" ca="1" si="1154"/>
        <v>5</v>
      </c>
      <c r="BE159" s="64"/>
      <c r="BF159" s="74" t="s">
        <v>1282</v>
      </c>
      <c r="BG159" s="73">
        <f t="shared" ca="1" si="1155"/>
        <v>0</v>
      </c>
      <c r="BH159" s="64"/>
      <c r="BI159" s="74" t="s">
        <v>293</v>
      </c>
      <c r="BJ159" s="73">
        <f t="shared" ca="1" si="1156"/>
        <v>5</v>
      </c>
      <c r="BK159" s="64"/>
      <c r="BL159" s="74" t="s">
        <v>1553</v>
      </c>
      <c r="BM159" s="73">
        <f t="shared" ca="1" si="1157"/>
        <v>5</v>
      </c>
      <c r="BN159" s="64"/>
      <c r="BO159" s="74" t="s">
        <v>293</v>
      </c>
      <c r="BP159" s="73">
        <f t="shared" ca="1" si="1158"/>
        <v>5</v>
      </c>
      <c r="BQ159" s="64"/>
      <c r="BR159" s="74" t="s">
        <v>293</v>
      </c>
      <c r="BS159" s="73">
        <f t="shared" ca="1" si="1159"/>
        <v>5</v>
      </c>
      <c r="BT159" s="64"/>
      <c r="BU159" s="74" t="s">
        <v>1282</v>
      </c>
      <c r="BV159" s="73">
        <f t="shared" ca="1" si="1160"/>
        <v>0</v>
      </c>
      <c r="BW159" s="64"/>
      <c r="BX159" s="74" t="s">
        <v>1553</v>
      </c>
      <c r="BY159" s="73">
        <f t="shared" ca="1" si="1161"/>
        <v>5</v>
      </c>
      <c r="BZ159" s="64"/>
      <c r="CA159" s="74" t="s">
        <v>1290</v>
      </c>
      <c r="CB159" s="73">
        <f t="shared" ca="1" si="1162"/>
        <v>0</v>
      </c>
      <c r="CC159" s="64"/>
      <c r="CD159" s="74" t="s">
        <v>1553</v>
      </c>
      <c r="CE159" s="73">
        <f t="shared" ca="1" si="1163"/>
        <v>5</v>
      </c>
      <c r="CF159" s="64"/>
      <c r="CG159" s="74" t="s">
        <v>1282</v>
      </c>
      <c r="CH159" s="73">
        <f t="shared" ca="1" si="1164"/>
        <v>0</v>
      </c>
      <c r="CI159" s="64"/>
      <c r="CJ159" s="74" t="s">
        <v>1290</v>
      </c>
      <c r="CK159" s="73">
        <f t="shared" ca="1" si="1165"/>
        <v>0</v>
      </c>
      <c r="CL159" s="64"/>
      <c r="CM159" s="74" t="s">
        <v>1553</v>
      </c>
      <c r="CN159" s="73">
        <f t="shared" ca="1" si="1166"/>
        <v>5</v>
      </c>
      <c r="CO159" s="64"/>
      <c r="CP159" s="74" t="s">
        <v>1282</v>
      </c>
      <c r="CQ159" s="73">
        <f t="shared" ca="1" si="1167"/>
        <v>0</v>
      </c>
      <c r="CR159" s="64"/>
      <c r="CS159" s="74" t="s">
        <v>293</v>
      </c>
      <c r="CT159" s="73">
        <f t="shared" ca="1" si="1168"/>
        <v>5</v>
      </c>
      <c r="CU159" s="64"/>
      <c r="CV159" s="74" t="s">
        <v>1553</v>
      </c>
      <c r="CW159" s="73">
        <f t="shared" ca="1" si="1169"/>
        <v>5</v>
      </c>
      <c r="CX159" s="64"/>
      <c r="CY159" s="74" t="s">
        <v>1282</v>
      </c>
      <c r="CZ159" s="73">
        <f t="shared" ca="1" si="1170"/>
        <v>0</v>
      </c>
      <c r="DA159" s="64"/>
      <c r="DB159" s="74" t="s">
        <v>1553</v>
      </c>
      <c r="DC159" s="73">
        <f t="shared" ca="1" si="1171"/>
        <v>5</v>
      </c>
      <c r="DD159" s="64"/>
      <c r="DE159" s="74" t="s">
        <v>1553</v>
      </c>
      <c r="DF159" s="73">
        <f t="shared" ca="1" si="1172"/>
        <v>5</v>
      </c>
      <c r="DG159" s="64"/>
      <c r="DH159" s="74" t="s">
        <v>1290</v>
      </c>
      <c r="DI159" s="73">
        <f t="shared" ca="1" si="1173"/>
        <v>0</v>
      </c>
      <c r="DJ159" s="64"/>
      <c r="DK159" s="74" t="s">
        <v>1553</v>
      </c>
      <c r="DL159" s="73">
        <f t="shared" ca="1" si="1174"/>
        <v>5</v>
      </c>
      <c r="DM159" s="64"/>
      <c r="DN159" s="74" t="s">
        <v>1282</v>
      </c>
      <c r="DO159" s="73">
        <f t="shared" ca="1" si="1175"/>
        <v>0</v>
      </c>
      <c r="DP159" s="64"/>
      <c r="DQ159" s="74" t="s">
        <v>1553</v>
      </c>
      <c r="DR159" s="73">
        <f t="shared" ca="1" si="1176"/>
        <v>5</v>
      </c>
      <c r="DS159" s="64"/>
      <c r="DT159" s="74" t="s">
        <v>1282</v>
      </c>
      <c r="DU159" s="73">
        <f t="shared" ca="1" si="1177"/>
        <v>0</v>
      </c>
      <c r="DV159" s="64"/>
      <c r="DW159" s="74" t="s">
        <v>1553</v>
      </c>
      <c r="DX159" s="73">
        <f t="shared" ca="1" si="1178"/>
        <v>5</v>
      </c>
      <c r="DY159" s="64"/>
      <c r="DZ159" s="74" t="s">
        <v>1282</v>
      </c>
      <c r="EA159" s="73">
        <f t="shared" ca="1" si="1179"/>
        <v>0</v>
      </c>
      <c r="EB159" s="64"/>
      <c r="EC159" s="74" t="s">
        <v>1553</v>
      </c>
      <c r="ED159" s="73">
        <f t="shared" ca="1" si="1180"/>
        <v>5</v>
      </c>
      <c r="EE159" s="64"/>
      <c r="EF159" s="74" t="s">
        <v>293</v>
      </c>
      <c r="EG159" s="73">
        <f t="shared" ca="1" si="1181"/>
        <v>5</v>
      </c>
      <c r="EH159" s="64"/>
      <c r="EI159" s="74" t="s">
        <v>1553</v>
      </c>
      <c r="EJ159" s="73">
        <f t="shared" ca="1" si="1182"/>
        <v>5</v>
      </c>
      <c r="EK159" s="64"/>
      <c r="EL159" s="74" t="s">
        <v>1553</v>
      </c>
      <c r="EM159" s="73">
        <f t="shared" ca="1" si="1183"/>
        <v>5</v>
      </c>
      <c r="EN159" s="64"/>
      <c r="EO159" s="74" t="s">
        <v>1553</v>
      </c>
      <c r="EP159" s="73">
        <f t="shared" ca="1" si="1184"/>
        <v>5</v>
      </c>
      <c r="EQ159" s="64"/>
      <c r="ER159" s="74" t="s">
        <v>1553</v>
      </c>
      <c r="ES159" s="73">
        <f t="shared" ca="1" si="1185"/>
        <v>5</v>
      </c>
      <c r="ET159" s="64"/>
      <c r="EU159" s="74" t="s">
        <v>1553</v>
      </c>
      <c r="EV159" s="73">
        <f t="shared" ca="1" si="1186"/>
        <v>5</v>
      </c>
      <c r="EW159" s="64"/>
      <c r="EX159" s="74" t="s">
        <v>1553</v>
      </c>
      <c r="EY159" s="73">
        <f t="shared" ca="1" si="1187"/>
        <v>5</v>
      </c>
      <c r="EZ159" s="64"/>
      <c r="FA159" s="74" t="s">
        <v>1553</v>
      </c>
      <c r="FB159" s="73">
        <f t="shared" ca="1" si="1188"/>
        <v>5</v>
      </c>
      <c r="FC159" s="64"/>
      <c r="FD159" s="74" t="s">
        <v>1290</v>
      </c>
      <c r="FE159" s="73">
        <f t="shared" ca="1" si="1189"/>
        <v>0</v>
      </c>
      <c r="FF159" s="64"/>
      <c r="FG159" s="74" t="s">
        <v>1553</v>
      </c>
      <c r="FH159" s="73">
        <f t="shared" ca="1" si="1190"/>
        <v>5</v>
      </c>
      <c r="FI159" s="64"/>
      <c r="FJ159" s="74" t="s">
        <v>1282</v>
      </c>
      <c r="FK159" s="73">
        <f t="shared" ca="1" si="1191"/>
        <v>0</v>
      </c>
      <c r="FL159" s="64"/>
      <c r="FM159" s="74" t="s">
        <v>1282</v>
      </c>
      <c r="FN159" s="73">
        <f t="shared" ca="1" si="1192"/>
        <v>0</v>
      </c>
      <c r="FO159" s="64"/>
      <c r="FP159" s="74" t="s">
        <v>1553</v>
      </c>
      <c r="FQ159" s="73">
        <f t="shared" ca="1" si="1193"/>
        <v>5</v>
      </c>
      <c r="FR159" s="64"/>
      <c r="FS159" s="74" t="s">
        <v>1282</v>
      </c>
      <c r="FT159" s="73">
        <f t="shared" ca="1" si="1194"/>
        <v>0</v>
      </c>
      <c r="FU159" s="64"/>
      <c r="FV159" s="74" t="s">
        <v>1553</v>
      </c>
      <c r="FW159" s="73">
        <f t="shared" ca="1" si="1195"/>
        <v>5</v>
      </c>
      <c r="FX159" s="64"/>
      <c r="FY159" s="74" t="s">
        <v>1282</v>
      </c>
      <c r="FZ159" s="73">
        <f t="shared" ca="1" si="1196"/>
        <v>0</v>
      </c>
      <c r="GA159" s="64"/>
      <c r="GB159" s="74" t="s">
        <v>1553</v>
      </c>
      <c r="GC159" s="73">
        <f t="shared" ca="1" si="1197"/>
        <v>5</v>
      </c>
      <c r="GD159" s="64"/>
      <c r="GE159" s="74" t="s">
        <v>1553</v>
      </c>
      <c r="GF159" s="73">
        <f t="shared" ca="1" si="1198"/>
        <v>5</v>
      </c>
      <c r="GG159" s="64"/>
      <c r="GH159" s="74" t="s">
        <v>1553</v>
      </c>
      <c r="GI159" s="73">
        <f t="shared" ca="1" si="1199"/>
        <v>5</v>
      </c>
      <c r="GJ159" s="64"/>
      <c r="GK159" s="74" t="s">
        <v>1553</v>
      </c>
      <c r="GL159" s="73">
        <f t="shared" ca="1" si="1200"/>
        <v>5</v>
      </c>
      <c r="GM159" s="64"/>
      <c r="GN159" s="74"/>
      <c r="GO159" s="73">
        <f t="shared" ca="1" si="1201"/>
        <v>0</v>
      </c>
      <c r="GP159" s="64"/>
      <c r="GQ159" s="74"/>
      <c r="GR159" s="73">
        <f t="shared" ca="1" si="1202"/>
        <v>0</v>
      </c>
      <c r="GS159" s="64"/>
      <c r="GT159" s="74"/>
      <c r="GU159" s="73">
        <f t="shared" ca="1" si="1203"/>
        <v>0</v>
      </c>
      <c r="GV159" s="64"/>
      <c r="GW159" s="74"/>
      <c r="GX159" s="73">
        <f t="shared" ca="1" si="1204"/>
        <v>0</v>
      </c>
      <c r="GY159" s="64"/>
      <c r="GZ159" s="74"/>
      <c r="HA159" s="73">
        <f t="shared" ca="1" si="1205"/>
        <v>0</v>
      </c>
      <c r="HB159" s="64"/>
      <c r="HC159" s="74"/>
      <c r="HD159" s="73">
        <f t="shared" ca="1" si="1206"/>
        <v>0</v>
      </c>
      <c r="HE159" s="64"/>
      <c r="HF159" s="74"/>
      <c r="HG159" s="73">
        <f t="shared" ca="1" si="1207"/>
        <v>0</v>
      </c>
      <c r="HH159" s="64"/>
      <c r="HI159" s="74"/>
      <c r="HJ159" s="73">
        <f t="shared" ca="1" si="1208"/>
        <v>0</v>
      </c>
      <c r="HK159" s="64"/>
      <c r="HL159" s="74"/>
      <c r="HM159" s="73">
        <f t="shared" ca="1" si="1209"/>
        <v>0</v>
      </c>
      <c r="HN159" s="64"/>
      <c r="HO159" s="74"/>
      <c r="HP159" s="73">
        <f t="shared" ca="1" si="1210"/>
        <v>0</v>
      </c>
      <c r="HQ159" s="64"/>
      <c r="HR159" s="74"/>
      <c r="HS159" s="73">
        <f t="shared" ca="1" si="1211"/>
        <v>0</v>
      </c>
      <c r="HT159" s="64"/>
      <c r="HU159" s="74"/>
      <c r="HV159" s="73">
        <f t="shared" ca="1" si="1212"/>
        <v>0</v>
      </c>
      <c r="HW159" s="64"/>
      <c r="HX159" s="74"/>
      <c r="HY159" s="73">
        <f t="shared" ca="1" si="1213"/>
        <v>0</v>
      </c>
      <c r="HZ159" s="64"/>
      <c r="IA159" s="74"/>
      <c r="IB159" s="73">
        <f t="shared" ca="1" si="1214"/>
        <v>0</v>
      </c>
      <c r="IC159" s="64"/>
      <c r="ID159" s="74"/>
      <c r="IE159" s="73">
        <f t="shared" ca="1" si="1215"/>
        <v>0</v>
      </c>
      <c r="IF159" s="64"/>
      <c r="IG159" s="74"/>
      <c r="IH159" s="73">
        <f t="shared" ca="1" si="1216"/>
        <v>0</v>
      </c>
      <c r="II159" s="64"/>
      <c r="IJ159" s="74"/>
      <c r="IK159" s="73">
        <f t="shared" ca="1" si="1217"/>
        <v>0</v>
      </c>
      <c r="IL159" s="64"/>
      <c r="IM159" s="74"/>
      <c r="IN159" s="73">
        <f t="shared" ca="1" si="1218"/>
        <v>0</v>
      </c>
      <c r="IO159" s="64"/>
      <c r="IP159" s="74"/>
      <c r="IQ159" s="73">
        <f t="shared" ca="1" si="1219"/>
        <v>0</v>
      </c>
      <c r="IR159" s="64"/>
      <c r="IS159" s="74"/>
      <c r="IT159" s="73">
        <f t="shared" ca="1" si="1220"/>
        <v>0</v>
      </c>
      <c r="IU159" s="64"/>
      <c r="IV159" s="74"/>
      <c r="IW159" s="73">
        <f t="shared" ca="1" si="1221"/>
        <v>0</v>
      </c>
      <c r="IX159" s="64"/>
      <c r="IY159" s="74"/>
      <c r="IZ159" s="73">
        <f t="shared" ca="1" si="1222"/>
        <v>0</v>
      </c>
      <c r="JA159" s="64"/>
      <c r="JB159" s="74"/>
      <c r="JC159" s="73">
        <f t="shared" ca="1" si="1223"/>
        <v>0</v>
      </c>
      <c r="JD159" s="64"/>
      <c r="JE159" s="74"/>
      <c r="JF159" s="73">
        <f t="shared" ca="1" si="1224"/>
        <v>0</v>
      </c>
      <c r="JG159" s="64"/>
      <c r="JH159" s="74"/>
      <c r="JI159" s="73">
        <f t="shared" ca="1" si="1225"/>
        <v>0</v>
      </c>
      <c r="JJ159" s="64"/>
      <c r="JK159" s="74"/>
      <c r="JL159" s="73">
        <f t="shared" ca="1" si="1226"/>
        <v>0</v>
      </c>
      <c r="JM159" s="64"/>
      <c r="JN159" s="74"/>
      <c r="JO159" s="73">
        <f t="shared" ca="1" si="1227"/>
        <v>0</v>
      </c>
      <c r="JP159" s="64"/>
      <c r="JQ159" s="74"/>
      <c r="JR159" s="73">
        <f t="shared" ca="1" si="1228"/>
        <v>0</v>
      </c>
      <c r="JS159" s="64"/>
      <c r="JT159" s="74"/>
      <c r="JU159" s="73">
        <f t="shared" ca="1" si="1229"/>
        <v>0</v>
      </c>
      <c r="JV159" s="64"/>
      <c r="JW159" s="74"/>
      <c r="JX159" s="73">
        <f t="shared" ca="1" si="1230"/>
        <v>0</v>
      </c>
      <c r="JY159" s="64"/>
      <c r="JZ159" s="74"/>
      <c r="KA159" s="73">
        <f t="shared" ca="1" si="1231"/>
        <v>0</v>
      </c>
      <c r="KB159" s="64"/>
      <c r="KC159" s="74"/>
      <c r="KD159" s="73">
        <f t="shared" ca="1" si="1232"/>
        <v>0</v>
      </c>
      <c r="KE159" s="64"/>
      <c r="KF159" s="74"/>
      <c r="KG159" s="73">
        <f t="shared" ca="1" si="1233"/>
        <v>0</v>
      </c>
      <c r="KH159" s="64"/>
      <c r="KI159" s="74"/>
      <c r="KJ159" s="73">
        <f t="shared" ca="1" si="1234"/>
        <v>0</v>
      </c>
      <c r="KK159" s="64"/>
      <c r="KL159" s="74"/>
      <c r="KM159" s="73">
        <f t="shared" ca="1" si="1235"/>
        <v>0</v>
      </c>
      <c r="KN159" s="64"/>
      <c r="KO159" s="74"/>
      <c r="KP159" s="73">
        <f t="shared" ca="1" si="1236"/>
        <v>0</v>
      </c>
      <c r="KQ159" s="64"/>
      <c r="KR159" s="74"/>
      <c r="KS159" s="73">
        <f t="shared" ca="1" si="1237"/>
        <v>0</v>
      </c>
      <c r="KT159" s="64"/>
      <c r="KU159" s="74"/>
      <c r="KV159" s="73">
        <f t="shared" ca="1" si="1238"/>
        <v>0</v>
      </c>
      <c r="KW159" s="64"/>
      <c r="KX159" s="74"/>
      <c r="KY159" s="73">
        <f t="shared" ca="1" si="1239"/>
        <v>0</v>
      </c>
      <c r="KZ159" s="64"/>
      <c r="LA159" s="74"/>
      <c r="LB159" s="73">
        <f t="shared" ca="1" si="1240"/>
        <v>0</v>
      </c>
      <c r="LC159" s="64"/>
      <c r="LD159" s="74"/>
      <c r="LE159" s="73">
        <f t="shared" ca="1" si="1241"/>
        <v>0</v>
      </c>
      <c r="LF159" s="64"/>
      <c r="LG159" s="64"/>
    </row>
    <row r="160" spans="1:319">
      <c r="A160" s="49"/>
      <c r="B160" s="49"/>
      <c r="C160" s="49"/>
      <c r="D160" s="49"/>
      <c r="E160" s="65"/>
      <c r="F160" s="127">
        <f t="shared" si="1242"/>
        <v>5</v>
      </c>
      <c r="G160" s="445">
        <f ca="1">VLOOKUP(H160,Equipos!$Q$1:$R$25,2,0)</f>
        <v>19</v>
      </c>
      <c r="H160" s="447" t="str">
        <f>Idiomas!$D$137</f>
        <v>QUALIFIED FOR ROUND OF 32</v>
      </c>
      <c r="I160" s="50"/>
      <c r="J160" s="845"/>
      <c r="K160" s="56" t="str">
        <f>Idiomas!$D$198&amp;"-"&amp;ROWS($L$130:L160)</f>
        <v>16-Finalist-31</v>
      </c>
      <c r="L160" s="53"/>
      <c r="M160" s="55" t="str">
        <f ca="1">WORLDCUP!AF115</f>
        <v>Cape Verde</v>
      </c>
      <c r="N160" s="25"/>
      <c r="O160" s="25"/>
      <c r="P160" s="25"/>
      <c r="Q160" s="25"/>
      <c r="R160" s="110"/>
      <c r="S160" s="74" t="s">
        <v>1639</v>
      </c>
      <c r="T160" s="73">
        <f t="shared" ca="1" si="1142"/>
        <v>0</v>
      </c>
      <c r="U160" s="64"/>
      <c r="V160" s="74" t="s">
        <v>1318</v>
      </c>
      <c r="W160" s="73">
        <f t="shared" ca="1" si="1143"/>
        <v>0</v>
      </c>
      <c r="X160" s="64"/>
      <c r="Y160" s="74" t="s">
        <v>1318</v>
      </c>
      <c r="Z160" s="73">
        <f t="shared" ca="1" si="1144"/>
        <v>0</v>
      </c>
      <c r="AA160" s="64"/>
      <c r="AB160" s="74" t="s">
        <v>1318</v>
      </c>
      <c r="AC160" s="73">
        <f t="shared" ca="1" si="1145"/>
        <v>0</v>
      </c>
      <c r="AD160" s="64"/>
      <c r="AE160" s="74" t="s">
        <v>1318</v>
      </c>
      <c r="AF160" s="73">
        <f t="shared" ca="1" si="1146"/>
        <v>0</v>
      </c>
      <c r="AG160" s="64"/>
      <c r="AH160" s="74" t="s">
        <v>1318</v>
      </c>
      <c r="AI160" s="73">
        <f t="shared" ca="1" si="1147"/>
        <v>0</v>
      </c>
      <c r="AJ160" s="64"/>
      <c r="AK160" s="74" t="s">
        <v>1318</v>
      </c>
      <c r="AL160" s="73">
        <f t="shared" ca="1" si="1148"/>
        <v>0</v>
      </c>
      <c r="AM160" s="64"/>
      <c r="AN160" s="74" t="s">
        <v>295</v>
      </c>
      <c r="AO160" s="73">
        <f t="shared" ca="1" si="1149"/>
        <v>5</v>
      </c>
      <c r="AP160" s="64"/>
      <c r="AQ160" s="74" t="s">
        <v>1318</v>
      </c>
      <c r="AR160" s="73">
        <f t="shared" ca="1" si="1150"/>
        <v>0</v>
      </c>
      <c r="AS160" s="64"/>
      <c r="AT160" s="74" t="s">
        <v>1318</v>
      </c>
      <c r="AU160" s="73">
        <f t="shared" ca="1" si="1151"/>
        <v>0</v>
      </c>
      <c r="AV160" s="64"/>
      <c r="AW160" s="74" t="s">
        <v>1318</v>
      </c>
      <c r="AX160" s="73">
        <f t="shared" ca="1" si="1152"/>
        <v>0</v>
      </c>
      <c r="AY160" s="64"/>
      <c r="AZ160" s="74" t="s">
        <v>1318</v>
      </c>
      <c r="BA160" s="73">
        <f t="shared" ca="1" si="1153"/>
        <v>0</v>
      </c>
      <c r="BB160" s="64"/>
      <c r="BC160" s="74" t="s">
        <v>1318</v>
      </c>
      <c r="BD160" s="73">
        <f t="shared" ca="1" si="1154"/>
        <v>0</v>
      </c>
      <c r="BE160" s="64"/>
      <c r="BF160" s="74" t="s">
        <v>1318</v>
      </c>
      <c r="BG160" s="73">
        <f t="shared" ca="1" si="1155"/>
        <v>0</v>
      </c>
      <c r="BH160" s="64"/>
      <c r="BI160" s="74" t="s">
        <v>1318</v>
      </c>
      <c r="BJ160" s="73">
        <f t="shared" ca="1" si="1156"/>
        <v>0</v>
      </c>
      <c r="BK160" s="64"/>
      <c r="BL160" s="74" t="s">
        <v>1318</v>
      </c>
      <c r="BM160" s="73">
        <f t="shared" ca="1" si="1157"/>
        <v>0</v>
      </c>
      <c r="BN160" s="64"/>
      <c r="BO160" s="74" t="s">
        <v>1318</v>
      </c>
      <c r="BP160" s="73">
        <f t="shared" ca="1" si="1158"/>
        <v>0</v>
      </c>
      <c r="BQ160" s="64"/>
      <c r="BR160" s="74" t="s">
        <v>1318</v>
      </c>
      <c r="BS160" s="73">
        <f t="shared" ca="1" si="1159"/>
        <v>0</v>
      </c>
      <c r="BT160" s="64"/>
      <c r="BU160" s="74" t="s">
        <v>1318</v>
      </c>
      <c r="BV160" s="73">
        <f t="shared" ca="1" si="1160"/>
        <v>0</v>
      </c>
      <c r="BW160" s="64"/>
      <c r="BX160" s="74" t="s">
        <v>1318</v>
      </c>
      <c r="BY160" s="73">
        <f t="shared" ca="1" si="1161"/>
        <v>0</v>
      </c>
      <c r="BZ160" s="64"/>
      <c r="CA160" s="74" t="s">
        <v>1318</v>
      </c>
      <c r="CB160" s="73">
        <f t="shared" ca="1" si="1162"/>
        <v>0</v>
      </c>
      <c r="CC160" s="64"/>
      <c r="CD160" s="74" t="s">
        <v>1318</v>
      </c>
      <c r="CE160" s="73">
        <f t="shared" ca="1" si="1163"/>
        <v>0</v>
      </c>
      <c r="CF160" s="64"/>
      <c r="CG160" s="74" t="s">
        <v>1318</v>
      </c>
      <c r="CH160" s="73">
        <f t="shared" ca="1" si="1164"/>
        <v>0</v>
      </c>
      <c r="CI160" s="64"/>
      <c r="CJ160" s="74" t="s">
        <v>1318</v>
      </c>
      <c r="CK160" s="73">
        <f t="shared" ca="1" si="1165"/>
        <v>0</v>
      </c>
      <c r="CL160" s="64"/>
      <c r="CM160" s="74" t="s">
        <v>1318</v>
      </c>
      <c r="CN160" s="73">
        <f t="shared" ca="1" si="1166"/>
        <v>0</v>
      </c>
      <c r="CO160" s="64"/>
      <c r="CP160" s="74" t="s">
        <v>1318</v>
      </c>
      <c r="CQ160" s="73">
        <f t="shared" ca="1" si="1167"/>
        <v>0</v>
      </c>
      <c r="CR160" s="64"/>
      <c r="CS160" s="74" t="s">
        <v>1318</v>
      </c>
      <c r="CT160" s="73">
        <f t="shared" ca="1" si="1168"/>
        <v>0</v>
      </c>
      <c r="CU160" s="64"/>
      <c r="CV160" s="74" t="s">
        <v>1318</v>
      </c>
      <c r="CW160" s="73">
        <f t="shared" ca="1" si="1169"/>
        <v>0</v>
      </c>
      <c r="CX160" s="64"/>
      <c r="CY160" s="74" t="s">
        <v>1318</v>
      </c>
      <c r="CZ160" s="73">
        <f t="shared" ca="1" si="1170"/>
        <v>0</v>
      </c>
      <c r="DA160" s="64"/>
      <c r="DB160" s="74" t="s">
        <v>1318</v>
      </c>
      <c r="DC160" s="73">
        <f t="shared" ca="1" si="1171"/>
        <v>0</v>
      </c>
      <c r="DD160" s="64"/>
      <c r="DE160" s="74" t="s">
        <v>1318</v>
      </c>
      <c r="DF160" s="73">
        <f t="shared" ca="1" si="1172"/>
        <v>0</v>
      </c>
      <c r="DG160" s="64"/>
      <c r="DH160" s="74" t="s">
        <v>1318</v>
      </c>
      <c r="DI160" s="73">
        <f t="shared" ca="1" si="1173"/>
        <v>0</v>
      </c>
      <c r="DJ160" s="64"/>
      <c r="DK160" s="74" t="s">
        <v>1318</v>
      </c>
      <c r="DL160" s="73">
        <f t="shared" ca="1" si="1174"/>
        <v>0</v>
      </c>
      <c r="DM160" s="64"/>
      <c r="DN160" s="74" t="s">
        <v>1318</v>
      </c>
      <c r="DO160" s="73">
        <f t="shared" ca="1" si="1175"/>
        <v>0</v>
      </c>
      <c r="DP160" s="64"/>
      <c r="DQ160" s="74" t="s">
        <v>1318</v>
      </c>
      <c r="DR160" s="73">
        <f t="shared" ca="1" si="1176"/>
        <v>0</v>
      </c>
      <c r="DS160" s="64"/>
      <c r="DT160" s="74" t="s">
        <v>1318</v>
      </c>
      <c r="DU160" s="73">
        <f t="shared" ca="1" si="1177"/>
        <v>0</v>
      </c>
      <c r="DV160" s="64"/>
      <c r="DW160" s="74" t="s">
        <v>1318</v>
      </c>
      <c r="DX160" s="73">
        <f t="shared" ca="1" si="1178"/>
        <v>0</v>
      </c>
      <c r="DY160" s="64"/>
      <c r="DZ160" s="74" t="s">
        <v>1318</v>
      </c>
      <c r="EA160" s="73">
        <f t="shared" ca="1" si="1179"/>
        <v>0</v>
      </c>
      <c r="EB160" s="64"/>
      <c r="EC160" s="74" t="s">
        <v>1318</v>
      </c>
      <c r="ED160" s="73">
        <f t="shared" ca="1" si="1180"/>
        <v>0</v>
      </c>
      <c r="EE160" s="64"/>
      <c r="EF160" s="74" t="s">
        <v>1639</v>
      </c>
      <c r="EG160" s="73">
        <f t="shared" ca="1" si="1181"/>
        <v>0</v>
      </c>
      <c r="EH160" s="64"/>
      <c r="EI160" s="74" t="s">
        <v>1318</v>
      </c>
      <c r="EJ160" s="73">
        <f t="shared" ca="1" si="1182"/>
        <v>0</v>
      </c>
      <c r="EK160" s="64"/>
      <c r="EL160" s="74" t="s">
        <v>1318</v>
      </c>
      <c r="EM160" s="73">
        <f t="shared" ca="1" si="1183"/>
        <v>0</v>
      </c>
      <c r="EN160" s="64"/>
      <c r="EO160" s="74" t="s">
        <v>1318</v>
      </c>
      <c r="EP160" s="73">
        <f t="shared" ca="1" si="1184"/>
        <v>0</v>
      </c>
      <c r="EQ160" s="64"/>
      <c r="ER160" s="74" t="s">
        <v>1318</v>
      </c>
      <c r="ES160" s="73">
        <f t="shared" ca="1" si="1185"/>
        <v>0</v>
      </c>
      <c r="ET160" s="64"/>
      <c r="EU160" s="74" t="s">
        <v>1318</v>
      </c>
      <c r="EV160" s="73">
        <f t="shared" ca="1" si="1186"/>
        <v>0</v>
      </c>
      <c r="EW160" s="64"/>
      <c r="EX160" s="74" t="s">
        <v>1318</v>
      </c>
      <c r="EY160" s="73">
        <f t="shared" ca="1" si="1187"/>
        <v>0</v>
      </c>
      <c r="EZ160" s="64"/>
      <c r="FA160" s="74" t="s">
        <v>1318</v>
      </c>
      <c r="FB160" s="73">
        <f t="shared" ca="1" si="1188"/>
        <v>0</v>
      </c>
      <c r="FC160" s="64"/>
      <c r="FD160" s="74" t="s">
        <v>1556</v>
      </c>
      <c r="FE160" s="73">
        <f t="shared" ca="1" si="1189"/>
        <v>5</v>
      </c>
      <c r="FF160" s="64"/>
      <c r="FG160" s="74" t="s">
        <v>1318</v>
      </c>
      <c r="FH160" s="73">
        <f t="shared" ca="1" si="1190"/>
        <v>0</v>
      </c>
      <c r="FI160" s="64"/>
      <c r="FJ160" s="74" t="s">
        <v>1318</v>
      </c>
      <c r="FK160" s="73">
        <f t="shared" ca="1" si="1191"/>
        <v>0</v>
      </c>
      <c r="FL160" s="64"/>
      <c r="FM160" s="74" t="s">
        <v>1318</v>
      </c>
      <c r="FN160" s="73">
        <f t="shared" ca="1" si="1192"/>
        <v>0</v>
      </c>
      <c r="FO160" s="64"/>
      <c r="FP160" s="74" t="s">
        <v>1318</v>
      </c>
      <c r="FQ160" s="73">
        <f t="shared" ca="1" si="1193"/>
        <v>0</v>
      </c>
      <c r="FR160" s="64"/>
      <c r="FS160" s="74" t="s">
        <v>1318</v>
      </c>
      <c r="FT160" s="73">
        <f t="shared" ca="1" si="1194"/>
        <v>0</v>
      </c>
      <c r="FU160" s="64"/>
      <c r="FV160" s="74" t="s">
        <v>1318</v>
      </c>
      <c r="FW160" s="73">
        <f t="shared" ca="1" si="1195"/>
        <v>0</v>
      </c>
      <c r="FX160" s="64"/>
      <c r="FY160" s="74" t="s">
        <v>1318</v>
      </c>
      <c r="FZ160" s="73">
        <f t="shared" ca="1" si="1196"/>
        <v>0</v>
      </c>
      <c r="GA160" s="64"/>
      <c r="GB160" s="74" t="s">
        <v>1318</v>
      </c>
      <c r="GC160" s="73">
        <f t="shared" ca="1" si="1197"/>
        <v>0</v>
      </c>
      <c r="GD160" s="64"/>
      <c r="GE160" s="74" t="s">
        <v>1318</v>
      </c>
      <c r="GF160" s="73">
        <f t="shared" ca="1" si="1198"/>
        <v>0</v>
      </c>
      <c r="GG160" s="64"/>
      <c r="GH160" s="74" t="s">
        <v>1318</v>
      </c>
      <c r="GI160" s="73">
        <f t="shared" ca="1" si="1199"/>
        <v>0</v>
      </c>
      <c r="GJ160" s="64"/>
      <c r="GK160" s="74" t="s">
        <v>1318</v>
      </c>
      <c r="GL160" s="73">
        <f t="shared" ca="1" si="1200"/>
        <v>0</v>
      </c>
      <c r="GM160" s="64"/>
      <c r="GN160" s="74"/>
      <c r="GO160" s="73">
        <f t="shared" ca="1" si="1201"/>
        <v>0</v>
      </c>
      <c r="GP160" s="64"/>
      <c r="GQ160" s="74"/>
      <c r="GR160" s="73">
        <f t="shared" ca="1" si="1202"/>
        <v>0</v>
      </c>
      <c r="GS160" s="64"/>
      <c r="GT160" s="74"/>
      <c r="GU160" s="73">
        <f t="shared" ca="1" si="1203"/>
        <v>0</v>
      </c>
      <c r="GV160" s="64"/>
      <c r="GW160" s="74"/>
      <c r="GX160" s="73">
        <f t="shared" ca="1" si="1204"/>
        <v>0</v>
      </c>
      <c r="GY160" s="64"/>
      <c r="GZ160" s="74"/>
      <c r="HA160" s="73">
        <f t="shared" ca="1" si="1205"/>
        <v>0</v>
      </c>
      <c r="HB160" s="64"/>
      <c r="HC160" s="74"/>
      <c r="HD160" s="73">
        <f t="shared" ca="1" si="1206"/>
        <v>0</v>
      </c>
      <c r="HE160" s="64"/>
      <c r="HF160" s="74"/>
      <c r="HG160" s="73">
        <f t="shared" ca="1" si="1207"/>
        <v>0</v>
      </c>
      <c r="HH160" s="64"/>
      <c r="HI160" s="74"/>
      <c r="HJ160" s="73">
        <f t="shared" ca="1" si="1208"/>
        <v>0</v>
      </c>
      <c r="HK160" s="64"/>
      <c r="HL160" s="74"/>
      <c r="HM160" s="73">
        <f t="shared" ca="1" si="1209"/>
        <v>0</v>
      </c>
      <c r="HN160" s="64"/>
      <c r="HO160" s="74"/>
      <c r="HP160" s="73">
        <f t="shared" ca="1" si="1210"/>
        <v>0</v>
      </c>
      <c r="HQ160" s="64"/>
      <c r="HR160" s="74"/>
      <c r="HS160" s="73">
        <f t="shared" ca="1" si="1211"/>
        <v>0</v>
      </c>
      <c r="HT160" s="64"/>
      <c r="HU160" s="74"/>
      <c r="HV160" s="73">
        <f t="shared" ca="1" si="1212"/>
        <v>0</v>
      </c>
      <c r="HW160" s="64"/>
      <c r="HX160" s="74"/>
      <c r="HY160" s="73">
        <f t="shared" ca="1" si="1213"/>
        <v>0</v>
      </c>
      <c r="HZ160" s="64"/>
      <c r="IA160" s="74"/>
      <c r="IB160" s="73">
        <f t="shared" ca="1" si="1214"/>
        <v>0</v>
      </c>
      <c r="IC160" s="64"/>
      <c r="ID160" s="74"/>
      <c r="IE160" s="73">
        <f t="shared" ca="1" si="1215"/>
        <v>0</v>
      </c>
      <c r="IF160" s="64"/>
      <c r="IG160" s="74"/>
      <c r="IH160" s="73">
        <f t="shared" ca="1" si="1216"/>
        <v>0</v>
      </c>
      <c r="II160" s="64"/>
      <c r="IJ160" s="74"/>
      <c r="IK160" s="73">
        <f t="shared" ca="1" si="1217"/>
        <v>0</v>
      </c>
      <c r="IL160" s="64"/>
      <c r="IM160" s="74"/>
      <c r="IN160" s="73">
        <f t="shared" ca="1" si="1218"/>
        <v>0</v>
      </c>
      <c r="IO160" s="64"/>
      <c r="IP160" s="74"/>
      <c r="IQ160" s="73">
        <f t="shared" ca="1" si="1219"/>
        <v>0</v>
      </c>
      <c r="IR160" s="64"/>
      <c r="IS160" s="74"/>
      <c r="IT160" s="73">
        <f t="shared" ca="1" si="1220"/>
        <v>0</v>
      </c>
      <c r="IU160" s="64"/>
      <c r="IV160" s="74"/>
      <c r="IW160" s="73">
        <f t="shared" ca="1" si="1221"/>
        <v>0</v>
      </c>
      <c r="IX160" s="64"/>
      <c r="IY160" s="74"/>
      <c r="IZ160" s="73">
        <f t="shared" ca="1" si="1222"/>
        <v>0</v>
      </c>
      <c r="JA160" s="64"/>
      <c r="JB160" s="74"/>
      <c r="JC160" s="73">
        <f t="shared" ca="1" si="1223"/>
        <v>0</v>
      </c>
      <c r="JD160" s="64"/>
      <c r="JE160" s="74"/>
      <c r="JF160" s="73">
        <f t="shared" ca="1" si="1224"/>
        <v>0</v>
      </c>
      <c r="JG160" s="64"/>
      <c r="JH160" s="74"/>
      <c r="JI160" s="73">
        <f t="shared" ca="1" si="1225"/>
        <v>0</v>
      </c>
      <c r="JJ160" s="64"/>
      <c r="JK160" s="74"/>
      <c r="JL160" s="73">
        <f t="shared" ca="1" si="1226"/>
        <v>0</v>
      </c>
      <c r="JM160" s="64"/>
      <c r="JN160" s="74"/>
      <c r="JO160" s="73">
        <f t="shared" ca="1" si="1227"/>
        <v>0</v>
      </c>
      <c r="JP160" s="64"/>
      <c r="JQ160" s="74"/>
      <c r="JR160" s="73">
        <f t="shared" ca="1" si="1228"/>
        <v>0</v>
      </c>
      <c r="JS160" s="64"/>
      <c r="JT160" s="74"/>
      <c r="JU160" s="73">
        <f t="shared" ca="1" si="1229"/>
        <v>0</v>
      </c>
      <c r="JV160" s="64"/>
      <c r="JW160" s="74"/>
      <c r="JX160" s="73">
        <f t="shared" ca="1" si="1230"/>
        <v>0</v>
      </c>
      <c r="JY160" s="64"/>
      <c r="JZ160" s="74"/>
      <c r="KA160" s="73">
        <f t="shared" ca="1" si="1231"/>
        <v>0</v>
      </c>
      <c r="KB160" s="64"/>
      <c r="KC160" s="74"/>
      <c r="KD160" s="73">
        <f t="shared" ca="1" si="1232"/>
        <v>0</v>
      </c>
      <c r="KE160" s="64"/>
      <c r="KF160" s="74"/>
      <c r="KG160" s="73">
        <f t="shared" ca="1" si="1233"/>
        <v>0</v>
      </c>
      <c r="KH160" s="64"/>
      <c r="KI160" s="74"/>
      <c r="KJ160" s="73">
        <f t="shared" ca="1" si="1234"/>
        <v>0</v>
      </c>
      <c r="KK160" s="64"/>
      <c r="KL160" s="74"/>
      <c r="KM160" s="73">
        <f t="shared" ca="1" si="1235"/>
        <v>0</v>
      </c>
      <c r="KN160" s="64"/>
      <c r="KO160" s="74"/>
      <c r="KP160" s="73">
        <f t="shared" ca="1" si="1236"/>
        <v>0</v>
      </c>
      <c r="KQ160" s="64"/>
      <c r="KR160" s="74"/>
      <c r="KS160" s="73">
        <f t="shared" ca="1" si="1237"/>
        <v>0</v>
      </c>
      <c r="KT160" s="64"/>
      <c r="KU160" s="74"/>
      <c r="KV160" s="73">
        <f t="shared" ca="1" si="1238"/>
        <v>0</v>
      </c>
      <c r="KW160" s="64"/>
      <c r="KX160" s="74"/>
      <c r="KY160" s="73">
        <f t="shared" ca="1" si="1239"/>
        <v>0</v>
      </c>
      <c r="KZ160" s="64"/>
      <c r="LA160" s="74"/>
      <c r="LB160" s="73">
        <f t="shared" ca="1" si="1240"/>
        <v>0</v>
      </c>
      <c r="LC160" s="64"/>
      <c r="LD160" s="74"/>
      <c r="LE160" s="73">
        <f t="shared" ca="1" si="1241"/>
        <v>0</v>
      </c>
      <c r="LF160" s="64"/>
      <c r="LG160" s="64"/>
    </row>
    <row r="161" spans="1:319">
      <c r="A161" s="49"/>
      <c r="B161" s="49"/>
      <c r="C161" s="49"/>
      <c r="D161" s="49"/>
      <c r="E161" s="65"/>
      <c r="F161" s="127">
        <f t="shared" si="1242"/>
        <v>5</v>
      </c>
      <c r="G161" s="445">
        <f ca="1">VLOOKUP(H161,Equipos!$Q$1:$R$25,2,0)</f>
        <v>19</v>
      </c>
      <c r="H161" s="447" t="str">
        <f>Idiomas!$D$137</f>
        <v>QUALIFIED FOR ROUND OF 32</v>
      </c>
      <c r="I161" s="50"/>
      <c r="J161" s="845"/>
      <c r="K161" s="115" t="str">
        <f>Idiomas!$D$198&amp;"-"&amp;ROWS($L$130:L161)</f>
        <v>16-Finalist-32</v>
      </c>
      <c r="L161" s="115"/>
      <c r="M161" s="116" t="str">
        <f ca="1">WORLDCUP!AF116</f>
        <v>Ghana</v>
      </c>
      <c r="N161" s="25"/>
      <c r="O161" s="25"/>
      <c r="P161" s="25"/>
      <c r="Q161" s="25"/>
      <c r="R161" s="110"/>
      <c r="S161" s="80" t="s">
        <v>1731</v>
      </c>
      <c r="T161" s="81">
        <f t="shared" ca="1" si="1142"/>
        <v>0</v>
      </c>
      <c r="U161" s="64"/>
      <c r="V161" s="80" t="s">
        <v>1551</v>
      </c>
      <c r="W161" s="81">
        <f t="shared" ca="1" si="1143"/>
        <v>5</v>
      </c>
      <c r="X161" s="64"/>
      <c r="Y161" s="80" t="s">
        <v>1551</v>
      </c>
      <c r="Z161" s="81">
        <f t="shared" ca="1" si="1144"/>
        <v>5</v>
      </c>
      <c r="AA161" s="64"/>
      <c r="AB161" s="80" t="s">
        <v>1551</v>
      </c>
      <c r="AC161" s="81">
        <f t="shared" ca="1" si="1145"/>
        <v>5</v>
      </c>
      <c r="AD161" s="64"/>
      <c r="AE161" s="80" t="s">
        <v>1551</v>
      </c>
      <c r="AF161" s="81">
        <f t="shared" ca="1" si="1146"/>
        <v>5</v>
      </c>
      <c r="AG161" s="64"/>
      <c r="AH161" s="80" t="s">
        <v>1551</v>
      </c>
      <c r="AI161" s="81">
        <f t="shared" ca="1" si="1147"/>
        <v>5</v>
      </c>
      <c r="AJ161" s="64"/>
      <c r="AK161" s="80" t="s">
        <v>1731</v>
      </c>
      <c r="AL161" s="81">
        <f t="shared" ca="1" si="1148"/>
        <v>0</v>
      </c>
      <c r="AM161" s="64"/>
      <c r="AN161" s="80" t="s">
        <v>296</v>
      </c>
      <c r="AO161" s="81">
        <f t="shared" ca="1" si="1149"/>
        <v>5</v>
      </c>
      <c r="AP161" s="64"/>
      <c r="AQ161" s="80" t="s">
        <v>1551</v>
      </c>
      <c r="AR161" s="81">
        <f t="shared" ca="1" si="1150"/>
        <v>5</v>
      </c>
      <c r="AS161" s="64"/>
      <c r="AT161" s="80" t="s">
        <v>292</v>
      </c>
      <c r="AU161" s="81">
        <f t="shared" ca="1" si="1151"/>
        <v>5</v>
      </c>
      <c r="AV161" s="64"/>
      <c r="AW161" s="80" t="s">
        <v>296</v>
      </c>
      <c r="AX161" s="81">
        <f t="shared" ca="1" si="1152"/>
        <v>5</v>
      </c>
      <c r="AY161" s="64"/>
      <c r="AZ161" s="80" t="s">
        <v>1641</v>
      </c>
      <c r="BA161" s="81">
        <f t="shared" ca="1" si="1153"/>
        <v>5</v>
      </c>
      <c r="BB161" s="64"/>
      <c r="BC161" s="80" t="s">
        <v>1551</v>
      </c>
      <c r="BD161" s="81">
        <f t="shared" ca="1" si="1154"/>
        <v>5</v>
      </c>
      <c r="BE161" s="64"/>
      <c r="BF161" s="80" t="s">
        <v>1551</v>
      </c>
      <c r="BG161" s="81">
        <f t="shared" ca="1" si="1155"/>
        <v>5</v>
      </c>
      <c r="BH161" s="64"/>
      <c r="BI161" s="80" t="s">
        <v>1551</v>
      </c>
      <c r="BJ161" s="81">
        <f t="shared" ca="1" si="1156"/>
        <v>5</v>
      </c>
      <c r="BK161" s="64"/>
      <c r="BL161" s="80" t="s">
        <v>1551</v>
      </c>
      <c r="BM161" s="81">
        <f t="shared" ca="1" si="1157"/>
        <v>5</v>
      </c>
      <c r="BN161" s="64"/>
      <c r="BO161" s="80" t="s">
        <v>1551</v>
      </c>
      <c r="BP161" s="81">
        <f t="shared" ca="1" si="1158"/>
        <v>5</v>
      </c>
      <c r="BQ161" s="64"/>
      <c r="BR161" s="80" t="s">
        <v>1551</v>
      </c>
      <c r="BS161" s="81">
        <f t="shared" ca="1" si="1159"/>
        <v>5</v>
      </c>
      <c r="BT161" s="64"/>
      <c r="BU161" s="80" t="s">
        <v>1551</v>
      </c>
      <c r="BV161" s="81">
        <f t="shared" ca="1" si="1160"/>
        <v>5</v>
      </c>
      <c r="BW161" s="64"/>
      <c r="BX161" s="80" t="s">
        <v>299</v>
      </c>
      <c r="BY161" s="81">
        <f t="shared" ca="1" si="1161"/>
        <v>5</v>
      </c>
      <c r="BZ161" s="64"/>
      <c r="CA161" s="80" t="s">
        <v>1551</v>
      </c>
      <c r="CB161" s="81">
        <f t="shared" ca="1" si="1162"/>
        <v>5</v>
      </c>
      <c r="CC161" s="64"/>
      <c r="CD161" s="80" t="s">
        <v>1551</v>
      </c>
      <c r="CE161" s="81">
        <f t="shared" ca="1" si="1163"/>
        <v>5</v>
      </c>
      <c r="CF161" s="64"/>
      <c r="CG161" s="80" t="s">
        <v>1551</v>
      </c>
      <c r="CH161" s="81">
        <f t="shared" ca="1" si="1164"/>
        <v>5</v>
      </c>
      <c r="CI161" s="64"/>
      <c r="CJ161" s="80" t="s">
        <v>296</v>
      </c>
      <c r="CK161" s="81">
        <f t="shared" ca="1" si="1165"/>
        <v>5</v>
      </c>
      <c r="CL161" s="64"/>
      <c r="CM161" s="80" t="s">
        <v>1551</v>
      </c>
      <c r="CN161" s="81">
        <f t="shared" ca="1" si="1166"/>
        <v>5</v>
      </c>
      <c r="CO161" s="64"/>
      <c r="CP161" s="80" t="s">
        <v>1551</v>
      </c>
      <c r="CQ161" s="81">
        <f t="shared" ca="1" si="1167"/>
        <v>5</v>
      </c>
      <c r="CR161" s="64"/>
      <c r="CS161" s="80" t="s">
        <v>1551</v>
      </c>
      <c r="CT161" s="81">
        <f t="shared" ca="1" si="1168"/>
        <v>5</v>
      </c>
      <c r="CU161" s="64"/>
      <c r="CV161" s="80" t="s">
        <v>1641</v>
      </c>
      <c r="CW161" s="81">
        <f t="shared" ca="1" si="1169"/>
        <v>5</v>
      </c>
      <c r="CX161" s="64"/>
      <c r="CY161" s="80" t="s">
        <v>296</v>
      </c>
      <c r="CZ161" s="81">
        <f t="shared" ca="1" si="1170"/>
        <v>5</v>
      </c>
      <c r="DA161" s="64"/>
      <c r="DB161" s="80" t="s">
        <v>1551</v>
      </c>
      <c r="DC161" s="81">
        <f t="shared" ca="1" si="1171"/>
        <v>5</v>
      </c>
      <c r="DD161" s="64"/>
      <c r="DE161" s="80" t="s">
        <v>1551</v>
      </c>
      <c r="DF161" s="81">
        <f t="shared" ca="1" si="1172"/>
        <v>5</v>
      </c>
      <c r="DG161" s="64"/>
      <c r="DH161" s="80" t="s">
        <v>1551</v>
      </c>
      <c r="DI161" s="81">
        <f t="shared" ca="1" si="1173"/>
        <v>5</v>
      </c>
      <c r="DJ161" s="64"/>
      <c r="DK161" s="80" t="s">
        <v>1551</v>
      </c>
      <c r="DL161" s="81">
        <f t="shared" ca="1" si="1174"/>
        <v>5</v>
      </c>
      <c r="DM161" s="64"/>
      <c r="DN161" s="80" t="s">
        <v>1731</v>
      </c>
      <c r="DO161" s="81">
        <f t="shared" ca="1" si="1175"/>
        <v>0</v>
      </c>
      <c r="DP161" s="64"/>
      <c r="DQ161" s="80" t="s">
        <v>1551</v>
      </c>
      <c r="DR161" s="81">
        <f t="shared" ca="1" si="1176"/>
        <v>5</v>
      </c>
      <c r="DS161" s="64"/>
      <c r="DT161" s="80" t="s">
        <v>1551</v>
      </c>
      <c r="DU161" s="81">
        <f t="shared" ca="1" si="1177"/>
        <v>5</v>
      </c>
      <c r="DV161" s="64"/>
      <c r="DW161" s="80" t="s">
        <v>1551</v>
      </c>
      <c r="DX161" s="81">
        <f t="shared" ca="1" si="1178"/>
        <v>5</v>
      </c>
      <c r="DY161" s="64"/>
      <c r="DZ161" s="80" t="s">
        <v>1551</v>
      </c>
      <c r="EA161" s="81">
        <f t="shared" ca="1" si="1179"/>
        <v>5</v>
      </c>
      <c r="EB161" s="64"/>
      <c r="EC161" s="80" t="s">
        <v>1551</v>
      </c>
      <c r="ED161" s="81">
        <f t="shared" ca="1" si="1180"/>
        <v>5</v>
      </c>
      <c r="EE161" s="64"/>
      <c r="EF161" s="80" t="s">
        <v>1727</v>
      </c>
      <c r="EG161" s="81">
        <f t="shared" ca="1" si="1181"/>
        <v>0</v>
      </c>
      <c r="EH161" s="64"/>
      <c r="EI161" s="80" t="s">
        <v>1634</v>
      </c>
      <c r="EJ161" s="81">
        <f t="shared" ca="1" si="1182"/>
        <v>5</v>
      </c>
      <c r="EK161" s="64"/>
      <c r="EL161" s="80" t="s">
        <v>1551</v>
      </c>
      <c r="EM161" s="81">
        <f t="shared" ca="1" si="1183"/>
        <v>5</v>
      </c>
      <c r="EN161" s="64"/>
      <c r="EO161" s="80" t="s">
        <v>1551</v>
      </c>
      <c r="EP161" s="81">
        <f t="shared" ca="1" si="1184"/>
        <v>5</v>
      </c>
      <c r="EQ161" s="64"/>
      <c r="ER161" s="80" t="s">
        <v>299</v>
      </c>
      <c r="ES161" s="81">
        <f t="shared" ca="1" si="1185"/>
        <v>5</v>
      </c>
      <c r="ET161" s="64"/>
      <c r="EU161" s="80" t="s">
        <v>299</v>
      </c>
      <c r="EV161" s="81">
        <f t="shared" ca="1" si="1186"/>
        <v>5</v>
      </c>
      <c r="EW161" s="64"/>
      <c r="EX161" s="80" t="s">
        <v>1551</v>
      </c>
      <c r="EY161" s="81">
        <f t="shared" ca="1" si="1187"/>
        <v>5</v>
      </c>
      <c r="EZ161" s="64"/>
      <c r="FA161" s="80" t="s">
        <v>1551</v>
      </c>
      <c r="FB161" s="81">
        <f t="shared" ca="1" si="1188"/>
        <v>5</v>
      </c>
      <c r="FC161" s="64"/>
      <c r="FD161" s="80" t="s">
        <v>1551</v>
      </c>
      <c r="FE161" s="81">
        <f t="shared" ca="1" si="1189"/>
        <v>5</v>
      </c>
      <c r="FF161" s="64"/>
      <c r="FG161" s="80" t="s">
        <v>1551</v>
      </c>
      <c r="FH161" s="81">
        <f t="shared" ca="1" si="1190"/>
        <v>5</v>
      </c>
      <c r="FI161" s="64"/>
      <c r="FJ161" s="80" t="s">
        <v>1551</v>
      </c>
      <c r="FK161" s="81">
        <f t="shared" ca="1" si="1191"/>
        <v>5</v>
      </c>
      <c r="FL161" s="64"/>
      <c r="FM161" s="80" t="s">
        <v>1551</v>
      </c>
      <c r="FN161" s="81">
        <f t="shared" ca="1" si="1192"/>
        <v>5</v>
      </c>
      <c r="FO161" s="64"/>
      <c r="FP161" s="80" t="s">
        <v>1551</v>
      </c>
      <c r="FQ161" s="81">
        <f t="shared" ca="1" si="1193"/>
        <v>5</v>
      </c>
      <c r="FR161" s="64"/>
      <c r="FS161" s="80" t="s">
        <v>1641</v>
      </c>
      <c r="FT161" s="81">
        <f t="shared" ca="1" si="1194"/>
        <v>5</v>
      </c>
      <c r="FU161" s="64"/>
      <c r="FV161" s="80" t="s">
        <v>1551</v>
      </c>
      <c r="FW161" s="81">
        <f t="shared" ca="1" si="1195"/>
        <v>5</v>
      </c>
      <c r="FX161" s="64"/>
      <c r="FY161" s="80" t="s">
        <v>1551</v>
      </c>
      <c r="FZ161" s="81">
        <f t="shared" ca="1" si="1196"/>
        <v>5</v>
      </c>
      <c r="GA161" s="64"/>
      <c r="GB161" s="80" t="s">
        <v>1551</v>
      </c>
      <c r="GC161" s="81">
        <f t="shared" ca="1" si="1197"/>
        <v>5</v>
      </c>
      <c r="GD161" s="64"/>
      <c r="GE161" s="80" t="s">
        <v>1641</v>
      </c>
      <c r="GF161" s="81">
        <f t="shared" ca="1" si="1198"/>
        <v>5</v>
      </c>
      <c r="GG161" s="64"/>
      <c r="GH161" s="80" t="s">
        <v>1551</v>
      </c>
      <c r="GI161" s="81">
        <f t="shared" ca="1" si="1199"/>
        <v>5</v>
      </c>
      <c r="GJ161" s="64"/>
      <c r="GK161" s="80" t="s">
        <v>1551</v>
      </c>
      <c r="GL161" s="81">
        <f t="shared" ca="1" si="1200"/>
        <v>5</v>
      </c>
      <c r="GM161" s="64"/>
      <c r="GN161" s="80"/>
      <c r="GO161" s="81">
        <f t="shared" ca="1" si="1201"/>
        <v>0</v>
      </c>
      <c r="GP161" s="64"/>
      <c r="GQ161" s="80"/>
      <c r="GR161" s="81">
        <f t="shared" ca="1" si="1202"/>
        <v>0</v>
      </c>
      <c r="GS161" s="64"/>
      <c r="GT161" s="80"/>
      <c r="GU161" s="81">
        <f t="shared" ca="1" si="1203"/>
        <v>0</v>
      </c>
      <c r="GV161" s="64"/>
      <c r="GW161" s="80"/>
      <c r="GX161" s="81">
        <f t="shared" ca="1" si="1204"/>
        <v>0</v>
      </c>
      <c r="GY161" s="64"/>
      <c r="GZ161" s="80"/>
      <c r="HA161" s="81">
        <f t="shared" ca="1" si="1205"/>
        <v>0</v>
      </c>
      <c r="HB161" s="64"/>
      <c r="HC161" s="80"/>
      <c r="HD161" s="81">
        <f t="shared" ca="1" si="1206"/>
        <v>0</v>
      </c>
      <c r="HE161" s="64"/>
      <c r="HF161" s="80"/>
      <c r="HG161" s="81">
        <f t="shared" ca="1" si="1207"/>
        <v>0</v>
      </c>
      <c r="HH161" s="64"/>
      <c r="HI161" s="80"/>
      <c r="HJ161" s="81">
        <f t="shared" ca="1" si="1208"/>
        <v>0</v>
      </c>
      <c r="HK161" s="64"/>
      <c r="HL161" s="80"/>
      <c r="HM161" s="81">
        <f t="shared" ca="1" si="1209"/>
        <v>0</v>
      </c>
      <c r="HN161" s="64"/>
      <c r="HO161" s="80"/>
      <c r="HP161" s="81">
        <f t="shared" ca="1" si="1210"/>
        <v>0</v>
      </c>
      <c r="HQ161" s="64"/>
      <c r="HR161" s="80"/>
      <c r="HS161" s="81">
        <f t="shared" ca="1" si="1211"/>
        <v>0</v>
      </c>
      <c r="HT161" s="64"/>
      <c r="HU161" s="80"/>
      <c r="HV161" s="81">
        <f t="shared" ca="1" si="1212"/>
        <v>0</v>
      </c>
      <c r="HW161" s="64"/>
      <c r="HX161" s="80"/>
      <c r="HY161" s="81">
        <f t="shared" ca="1" si="1213"/>
        <v>0</v>
      </c>
      <c r="HZ161" s="64"/>
      <c r="IA161" s="80"/>
      <c r="IB161" s="81">
        <f t="shared" ca="1" si="1214"/>
        <v>0</v>
      </c>
      <c r="IC161" s="64"/>
      <c r="ID161" s="80"/>
      <c r="IE161" s="81">
        <f t="shared" ca="1" si="1215"/>
        <v>0</v>
      </c>
      <c r="IF161" s="64"/>
      <c r="IG161" s="80"/>
      <c r="IH161" s="81">
        <f t="shared" ca="1" si="1216"/>
        <v>0</v>
      </c>
      <c r="II161" s="64"/>
      <c r="IJ161" s="80"/>
      <c r="IK161" s="81">
        <f t="shared" ca="1" si="1217"/>
        <v>0</v>
      </c>
      <c r="IL161" s="64"/>
      <c r="IM161" s="80"/>
      <c r="IN161" s="81">
        <f t="shared" ca="1" si="1218"/>
        <v>0</v>
      </c>
      <c r="IO161" s="64"/>
      <c r="IP161" s="80"/>
      <c r="IQ161" s="81">
        <f t="shared" ca="1" si="1219"/>
        <v>0</v>
      </c>
      <c r="IR161" s="64"/>
      <c r="IS161" s="80"/>
      <c r="IT161" s="81">
        <f t="shared" ca="1" si="1220"/>
        <v>0</v>
      </c>
      <c r="IU161" s="64"/>
      <c r="IV161" s="80"/>
      <c r="IW161" s="81">
        <f t="shared" ca="1" si="1221"/>
        <v>0</v>
      </c>
      <c r="IX161" s="64"/>
      <c r="IY161" s="80"/>
      <c r="IZ161" s="81">
        <f t="shared" ca="1" si="1222"/>
        <v>0</v>
      </c>
      <c r="JA161" s="64"/>
      <c r="JB161" s="80"/>
      <c r="JC161" s="81">
        <f t="shared" ca="1" si="1223"/>
        <v>0</v>
      </c>
      <c r="JD161" s="64"/>
      <c r="JE161" s="80"/>
      <c r="JF161" s="81">
        <f t="shared" ca="1" si="1224"/>
        <v>0</v>
      </c>
      <c r="JG161" s="64"/>
      <c r="JH161" s="80"/>
      <c r="JI161" s="81">
        <f t="shared" ca="1" si="1225"/>
        <v>0</v>
      </c>
      <c r="JJ161" s="64"/>
      <c r="JK161" s="80"/>
      <c r="JL161" s="81">
        <f t="shared" ca="1" si="1226"/>
        <v>0</v>
      </c>
      <c r="JM161" s="64"/>
      <c r="JN161" s="80"/>
      <c r="JO161" s="81">
        <f t="shared" ca="1" si="1227"/>
        <v>0</v>
      </c>
      <c r="JP161" s="64"/>
      <c r="JQ161" s="80"/>
      <c r="JR161" s="81">
        <f t="shared" ca="1" si="1228"/>
        <v>0</v>
      </c>
      <c r="JS161" s="64"/>
      <c r="JT161" s="80"/>
      <c r="JU161" s="81">
        <f t="shared" ca="1" si="1229"/>
        <v>0</v>
      </c>
      <c r="JV161" s="64"/>
      <c r="JW161" s="80"/>
      <c r="JX161" s="81">
        <f t="shared" ca="1" si="1230"/>
        <v>0</v>
      </c>
      <c r="JY161" s="64"/>
      <c r="JZ161" s="80"/>
      <c r="KA161" s="81">
        <f t="shared" ca="1" si="1231"/>
        <v>0</v>
      </c>
      <c r="KB161" s="64"/>
      <c r="KC161" s="80"/>
      <c r="KD161" s="81">
        <f t="shared" ca="1" si="1232"/>
        <v>0</v>
      </c>
      <c r="KE161" s="64"/>
      <c r="KF161" s="80"/>
      <c r="KG161" s="81">
        <f t="shared" ca="1" si="1233"/>
        <v>0</v>
      </c>
      <c r="KH161" s="64"/>
      <c r="KI161" s="80"/>
      <c r="KJ161" s="81">
        <f t="shared" ca="1" si="1234"/>
        <v>0</v>
      </c>
      <c r="KK161" s="64"/>
      <c r="KL161" s="80"/>
      <c r="KM161" s="81">
        <f t="shared" ca="1" si="1235"/>
        <v>0</v>
      </c>
      <c r="KN161" s="64"/>
      <c r="KO161" s="80"/>
      <c r="KP161" s="81">
        <f t="shared" ca="1" si="1236"/>
        <v>0</v>
      </c>
      <c r="KQ161" s="64"/>
      <c r="KR161" s="80"/>
      <c r="KS161" s="81">
        <f t="shared" ca="1" si="1237"/>
        <v>0</v>
      </c>
      <c r="KT161" s="64"/>
      <c r="KU161" s="80"/>
      <c r="KV161" s="81">
        <f t="shared" ca="1" si="1238"/>
        <v>0</v>
      </c>
      <c r="KW161" s="64"/>
      <c r="KX161" s="80"/>
      <c r="KY161" s="81">
        <f t="shared" ca="1" si="1239"/>
        <v>0</v>
      </c>
      <c r="KZ161" s="64"/>
      <c r="LA161" s="80"/>
      <c r="LB161" s="81">
        <f t="shared" ca="1" si="1240"/>
        <v>0</v>
      </c>
      <c r="LC161" s="64"/>
      <c r="LD161" s="80"/>
      <c r="LE161" s="81">
        <f t="shared" ca="1" si="1241"/>
        <v>0</v>
      </c>
      <c r="LF161" s="64"/>
      <c r="LG161" s="64"/>
    </row>
    <row r="162" spans="1:319">
      <c r="A162" s="49"/>
      <c r="B162" s="49"/>
      <c r="C162" s="49"/>
      <c r="D162" s="49"/>
      <c r="E162" s="65"/>
      <c r="F162" s="127"/>
      <c r="G162" s="445"/>
      <c r="H162" s="65"/>
      <c r="I162" s="50"/>
      <c r="J162" s="94"/>
      <c r="K162" s="434" t="str">
        <f>Idiomas!D457</f>
        <v>R32 Teams</v>
      </c>
      <c r="L162" s="435"/>
      <c r="M162" s="434" t="str">
        <f ca="1">"Max: "&amp;$D$15*COUNT(T130:T161)</f>
        <v>Max: 160</v>
      </c>
      <c r="N162" s="25"/>
      <c r="O162" s="25"/>
      <c r="P162" s="25"/>
      <c r="Q162" s="25"/>
      <c r="R162" s="49"/>
      <c r="S162" s="84"/>
      <c r="T162" s="71">
        <f ca="1">SUM(T130:T161)</f>
        <v>115</v>
      </c>
      <c r="U162" s="65"/>
      <c r="V162" s="84"/>
      <c r="W162" s="71">
        <f t="shared" ref="W162" ca="1" si="1243">SUM(W130:W161)</f>
        <v>130</v>
      </c>
      <c r="X162" s="65"/>
      <c r="Y162" s="84"/>
      <c r="Z162" s="71">
        <f t="shared" ref="Z162" ca="1" si="1244">SUM(Z130:Z161)</f>
        <v>140</v>
      </c>
      <c r="AA162" s="65"/>
      <c r="AB162" s="84"/>
      <c r="AC162" s="71">
        <f t="shared" ref="AC162" ca="1" si="1245">SUM(AC130:AC161)</f>
        <v>130</v>
      </c>
      <c r="AD162" s="65"/>
      <c r="AE162" s="84"/>
      <c r="AF162" s="71">
        <f t="shared" ref="AF162" ca="1" si="1246">SUM(AF130:AF161)</f>
        <v>130</v>
      </c>
      <c r="AG162" s="65"/>
      <c r="AH162" s="84"/>
      <c r="AI162" s="71">
        <f t="shared" ref="AI162" ca="1" si="1247">SUM(AI130:AI161)</f>
        <v>140</v>
      </c>
      <c r="AJ162" s="65"/>
      <c r="AK162" s="84"/>
      <c r="AL162" s="71">
        <f t="shared" ref="AL162" ca="1" si="1248">SUM(AL130:AL161)</f>
        <v>115</v>
      </c>
      <c r="AM162" s="65"/>
      <c r="AN162" s="84"/>
      <c r="AO162" s="71">
        <f t="shared" ref="AO162" ca="1" si="1249">SUM(AO130:AO161)</f>
        <v>135</v>
      </c>
      <c r="AP162" s="65"/>
      <c r="AQ162" s="84"/>
      <c r="AR162" s="71">
        <f t="shared" ref="AR162" ca="1" si="1250">SUM(AR130:AR161)</f>
        <v>130</v>
      </c>
      <c r="AS162" s="65"/>
      <c r="AT162" s="84"/>
      <c r="AU162" s="71">
        <f t="shared" ref="AU162" ca="1" si="1251">SUM(AU130:AU161)</f>
        <v>120</v>
      </c>
      <c r="AV162" s="65"/>
      <c r="AW162" s="84"/>
      <c r="AX162" s="71">
        <f t="shared" ref="AX162" ca="1" si="1252">SUM(AX130:AX161)</f>
        <v>130</v>
      </c>
      <c r="AY162" s="65"/>
      <c r="AZ162" s="84"/>
      <c r="BA162" s="71">
        <f t="shared" ref="BA162" ca="1" si="1253">SUM(BA130:BA161)</f>
        <v>130</v>
      </c>
      <c r="BB162" s="65"/>
      <c r="BC162" s="84"/>
      <c r="BD162" s="71">
        <f t="shared" ref="BD162" ca="1" si="1254">SUM(BD130:BD161)</f>
        <v>125</v>
      </c>
      <c r="BE162" s="65"/>
      <c r="BF162" s="84"/>
      <c r="BG162" s="71">
        <f t="shared" ref="BG162" ca="1" si="1255">SUM(BG130:BG161)</f>
        <v>125</v>
      </c>
      <c r="BH162" s="65"/>
      <c r="BI162" s="84"/>
      <c r="BJ162" s="71">
        <f t="shared" ref="BJ162" ca="1" si="1256">SUM(BJ130:BJ161)</f>
        <v>135</v>
      </c>
      <c r="BK162" s="65"/>
      <c r="BL162" s="84"/>
      <c r="BM162" s="71">
        <f t="shared" ref="BM162" ca="1" si="1257">SUM(BM130:BM161)</f>
        <v>135</v>
      </c>
      <c r="BN162" s="65"/>
      <c r="BO162" s="84"/>
      <c r="BP162" s="71">
        <f t="shared" ref="BP162" ca="1" si="1258">SUM(BP130:BP161)</f>
        <v>135</v>
      </c>
      <c r="BQ162" s="65"/>
      <c r="BR162" s="84"/>
      <c r="BS162" s="71">
        <f t="shared" ref="BS162" ca="1" si="1259">SUM(BS130:BS161)</f>
        <v>135</v>
      </c>
      <c r="BT162" s="65"/>
      <c r="BU162" s="84"/>
      <c r="BV162" s="71">
        <f t="shared" ref="BV162" ca="1" si="1260">SUM(BV130:BV161)</f>
        <v>135</v>
      </c>
      <c r="BW162" s="65"/>
      <c r="BX162" s="84"/>
      <c r="BY162" s="71">
        <f t="shared" ref="BY162" ca="1" si="1261">SUM(BY130:BY161)</f>
        <v>125</v>
      </c>
      <c r="BZ162" s="65"/>
      <c r="CA162" s="84"/>
      <c r="CB162" s="71">
        <f t="shared" ref="CB162" ca="1" si="1262">SUM(CB130:CB161)</f>
        <v>140</v>
      </c>
      <c r="CC162" s="65"/>
      <c r="CD162" s="84"/>
      <c r="CE162" s="71">
        <f t="shared" ref="CE162" ca="1" si="1263">SUM(CE130:CE161)</f>
        <v>125</v>
      </c>
      <c r="CF162" s="65"/>
      <c r="CG162" s="84"/>
      <c r="CH162" s="71">
        <f t="shared" ref="CH162" ca="1" si="1264">SUM(CH130:CH161)</f>
        <v>130</v>
      </c>
      <c r="CI162" s="65"/>
      <c r="CJ162" s="84"/>
      <c r="CK162" s="71">
        <f t="shared" ref="CK162" ca="1" si="1265">SUM(CK130:CK161)</f>
        <v>135</v>
      </c>
      <c r="CL162" s="65"/>
      <c r="CM162" s="84"/>
      <c r="CN162" s="71">
        <f t="shared" ref="CN162" ca="1" si="1266">SUM(CN130:CN161)</f>
        <v>135</v>
      </c>
      <c r="CO162" s="65"/>
      <c r="CP162" s="84"/>
      <c r="CQ162" s="71">
        <f t="shared" ref="CQ162" ca="1" si="1267">SUM(CQ130:CQ161)</f>
        <v>130</v>
      </c>
      <c r="CR162" s="65"/>
      <c r="CS162" s="84"/>
      <c r="CT162" s="71">
        <f t="shared" ref="CT162" ca="1" si="1268">SUM(CT130:CT161)</f>
        <v>130</v>
      </c>
      <c r="CU162" s="65"/>
      <c r="CV162" s="84"/>
      <c r="CW162" s="71">
        <f t="shared" ref="CW162" ca="1" si="1269">SUM(CW130:CW161)</f>
        <v>120</v>
      </c>
      <c r="CX162" s="65"/>
      <c r="CY162" s="84"/>
      <c r="CZ162" s="71">
        <f t="shared" ref="CZ162" ca="1" si="1270">SUM(CZ130:CZ161)</f>
        <v>130</v>
      </c>
      <c r="DA162" s="65"/>
      <c r="DB162" s="84"/>
      <c r="DC162" s="71">
        <f t="shared" ref="DC162" ca="1" si="1271">SUM(DC130:DC161)</f>
        <v>125</v>
      </c>
      <c r="DD162" s="65"/>
      <c r="DE162" s="84"/>
      <c r="DF162" s="71">
        <f t="shared" ref="DF162" ca="1" si="1272">SUM(DF130:DF161)</f>
        <v>130</v>
      </c>
      <c r="DG162" s="65"/>
      <c r="DH162" s="84"/>
      <c r="DI162" s="71">
        <f t="shared" ref="DI162" ca="1" si="1273">SUM(DI130:DI161)</f>
        <v>135</v>
      </c>
      <c r="DJ162" s="65"/>
      <c r="DK162" s="84"/>
      <c r="DL162" s="71">
        <f t="shared" ref="DL162" ca="1" si="1274">SUM(DL130:DL161)</f>
        <v>135</v>
      </c>
      <c r="DM162" s="65"/>
      <c r="DN162" s="84"/>
      <c r="DO162" s="71">
        <f t="shared" ref="DO162" ca="1" si="1275">SUM(DO130:DO161)</f>
        <v>125</v>
      </c>
      <c r="DP162" s="65"/>
      <c r="DQ162" s="84"/>
      <c r="DR162" s="71">
        <f t="shared" ref="DR162" ca="1" si="1276">SUM(DR130:DR161)</f>
        <v>135</v>
      </c>
      <c r="DS162" s="65"/>
      <c r="DT162" s="84"/>
      <c r="DU162" s="71">
        <f t="shared" ref="DU162" ca="1" si="1277">SUM(DU130:DU161)</f>
        <v>130</v>
      </c>
      <c r="DV162" s="65"/>
      <c r="DW162" s="84"/>
      <c r="DX162" s="71">
        <f t="shared" ref="DX162" ca="1" si="1278">SUM(DX130:DX161)</f>
        <v>125</v>
      </c>
      <c r="DY162" s="65"/>
      <c r="DZ162" s="84"/>
      <c r="EA162" s="71">
        <f t="shared" ref="EA162" ca="1" si="1279">SUM(EA130:EA161)</f>
        <v>130</v>
      </c>
      <c r="EB162" s="65"/>
      <c r="EC162" s="84"/>
      <c r="ED162" s="71">
        <f t="shared" ref="ED162" ca="1" si="1280">SUM(ED130:ED161)</f>
        <v>135</v>
      </c>
      <c r="EE162" s="65"/>
      <c r="EF162" s="84"/>
      <c r="EG162" s="71">
        <f t="shared" ref="EG162" ca="1" si="1281">SUM(EG130:EG161)</f>
        <v>125</v>
      </c>
      <c r="EH162" s="65"/>
      <c r="EI162" s="84"/>
      <c r="EJ162" s="71">
        <f t="shared" ref="EJ162" ca="1" si="1282">SUM(EJ130:EJ161)</f>
        <v>130</v>
      </c>
      <c r="EK162" s="65"/>
      <c r="EL162" s="84"/>
      <c r="EM162" s="71">
        <f t="shared" ref="EM162" ca="1" si="1283">SUM(EM130:EM161)</f>
        <v>140</v>
      </c>
      <c r="EN162" s="65"/>
      <c r="EO162" s="84"/>
      <c r="EP162" s="71">
        <f t="shared" ref="EP162" ca="1" si="1284">SUM(EP130:EP161)</f>
        <v>140</v>
      </c>
      <c r="EQ162" s="65"/>
      <c r="ER162" s="84"/>
      <c r="ES162" s="71">
        <f t="shared" ref="ES162" ca="1" si="1285">SUM(ES130:ES161)</f>
        <v>130</v>
      </c>
      <c r="ET162" s="65"/>
      <c r="EU162" s="84"/>
      <c r="EV162" s="71">
        <f t="shared" ref="EV162" ca="1" si="1286">SUM(EV130:EV161)</f>
        <v>130</v>
      </c>
      <c r="EW162" s="65"/>
      <c r="EX162" s="84"/>
      <c r="EY162" s="71">
        <f t="shared" ref="EY162" ca="1" si="1287">SUM(EY130:EY161)</f>
        <v>135</v>
      </c>
      <c r="EZ162" s="65"/>
      <c r="FA162" s="84"/>
      <c r="FB162" s="71">
        <f t="shared" ref="FB162" ca="1" si="1288">SUM(FB130:FB161)</f>
        <v>135</v>
      </c>
      <c r="FC162" s="65"/>
      <c r="FD162" s="84"/>
      <c r="FE162" s="71">
        <f t="shared" ref="FE162" ca="1" si="1289">SUM(FE130:FE161)</f>
        <v>120</v>
      </c>
      <c r="FF162" s="65"/>
      <c r="FG162" s="84"/>
      <c r="FH162" s="71">
        <f t="shared" ref="FH162" ca="1" si="1290">SUM(FH130:FH161)</f>
        <v>140</v>
      </c>
      <c r="FI162" s="65"/>
      <c r="FJ162" s="84"/>
      <c r="FK162" s="71">
        <f t="shared" ref="FK162" ca="1" si="1291">SUM(FK130:FK161)</f>
        <v>130</v>
      </c>
      <c r="FL162" s="65"/>
      <c r="FM162" s="84"/>
      <c r="FN162" s="71">
        <f t="shared" ref="FN162" ca="1" si="1292">SUM(FN130:FN161)</f>
        <v>130</v>
      </c>
      <c r="FO162" s="65"/>
      <c r="FP162" s="84"/>
      <c r="FQ162" s="71">
        <f t="shared" ref="FQ162" ca="1" si="1293">SUM(FQ130:FQ161)</f>
        <v>135</v>
      </c>
      <c r="FR162" s="65"/>
      <c r="FS162" s="84"/>
      <c r="FT162" s="71">
        <f t="shared" ref="FT162" ca="1" si="1294">SUM(FT130:FT161)</f>
        <v>135</v>
      </c>
      <c r="FU162" s="65"/>
      <c r="FV162" s="84"/>
      <c r="FW162" s="71">
        <f t="shared" ref="FW162" ca="1" si="1295">SUM(FW130:FW161)</f>
        <v>130</v>
      </c>
      <c r="FX162" s="65"/>
      <c r="FY162" s="84"/>
      <c r="FZ162" s="71">
        <f t="shared" ref="FZ162" ca="1" si="1296">SUM(FZ130:FZ161)</f>
        <v>130</v>
      </c>
      <c r="GA162" s="65"/>
      <c r="GB162" s="84"/>
      <c r="GC162" s="71">
        <f t="shared" ref="GC162" ca="1" si="1297">SUM(GC130:GC161)</f>
        <v>135</v>
      </c>
      <c r="GD162" s="65"/>
      <c r="GE162" s="84"/>
      <c r="GF162" s="71">
        <f t="shared" ref="GF162" ca="1" si="1298">SUM(GF130:GF161)</f>
        <v>130</v>
      </c>
      <c r="GG162" s="65"/>
      <c r="GH162" s="84"/>
      <c r="GI162" s="71">
        <f t="shared" ref="GI162" ca="1" si="1299">SUM(GI130:GI161)</f>
        <v>130</v>
      </c>
      <c r="GJ162" s="65"/>
      <c r="GK162" s="84"/>
      <c r="GL162" s="71">
        <f t="shared" ref="GL162" ca="1" si="1300">SUM(GL130:GL161)</f>
        <v>135</v>
      </c>
      <c r="GM162" s="65"/>
      <c r="GN162" s="84"/>
      <c r="GO162" s="71">
        <f t="shared" ref="GO162" ca="1" si="1301">SUM(GO130:GO161)</f>
        <v>0</v>
      </c>
      <c r="GP162" s="65"/>
      <c r="GQ162" s="84"/>
      <c r="GR162" s="71">
        <f t="shared" ref="GR162" ca="1" si="1302">SUM(GR130:GR161)</f>
        <v>0</v>
      </c>
      <c r="GS162" s="65"/>
      <c r="GT162" s="84"/>
      <c r="GU162" s="71">
        <f t="shared" ref="GU162" ca="1" si="1303">SUM(GU130:GU161)</f>
        <v>0</v>
      </c>
      <c r="GV162" s="65"/>
      <c r="GW162" s="84"/>
      <c r="GX162" s="71">
        <f t="shared" ref="GX162" ca="1" si="1304">SUM(GX130:GX161)</f>
        <v>0</v>
      </c>
      <c r="GY162" s="65"/>
      <c r="GZ162" s="84"/>
      <c r="HA162" s="71">
        <f t="shared" ref="HA162" ca="1" si="1305">SUM(HA130:HA161)</f>
        <v>0</v>
      </c>
      <c r="HB162" s="65"/>
      <c r="HC162" s="84"/>
      <c r="HD162" s="71">
        <f t="shared" ref="HD162" ca="1" si="1306">SUM(HD130:HD161)</f>
        <v>0</v>
      </c>
      <c r="HE162" s="65"/>
      <c r="HF162" s="84"/>
      <c r="HG162" s="71">
        <f t="shared" ref="HG162" ca="1" si="1307">SUM(HG130:HG161)</f>
        <v>0</v>
      </c>
      <c r="HH162" s="65"/>
      <c r="HI162" s="84"/>
      <c r="HJ162" s="71">
        <f t="shared" ref="HJ162" ca="1" si="1308">SUM(HJ130:HJ161)</f>
        <v>0</v>
      </c>
      <c r="HK162" s="65"/>
      <c r="HL162" s="84"/>
      <c r="HM162" s="71">
        <f t="shared" ref="HM162" ca="1" si="1309">SUM(HM130:HM161)</f>
        <v>0</v>
      </c>
      <c r="HN162" s="65"/>
      <c r="HO162" s="84"/>
      <c r="HP162" s="71">
        <f t="shared" ref="HP162" ca="1" si="1310">SUM(HP130:HP161)</f>
        <v>0</v>
      </c>
      <c r="HQ162" s="65"/>
      <c r="HR162" s="84"/>
      <c r="HS162" s="71">
        <f t="shared" ref="HS162" ca="1" si="1311">SUM(HS130:HS161)</f>
        <v>0</v>
      </c>
      <c r="HT162" s="65"/>
      <c r="HU162" s="84"/>
      <c r="HV162" s="71">
        <f t="shared" ref="HV162" ca="1" si="1312">SUM(HV130:HV161)</f>
        <v>0</v>
      </c>
      <c r="HW162" s="65"/>
      <c r="HX162" s="84"/>
      <c r="HY162" s="71">
        <f t="shared" ref="HY162" ca="1" si="1313">SUM(HY130:HY161)</f>
        <v>0</v>
      </c>
      <c r="HZ162" s="65"/>
      <c r="IA162" s="84"/>
      <c r="IB162" s="71">
        <f t="shared" ref="IB162" ca="1" si="1314">SUM(IB130:IB161)</f>
        <v>0</v>
      </c>
      <c r="IC162" s="65"/>
      <c r="ID162" s="84"/>
      <c r="IE162" s="71">
        <f t="shared" ref="IE162" ca="1" si="1315">SUM(IE130:IE161)</f>
        <v>0</v>
      </c>
      <c r="IF162" s="65"/>
      <c r="IG162" s="84"/>
      <c r="IH162" s="71">
        <f t="shared" ref="IH162" ca="1" si="1316">SUM(IH130:IH161)</f>
        <v>0</v>
      </c>
      <c r="II162" s="65"/>
      <c r="IJ162" s="84"/>
      <c r="IK162" s="71">
        <f t="shared" ref="IK162" ca="1" si="1317">SUM(IK130:IK161)</f>
        <v>0</v>
      </c>
      <c r="IL162" s="65"/>
      <c r="IM162" s="84"/>
      <c r="IN162" s="71">
        <f t="shared" ref="IN162" ca="1" si="1318">SUM(IN130:IN161)</f>
        <v>0</v>
      </c>
      <c r="IO162" s="65"/>
      <c r="IP162" s="84"/>
      <c r="IQ162" s="71">
        <f t="shared" ref="IQ162" ca="1" si="1319">SUM(IQ130:IQ161)</f>
        <v>0</v>
      </c>
      <c r="IR162" s="65"/>
      <c r="IS162" s="84"/>
      <c r="IT162" s="71">
        <f t="shared" ref="IT162" ca="1" si="1320">SUM(IT130:IT161)</f>
        <v>0</v>
      </c>
      <c r="IU162" s="65"/>
      <c r="IV162" s="84"/>
      <c r="IW162" s="71">
        <f t="shared" ref="IW162" ca="1" si="1321">SUM(IW130:IW161)</f>
        <v>0</v>
      </c>
      <c r="IX162" s="65"/>
      <c r="IY162" s="84"/>
      <c r="IZ162" s="71">
        <f t="shared" ref="IZ162" ca="1" si="1322">SUM(IZ130:IZ161)</f>
        <v>0</v>
      </c>
      <c r="JA162" s="65"/>
      <c r="JB162" s="84"/>
      <c r="JC162" s="71">
        <f t="shared" ref="JC162" ca="1" si="1323">SUM(JC130:JC161)</f>
        <v>0</v>
      </c>
      <c r="JD162" s="65"/>
      <c r="JE162" s="84"/>
      <c r="JF162" s="71">
        <f t="shared" ref="JF162" ca="1" si="1324">SUM(JF130:JF161)</f>
        <v>0</v>
      </c>
      <c r="JG162" s="65"/>
      <c r="JH162" s="84"/>
      <c r="JI162" s="71">
        <f t="shared" ref="JI162" ca="1" si="1325">SUM(JI130:JI161)</f>
        <v>0</v>
      </c>
      <c r="JJ162" s="65"/>
      <c r="JK162" s="84"/>
      <c r="JL162" s="71">
        <f t="shared" ref="JL162" ca="1" si="1326">SUM(JL130:JL161)</f>
        <v>0</v>
      </c>
      <c r="JM162" s="65"/>
      <c r="JN162" s="84"/>
      <c r="JO162" s="71">
        <f t="shared" ref="JO162" ca="1" si="1327">SUM(JO130:JO161)</f>
        <v>0</v>
      </c>
      <c r="JP162" s="65"/>
      <c r="JQ162" s="84"/>
      <c r="JR162" s="71">
        <f t="shared" ref="JR162" ca="1" si="1328">SUM(JR130:JR161)</f>
        <v>0</v>
      </c>
      <c r="JS162" s="65"/>
      <c r="JT162" s="84"/>
      <c r="JU162" s="71">
        <f t="shared" ref="JU162" ca="1" si="1329">SUM(JU130:JU161)</f>
        <v>0</v>
      </c>
      <c r="JV162" s="65"/>
      <c r="JW162" s="84"/>
      <c r="JX162" s="71">
        <f t="shared" ref="JX162" ca="1" si="1330">SUM(JX130:JX161)</f>
        <v>0</v>
      </c>
      <c r="JY162" s="65"/>
      <c r="JZ162" s="84"/>
      <c r="KA162" s="71">
        <f t="shared" ref="KA162" ca="1" si="1331">SUM(KA130:KA161)</f>
        <v>0</v>
      </c>
      <c r="KB162" s="65"/>
      <c r="KC162" s="84"/>
      <c r="KD162" s="71">
        <f t="shared" ref="KD162" ca="1" si="1332">SUM(KD130:KD161)</f>
        <v>0</v>
      </c>
      <c r="KE162" s="65"/>
      <c r="KF162" s="84"/>
      <c r="KG162" s="71">
        <f t="shared" ref="KG162" ca="1" si="1333">SUM(KG130:KG161)</f>
        <v>0</v>
      </c>
      <c r="KH162" s="65"/>
      <c r="KI162" s="84"/>
      <c r="KJ162" s="71">
        <f t="shared" ref="KJ162" ca="1" si="1334">SUM(KJ130:KJ161)</f>
        <v>0</v>
      </c>
      <c r="KK162" s="65"/>
      <c r="KL162" s="84"/>
      <c r="KM162" s="71">
        <f t="shared" ref="KM162" ca="1" si="1335">SUM(KM130:KM161)</f>
        <v>0</v>
      </c>
      <c r="KN162" s="65"/>
      <c r="KO162" s="84"/>
      <c r="KP162" s="71">
        <f t="shared" ref="KP162" ca="1" si="1336">SUM(KP130:KP161)</f>
        <v>0</v>
      </c>
      <c r="KQ162" s="65"/>
      <c r="KR162" s="84"/>
      <c r="KS162" s="71">
        <f t="shared" ref="KS162" ca="1" si="1337">SUM(KS130:KS161)</f>
        <v>0</v>
      </c>
      <c r="KT162" s="65"/>
      <c r="KU162" s="84"/>
      <c r="KV162" s="71">
        <f t="shared" ref="KV162" ca="1" si="1338">SUM(KV130:KV161)</f>
        <v>0</v>
      </c>
      <c r="KW162" s="65"/>
      <c r="KX162" s="84"/>
      <c r="KY162" s="71">
        <f t="shared" ref="KY162" ca="1" si="1339">SUM(KY130:KY161)</f>
        <v>0</v>
      </c>
      <c r="KZ162" s="65"/>
      <c r="LA162" s="84"/>
      <c r="LB162" s="71">
        <f t="shared" ref="LB162" ca="1" si="1340">SUM(LB130:LB161)</f>
        <v>0</v>
      </c>
      <c r="LC162" s="65"/>
      <c r="LD162" s="84"/>
      <c r="LE162" s="71">
        <f t="shared" ref="LE162" ca="1" si="1341">SUM(LE130:LE161)</f>
        <v>0</v>
      </c>
      <c r="LF162" s="65"/>
      <c r="LG162" s="65"/>
    </row>
    <row r="163" spans="1:319">
      <c r="A163" s="65" t="s">
        <v>1764</v>
      </c>
      <c r="B163" s="65" t="s">
        <v>1765</v>
      </c>
      <c r="C163" s="65" t="s">
        <v>1763</v>
      </c>
      <c r="D163" s="65" t="s">
        <v>1761</v>
      </c>
      <c r="E163" s="65" t="s">
        <v>1762</v>
      </c>
      <c r="F163" s="127"/>
      <c r="G163" s="445"/>
      <c r="H163" s="65"/>
      <c r="I163" s="52" t="s">
        <v>1578</v>
      </c>
      <c r="J163" s="94"/>
      <c r="K163" s="113" t="str">
        <f>Idiomas!D138</f>
        <v>ROUND OF 32</v>
      </c>
      <c r="L163" s="50"/>
      <c r="M163" s="71"/>
      <c r="N163" s="89"/>
      <c r="O163" s="89"/>
      <c r="P163" s="89"/>
      <c r="Q163" s="89"/>
      <c r="R163" s="49"/>
      <c r="S163" s="84"/>
      <c r="T163" s="112"/>
      <c r="U163" s="112"/>
      <c r="V163" s="442"/>
      <c r="W163" s="71"/>
      <c r="X163" s="65"/>
      <c r="Y163" s="84"/>
      <c r="Z163" s="71"/>
      <c r="AA163" s="65"/>
      <c r="AB163" s="84"/>
      <c r="AC163" s="71"/>
      <c r="AD163" s="65"/>
      <c r="AE163" s="84"/>
      <c r="AF163" s="71"/>
      <c r="AG163" s="65"/>
      <c r="AH163" s="84"/>
      <c r="AI163" s="71"/>
      <c r="AJ163" s="65"/>
      <c r="AK163" s="84"/>
      <c r="AL163" s="71"/>
      <c r="AM163" s="65"/>
      <c r="AN163" s="84"/>
      <c r="AO163" s="71"/>
      <c r="AP163" s="65"/>
      <c r="AQ163" s="84"/>
      <c r="AR163" s="71"/>
      <c r="AS163" s="65"/>
      <c r="AT163" s="84"/>
      <c r="AU163" s="71"/>
      <c r="AV163" s="65"/>
      <c r="AW163" s="84"/>
      <c r="AX163" s="71"/>
      <c r="AY163" s="65"/>
      <c r="AZ163" s="84"/>
      <c r="BA163" s="71"/>
      <c r="BB163" s="65"/>
      <c r="BC163" s="84"/>
      <c r="BD163" s="71"/>
      <c r="BE163" s="65"/>
      <c r="BF163" s="84"/>
      <c r="BG163" s="71"/>
      <c r="BH163" s="65"/>
      <c r="BI163" s="84"/>
      <c r="BJ163" s="71"/>
      <c r="BK163" s="65"/>
      <c r="BL163" s="84"/>
      <c r="BM163" s="71"/>
      <c r="BN163" s="65"/>
      <c r="BO163" s="84"/>
      <c r="BP163" s="71"/>
      <c r="BQ163" s="65"/>
      <c r="BR163" s="84"/>
      <c r="BS163" s="71"/>
      <c r="BT163" s="65"/>
      <c r="BU163" s="84"/>
      <c r="BV163" s="71"/>
      <c r="BW163" s="65"/>
      <c r="BX163" s="84"/>
      <c r="BY163" s="71"/>
      <c r="BZ163" s="65"/>
      <c r="CA163" s="84"/>
      <c r="CB163" s="71"/>
      <c r="CC163" s="65"/>
      <c r="CD163" s="84"/>
      <c r="CE163" s="71"/>
      <c r="CF163" s="65"/>
      <c r="CG163" s="84"/>
      <c r="CH163" s="71"/>
      <c r="CI163" s="65"/>
      <c r="CJ163" s="84"/>
      <c r="CK163" s="71"/>
      <c r="CL163" s="65"/>
      <c r="CM163" s="84"/>
      <c r="CN163" s="71"/>
      <c r="CO163" s="65"/>
      <c r="CP163" s="84"/>
      <c r="CQ163" s="71"/>
      <c r="CR163" s="65"/>
      <c r="CS163" s="84"/>
      <c r="CT163" s="71"/>
      <c r="CU163" s="65"/>
      <c r="CV163" s="84"/>
      <c r="CW163" s="71"/>
      <c r="CX163" s="65"/>
      <c r="CY163" s="84"/>
      <c r="CZ163" s="71"/>
      <c r="DA163" s="65"/>
      <c r="DB163" s="84"/>
      <c r="DC163" s="71"/>
      <c r="DD163" s="65"/>
      <c r="DE163" s="84"/>
      <c r="DF163" s="71"/>
      <c r="DG163" s="65"/>
      <c r="DH163" s="84"/>
      <c r="DI163" s="71"/>
      <c r="DJ163" s="65"/>
      <c r="DK163" s="84"/>
      <c r="DL163" s="71"/>
      <c r="DM163" s="65"/>
      <c r="DN163" s="84"/>
      <c r="DO163" s="71"/>
      <c r="DP163" s="65"/>
      <c r="DQ163" s="84"/>
      <c r="DR163" s="71"/>
      <c r="DS163" s="65"/>
      <c r="DT163" s="84"/>
      <c r="DU163" s="71"/>
      <c r="DV163" s="65"/>
      <c r="DW163" s="84"/>
      <c r="DX163" s="71"/>
      <c r="DY163" s="65"/>
      <c r="DZ163" s="84"/>
      <c r="EA163" s="71"/>
      <c r="EB163" s="65"/>
      <c r="EC163" s="84"/>
      <c r="ED163" s="71"/>
      <c r="EE163" s="65"/>
      <c r="EF163" s="84"/>
      <c r="EG163" s="71"/>
      <c r="EH163" s="65"/>
      <c r="EI163" s="84"/>
      <c r="EJ163" s="71"/>
      <c r="EK163" s="65"/>
      <c r="EL163" s="84"/>
      <c r="EM163" s="71"/>
      <c r="EN163" s="65"/>
      <c r="EO163" s="84"/>
      <c r="EP163" s="71"/>
      <c r="EQ163" s="65"/>
      <c r="ER163" s="84"/>
      <c r="ES163" s="71"/>
      <c r="ET163" s="65"/>
      <c r="EU163" s="84"/>
      <c r="EV163" s="71"/>
      <c r="EW163" s="65"/>
      <c r="EX163" s="84"/>
      <c r="EY163" s="71"/>
      <c r="EZ163" s="65"/>
      <c r="FA163" s="84"/>
      <c r="FB163" s="71"/>
      <c r="FC163" s="65"/>
      <c r="FD163" s="84"/>
      <c r="FE163" s="71"/>
      <c r="FF163" s="65"/>
      <c r="FG163" s="84"/>
      <c r="FH163" s="71"/>
      <c r="FI163" s="65"/>
      <c r="FJ163" s="84"/>
      <c r="FK163" s="71"/>
      <c r="FL163" s="65"/>
      <c r="FM163" s="84"/>
      <c r="FN163" s="71"/>
      <c r="FO163" s="65"/>
      <c r="FP163" s="84"/>
      <c r="FQ163" s="71"/>
      <c r="FR163" s="65"/>
      <c r="FS163" s="84"/>
      <c r="FT163" s="71"/>
      <c r="FU163" s="65"/>
      <c r="FV163" s="84"/>
      <c r="FW163" s="71"/>
      <c r="FX163" s="65"/>
      <c r="FY163" s="84"/>
      <c r="FZ163" s="71"/>
      <c r="GA163" s="65"/>
      <c r="GB163" s="84"/>
      <c r="GC163" s="71"/>
      <c r="GD163" s="65"/>
      <c r="GE163" s="84"/>
      <c r="GF163" s="71"/>
      <c r="GG163" s="65"/>
      <c r="GH163" s="84"/>
      <c r="GI163" s="71"/>
      <c r="GJ163" s="65"/>
      <c r="GK163" s="84"/>
      <c r="GL163" s="71"/>
      <c r="GM163" s="65"/>
      <c r="GN163" s="84"/>
      <c r="GO163" s="71"/>
      <c r="GP163" s="65"/>
      <c r="GQ163" s="84"/>
      <c r="GR163" s="71"/>
      <c r="GS163" s="65"/>
      <c r="GT163" s="84"/>
      <c r="GU163" s="71"/>
      <c r="GV163" s="65"/>
      <c r="GW163" s="84"/>
      <c r="GX163" s="71"/>
      <c r="GY163" s="65"/>
      <c r="GZ163" s="84"/>
      <c r="HA163" s="71"/>
      <c r="HB163" s="65"/>
      <c r="HC163" s="84"/>
      <c r="HD163" s="71"/>
      <c r="HE163" s="65"/>
      <c r="HF163" s="84"/>
      <c r="HG163" s="71"/>
      <c r="HH163" s="65"/>
      <c r="HI163" s="84"/>
      <c r="HJ163" s="71"/>
      <c r="HK163" s="65"/>
      <c r="HL163" s="84"/>
      <c r="HM163" s="71"/>
      <c r="HN163" s="65"/>
      <c r="HO163" s="84"/>
      <c r="HP163" s="71"/>
      <c r="HQ163" s="65"/>
      <c r="HR163" s="84"/>
      <c r="HS163" s="71"/>
      <c r="HT163" s="65"/>
      <c r="HU163" s="84"/>
      <c r="HV163" s="71"/>
      <c r="HW163" s="65"/>
      <c r="HX163" s="84"/>
      <c r="HY163" s="71"/>
      <c r="HZ163" s="65"/>
      <c r="IA163" s="84"/>
      <c r="IB163" s="71"/>
      <c r="IC163" s="65"/>
      <c r="ID163" s="84"/>
      <c r="IE163" s="71"/>
      <c r="IF163" s="65"/>
      <c r="IG163" s="84"/>
      <c r="IH163" s="71"/>
      <c r="II163" s="65"/>
      <c r="IJ163" s="84"/>
      <c r="IK163" s="71"/>
      <c r="IL163" s="65"/>
      <c r="IM163" s="84"/>
      <c r="IN163" s="71"/>
      <c r="IO163" s="65"/>
      <c r="IP163" s="84"/>
      <c r="IQ163" s="71"/>
      <c r="IR163" s="65"/>
      <c r="IS163" s="84"/>
      <c r="IT163" s="71"/>
      <c r="IU163" s="65"/>
      <c r="IV163" s="84"/>
      <c r="IW163" s="71"/>
      <c r="IX163" s="65"/>
      <c r="IY163" s="84"/>
      <c r="IZ163" s="71"/>
      <c r="JA163" s="65"/>
      <c r="JB163" s="84"/>
      <c r="JC163" s="71"/>
      <c r="JD163" s="65"/>
      <c r="JE163" s="84"/>
      <c r="JF163" s="71"/>
      <c r="JG163" s="65"/>
      <c r="JH163" s="84"/>
      <c r="JI163" s="71"/>
      <c r="JJ163" s="65"/>
      <c r="JK163" s="84"/>
      <c r="JL163" s="71"/>
      <c r="JM163" s="65"/>
      <c r="JN163" s="84"/>
      <c r="JO163" s="71"/>
      <c r="JP163" s="65"/>
      <c r="JQ163" s="84"/>
      <c r="JR163" s="71"/>
      <c r="JS163" s="65"/>
      <c r="JT163" s="84"/>
      <c r="JU163" s="71"/>
      <c r="JV163" s="65"/>
      <c r="JW163" s="84"/>
      <c r="JX163" s="71"/>
      <c r="JY163" s="65"/>
      <c r="JZ163" s="84"/>
      <c r="KA163" s="71"/>
      <c r="KB163" s="65"/>
      <c r="KC163" s="84"/>
      <c r="KD163" s="71"/>
      <c r="KE163" s="65"/>
      <c r="KF163" s="84"/>
      <c r="KG163" s="71"/>
      <c r="KH163" s="65"/>
      <c r="KI163" s="84"/>
      <c r="KJ163" s="71"/>
      <c r="KK163" s="65"/>
      <c r="KL163" s="84"/>
      <c r="KM163" s="71"/>
      <c r="KN163" s="65"/>
      <c r="KO163" s="84"/>
      <c r="KP163" s="71"/>
      <c r="KQ163" s="65"/>
      <c r="KR163" s="84"/>
      <c r="KS163" s="71"/>
      <c r="KT163" s="65"/>
      <c r="KU163" s="84"/>
      <c r="KV163" s="71"/>
      <c r="KW163" s="65"/>
      <c r="KX163" s="84"/>
      <c r="KY163" s="71"/>
      <c r="KZ163" s="65"/>
      <c r="LA163" s="84"/>
      <c r="LB163" s="71"/>
      <c r="LC163" s="65"/>
      <c r="LD163" s="84"/>
      <c r="LE163" s="71"/>
      <c r="LF163" s="65"/>
      <c r="LG163" s="65"/>
    </row>
    <row r="164" spans="1:319">
      <c r="A164" s="25">
        <f>WORLDCUP!AD101</f>
        <v>1</v>
      </c>
      <c r="B164" s="25">
        <f>WORLDCUP!AC101</f>
        <v>0</v>
      </c>
      <c r="C164" s="25" t="str">
        <f ca="1">CONCATENATE(WORLDCUP!AF101,"-",WORLDCUP!AA101)</f>
        <v>Canada-South Africa</v>
      </c>
      <c r="D164" s="25">
        <f>IF(WORLDCUP!AC101&gt;WORLDCUP!AD101,2,IF(WORLDCUP!AC101&lt;WORLDCUP!AD101,1,IF(AND(WORLDCUP!AC101=WORLDCUP!AD101,WORLDCUP!AC101&lt;&gt;"",WORLDCUP!AD101&lt;&gt;""),0,"PD")))</f>
        <v>1</v>
      </c>
      <c r="E164" s="25" t="str">
        <f>IF(OR(WORLDCUP!AC101="",WORLDCUP!AD101=""),"-",A164&amp;"-"&amp;B164)</f>
        <v>1-0</v>
      </c>
      <c r="F164" s="407">
        <f>SUM($D$16:$D$18)*I164</f>
        <v>20</v>
      </c>
      <c r="G164" s="407">
        <f ca="1">VLOOKUP(H164,Equipos!$Q$1:$R$25,2,0)</f>
        <v>20</v>
      </c>
      <c r="H164" s="446" t="str">
        <f>Idiomas!$D$260</f>
        <v>Round of 32</v>
      </c>
      <c r="I164" s="43">
        <v>1</v>
      </c>
      <c r="J164" s="845" t="s">
        <v>483</v>
      </c>
      <c r="K164" s="53" t="str">
        <f ca="1">CONCATENATE(WORLDCUP!AA101,"-",WORLDCUP!AF101)</f>
        <v>South Africa-Canada</v>
      </c>
      <c r="L164" s="53">
        <f>IF(OR(WORLDCUP!AC101="",WORLDCUP!AD101=""),"PD",IF(WORLDCUP!AC101&gt;WORLDCUP!AD101,1,IF(WORLDCUP!AC101&lt;WORLDCUP!AD101,2,0)))</f>
        <v>2</v>
      </c>
      <c r="M164" s="55" t="str">
        <f>IF(L164="PD","-",N164&amp;"-"&amp;O164)</f>
        <v>0-1</v>
      </c>
      <c r="N164" s="25">
        <f>WORLDCUP!AC101</f>
        <v>0</v>
      </c>
      <c r="O164" s="25">
        <f>WORLDCUP!AD101</f>
        <v>1</v>
      </c>
      <c r="P164" s="25">
        <f>N164-O164</f>
        <v>-1</v>
      </c>
      <c r="Q164" s="25">
        <f>A164-B164</f>
        <v>1</v>
      </c>
      <c r="R164" s="110"/>
      <c r="S164" s="76" t="s">
        <v>1962</v>
      </c>
      <c r="T164" s="77">
        <f ca="1">IFERROR(IF(COUNTIF($K$164:$K$179,LEFT(S164,FIND("·",S164)-1))&gt;0,IF(INDEX($L$164:$L$179,MATCH(LEFT(S164,FIND("·",S164)-1),$K$164:$K$179,0))=IFERROR(VALUE(MID(S164,FIND("·",S164)+1,1)),0),($D$16+(INDEX($M$164:$M$179,MATCH(LEFT(S164,FIND("·",S164)-1),$K$164:$K$179,0))=MID(S164,FIND("|",S164)+1,10))*$D$18+MAX(0,IF($D$50=1,$D$17*(1-(ABS(INDEX($P$164:$P$179,MATCH(LEFT(S164,FIND("·",S164)-1),$K$164:$K$179,0))-(VALUE(MID(S164,FIND("|",S164)+1,FIND("-",S164,FIND("|",S164))-FIND("|",S164)-1))-VALUE(MID(S164,FIND("-",S164,FIND("|",S164))+1,10)))))*$D$50),$D$17*(1-(IF(INDEX($L$164:$L$179,MATCH(LEFT(S164,FIND("·",S164)-1),$K$164:$K$179,0))=0,ABS(INDEX($N$164:$N$179,MATCH(LEFT(S164,FIND("·",S164)-1),$K$164:$K$179,0))-VALUE(MID(S164,FIND("|",S164)+1,FIND("-",S164,FIND("|",S164))-FIND("|",S164)-1))),ABS(INDEX($P$164:$P$179,MATCH(LEFT(S164,FIND("·",S164)-1),$K$164:$K$179,0))-(VALUE(MID(S164,FIND("|",S164)+1,FIND("-",S164,FIND("|",S164))-FIND("|",S164)-1))-VALUE(MID(S164,FIND("-",S164,FIND("|",S164))+1,10)))))*$D$50)))))*INDEX($I$164:$I$179,MATCH(LEFT(S164,FIND("·",S164)-1),$K$164:$K$179,0)),0),0),0)+IFERROR(IF(COUNTIF($C$164:$C$179,LEFT(S164,FIND("·",S164)-1))&gt;0,IF(INDEX($D$164:$D$179,MATCH(LEFT(S164,FIND("·",S164)-1),$C$164:$C$179,0))=IFERROR(VALUE(MID(S164,FIND("·",S164)+1,1)),0),($D$16+(INDEX($E$164:$E$179,MATCH(LEFT(S164,FIND("·",S164)-1),$C$164:$C$179,0))=MID(S164,FIND("|",S164)+1,10))*$D$18+MAX(0,IF($D$50=1,$D$17*(1-(ABS(INDEX($Q$164:$Q$179,MATCH(LEFT(S164,FIND("·",S164)-1),$C$164:$C$179,0))-(VALUE(MID(S164,FIND("|",S164)+1,FIND("-",S164,FIND("|",S164))-FIND("|",S164)-1))-VALUE(MID(S164,FIND("-",S164,FIND("|",S164))+1,10)))))*$D$50),$D$17*(1-(IF(INDEX($D$164:$D$179,MATCH(LEFT(S164,FIND("·",S164)-1),$C$164:$C$179,0))=0,ABS(INDEX($A$164:$A$179,MATCH(LEFT(S164,FIND("·",S164)-1),$C$164:$C$179,0))-VALUE(MID(S164,FIND("|",S164)+1,FIND("-",S164,FIND("|",S164))-FIND("|",S164)-1))),ABS(INDEX($Q$164:$Q$179,MATCH(LEFT(S164,FIND("·",S164)-1),$C$164:$C$179,0))-(VALUE(MID(S164,FIND("|",S164)+1,FIND("-",S164,FIND("|",S164))-FIND("|",S164)-1))-VALUE(MID(S164,FIND("-",S164,FIND("|",S164))+1,10)))))*$D$50)))))*INDEX($I$164:$I$179,MATCH(LEFT(S164,FIND("·",S164)-1),$C$164:$C$179,0)),0),0),0)</f>
        <v>0</v>
      </c>
      <c r="U164" s="110"/>
      <c r="V164" s="76" t="s">
        <v>2001</v>
      </c>
      <c r="W164" s="77">
        <f t="shared" ref="W164:CH176" ca="1" si="1342">IFERROR(IF(COUNTIF($K$164:$K$179,LEFT(V164,FIND("·",V164)-1))&gt;0,IF(INDEX($L$164:$L$179,MATCH(LEFT(V164,FIND("·",V164)-1),$K$164:$K$179,0))=IFERROR(VALUE(MID(V164,FIND("·",V164)+1,1)),0),($D$16+(INDEX($M$164:$M$179,MATCH(LEFT(V164,FIND("·",V164)-1),$K$164:$K$179,0))=MID(V164,FIND("|",V164)+1,10))*$D$18+MAX(0,IF($D$50=1,$D$17*(1-(ABS(INDEX($P$164:$P$179,MATCH(LEFT(V164,FIND("·",V164)-1),$K$164:$K$179,0))-(VALUE(MID(V164,FIND("|",V164)+1,FIND("-",V164,FIND("|",V164))-FIND("|",V164)-1))-VALUE(MID(V164,FIND("-",V164,FIND("|",V164))+1,10)))))*$D$50),$D$17*(1-(IF(INDEX($L$164:$L$179,MATCH(LEFT(V164,FIND("·",V164)-1),$K$164:$K$179,0))=0,ABS(INDEX($N$164:$N$179,MATCH(LEFT(V164,FIND("·",V164)-1),$K$164:$K$179,0))-VALUE(MID(V164,FIND("|",V164)+1,FIND("-",V164,FIND("|",V164))-FIND("|",V164)-1))),ABS(INDEX($P$164:$P$179,MATCH(LEFT(V164,FIND("·",V164)-1),$K$164:$K$179,0))-(VALUE(MID(V164,FIND("|",V164)+1,FIND("-",V164,FIND("|",V164))-FIND("|",V164)-1))-VALUE(MID(V164,FIND("-",V164,FIND("|",V164))+1,10)))))*$D$50)))))*INDEX($I$164:$I$179,MATCH(LEFT(V164,FIND("·",V164)-1),$K$164:$K$179,0)),0),0),0)+IFERROR(IF(COUNTIF($C$164:$C$179,LEFT(V164,FIND("·",V164)-1))&gt;0,IF(INDEX($D$164:$D$179,MATCH(LEFT(V164,FIND("·",V164)-1),$C$164:$C$179,0))=IFERROR(VALUE(MID(V164,FIND("·",V164)+1,1)),0),($D$16+(INDEX($E$164:$E$179,MATCH(LEFT(V164,FIND("·",V164)-1),$C$164:$C$179,0))=MID(V164,FIND("|",V164)+1,10))*$D$18+MAX(0,IF($D$50=1,$D$17*(1-(ABS(INDEX($Q$164:$Q$179,MATCH(LEFT(V164,FIND("·",V164)-1),$C$164:$C$179,0))-(VALUE(MID(V164,FIND("|",V164)+1,FIND("-",V164,FIND("|",V164))-FIND("|",V164)-1))-VALUE(MID(V164,FIND("-",V164,FIND("|",V164))+1,10)))))*$D$50),$D$17*(1-(IF(INDEX($D$164:$D$179,MATCH(LEFT(V164,FIND("·",V164)-1),$C$164:$C$179,0))=0,ABS(INDEX($A$164:$A$179,MATCH(LEFT(V164,FIND("·",V164)-1),$C$164:$C$179,0))-VALUE(MID(V164,FIND("|",V164)+1,FIND("-",V164,FIND("|",V164))-FIND("|",V164)-1))),ABS(INDEX($Q$164:$Q$179,MATCH(LEFT(V164,FIND("·",V164)-1),$C$164:$C$179,0))-(VALUE(MID(V164,FIND("|",V164)+1,FIND("-",V164,FIND("|",V164))-FIND("|",V164)-1))-VALUE(MID(V164,FIND("-",V164,FIND("|",V164))+1,10)))))*$D$50)))))*INDEX($I$164:$I$179,MATCH(LEFT(V164,FIND("·",V164)-1),$C$164:$C$179,0)),0),0),0)</f>
        <v>0</v>
      </c>
      <c r="X164" s="110"/>
      <c r="Y164" s="76" t="s">
        <v>2038</v>
      </c>
      <c r="Z164" s="77">
        <f t="shared" ref="Z164" ca="1" si="1343">IFERROR(IF(COUNTIF($K$164:$K$179,LEFT(Y164,FIND("·",Y164)-1))&gt;0,IF(INDEX($L$164:$L$179,MATCH(LEFT(Y164,FIND("·",Y164)-1),$K$164:$K$179,0))=IFERROR(VALUE(MID(Y164,FIND("·",Y164)+1,1)),0),($D$16+(INDEX($M$164:$M$179,MATCH(LEFT(Y164,FIND("·",Y164)-1),$K$164:$K$179,0))=MID(Y164,FIND("|",Y164)+1,10))*$D$18+MAX(0,IF($D$50=1,$D$17*(1-(ABS(INDEX($P$164:$P$179,MATCH(LEFT(Y164,FIND("·",Y164)-1),$K$164:$K$179,0))-(VALUE(MID(Y164,FIND("|",Y164)+1,FIND("-",Y164,FIND("|",Y164))-FIND("|",Y164)-1))-VALUE(MID(Y164,FIND("-",Y164,FIND("|",Y164))+1,10)))))*$D$50),$D$17*(1-(IF(INDEX($L$164:$L$179,MATCH(LEFT(Y164,FIND("·",Y164)-1),$K$164:$K$179,0))=0,ABS(INDEX($N$164:$N$179,MATCH(LEFT(Y164,FIND("·",Y164)-1),$K$164:$K$179,0))-VALUE(MID(Y164,FIND("|",Y164)+1,FIND("-",Y164,FIND("|",Y164))-FIND("|",Y164)-1))),ABS(INDEX($P$164:$P$179,MATCH(LEFT(Y164,FIND("·",Y164)-1),$K$164:$K$179,0))-(VALUE(MID(Y164,FIND("|",Y164)+1,FIND("-",Y164,FIND("|",Y164))-FIND("|",Y164)-1))-VALUE(MID(Y164,FIND("-",Y164,FIND("|",Y164))+1,10)))))*$D$50)))))*INDEX($I$164:$I$179,MATCH(LEFT(Y164,FIND("·",Y164)-1),$K$164:$K$179,0)),0),0),0)+IFERROR(IF(COUNTIF($C$164:$C$179,LEFT(Y164,FIND("·",Y164)-1))&gt;0,IF(INDEX($D$164:$D$179,MATCH(LEFT(Y164,FIND("·",Y164)-1),$C$164:$C$179,0))=IFERROR(VALUE(MID(Y164,FIND("·",Y164)+1,1)),0),($D$16+(INDEX($E$164:$E$179,MATCH(LEFT(Y164,FIND("·",Y164)-1),$C$164:$C$179,0))=MID(Y164,FIND("|",Y164)+1,10))*$D$18+MAX(0,IF($D$50=1,$D$17*(1-(ABS(INDEX($Q$164:$Q$179,MATCH(LEFT(Y164,FIND("·",Y164)-1),$C$164:$C$179,0))-(VALUE(MID(Y164,FIND("|",Y164)+1,FIND("-",Y164,FIND("|",Y164))-FIND("|",Y164)-1))-VALUE(MID(Y164,FIND("-",Y164,FIND("|",Y164))+1,10)))))*$D$50),$D$17*(1-(IF(INDEX($D$164:$D$179,MATCH(LEFT(Y164,FIND("·",Y164)-1),$C$164:$C$179,0))=0,ABS(INDEX($A$164:$A$179,MATCH(LEFT(Y164,FIND("·",Y164)-1),$C$164:$C$179,0))-VALUE(MID(Y164,FIND("|",Y164)+1,FIND("-",Y164,FIND("|",Y164))-FIND("|",Y164)-1))),ABS(INDEX($Q$164:$Q$179,MATCH(LEFT(Y164,FIND("·",Y164)-1),$C$164:$C$179,0))-(VALUE(MID(Y164,FIND("|",Y164)+1,FIND("-",Y164,FIND("|",Y164))-FIND("|",Y164)-1))-VALUE(MID(Y164,FIND("-",Y164,FIND("|",Y164))+1,10)))))*$D$50)))))*INDEX($I$164:$I$179,MATCH(LEFT(Y164,FIND("·",Y164)-1),$C$164:$C$179,0)),0),0),0)</f>
        <v>0</v>
      </c>
      <c r="AA164" s="110"/>
      <c r="AB164" s="76" t="s">
        <v>2070</v>
      </c>
      <c r="AC164" s="77">
        <f t="shared" ref="AC164" ca="1" si="1344">IFERROR(IF(COUNTIF($K$164:$K$179,LEFT(AB164,FIND("·",AB164)-1))&gt;0,IF(INDEX($L$164:$L$179,MATCH(LEFT(AB164,FIND("·",AB164)-1),$K$164:$K$179,0))=IFERROR(VALUE(MID(AB164,FIND("·",AB164)+1,1)),0),($D$16+(INDEX($M$164:$M$179,MATCH(LEFT(AB164,FIND("·",AB164)-1),$K$164:$K$179,0))=MID(AB164,FIND("|",AB164)+1,10))*$D$18+MAX(0,IF($D$50=1,$D$17*(1-(ABS(INDEX($P$164:$P$179,MATCH(LEFT(AB164,FIND("·",AB164)-1),$K$164:$K$179,0))-(VALUE(MID(AB164,FIND("|",AB164)+1,FIND("-",AB164,FIND("|",AB164))-FIND("|",AB164)-1))-VALUE(MID(AB164,FIND("-",AB164,FIND("|",AB164))+1,10)))))*$D$50),$D$17*(1-(IF(INDEX($L$164:$L$179,MATCH(LEFT(AB164,FIND("·",AB164)-1),$K$164:$K$179,0))=0,ABS(INDEX($N$164:$N$179,MATCH(LEFT(AB164,FIND("·",AB164)-1),$K$164:$K$179,0))-VALUE(MID(AB164,FIND("|",AB164)+1,FIND("-",AB164,FIND("|",AB164))-FIND("|",AB164)-1))),ABS(INDEX($P$164:$P$179,MATCH(LEFT(AB164,FIND("·",AB164)-1),$K$164:$K$179,0))-(VALUE(MID(AB164,FIND("|",AB164)+1,FIND("-",AB164,FIND("|",AB164))-FIND("|",AB164)-1))-VALUE(MID(AB164,FIND("-",AB164,FIND("|",AB164))+1,10)))))*$D$50)))))*INDEX($I$164:$I$179,MATCH(LEFT(AB164,FIND("·",AB164)-1),$K$164:$K$179,0)),0),0),0)+IFERROR(IF(COUNTIF($C$164:$C$179,LEFT(AB164,FIND("·",AB164)-1))&gt;0,IF(INDEX($D$164:$D$179,MATCH(LEFT(AB164,FIND("·",AB164)-1),$C$164:$C$179,0))=IFERROR(VALUE(MID(AB164,FIND("·",AB164)+1,1)),0),($D$16+(INDEX($E$164:$E$179,MATCH(LEFT(AB164,FIND("·",AB164)-1),$C$164:$C$179,0))=MID(AB164,FIND("|",AB164)+1,10))*$D$18+MAX(0,IF($D$50=1,$D$17*(1-(ABS(INDEX($Q$164:$Q$179,MATCH(LEFT(AB164,FIND("·",AB164)-1),$C$164:$C$179,0))-(VALUE(MID(AB164,FIND("|",AB164)+1,FIND("-",AB164,FIND("|",AB164))-FIND("|",AB164)-1))-VALUE(MID(AB164,FIND("-",AB164,FIND("|",AB164))+1,10)))))*$D$50),$D$17*(1-(IF(INDEX($D$164:$D$179,MATCH(LEFT(AB164,FIND("·",AB164)-1),$C$164:$C$179,0))=0,ABS(INDEX($A$164:$A$179,MATCH(LEFT(AB164,FIND("·",AB164)-1),$C$164:$C$179,0))-VALUE(MID(AB164,FIND("|",AB164)+1,FIND("-",AB164,FIND("|",AB164))-FIND("|",AB164)-1))),ABS(INDEX($Q$164:$Q$179,MATCH(LEFT(AB164,FIND("·",AB164)-1),$C$164:$C$179,0))-(VALUE(MID(AB164,FIND("|",AB164)+1,FIND("-",AB164,FIND("|",AB164))-FIND("|",AB164)-1))-VALUE(MID(AB164,FIND("-",AB164,FIND("|",AB164))+1,10)))))*$D$50)))))*INDEX($I$164:$I$179,MATCH(LEFT(AB164,FIND("·",AB164)-1),$C$164:$C$179,0)),0),0),0)</f>
        <v>0</v>
      </c>
      <c r="AD164" s="110"/>
      <c r="AE164" s="76" t="s">
        <v>2107</v>
      </c>
      <c r="AF164" s="77">
        <f t="shared" ref="AF164" ca="1" si="1345">IFERROR(IF(COUNTIF($K$164:$K$179,LEFT(AE164,FIND("·",AE164)-1))&gt;0,IF(INDEX($L$164:$L$179,MATCH(LEFT(AE164,FIND("·",AE164)-1),$K$164:$K$179,0))=IFERROR(VALUE(MID(AE164,FIND("·",AE164)+1,1)),0),($D$16+(INDEX($M$164:$M$179,MATCH(LEFT(AE164,FIND("·",AE164)-1),$K$164:$K$179,0))=MID(AE164,FIND("|",AE164)+1,10))*$D$18+MAX(0,IF($D$50=1,$D$17*(1-(ABS(INDEX($P$164:$P$179,MATCH(LEFT(AE164,FIND("·",AE164)-1),$K$164:$K$179,0))-(VALUE(MID(AE164,FIND("|",AE164)+1,FIND("-",AE164,FIND("|",AE164))-FIND("|",AE164)-1))-VALUE(MID(AE164,FIND("-",AE164,FIND("|",AE164))+1,10)))))*$D$50),$D$17*(1-(IF(INDEX($L$164:$L$179,MATCH(LEFT(AE164,FIND("·",AE164)-1),$K$164:$K$179,0))=0,ABS(INDEX($N$164:$N$179,MATCH(LEFT(AE164,FIND("·",AE164)-1),$K$164:$K$179,0))-VALUE(MID(AE164,FIND("|",AE164)+1,FIND("-",AE164,FIND("|",AE164))-FIND("|",AE164)-1))),ABS(INDEX($P$164:$P$179,MATCH(LEFT(AE164,FIND("·",AE164)-1),$K$164:$K$179,0))-(VALUE(MID(AE164,FIND("|",AE164)+1,FIND("-",AE164,FIND("|",AE164))-FIND("|",AE164)-1))-VALUE(MID(AE164,FIND("-",AE164,FIND("|",AE164))+1,10)))))*$D$50)))))*INDEX($I$164:$I$179,MATCH(LEFT(AE164,FIND("·",AE164)-1),$K$164:$K$179,0)),0),0),0)+IFERROR(IF(COUNTIF($C$164:$C$179,LEFT(AE164,FIND("·",AE164)-1))&gt;0,IF(INDEX($D$164:$D$179,MATCH(LEFT(AE164,FIND("·",AE164)-1),$C$164:$C$179,0))=IFERROR(VALUE(MID(AE164,FIND("·",AE164)+1,1)),0),($D$16+(INDEX($E$164:$E$179,MATCH(LEFT(AE164,FIND("·",AE164)-1),$C$164:$C$179,0))=MID(AE164,FIND("|",AE164)+1,10))*$D$18+MAX(0,IF($D$50=1,$D$17*(1-(ABS(INDEX($Q$164:$Q$179,MATCH(LEFT(AE164,FIND("·",AE164)-1),$C$164:$C$179,0))-(VALUE(MID(AE164,FIND("|",AE164)+1,FIND("-",AE164,FIND("|",AE164))-FIND("|",AE164)-1))-VALUE(MID(AE164,FIND("-",AE164,FIND("|",AE164))+1,10)))))*$D$50),$D$17*(1-(IF(INDEX($D$164:$D$179,MATCH(LEFT(AE164,FIND("·",AE164)-1),$C$164:$C$179,0))=0,ABS(INDEX($A$164:$A$179,MATCH(LEFT(AE164,FIND("·",AE164)-1),$C$164:$C$179,0))-VALUE(MID(AE164,FIND("|",AE164)+1,FIND("-",AE164,FIND("|",AE164))-FIND("|",AE164)-1))),ABS(INDEX($Q$164:$Q$179,MATCH(LEFT(AE164,FIND("·",AE164)-1),$C$164:$C$179,0))-(VALUE(MID(AE164,FIND("|",AE164)+1,FIND("-",AE164,FIND("|",AE164))-FIND("|",AE164)-1))-VALUE(MID(AE164,FIND("-",AE164,FIND("|",AE164))+1,10)))))*$D$50)))))*INDEX($I$164:$I$179,MATCH(LEFT(AE164,FIND("·",AE164)-1),$C$164:$C$179,0)),0),0),0)</f>
        <v>0</v>
      </c>
      <c r="AG164" s="110"/>
      <c r="AH164" s="76" t="s">
        <v>2134</v>
      </c>
      <c r="AI164" s="77">
        <f t="shared" ref="AI164" ca="1" si="1346">IFERROR(IF(COUNTIF($K$164:$K$179,LEFT(AH164,FIND("·",AH164)-1))&gt;0,IF(INDEX($L$164:$L$179,MATCH(LEFT(AH164,FIND("·",AH164)-1),$K$164:$K$179,0))=IFERROR(VALUE(MID(AH164,FIND("·",AH164)+1,1)),0),($D$16+(INDEX($M$164:$M$179,MATCH(LEFT(AH164,FIND("·",AH164)-1),$K$164:$K$179,0))=MID(AH164,FIND("|",AH164)+1,10))*$D$18+MAX(0,IF($D$50=1,$D$17*(1-(ABS(INDEX($P$164:$P$179,MATCH(LEFT(AH164,FIND("·",AH164)-1),$K$164:$K$179,0))-(VALUE(MID(AH164,FIND("|",AH164)+1,FIND("-",AH164,FIND("|",AH164))-FIND("|",AH164)-1))-VALUE(MID(AH164,FIND("-",AH164,FIND("|",AH164))+1,10)))))*$D$50),$D$17*(1-(IF(INDEX($L$164:$L$179,MATCH(LEFT(AH164,FIND("·",AH164)-1),$K$164:$K$179,0))=0,ABS(INDEX($N$164:$N$179,MATCH(LEFT(AH164,FIND("·",AH164)-1),$K$164:$K$179,0))-VALUE(MID(AH164,FIND("|",AH164)+1,FIND("-",AH164,FIND("|",AH164))-FIND("|",AH164)-1))),ABS(INDEX($P$164:$P$179,MATCH(LEFT(AH164,FIND("·",AH164)-1),$K$164:$K$179,0))-(VALUE(MID(AH164,FIND("|",AH164)+1,FIND("-",AH164,FIND("|",AH164))-FIND("|",AH164)-1))-VALUE(MID(AH164,FIND("-",AH164,FIND("|",AH164))+1,10)))))*$D$50)))))*INDEX($I$164:$I$179,MATCH(LEFT(AH164,FIND("·",AH164)-1),$K$164:$K$179,0)),0),0),0)+IFERROR(IF(COUNTIF($C$164:$C$179,LEFT(AH164,FIND("·",AH164)-1))&gt;0,IF(INDEX($D$164:$D$179,MATCH(LEFT(AH164,FIND("·",AH164)-1),$C$164:$C$179,0))=IFERROR(VALUE(MID(AH164,FIND("·",AH164)+1,1)),0),($D$16+(INDEX($E$164:$E$179,MATCH(LEFT(AH164,FIND("·",AH164)-1),$C$164:$C$179,0))=MID(AH164,FIND("|",AH164)+1,10))*$D$18+MAX(0,IF($D$50=1,$D$17*(1-(ABS(INDEX($Q$164:$Q$179,MATCH(LEFT(AH164,FIND("·",AH164)-1),$C$164:$C$179,0))-(VALUE(MID(AH164,FIND("|",AH164)+1,FIND("-",AH164,FIND("|",AH164))-FIND("|",AH164)-1))-VALUE(MID(AH164,FIND("-",AH164,FIND("|",AH164))+1,10)))))*$D$50),$D$17*(1-(IF(INDEX($D$164:$D$179,MATCH(LEFT(AH164,FIND("·",AH164)-1),$C$164:$C$179,0))=0,ABS(INDEX($A$164:$A$179,MATCH(LEFT(AH164,FIND("·",AH164)-1),$C$164:$C$179,0))-VALUE(MID(AH164,FIND("|",AH164)+1,FIND("-",AH164,FIND("|",AH164))-FIND("|",AH164)-1))),ABS(INDEX($Q$164:$Q$179,MATCH(LEFT(AH164,FIND("·",AH164)-1),$C$164:$C$179,0))-(VALUE(MID(AH164,FIND("|",AH164)+1,FIND("-",AH164,FIND("|",AH164))-FIND("|",AH164)-1))-VALUE(MID(AH164,FIND("-",AH164,FIND("|",AH164))+1,10)))))*$D$50)))))*INDEX($I$164:$I$179,MATCH(LEFT(AH164,FIND("·",AH164)-1),$C$164:$C$179,0)),0),0),0)</f>
        <v>0</v>
      </c>
      <c r="AJ164" s="110"/>
      <c r="AK164" s="76" t="s">
        <v>2162</v>
      </c>
      <c r="AL164" s="77">
        <f t="shared" ref="AL164" ca="1" si="1347">IFERROR(IF(COUNTIF($K$164:$K$179,LEFT(AK164,FIND("·",AK164)-1))&gt;0,IF(INDEX($L$164:$L$179,MATCH(LEFT(AK164,FIND("·",AK164)-1),$K$164:$K$179,0))=IFERROR(VALUE(MID(AK164,FIND("·",AK164)+1,1)),0),($D$16+(INDEX($M$164:$M$179,MATCH(LEFT(AK164,FIND("·",AK164)-1),$K$164:$K$179,0))=MID(AK164,FIND("|",AK164)+1,10))*$D$18+MAX(0,IF($D$50=1,$D$17*(1-(ABS(INDEX($P$164:$P$179,MATCH(LEFT(AK164,FIND("·",AK164)-1),$K$164:$K$179,0))-(VALUE(MID(AK164,FIND("|",AK164)+1,FIND("-",AK164,FIND("|",AK164))-FIND("|",AK164)-1))-VALUE(MID(AK164,FIND("-",AK164,FIND("|",AK164))+1,10)))))*$D$50),$D$17*(1-(IF(INDEX($L$164:$L$179,MATCH(LEFT(AK164,FIND("·",AK164)-1),$K$164:$K$179,0))=0,ABS(INDEX($N$164:$N$179,MATCH(LEFT(AK164,FIND("·",AK164)-1),$K$164:$K$179,0))-VALUE(MID(AK164,FIND("|",AK164)+1,FIND("-",AK164,FIND("|",AK164))-FIND("|",AK164)-1))),ABS(INDEX($P$164:$P$179,MATCH(LEFT(AK164,FIND("·",AK164)-1),$K$164:$K$179,0))-(VALUE(MID(AK164,FIND("|",AK164)+1,FIND("-",AK164,FIND("|",AK164))-FIND("|",AK164)-1))-VALUE(MID(AK164,FIND("-",AK164,FIND("|",AK164))+1,10)))))*$D$50)))))*INDEX($I$164:$I$179,MATCH(LEFT(AK164,FIND("·",AK164)-1),$K$164:$K$179,0)),0),0),0)+IFERROR(IF(COUNTIF($C$164:$C$179,LEFT(AK164,FIND("·",AK164)-1))&gt;0,IF(INDEX($D$164:$D$179,MATCH(LEFT(AK164,FIND("·",AK164)-1),$C$164:$C$179,0))=IFERROR(VALUE(MID(AK164,FIND("·",AK164)+1,1)),0),($D$16+(INDEX($E$164:$E$179,MATCH(LEFT(AK164,FIND("·",AK164)-1),$C$164:$C$179,0))=MID(AK164,FIND("|",AK164)+1,10))*$D$18+MAX(0,IF($D$50=1,$D$17*(1-(ABS(INDEX($Q$164:$Q$179,MATCH(LEFT(AK164,FIND("·",AK164)-1),$C$164:$C$179,0))-(VALUE(MID(AK164,FIND("|",AK164)+1,FIND("-",AK164,FIND("|",AK164))-FIND("|",AK164)-1))-VALUE(MID(AK164,FIND("-",AK164,FIND("|",AK164))+1,10)))))*$D$50),$D$17*(1-(IF(INDEX($D$164:$D$179,MATCH(LEFT(AK164,FIND("·",AK164)-1),$C$164:$C$179,0))=0,ABS(INDEX($A$164:$A$179,MATCH(LEFT(AK164,FIND("·",AK164)-1),$C$164:$C$179,0))-VALUE(MID(AK164,FIND("|",AK164)+1,FIND("-",AK164,FIND("|",AK164))-FIND("|",AK164)-1))),ABS(INDEX($Q$164:$Q$179,MATCH(LEFT(AK164,FIND("·",AK164)-1),$C$164:$C$179,0))-(VALUE(MID(AK164,FIND("|",AK164)+1,FIND("-",AK164,FIND("|",AK164))-FIND("|",AK164)-1))-VALUE(MID(AK164,FIND("-",AK164,FIND("|",AK164))+1,10)))))*$D$50)))))*INDEX($I$164:$I$179,MATCH(LEFT(AK164,FIND("·",AK164)-1),$C$164:$C$179,0)),0),0),0)</f>
        <v>0</v>
      </c>
      <c r="AM164" s="110"/>
      <c r="AN164" s="76" t="s">
        <v>2188</v>
      </c>
      <c r="AO164" s="77">
        <f t="shared" ref="AO164" ca="1" si="1348">IFERROR(IF(COUNTIF($K$164:$K$179,LEFT(AN164,FIND("·",AN164)-1))&gt;0,IF(INDEX($L$164:$L$179,MATCH(LEFT(AN164,FIND("·",AN164)-1),$K$164:$K$179,0))=IFERROR(VALUE(MID(AN164,FIND("·",AN164)+1,1)),0),($D$16+(INDEX($M$164:$M$179,MATCH(LEFT(AN164,FIND("·",AN164)-1),$K$164:$K$179,0))=MID(AN164,FIND("|",AN164)+1,10))*$D$18+MAX(0,IF($D$50=1,$D$17*(1-(ABS(INDEX($P$164:$P$179,MATCH(LEFT(AN164,FIND("·",AN164)-1),$K$164:$K$179,0))-(VALUE(MID(AN164,FIND("|",AN164)+1,FIND("-",AN164,FIND("|",AN164))-FIND("|",AN164)-1))-VALUE(MID(AN164,FIND("-",AN164,FIND("|",AN164))+1,10)))))*$D$50),$D$17*(1-(IF(INDEX($L$164:$L$179,MATCH(LEFT(AN164,FIND("·",AN164)-1),$K$164:$K$179,0))=0,ABS(INDEX($N$164:$N$179,MATCH(LEFT(AN164,FIND("·",AN164)-1),$K$164:$K$179,0))-VALUE(MID(AN164,FIND("|",AN164)+1,FIND("-",AN164,FIND("|",AN164))-FIND("|",AN164)-1))),ABS(INDEX($P$164:$P$179,MATCH(LEFT(AN164,FIND("·",AN164)-1),$K$164:$K$179,0))-(VALUE(MID(AN164,FIND("|",AN164)+1,FIND("-",AN164,FIND("|",AN164))-FIND("|",AN164)-1))-VALUE(MID(AN164,FIND("-",AN164,FIND("|",AN164))+1,10)))))*$D$50)))))*INDEX($I$164:$I$179,MATCH(LEFT(AN164,FIND("·",AN164)-1),$K$164:$K$179,0)),0),0),0)+IFERROR(IF(COUNTIF($C$164:$C$179,LEFT(AN164,FIND("·",AN164)-1))&gt;0,IF(INDEX($D$164:$D$179,MATCH(LEFT(AN164,FIND("·",AN164)-1),$C$164:$C$179,0))=IFERROR(VALUE(MID(AN164,FIND("·",AN164)+1,1)),0),($D$16+(INDEX($E$164:$E$179,MATCH(LEFT(AN164,FIND("·",AN164)-1),$C$164:$C$179,0))=MID(AN164,FIND("|",AN164)+1,10))*$D$18+MAX(0,IF($D$50=1,$D$17*(1-(ABS(INDEX($Q$164:$Q$179,MATCH(LEFT(AN164,FIND("·",AN164)-1),$C$164:$C$179,0))-(VALUE(MID(AN164,FIND("|",AN164)+1,FIND("-",AN164,FIND("|",AN164))-FIND("|",AN164)-1))-VALUE(MID(AN164,FIND("-",AN164,FIND("|",AN164))+1,10)))))*$D$50),$D$17*(1-(IF(INDEX($D$164:$D$179,MATCH(LEFT(AN164,FIND("·",AN164)-1),$C$164:$C$179,0))=0,ABS(INDEX($A$164:$A$179,MATCH(LEFT(AN164,FIND("·",AN164)-1),$C$164:$C$179,0))-VALUE(MID(AN164,FIND("|",AN164)+1,FIND("-",AN164,FIND("|",AN164))-FIND("|",AN164)-1))),ABS(INDEX($Q$164:$Q$179,MATCH(LEFT(AN164,FIND("·",AN164)-1),$C$164:$C$179,0))-(VALUE(MID(AN164,FIND("|",AN164)+1,FIND("-",AN164,FIND("|",AN164))-FIND("|",AN164)-1))-VALUE(MID(AN164,FIND("-",AN164,FIND("|",AN164))+1,10)))))*$D$50)))))*INDEX($I$164:$I$179,MATCH(LEFT(AN164,FIND("·",AN164)-1),$C$164:$C$179,0)),0),0),0)</f>
        <v>0</v>
      </c>
      <c r="AP164" s="110"/>
      <c r="AQ164" s="76" t="s">
        <v>2038</v>
      </c>
      <c r="AR164" s="77">
        <f t="shared" ref="AR164" ca="1" si="1349">IFERROR(IF(COUNTIF($K$164:$K$179,LEFT(AQ164,FIND("·",AQ164)-1))&gt;0,IF(INDEX($L$164:$L$179,MATCH(LEFT(AQ164,FIND("·",AQ164)-1),$K$164:$K$179,0))=IFERROR(VALUE(MID(AQ164,FIND("·",AQ164)+1,1)),0),($D$16+(INDEX($M$164:$M$179,MATCH(LEFT(AQ164,FIND("·",AQ164)-1),$K$164:$K$179,0))=MID(AQ164,FIND("|",AQ164)+1,10))*$D$18+MAX(0,IF($D$50=1,$D$17*(1-(ABS(INDEX($P$164:$P$179,MATCH(LEFT(AQ164,FIND("·",AQ164)-1),$K$164:$K$179,0))-(VALUE(MID(AQ164,FIND("|",AQ164)+1,FIND("-",AQ164,FIND("|",AQ164))-FIND("|",AQ164)-1))-VALUE(MID(AQ164,FIND("-",AQ164,FIND("|",AQ164))+1,10)))))*$D$50),$D$17*(1-(IF(INDEX($L$164:$L$179,MATCH(LEFT(AQ164,FIND("·",AQ164)-1),$K$164:$K$179,0))=0,ABS(INDEX($N$164:$N$179,MATCH(LEFT(AQ164,FIND("·",AQ164)-1),$K$164:$K$179,0))-VALUE(MID(AQ164,FIND("|",AQ164)+1,FIND("-",AQ164,FIND("|",AQ164))-FIND("|",AQ164)-1))),ABS(INDEX($P$164:$P$179,MATCH(LEFT(AQ164,FIND("·",AQ164)-1),$K$164:$K$179,0))-(VALUE(MID(AQ164,FIND("|",AQ164)+1,FIND("-",AQ164,FIND("|",AQ164))-FIND("|",AQ164)-1))-VALUE(MID(AQ164,FIND("-",AQ164,FIND("|",AQ164))+1,10)))))*$D$50)))))*INDEX($I$164:$I$179,MATCH(LEFT(AQ164,FIND("·",AQ164)-1),$K$164:$K$179,0)),0),0),0)+IFERROR(IF(COUNTIF($C$164:$C$179,LEFT(AQ164,FIND("·",AQ164)-1))&gt;0,IF(INDEX($D$164:$D$179,MATCH(LEFT(AQ164,FIND("·",AQ164)-1),$C$164:$C$179,0))=IFERROR(VALUE(MID(AQ164,FIND("·",AQ164)+1,1)),0),($D$16+(INDEX($E$164:$E$179,MATCH(LEFT(AQ164,FIND("·",AQ164)-1),$C$164:$C$179,0))=MID(AQ164,FIND("|",AQ164)+1,10))*$D$18+MAX(0,IF($D$50=1,$D$17*(1-(ABS(INDEX($Q$164:$Q$179,MATCH(LEFT(AQ164,FIND("·",AQ164)-1),$C$164:$C$179,0))-(VALUE(MID(AQ164,FIND("|",AQ164)+1,FIND("-",AQ164,FIND("|",AQ164))-FIND("|",AQ164)-1))-VALUE(MID(AQ164,FIND("-",AQ164,FIND("|",AQ164))+1,10)))))*$D$50),$D$17*(1-(IF(INDEX($D$164:$D$179,MATCH(LEFT(AQ164,FIND("·",AQ164)-1),$C$164:$C$179,0))=0,ABS(INDEX($A$164:$A$179,MATCH(LEFT(AQ164,FIND("·",AQ164)-1),$C$164:$C$179,0))-VALUE(MID(AQ164,FIND("|",AQ164)+1,FIND("-",AQ164,FIND("|",AQ164))-FIND("|",AQ164)-1))),ABS(INDEX($Q$164:$Q$179,MATCH(LEFT(AQ164,FIND("·",AQ164)-1),$C$164:$C$179,0))-(VALUE(MID(AQ164,FIND("|",AQ164)+1,FIND("-",AQ164,FIND("|",AQ164))-FIND("|",AQ164)-1))-VALUE(MID(AQ164,FIND("-",AQ164,FIND("|",AQ164))+1,10)))))*$D$50)))))*INDEX($I$164:$I$179,MATCH(LEFT(AQ164,FIND("·",AQ164)-1),$C$164:$C$179,0)),0),0),0)</f>
        <v>0</v>
      </c>
      <c r="AS164" s="110"/>
      <c r="AT164" s="76" t="s">
        <v>2252</v>
      </c>
      <c r="AU164" s="77">
        <f t="shared" ref="AU164" ca="1" si="1350">IFERROR(IF(COUNTIF($K$164:$K$179,LEFT(AT164,FIND("·",AT164)-1))&gt;0,IF(INDEX($L$164:$L$179,MATCH(LEFT(AT164,FIND("·",AT164)-1),$K$164:$K$179,0))=IFERROR(VALUE(MID(AT164,FIND("·",AT164)+1,1)),0),($D$16+(INDEX($M$164:$M$179,MATCH(LEFT(AT164,FIND("·",AT164)-1),$K$164:$K$179,0))=MID(AT164,FIND("|",AT164)+1,10))*$D$18+MAX(0,IF($D$50=1,$D$17*(1-(ABS(INDEX($P$164:$P$179,MATCH(LEFT(AT164,FIND("·",AT164)-1),$K$164:$K$179,0))-(VALUE(MID(AT164,FIND("|",AT164)+1,FIND("-",AT164,FIND("|",AT164))-FIND("|",AT164)-1))-VALUE(MID(AT164,FIND("-",AT164,FIND("|",AT164))+1,10)))))*$D$50),$D$17*(1-(IF(INDEX($L$164:$L$179,MATCH(LEFT(AT164,FIND("·",AT164)-1),$K$164:$K$179,0))=0,ABS(INDEX($N$164:$N$179,MATCH(LEFT(AT164,FIND("·",AT164)-1),$K$164:$K$179,0))-VALUE(MID(AT164,FIND("|",AT164)+1,FIND("-",AT164,FIND("|",AT164))-FIND("|",AT164)-1))),ABS(INDEX($P$164:$P$179,MATCH(LEFT(AT164,FIND("·",AT164)-1),$K$164:$K$179,0))-(VALUE(MID(AT164,FIND("|",AT164)+1,FIND("-",AT164,FIND("|",AT164))-FIND("|",AT164)-1))-VALUE(MID(AT164,FIND("-",AT164,FIND("|",AT164))+1,10)))))*$D$50)))))*INDEX($I$164:$I$179,MATCH(LEFT(AT164,FIND("·",AT164)-1),$K$164:$K$179,0)),0),0),0)+IFERROR(IF(COUNTIF($C$164:$C$179,LEFT(AT164,FIND("·",AT164)-1))&gt;0,IF(INDEX($D$164:$D$179,MATCH(LEFT(AT164,FIND("·",AT164)-1),$C$164:$C$179,0))=IFERROR(VALUE(MID(AT164,FIND("·",AT164)+1,1)),0),($D$16+(INDEX($E$164:$E$179,MATCH(LEFT(AT164,FIND("·",AT164)-1),$C$164:$C$179,0))=MID(AT164,FIND("|",AT164)+1,10))*$D$18+MAX(0,IF($D$50=1,$D$17*(1-(ABS(INDEX($Q$164:$Q$179,MATCH(LEFT(AT164,FIND("·",AT164)-1),$C$164:$C$179,0))-(VALUE(MID(AT164,FIND("|",AT164)+1,FIND("-",AT164,FIND("|",AT164))-FIND("|",AT164)-1))-VALUE(MID(AT164,FIND("-",AT164,FIND("|",AT164))+1,10)))))*$D$50),$D$17*(1-(IF(INDEX($D$164:$D$179,MATCH(LEFT(AT164,FIND("·",AT164)-1),$C$164:$C$179,0))=0,ABS(INDEX($A$164:$A$179,MATCH(LEFT(AT164,FIND("·",AT164)-1),$C$164:$C$179,0))-VALUE(MID(AT164,FIND("|",AT164)+1,FIND("-",AT164,FIND("|",AT164))-FIND("|",AT164)-1))),ABS(INDEX($Q$164:$Q$179,MATCH(LEFT(AT164,FIND("·",AT164)-1),$C$164:$C$179,0))-(VALUE(MID(AT164,FIND("|",AT164)+1,FIND("-",AT164,FIND("|",AT164))-FIND("|",AT164)-1))-VALUE(MID(AT164,FIND("-",AT164,FIND("|",AT164))+1,10)))))*$D$50)))))*INDEX($I$164:$I$179,MATCH(LEFT(AT164,FIND("·",AT164)-1),$C$164:$C$179,0)),0),0),0)</f>
        <v>0</v>
      </c>
      <c r="AV164" s="110"/>
      <c r="AW164" s="76" t="s">
        <v>2279</v>
      </c>
      <c r="AX164" s="77">
        <f t="shared" ref="AX164" ca="1" si="1351">IFERROR(IF(COUNTIF($K$164:$K$179,LEFT(AW164,FIND("·",AW164)-1))&gt;0,IF(INDEX($L$164:$L$179,MATCH(LEFT(AW164,FIND("·",AW164)-1),$K$164:$K$179,0))=IFERROR(VALUE(MID(AW164,FIND("·",AW164)+1,1)),0),($D$16+(INDEX($M$164:$M$179,MATCH(LEFT(AW164,FIND("·",AW164)-1),$K$164:$K$179,0))=MID(AW164,FIND("|",AW164)+1,10))*$D$18+MAX(0,IF($D$50=1,$D$17*(1-(ABS(INDEX($P$164:$P$179,MATCH(LEFT(AW164,FIND("·",AW164)-1),$K$164:$K$179,0))-(VALUE(MID(AW164,FIND("|",AW164)+1,FIND("-",AW164,FIND("|",AW164))-FIND("|",AW164)-1))-VALUE(MID(AW164,FIND("-",AW164,FIND("|",AW164))+1,10)))))*$D$50),$D$17*(1-(IF(INDEX($L$164:$L$179,MATCH(LEFT(AW164,FIND("·",AW164)-1),$K$164:$K$179,0))=0,ABS(INDEX($N$164:$N$179,MATCH(LEFT(AW164,FIND("·",AW164)-1),$K$164:$K$179,0))-VALUE(MID(AW164,FIND("|",AW164)+1,FIND("-",AW164,FIND("|",AW164))-FIND("|",AW164)-1))),ABS(INDEX($P$164:$P$179,MATCH(LEFT(AW164,FIND("·",AW164)-1),$K$164:$K$179,0))-(VALUE(MID(AW164,FIND("|",AW164)+1,FIND("-",AW164,FIND("|",AW164))-FIND("|",AW164)-1))-VALUE(MID(AW164,FIND("-",AW164,FIND("|",AW164))+1,10)))))*$D$50)))))*INDEX($I$164:$I$179,MATCH(LEFT(AW164,FIND("·",AW164)-1),$K$164:$K$179,0)),0),0),0)+IFERROR(IF(COUNTIF($C$164:$C$179,LEFT(AW164,FIND("·",AW164)-1))&gt;0,IF(INDEX($D$164:$D$179,MATCH(LEFT(AW164,FIND("·",AW164)-1),$C$164:$C$179,0))=IFERROR(VALUE(MID(AW164,FIND("·",AW164)+1,1)),0),($D$16+(INDEX($E$164:$E$179,MATCH(LEFT(AW164,FIND("·",AW164)-1),$C$164:$C$179,0))=MID(AW164,FIND("|",AW164)+1,10))*$D$18+MAX(0,IF($D$50=1,$D$17*(1-(ABS(INDEX($Q$164:$Q$179,MATCH(LEFT(AW164,FIND("·",AW164)-1),$C$164:$C$179,0))-(VALUE(MID(AW164,FIND("|",AW164)+1,FIND("-",AW164,FIND("|",AW164))-FIND("|",AW164)-1))-VALUE(MID(AW164,FIND("-",AW164,FIND("|",AW164))+1,10)))))*$D$50),$D$17*(1-(IF(INDEX($D$164:$D$179,MATCH(LEFT(AW164,FIND("·",AW164)-1),$C$164:$C$179,0))=0,ABS(INDEX($A$164:$A$179,MATCH(LEFT(AW164,FIND("·",AW164)-1),$C$164:$C$179,0))-VALUE(MID(AW164,FIND("|",AW164)+1,FIND("-",AW164,FIND("|",AW164))-FIND("|",AW164)-1))),ABS(INDEX($Q$164:$Q$179,MATCH(LEFT(AW164,FIND("·",AW164)-1),$C$164:$C$179,0))-(VALUE(MID(AW164,FIND("|",AW164)+1,FIND("-",AW164,FIND("|",AW164))-FIND("|",AW164)-1))-VALUE(MID(AW164,FIND("-",AW164,FIND("|",AW164))+1,10)))))*$D$50)))))*INDEX($I$164:$I$179,MATCH(LEFT(AW164,FIND("·",AW164)-1),$C$164:$C$179,0)),0),0),0)</f>
        <v>0</v>
      </c>
      <c r="AY164" s="110"/>
      <c r="AZ164" s="76" t="s">
        <v>2038</v>
      </c>
      <c r="BA164" s="77">
        <f t="shared" ref="BA164" ca="1" si="1352">IFERROR(IF(COUNTIF($K$164:$K$179,LEFT(AZ164,FIND("·",AZ164)-1))&gt;0,IF(INDEX($L$164:$L$179,MATCH(LEFT(AZ164,FIND("·",AZ164)-1),$K$164:$K$179,0))=IFERROR(VALUE(MID(AZ164,FIND("·",AZ164)+1,1)),0),($D$16+(INDEX($M$164:$M$179,MATCH(LEFT(AZ164,FIND("·",AZ164)-1),$K$164:$K$179,0))=MID(AZ164,FIND("|",AZ164)+1,10))*$D$18+MAX(0,IF($D$50=1,$D$17*(1-(ABS(INDEX($P$164:$P$179,MATCH(LEFT(AZ164,FIND("·",AZ164)-1),$K$164:$K$179,0))-(VALUE(MID(AZ164,FIND("|",AZ164)+1,FIND("-",AZ164,FIND("|",AZ164))-FIND("|",AZ164)-1))-VALUE(MID(AZ164,FIND("-",AZ164,FIND("|",AZ164))+1,10)))))*$D$50),$D$17*(1-(IF(INDEX($L$164:$L$179,MATCH(LEFT(AZ164,FIND("·",AZ164)-1),$K$164:$K$179,0))=0,ABS(INDEX($N$164:$N$179,MATCH(LEFT(AZ164,FIND("·",AZ164)-1),$K$164:$K$179,0))-VALUE(MID(AZ164,FIND("|",AZ164)+1,FIND("-",AZ164,FIND("|",AZ164))-FIND("|",AZ164)-1))),ABS(INDEX($P$164:$P$179,MATCH(LEFT(AZ164,FIND("·",AZ164)-1),$K$164:$K$179,0))-(VALUE(MID(AZ164,FIND("|",AZ164)+1,FIND("-",AZ164,FIND("|",AZ164))-FIND("|",AZ164)-1))-VALUE(MID(AZ164,FIND("-",AZ164,FIND("|",AZ164))+1,10)))))*$D$50)))))*INDEX($I$164:$I$179,MATCH(LEFT(AZ164,FIND("·",AZ164)-1),$K$164:$K$179,0)),0),0),0)+IFERROR(IF(COUNTIF($C$164:$C$179,LEFT(AZ164,FIND("·",AZ164)-1))&gt;0,IF(INDEX($D$164:$D$179,MATCH(LEFT(AZ164,FIND("·",AZ164)-1),$C$164:$C$179,0))=IFERROR(VALUE(MID(AZ164,FIND("·",AZ164)+1,1)),0),($D$16+(INDEX($E$164:$E$179,MATCH(LEFT(AZ164,FIND("·",AZ164)-1),$C$164:$C$179,0))=MID(AZ164,FIND("|",AZ164)+1,10))*$D$18+MAX(0,IF($D$50=1,$D$17*(1-(ABS(INDEX($Q$164:$Q$179,MATCH(LEFT(AZ164,FIND("·",AZ164)-1),$C$164:$C$179,0))-(VALUE(MID(AZ164,FIND("|",AZ164)+1,FIND("-",AZ164,FIND("|",AZ164))-FIND("|",AZ164)-1))-VALUE(MID(AZ164,FIND("-",AZ164,FIND("|",AZ164))+1,10)))))*$D$50),$D$17*(1-(IF(INDEX($D$164:$D$179,MATCH(LEFT(AZ164,FIND("·",AZ164)-1),$C$164:$C$179,0))=0,ABS(INDEX($A$164:$A$179,MATCH(LEFT(AZ164,FIND("·",AZ164)-1),$C$164:$C$179,0))-VALUE(MID(AZ164,FIND("|",AZ164)+1,FIND("-",AZ164,FIND("|",AZ164))-FIND("|",AZ164)-1))),ABS(INDEX($Q$164:$Q$179,MATCH(LEFT(AZ164,FIND("·",AZ164)-1),$C$164:$C$179,0))-(VALUE(MID(AZ164,FIND("|",AZ164)+1,FIND("-",AZ164,FIND("|",AZ164))-FIND("|",AZ164)-1))-VALUE(MID(AZ164,FIND("-",AZ164,FIND("|",AZ164))+1,10)))))*$D$50)))))*INDEX($I$164:$I$179,MATCH(LEFT(AZ164,FIND("·",AZ164)-1),$C$164:$C$179,0)),0),0),0)</f>
        <v>0</v>
      </c>
      <c r="BB164" s="110"/>
      <c r="BC164" s="76" t="s">
        <v>2322</v>
      </c>
      <c r="BD164" s="77">
        <f t="shared" ref="BD164" ca="1" si="1353">IFERROR(IF(COUNTIF($K$164:$K$179,LEFT(BC164,FIND("·",BC164)-1))&gt;0,IF(INDEX($L$164:$L$179,MATCH(LEFT(BC164,FIND("·",BC164)-1),$K$164:$K$179,0))=IFERROR(VALUE(MID(BC164,FIND("·",BC164)+1,1)),0),($D$16+(INDEX($M$164:$M$179,MATCH(LEFT(BC164,FIND("·",BC164)-1),$K$164:$K$179,0))=MID(BC164,FIND("|",BC164)+1,10))*$D$18+MAX(0,IF($D$50=1,$D$17*(1-(ABS(INDEX($P$164:$P$179,MATCH(LEFT(BC164,FIND("·",BC164)-1),$K$164:$K$179,0))-(VALUE(MID(BC164,FIND("|",BC164)+1,FIND("-",BC164,FIND("|",BC164))-FIND("|",BC164)-1))-VALUE(MID(BC164,FIND("-",BC164,FIND("|",BC164))+1,10)))))*$D$50),$D$17*(1-(IF(INDEX($L$164:$L$179,MATCH(LEFT(BC164,FIND("·",BC164)-1),$K$164:$K$179,0))=0,ABS(INDEX($N$164:$N$179,MATCH(LEFT(BC164,FIND("·",BC164)-1),$K$164:$K$179,0))-VALUE(MID(BC164,FIND("|",BC164)+1,FIND("-",BC164,FIND("|",BC164))-FIND("|",BC164)-1))),ABS(INDEX($P$164:$P$179,MATCH(LEFT(BC164,FIND("·",BC164)-1),$K$164:$K$179,0))-(VALUE(MID(BC164,FIND("|",BC164)+1,FIND("-",BC164,FIND("|",BC164))-FIND("|",BC164)-1))-VALUE(MID(BC164,FIND("-",BC164,FIND("|",BC164))+1,10)))))*$D$50)))))*INDEX($I$164:$I$179,MATCH(LEFT(BC164,FIND("·",BC164)-1),$K$164:$K$179,0)),0),0),0)+IFERROR(IF(COUNTIF($C$164:$C$179,LEFT(BC164,FIND("·",BC164)-1))&gt;0,IF(INDEX($D$164:$D$179,MATCH(LEFT(BC164,FIND("·",BC164)-1),$C$164:$C$179,0))=IFERROR(VALUE(MID(BC164,FIND("·",BC164)+1,1)),0),($D$16+(INDEX($E$164:$E$179,MATCH(LEFT(BC164,FIND("·",BC164)-1),$C$164:$C$179,0))=MID(BC164,FIND("|",BC164)+1,10))*$D$18+MAX(0,IF($D$50=1,$D$17*(1-(ABS(INDEX($Q$164:$Q$179,MATCH(LEFT(BC164,FIND("·",BC164)-1),$C$164:$C$179,0))-(VALUE(MID(BC164,FIND("|",BC164)+1,FIND("-",BC164,FIND("|",BC164))-FIND("|",BC164)-1))-VALUE(MID(BC164,FIND("-",BC164,FIND("|",BC164))+1,10)))))*$D$50),$D$17*(1-(IF(INDEX($D$164:$D$179,MATCH(LEFT(BC164,FIND("·",BC164)-1),$C$164:$C$179,0))=0,ABS(INDEX($A$164:$A$179,MATCH(LEFT(BC164,FIND("·",BC164)-1),$C$164:$C$179,0))-VALUE(MID(BC164,FIND("|",BC164)+1,FIND("-",BC164,FIND("|",BC164))-FIND("|",BC164)-1))),ABS(INDEX($Q$164:$Q$179,MATCH(LEFT(BC164,FIND("·",BC164)-1),$C$164:$C$179,0))-(VALUE(MID(BC164,FIND("|",BC164)+1,FIND("-",BC164,FIND("|",BC164))-FIND("|",BC164)-1))-VALUE(MID(BC164,FIND("-",BC164,FIND("|",BC164))+1,10)))))*$D$50)))))*INDEX($I$164:$I$179,MATCH(LEFT(BC164,FIND("·",BC164)-1),$C$164:$C$179,0)),0),0),0)</f>
        <v>0</v>
      </c>
      <c r="BE164" s="110"/>
      <c r="BF164" s="76" t="s">
        <v>2349</v>
      </c>
      <c r="BG164" s="77">
        <f t="shared" ref="BG164" ca="1" si="1354">IFERROR(IF(COUNTIF($K$164:$K$179,LEFT(BF164,FIND("·",BF164)-1))&gt;0,IF(INDEX($L$164:$L$179,MATCH(LEFT(BF164,FIND("·",BF164)-1),$K$164:$K$179,0))=IFERROR(VALUE(MID(BF164,FIND("·",BF164)+1,1)),0),($D$16+(INDEX($M$164:$M$179,MATCH(LEFT(BF164,FIND("·",BF164)-1),$K$164:$K$179,0))=MID(BF164,FIND("|",BF164)+1,10))*$D$18+MAX(0,IF($D$50=1,$D$17*(1-(ABS(INDEX($P$164:$P$179,MATCH(LEFT(BF164,FIND("·",BF164)-1),$K$164:$K$179,0))-(VALUE(MID(BF164,FIND("|",BF164)+1,FIND("-",BF164,FIND("|",BF164))-FIND("|",BF164)-1))-VALUE(MID(BF164,FIND("-",BF164,FIND("|",BF164))+1,10)))))*$D$50),$D$17*(1-(IF(INDEX($L$164:$L$179,MATCH(LEFT(BF164,FIND("·",BF164)-1),$K$164:$K$179,0))=0,ABS(INDEX($N$164:$N$179,MATCH(LEFT(BF164,FIND("·",BF164)-1),$K$164:$K$179,0))-VALUE(MID(BF164,FIND("|",BF164)+1,FIND("-",BF164,FIND("|",BF164))-FIND("|",BF164)-1))),ABS(INDEX($P$164:$P$179,MATCH(LEFT(BF164,FIND("·",BF164)-1),$K$164:$K$179,0))-(VALUE(MID(BF164,FIND("|",BF164)+1,FIND("-",BF164,FIND("|",BF164))-FIND("|",BF164)-1))-VALUE(MID(BF164,FIND("-",BF164,FIND("|",BF164))+1,10)))))*$D$50)))))*INDEX($I$164:$I$179,MATCH(LEFT(BF164,FIND("·",BF164)-1),$K$164:$K$179,0)),0),0),0)+IFERROR(IF(COUNTIF($C$164:$C$179,LEFT(BF164,FIND("·",BF164)-1))&gt;0,IF(INDEX($D$164:$D$179,MATCH(LEFT(BF164,FIND("·",BF164)-1),$C$164:$C$179,0))=IFERROR(VALUE(MID(BF164,FIND("·",BF164)+1,1)),0),($D$16+(INDEX($E$164:$E$179,MATCH(LEFT(BF164,FIND("·",BF164)-1),$C$164:$C$179,0))=MID(BF164,FIND("|",BF164)+1,10))*$D$18+MAX(0,IF($D$50=1,$D$17*(1-(ABS(INDEX($Q$164:$Q$179,MATCH(LEFT(BF164,FIND("·",BF164)-1),$C$164:$C$179,0))-(VALUE(MID(BF164,FIND("|",BF164)+1,FIND("-",BF164,FIND("|",BF164))-FIND("|",BF164)-1))-VALUE(MID(BF164,FIND("-",BF164,FIND("|",BF164))+1,10)))))*$D$50),$D$17*(1-(IF(INDEX($D$164:$D$179,MATCH(LEFT(BF164,FIND("·",BF164)-1),$C$164:$C$179,0))=0,ABS(INDEX($A$164:$A$179,MATCH(LEFT(BF164,FIND("·",BF164)-1),$C$164:$C$179,0))-VALUE(MID(BF164,FIND("|",BF164)+1,FIND("-",BF164,FIND("|",BF164))-FIND("|",BF164)-1))),ABS(INDEX($Q$164:$Q$179,MATCH(LEFT(BF164,FIND("·",BF164)-1),$C$164:$C$179,0))-(VALUE(MID(BF164,FIND("|",BF164)+1,FIND("-",BF164,FIND("|",BF164))-FIND("|",BF164)-1))-VALUE(MID(BF164,FIND("-",BF164,FIND("|",BF164))+1,10)))))*$D$50)))))*INDEX($I$164:$I$179,MATCH(LEFT(BF164,FIND("·",BF164)-1),$C$164:$C$179,0)),0),0),0)</f>
        <v>0</v>
      </c>
      <c r="BH164" s="110"/>
      <c r="BI164" s="76" t="s">
        <v>2370</v>
      </c>
      <c r="BJ164" s="77">
        <f t="shared" ref="BJ164" ca="1" si="1355">IFERROR(IF(COUNTIF($K$164:$K$179,LEFT(BI164,FIND("·",BI164)-1))&gt;0,IF(INDEX($L$164:$L$179,MATCH(LEFT(BI164,FIND("·",BI164)-1),$K$164:$K$179,0))=IFERROR(VALUE(MID(BI164,FIND("·",BI164)+1,1)),0),($D$16+(INDEX($M$164:$M$179,MATCH(LEFT(BI164,FIND("·",BI164)-1),$K$164:$K$179,0))=MID(BI164,FIND("|",BI164)+1,10))*$D$18+MAX(0,IF($D$50=1,$D$17*(1-(ABS(INDEX($P$164:$P$179,MATCH(LEFT(BI164,FIND("·",BI164)-1),$K$164:$K$179,0))-(VALUE(MID(BI164,FIND("|",BI164)+1,FIND("-",BI164,FIND("|",BI164))-FIND("|",BI164)-1))-VALUE(MID(BI164,FIND("-",BI164,FIND("|",BI164))+1,10)))))*$D$50),$D$17*(1-(IF(INDEX($L$164:$L$179,MATCH(LEFT(BI164,FIND("·",BI164)-1),$K$164:$K$179,0))=0,ABS(INDEX($N$164:$N$179,MATCH(LEFT(BI164,FIND("·",BI164)-1),$K$164:$K$179,0))-VALUE(MID(BI164,FIND("|",BI164)+1,FIND("-",BI164,FIND("|",BI164))-FIND("|",BI164)-1))),ABS(INDEX($P$164:$P$179,MATCH(LEFT(BI164,FIND("·",BI164)-1),$K$164:$K$179,0))-(VALUE(MID(BI164,FIND("|",BI164)+1,FIND("-",BI164,FIND("|",BI164))-FIND("|",BI164)-1))-VALUE(MID(BI164,FIND("-",BI164,FIND("|",BI164))+1,10)))))*$D$50)))))*INDEX($I$164:$I$179,MATCH(LEFT(BI164,FIND("·",BI164)-1),$K$164:$K$179,0)),0),0),0)+IFERROR(IF(COUNTIF($C$164:$C$179,LEFT(BI164,FIND("·",BI164)-1))&gt;0,IF(INDEX($D$164:$D$179,MATCH(LEFT(BI164,FIND("·",BI164)-1),$C$164:$C$179,0))=IFERROR(VALUE(MID(BI164,FIND("·",BI164)+1,1)),0),($D$16+(INDEX($E$164:$E$179,MATCH(LEFT(BI164,FIND("·",BI164)-1),$C$164:$C$179,0))=MID(BI164,FIND("|",BI164)+1,10))*$D$18+MAX(0,IF($D$50=1,$D$17*(1-(ABS(INDEX($Q$164:$Q$179,MATCH(LEFT(BI164,FIND("·",BI164)-1),$C$164:$C$179,0))-(VALUE(MID(BI164,FIND("|",BI164)+1,FIND("-",BI164,FIND("|",BI164))-FIND("|",BI164)-1))-VALUE(MID(BI164,FIND("-",BI164,FIND("|",BI164))+1,10)))))*$D$50),$D$17*(1-(IF(INDEX($D$164:$D$179,MATCH(LEFT(BI164,FIND("·",BI164)-1),$C$164:$C$179,0))=0,ABS(INDEX($A$164:$A$179,MATCH(LEFT(BI164,FIND("·",BI164)-1),$C$164:$C$179,0))-VALUE(MID(BI164,FIND("|",BI164)+1,FIND("-",BI164,FIND("|",BI164))-FIND("|",BI164)-1))),ABS(INDEX($Q$164:$Q$179,MATCH(LEFT(BI164,FIND("·",BI164)-1),$C$164:$C$179,0))-(VALUE(MID(BI164,FIND("|",BI164)+1,FIND("-",BI164,FIND("|",BI164))-FIND("|",BI164)-1))-VALUE(MID(BI164,FIND("-",BI164,FIND("|",BI164))+1,10)))))*$D$50)))))*INDEX($I$164:$I$179,MATCH(LEFT(BI164,FIND("·",BI164)-1),$C$164:$C$179,0)),0),0),0)</f>
        <v>0</v>
      </c>
      <c r="BK164" s="110"/>
      <c r="BL164" s="76" t="s">
        <v>2405</v>
      </c>
      <c r="BM164" s="77">
        <f t="shared" ref="BM164" ca="1" si="1356">IFERROR(IF(COUNTIF($K$164:$K$179,LEFT(BL164,FIND("·",BL164)-1))&gt;0,IF(INDEX($L$164:$L$179,MATCH(LEFT(BL164,FIND("·",BL164)-1),$K$164:$K$179,0))=IFERROR(VALUE(MID(BL164,FIND("·",BL164)+1,1)),0),($D$16+(INDEX($M$164:$M$179,MATCH(LEFT(BL164,FIND("·",BL164)-1),$K$164:$K$179,0))=MID(BL164,FIND("|",BL164)+1,10))*$D$18+MAX(0,IF($D$50=1,$D$17*(1-(ABS(INDEX($P$164:$P$179,MATCH(LEFT(BL164,FIND("·",BL164)-1),$K$164:$K$179,0))-(VALUE(MID(BL164,FIND("|",BL164)+1,FIND("-",BL164,FIND("|",BL164))-FIND("|",BL164)-1))-VALUE(MID(BL164,FIND("-",BL164,FIND("|",BL164))+1,10)))))*$D$50),$D$17*(1-(IF(INDEX($L$164:$L$179,MATCH(LEFT(BL164,FIND("·",BL164)-1),$K$164:$K$179,0))=0,ABS(INDEX($N$164:$N$179,MATCH(LEFT(BL164,FIND("·",BL164)-1),$K$164:$K$179,0))-VALUE(MID(BL164,FIND("|",BL164)+1,FIND("-",BL164,FIND("|",BL164))-FIND("|",BL164)-1))),ABS(INDEX($P$164:$P$179,MATCH(LEFT(BL164,FIND("·",BL164)-1),$K$164:$K$179,0))-(VALUE(MID(BL164,FIND("|",BL164)+1,FIND("-",BL164,FIND("|",BL164))-FIND("|",BL164)-1))-VALUE(MID(BL164,FIND("-",BL164,FIND("|",BL164))+1,10)))))*$D$50)))))*INDEX($I$164:$I$179,MATCH(LEFT(BL164,FIND("·",BL164)-1),$K$164:$K$179,0)),0),0),0)+IFERROR(IF(COUNTIF($C$164:$C$179,LEFT(BL164,FIND("·",BL164)-1))&gt;0,IF(INDEX($D$164:$D$179,MATCH(LEFT(BL164,FIND("·",BL164)-1),$C$164:$C$179,0))=IFERROR(VALUE(MID(BL164,FIND("·",BL164)+1,1)),0),($D$16+(INDEX($E$164:$E$179,MATCH(LEFT(BL164,FIND("·",BL164)-1),$C$164:$C$179,0))=MID(BL164,FIND("|",BL164)+1,10))*$D$18+MAX(0,IF($D$50=1,$D$17*(1-(ABS(INDEX($Q$164:$Q$179,MATCH(LEFT(BL164,FIND("·",BL164)-1),$C$164:$C$179,0))-(VALUE(MID(BL164,FIND("|",BL164)+1,FIND("-",BL164,FIND("|",BL164))-FIND("|",BL164)-1))-VALUE(MID(BL164,FIND("-",BL164,FIND("|",BL164))+1,10)))))*$D$50),$D$17*(1-(IF(INDEX($D$164:$D$179,MATCH(LEFT(BL164,FIND("·",BL164)-1),$C$164:$C$179,0))=0,ABS(INDEX($A$164:$A$179,MATCH(LEFT(BL164,FIND("·",BL164)-1),$C$164:$C$179,0))-VALUE(MID(BL164,FIND("|",BL164)+1,FIND("-",BL164,FIND("|",BL164))-FIND("|",BL164)-1))),ABS(INDEX($Q$164:$Q$179,MATCH(LEFT(BL164,FIND("·",BL164)-1),$C$164:$C$179,0))-(VALUE(MID(BL164,FIND("|",BL164)+1,FIND("-",BL164,FIND("|",BL164))-FIND("|",BL164)-1))-VALUE(MID(BL164,FIND("-",BL164,FIND("|",BL164))+1,10)))))*$D$50)))))*INDEX($I$164:$I$179,MATCH(LEFT(BL164,FIND("·",BL164)-1),$C$164:$C$179,0)),0),0),0)</f>
        <v>0</v>
      </c>
      <c r="BN164" s="110"/>
      <c r="BO164" s="76" t="s">
        <v>2420</v>
      </c>
      <c r="BP164" s="77">
        <f t="shared" ref="BP164" ca="1" si="1357">IFERROR(IF(COUNTIF($K$164:$K$179,LEFT(BO164,FIND("·",BO164)-1))&gt;0,IF(INDEX($L$164:$L$179,MATCH(LEFT(BO164,FIND("·",BO164)-1),$K$164:$K$179,0))=IFERROR(VALUE(MID(BO164,FIND("·",BO164)+1,1)),0),($D$16+(INDEX($M$164:$M$179,MATCH(LEFT(BO164,FIND("·",BO164)-1),$K$164:$K$179,0))=MID(BO164,FIND("|",BO164)+1,10))*$D$18+MAX(0,IF($D$50=1,$D$17*(1-(ABS(INDEX($P$164:$P$179,MATCH(LEFT(BO164,FIND("·",BO164)-1),$K$164:$K$179,0))-(VALUE(MID(BO164,FIND("|",BO164)+1,FIND("-",BO164,FIND("|",BO164))-FIND("|",BO164)-1))-VALUE(MID(BO164,FIND("-",BO164,FIND("|",BO164))+1,10)))))*$D$50),$D$17*(1-(IF(INDEX($L$164:$L$179,MATCH(LEFT(BO164,FIND("·",BO164)-1),$K$164:$K$179,0))=0,ABS(INDEX($N$164:$N$179,MATCH(LEFT(BO164,FIND("·",BO164)-1),$K$164:$K$179,0))-VALUE(MID(BO164,FIND("|",BO164)+1,FIND("-",BO164,FIND("|",BO164))-FIND("|",BO164)-1))),ABS(INDEX($P$164:$P$179,MATCH(LEFT(BO164,FIND("·",BO164)-1),$K$164:$K$179,0))-(VALUE(MID(BO164,FIND("|",BO164)+1,FIND("-",BO164,FIND("|",BO164))-FIND("|",BO164)-1))-VALUE(MID(BO164,FIND("-",BO164,FIND("|",BO164))+1,10)))))*$D$50)))))*INDEX($I$164:$I$179,MATCH(LEFT(BO164,FIND("·",BO164)-1),$K$164:$K$179,0)),0),0),0)+IFERROR(IF(COUNTIF($C$164:$C$179,LEFT(BO164,FIND("·",BO164)-1))&gt;0,IF(INDEX($D$164:$D$179,MATCH(LEFT(BO164,FIND("·",BO164)-1),$C$164:$C$179,0))=IFERROR(VALUE(MID(BO164,FIND("·",BO164)+1,1)),0),($D$16+(INDEX($E$164:$E$179,MATCH(LEFT(BO164,FIND("·",BO164)-1),$C$164:$C$179,0))=MID(BO164,FIND("|",BO164)+1,10))*$D$18+MAX(0,IF($D$50=1,$D$17*(1-(ABS(INDEX($Q$164:$Q$179,MATCH(LEFT(BO164,FIND("·",BO164)-1),$C$164:$C$179,0))-(VALUE(MID(BO164,FIND("|",BO164)+1,FIND("-",BO164,FIND("|",BO164))-FIND("|",BO164)-1))-VALUE(MID(BO164,FIND("-",BO164,FIND("|",BO164))+1,10)))))*$D$50),$D$17*(1-(IF(INDEX($D$164:$D$179,MATCH(LEFT(BO164,FIND("·",BO164)-1),$C$164:$C$179,0))=0,ABS(INDEX($A$164:$A$179,MATCH(LEFT(BO164,FIND("·",BO164)-1),$C$164:$C$179,0))-VALUE(MID(BO164,FIND("|",BO164)+1,FIND("-",BO164,FIND("|",BO164))-FIND("|",BO164)-1))),ABS(INDEX($Q$164:$Q$179,MATCH(LEFT(BO164,FIND("·",BO164)-1),$C$164:$C$179,0))-(VALUE(MID(BO164,FIND("|",BO164)+1,FIND("-",BO164,FIND("|",BO164))-FIND("|",BO164)-1))-VALUE(MID(BO164,FIND("-",BO164,FIND("|",BO164))+1,10)))))*$D$50)))))*INDEX($I$164:$I$179,MATCH(LEFT(BO164,FIND("·",BO164)-1),$C$164:$C$179,0)),0),0),0)</f>
        <v>0</v>
      </c>
      <c r="BQ164" s="110"/>
      <c r="BR164" s="76" t="s">
        <v>2070</v>
      </c>
      <c r="BS164" s="77">
        <f t="shared" ref="BS164" ca="1" si="1358">IFERROR(IF(COUNTIF($K$164:$K$179,LEFT(BR164,FIND("·",BR164)-1))&gt;0,IF(INDEX($L$164:$L$179,MATCH(LEFT(BR164,FIND("·",BR164)-1),$K$164:$K$179,0))=IFERROR(VALUE(MID(BR164,FIND("·",BR164)+1,1)),0),($D$16+(INDEX($M$164:$M$179,MATCH(LEFT(BR164,FIND("·",BR164)-1),$K$164:$K$179,0))=MID(BR164,FIND("|",BR164)+1,10))*$D$18+MAX(0,IF($D$50=1,$D$17*(1-(ABS(INDEX($P$164:$P$179,MATCH(LEFT(BR164,FIND("·",BR164)-1),$K$164:$K$179,0))-(VALUE(MID(BR164,FIND("|",BR164)+1,FIND("-",BR164,FIND("|",BR164))-FIND("|",BR164)-1))-VALUE(MID(BR164,FIND("-",BR164,FIND("|",BR164))+1,10)))))*$D$50),$D$17*(1-(IF(INDEX($L$164:$L$179,MATCH(LEFT(BR164,FIND("·",BR164)-1),$K$164:$K$179,0))=0,ABS(INDEX($N$164:$N$179,MATCH(LEFT(BR164,FIND("·",BR164)-1),$K$164:$K$179,0))-VALUE(MID(BR164,FIND("|",BR164)+1,FIND("-",BR164,FIND("|",BR164))-FIND("|",BR164)-1))),ABS(INDEX($P$164:$P$179,MATCH(LEFT(BR164,FIND("·",BR164)-1),$K$164:$K$179,0))-(VALUE(MID(BR164,FIND("|",BR164)+1,FIND("-",BR164,FIND("|",BR164))-FIND("|",BR164)-1))-VALUE(MID(BR164,FIND("-",BR164,FIND("|",BR164))+1,10)))))*$D$50)))))*INDEX($I$164:$I$179,MATCH(LEFT(BR164,FIND("·",BR164)-1),$K$164:$K$179,0)),0),0),0)+IFERROR(IF(COUNTIF($C$164:$C$179,LEFT(BR164,FIND("·",BR164)-1))&gt;0,IF(INDEX($D$164:$D$179,MATCH(LEFT(BR164,FIND("·",BR164)-1),$C$164:$C$179,0))=IFERROR(VALUE(MID(BR164,FIND("·",BR164)+1,1)),0),($D$16+(INDEX($E$164:$E$179,MATCH(LEFT(BR164,FIND("·",BR164)-1),$C$164:$C$179,0))=MID(BR164,FIND("|",BR164)+1,10))*$D$18+MAX(0,IF($D$50=1,$D$17*(1-(ABS(INDEX($Q$164:$Q$179,MATCH(LEFT(BR164,FIND("·",BR164)-1),$C$164:$C$179,0))-(VALUE(MID(BR164,FIND("|",BR164)+1,FIND("-",BR164,FIND("|",BR164))-FIND("|",BR164)-1))-VALUE(MID(BR164,FIND("-",BR164,FIND("|",BR164))+1,10)))))*$D$50),$D$17*(1-(IF(INDEX($D$164:$D$179,MATCH(LEFT(BR164,FIND("·",BR164)-1),$C$164:$C$179,0))=0,ABS(INDEX($A$164:$A$179,MATCH(LEFT(BR164,FIND("·",BR164)-1),$C$164:$C$179,0))-VALUE(MID(BR164,FIND("|",BR164)+1,FIND("-",BR164,FIND("|",BR164))-FIND("|",BR164)-1))),ABS(INDEX($Q$164:$Q$179,MATCH(LEFT(BR164,FIND("·",BR164)-1),$C$164:$C$179,0))-(VALUE(MID(BR164,FIND("|",BR164)+1,FIND("-",BR164,FIND("|",BR164))-FIND("|",BR164)-1))-VALUE(MID(BR164,FIND("-",BR164,FIND("|",BR164))+1,10)))))*$D$50)))))*INDEX($I$164:$I$179,MATCH(LEFT(BR164,FIND("·",BR164)-1),$C$164:$C$179,0)),0),0),0)</f>
        <v>0</v>
      </c>
      <c r="BT164" s="110"/>
      <c r="BU164" s="76" t="s">
        <v>2038</v>
      </c>
      <c r="BV164" s="77">
        <f t="shared" ref="BV164" ca="1" si="1359">IFERROR(IF(COUNTIF($K$164:$K$179,LEFT(BU164,FIND("·",BU164)-1))&gt;0,IF(INDEX($L$164:$L$179,MATCH(LEFT(BU164,FIND("·",BU164)-1),$K$164:$K$179,0))=IFERROR(VALUE(MID(BU164,FIND("·",BU164)+1,1)),0),($D$16+(INDEX($M$164:$M$179,MATCH(LEFT(BU164,FIND("·",BU164)-1),$K$164:$K$179,0))=MID(BU164,FIND("|",BU164)+1,10))*$D$18+MAX(0,IF($D$50=1,$D$17*(1-(ABS(INDEX($P$164:$P$179,MATCH(LEFT(BU164,FIND("·",BU164)-1),$K$164:$K$179,0))-(VALUE(MID(BU164,FIND("|",BU164)+1,FIND("-",BU164,FIND("|",BU164))-FIND("|",BU164)-1))-VALUE(MID(BU164,FIND("-",BU164,FIND("|",BU164))+1,10)))))*$D$50),$D$17*(1-(IF(INDEX($L$164:$L$179,MATCH(LEFT(BU164,FIND("·",BU164)-1),$K$164:$K$179,0))=0,ABS(INDEX($N$164:$N$179,MATCH(LEFT(BU164,FIND("·",BU164)-1),$K$164:$K$179,0))-VALUE(MID(BU164,FIND("|",BU164)+1,FIND("-",BU164,FIND("|",BU164))-FIND("|",BU164)-1))),ABS(INDEX($P$164:$P$179,MATCH(LEFT(BU164,FIND("·",BU164)-1),$K$164:$K$179,0))-(VALUE(MID(BU164,FIND("|",BU164)+1,FIND("-",BU164,FIND("|",BU164))-FIND("|",BU164)-1))-VALUE(MID(BU164,FIND("-",BU164,FIND("|",BU164))+1,10)))))*$D$50)))))*INDEX($I$164:$I$179,MATCH(LEFT(BU164,FIND("·",BU164)-1),$K$164:$K$179,0)),0),0),0)+IFERROR(IF(COUNTIF($C$164:$C$179,LEFT(BU164,FIND("·",BU164)-1))&gt;0,IF(INDEX($D$164:$D$179,MATCH(LEFT(BU164,FIND("·",BU164)-1),$C$164:$C$179,0))=IFERROR(VALUE(MID(BU164,FIND("·",BU164)+1,1)),0),($D$16+(INDEX($E$164:$E$179,MATCH(LEFT(BU164,FIND("·",BU164)-1),$C$164:$C$179,0))=MID(BU164,FIND("|",BU164)+1,10))*$D$18+MAX(0,IF($D$50=1,$D$17*(1-(ABS(INDEX($Q$164:$Q$179,MATCH(LEFT(BU164,FIND("·",BU164)-1),$C$164:$C$179,0))-(VALUE(MID(BU164,FIND("|",BU164)+1,FIND("-",BU164,FIND("|",BU164))-FIND("|",BU164)-1))-VALUE(MID(BU164,FIND("-",BU164,FIND("|",BU164))+1,10)))))*$D$50),$D$17*(1-(IF(INDEX($D$164:$D$179,MATCH(LEFT(BU164,FIND("·",BU164)-1),$C$164:$C$179,0))=0,ABS(INDEX($A$164:$A$179,MATCH(LEFT(BU164,FIND("·",BU164)-1),$C$164:$C$179,0))-VALUE(MID(BU164,FIND("|",BU164)+1,FIND("-",BU164,FIND("|",BU164))-FIND("|",BU164)-1))),ABS(INDEX($Q$164:$Q$179,MATCH(LEFT(BU164,FIND("·",BU164)-1),$C$164:$C$179,0))-(VALUE(MID(BU164,FIND("|",BU164)+1,FIND("-",BU164,FIND("|",BU164))-FIND("|",BU164)-1))-VALUE(MID(BU164,FIND("-",BU164,FIND("|",BU164))+1,10)))))*$D$50)))))*INDEX($I$164:$I$179,MATCH(LEFT(BU164,FIND("·",BU164)-1),$C$164:$C$179,0)),0),0),0)</f>
        <v>0</v>
      </c>
      <c r="BW164" s="110"/>
      <c r="BX164" s="76" t="s">
        <v>2478</v>
      </c>
      <c r="BY164" s="77">
        <f t="shared" ref="BY164" ca="1" si="1360">IFERROR(IF(COUNTIF($K$164:$K$179,LEFT(BX164,FIND("·",BX164)-1))&gt;0,IF(INDEX($L$164:$L$179,MATCH(LEFT(BX164,FIND("·",BX164)-1),$K$164:$K$179,0))=IFERROR(VALUE(MID(BX164,FIND("·",BX164)+1,1)),0),($D$16+(INDEX($M$164:$M$179,MATCH(LEFT(BX164,FIND("·",BX164)-1),$K$164:$K$179,0))=MID(BX164,FIND("|",BX164)+1,10))*$D$18+MAX(0,IF($D$50=1,$D$17*(1-(ABS(INDEX($P$164:$P$179,MATCH(LEFT(BX164,FIND("·",BX164)-1),$K$164:$K$179,0))-(VALUE(MID(BX164,FIND("|",BX164)+1,FIND("-",BX164,FIND("|",BX164))-FIND("|",BX164)-1))-VALUE(MID(BX164,FIND("-",BX164,FIND("|",BX164))+1,10)))))*$D$50),$D$17*(1-(IF(INDEX($L$164:$L$179,MATCH(LEFT(BX164,FIND("·",BX164)-1),$K$164:$K$179,0))=0,ABS(INDEX($N$164:$N$179,MATCH(LEFT(BX164,FIND("·",BX164)-1),$K$164:$K$179,0))-VALUE(MID(BX164,FIND("|",BX164)+1,FIND("-",BX164,FIND("|",BX164))-FIND("|",BX164)-1))),ABS(INDEX($P$164:$P$179,MATCH(LEFT(BX164,FIND("·",BX164)-1),$K$164:$K$179,0))-(VALUE(MID(BX164,FIND("|",BX164)+1,FIND("-",BX164,FIND("|",BX164))-FIND("|",BX164)-1))-VALUE(MID(BX164,FIND("-",BX164,FIND("|",BX164))+1,10)))))*$D$50)))))*INDEX($I$164:$I$179,MATCH(LEFT(BX164,FIND("·",BX164)-1),$K$164:$K$179,0)),0),0),0)+IFERROR(IF(COUNTIF($C$164:$C$179,LEFT(BX164,FIND("·",BX164)-1))&gt;0,IF(INDEX($D$164:$D$179,MATCH(LEFT(BX164,FIND("·",BX164)-1),$C$164:$C$179,0))=IFERROR(VALUE(MID(BX164,FIND("·",BX164)+1,1)),0),($D$16+(INDEX($E$164:$E$179,MATCH(LEFT(BX164,FIND("·",BX164)-1),$C$164:$C$179,0))=MID(BX164,FIND("|",BX164)+1,10))*$D$18+MAX(0,IF($D$50=1,$D$17*(1-(ABS(INDEX($Q$164:$Q$179,MATCH(LEFT(BX164,FIND("·",BX164)-1),$C$164:$C$179,0))-(VALUE(MID(BX164,FIND("|",BX164)+1,FIND("-",BX164,FIND("|",BX164))-FIND("|",BX164)-1))-VALUE(MID(BX164,FIND("-",BX164,FIND("|",BX164))+1,10)))))*$D$50),$D$17*(1-(IF(INDEX($D$164:$D$179,MATCH(LEFT(BX164,FIND("·",BX164)-1),$C$164:$C$179,0))=0,ABS(INDEX($A$164:$A$179,MATCH(LEFT(BX164,FIND("·",BX164)-1),$C$164:$C$179,0))-VALUE(MID(BX164,FIND("|",BX164)+1,FIND("-",BX164,FIND("|",BX164))-FIND("|",BX164)-1))),ABS(INDEX($Q$164:$Q$179,MATCH(LEFT(BX164,FIND("·",BX164)-1),$C$164:$C$179,0))-(VALUE(MID(BX164,FIND("|",BX164)+1,FIND("-",BX164,FIND("|",BX164))-FIND("|",BX164)-1))-VALUE(MID(BX164,FIND("-",BX164,FIND("|",BX164))+1,10)))))*$D$50)))))*INDEX($I$164:$I$179,MATCH(LEFT(BX164,FIND("·",BX164)-1),$C$164:$C$179,0)),0),0),0)</f>
        <v>0</v>
      </c>
      <c r="BZ164" s="110"/>
      <c r="CA164" s="76" t="s">
        <v>2492</v>
      </c>
      <c r="CB164" s="77">
        <f t="shared" ref="CB164" ca="1" si="1361">IFERROR(IF(COUNTIF($K$164:$K$179,LEFT(CA164,FIND("·",CA164)-1))&gt;0,IF(INDEX($L$164:$L$179,MATCH(LEFT(CA164,FIND("·",CA164)-1),$K$164:$K$179,0))=IFERROR(VALUE(MID(CA164,FIND("·",CA164)+1,1)),0),($D$16+(INDEX($M$164:$M$179,MATCH(LEFT(CA164,FIND("·",CA164)-1),$K$164:$K$179,0))=MID(CA164,FIND("|",CA164)+1,10))*$D$18+MAX(0,IF($D$50=1,$D$17*(1-(ABS(INDEX($P$164:$P$179,MATCH(LEFT(CA164,FIND("·",CA164)-1),$K$164:$K$179,0))-(VALUE(MID(CA164,FIND("|",CA164)+1,FIND("-",CA164,FIND("|",CA164))-FIND("|",CA164)-1))-VALUE(MID(CA164,FIND("-",CA164,FIND("|",CA164))+1,10)))))*$D$50),$D$17*(1-(IF(INDEX($L$164:$L$179,MATCH(LEFT(CA164,FIND("·",CA164)-1),$K$164:$K$179,0))=0,ABS(INDEX($N$164:$N$179,MATCH(LEFT(CA164,FIND("·",CA164)-1),$K$164:$K$179,0))-VALUE(MID(CA164,FIND("|",CA164)+1,FIND("-",CA164,FIND("|",CA164))-FIND("|",CA164)-1))),ABS(INDEX($P$164:$P$179,MATCH(LEFT(CA164,FIND("·",CA164)-1),$K$164:$K$179,0))-(VALUE(MID(CA164,FIND("|",CA164)+1,FIND("-",CA164,FIND("|",CA164))-FIND("|",CA164)-1))-VALUE(MID(CA164,FIND("-",CA164,FIND("|",CA164))+1,10)))))*$D$50)))))*INDEX($I$164:$I$179,MATCH(LEFT(CA164,FIND("·",CA164)-1),$K$164:$K$179,0)),0),0),0)+IFERROR(IF(COUNTIF($C$164:$C$179,LEFT(CA164,FIND("·",CA164)-1))&gt;0,IF(INDEX($D$164:$D$179,MATCH(LEFT(CA164,FIND("·",CA164)-1),$C$164:$C$179,0))=IFERROR(VALUE(MID(CA164,FIND("·",CA164)+1,1)),0),($D$16+(INDEX($E$164:$E$179,MATCH(LEFT(CA164,FIND("·",CA164)-1),$C$164:$C$179,0))=MID(CA164,FIND("|",CA164)+1,10))*$D$18+MAX(0,IF($D$50=1,$D$17*(1-(ABS(INDEX($Q$164:$Q$179,MATCH(LEFT(CA164,FIND("·",CA164)-1),$C$164:$C$179,0))-(VALUE(MID(CA164,FIND("|",CA164)+1,FIND("-",CA164,FIND("|",CA164))-FIND("|",CA164)-1))-VALUE(MID(CA164,FIND("-",CA164,FIND("|",CA164))+1,10)))))*$D$50),$D$17*(1-(IF(INDEX($D$164:$D$179,MATCH(LEFT(CA164,FIND("·",CA164)-1),$C$164:$C$179,0))=0,ABS(INDEX($A$164:$A$179,MATCH(LEFT(CA164,FIND("·",CA164)-1),$C$164:$C$179,0))-VALUE(MID(CA164,FIND("|",CA164)+1,FIND("-",CA164,FIND("|",CA164))-FIND("|",CA164)-1))),ABS(INDEX($Q$164:$Q$179,MATCH(LEFT(CA164,FIND("·",CA164)-1),$C$164:$C$179,0))-(VALUE(MID(CA164,FIND("|",CA164)+1,FIND("-",CA164,FIND("|",CA164))-FIND("|",CA164)-1))-VALUE(MID(CA164,FIND("-",CA164,FIND("|",CA164))+1,10)))))*$D$50)))))*INDEX($I$164:$I$179,MATCH(LEFT(CA164,FIND("·",CA164)-1),$C$164:$C$179,0)),0),0),0)</f>
        <v>0</v>
      </c>
      <c r="CC164" s="110"/>
      <c r="CD164" s="76" t="s">
        <v>2511</v>
      </c>
      <c r="CE164" s="77">
        <f t="shared" ref="CE164" ca="1" si="1362">IFERROR(IF(COUNTIF($K$164:$K$179,LEFT(CD164,FIND("·",CD164)-1))&gt;0,IF(INDEX($L$164:$L$179,MATCH(LEFT(CD164,FIND("·",CD164)-1),$K$164:$K$179,0))=IFERROR(VALUE(MID(CD164,FIND("·",CD164)+1,1)),0),($D$16+(INDEX($M$164:$M$179,MATCH(LEFT(CD164,FIND("·",CD164)-1),$K$164:$K$179,0))=MID(CD164,FIND("|",CD164)+1,10))*$D$18+MAX(0,IF($D$50=1,$D$17*(1-(ABS(INDEX($P$164:$P$179,MATCH(LEFT(CD164,FIND("·",CD164)-1),$K$164:$K$179,0))-(VALUE(MID(CD164,FIND("|",CD164)+1,FIND("-",CD164,FIND("|",CD164))-FIND("|",CD164)-1))-VALUE(MID(CD164,FIND("-",CD164,FIND("|",CD164))+1,10)))))*$D$50),$D$17*(1-(IF(INDEX($L$164:$L$179,MATCH(LEFT(CD164,FIND("·",CD164)-1),$K$164:$K$179,0))=0,ABS(INDEX($N$164:$N$179,MATCH(LEFT(CD164,FIND("·",CD164)-1),$K$164:$K$179,0))-VALUE(MID(CD164,FIND("|",CD164)+1,FIND("-",CD164,FIND("|",CD164))-FIND("|",CD164)-1))),ABS(INDEX($P$164:$P$179,MATCH(LEFT(CD164,FIND("·",CD164)-1),$K$164:$K$179,0))-(VALUE(MID(CD164,FIND("|",CD164)+1,FIND("-",CD164,FIND("|",CD164))-FIND("|",CD164)-1))-VALUE(MID(CD164,FIND("-",CD164,FIND("|",CD164))+1,10)))))*$D$50)))))*INDEX($I$164:$I$179,MATCH(LEFT(CD164,FIND("·",CD164)-1),$K$164:$K$179,0)),0),0),0)+IFERROR(IF(COUNTIF($C$164:$C$179,LEFT(CD164,FIND("·",CD164)-1))&gt;0,IF(INDEX($D$164:$D$179,MATCH(LEFT(CD164,FIND("·",CD164)-1),$C$164:$C$179,0))=IFERROR(VALUE(MID(CD164,FIND("·",CD164)+1,1)),0),($D$16+(INDEX($E$164:$E$179,MATCH(LEFT(CD164,FIND("·",CD164)-1),$C$164:$C$179,0))=MID(CD164,FIND("|",CD164)+1,10))*$D$18+MAX(0,IF($D$50=1,$D$17*(1-(ABS(INDEX($Q$164:$Q$179,MATCH(LEFT(CD164,FIND("·",CD164)-1),$C$164:$C$179,0))-(VALUE(MID(CD164,FIND("|",CD164)+1,FIND("-",CD164,FIND("|",CD164))-FIND("|",CD164)-1))-VALUE(MID(CD164,FIND("-",CD164,FIND("|",CD164))+1,10)))))*$D$50),$D$17*(1-(IF(INDEX($D$164:$D$179,MATCH(LEFT(CD164,FIND("·",CD164)-1),$C$164:$C$179,0))=0,ABS(INDEX($A$164:$A$179,MATCH(LEFT(CD164,FIND("·",CD164)-1),$C$164:$C$179,0))-VALUE(MID(CD164,FIND("|",CD164)+1,FIND("-",CD164,FIND("|",CD164))-FIND("|",CD164)-1))),ABS(INDEX($Q$164:$Q$179,MATCH(LEFT(CD164,FIND("·",CD164)-1),$C$164:$C$179,0))-(VALUE(MID(CD164,FIND("|",CD164)+1,FIND("-",CD164,FIND("|",CD164))-FIND("|",CD164)-1))-VALUE(MID(CD164,FIND("-",CD164,FIND("|",CD164))+1,10)))))*$D$50)))))*INDEX($I$164:$I$179,MATCH(LEFT(CD164,FIND("·",CD164)-1),$C$164:$C$179,0)),0),0),0)</f>
        <v>0</v>
      </c>
      <c r="CF164" s="110"/>
      <c r="CG164" s="76" t="s">
        <v>2532</v>
      </c>
      <c r="CH164" s="77">
        <f t="shared" ref="CH164" ca="1" si="1363">IFERROR(IF(COUNTIF($K$164:$K$179,LEFT(CG164,FIND("·",CG164)-1))&gt;0,IF(INDEX($L$164:$L$179,MATCH(LEFT(CG164,FIND("·",CG164)-1),$K$164:$K$179,0))=IFERROR(VALUE(MID(CG164,FIND("·",CG164)+1,1)),0),($D$16+(INDEX($M$164:$M$179,MATCH(LEFT(CG164,FIND("·",CG164)-1),$K$164:$K$179,0))=MID(CG164,FIND("|",CG164)+1,10))*$D$18+MAX(0,IF($D$50=1,$D$17*(1-(ABS(INDEX($P$164:$P$179,MATCH(LEFT(CG164,FIND("·",CG164)-1),$K$164:$K$179,0))-(VALUE(MID(CG164,FIND("|",CG164)+1,FIND("-",CG164,FIND("|",CG164))-FIND("|",CG164)-1))-VALUE(MID(CG164,FIND("-",CG164,FIND("|",CG164))+1,10)))))*$D$50),$D$17*(1-(IF(INDEX($L$164:$L$179,MATCH(LEFT(CG164,FIND("·",CG164)-1),$K$164:$K$179,0))=0,ABS(INDEX($N$164:$N$179,MATCH(LEFT(CG164,FIND("·",CG164)-1),$K$164:$K$179,0))-VALUE(MID(CG164,FIND("|",CG164)+1,FIND("-",CG164,FIND("|",CG164))-FIND("|",CG164)-1))),ABS(INDEX($P$164:$P$179,MATCH(LEFT(CG164,FIND("·",CG164)-1),$K$164:$K$179,0))-(VALUE(MID(CG164,FIND("|",CG164)+1,FIND("-",CG164,FIND("|",CG164))-FIND("|",CG164)-1))-VALUE(MID(CG164,FIND("-",CG164,FIND("|",CG164))+1,10)))))*$D$50)))))*INDEX($I$164:$I$179,MATCH(LEFT(CG164,FIND("·",CG164)-1),$K$164:$K$179,0)),0),0),0)+IFERROR(IF(COUNTIF($C$164:$C$179,LEFT(CG164,FIND("·",CG164)-1))&gt;0,IF(INDEX($D$164:$D$179,MATCH(LEFT(CG164,FIND("·",CG164)-1),$C$164:$C$179,0))=IFERROR(VALUE(MID(CG164,FIND("·",CG164)+1,1)),0),($D$16+(INDEX($E$164:$E$179,MATCH(LEFT(CG164,FIND("·",CG164)-1),$C$164:$C$179,0))=MID(CG164,FIND("|",CG164)+1,10))*$D$18+MAX(0,IF($D$50=1,$D$17*(1-(ABS(INDEX($Q$164:$Q$179,MATCH(LEFT(CG164,FIND("·",CG164)-1),$C$164:$C$179,0))-(VALUE(MID(CG164,FIND("|",CG164)+1,FIND("-",CG164,FIND("|",CG164))-FIND("|",CG164)-1))-VALUE(MID(CG164,FIND("-",CG164,FIND("|",CG164))+1,10)))))*$D$50),$D$17*(1-(IF(INDEX($D$164:$D$179,MATCH(LEFT(CG164,FIND("·",CG164)-1),$C$164:$C$179,0))=0,ABS(INDEX($A$164:$A$179,MATCH(LEFT(CG164,FIND("·",CG164)-1),$C$164:$C$179,0))-VALUE(MID(CG164,FIND("|",CG164)+1,FIND("-",CG164,FIND("|",CG164))-FIND("|",CG164)-1))),ABS(INDEX($Q$164:$Q$179,MATCH(LEFT(CG164,FIND("·",CG164)-1),$C$164:$C$179,0))-(VALUE(MID(CG164,FIND("|",CG164)+1,FIND("-",CG164,FIND("|",CG164))-FIND("|",CG164)-1))-VALUE(MID(CG164,FIND("-",CG164,FIND("|",CG164))+1,10)))))*$D$50)))))*INDEX($I$164:$I$179,MATCH(LEFT(CG164,FIND("·",CG164)-1),$C$164:$C$179,0)),0),0),0)</f>
        <v>0</v>
      </c>
      <c r="CI164" s="110"/>
      <c r="CJ164" s="76" t="s">
        <v>2548</v>
      </c>
      <c r="CK164" s="77">
        <f t="shared" ref="CK164:EV177" ca="1" si="1364">IFERROR(IF(COUNTIF($K$164:$K$179,LEFT(CJ164,FIND("·",CJ164)-1))&gt;0,IF(INDEX($L$164:$L$179,MATCH(LEFT(CJ164,FIND("·",CJ164)-1),$K$164:$K$179,0))=IFERROR(VALUE(MID(CJ164,FIND("·",CJ164)+1,1)),0),($D$16+(INDEX($M$164:$M$179,MATCH(LEFT(CJ164,FIND("·",CJ164)-1),$K$164:$K$179,0))=MID(CJ164,FIND("|",CJ164)+1,10))*$D$18+MAX(0,IF($D$50=1,$D$17*(1-(ABS(INDEX($P$164:$P$179,MATCH(LEFT(CJ164,FIND("·",CJ164)-1),$K$164:$K$179,0))-(VALUE(MID(CJ164,FIND("|",CJ164)+1,FIND("-",CJ164,FIND("|",CJ164))-FIND("|",CJ164)-1))-VALUE(MID(CJ164,FIND("-",CJ164,FIND("|",CJ164))+1,10)))))*$D$50),$D$17*(1-(IF(INDEX($L$164:$L$179,MATCH(LEFT(CJ164,FIND("·",CJ164)-1),$K$164:$K$179,0))=0,ABS(INDEX($N$164:$N$179,MATCH(LEFT(CJ164,FIND("·",CJ164)-1),$K$164:$K$179,0))-VALUE(MID(CJ164,FIND("|",CJ164)+1,FIND("-",CJ164,FIND("|",CJ164))-FIND("|",CJ164)-1))),ABS(INDEX($P$164:$P$179,MATCH(LEFT(CJ164,FIND("·",CJ164)-1),$K$164:$K$179,0))-(VALUE(MID(CJ164,FIND("|",CJ164)+1,FIND("-",CJ164,FIND("|",CJ164))-FIND("|",CJ164)-1))-VALUE(MID(CJ164,FIND("-",CJ164,FIND("|",CJ164))+1,10)))))*$D$50)))))*INDEX($I$164:$I$179,MATCH(LEFT(CJ164,FIND("·",CJ164)-1),$K$164:$K$179,0)),0),0),0)+IFERROR(IF(COUNTIF($C$164:$C$179,LEFT(CJ164,FIND("·",CJ164)-1))&gt;0,IF(INDEX($D$164:$D$179,MATCH(LEFT(CJ164,FIND("·",CJ164)-1),$C$164:$C$179,0))=IFERROR(VALUE(MID(CJ164,FIND("·",CJ164)+1,1)),0),($D$16+(INDEX($E$164:$E$179,MATCH(LEFT(CJ164,FIND("·",CJ164)-1),$C$164:$C$179,0))=MID(CJ164,FIND("|",CJ164)+1,10))*$D$18+MAX(0,IF($D$50=1,$D$17*(1-(ABS(INDEX($Q$164:$Q$179,MATCH(LEFT(CJ164,FIND("·",CJ164)-1),$C$164:$C$179,0))-(VALUE(MID(CJ164,FIND("|",CJ164)+1,FIND("-",CJ164,FIND("|",CJ164))-FIND("|",CJ164)-1))-VALUE(MID(CJ164,FIND("-",CJ164,FIND("|",CJ164))+1,10)))))*$D$50),$D$17*(1-(IF(INDEX($D$164:$D$179,MATCH(LEFT(CJ164,FIND("·",CJ164)-1),$C$164:$C$179,0))=0,ABS(INDEX($A$164:$A$179,MATCH(LEFT(CJ164,FIND("·",CJ164)-1),$C$164:$C$179,0))-VALUE(MID(CJ164,FIND("|",CJ164)+1,FIND("-",CJ164,FIND("|",CJ164))-FIND("|",CJ164)-1))),ABS(INDEX($Q$164:$Q$179,MATCH(LEFT(CJ164,FIND("·",CJ164)-1),$C$164:$C$179,0))-(VALUE(MID(CJ164,FIND("|",CJ164)+1,FIND("-",CJ164,FIND("|",CJ164))-FIND("|",CJ164)-1))-VALUE(MID(CJ164,FIND("-",CJ164,FIND("|",CJ164))+1,10)))))*$D$50)))))*INDEX($I$164:$I$179,MATCH(LEFT(CJ164,FIND("·",CJ164)-1),$C$164:$C$179,0)),0),0),0)</f>
        <v>0</v>
      </c>
      <c r="CL164" s="110"/>
      <c r="CM164" s="76" t="s">
        <v>2252</v>
      </c>
      <c r="CN164" s="77">
        <f t="shared" ref="CN164" ca="1" si="1365">IFERROR(IF(COUNTIF($K$164:$K$179,LEFT(CM164,FIND("·",CM164)-1))&gt;0,IF(INDEX($L$164:$L$179,MATCH(LEFT(CM164,FIND("·",CM164)-1),$K$164:$K$179,0))=IFERROR(VALUE(MID(CM164,FIND("·",CM164)+1,1)),0),($D$16+(INDEX($M$164:$M$179,MATCH(LEFT(CM164,FIND("·",CM164)-1),$K$164:$K$179,0))=MID(CM164,FIND("|",CM164)+1,10))*$D$18+MAX(0,IF($D$50=1,$D$17*(1-(ABS(INDEX($P$164:$P$179,MATCH(LEFT(CM164,FIND("·",CM164)-1),$K$164:$K$179,0))-(VALUE(MID(CM164,FIND("|",CM164)+1,FIND("-",CM164,FIND("|",CM164))-FIND("|",CM164)-1))-VALUE(MID(CM164,FIND("-",CM164,FIND("|",CM164))+1,10)))))*$D$50),$D$17*(1-(IF(INDEX($L$164:$L$179,MATCH(LEFT(CM164,FIND("·",CM164)-1),$K$164:$K$179,0))=0,ABS(INDEX($N$164:$N$179,MATCH(LEFT(CM164,FIND("·",CM164)-1),$K$164:$K$179,0))-VALUE(MID(CM164,FIND("|",CM164)+1,FIND("-",CM164,FIND("|",CM164))-FIND("|",CM164)-1))),ABS(INDEX($P$164:$P$179,MATCH(LEFT(CM164,FIND("·",CM164)-1),$K$164:$K$179,0))-(VALUE(MID(CM164,FIND("|",CM164)+1,FIND("-",CM164,FIND("|",CM164))-FIND("|",CM164)-1))-VALUE(MID(CM164,FIND("-",CM164,FIND("|",CM164))+1,10)))))*$D$50)))))*INDEX($I$164:$I$179,MATCH(LEFT(CM164,FIND("·",CM164)-1),$K$164:$K$179,0)),0),0),0)+IFERROR(IF(COUNTIF($C$164:$C$179,LEFT(CM164,FIND("·",CM164)-1))&gt;0,IF(INDEX($D$164:$D$179,MATCH(LEFT(CM164,FIND("·",CM164)-1),$C$164:$C$179,0))=IFERROR(VALUE(MID(CM164,FIND("·",CM164)+1,1)),0),($D$16+(INDEX($E$164:$E$179,MATCH(LEFT(CM164,FIND("·",CM164)-1),$C$164:$C$179,0))=MID(CM164,FIND("|",CM164)+1,10))*$D$18+MAX(0,IF($D$50=1,$D$17*(1-(ABS(INDEX($Q$164:$Q$179,MATCH(LEFT(CM164,FIND("·",CM164)-1),$C$164:$C$179,0))-(VALUE(MID(CM164,FIND("|",CM164)+1,FIND("-",CM164,FIND("|",CM164))-FIND("|",CM164)-1))-VALUE(MID(CM164,FIND("-",CM164,FIND("|",CM164))+1,10)))))*$D$50),$D$17*(1-(IF(INDEX($D$164:$D$179,MATCH(LEFT(CM164,FIND("·",CM164)-1),$C$164:$C$179,0))=0,ABS(INDEX($A$164:$A$179,MATCH(LEFT(CM164,FIND("·",CM164)-1),$C$164:$C$179,0))-VALUE(MID(CM164,FIND("|",CM164)+1,FIND("-",CM164,FIND("|",CM164))-FIND("|",CM164)-1))),ABS(INDEX($Q$164:$Q$179,MATCH(LEFT(CM164,FIND("·",CM164)-1),$C$164:$C$179,0))-(VALUE(MID(CM164,FIND("|",CM164)+1,FIND("-",CM164,FIND("|",CM164))-FIND("|",CM164)-1))-VALUE(MID(CM164,FIND("-",CM164,FIND("|",CM164))+1,10)))))*$D$50)))))*INDEX($I$164:$I$179,MATCH(LEFT(CM164,FIND("·",CM164)-1),$C$164:$C$179,0)),0),0),0)</f>
        <v>0</v>
      </c>
      <c r="CO164" s="110"/>
      <c r="CP164" s="76" t="s">
        <v>2134</v>
      </c>
      <c r="CQ164" s="77">
        <f t="shared" ref="CQ164" ca="1" si="1366">IFERROR(IF(COUNTIF($K$164:$K$179,LEFT(CP164,FIND("·",CP164)-1))&gt;0,IF(INDEX($L$164:$L$179,MATCH(LEFT(CP164,FIND("·",CP164)-1),$K$164:$K$179,0))=IFERROR(VALUE(MID(CP164,FIND("·",CP164)+1,1)),0),($D$16+(INDEX($M$164:$M$179,MATCH(LEFT(CP164,FIND("·",CP164)-1),$K$164:$K$179,0))=MID(CP164,FIND("|",CP164)+1,10))*$D$18+MAX(0,IF($D$50=1,$D$17*(1-(ABS(INDEX($P$164:$P$179,MATCH(LEFT(CP164,FIND("·",CP164)-1),$K$164:$K$179,0))-(VALUE(MID(CP164,FIND("|",CP164)+1,FIND("-",CP164,FIND("|",CP164))-FIND("|",CP164)-1))-VALUE(MID(CP164,FIND("-",CP164,FIND("|",CP164))+1,10)))))*$D$50),$D$17*(1-(IF(INDEX($L$164:$L$179,MATCH(LEFT(CP164,FIND("·",CP164)-1),$K$164:$K$179,0))=0,ABS(INDEX($N$164:$N$179,MATCH(LEFT(CP164,FIND("·",CP164)-1),$K$164:$K$179,0))-VALUE(MID(CP164,FIND("|",CP164)+1,FIND("-",CP164,FIND("|",CP164))-FIND("|",CP164)-1))),ABS(INDEX($P$164:$P$179,MATCH(LEFT(CP164,FIND("·",CP164)-1),$K$164:$K$179,0))-(VALUE(MID(CP164,FIND("|",CP164)+1,FIND("-",CP164,FIND("|",CP164))-FIND("|",CP164)-1))-VALUE(MID(CP164,FIND("-",CP164,FIND("|",CP164))+1,10)))))*$D$50)))))*INDEX($I$164:$I$179,MATCH(LEFT(CP164,FIND("·",CP164)-1),$K$164:$K$179,0)),0),0),0)+IFERROR(IF(COUNTIF($C$164:$C$179,LEFT(CP164,FIND("·",CP164)-1))&gt;0,IF(INDEX($D$164:$D$179,MATCH(LEFT(CP164,FIND("·",CP164)-1),$C$164:$C$179,0))=IFERROR(VALUE(MID(CP164,FIND("·",CP164)+1,1)),0),($D$16+(INDEX($E$164:$E$179,MATCH(LEFT(CP164,FIND("·",CP164)-1),$C$164:$C$179,0))=MID(CP164,FIND("|",CP164)+1,10))*$D$18+MAX(0,IF($D$50=1,$D$17*(1-(ABS(INDEX($Q$164:$Q$179,MATCH(LEFT(CP164,FIND("·",CP164)-1),$C$164:$C$179,0))-(VALUE(MID(CP164,FIND("|",CP164)+1,FIND("-",CP164,FIND("|",CP164))-FIND("|",CP164)-1))-VALUE(MID(CP164,FIND("-",CP164,FIND("|",CP164))+1,10)))))*$D$50),$D$17*(1-(IF(INDEX($D$164:$D$179,MATCH(LEFT(CP164,FIND("·",CP164)-1),$C$164:$C$179,0))=0,ABS(INDEX($A$164:$A$179,MATCH(LEFT(CP164,FIND("·",CP164)-1),$C$164:$C$179,0))-VALUE(MID(CP164,FIND("|",CP164)+1,FIND("-",CP164,FIND("|",CP164))-FIND("|",CP164)-1))),ABS(INDEX($Q$164:$Q$179,MATCH(LEFT(CP164,FIND("·",CP164)-1),$C$164:$C$179,0))-(VALUE(MID(CP164,FIND("|",CP164)+1,FIND("-",CP164,FIND("|",CP164))-FIND("|",CP164)-1))-VALUE(MID(CP164,FIND("-",CP164,FIND("|",CP164))+1,10)))))*$D$50)))))*INDEX($I$164:$I$179,MATCH(LEFT(CP164,FIND("·",CP164)-1),$C$164:$C$179,0)),0),0),0)</f>
        <v>0</v>
      </c>
      <c r="CR164" s="110"/>
      <c r="CS164" s="76" t="s">
        <v>2611</v>
      </c>
      <c r="CT164" s="77">
        <f t="shared" ref="CT164" ca="1" si="1367">IFERROR(IF(COUNTIF($K$164:$K$179,LEFT(CS164,FIND("·",CS164)-1))&gt;0,IF(INDEX($L$164:$L$179,MATCH(LEFT(CS164,FIND("·",CS164)-1),$K$164:$K$179,0))=IFERROR(VALUE(MID(CS164,FIND("·",CS164)+1,1)),0),($D$16+(INDEX($M$164:$M$179,MATCH(LEFT(CS164,FIND("·",CS164)-1),$K$164:$K$179,0))=MID(CS164,FIND("|",CS164)+1,10))*$D$18+MAX(0,IF($D$50=1,$D$17*(1-(ABS(INDEX($P$164:$P$179,MATCH(LEFT(CS164,FIND("·",CS164)-1),$K$164:$K$179,0))-(VALUE(MID(CS164,FIND("|",CS164)+1,FIND("-",CS164,FIND("|",CS164))-FIND("|",CS164)-1))-VALUE(MID(CS164,FIND("-",CS164,FIND("|",CS164))+1,10)))))*$D$50),$D$17*(1-(IF(INDEX($L$164:$L$179,MATCH(LEFT(CS164,FIND("·",CS164)-1),$K$164:$K$179,0))=0,ABS(INDEX($N$164:$N$179,MATCH(LEFT(CS164,FIND("·",CS164)-1),$K$164:$K$179,0))-VALUE(MID(CS164,FIND("|",CS164)+1,FIND("-",CS164,FIND("|",CS164))-FIND("|",CS164)-1))),ABS(INDEX($P$164:$P$179,MATCH(LEFT(CS164,FIND("·",CS164)-1),$K$164:$K$179,0))-(VALUE(MID(CS164,FIND("|",CS164)+1,FIND("-",CS164,FIND("|",CS164))-FIND("|",CS164)-1))-VALUE(MID(CS164,FIND("-",CS164,FIND("|",CS164))+1,10)))))*$D$50)))))*INDEX($I$164:$I$179,MATCH(LEFT(CS164,FIND("·",CS164)-1),$K$164:$K$179,0)),0),0),0)+IFERROR(IF(COUNTIF($C$164:$C$179,LEFT(CS164,FIND("·",CS164)-1))&gt;0,IF(INDEX($D$164:$D$179,MATCH(LEFT(CS164,FIND("·",CS164)-1),$C$164:$C$179,0))=IFERROR(VALUE(MID(CS164,FIND("·",CS164)+1,1)),0),($D$16+(INDEX($E$164:$E$179,MATCH(LEFT(CS164,FIND("·",CS164)-1),$C$164:$C$179,0))=MID(CS164,FIND("|",CS164)+1,10))*$D$18+MAX(0,IF($D$50=1,$D$17*(1-(ABS(INDEX($Q$164:$Q$179,MATCH(LEFT(CS164,FIND("·",CS164)-1),$C$164:$C$179,0))-(VALUE(MID(CS164,FIND("|",CS164)+1,FIND("-",CS164,FIND("|",CS164))-FIND("|",CS164)-1))-VALUE(MID(CS164,FIND("-",CS164,FIND("|",CS164))+1,10)))))*$D$50),$D$17*(1-(IF(INDEX($D$164:$D$179,MATCH(LEFT(CS164,FIND("·",CS164)-1),$C$164:$C$179,0))=0,ABS(INDEX($A$164:$A$179,MATCH(LEFT(CS164,FIND("·",CS164)-1),$C$164:$C$179,0))-VALUE(MID(CS164,FIND("|",CS164)+1,FIND("-",CS164,FIND("|",CS164))-FIND("|",CS164)-1))),ABS(INDEX($Q$164:$Q$179,MATCH(LEFT(CS164,FIND("·",CS164)-1),$C$164:$C$179,0))-(VALUE(MID(CS164,FIND("|",CS164)+1,FIND("-",CS164,FIND("|",CS164))-FIND("|",CS164)-1))-VALUE(MID(CS164,FIND("-",CS164,FIND("|",CS164))+1,10)))))*$D$50)))))*INDEX($I$164:$I$179,MATCH(LEFT(CS164,FIND("·",CS164)-1),$C$164:$C$179,0)),0),0),0)</f>
        <v>0</v>
      </c>
      <c r="CU164" s="110"/>
      <c r="CV164" s="76" t="s">
        <v>2635</v>
      </c>
      <c r="CW164" s="77">
        <f t="shared" ref="CW164" ca="1" si="1368">IFERROR(IF(COUNTIF($K$164:$K$179,LEFT(CV164,FIND("·",CV164)-1))&gt;0,IF(INDEX($L$164:$L$179,MATCH(LEFT(CV164,FIND("·",CV164)-1),$K$164:$K$179,0))=IFERROR(VALUE(MID(CV164,FIND("·",CV164)+1,1)),0),($D$16+(INDEX($M$164:$M$179,MATCH(LEFT(CV164,FIND("·",CV164)-1),$K$164:$K$179,0))=MID(CV164,FIND("|",CV164)+1,10))*$D$18+MAX(0,IF($D$50=1,$D$17*(1-(ABS(INDEX($P$164:$P$179,MATCH(LEFT(CV164,FIND("·",CV164)-1),$K$164:$K$179,0))-(VALUE(MID(CV164,FIND("|",CV164)+1,FIND("-",CV164,FIND("|",CV164))-FIND("|",CV164)-1))-VALUE(MID(CV164,FIND("-",CV164,FIND("|",CV164))+1,10)))))*$D$50),$D$17*(1-(IF(INDEX($L$164:$L$179,MATCH(LEFT(CV164,FIND("·",CV164)-1),$K$164:$K$179,0))=0,ABS(INDEX($N$164:$N$179,MATCH(LEFT(CV164,FIND("·",CV164)-1),$K$164:$K$179,0))-VALUE(MID(CV164,FIND("|",CV164)+1,FIND("-",CV164,FIND("|",CV164))-FIND("|",CV164)-1))),ABS(INDEX($P$164:$P$179,MATCH(LEFT(CV164,FIND("·",CV164)-1),$K$164:$K$179,0))-(VALUE(MID(CV164,FIND("|",CV164)+1,FIND("-",CV164,FIND("|",CV164))-FIND("|",CV164)-1))-VALUE(MID(CV164,FIND("-",CV164,FIND("|",CV164))+1,10)))))*$D$50)))))*INDEX($I$164:$I$179,MATCH(LEFT(CV164,FIND("·",CV164)-1),$K$164:$K$179,0)),0),0),0)+IFERROR(IF(COUNTIF($C$164:$C$179,LEFT(CV164,FIND("·",CV164)-1))&gt;0,IF(INDEX($D$164:$D$179,MATCH(LEFT(CV164,FIND("·",CV164)-1),$C$164:$C$179,0))=IFERROR(VALUE(MID(CV164,FIND("·",CV164)+1,1)),0),($D$16+(INDEX($E$164:$E$179,MATCH(LEFT(CV164,FIND("·",CV164)-1),$C$164:$C$179,0))=MID(CV164,FIND("|",CV164)+1,10))*$D$18+MAX(0,IF($D$50=1,$D$17*(1-(ABS(INDEX($Q$164:$Q$179,MATCH(LEFT(CV164,FIND("·",CV164)-1),$C$164:$C$179,0))-(VALUE(MID(CV164,FIND("|",CV164)+1,FIND("-",CV164,FIND("|",CV164))-FIND("|",CV164)-1))-VALUE(MID(CV164,FIND("-",CV164,FIND("|",CV164))+1,10)))))*$D$50),$D$17*(1-(IF(INDEX($D$164:$D$179,MATCH(LEFT(CV164,FIND("·",CV164)-1),$C$164:$C$179,0))=0,ABS(INDEX($A$164:$A$179,MATCH(LEFT(CV164,FIND("·",CV164)-1),$C$164:$C$179,0))-VALUE(MID(CV164,FIND("|",CV164)+1,FIND("-",CV164,FIND("|",CV164))-FIND("|",CV164)-1))),ABS(INDEX($Q$164:$Q$179,MATCH(LEFT(CV164,FIND("·",CV164)-1),$C$164:$C$179,0))-(VALUE(MID(CV164,FIND("|",CV164)+1,FIND("-",CV164,FIND("|",CV164))-FIND("|",CV164)-1))-VALUE(MID(CV164,FIND("-",CV164,FIND("|",CV164))+1,10)))))*$D$50)))))*INDEX($I$164:$I$179,MATCH(LEFT(CV164,FIND("·",CV164)-1),$C$164:$C$179,0)),0),0),0)</f>
        <v>0</v>
      </c>
      <c r="CX164" s="110"/>
      <c r="CY164" s="76" t="s">
        <v>2660</v>
      </c>
      <c r="CZ164" s="77">
        <f t="shared" ref="CZ164" ca="1" si="1369">IFERROR(IF(COUNTIF($K$164:$K$179,LEFT(CY164,FIND("·",CY164)-1))&gt;0,IF(INDEX($L$164:$L$179,MATCH(LEFT(CY164,FIND("·",CY164)-1),$K$164:$K$179,0))=IFERROR(VALUE(MID(CY164,FIND("·",CY164)+1,1)),0),($D$16+(INDEX($M$164:$M$179,MATCH(LEFT(CY164,FIND("·",CY164)-1),$K$164:$K$179,0))=MID(CY164,FIND("|",CY164)+1,10))*$D$18+MAX(0,IF($D$50=1,$D$17*(1-(ABS(INDEX($P$164:$P$179,MATCH(LEFT(CY164,FIND("·",CY164)-1),$K$164:$K$179,0))-(VALUE(MID(CY164,FIND("|",CY164)+1,FIND("-",CY164,FIND("|",CY164))-FIND("|",CY164)-1))-VALUE(MID(CY164,FIND("-",CY164,FIND("|",CY164))+1,10)))))*$D$50),$D$17*(1-(IF(INDEX($L$164:$L$179,MATCH(LEFT(CY164,FIND("·",CY164)-1),$K$164:$K$179,0))=0,ABS(INDEX($N$164:$N$179,MATCH(LEFT(CY164,FIND("·",CY164)-1),$K$164:$K$179,0))-VALUE(MID(CY164,FIND("|",CY164)+1,FIND("-",CY164,FIND("|",CY164))-FIND("|",CY164)-1))),ABS(INDEX($P$164:$P$179,MATCH(LEFT(CY164,FIND("·",CY164)-1),$K$164:$K$179,0))-(VALUE(MID(CY164,FIND("|",CY164)+1,FIND("-",CY164,FIND("|",CY164))-FIND("|",CY164)-1))-VALUE(MID(CY164,FIND("-",CY164,FIND("|",CY164))+1,10)))))*$D$50)))))*INDEX($I$164:$I$179,MATCH(LEFT(CY164,FIND("·",CY164)-1),$K$164:$K$179,0)),0),0),0)+IFERROR(IF(COUNTIF($C$164:$C$179,LEFT(CY164,FIND("·",CY164)-1))&gt;0,IF(INDEX($D$164:$D$179,MATCH(LEFT(CY164,FIND("·",CY164)-1),$C$164:$C$179,0))=IFERROR(VALUE(MID(CY164,FIND("·",CY164)+1,1)),0),($D$16+(INDEX($E$164:$E$179,MATCH(LEFT(CY164,FIND("·",CY164)-1),$C$164:$C$179,0))=MID(CY164,FIND("|",CY164)+1,10))*$D$18+MAX(0,IF($D$50=1,$D$17*(1-(ABS(INDEX($Q$164:$Q$179,MATCH(LEFT(CY164,FIND("·",CY164)-1),$C$164:$C$179,0))-(VALUE(MID(CY164,FIND("|",CY164)+1,FIND("-",CY164,FIND("|",CY164))-FIND("|",CY164)-1))-VALUE(MID(CY164,FIND("-",CY164,FIND("|",CY164))+1,10)))))*$D$50),$D$17*(1-(IF(INDEX($D$164:$D$179,MATCH(LEFT(CY164,FIND("·",CY164)-1),$C$164:$C$179,0))=0,ABS(INDEX($A$164:$A$179,MATCH(LEFT(CY164,FIND("·",CY164)-1),$C$164:$C$179,0))-VALUE(MID(CY164,FIND("|",CY164)+1,FIND("-",CY164,FIND("|",CY164))-FIND("|",CY164)-1))),ABS(INDEX($Q$164:$Q$179,MATCH(LEFT(CY164,FIND("·",CY164)-1),$C$164:$C$179,0))-(VALUE(MID(CY164,FIND("|",CY164)+1,FIND("-",CY164,FIND("|",CY164))-FIND("|",CY164)-1))-VALUE(MID(CY164,FIND("-",CY164,FIND("|",CY164))+1,10)))))*$D$50)))))*INDEX($I$164:$I$179,MATCH(LEFT(CY164,FIND("·",CY164)-1),$C$164:$C$179,0)),0),0),0)</f>
        <v>0</v>
      </c>
      <c r="DA164" s="110"/>
      <c r="DB164" s="76" t="s">
        <v>2697</v>
      </c>
      <c r="DC164" s="77">
        <f t="shared" ref="DC164" ca="1" si="1370">IFERROR(IF(COUNTIF($K$164:$K$179,LEFT(DB164,FIND("·",DB164)-1))&gt;0,IF(INDEX($L$164:$L$179,MATCH(LEFT(DB164,FIND("·",DB164)-1),$K$164:$K$179,0))=IFERROR(VALUE(MID(DB164,FIND("·",DB164)+1,1)),0),($D$16+(INDEX($M$164:$M$179,MATCH(LEFT(DB164,FIND("·",DB164)-1),$K$164:$K$179,0))=MID(DB164,FIND("|",DB164)+1,10))*$D$18+MAX(0,IF($D$50=1,$D$17*(1-(ABS(INDEX($P$164:$P$179,MATCH(LEFT(DB164,FIND("·",DB164)-1),$K$164:$K$179,0))-(VALUE(MID(DB164,FIND("|",DB164)+1,FIND("-",DB164,FIND("|",DB164))-FIND("|",DB164)-1))-VALUE(MID(DB164,FIND("-",DB164,FIND("|",DB164))+1,10)))))*$D$50),$D$17*(1-(IF(INDEX($L$164:$L$179,MATCH(LEFT(DB164,FIND("·",DB164)-1),$K$164:$K$179,0))=0,ABS(INDEX($N$164:$N$179,MATCH(LEFT(DB164,FIND("·",DB164)-1),$K$164:$K$179,0))-VALUE(MID(DB164,FIND("|",DB164)+1,FIND("-",DB164,FIND("|",DB164))-FIND("|",DB164)-1))),ABS(INDEX($P$164:$P$179,MATCH(LEFT(DB164,FIND("·",DB164)-1),$K$164:$K$179,0))-(VALUE(MID(DB164,FIND("|",DB164)+1,FIND("-",DB164,FIND("|",DB164))-FIND("|",DB164)-1))-VALUE(MID(DB164,FIND("-",DB164,FIND("|",DB164))+1,10)))))*$D$50)))))*INDEX($I$164:$I$179,MATCH(LEFT(DB164,FIND("·",DB164)-1),$K$164:$K$179,0)),0),0),0)+IFERROR(IF(COUNTIF($C$164:$C$179,LEFT(DB164,FIND("·",DB164)-1))&gt;0,IF(INDEX($D$164:$D$179,MATCH(LEFT(DB164,FIND("·",DB164)-1),$C$164:$C$179,0))=IFERROR(VALUE(MID(DB164,FIND("·",DB164)+1,1)),0),($D$16+(INDEX($E$164:$E$179,MATCH(LEFT(DB164,FIND("·",DB164)-1),$C$164:$C$179,0))=MID(DB164,FIND("|",DB164)+1,10))*$D$18+MAX(0,IF($D$50=1,$D$17*(1-(ABS(INDEX($Q$164:$Q$179,MATCH(LEFT(DB164,FIND("·",DB164)-1),$C$164:$C$179,0))-(VALUE(MID(DB164,FIND("|",DB164)+1,FIND("-",DB164,FIND("|",DB164))-FIND("|",DB164)-1))-VALUE(MID(DB164,FIND("-",DB164,FIND("|",DB164))+1,10)))))*$D$50),$D$17*(1-(IF(INDEX($D$164:$D$179,MATCH(LEFT(DB164,FIND("·",DB164)-1),$C$164:$C$179,0))=0,ABS(INDEX($A$164:$A$179,MATCH(LEFT(DB164,FIND("·",DB164)-1),$C$164:$C$179,0))-VALUE(MID(DB164,FIND("|",DB164)+1,FIND("-",DB164,FIND("|",DB164))-FIND("|",DB164)-1))),ABS(INDEX($Q$164:$Q$179,MATCH(LEFT(DB164,FIND("·",DB164)-1),$C$164:$C$179,0))-(VALUE(MID(DB164,FIND("|",DB164)+1,FIND("-",DB164,FIND("|",DB164))-FIND("|",DB164)-1))-VALUE(MID(DB164,FIND("-",DB164,FIND("|",DB164))+1,10)))))*$D$50)))))*INDEX($I$164:$I$179,MATCH(LEFT(DB164,FIND("·",DB164)-1),$C$164:$C$179,0)),0),0),0)</f>
        <v>0</v>
      </c>
      <c r="DD164" s="110"/>
      <c r="DE164" s="76" t="s">
        <v>2038</v>
      </c>
      <c r="DF164" s="77">
        <f t="shared" ref="DF164" ca="1" si="1371">IFERROR(IF(COUNTIF($K$164:$K$179,LEFT(DE164,FIND("·",DE164)-1))&gt;0,IF(INDEX($L$164:$L$179,MATCH(LEFT(DE164,FIND("·",DE164)-1),$K$164:$K$179,0))=IFERROR(VALUE(MID(DE164,FIND("·",DE164)+1,1)),0),($D$16+(INDEX($M$164:$M$179,MATCH(LEFT(DE164,FIND("·",DE164)-1),$K$164:$K$179,0))=MID(DE164,FIND("|",DE164)+1,10))*$D$18+MAX(0,IF($D$50=1,$D$17*(1-(ABS(INDEX($P$164:$P$179,MATCH(LEFT(DE164,FIND("·",DE164)-1),$K$164:$K$179,0))-(VALUE(MID(DE164,FIND("|",DE164)+1,FIND("-",DE164,FIND("|",DE164))-FIND("|",DE164)-1))-VALUE(MID(DE164,FIND("-",DE164,FIND("|",DE164))+1,10)))))*$D$50),$D$17*(1-(IF(INDEX($L$164:$L$179,MATCH(LEFT(DE164,FIND("·",DE164)-1),$K$164:$K$179,0))=0,ABS(INDEX($N$164:$N$179,MATCH(LEFT(DE164,FIND("·",DE164)-1),$K$164:$K$179,0))-VALUE(MID(DE164,FIND("|",DE164)+1,FIND("-",DE164,FIND("|",DE164))-FIND("|",DE164)-1))),ABS(INDEX($P$164:$P$179,MATCH(LEFT(DE164,FIND("·",DE164)-1),$K$164:$K$179,0))-(VALUE(MID(DE164,FIND("|",DE164)+1,FIND("-",DE164,FIND("|",DE164))-FIND("|",DE164)-1))-VALUE(MID(DE164,FIND("-",DE164,FIND("|",DE164))+1,10)))))*$D$50)))))*INDEX($I$164:$I$179,MATCH(LEFT(DE164,FIND("·",DE164)-1),$K$164:$K$179,0)),0),0),0)+IFERROR(IF(COUNTIF($C$164:$C$179,LEFT(DE164,FIND("·",DE164)-1))&gt;0,IF(INDEX($D$164:$D$179,MATCH(LEFT(DE164,FIND("·",DE164)-1),$C$164:$C$179,0))=IFERROR(VALUE(MID(DE164,FIND("·",DE164)+1,1)),0),($D$16+(INDEX($E$164:$E$179,MATCH(LEFT(DE164,FIND("·",DE164)-1),$C$164:$C$179,0))=MID(DE164,FIND("|",DE164)+1,10))*$D$18+MAX(0,IF($D$50=1,$D$17*(1-(ABS(INDEX($Q$164:$Q$179,MATCH(LEFT(DE164,FIND("·",DE164)-1),$C$164:$C$179,0))-(VALUE(MID(DE164,FIND("|",DE164)+1,FIND("-",DE164,FIND("|",DE164))-FIND("|",DE164)-1))-VALUE(MID(DE164,FIND("-",DE164,FIND("|",DE164))+1,10)))))*$D$50),$D$17*(1-(IF(INDEX($D$164:$D$179,MATCH(LEFT(DE164,FIND("·",DE164)-1),$C$164:$C$179,0))=0,ABS(INDEX($A$164:$A$179,MATCH(LEFT(DE164,FIND("·",DE164)-1),$C$164:$C$179,0))-VALUE(MID(DE164,FIND("|",DE164)+1,FIND("-",DE164,FIND("|",DE164))-FIND("|",DE164)-1))),ABS(INDEX($Q$164:$Q$179,MATCH(LEFT(DE164,FIND("·",DE164)-1),$C$164:$C$179,0))-(VALUE(MID(DE164,FIND("|",DE164)+1,FIND("-",DE164,FIND("|",DE164))-FIND("|",DE164)-1))-VALUE(MID(DE164,FIND("-",DE164,FIND("|",DE164))+1,10)))))*$D$50)))))*INDEX($I$164:$I$179,MATCH(LEFT(DE164,FIND("·",DE164)-1),$C$164:$C$179,0)),0),0),0)</f>
        <v>0</v>
      </c>
      <c r="DG164" s="110"/>
      <c r="DH164" s="76" t="s">
        <v>2722</v>
      </c>
      <c r="DI164" s="77">
        <f t="shared" ref="DI164" ca="1" si="1372">IFERROR(IF(COUNTIF($K$164:$K$179,LEFT(DH164,FIND("·",DH164)-1))&gt;0,IF(INDEX($L$164:$L$179,MATCH(LEFT(DH164,FIND("·",DH164)-1),$K$164:$K$179,0))=IFERROR(VALUE(MID(DH164,FIND("·",DH164)+1,1)),0),($D$16+(INDEX($M$164:$M$179,MATCH(LEFT(DH164,FIND("·",DH164)-1),$K$164:$K$179,0))=MID(DH164,FIND("|",DH164)+1,10))*$D$18+MAX(0,IF($D$50=1,$D$17*(1-(ABS(INDEX($P$164:$P$179,MATCH(LEFT(DH164,FIND("·",DH164)-1),$K$164:$K$179,0))-(VALUE(MID(DH164,FIND("|",DH164)+1,FIND("-",DH164,FIND("|",DH164))-FIND("|",DH164)-1))-VALUE(MID(DH164,FIND("-",DH164,FIND("|",DH164))+1,10)))))*$D$50),$D$17*(1-(IF(INDEX($L$164:$L$179,MATCH(LEFT(DH164,FIND("·",DH164)-1),$K$164:$K$179,0))=0,ABS(INDEX($N$164:$N$179,MATCH(LEFT(DH164,FIND("·",DH164)-1),$K$164:$K$179,0))-VALUE(MID(DH164,FIND("|",DH164)+1,FIND("-",DH164,FIND("|",DH164))-FIND("|",DH164)-1))),ABS(INDEX($P$164:$P$179,MATCH(LEFT(DH164,FIND("·",DH164)-1),$K$164:$K$179,0))-(VALUE(MID(DH164,FIND("|",DH164)+1,FIND("-",DH164,FIND("|",DH164))-FIND("|",DH164)-1))-VALUE(MID(DH164,FIND("-",DH164,FIND("|",DH164))+1,10)))))*$D$50)))))*INDEX($I$164:$I$179,MATCH(LEFT(DH164,FIND("·",DH164)-1),$K$164:$K$179,0)),0),0),0)+IFERROR(IF(COUNTIF($C$164:$C$179,LEFT(DH164,FIND("·",DH164)-1))&gt;0,IF(INDEX($D$164:$D$179,MATCH(LEFT(DH164,FIND("·",DH164)-1),$C$164:$C$179,0))=IFERROR(VALUE(MID(DH164,FIND("·",DH164)+1,1)),0),($D$16+(INDEX($E$164:$E$179,MATCH(LEFT(DH164,FIND("·",DH164)-1),$C$164:$C$179,0))=MID(DH164,FIND("|",DH164)+1,10))*$D$18+MAX(0,IF($D$50=1,$D$17*(1-(ABS(INDEX($Q$164:$Q$179,MATCH(LEFT(DH164,FIND("·",DH164)-1),$C$164:$C$179,0))-(VALUE(MID(DH164,FIND("|",DH164)+1,FIND("-",DH164,FIND("|",DH164))-FIND("|",DH164)-1))-VALUE(MID(DH164,FIND("-",DH164,FIND("|",DH164))+1,10)))))*$D$50),$D$17*(1-(IF(INDEX($D$164:$D$179,MATCH(LEFT(DH164,FIND("·",DH164)-1),$C$164:$C$179,0))=0,ABS(INDEX($A$164:$A$179,MATCH(LEFT(DH164,FIND("·",DH164)-1),$C$164:$C$179,0))-VALUE(MID(DH164,FIND("|",DH164)+1,FIND("-",DH164,FIND("|",DH164))-FIND("|",DH164)-1))),ABS(INDEX($Q$164:$Q$179,MATCH(LEFT(DH164,FIND("·",DH164)-1),$C$164:$C$179,0))-(VALUE(MID(DH164,FIND("|",DH164)+1,FIND("-",DH164,FIND("|",DH164))-FIND("|",DH164)-1))-VALUE(MID(DH164,FIND("-",DH164,FIND("|",DH164))+1,10)))))*$D$50)))))*INDEX($I$164:$I$179,MATCH(LEFT(DH164,FIND("·",DH164)-1),$C$164:$C$179,0)),0),0),0)</f>
        <v>0</v>
      </c>
      <c r="DJ164" s="110"/>
      <c r="DK164" s="76" t="s">
        <v>2548</v>
      </c>
      <c r="DL164" s="77">
        <f t="shared" ref="DL164" ca="1" si="1373">IFERROR(IF(COUNTIF($K$164:$K$179,LEFT(DK164,FIND("·",DK164)-1))&gt;0,IF(INDEX($L$164:$L$179,MATCH(LEFT(DK164,FIND("·",DK164)-1),$K$164:$K$179,0))=IFERROR(VALUE(MID(DK164,FIND("·",DK164)+1,1)),0),($D$16+(INDEX($M$164:$M$179,MATCH(LEFT(DK164,FIND("·",DK164)-1),$K$164:$K$179,0))=MID(DK164,FIND("|",DK164)+1,10))*$D$18+MAX(0,IF($D$50=1,$D$17*(1-(ABS(INDEX($P$164:$P$179,MATCH(LEFT(DK164,FIND("·",DK164)-1),$K$164:$K$179,0))-(VALUE(MID(DK164,FIND("|",DK164)+1,FIND("-",DK164,FIND("|",DK164))-FIND("|",DK164)-1))-VALUE(MID(DK164,FIND("-",DK164,FIND("|",DK164))+1,10)))))*$D$50),$D$17*(1-(IF(INDEX($L$164:$L$179,MATCH(LEFT(DK164,FIND("·",DK164)-1),$K$164:$K$179,0))=0,ABS(INDEX($N$164:$N$179,MATCH(LEFT(DK164,FIND("·",DK164)-1),$K$164:$K$179,0))-VALUE(MID(DK164,FIND("|",DK164)+1,FIND("-",DK164,FIND("|",DK164))-FIND("|",DK164)-1))),ABS(INDEX($P$164:$P$179,MATCH(LEFT(DK164,FIND("·",DK164)-1),$K$164:$K$179,0))-(VALUE(MID(DK164,FIND("|",DK164)+1,FIND("-",DK164,FIND("|",DK164))-FIND("|",DK164)-1))-VALUE(MID(DK164,FIND("-",DK164,FIND("|",DK164))+1,10)))))*$D$50)))))*INDEX($I$164:$I$179,MATCH(LEFT(DK164,FIND("·",DK164)-1),$K$164:$K$179,0)),0),0),0)+IFERROR(IF(COUNTIF($C$164:$C$179,LEFT(DK164,FIND("·",DK164)-1))&gt;0,IF(INDEX($D$164:$D$179,MATCH(LEFT(DK164,FIND("·",DK164)-1),$C$164:$C$179,0))=IFERROR(VALUE(MID(DK164,FIND("·",DK164)+1,1)),0),($D$16+(INDEX($E$164:$E$179,MATCH(LEFT(DK164,FIND("·",DK164)-1),$C$164:$C$179,0))=MID(DK164,FIND("|",DK164)+1,10))*$D$18+MAX(0,IF($D$50=1,$D$17*(1-(ABS(INDEX($Q$164:$Q$179,MATCH(LEFT(DK164,FIND("·",DK164)-1),$C$164:$C$179,0))-(VALUE(MID(DK164,FIND("|",DK164)+1,FIND("-",DK164,FIND("|",DK164))-FIND("|",DK164)-1))-VALUE(MID(DK164,FIND("-",DK164,FIND("|",DK164))+1,10)))))*$D$50),$D$17*(1-(IF(INDEX($D$164:$D$179,MATCH(LEFT(DK164,FIND("·",DK164)-1),$C$164:$C$179,0))=0,ABS(INDEX($A$164:$A$179,MATCH(LEFT(DK164,FIND("·",DK164)-1),$C$164:$C$179,0))-VALUE(MID(DK164,FIND("|",DK164)+1,FIND("-",DK164,FIND("|",DK164))-FIND("|",DK164)-1))),ABS(INDEX($Q$164:$Q$179,MATCH(LEFT(DK164,FIND("·",DK164)-1),$C$164:$C$179,0))-(VALUE(MID(DK164,FIND("|",DK164)+1,FIND("-",DK164,FIND("|",DK164))-FIND("|",DK164)-1))-VALUE(MID(DK164,FIND("-",DK164,FIND("|",DK164))+1,10)))))*$D$50)))))*INDEX($I$164:$I$179,MATCH(LEFT(DK164,FIND("·",DK164)-1),$C$164:$C$179,0)),0),0),0)</f>
        <v>0</v>
      </c>
      <c r="DM164" s="110"/>
      <c r="DN164" s="76" t="s">
        <v>2038</v>
      </c>
      <c r="DO164" s="77">
        <f t="shared" ref="DO164" ca="1" si="1374">IFERROR(IF(COUNTIF($K$164:$K$179,LEFT(DN164,FIND("·",DN164)-1))&gt;0,IF(INDEX($L$164:$L$179,MATCH(LEFT(DN164,FIND("·",DN164)-1),$K$164:$K$179,0))=IFERROR(VALUE(MID(DN164,FIND("·",DN164)+1,1)),0),($D$16+(INDEX($M$164:$M$179,MATCH(LEFT(DN164,FIND("·",DN164)-1),$K$164:$K$179,0))=MID(DN164,FIND("|",DN164)+1,10))*$D$18+MAX(0,IF($D$50=1,$D$17*(1-(ABS(INDEX($P$164:$P$179,MATCH(LEFT(DN164,FIND("·",DN164)-1),$K$164:$K$179,0))-(VALUE(MID(DN164,FIND("|",DN164)+1,FIND("-",DN164,FIND("|",DN164))-FIND("|",DN164)-1))-VALUE(MID(DN164,FIND("-",DN164,FIND("|",DN164))+1,10)))))*$D$50),$D$17*(1-(IF(INDEX($L$164:$L$179,MATCH(LEFT(DN164,FIND("·",DN164)-1),$K$164:$K$179,0))=0,ABS(INDEX($N$164:$N$179,MATCH(LEFT(DN164,FIND("·",DN164)-1),$K$164:$K$179,0))-VALUE(MID(DN164,FIND("|",DN164)+1,FIND("-",DN164,FIND("|",DN164))-FIND("|",DN164)-1))),ABS(INDEX($P$164:$P$179,MATCH(LEFT(DN164,FIND("·",DN164)-1),$K$164:$K$179,0))-(VALUE(MID(DN164,FIND("|",DN164)+1,FIND("-",DN164,FIND("|",DN164))-FIND("|",DN164)-1))-VALUE(MID(DN164,FIND("-",DN164,FIND("|",DN164))+1,10)))))*$D$50)))))*INDEX($I$164:$I$179,MATCH(LEFT(DN164,FIND("·",DN164)-1),$K$164:$K$179,0)),0),0),0)+IFERROR(IF(COUNTIF($C$164:$C$179,LEFT(DN164,FIND("·",DN164)-1))&gt;0,IF(INDEX($D$164:$D$179,MATCH(LEFT(DN164,FIND("·",DN164)-1),$C$164:$C$179,0))=IFERROR(VALUE(MID(DN164,FIND("·",DN164)+1,1)),0),($D$16+(INDEX($E$164:$E$179,MATCH(LEFT(DN164,FIND("·",DN164)-1),$C$164:$C$179,0))=MID(DN164,FIND("|",DN164)+1,10))*$D$18+MAX(0,IF($D$50=1,$D$17*(1-(ABS(INDEX($Q$164:$Q$179,MATCH(LEFT(DN164,FIND("·",DN164)-1),$C$164:$C$179,0))-(VALUE(MID(DN164,FIND("|",DN164)+1,FIND("-",DN164,FIND("|",DN164))-FIND("|",DN164)-1))-VALUE(MID(DN164,FIND("-",DN164,FIND("|",DN164))+1,10)))))*$D$50),$D$17*(1-(IF(INDEX($D$164:$D$179,MATCH(LEFT(DN164,FIND("·",DN164)-1),$C$164:$C$179,0))=0,ABS(INDEX($A$164:$A$179,MATCH(LEFT(DN164,FIND("·",DN164)-1),$C$164:$C$179,0))-VALUE(MID(DN164,FIND("|",DN164)+1,FIND("-",DN164,FIND("|",DN164))-FIND("|",DN164)-1))),ABS(INDEX($Q$164:$Q$179,MATCH(LEFT(DN164,FIND("·",DN164)-1),$C$164:$C$179,0))-(VALUE(MID(DN164,FIND("|",DN164)+1,FIND("-",DN164,FIND("|",DN164))-FIND("|",DN164)-1))-VALUE(MID(DN164,FIND("-",DN164,FIND("|",DN164))+1,10)))))*$D$50)))))*INDEX($I$164:$I$179,MATCH(LEFT(DN164,FIND("·",DN164)-1),$C$164:$C$179,0)),0),0),0)</f>
        <v>0</v>
      </c>
      <c r="DP164" s="110"/>
      <c r="DQ164" s="76" t="s">
        <v>2777</v>
      </c>
      <c r="DR164" s="77">
        <f t="shared" ref="DR164" ca="1" si="1375">IFERROR(IF(COUNTIF($K$164:$K$179,LEFT(DQ164,FIND("·",DQ164)-1))&gt;0,IF(INDEX($L$164:$L$179,MATCH(LEFT(DQ164,FIND("·",DQ164)-1),$K$164:$K$179,0))=IFERROR(VALUE(MID(DQ164,FIND("·",DQ164)+1,1)),0),($D$16+(INDEX($M$164:$M$179,MATCH(LEFT(DQ164,FIND("·",DQ164)-1),$K$164:$K$179,0))=MID(DQ164,FIND("|",DQ164)+1,10))*$D$18+MAX(0,IF($D$50=1,$D$17*(1-(ABS(INDEX($P$164:$P$179,MATCH(LEFT(DQ164,FIND("·",DQ164)-1),$K$164:$K$179,0))-(VALUE(MID(DQ164,FIND("|",DQ164)+1,FIND("-",DQ164,FIND("|",DQ164))-FIND("|",DQ164)-1))-VALUE(MID(DQ164,FIND("-",DQ164,FIND("|",DQ164))+1,10)))))*$D$50),$D$17*(1-(IF(INDEX($L$164:$L$179,MATCH(LEFT(DQ164,FIND("·",DQ164)-1),$K$164:$K$179,0))=0,ABS(INDEX($N$164:$N$179,MATCH(LEFT(DQ164,FIND("·",DQ164)-1),$K$164:$K$179,0))-VALUE(MID(DQ164,FIND("|",DQ164)+1,FIND("-",DQ164,FIND("|",DQ164))-FIND("|",DQ164)-1))),ABS(INDEX($P$164:$P$179,MATCH(LEFT(DQ164,FIND("·",DQ164)-1),$K$164:$K$179,0))-(VALUE(MID(DQ164,FIND("|",DQ164)+1,FIND("-",DQ164,FIND("|",DQ164))-FIND("|",DQ164)-1))-VALUE(MID(DQ164,FIND("-",DQ164,FIND("|",DQ164))+1,10)))))*$D$50)))))*INDEX($I$164:$I$179,MATCH(LEFT(DQ164,FIND("·",DQ164)-1),$K$164:$K$179,0)),0),0),0)+IFERROR(IF(COUNTIF($C$164:$C$179,LEFT(DQ164,FIND("·",DQ164)-1))&gt;0,IF(INDEX($D$164:$D$179,MATCH(LEFT(DQ164,FIND("·",DQ164)-1),$C$164:$C$179,0))=IFERROR(VALUE(MID(DQ164,FIND("·",DQ164)+1,1)),0),($D$16+(INDEX($E$164:$E$179,MATCH(LEFT(DQ164,FIND("·",DQ164)-1),$C$164:$C$179,0))=MID(DQ164,FIND("|",DQ164)+1,10))*$D$18+MAX(0,IF($D$50=1,$D$17*(1-(ABS(INDEX($Q$164:$Q$179,MATCH(LEFT(DQ164,FIND("·",DQ164)-1),$C$164:$C$179,0))-(VALUE(MID(DQ164,FIND("|",DQ164)+1,FIND("-",DQ164,FIND("|",DQ164))-FIND("|",DQ164)-1))-VALUE(MID(DQ164,FIND("-",DQ164,FIND("|",DQ164))+1,10)))))*$D$50),$D$17*(1-(IF(INDEX($D$164:$D$179,MATCH(LEFT(DQ164,FIND("·",DQ164)-1),$C$164:$C$179,0))=0,ABS(INDEX($A$164:$A$179,MATCH(LEFT(DQ164,FIND("·",DQ164)-1),$C$164:$C$179,0))-VALUE(MID(DQ164,FIND("|",DQ164)+1,FIND("-",DQ164,FIND("|",DQ164))-FIND("|",DQ164)-1))),ABS(INDEX($Q$164:$Q$179,MATCH(LEFT(DQ164,FIND("·",DQ164)-1),$C$164:$C$179,0))-(VALUE(MID(DQ164,FIND("|",DQ164)+1,FIND("-",DQ164,FIND("|",DQ164))-FIND("|",DQ164)-1))-VALUE(MID(DQ164,FIND("-",DQ164,FIND("|",DQ164))+1,10)))))*$D$50)))))*INDEX($I$164:$I$179,MATCH(LEFT(DQ164,FIND("·",DQ164)-1),$C$164:$C$179,0)),0),0),0)</f>
        <v>0</v>
      </c>
      <c r="DS164" s="110"/>
      <c r="DT164" s="76" t="s">
        <v>2038</v>
      </c>
      <c r="DU164" s="77">
        <f t="shared" ref="DU164" ca="1" si="1376">IFERROR(IF(COUNTIF($K$164:$K$179,LEFT(DT164,FIND("·",DT164)-1))&gt;0,IF(INDEX($L$164:$L$179,MATCH(LEFT(DT164,FIND("·",DT164)-1),$K$164:$K$179,0))=IFERROR(VALUE(MID(DT164,FIND("·",DT164)+1,1)),0),($D$16+(INDEX($M$164:$M$179,MATCH(LEFT(DT164,FIND("·",DT164)-1),$K$164:$K$179,0))=MID(DT164,FIND("|",DT164)+1,10))*$D$18+MAX(0,IF($D$50=1,$D$17*(1-(ABS(INDEX($P$164:$P$179,MATCH(LEFT(DT164,FIND("·",DT164)-1),$K$164:$K$179,0))-(VALUE(MID(DT164,FIND("|",DT164)+1,FIND("-",DT164,FIND("|",DT164))-FIND("|",DT164)-1))-VALUE(MID(DT164,FIND("-",DT164,FIND("|",DT164))+1,10)))))*$D$50),$D$17*(1-(IF(INDEX($L$164:$L$179,MATCH(LEFT(DT164,FIND("·",DT164)-1),$K$164:$K$179,0))=0,ABS(INDEX($N$164:$N$179,MATCH(LEFT(DT164,FIND("·",DT164)-1),$K$164:$K$179,0))-VALUE(MID(DT164,FIND("|",DT164)+1,FIND("-",DT164,FIND("|",DT164))-FIND("|",DT164)-1))),ABS(INDEX($P$164:$P$179,MATCH(LEFT(DT164,FIND("·",DT164)-1),$K$164:$K$179,0))-(VALUE(MID(DT164,FIND("|",DT164)+1,FIND("-",DT164,FIND("|",DT164))-FIND("|",DT164)-1))-VALUE(MID(DT164,FIND("-",DT164,FIND("|",DT164))+1,10)))))*$D$50)))))*INDEX($I$164:$I$179,MATCH(LEFT(DT164,FIND("·",DT164)-1),$K$164:$K$179,0)),0),0),0)+IFERROR(IF(COUNTIF($C$164:$C$179,LEFT(DT164,FIND("·",DT164)-1))&gt;0,IF(INDEX($D$164:$D$179,MATCH(LEFT(DT164,FIND("·",DT164)-1),$C$164:$C$179,0))=IFERROR(VALUE(MID(DT164,FIND("·",DT164)+1,1)),0),($D$16+(INDEX($E$164:$E$179,MATCH(LEFT(DT164,FIND("·",DT164)-1),$C$164:$C$179,0))=MID(DT164,FIND("|",DT164)+1,10))*$D$18+MAX(0,IF($D$50=1,$D$17*(1-(ABS(INDEX($Q$164:$Q$179,MATCH(LEFT(DT164,FIND("·",DT164)-1),$C$164:$C$179,0))-(VALUE(MID(DT164,FIND("|",DT164)+1,FIND("-",DT164,FIND("|",DT164))-FIND("|",DT164)-1))-VALUE(MID(DT164,FIND("-",DT164,FIND("|",DT164))+1,10)))))*$D$50),$D$17*(1-(IF(INDEX($D$164:$D$179,MATCH(LEFT(DT164,FIND("·",DT164)-1),$C$164:$C$179,0))=0,ABS(INDEX($A$164:$A$179,MATCH(LEFT(DT164,FIND("·",DT164)-1),$C$164:$C$179,0))-VALUE(MID(DT164,FIND("|",DT164)+1,FIND("-",DT164,FIND("|",DT164))-FIND("|",DT164)-1))),ABS(INDEX($Q$164:$Q$179,MATCH(LEFT(DT164,FIND("·",DT164)-1),$C$164:$C$179,0))-(VALUE(MID(DT164,FIND("|",DT164)+1,FIND("-",DT164,FIND("|",DT164))-FIND("|",DT164)-1))-VALUE(MID(DT164,FIND("-",DT164,FIND("|",DT164))+1,10)))))*$D$50)))))*INDEX($I$164:$I$179,MATCH(LEFT(DT164,FIND("·",DT164)-1),$C$164:$C$179,0)),0),0),0)</f>
        <v>0</v>
      </c>
      <c r="DV164" s="110"/>
      <c r="DW164" s="76" t="s">
        <v>2802</v>
      </c>
      <c r="DX164" s="77">
        <f t="shared" ref="DX164" ca="1" si="1377">IFERROR(IF(COUNTIF($K$164:$K$179,LEFT(DW164,FIND("·",DW164)-1))&gt;0,IF(INDEX($L$164:$L$179,MATCH(LEFT(DW164,FIND("·",DW164)-1),$K$164:$K$179,0))=IFERROR(VALUE(MID(DW164,FIND("·",DW164)+1,1)),0),($D$16+(INDEX($M$164:$M$179,MATCH(LEFT(DW164,FIND("·",DW164)-1),$K$164:$K$179,0))=MID(DW164,FIND("|",DW164)+1,10))*$D$18+MAX(0,IF($D$50=1,$D$17*(1-(ABS(INDEX($P$164:$P$179,MATCH(LEFT(DW164,FIND("·",DW164)-1),$K$164:$K$179,0))-(VALUE(MID(DW164,FIND("|",DW164)+1,FIND("-",DW164,FIND("|",DW164))-FIND("|",DW164)-1))-VALUE(MID(DW164,FIND("-",DW164,FIND("|",DW164))+1,10)))))*$D$50),$D$17*(1-(IF(INDEX($L$164:$L$179,MATCH(LEFT(DW164,FIND("·",DW164)-1),$K$164:$K$179,0))=0,ABS(INDEX($N$164:$N$179,MATCH(LEFT(DW164,FIND("·",DW164)-1),$K$164:$K$179,0))-VALUE(MID(DW164,FIND("|",DW164)+1,FIND("-",DW164,FIND("|",DW164))-FIND("|",DW164)-1))),ABS(INDEX($P$164:$P$179,MATCH(LEFT(DW164,FIND("·",DW164)-1),$K$164:$K$179,0))-(VALUE(MID(DW164,FIND("|",DW164)+1,FIND("-",DW164,FIND("|",DW164))-FIND("|",DW164)-1))-VALUE(MID(DW164,FIND("-",DW164,FIND("|",DW164))+1,10)))))*$D$50)))))*INDEX($I$164:$I$179,MATCH(LEFT(DW164,FIND("·",DW164)-1),$K$164:$K$179,0)),0),0),0)+IFERROR(IF(COUNTIF($C$164:$C$179,LEFT(DW164,FIND("·",DW164)-1))&gt;0,IF(INDEX($D$164:$D$179,MATCH(LEFT(DW164,FIND("·",DW164)-1),$C$164:$C$179,0))=IFERROR(VALUE(MID(DW164,FIND("·",DW164)+1,1)),0),($D$16+(INDEX($E$164:$E$179,MATCH(LEFT(DW164,FIND("·",DW164)-1),$C$164:$C$179,0))=MID(DW164,FIND("|",DW164)+1,10))*$D$18+MAX(0,IF($D$50=1,$D$17*(1-(ABS(INDEX($Q$164:$Q$179,MATCH(LEFT(DW164,FIND("·",DW164)-1),$C$164:$C$179,0))-(VALUE(MID(DW164,FIND("|",DW164)+1,FIND("-",DW164,FIND("|",DW164))-FIND("|",DW164)-1))-VALUE(MID(DW164,FIND("-",DW164,FIND("|",DW164))+1,10)))))*$D$50),$D$17*(1-(IF(INDEX($D$164:$D$179,MATCH(LEFT(DW164,FIND("·",DW164)-1),$C$164:$C$179,0))=0,ABS(INDEX($A$164:$A$179,MATCH(LEFT(DW164,FIND("·",DW164)-1),$C$164:$C$179,0))-VALUE(MID(DW164,FIND("|",DW164)+1,FIND("-",DW164,FIND("|",DW164))-FIND("|",DW164)-1))),ABS(INDEX($Q$164:$Q$179,MATCH(LEFT(DW164,FIND("·",DW164)-1),$C$164:$C$179,0))-(VALUE(MID(DW164,FIND("|",DW164)+1,FIND("-",DW164,FIND("|",DW164))-FIND("|",DW164)-1))-VALUE(MID(DW164,FIND("-",DW164,FIND("|",DW164))+1,10)))))*$D$50)))))*INDEX($I$164:$I$179,MATCH(LEFT(DW164,FIND("·",DW164)-1),$C$164:$C$179,0)),0),0),0)</f>
        <v>0</v>
      </c>
      <c r="DY164" s="110"/>
      <c r="DZ164" s="76" t="s">
        <v>2548</v>
      </c>
      <c r="EA164" s="77">
        <f t="shared" ref="EA164" ca="1" si="1378">IFERROR(IF(COUNTIF($K$164:$K$179,LEFT(DZ164,FIND("·",DZ164)-1))&gt;0,IF(INDEX($L$164:$L$179,MATCH(LEFT(DZ164,FIND("·",DZ164)-1),$K$164:$K$179,0))=IFERROR(VALUE(MID(DZ164,FIND("·",DZ164)+1,1)),0),($D$16+(INDEX($M$164:$M$179,MATCH(LEFT(DZ164,FIND("·",DZ164)-1),$K$164:$K$179,0))=MID(DZ164,FIND("|",DZ164)+1,10))*$D$18+MAX(0,IF($D$50=1,$D$17*(1-(ABS(INDEX($P$164:$P$179,MATCH(LEFT(DZ164,FIND("·",DZ164)-1),$K$164:$K$179,0))-(VALUE(MID(DZ164,FIND("|",DZ164)+1,FIND("-",DZ164,FIND("|",DZ164))-FIND("|",DZ164)-1))-VALUE(MID(DZ164,FIND("-",DZ164,FIND("|",DZ164))+1,10)))))*$D$50),$D$17*(1-(IF(INDEX($L$164:$L$179,MATCH(LEFT(DZ164,FIND("·",DZ164)-1),$K$164:$K$179,0))=0,ABS(INDEX($N$164:$N$179,MATCH(LEFT(DZ164,FIND("·",DZ164)-1),$K$164:$K$179,0))-VALUE(MID(DZ164,FIND("|",DZ164)+1,FIND("-",DZ164,FIND("|",DZ164))-FIND("|",DZ164)-1))),ABS(INDEX($P$164:$P$179,MATCH(LEFT(DZ164,FIND("·",DZ164)-1),$K$164:$K$179,0))-(VALUE(MID(DZ164,FIND("|",DZ164)+1,FIND("-",DZ164,FIND("|",DZ164))-FIND("|",DZ164)-1))-VALUE(MID(DZ164,FIND("-",DZ164,FIND("|",DZ164))+1,10)))))*$D$50)))))*INDEX($I$164:$I$179,MATCH(LEFT(DZ164,FIND("·",DZ164)-1),$K$164:$K$179,0)),0),0),0)+IFERROR(IF(COUNTIF($C$164:$C$179,LEFT(DZ164,FIND("·",DZ164)-1))&gt;0,IF(INDEX($D$164:$D$179,MATCH(LEFT(DZ164,FIND("·",DZ164)-1),$C$164:$C$179,0))=IFERROR(VALUE(MID(DZ164,FIND("·",DZ164)+1,1)),0),($D$16+(INDEX($E$164:$E$179,MATCH(LEFT(DZ164,FIND("·",DZ164)-1),$C$164:$C$179,0))=MID(DZ164,FIND("|",DZ164)+1,10))*$D$18+MAX(0,IF($D$50=1,$D$17*(1-(ABS(INDEX($Q$164:$Q$179,MATCH(LEFT(DZ164,FIND("·",DZ164)-1),$C$164:$C$179,0))-(VALUE(MID(DZ164,FIND("|",DZ164)+1,FIND("-",DZ164,FIND("|",DZ164))-FIND("|",DZ164)-1))-VALUE(MID(DZ164,FIND("-",DZ164,FIND("|",DZ164))+1,10)))))*$D$50),$D$17*(1-(IF(INDEX($D$164:$D$179,MATCH(LEFT(DZ164,FIND("·",DZ164)-1),$C$164:$C$179,0))=0,ABS(INDEX($A$164:$A$179,MATCH(LEFT(DZ164,FIND("·",DZ164)-1),$C$164:$C$179,0))-VALUE(MID(DZ164,FIND("|",DZ164)+1,FIND("-",DZ164,FIND("|",DZ164))-FIND("|",DZ164)-1))),ABS(INDEX($Q$164:$Q$179,MATCH(LEFT(DZ164,FIND("·",DZ164)-1),$C$164:$C$179,0))-(VALUE(MID(DZ164,FIND("|",DZ164)+1,FIND("-",DZ164,FIND("|",DZ164))-FIND("|",DZ164)-1))-VALUE(MID(DZ164,FIND("-",DZ164,FIND("|",DZ164))+1,10)))))*$D$50)))))*INDEX($I$164:$I$179,MATCH(LEFT(DZ164,FIND("·",DZ164)-1),$C$164:$C$179,0)),0),0),0)</f>
        <v>0</v>
      </c>
      <c r="EB164" s="110"/>
      <c r="EC164" s="76" t="s">
        <v>2548</v>
      </c>
      <c r="ED164" s="77">
        <f t="shared" ref="ED164" ca="1" si="1379">IFERROR(IF(COUNTIF($K$164:$K$179,LEFT(EC164,FIND("·",EC164)-1))&gt;0,IF(INDEX($L$164:$L$179,MATCH(LEFT(EC164,FIND("·",EC164)-1),$K$164:$K$179,0))=IFERROR(VALUE(MID(EC164,FIND("·",EC164)+1,1)),0),($D$16+(INDEX($M$164:$M$179,MATCH(LEFT(EC164,FIND("·",EC164)-1),$K$164:$K$179,0))=MID(EC164,FIND("|",EC164)+1,10))*$D$18+MAX(0,IF($D$50=1,$D$17*(1-(ABS(INDEX($P$164:$P$179,MATCH(LEFT(EC164,FIND("·",EC164)-1),$K$164:$K$179,0))-(VALUE(MID(EC164,FIND("|",EC164)+1,FIND("-",EC164,FIND("|",EC164))-FIND("|",EC164)-1))-VALUE(MID(EC164,FIND("-",EC164,FIND("|",EC164))+1,10)))))*$D$50),$D$17*(1-(IF(INDEX($L$164:$L$179,MATCH(LEFT(EC164,FIND("·",EC164)-1),$K$164:$K$179,0))=0,ABS(INDEX($N$164:$N$179,MATCH(LEFT(EC164,FIND("·",EC164)-1),$K$164:$K$179,0))-VALUE(MID(EC164,FIND("|",EC164)+1,FIND("-",EC164,FIND("|",EC164))-FIND("|",EC164)-1))),ABS(INDEX($P$164:$P$179,MATCH(LEFT(EC164,FIND("·",EC164)-1),$K$164:$K$179,0))-(VALUE(MID(EC164,FIND("|",EC164)+1,FIND("-",EC164,FIND("|",EC164))-FIND("|",EC164)-1))-VALUE(MID(EC164,FIND("-",EC164,FIND("|",EC164))+1,10)))))*$D$50)))))*INDEX($I$164:$I$179,MATCH(LEFT(EC164,FIND("·",EC164)-1),$K$164:$K$179,0)),0),0),0)+IFERROR(IF(COUNTIF($C$164:$C$179,LEFT(EC164,FIND("·",EC164)-1))&gt;0,IF(INDEX($D$164:$D$179,MATCH(LEFT(EC164,FIND("·",EC164)-1),$C$164:$C$179,0))=IFERROR(VALUE(MID(EC164,FIND("·",EC164)+1,1)),0),($D$16+(INDEX($E$164:$E$179,MATCH(LEFT(EC164,FIND("·",EC164)-1),$C$164:$C$179,0))=MID(EC164,FIND("|",EC164)+1,10))*$D$18+MAX(0,IF($D$50=1,$D$17*(1-(ABS(INDEX($Q$164:$Q$179,MATCH(LEFT(EC164,FIND("·",EC164)-1),$C$164:$C$179,0))-(VALUE(MID(EC164,FIND("|",EC164)+1,FIND("-",EC164,FIND("|",EC164))-FIND("|",EC164)-1))-VALUE(MID(EC164,FIND("-",EC164,FIND("|",EC164))+1,10)))))*$D$50),$D$17*(1-(IF(INDEX($D$164:$D$179,MATCH(LEFT(EC164,FIND("·",EC164)-1),$C$164:$C$179,0))=0,ABS(INDEX($A$164:$A$179,MATCH(LEFT(EC164,FIND("·",EC164)-1),$C$164:$C$179,0))-VALUE(MID(EC164,FIND("|",EC164)+1,FIND("-",EC164,FIND("|",EC164))-FIND("|",EC164)-1))),ABS(INDEX($Q$164:$Q$179,MATCH(LEFT(EC164,FIND("·",EC164)-1),$C$164:$C$179,0))-(VALUE(MID(EC164,FIND("|",EC164)+1,FIND("-",EC164,FIND("|",EC164))-FIND("|",EC164)-1))-VALUE(MID(EC164,FIND("-",EC164,FIND("|",EC164))+1,10)))))*$D$50)))))*INDEX($I$164:$I$179,MATCH(LEFT(EC164,FIND("·",EC164)-1),$C$164:$C$179,0)),0),0),0)</f>
        <v>0</v>
      </c>
      <c r="EE164" s="110"/>
      <c r="EF164" s="76" t="s">
        <v>2828</v>
      </c>
      <c r="EG164" s="77">
        <f t="shared" ref="EG164" ca="1" si="1380">IFERROR(IF(COUNTIF($K$164:$K$179,LEFT(EF164,FIND("·",EF164)-1))&gt;0,IF(INDEX($L$164:$L$179,MATCH(LEFT(EF164,FIND("·",EF164)-1),$K$164:$K$179,0))=IFERROR(VALUE(MID(EF164,FIND("·",EF164)+1,1)),0),($D$16+(INDEX($M$164:$M$179,MATCH(LEFT(EF164,FIND("·",EF164)-1),$K$164:$K$179,0))=MID(EF164,FIND("|",EF164)+1,10))*$D$18+MAX(0,IF($D$50=1,$D$17*(1-(ABS(INDEX($P$164:$P$179,MATCH(LEFT(EF164,FIND("·",EF164)-1),$K$164:$K$179,0))-(VALUE(MID(EF164,FIND("|",EF164)+1,FIND("-",EF164,FIND("|",EF164))-FIND("|",EF164)-1))-VALUE(MID(EF164,FIND("-",EF164,FIND("|",EF164))+1,10)))))*$D$50),$D$17*(1-(IF(INDEX($L$164:$L$179,MATCH(LEFT(EF164,FIND("·",EF164)-1),$K$164:$K$179,0))=0,ABS(INDEX($N$164:$N$179,MATCH(LEFT(EF164,FIND("·",EF164)-1),$K$164:$K$179,0))-VALUE(MID(EF164,FIND("|",EF164)+1,FIND("-",EF164,FIND("|",EF164))-FIND("|",EF164)-1))),ABS(INDEX($P$164:$P$179,MATCH(LEFT(EF164,FIND("·",EF164)-1),$K$164:$K$179,0))-(VALUE(MID(EF164,FIND("|",EF164)+1,FIND("-",EF164,FIND("|",EF164))-FIND("|",EF164)-1))-VALUE(MID(EF164,FIND("-",EF164,FIND("|",EF164))+1,10)))))*$D$50)))))*INDEX($I$164:$I$179,MATCH(LEFT(EF164,FIND("·",EF164)-1),$K$164:$K$179,0)),0),0),0)+IFERROR(IF(COUNTIF($C$164:$C$179,LEFT(EF164,FIND("·",EF164)-1))&gt;0,IF(INDEX($D$164:$D$179,MATCH(LEFT(EF164,FIND("·",EF164)-1),$C$164:$C$179,0))=IFERROR(VALUE(MID(EF164,FIND("·",EF164)+1,1)),0),($D$16+(INDEX($E$164:$E$179,MATCH(LEFT(EF164,FIND("·",EF164)-1),$C$164:$C$179,0))=MID(EF164,FIND("|",EF164)+1,10))*$D$18+MAX(0,IF($D$50=1,$D$17*(1-(ABS(INDEX($Q$164:$Q$179,MATCH(LEFT(EF164,FIND("·",EF164)-1),$C$164:$C$179,0))-(VALUE(MID(EF164,FIND("|",EF164)+1,FIND("-",EF164,FIND("|",EF164))-FIND("|",EF164)-1))-VALUE(MID(EF164,FIND("-",EF164,FIND("|",EF164))+1,10)))))*$D$50),$D$17*(1-(IF(INDEX($D$164:$D$179,MATCH(LEFT(EF164,FIND("·",EF164)-1),$C$164:$C$179,0))=0,ABS(INDEX($A$164:$A$179,MATCH(LEFT(EF164,FIND("·",EF164)-1),$C$164:$C$179,0))-VALUE(MID(EF164,FIND("|",EF164)+1,FIND("-",EF164,FIND("|",EF164))-FIND("|",EF164)-1))),ABS(INDEX($Q$164:$Q$179,MATCH(LEFT(EF164,FIND("·",EF164)-1),$C$164:$C$179,0))-(VALUE(MID(EF164,FIND("|",EF164)+1,FIND("-",EF164,FIND("|",EF164))-FIND("|",EF164)-1))-VALUE(MID(EF164,FIND("-",EF164,FIND("|",EF164))+1,10)))))*$D$50)))))*INDEX($I$164:$I$179,MATCH(LEFT(EF164,FIND("·",EF164)-1),$C$164:$C$179,0)),0),0),0)</f>
        <v>0</v>
      </c>
      <c r="EH164" s="110"/>
      <c r="EI164" s="76" t="s">
        <v>2857</v>
      </c>
      <c r="EJ164" s="77">
        <f t="shared" ref="EJ164" ca="1" si="1381">IFERROR(IF(COUNTIF($K$164:$K$179,LEFT(EI164,FIND("·",EI164)-1))&gt;0,IF(INDEX($L$164:$L$179,MATCH(LEFT(EI164,FIND("·",EI164)-1),$K$164:$K$179,0))=IFERROR(VALUE(MID(EI164,FIND("·",EI164)+1,1)),0),($D$16+(INDEX($M$164:$M$179,MATCH(LEFT(EI164,FIND("·",EI164)-1),$K$164:$K$179,0))=MID(EI164,FIND("|",EI164)+1,10))*$D$18+MAX(0,IF($D$50=1,$D$17*(1-(ABS(INDEX($P$164:$P$179,MATCH(LEFT(EI164,FIND("·",EI164)-1),$K$164:$K$179,0))-(VALUE(MID(EI164,FIND("|",EI164)+1,FIND("-",EI164,FIND("|",EI164))-FIND("|",EI164)-1))-VALUE(MID(EI164,FIND("-",EI164,FIND("|",EI164))+1,10)))))*$D$50),$D$17*(1-(IF(INDEX($L$164:$L$179,MATCH(LEFT(EI164,FIND("·",EI164)-1),$K$164:$K$179,0))=0,ABS(INDEX($N$164:$N$179,MATCH(LEFT(EI164,FIND("·",EI164)-1),$K$164:$K$179,0))-VALUE(MID(EI164,FIND("|",EI164)+1,FIND("-",EI164,FIND("|",EI164))-FIND("|",EI164)-1))),ABS(INDEX($P$164:$P$179,MATCH(LEFT(EI164,FIND("·",EI164)-1),$K$164:$K$179,0))-(VALUE(MID(EI164,FIND("|",EI164)+1,FIND("-",EI164,FIND("|",EI164))-FIND("|",EI164)-1))-VALUE(MID(EI164,FIND("-",EI164,FIND("|",EI164))+1,10)))))*$D$50)))))*INDEX($I$164:$I$179,MATCH(LEFT(EI164,FIND("·",EI164)-1),$K$164:$K$179,0)),0),0),0)+IFERROR(IF(COUNTIF($C$164:$C$179,LEFT(EI164,FIND("·",EI164)-1))&gt;0,IF(INDEX($D$164:$D$179,MATCH(LEFT(EI164,FIND("·",EI164)-1),$C$164:$C$179,0))=IFERROR(VALUE(MID(EI164,FIND("·",EI164)+1,1)),0),($D$16+(INDEX($E$164:$E$179,MATCH(LEFT(EI164,FIND("·",EI164)-1),$C$164:$C$179,0))=MID(EI164,FIND("|",EI164)+1,10))*$D$18+MAX(0,IF($D$50=1,$D$17*(1-(ABS(INDEX($Q$164:$Q$179,MATCH(LEFT(EI164,FIND("·",EI164)-1),$C$164:$C$179,0))-(VALUE(MID(EI164,FIND("|",EI164)+1,FIND("-",EI164,FIND("|",EI164))-FIND("|",EI164)-1))-VALUE(MID(EI164,FIND("-",EI164,FIND("|",EI164))+1,10)))))*$D$50),$D$17*(1-(IF(INDEX($D$164:$D$179,MATCH(LEFT(EI164,FIND("·",EI164)-1),$C$164:$C$179,0))=0,ABS(INDEX($A$164:$A$179,MATCH(LEFT(EI164,FIND("·",EI164)-1),$C$164:$C$179,0))-VALUE(MID(EI164,FIND("|",EI164)+1,FIND("-",EI164,FIND("|",EI164))-FIND("|",EI164)-1))),ABS(INDEX($Q$164:$Q$179,MATCH(LEFT(EI164,FIND("·",EI164)-1),$C$164:$C$179,0))-(VALUE(MID(EI164,FIND("|",EI164)+1,FIND("-",EI164,FIND("|",EI164))-FIND("|",EI164)-1))-VALUE(MID(EI164,FIND("-",EI164,FIND("|",EI164))+1,10)))))*$D$50)))))*INDEX($I$164:$I$179,MATCH(LEFT(EI164,FIND("·",EI164)-1),$C$164:$C$179,0)),0),0),0)</f>
        <v>0</v>
      </c>
      <c r="EK164" s="110"/>
      <c r="EL164" s="76" t="s">
        <v>2857</v>
      </c>
      <c r="EM164" s="77">
        <f t="shared" ref="EM164" ca="1" si="1382">IFERROR(IF(COUNTIF($K$164:$K$179,LEFT(EL164,FIND("·",EL164)-1))&gt;0,IF(INDEX($L$164:$L$179,MATCH(LEFT(EL164,FIND("·",EL164)-1),$K$164:$K$179,0))=IFERROR(VALUE(MID(EL164,FIND("·",EL164)+1,1)),0),($D$16+(INDEX($M$164:$M$179,MATCH(LEFT(EL164,FIND("·",EL164)-1),$K$164:$K$179,0))=MID(EL164,FIND("|",EL164)+1,10))*$D$18+MAX(0,IF($D$50=1,$D$17*(1-(ABS(INDEX($P$164:$P$179,MATCH(LEFT(EL164,FIND("·",EL164)-1),$K$164:$K$179,0))-(VALUE(MID(EL164,FIND("|",EL164)+1,FIND("-",EL164,FIND("|",EL164))-FIND("|",EL164)-1))-VALUE(MID(EL164,FIND("-",EL164,FIND("|",EL164))+1,10)))))*$D$50),$D$17*(1-(IF(INDEX($L$164:$L$179,MATCH(LEFT(EL164,FIND("·",EL164)-1),$K$164:$K$179,0))=0,ABS(INDEX($N$164:$N$179,MATCH(LEFT(EL164,FIND("·",EL164)-1),$K$164:$K$179,0))-VALUE(MID(EL164,FIND("|",EL164)+1,FIND("-",EL164,FIND("|",EL164))-FIND("|",EL164)-1))),ABS(INDEX($P$164:$P$179,MATCH(LEFT(EL164,FIND("·",EL164)-1),$K$164:$K$179,0))-(VALUE(MID(EL164,FIND("|",EL164)+1,FIND("-",EL164,FIND("|",EL164))-FIND("|",EL164)-1))-VALUE(MID(EL164,FIND("-",EL164,FIND("|",EL164))+1,10)))))*$D$50)))))*INDEX($I$164:$I$179,MATCH(LEFT(EL164,FIND("·",EL164)-1),$K$164:$K$179,0)),0),0),0)+IFERROR(IF(COUNTIF($C$164:$C$179,LEFT(EL164,FIND("·",EL164)-1))&gt;0,IF(INDEX($D$164:$D$179,MATCH(LEFT(EL164,FIND("·",EL164)-1),$C$164:$C$179,0))=IFERROR(VALUE(MID(EL164,FIND("·",EL164)+1,1)),0),($D$16+(INDEX($E$164:$E$179,MATCH(LEFT(EL164,FIND("·",EL164)-1),$C$164:$C$179,0))=MID(EL164,FIND("|",EL164)+1,10))*$D$18+MAX(0,IF($D$50=1,$D$17*(1-(ABS(INDEX($Q$164:$Q$179,MATCH(LEFT(EL164,FIND("·",EL164)-1),$C$164:$C$179,0))-(VALUE(MID(EL164,FIND("|",EL164)+1,FIND("-",EL164,FIND("|",EL164))-FIND("|",EL164)-1))-VALUE(MID(EL164,FIND("-",EL164,FIND("|",EL164))+1,10)))))*$D$50),$D$17*(1-(IF(INDEX($D$164:$D$179,MATCH(LEFT(EL164,FIND("·",EL164)-1),$C$164:$C$179,0))=0,ABS(INDEX($A$164:$A$179,MATCH(LEFT(EL164,FIND("·",EL164)-1),$C$164:$C$179,0))-VALUE(MID(EL164,FIND("|",EL164)+1,FIND("-",EL164,FIND("|",EL164))-FIND("|",EL164)-1))),ABS(INDEX($Q$164:$Q$179,MATCH(LEFT(EL164,FIND("·",EL164)-1),$C$164:$C$179,0))-(VALUE(MID(EL164,FIND("|",EL164)+1,FIND("-",EL164,FIND("|",EL164))-FIND("|",EL164)-1))-VALUE(MID(EL164,FIND("-",EL164,FIND("|",EL164))+1,10)))))*$D$50)))))*INDEX($I$164:$I$179,MATCH(LEFT(EL164,FIND("·",EL164)-1),$C$164:$C$179,0)),0),0),0)</f>
        <v>0</v>
      </c>
      <c r="EN164" s="110"/>
      <c r="EO164" s="76" t="s">
        <v>2872</v>
      </c>
      <c r="EP164" s="77">
        <f t="shared" ref="EP164" ca="1" si="1383">IFERROR(IF(COUNTIF($K$164:$K$179,LEFT(EO164,FIND("·",EO164)-1))&gt;0,IF(INDEX($L$164:$L$179,MATCH(LEFT(EO164,FIND("·",EO164)-1),$K$164:$K$179,0))=IFERROR(VALUE(MID(EO164,FIND("·",EO164)+1,1)),0),($D$16+(INDEX($M$164:$M$179,MATCH(LEFT(EO164,FIND("·",EO164)-1),$K$164:$K$179,0))=MID(EO164,FIND("|",EO164)+1,10))*$D$18+MAX(0,IF($D$50=1,$D$17*(1-(ABS(INDEX($P$164:$P$179,MATCH(LEFT(EO164,FIND("·",EO164)-1),$K$164:$K$179,0))-(VALUE(MID(EO164,FIND("|",EO164)+1,FIND("-",EO164,FIND("|",EO164))-FIND("|",EO164)-1))-VALUE(MID(EO164,FIND("-",EO164,FIND("|",EO164))+1,10)))))*$D$50),$D$17*(1-(IF(INDEX($L$164:$L$179,MATCH(LEFT(EO164,FIND("·",EO164)-1),$K$164:$K$179,0))=0,ABS(INDEX($N$164:$N$179,MATCH(LEFT(EO164,FIND("·",EO164)-1),$K$164:$K$179,0))-VALUE(MID(EO164,FIND("|",EO164)+1,FIND("-",EO164,FIND("|",EO164))-FIND("|",EO164)-1))),ABS(INDEX($P$164:$P$179,MATCH(LEFT(EO164,FIND("·",EO164)-1),$K$164:$K$179,0))-(VALUE(MID(EO164,FIND("|",EO164)+1,FIND("-",EO164,FIND("|",EO164))-FIND("|",EO164)-1))-VALUE(MID(EO164,FIND("-",EO164,FIND("|",EO164))+1,10)))))*$D$50)))))*INDEX($I$164:$I$179,MATCH(LEFT(EO164,FIND("·",EO164)-1),$K$164:$K$179,0)),0),0),0)+IFERROR(IF(COUNTIF($C$164:$C$179,LEFT(EO164,FIND("·",EO164)-1))&gt;0,IF(INDEX($D$164:$D$179,MATCH(LEFT(EO164,FIND("·",EO164)-1),$C$164:$C$179,0))=IFERROR(VALUE(MID(EO164,FIND("·",EO164)+1,1)),0),($D$16+(INDEX($E$164:$E$179,MATCH(LEFT(EO164,FIND("·",EO164)-1),$C$164:$C$179,0))=MID(EO164,FIND("|",EO164)+1,10))*$D$18+MAX(0,IF($D$50=1,$D$17*(1-(ABS(INDEX($Q$164:$Q$179,MATCH(LEFT(EO164,FIND("·",EO164)-1),$C$164:$C$179,0))-(VALUE(MID(EO164,FIND("|",EO164)+1,FIND("-",EO164,FIND("|",EO164))-FIND("|",EO164)-1))-VALUE(MID(EO164,FIND("-",EO164,FIND("|",EO164))+1,10)))))*$D$50),$D$17*(1-(IF(INDEX($D$164:$D$179,MATCH(LEFT(EO164,FIND("·",EO164)-1),$C$164:$C$179,0))=0,ABS(INDEX($A$164:$A$179,MATCH(LEFT(EO164,FIND("·",EO164)-1),$C$164:$C$179,0))-VALUE(MID(EO164,FIND("|",EO164)+1,FIND("-",EO164,FIND("|",EO164))-FIND("|",EO164)-1))),ABS(INDEX($Q$164:$Q$179,MATCH(LEFT(EO164,FIND("·",EO164)-1),$C$164:$C$179,0))-(VALUE(MID(EO164,FIND("|",EO164)+1,FIND("-",EO164,FIND("|",EO164))-FIND("|",EO164)-1))-VALUE(MID(EO164,FIND("-",EO164,FIND("|",EO164))+1,10)))))*$D$50)))))*INDEX($I$164:$I$179,MATCH(LEFT(EO164,FIND("·",EO164)-1),$C$164:$C$179,0)),0),0),0)</f>
        <v>0</v>
      </c>
      <c r="EQ164" s="110"/>
      <c r="ER164" s="76" t="s">
        <v>2405</v>
      </c>
      <c r="ES164" s="77">
        <f t="shared" ref="ES164" ca="1" si="1384">IFERROR(IF(COUNTIF($K$164:$K$179,LEFT(ER164,FIND("·",ER164)-1))&gt;0,IF(INDEX($L$164:$L$179,MATCH(LEFT(ER164,FIND("·",ER164)-1),$K$164:$K$179,0))=IFERROR(VALUE(MID(ER164,FIND("·",ER164)+1,1)),0),($D$16+(INDEX($M$164:$M$179,MATCH(LEFT(ER164,FIND("·",ER164)-1),$K$164:$K$179,0))=MID(ER164,FIND("|",ER164)+1,10))*$D$18+MAX(0,IF($D$50=1,$D$17*(1-(ABS(INDEX($P$164:$P$179,MATCH(LEFT(ER164,FIND("·",ER164)-1),$K$164:$K$179,0))-(VALUE(MID(ER164,FIND("|",ER164)+1,FIND("-",ER164,FIND("|",ER164))-FIND("|",ER164)-1))-VALUE(MID(ER164,FIND("-",ER164,FIND("|",ER164))+1,10)))))*$D$50),$D$17*(1-(IF(INDEX($L$164:$L$179,MATCH(LEFT(ER164,FIND("·",ER164)-1),$K$164:$K$179,0))=0,ABS(INDEX($N$164:$N$179,MATCH(LEFT(ER164,FIND("·",ER164)-1),$K$164:$K$179,0))-VALUE(MID(ER164,FIND("|",ER164)+1,FIND("-",ER164,FIND("|",ER164))-FIND("|",ER164)-1))),ABS(INDEX($P$164:$P$179,MATCH(LEFT(ER164,FIND("·",ER164)-1),$K$164:$K$179,0))-(VALUE(MID(ER164,FIND("|",ER164)+1,FIND("-",ER164,FIND("|",ER164))-FIND("|",ER164)-1))-VALUE(MID(ER164,FIND("-",ER164,FIND("|",ER164))+1,10)))))*$D$50)))))*INDEX($I$164:$I$179,MATCH(LEFT(ER164,FIND("·",ER164)-1),$K$164:$K$179,0)),0),0),0)+IFERROR(IF(COUNTIF($C$164:$C$179,LEFT(ER164,FIND("·",ER164)-1))&gt;0,IF(INDEX($D$164:$D$179,MATCH(LEFT(ER164,FIND("·",ER164)-1),$C$164:$C$179,0))=IFERROR(VALUE(MID(ER164,FIND("·",ER164)+1,1)),0),($D$16+(INDEX($E$164:$E$179,MATCH(LEFT(ER164,FIND("·",ER164)-1),$C$164:$C$179,0))=MID(ER164,FIND("|",ER164)+1,10))*$D$18+MAX(0,IF($D$50=1,$D$17*(1-(ABS(INDEX($Q$164:$Q$179,MATCH(LEFT(ER164,FIND("·",ER164)-1),$C$164:$C$179,0))-(VALUE(MID(ER164,FIND("|",ER164)+1,FIND("-",ER164,FIND("|",ER164))-FIND("|",ER164)-1))-VALUE(MID(ER164,FIND("-",ER164,FIND("|",ER164))+1,10)))))*$D$50),$D$17*(1-(IF(INDEX($D$164:$D$179,MATCH(LEFT(ER164,FIND("·",ER164)-1),$C$164:$C$179,0))=0,ABS(INDEX($A$164:$A$179,MATCH(LEFT(ER164,FIND("·",ER164)-1),$C$164:$C$179,0))-VALUE(MID(ER164,FIND("|",ER164)+1,FIND("-",ER164,FIND("|",ER164))-FIND("|",ER164)-1))),ABS(INDEX($Q$164:$Q$179,MATCH(LEFT(ER164,FIND("·",ER164)-1),$C$164:$C$179,0))-(VALUE(MID(ER164,FIND("|",ER164)+1,FIND("-",ER164,FIND("|",ER164))-FIND("|",ER164)-1))-VALUE(MID(ER164,FIND("-",ER164,FIND("|",ER164))+1,10)))))*$D$50)))))*INDEX($I$164:$I$179,MATCH(LEFT(ER164,FIND("·",ER164)-1),$C$164:$C$179,0)),0),0),0)</f>
        <v>0</v>
      </c>
      <c r="ET164" s="110"/>
      <c r="EU164" s="76" t="s">
        <v>2897</v>
      </c>
      <c r="EV164" s="77">
        <f t="shared" ref="EV164" ca="1" si="1385">IFERROR(IF(COUNTIF($K$164:$K$179,LEFT(EU164,FIND("·",EU164)-1))&gt;0,IF(INDEX($L$164:$L$179,MATCH(LEFT(EU164,FIND("·",EU164)-1),$K$164:$K$179,0))=IFERROR(VALUE(MID(EU164,FIND("·",EU164)+1,1)),0),($D$16+(INDEX($M$164:$M$179,MATCH(LEFT(EU164,FIND("·",EU164)-1),$K$164:$K$179,0))=MID(EU164,FIND("|",EU164)+1,10))*$D$18+MAX(0,IF($D$50=1,$D$17*(1-(ABS(INDEX($P$164:$P$179,MATCH(LEFT(EU164,FIND("·",EU164)-1),$K$164:$K$179,0))-(VALUE(MID(EU164,FIND("|",EU164)+1,FIND("-",EU164,FIND("|",EU164))-FIND("|",EU164)-1))-VALUE(MID(EU164,FIND("-",EU164,FIND("|",EU164))+1,10)))))*$D$50),$D$17*(1-(IF(INDEX($L$164:$L$179,MATCH(LEFT(EU164,FIND("·",EU164)-1),$K$164:$K$179,0))=0,ABS(INDEX($N$164:$N$179,MATCH(LEFT(EU164,FIND("·",EU164)-1),$K$164:$K$179,0))-VALUE(MID(EU164,FIND("|",EU164)+1,FIND("-",EU164,FIND("|",EU164))-FIND("|",EU164)-1))),ABS(INDEX($P$164:$P$179,MATCH(LEFT(EU164,FIND("·",EU164)-1),$K$164:$K$179,0))-(VALUE(MID(EU164,FIND("|",EU164)+1,FIND("-",EU164,FIND("|",EU164))-FIND("|",EU164)-1))-VALUE(MID(EU164,FIND("-",EU164,FIND("|",EU164))+1,10)))))*$D$50)))))*INDEX($I$164:$I$179,MATCH(LEFT(EU164,FIND("·",EU164)-1),$K$164:$K$179,0)),0),0),0)+IFERROR(IF(COUNTIF($C$164:$C$179,LEFT(EU164,FIND("·",EU164)-1))&gt;0,IF(INDEX($D$164:$D$179,MATCH(LEFT(EU164,FIND("·",EU164)-1),$C$164:$C$179,0))=IFERROR(VALUE(MID(EU164,FIND("·",EU164)+1,1)),0),($D$16+(INDEX($E$164:$E$179,MATCH(LEFT(EU164,FIND("·",EU164)-1),$C$164:$C$179,0))=MID(EU164,FIND("|",EU164)+1,10))*$D$18+MAX(0,IF($D$50=1,$D$17*(1-(ABS(INDEX($Q$164:$Q$179,MATCH(LEFT(EU164,FIND("·",EU164)-1),$C$164:$C$179,0))-(VALUE(MID(EU164,FIND("|",EU164)+1,FIND("-",EU164,FIND("|",EU164))-FIND("|",EU164)-1))-VALUE(MID(EU164,FIND("-",EU164,FIND("|",EU164))+1,10)))))*$D$50),$D$17*(1-(IF(INDEX($D$164:$D$179,MATCH(LEFT(EU164,FIND("·",EU164)-1),$C$164:$C$179,0))=0,ABS(INDEX($A$164:$A$179,MATCH(LEFT(EU164,FIND("·",EU164)-1),$C$164:$C$179,0))-VALUE(MID(EU164,FIND("|",EU164)+1,FIND("-",EU164,FIND("|",EU164))-FIND("|",EU164)-1))),ABS(INDEX($Q$164:$Q$179,MATCH(LEFT(EU164,FIND("·",EU164)-1),$C$164:$C$179,0))-(VALUE(MID(EU164,FIND("|",EU164)+1,FIND("-",EU164,FIND("|",EU164))-FIND("|",EU164)-1))-VALUE(MID(EU164,FIND("-",EU164,FIND("|",EU164))+1,10)))))*$D$50)))))*INDEX($I$164:$I$179,MATCH(LEFT(EU164,FIND("·",EU164)-1),$C$164:$C$179,0)),0),0),0)</f>
        <v>0</v>
      </c>
      <c r="EW164" s="110"/>
      <c r="EX164" s="76" t="s">
        <v>2777</v>
      </c>
      <c r="EY164" s="77">
        <f t="shared" ref="EY164:HJ176" ca="1" si="1386">IFERROR(IF(COUNTIF($K$164:$K$179,LEFT(EX164,FIND("·",EX164)-1))&gt;0,IF(INDEX($L$164:$L$179,MATCH(LEFT(EX164,FIND("·",EX164)-1),$K$164:$K$179,0))=IFERROR(VALUE(MID(EX164,FIND("·",EX164)+1,1)),0),($D$16+(INDEX($M$164:$M$179,MATCH(LEFT(EX164,FIND("·",EX164)-1),$K$164:$K$179,0))=MID(EX164,FIND("|",EX164)+1,10))*$D$18+MAX(0,IF($D$50=1,$D$17*(1-(ABS(INDEX($P$164:$P$179,MATCH(LEFT(EX164,FIND("·",EX164)-1),$K$164:$K$179,0))-(VALUE(MID(EX164,FIND("|",EX164)+1,FIND("-",EX164,FIND("|",EX164))-FIND("|",EX164)-1))-VALUE(MID(EX164,FIND("-",EX164,FIND("|",EX164))+1,10)))))*$D$50),$D$17*(1-(IF(INDEX($L$164:$L$179,MATCH(LEFT(EX164,FIND("·",EX164)-1),$K$164:$K$179,0))=0,ABS(INDEX($N$164:$N$179,MATCH(LEFT(EX164,FIND("·",EX164)-1),$K$164:$K$179,0))-VALUE(MID(EX164,FIND("|",EX164)+1,FIND("-",EX164,FIND("|",EX164))-FIND("|",EX164)-1))),ABS(INDEX($P$164:$P$179,MATCH(LEFT(EX164,FIND("·",EX164)-1),$K$164:$K$179,0))-(VALUE(MID(EX164,FIND("|",EX164)+1,FIND("-",EX164,FIND("|",EX164))-FIND("|",EX164)-1))-VALUE(MID(EX164,FIND("-",EX164,FIND("|",EX164))+1,10)))))*$D$50)))))*INDEX($I$164:$I$179,MATCH(LEFT(EX164,FIND("·",EX164)-1),$K$164:$K$179,0)),0),0),0)+IFERROR(IF(COUNTIF($C$164:$C$179,LEFT(EX164,FIND("·",EX164)-1))&gt;0,IF(INDEX($D$164:$D$179,MATCH(LEFT(EX164,FIND("·",EX164)-1),$C$164:$C$179,0))=IFERROR(VALUE(MID(EX164,FIND("·",EX164)+1,1)),0),($D$16+(INDEX($E$164:$E$179,MATCH(LEFT(EX164,FIND("·",EX164)-1),$C$164:$C$179,0))=MID(EX164,FIND("|",EX164)+1,10))*$D$18+MAX(0,IF($D$50=1,$D$17*(1-(ABS(INDEX($Q$164:$Q$179,MATCH(LEFT(EX164,FIND("·",EX164)-1),$C$164:$C$179,0))-(VALUE(MID(EX164,FIND("|",EX164)+1,FIND("-",EX164,FIND("|",EX164))-FIND("|",EX164)-1))-VALUE(MID(EX164,FIND("-",EX164,FIND("|",EX164))+1,10)))))*$D$50),$D$17*(1-(IF(INDEX($D$164:$D$179,MATCH(LEFT(EX164,FIND("·",EX164)-1),$C$164:$C$179,0))=0,ABS(INDEX($A$164:$A$179,MATCH(LEFT(EX164,FIND("·",EX164)-1),$C$164:$C$179,0))-VALUE(MID(EX164,FIND("|",EX164)+1,FIND("-",EX164,FIND("|",EX164))-FIND("|",EX164)-1))),ABS(INDEX($Q$164:$Q$179,MATCH(LEFT(EX164,FIND("·",EX164)-1),$C$164:$C$179,0))-(VALUE(MID(EX164,FIND("|",EX164)+1,FIND("-",EX164,FIND("|",EX164))-FIND("|",EX164)-1))-VALUE(MID(EX164,FIND("-",EX164,FIND("|",EX164))+1,10)))))*$D$50)))))*INDEX($I$164:$I$179,MATCH(LEFT(EX164,FIND("·",EX164)-1),$C$164:$C$179,0)),0),0),0)</f>
        <v>0</v>
      </c>
      <c r="EZ164" s="110"/>
      <c r="FA164" s="76" t="s">
        <v>2924</v>
      </c>
      <c r="FB164" s="77">
        <f t="shared" ref="FB164" ca="1" si="1387">IFERROR(IF(COUNTIF($K$164:$K$179,LEFT(FA164,FIND("·",FA164)-1))&gt;0,IF(INDEX($L$164:$L$179,MATCH(LEFT(FA164,FIND("·",FA164)-1),$K$164:$K$179,0))=IFERROR(VALUE(MID(FA164,FIND("·",FA164)+1,1)),0),($D$16+(INDEX($M$164:$M$179,MATCH(LEFT(FA164,FIND("·",FA164)-1),$K$164:$K$179,0))=MID(FA164,FIND("|",FA164)+1,10))*$D$18+MAX(0,IF($D$50=1,$D$17*(1-(ABS(INDEX($P$164:$P$179,MATCH(LEFT(FA164,FIND("·",FA164)-1),$K$164:$K$179,0))-(VALUE(MID(FA164,FIND("|",FA164)+1,FIND("-",FA164,FIND("|",FA164))-FIND("|",FA164)-1))-VALUE(MID(FA164,FIND("-",FA164,FIND("|",FA164))+1,10)))))*$D$50),$D$17*(1-(IF(INDEX($L$164:$L$179,MATCH(LEFT(FA164,FIND("·",FA164)-1),$K$164:$K$179,0))=0,ABS(INDEX($N$164:$N$179,MATCH(LEFT(FA164,FIND("·",FA164)-1),$K$164:$K$179,0))-VALUE(MID(FA164,FIND("|",FA164)+1,FIND("-",FA164,FIND("|",FA164))-FIND("|",FA164)-1))),ABS(INDEX($P$164:$P$179,MATCH(LEFT(FA164,FIND("·",FA164)-1),$K$164:$K$179,0))-(VALUE(MID(FA164,FIND("|",FA164)+1,FIND("-",FA164,FIND("|",FA164))-FIND("|",FA164)-1))-VALUE(MID(FA164,FIND("-",FA164,FIND("|",FA164))+1,10)))))*$D$50)))))*INDEX($I$164:$I$179,MATCH(LEFT(FA164,FIND("·",FA164)-1),$K$164:$K$179,0)),0),0),0)+IFERROR(IF(COUNTIF($C$164:$C$179,LEFT(FA164,FIND("·",FA164)-1))&gt;0,IF(INDEX($D$164:$D$179,MATCH(LEFT(FA164,FIND("·",FA164)-1),$C$164:$C$179,0))=IFERROR(VALUE(MID(FA164,FIND("·",FA164)+1,1)),0),($D$16+(INDEX($E$164:$E$179,MATCH(LEFT(FA164,FIND("·",FA164)-1),$C$164:$C$179,0))=MID(FA164,FIND("|",FA164)+1,10))*$D$18+MAX(0,IF($D$50=1,$D$17*(1-(ABS(INDEX($Q$164:$Q$179,MATCH(LEFT(FA164,FIND("·",FA164)-1),$C$164:$C$179,0))-(VALUE(MID(FA164,FIND("|",FA164)+1,FIND("-",FA164,FIND("|",FA164))-FIND("|",FA164)-1))-VALUE(MID(FA164,FIND("-",FA164,FIND("|",FA164))+1,10)))))*$D$50),$D$17*(1-(IF(INDEX($D$164:$D$179,MATCH(LEFT(FA164,FIND("·",FA164)-1),$C$164:$C$179,0))=0,ABS(INDEX($A$164:$A$179,MATCH(LEFT(FA164,FIND("·",FA164)-1),$C$164:$C$179,0))-VALUE(MID(FA164,FIND("|",FA164)+1,FIND("-",FA164,FIND("|",FA164))-FIND("|",FA164)-1))),ABS(INDEX($Q$164:$Q$179,MATCH(LEFT(FA164,FIND("·",FA164)-1),$C$164:$C$179,0))-(VALUE(MID(FA164,FIND("|",FA164)+1,FIND("-",FA164,FIND("|",FA164))-FIND("|",FA164)-1))-VALUE(MID(FA164,FIND("-",FA164,FIND("|",FA164))+1,10)))))*$D$50)))))*INDEX($I$164:$I$179,MATCH(LEFT(FA164,FIND("·",FA164)-1),$C$164:$C$179,0)),0),0),0)</f>
        <v>0</v>
      </c>
      <c r="FC164" s="110"/>
      <c r="FD164" s="76" t="s">
        <v>2777</v>
      </c>
      <c r="FE164" s="77">
        <f t="shared" ref="FE164" ca="1" si="1388">IFERROR(IF(COUNTIF($K$164:$K$179,LEFT(FD164,FIND("·",FD164)-1))&gt;0,IF(INDEX($L$164:$L$179,MATCH(LEFT(FD164,FIND("·",FD164)-1),$K$164:$K$179,0))=IFERROR(VALUE(MID(FD164,FIND("·",FD164)+1,1)),0),($D$16+(INDEX($M$164:$M$179,MATCH(LEFT(FD164,FIND("·",FD164)-1),$K$164:$K$179,0))=MID(FD164,FIND("|",FD164)+1,10))*$D$18+MAX(0,IF($D$50=1,$D$17*(1-(ABS(INDEX($P$164:$P$179,MATCH(LEFT(FD164,FIND("·",FD164)-1),$K$164:$K$179,0))-(VALUE(MID(FD164,FIND("|",FD164)+1,FIND("-",FD164,FIND("|",FD164))-FIND("|",FD164)-1))-VALUE(MID(FD164,FIND("-",FD164,FIND("|",FD164))+1,10)))))*$D$50),$D$17*(1-(IF(INDEX($L$164:$L$179,MATCH(LEFT(FD164,FIND("·",FD164)-1),$K$164:$K$179,0))=0,ABS(INDEX($N$164:$N$179,MATCH(LEFT(FD164,FIND("·",FD164)-1),$K$164:$K$179,0))-VALUE(MID(FD164,FIND("|",FD164)+1,FIND("-",FD164,FIND("|",FD164))-FIND("|",FD164)-1))),ABS(INDEX($P$164:$P$179,MATCH(LEFT(FD164,FIND("·",FD164)-1),$K$164:$K$179,0))-(VALUE(MID(FD164,FIND("|",FD164)+1,FIND("-",FD164,FIND("|",FD164))-FIND("|",FD164)-1))-VALUE(MID(FD164,FIND("-",FD164,FIND("|",FD164))+1,10)))))*$D$50)))))*INDEX($I$164:$I$179,MATCH(LEFT(FD164,FIND("·",FD164)-1),$K$164:$K$179,0)),0),0),0)+IFERROR(IF(COUNTIF($C$164:$C$179,LEFT(FD164,FIND("·",FD164)-1))&gt;0,IF(INDEX($D$164:$D$179,MATCH(LEFT(FD164,FIND("·",FD164)-1),$C$164:$C$179,0))=IFERROR(VALUE(MID(FD164,FIND("·",FD164)+1,1)),0),($D$16+(INDEX($E$164:$E$179,MATCH(LEFT(FD164,FIND("·",FD164)-1),$C$164:$C$179,0))=MID(FD164,FIND("|",FD164)+1,10))*$D$18+MAX(0,IF($D$50=1,$D$17*(1-(ABS(INDEX($Q$164:$Q$179,MATCH(LEFT(FD164,FIND("·",FD164)-1),$C$164:$C$179,0))-(VALUE(MID(FD164,FIND("|",FD164)+1,FIND("-",FD164,FIND("|",FD164))-FIND("|",FD164)-1))-VALUE(MID(FD164,FIND("-",FD164,FIND("|",FD164))+1,10)))))*$D$50),$D$17*(1-(IF(INDEX($D$164:$D$179,MATCH(LEFT(FD164,FIND("·",FD164)-1),$C$164:$C$179,0))=0,ABS(INDEX($A$164:$A$179,MATCH(LEFT(FD164,FIND("·",FD164)-1),$C$164:$C$179,0))-VALUE(MID(FD164,FIND("|",FD164)+1,FIND("-",FD164,FIND("|",FD164))-FIND("|",FD164)-1))),ABS(INDEX($Q$164:$Q$179,MATCH(LEFT(FD164,FIND("·",FD164)-1),$C$164:$C$179,0))-(VALUE(MID(FD164,FIND("|",FD164)+1,FIND("-",FD164,FIND("|",FD164))-FIND("|",FD164)-1))-VALUE(MID(FD164,FIND("-",FD164,FIND("|",FD164))+1,10)))))*$D$50)))))*INDEX($I$164:$I$179,MATCH(LEFT(FD164,FIND("·",FD164)-1),$C$164:$C$179,0)),0),0),0)</f>
        <v>0</v>
      </c>
      <c r="FF164" s="110"/>
      <c r="FG164" s="76" t="s">
        <v>2949</v>
      </c>
      <c r="FH164" s="77">
        <f t="shared" ref="FH164" ca="1" si="1389">IFERROR(IF(COUNTIF($K$164:$K$179,LEFT(FG164,FIND("·",FG164)-1))&gt;0,IF(INDEX($L$164:$L$179,MATCH(LEFT(FG164,FIND("·",FG164)-1),$K$164:$K$179,0))=IFERROR(VALUE(MID(FG164,FIND("·",FG164)+1,1)),0),($D$16+(INDEX($M$164:$M$179,MATCH(LEFT(FG164,FIND("·",FG164)-1),$K$164:$K$179,0))=MID(FG164,FIND("|",FG164)+1,10))*$D$18+MAX(0,IF($D$50=1,$D$17*(1-(ABS(INDEX($P$164:$P$179,MATCH(LEFT(FG164,FIND("·",FG164)-1),$K$164:$K$179,0))-(VALUE(MID(FG164,FIND("|",FG164)+1,FIND("-",FG164,FIND("|",FG164))-FIND("|",FG164)-1))-VALUE(MID(FG164,FIND("-",FG164,FIND("|",FG164))+1,10)))))*$D$50),$D$17*(1-(IF(INDEX($L$164:$L$179,MATCH(LEFT(FG164,FIND("·",FG164)-1),$K$164:$K$179,0))=0,ABS(INDEX($N$164:$N$179,MATCH(LEFT(FG164,FIND("·",FG164)-1),$K$164:$K$179,0))-VALUE(MID(FG164,FIND("|",FG164)+1,FIND("-",FG164,FIND("|",FG164))-FIND("|",FG164)-1))),ABS(INDEX($P$164:$P$179,MATCH(LEFT(FG164,FIND("·",FG164)-1),$K$164:$K$179,0))-(VALUE(MID(FG164,FIND("|",FG164)+1,FIND("-",FG164,FIND("|",FG164))-FIND("|",FG164)-1))-VALUE(MID(FG164,FIND("-",FG164,FIND("|",FG164))+1,10)))))*$D$50)))))*INDEX($I$164:$I$179,MATCH(LEFT(FG164,FIND("·",FG164)-1),$K$164:$K$179,0)),0),0),0)+IFERROR(IF(COUNTIF($C$164:$C$179,LEFT(FG164,FIND("·",FG164)-1))&gt;0,IF(INDEX($D$164:$D$179,MATCH(LEFT(FG164,FIND("·",FG164)-1),$C$164:$C$179,0))=IFERROR(VALUE(MID(FG164,FIND("·",FG164)+1,1)),0),($D$16+(INDEX($E$164:$E$179,MATCH(LEFT(FG164,FIND("·",FG164)-1),$C$164:$C$179,0))=MID(FG164,FIND("|",FG164)+1,10))*$D$18+MAX(0,IF($D$50=1,$D$17*(1-(ABS(INDEX($Q$164:$Q$179,MATCH(LEFT(FG164,FIND("·",FG164)-1),$C$164:$C$179,0))-(VALUE(MID(FG164,FIND("|",FG164)+1,FIND("-",FG164,FIND("|",FG164))-FIND("|",FG164)-1))-VALUE(MID(FG164,FIND("-",FG164,FIND("|",FG164))+1,10)))))*$D$50),$D$17*(1-(IF(INDEX($D$164:$D$179,MATCH(LEFT(FG164,FIND("·",FG164)-1),$C$164:$C$179,0))=0,ABS(INDEX($A$164:$A$179,MATCH(LEFT(FG164,FIND("·",FG164)-1),$C$164:$C$179,0))-VALUE(MID(FG164,FIND("|",FG164)+1,FIND("-",FG164,FIND("|",FG164))-FIND("|",FG164)-1))),ABS(INDEX($Q$164:$Q$179,MATCH(LEFT(FG164,FIND("·",FG164)-1),$C$164:$C$179,0))-(VALUE(MID(FG164,FIND("|",FG164)+1,FIND("-",FG164,FIND("|",FG164))-FIND("|",FG164)-1))-VALUE(MID(FG164,FIND("-",FG164,FIND("|",FG164))+1,10)))))*$D$50)))))*INDEX($I$164:$I$179,MATCH(LEFT(FG164,FIND("·",FG164)-1),$C$164:$C$179,0)),0),0),0)</f>
        <v>0</v>
      </c>
      <c r="FI164" s="110"/>
      <c r="FJ164" s="76" t="s">
        <v>2038</v>
      </c>
      <c r="FK164" s="77">
        <f t="shared" ref="FK164" ca="1" si="1390">IFERROR(IF(COUNTIF($K$164:$K$179,LEFT(FJ164,FIND("·",FJ164)-1))&gt;0,IF(INDEX($L$164:$L$179,MATCH(LEFT(FJ164,FIND("·",FJ164)-1),$K$164:$K$179,0))=IFERROR(VALUE(MID(FJ164,FIND("·",FJ164)+1,1)),0),($D$16+(INDEX($M$164:$M$179,MATCH(LEFT(FJ164,FIND("·",FJ164)-1),$K$164:$K$179,0))=MID(FJ164,FIND("|",FJ164)+1,10))*$D$18+MAX(0,IF($D$50=1,$D$17*(1-(ABS(INDEX($P$164:$P$179,MATCH(LEFT(FJ164,FIND("·",FJ164)-1),$K$164:$K$179,0))-(VALUE(MID(FJ164,FIND("|",FJ164)+1,FIND("-",FJ164,FIND("|",FJ164))-FIND("|",FJ164)-1))-VALUE(MID(FJ164,FIND("-",FJ164,FIND("|",FJ164))+1,10)))))*$D$50),$D$17*(1-(IF(INDEX($L$164:$L$179,MATCH(LEFT(FJ164,FIND("·",FJ164)-1),$K$164:$K$179,0))=0,ABS(INDEX($N$164:$N$179,MATCH(LEFT(FJ164,FIND("·",FJ164)-1),$K$164:$K$179,0))-VALUE(MID(FJ164,FIND("|",FJ164)+1,FIND("-",FJ164,FIND("|",FJ164))-FIND("|",FJ164)-1))),ABS(INDEX($P$164:$P$179,MATCH(LEFT(FJ164,FIND("·",FJ164)-1),$K$164:$K$179,0))-(VALUE(MID(FJ164,FIND("|",FJ164)+1,FIND("-",FJ164,FIND("|",FJ164))-FIND("|",FJ164)-1))-VALUE(MID(FJ164,FIND("-",FJ164,FIND("|",FJ164))+1,10)))))*$D$50)))))*INDEX($I$164:$I$179,MATCH(LEFT(FJ164,FIND("·",FJ164)-1),$K$164:$K$179,0)),0),0),0)+IFERROR(IF(COUNTIF($C$164:$C$179,LEFT(FJ164,FIND("·",FJ164)-1))&gt;0,IF(INDEX($D$164:$D$179,MATCH(LEFT(FJ164,FIND("·",FJ164)-1),$C$164:$C$179,0))=IFERROR(VALUE(MID(FJ164,FIND("·",FJ164)+1,1)),0),($D$16+(INDEX($E$164:$E$179,MATCH(LEFT(FJ164,FIND("·",FJ164)-1),$C$164:$C$179,0))=MID(FJ164,FIND("|",FJ164)+1,10))*$D$18+MAX(0,IF($D$50=1,$D$17*(1-(ABS(INDEX($Q$164:$Q$179,MATCH(LEFT(FJ164,FIND("·",FJ164)-1),$C$164:$C$179,0))-(VALUE(MID(FJ164,FIND("|",FJ164)+1,FIND("-",FJ164,FIND("|",FJ164))-FIND("|",FJ164)-1))-VALUE(MID(FJ164,FIND("-",FJ164,FIND("|",FJ164))+1,10)))))*$D$50),$D$17*(1-(IF(INDEX($D$164:$D$179,MATCH(LEFT(FJ164,FIND("·",FJ164)-1),$C$164:$C$179,0))=0,ABS(INDEX($A$164:$A$179,MATCH(LEFT(FJ164,FIND("·",FJ164)-1),$C$164:$C$179,0))-VALUE(MID(FJ164,FIND("|",FJ164)+1,FIND("-",FJ164,FIND("|",FJ164))-FIND("|",FJ164)-1))),ABS(INDEX($Q$164:$Q$179,MATCH(LEFT(FJ164,FIND("·",FJ164)-1),$C$164:$C$179,0))-(VALUE(MID(FJ164,FIND("|",FJ164)+1,FIND("-",FJ164,FIND("|",FJ164))-FIND("|",FJ164)-1))-VALUE(MID(FJ164,FIND("-",FJ164,FIND("|",FJ164))+1,10)))))*$D$50)))))*INDEX($I$164:$I$179,MATCH(LEFT(FJ164,FIND("·",FJ164)-1),$C$164:$C$179,0)),0),0),0)</f>
        <v>0</v>
      </c>
      <c r="FL164" s="110"/>
      <c r="FM164" s="76" t="s">
        <v>2038</v>
      </c>
      <c r="FN164" s="77">
        <f t="shared" ref="FN164" ca="1" si="1391">IFERROR(IF(COUNTIF($K$164:$K$179,LEFT(FM164,FIND("·",FM164)-1))&gt;0,IF(INDEX($L$164:$L$179,MATCH(LEFT(FM164,FIND("·",FM164)-1),$K$164:$K$179,0))=IFERROR(VALUE(MID(FM164,FIND("·",FM164)+1,1)),0),($D$16+(INDEX($M$164:$M$179,MATCH(LEFT(FM164,FIND("·",FM164)-1),$K$164:$K$179,0))=MID(FM164,FIND("|",FM164)+1,10))*$D$18+MAX(0,IF($D$50=1,$D$17*(1-(ABS(INDEX($P$164:$P$179,MATCH(LEFT(FM164,FIND("·",FM164)-1),$K$164:$K$179,0))-(VALUE(MID(FM164,FIND("|",FM164)+1,FIND("-",FM164,FIND("|",FM164))-FIND("|",FM164)-1))-VALUE(MID(FM164,FIND("-",FM164,FIND("|",FM164))+1,10)))))*$D$50),$D$17*(1-(IF(INDEX($L$164:$L$179,MATCH(LEFT(FM164,FIND("·",FM164)-1),$K$164:$K$179,0))=0,ABS(INDEX($N$164:$N$179,MATCH(LEFT(FM164,FIND("·",FM164)-1),$K$164:$K$179,0))-VALUE(MID(FM164,FIND("|",FM164)+1,FIND("-",FM164,FIND("|",FM164))-FIND("|",FM164)-1))),ABS(INDEX($P$164:$P$179,MATCH(LEFT(FM164,FIND("·",FM164)-1),$K$164:$K$179,0))-(VALUE(MID(FM164,FIND("|",FM164)+1,FIND("-",FM164,FIND("|",FM164))-FIND("|",FM164)-1))-VALUE(MID(FM164,FIND("-",FM164,FIND("|",FM164))+1,10)))))*$D$50)))))*INDEX($I$164:$I$179,MATCH(LEFT(FM164,FIND("·",FM164)-1),$K$164:$K$179,0)),0),0),0)+IFERROR(IF(COUNTIF($C$164:$C$179,LEFT(FM164,FIND("·",FM164)-1))&gt;0,IF(INDEX($D$164:$D$179,MATCH(LEFT(FM164,FIND("·",FM164)-1),$C$164:$C$179,0))=IFERROR(VALUE(MID(FM164,FIND("·",FM164)+1,1)),0),($D$16+(INDEX($E$164:$E$179,MATCH(LEFT(FM164,FIND("·",FM164)-1),$C$164:$C$179,0))=MID(FM164,FIND("|",FM164)+1,10))*$D$18+MAX(0,IF($D$50=1,$D$17*(1-(ABS(INDEX($Q$164:$Q$179,MATCH(LEFT(FM164,FIND("·",FM164)-1),$C$164:$C$179,0))-(VALUE(MID(FM164,FIND("|",FM164)+1,FIND("-",FM164,FIND("|",FM164))-FIND("|",FM164)-1))-VALUE(MID(FM164,FIND("-",FM164,FIND("|",FM164))+1,10)))))*$D$50),$D$17*(1-(IF(INDEX($D$164:$D$179,MATCH(LEFT(FM164,FIND("·",FM164)-1),$C$164:$C$179,0))=0,ABS(INDEX($A$164:$A$179,MATCH(LEFT(FM164,FIND("·",FM164)-1),$C$164:$C$179,0))-VALUE(MID(FM164,FIND("|",FM164)+1,FIND("-",FM164,FIND("|",FM164))-FIND("|",FM164)-1))),ABS(INDEX($Q$164:$Q$179,MATCH(LEFT(FM164,FIND("·",FM164)-1),$C$164:$C$179,0))-(VALUE(MID(FM164,FIND("|",FM164)+1,FIND("-",FM164,FIND("|",FM164))-FIND("|",FM164)-1))-VALUE(MID(FM164,FIND("-",FM164,FIND("|",FM164))+1,10)))))*$D$50)))))*INDEX($I$164:$I$179,MATCH(LEFT(FM164,FIND("·",FM164)-1),$C$164:$C$179,0)),0),0),0)</f>
        <v>0</v>
      </c>
      <c r="FO164" s="110"/>
      <c r="FP164" s="76" t="s">
        <v>2977</v>
      </c>
      <c r="FQ164" s="77">
        <f t="shared" ref="FQ164" ca="1" si="1392">IFERROR(IF(COUNTIF($K$164:$K$179,LEFT(FP164,FIND("·",FP164)-1))&gt;0,IF(INDEX($L$164:$L$179,MATCH(LEFT(FP164,FIND("·",FP164)-1),$K$164:$K$179,0))=IFERROR(VALUE(MID(FP164,FIND("·",FP164)+1,1)),0),($D$16+(INDEX($M$164:$M$179,MATCH(LEFT(FP164,FIND("·",FP164)-1),$K$164:$K$179,0))=MID(FP164,FIND("|",FP164)+1,10))*$D$18+MAX(0,IF($D$50=1,$D$17*(1-(ABS(INDEX($P$164:$P$179,MATCH(LEFT(FP164,FIND("·",FP164)-1),$K$164:$K$179,0))-(VALUE(MID(FP164,FIND("|",FP164)+1,FIND("-",FP164,FIND("|",FP164))-FIND("|",FP164)-1))-VALUE(MID(FP164,FIND("-",FP164,FIND("|",FP164))+1,10)))))*$D$50),$D$17*(1-(IF(INDEX($L$164:$L$179,MATCH(LEFT(FP164,FIND("·",FP164)-1),$K$164:$K$179,0))=0,ABS(INDEX($N$164:$N$179,MATCH(LEFT(FP164,FIND("·",FP164)-1),$K$164:$K$179,0))-VALUE(MID(FP164,FIND("|",FP164)+1,FIND("-",FP164,FIND("|",FP164))-FIND("|",FP164)-1))),ABS(INDEX($P$164:$P$179,MATCH(LEFT(FP164,FIND("·",FP164)-1),$K$164:$K$179,0))-(VALUE(MID(FP164,FIND("|",FP164)+1,FIND("-",FP164,FIND("|",FP164))-FIND("|",FP164)-1))-VALUE(MID(FP164,FIND("-",FP164,FIND("|",FP164))+1,10)))))*$D$50)))))*INDEX($I$164:$I$179,MATCH(LEFT(FP164,FIND("·",FP164)-1),$K$164:$K$179,0)),0),0),0)+IFERROR(IF(COUNTIF($C$164:$C$179,LEFT(FP164,FIND("·",FP164)-1))&gt;0,IF(INDEX($D$164:$D$179,MATCH(LEFT(FP164,FIND("·",FP164)-1),$C$164:$C$179,0))=IFERROR(VALUE(MID(FP164,FIND("·",FP164)+1,1)),0),($D$16+(INDEX($E$164:$E$179,MATCH(LEFT(FP164,FIND("·",FP164)-1),$C$164:$C$179,0))=MID(FP164,FIND("|",FP164)+1,10))*$D$18+MAX(0,IF($D$50=1,$D$17*(1-(ABS(INDEX($Q$164:$Q$179,MATCH(LEFT(FP164,FIND("·",FP164)-1),$C$164:$C$179,0))-(VALUE(MID(FP164,FIND("|",FP164)+1,FIND("-",FP164,FIND("|",FP164))-FIND("|",FP164)-1))-VALUE(MID(FP164,FIND("-",FP164,FIND("|",FP164))+1,10)))))*$D$50),$D$17*(1-(IF(INDEX($D$164:$D$179,MATCH(LEFT(FP164,FIND("·",FP164)-1),$C$164:$C$179,0))=0,ABS(INDEX($A$164:$A$179,MATCH(LEFT(FP164,FIND("·",FP164)-1),$C$164:$C$179,0))-VALUE(MID(FP164,FIND("|",FP164)+1,FIND("-",FP164,FIND("|",FP164))-FIND("|",FP164)-1))),ABS(INDEX($Q$164:$Q$179,MATCH(LEFT(FP164,FIND("·",FP164)-1),$C$164:$C$179,0))-(VALUE(MID(FP164,FIND("|",FP164)+1,FIND("-",FP164,FIND("|",FP164))-FIND("|",FP164)-1))-VALUE(MID(FP164,FIND("-",FP164,FIND("|",FP164))+1,10)))))*$D$50)))))*INDEX($I$164:$I$179,MATCH(LEFT(FP164,FIND("·",FP164)-1),$C$164:$C$179,0)),0),0),0)</f>
        <v>0</v>
      </c>
      <c r="FR164" s="110"/>
      <c r="FS164" s="76" t="s">
        <v>2977</v>
      </c>
      <c r="FT164" s="77">
        <f t="shared" ref="FT164" ca="1" si="1393">IFERROR(IF(COUNTIF($K$164:$K$179,LEFT(FS164,FIND("·",FS164)-1))&gt;0,IF(INDEX($L$164:$L$179,MATCH(LEFT(FS164,FIND("·",FS164)-1),$K$164:$K$179,0))=IFERROR(VALUE(MID(FS164,FIND("·",FS164)+1,1)),0),($D$16+(INDEX($M$164:$M$179,MATCH(LEFT(FS164,FIND("·",FS164)-1),$K$164:$K$179,0))=MID(FS164,FIND("|",FS164)+1,10))*$D$18+MAX(0,IF($D$50=1,$D$17*(1-(ABS(INDEX($P$164:$P$179,MATCH(LEFT(FS164,FIND("·",FS164)-1),$K$164:$K$179,0))-(VALUE(MID(FS164,FIND("|",FS164)+1,FIND("-",FS164,FIND("|",FS164))-FIND("|",FS164)-1))-VALUE(MID(FS164,FIND("-",FS164,FIND("|",FS164))+1,10)))))*$D$50),$D$17*(1-(IF(INDEX($L$164:$L$179,MATCH(LEFT(FS164,FIND("·",FS164)-1),$K$164:$K$179,0))=0,ABS(INDEX($N$164:$N$179,MATCH(LEFT(FS164,FIND("·",FS164)-1),$K$164:$K$179,0))-VALUE(MID(FS164,FIND("|",FS164)+1,FIND("-",FS164,FIND("|",FS164))-FIND("|",FS164)-1))),ABS(INDEX($P$164:$P$179,MATCH(LEFT(FS164,FIND("·",FS164)-1),$K$164:$K$179,0))-(VALUE(MID(FS164,FIND("|",FS164)+1,FIND("-",FS164,FIND("|",FS164))-FIND("|",FS164)-1))-VALUE(MID(FS164,FIND("-",FS164,FIND("|",FS164))+1,10)))))*$D$50)))))*INDEX($I$164:$I$179,MATCH(LEFT(FS164,FIND("·",FS164)-1),$K$164:$K$179,0)),0),0),0)+IFERROR(IF(COUNTIF($C$164:$C$179,LEFT(FS164,FIND("·",FS164)-1))&gt;0,IF(INDEX($D$164:$D$179,MATCH(LEFT(FS164,FIND("·",FS164)-1),$C$164:$C$179,0))=IFERROR(VALUE(MID(FS164,FIND("·",FS164)+1,1)),0),($D$16+(INDEX($E$164:$E$179,MATCH(LEFT(FS164,FIND("·",FS164)-1),$C$164:$C$179,0))=MID(FS164,FIND("|",FS164)+1,10))*$D$18+MAX(0,IF($D$50=1,$D$17*(1-(ABS(INDEX($Q$164:$Q$179,MATCH(LEFT(FS164,FIND("·",FS164)-1),$C$164:$C$179,0))-(VALUE(MID(FS164,FIND("|",FS164)+1,FIND("-",FS164,FIND("|",FS164))-FIND("|",FS164)-1))-VALUE(MID(FS164,FIND("-",FS164,FIND("|",FS164))+1,10)))))*$D$50),$D$17*(1-(IF(INDEX($D$164:$D$179,MATCH(LEFT(FS164,FIND("·",FS164)-1),$C$164:$C$179,0))=0,ABS(INDEX($A$164:$A$179,MATCH(LEFT(FS164,FIND("·",FS164)-1),$C$164:$C$179,0))-VALUE(MID(FS164,FIND("|",FS164)+1,FIND("-",FS164,FIND("|",FS164))-FIND("|",FS164)-1))),ABS(INDEX($Q$164:$Q$179,MATCH(LEFT(FS164,FIND("·",FS164)-1),$C$164:$C$179,0))-(VALUE(MID(FS164,FIND("|",FS164)+1,FIND("-",FS164,FIND("|",FS164))-FIND("|",FS164)-1))-VALUE(MID(FS164,FIND("-",FS164,FIND("|",FS164))+1,10)))))*$D$50)))))*INDEX($I$164:$I$179,MATCH(LEFT(FS164,FIND("·",FS164)-1),$C$164:$C$179,0)),0),0),0)</f>
        <v>0</v>
      </c>
      <c r="FU164" s="110"/>
      <c r="FV164" s="76" t="s">
        <v>2993</v>
      </c>
      <c r="FW164" s="77">
        <f t="shared" ref="FW164" ca="1" si="1394">IFERROR(IF(COUNTIF($K$164:$K$179,LEFT(FV164,FIND("·",FV164)-1))&gt;0,IF(INDEX($L$164:$L$179,MATCH(LEFT(FV164,FIND("·",FV164)-1),$K$164:$K$179,0))=IFERROR(VALUE(MID(FV164,FIND("·",FV164)+1,1)),0),($D$16+(INDEX($M$164:$M$179,MATCH(LEFT(FV164,FIND("·",FV164)-1),$K$164:$K$179,0))=MID(FV164,FIND("|",FV164)+1,10))*$D$18+MAX(0,IF($D$50=1,$D$17*(1-(ABS(INDEX($P$164:$P$179,MATCH(LEFT(FV164,FIND("·",FV164)-1),$K$164:$K$179,0))-(VALUE(MID(FV164,FIND("|",FV164)+1,FIND("-",FV164,FIND("|",FV164))-FIND("|",FV164)-1))-VALUE(MID(FV164,FIND("-",FV164,FIND("|",FV164))+1,10)))))*$D$50),$D$17*(1-(IF(INDEX($L$164:$L$179,MATCH(LEFT(FV164,FIND("·",FV164)-1),$K$164:$K$179,0))=0,ABS(INDEX($N$164:$N$179,MATCH(LEFT(FV164,FIND("·",FV164)-1),$K$164:$K$179,0))-VALUE(MID(FV164,FIND("|",FV164)+1,FIND("-",FV164,FIND("|",FV164))-FIND("|",FV164)-1))),ABS(INDEX($P$164:$P$179,MATCH(LEFT(FV164,FIND("·",FV164)-1),$K$164:$K$179,0))-(VALUE(MID(FV164,FIND("|",FV164)+1,FIND("-",FV164,FIND("|",FV164))-FIND("|",FV164)-1))-VALUE(MID(FV164,FIND("-",FV164,FIND("|",FV164))+1,10)))))*$D$50)))))*INDEX($I$164:$I$179,MATCH(LEFT(FV164,FIND("·",FV164)-1),$K$164:$K$179,0)),0),0),0)+IFERROR(IF(COUNTIF($C$164:$C$179,LEFT(FV164,FIND("·",FV164)-1))&gt;0,IF(INDEX($D$164:$D$179,MATCH(LEFT(FV164,FIND("·",FV164)-1),$C$164:$C$179,0))=IFERROR(VALUE(MID(FV164,FIND("·",FV164)+1,1)),0),($D$16+(INDEX($E$164:$E$179,MATCH(LEFT(FV164,FIND("·",FV164)-1),$C$164:$C$179,0))=MID(FV164,FIND("|",FV164)+1,10))*$D$18+MAX(0,IF($D$50=1,$D$17*(1-(ABS(INDEX($Q$164:$Q$179,MATCH(LEFT(FV164,FIND("·",FV164)-1),$C$164:$C$179,0))-(VALUE(MID(FV164,FIND("|",FV164)+1,FIND("-",FV164,FIND("|",FV164))-FIND("|",FV164)-1))-VALUE(MID(FV164,FIND("-",FV164,FIND("|",FV164))+1,10)))))*$D$50),$D$17*(1-(IF(INDEX($D$164:$D$179,MATCH(LEFT(FV164,FIND("·",FV164)-1),$C$164:$C$179,0))=0,ABS(INDEX($A$164:$A$179,MATCH(LEFT(FV164,FIND("·",FV164)-1),$C$164:$C$179,0))-VALUE(MID(FV164,FIND("|",FV164)+1,FIND("-",FV164,FIND("|",FV164))-FIND("|",FV164)-1))),ABS(INDEX($Q$164:$Q$179,MATCH(LEFT(FV164,FIND("·",FV164)-1),$C$164:$C$179,0))-(VALUE(MID(FV164,FIND("|",FV164)+1,FIND("-",FV164,FIND("|",FV164))-FIND("|",FV164)-1))-VALUE(MID(FV164,FIND("-",FV164,FIND("|",FV164))+1,10)))))*$D$50)))))*INDEX($I$164:$I$179,MATCH(LEFT(FV164,FIND("·",FV164)-1),$C$164:$C$179,0)),0),0),0)</f>
        <v>0</v>
      </c>
      <c r="FX164" s="110"/>
      <c r="FY164" s="76" t="s">
        <v>2252</v>
      </c>
      <c r="FZ164" s="77">
        <f t="shared" ref="FZ164" ca="1" si="1395">IFERROR(IF(COUNTIF($K$164:$K$179,LEFT(FY164,FIND("·",FY164)-1))&gt;0,IF(INDEX($L$164:$L$179,MATCH(LEFT(FY164,FIND("·",FY164)-1),$K$164:$K$179,0))=IFERROR(VALUE(MID(FY164,FIND("·",FY164)+1,1)),0),($D$16+(INDEX($M$164:$M$179,MATCH(LEFT(FY164,FIND("·",FY164)-1),$K$164:$K$179,0))=MID(FY164,FIND("|",FY164)+1,10))*$D$18+MAX(0,IF($D$50=1,$D$17*(1-(ABS(INDEX($P$164:$P$179,MATCH(LEFT(FY164,FIND("·",FY164)-1),$K$164:$K$179,0))-(VALUE(MID(FY164,FIND("|",FY164)+1,FIND("-",FY164,FIND("|",FY164))-FIND("|",FY164)-1))-VALUE(MID(FY164,FIND("-",FY164,FIND("|",FY164))+1,10)))))*$D$50),$D$17*(1-(IF(INDEX($L$164:$L$179,MATCH(LEFT(FY164,FIND("·",FY164)-1),$K$164:$K$179,0))=0,ABS(INDEX($N$164:$N$179,MATCH(LEFT(FY164,FIND("·",FY164)-1),$K$164:$K$179,0))-VALUE(MID(FY164,FIND("|",FY164)+1,FIND("-",FY164,FIND("|",FY164))-FIND("|",FY164)-1))),ABS(INDEX($P$164:$P$179,MATCH(LEFT(FY164,FIND("·",FY164)-1),$K$164:$K$179,0))-(VALUE(MID(FY164,FIND("|",FY164)+1,FIND("-",FY164,FIND("|",FY164))-FIND("|",FY164)-1))-VALUE(MID(FY164,FIND("-",FY164,FIND("|",FY164))+1,10)))))*$D$50)))))*INDEX($I$164:$I$179,MATCH(LEFT(FY164,FIND("·",FY164)-1),$K$164:$K$179,0)),0),0),0)+IFERROR(IF(COUNTIF($C$164:$C$179,LEFT(FY164,FIND("·",FY164)-1))&gt;0,IF(INDEX($D$164:$D$179,MATCH(LEFT(FY164,FIND("·",FY164)-1),$C$164:$C$179,0))=IFERROR(VALUE(MID(FY164,FIND("·",FY164)+1,1)),0),($D$16+(INDEX($E$164:$E$179,MATCH(LEFT(FY164,FIND("·",FY164)-1),$C$164:$C$179,0))=MID(FY164,FIND("|",FY164)+1,10))*$D$18+MAX(0,IF($D$50=1,$D$17*(1-(ABS(INDEX($Q$164:$Q$179,MATCH(LEFT(FY164,FIND("·",FY164)-1),$C$164:$C$179,0))-(VALUE(MID(FY164,FIND("|",FY164)+1,FIND("-",FY164,FIND("|",FY164))-FIND("|",FY164)-1))-VALUE(MID(FY164,FIND("-",FY164,FIND("|",FY164))+1,10)))))*$D$50),$D$17*(1-(IF(INDEX($D$164:$D$179,MATCH(LEFT(FY164,FIND("·",FY164)-1),$C$164:$C$179,0))=0,ABS(INDEX($A$164:$A$179,MATCH(LEFT(FY164,FIND("·",FY164)-1),$C$164:$C$179,0))-VALUE(MID(FY164,FIND("|",FY164)+1,FIND("-",FY164,FIND("|",FY164))-FIND("|",FY164)-1))),ABS(INDEX($Q$164:$Q$179,MATCH(LEFT(FY164,FIND("·",FY164)-1),$C$164:$C$179,0))-(VALUE(MID(FY164,FIND("|",FY164)+1,FIND("-",FY164,FIND("|",FY164))-FIND("|",FY164)-1))-VALUE(MID(FY164,FIND("-",FY164,FIND("|",FY164))+1,10)))))*$D$50)))))*INDEX($I$164:$I$179,MATCH(LEFT(FY164,FIND("·",FY164)-1),$C$164:$C$179,0)),0),0),0)</f>
        <v>0</v>
      </c>
      <c r="GA164" s="110"/>
      <c r="GB164" s="76" t="s">
        <v>3017</v>
      </c>
      <c r="GC164" s="77">
        <f t="shared" ref="GC164" ca="1" si="1396">IFERROR(IF(COUNTIF($K$164:$K$179,LEFT(GB164,FIND("·",GB164)-1))&gt;0,IF(INDEX($L$164:$L$179,MATCH(LEFT(GB164,FIND("·",GB164)-1),$K$164:$K$179,0))=IFERROR(VALUE(MID(GB164,FIND("·",GB164)+1,1)),0),($D$16+(INDEX($M$164:$M$179,MATCH(LEFT(GB164,FIND("·",GB164)-1),$K$164:$K$179,0))=MID(GB164,FIND("|",GB164)+1,10))*$D$18+MAX(0,IF($D$50=1,$D$17*(1-(ABS(INDEX($P$164:$P$179,MATCH(LEFT(GB164,FIND("·",GB164)-1),$K$164:$K$179,0))-(VALUE(MID(GB164,FIND("|",GB164)+1,FIND("-",GB164,FIND("|",GB164))-FIND("|",GB164)-1))-VALUE(MID(GB164,FIND("-",GB164,FIND("|",GB164))+1,10)))))*$D$50),$D$17*(1-(IF(INDEX($L$164:$L$179,MATCH(LEFT(GB164,FIND("·",GB164)-1),$K$164:$K$179,0))=0,ABS(INDEX($N$164:$N$179,MATCH(LEFT(GB164,FIND("·",GB164)-1),$K$164:$K$179,0))-VALUE(MID(GB164,FIND("|",GB164)+1,FIND("-",GB164,FIND("|",GB164))-FIND("|",GB164)-1))),ABS(INDEX($P$164:$P$179,MATCH(LEFT(GB164,FIND("·",GB164)-1),$K$164:$K$179,0))-(VALUE(MID(GB164,FIND("|",GB164)+1,FIND("-",GB164,FIND("|",GB164))-FIND("|",GB164)-1))-VALUE(MID(GB164,FIND("-",GB164,FIND("|",GB164))+1,10)))))*$D$50)))))*INDEX($I$164:$I$179,MATCH(LEFT(GB164,FIND("·",GB164)-1),$K$164:$K$179,0)),0),0),0)+IFERROR(IF(COUNTIF($C$164:$C$179,LEFT(GB164,FIND("·",GB164)-1))&gt;0,IF(INDEX($D$164:$D$179,MATCH(LEFT(GB164,FIND("·",GB164)-1),$C$164:$C$179,0))=IFERROR(VALUE(MID(GB164,FIND("·",GB164)+1,1)),0),($D$16+(INDEX($E$164:$E$179,MATCH(LEFT(GB164,FIND("·",GB164)-1),$C$164:$C$179,0))=MID(GB164,FIND("|",GB164)+1,10))*$D$18+MAX(0,IF($D$50=1,$D$17*(1-(ABS(INDEX($Q$164:$Q$179,MATCH(LEFT(GB164,FIND("·",GB164)-1),$C$164:$C$179,0))-(VALUE(MID(GB164,FIND("|",GB164)+1,FIND("-",GB164,FIND("|",GB164))-FIND("|",GB164)-1))-VALUE(MID(GB164,FIND("-",GB164,FIND("|",GB164))+1,10)))))*$D$50),$D$17*(1-(IF(INDEX($D$164:$D$179,MATCH(LEFT(GB164,FIND("·",GB164)-1),$C$164:$C$179,0))=0,ABS(INDEX($A$164:$A$179,MATCH(LEFT(GB164,FIND("·",GB164)-1),$C$164:$C$179,0))-VALUE(MID(GB164,FIND("|",GB164)+1,FIND("-",GB164,FIND("|",GB164))-FIND("|",GB164)-1))),ABS(INDEX($Q$164:$Q$179,MATCH(LEFT(GB164,FIND("·",GB164)-1),$C$164:$C$179,0))-(VALUE(MID(GB164,FIND("|",GB164)+1,FIND("-",GB164,FIND("|",GB164))-FIND("|",GB164)-1))-VALUE(MID(GB164,FIND("-",GB164,FIND("|",GB164))+1,10)))))*$D$50)))))*INDEX($I$164:$I$179,MATCH(LEFT(GB164,FIND("·",GB164)-1),$C$164:$C$179,0)),0),0),0)</f>
        <v>0</v>
      </c>
      <c r="GD164" s="110"/>
      <c r="GE164" s="76" t="s">
        <v>2977</v>
      </c>
      <c r="GF164" s="77">
        <f t="shared" ref="GF164" ca="1" si="1397">IFERROR(IF(COUNTIF($K$164:$K$179,LEFT(GE164,FIND("·",GE164)-1))&gt;0,IF(INDEX($L$164:$L$179,MATCH(LEFT(GE164,FIND("·",GE164)-1),$K$164:$K$179,0))=IFERROR(VALUE(MID(GE164,FIND("·",GE164)+1,1)),0),($D$16+(INDEX($M$164:$M$179,MATCH(LEFT(GE164,FIND("·",GE164)-1),$K$164:$K$179,0))=MID(GE164,FIND("|",GE164)+1,10))*$D$18+MAX(0,IF($D$50=1,$D$17*(1-(ABS(INDEX($P$164:$P$179,MATCH(LEFT(GE164,FIND("·",GE164)-1),$K$164:$K$179,0))-(VALUE(MID(GE164,FIND("|",GE164)+1,FIND("-",GE164,FIND("|",GE164))-FIND("|",GE164)-1))-VALUE(MID(GE164,FIND("-",GE164,FIND("|",GE164))+1,10)))))*$D$50),$D$17*(1-(IF(INDEX($L$164:$L$179,MATCH(LEFT(GE164,FIND("·",GE164)-1),$K$164:$K$179,0))=0,ABS(INDEX($N$164:$N$179,MATCH(LEFT(GE164,FIND("·",GE164)-1),$K$164:$K$179,0))-VALUE(MID(GE164,FIND("|",GE164)+1,FIND("-",GE164,FIND("|",GE164))-FIND("|",GE164)-1))),ABS(INDEX($P$164:$P$179,MATCH(LEFT(GE164,FIND("·",GE164)-1),$K$164:$K$179,0))-(VALUE(MID(GE164,FIND("|",GE164)+1,FIND("-",GE164,FIND("|",GE164))-FIND("|",GE164)-1))-VALUE(MID(GE164,FIND("-",GE164,FIND("|",GE164))+1,10)))))*$D$50)))))*INDEX($I$164:$I$179,MATCH(LEFT(GE164,FIND("·",GE164)-1),$K$164:$K$179,0)),0),0),0)+IFERROR(IF(COUNTIF($C$164:$C$179,LEFT(GE164,FIND("·",GE164)-1))&gt;0,IF(INDEX($D$164:$D$179,MATCH(LEFT(GE164,FIND("·",GE164)-1),$C$164:$C$179,0))=IFERROR(VALUE(MID(GE164,FIND("·",GE164)+1,1)),0),($D$16+(INDEX($E$164:$E$179,MATCH(LEFT(GE164,FIND("·",GE164)-1),$C$164:$C$179,0))=MID(GE164,FIND("|",GE164)+1,10))*$D$18+MAX(0,IF($D$50=1,$D$17*(1-(ABS(INDEX($Q$164:$Q$179,MATCH(LEFT(GE164,FIND("·",GE164)-1),$C$164:$C$179,0))-(VALUE(MID(GE164,FIND("|",GE164)+1,FIND("-",GE164,FIND("|",GE164))-FIND("|",GE164)-1))-VALUE(MID(GE164,FIND("-",GE164,FIND("|",GE164))+1,10)))))*$D$50),$D$17*(1-(IF(INDEX($D$164:$D$179,MATCH(LEFT(GE164,FIND("·",GE164)-1),$C$164:$C$179,0))=0,ABS(INDEX($A$164:$A$179,MATCH(LEFT(GE164,FIND("·",GE164)-1),$C$164:$C$179,0))-VALUE(MID(GE164,FIND("|",GE164)+1,FIND("-",GE164,FIND("|",GE164))-FIND("|",GE164)-1))),ABS(INDEX($Q$164:$Q$179,MATCH(LEFT(GE164,FIND("·",GE164)-1),$C$164:$C$179,0))-(VALUE(MID(GE164,FIND("|",GE164)+1,FIND("-",GE164,FIND("|",GE164))-FIND("|",GE164)-1))-VALUE(MID(GE164,FIND("-",GE164,FIND("|",GE164))+1,10)))))*$D$50)))))*INDEX($I$164:$I$179,MATCH(LEFT(GE164,FIND("·",GE164)-1),$C$164:$C$179,0)),0),0),0)</f>
        <v>0</v>
      </c>
      <c r="GG164" s="110"/>
      <c r="GH164" s="76" t="s">
        <v>2107</v>
      </c>
      <c r="GI164" s="77">
        <f t="shared" ref="GI164" ca="1" si="1398">IFERROR(IF(COUNTIF($K$164:$K$179,LEFT(GH164,FIND("·",GH164)-1))&gt;0,IF(INDEX($L$164:$L$179,MATCH(LEFT(GH164,FIND("·",GH164)-1),$K$164:$K$179,0))=IFERROR(VALUE(MID(GH164,FIND("·",GH164)+1,1)),0),($D$16+(INDEX($M$164:$M$179,MATCH(LEFT(GH164,FIND("·",GH164)-1),$K$164:$K$179,0))=MID(GH164,FIND("|",GH164)+1,10))*$D$18+MAX(0,IF($D$50=1,$D$17*(1-(ABS(INDEX($P$164:$P$179,MATCH(LEFT(GH164,FIND("·",GH164)-1),$K$164:$K$179,0))-(VALUE(MID(GH164,FIND("|",GH164)+1,FIND("-",GH164,FIND("|",GH164))-FIND("|",GH164)-1))-VALUE(MID(GH164,FIND("-",GH164,FIND("|",GH164))+1,10)))))*$D$50),$D$17*(1-(IF(INDEX($L$164:$L$179,MATCH(LEFT(GH164,FIND("·",GH164)-1),$K$164:$K$179,0))=0,ABS(INDEX($N$164:$N$179,MATCH(LEFT(GH164,FIND("·",GH164)-1),$K$164:$K$179,0))-VALUE(MID(GH164,FIND("|",GH164)+1,FIND("-",GH164,FIND("|",GH164))-FIND("|",GH164)-1))),ABS(INDEX($P$164:$P$179,MATCH(LEFT(GH164,FIND("·",GH164)-1),$K$164:$K$179,0))-(VALUE(MID(GH164,FIND("|",GH164)+1,FIND("-",GH164,FIND("|",GH164))-FIND("|",GH164)-1))-VALUE(MID(GH164,FIND("-",GH164,FIND("|",GH164))+1,10)))))*$D$50)))))*INDEX($I$164:$I$179,MATCH(LEFT(GH164,FIND("·",GH164)-1),$K$164:$K$179,0)),0),0),0)+IFERROR(IF(COUNTIF($C$164:$C$179,LEFT(GH164,FIND("·",GH164)-1))&gt;0,IF(INDEX($D$164:$D$179,MATCH(LEFT(GH164,FIND("·",GH164)-1),$C$164:$C$179,0))=IFERROR(VALUE(MID(GH164,FIND("·",GH164)+1,1)),0),($D$16+(INDEX($E$164:$E$179,MATCH(LEFT(GH164,FIND("·",GH164)-1),$C$164:$C$179,0))=MID(GH164,FIND("|",GH164)+1,10))*$D$18+MAX(0,IF($D$50=1,$D$17*(1-(ABS(INDEX($Q$164:$Q$179,MATCH(LEFT(GH164,FIND("·",GH164)-1),$C$164:$C$179,0))-(VALUE(MID(GH164,FIND("|",GH164)+1,FIND("-",GH164,FIND("|",GH164))-FIND("|",GH164)-1))-VALUE(MID(GH164,FIND("-",GH164,FIND("|",GH164))+1,10)))))*$D$50),$D$17*(1-(IF(INDEX($D$164:$D$179,MATCH(LEFT(GH164,FIND("·",GH164)-1),$C$164:$C$179,0))=0,ABS(INDEX($A$164:$A$179,MATCH(LEFT(GH164,FIND("·",GH164)-1),$C$164:$C$179,0))-VALUE(MID(GH164,FIND("|",GH164)+1,FIND("-",GH164,FIND("|",GH164))-FIND("|",GH164)-1))),ABS(INDEX($Q$164:$Q$179,MATCH(LEFT(GH164,FIND("·",GH164)-1),$C$164:$C$179,0))-(VALUE(MID(GH164,FIND("|",GH164)+1,FIND("-",GH164,FIND("|",GH164))-FIND("|",GH164)-1))-VALUE(MID(GH164,FIND("-",GH164,FIND("|",GH164))+1,10)))))*$D$50)))))*INDEX($I$164:$I$179,MATCH(LEFT(GH164,FIND("·",GH164)-1),$C$164:$C$179,0)),0),0),0)</f>
        <v>0</v>
      </c>
      <c r="GJ164" s="110"/>
      <c r="GK164" s="76" t="s">
        <v>2511</v>
      </c>
      <c r="GL164" s="77">
        <f t="shared" ref="GL164" ca="1" si="1399">IFERROR(IF(COUNTIF($K$164:$K$179,LEFT(GK164,FIND("·",GK164)-1))&gt;0,IF(INDEX($L$164:$L$179,MATCH(LEFT(GK164,FIND("·",GK164)-1),$K$164:$K$179,0))=IFERROR(VALUE(MID(GK164,FIND("·",GK164)+1,1)),0),($D$16+(INDEX($M$164:$M$179,MATCH(LEFT(GK164,FIND("·",GK164)-1),$K$164:$K$179,0))=MID(GK164,FIND("|",GK164)+1,10))*$D$18+MAX(0,IF($D$50=1,$D$17*(1-(ABS(INDEX($P$164:$P$179,MATCH(LEFT(GK164,FIND("·",GK164)-1),$K$164:$K$179,0))-(VALUE(MID(GK164,FIND("|",GK164)+1,FIND("-",GK164,FIND("|",GK164))-FIND("|",GK164)-1))-VALUE(MID(GK164,FIND("-",GK164,FIND("|",GK164))+1,10)))))*$D$50),$D$17*(1-(IF(INDEX($L$164:$L$179,MATCH(LEFT(GK164,FIND("·",GK164)-1),$K$164:$K$179,0))=0,ABS(INDEX($N$164:$N$179,MATCH(LEFT(GK164,FIND("·",GK164)-1),$K$164:$K$179,0))-VALUE(MID(GK164,FIND("|",GK164)+1,FIND("-",GK164,FIND("|",GK164))-FIND("|",GK164)-1))),ABS(INDEX($P$164:$P$179,MATCH(LEFT(GK164,FIND("·",GK164)-1),$K$164:$K$179,0))-(VALUE(MID(GK164,FIND("|",GK164)+1,FIND("-",GK164,FIND("|",GK164))-FIND("|",GK164)-1))-VALUE(MID(GK164,FIND("-",GK164,FIND("|",GK164))+1,10)))))*$D$50)))))*INDEX($I$164:$I$179,MATCH(LEFT(GK164,FIND("·",GK164)-1),$K$164:$K$179,0)),0),0),0)+IFERROR(IF(COUNTIF($C$164:$C$179,LEFT(GK164,FIND("·",GK164)-1))&gt;0,IF(INDEX($D$164:$D$179,MATCH(LEFT(GK164,FIND("·",GK164)-1),$C$164:$C$179,0))=IFERROR(VALUE(MID(GK164,FIND("·",GK164)+1,1)),0),($D$16+(INDEX($E$164:$E$179,MATCH(LEFT(GK164,FIND("·",GK164)-1),$C$164:$C$179,0))=MID(GK164,FIND("|",GK164)+1,10))*$D$18+MAX(0,IF($D$50=1,$D$17*(1-(ABS(INDEX($Q$164:$Q$179,MATCH(LEFT(GK164,FIND("·",GK164)-1),$C$164:$C$179,0))-(VALUE(MID(GK164,FIND("|",GK164)+1,FIND("-",GK164,FIND("|",GK164))-FIND("|",GK164)-1))-VALUE(MID(GK164,FIND("-",GK164,FIND("|",GK164))+1,10)))))*$D$50),$D$17*(1-(IF(INDEX($D$164:$D$179,MATCH(LEFT(GK164,FIND("·",GK164)-1),$C$164:$C$179,0))=0,ABS(INDEX($A$164:$A$179,MATCH(LEFT(GK164,FIND("·",GK164)-1),$C$164:$C$179,0))-VALUE(MID(GK164,FIND("|",GK164)+1,FIND("-",GK164,FIND("|",GK164))-FIND("|",GK164)-1))),ABS(INDEX($Q$164:$Q$179,MATCH(LEFT(GK164,FIND("·",GK164)-1),$C$164:$C$179,0))-(VALUE(MID(GK164,FIND("|",GK164)+1,FIND("-",GK164,FIND("|",GK164))-FIND("|",GK164)-1))-VALUE(MID(GK164,FIND("-",GK164,FIND("|",GK164))+1,10)))))*$D$50)))))*INDEX($I$164:$I$179,MATCH(LEFT(GK164,FIND("·",GK164)-1),$C$164:$C$179,0)),0),0),0)</f>
        <v>0</v>
      </c>
      <c r="GM164" s="110"/>
      <c r="GN164" s="76" t="str">
        <f>Idiomas!$D$367</f>
        <v>Paste Values Round of 32'</v>
      </c>
      <c r="GO164" s="77">
        <f t="shared" ref="GO164" ca="1" si="1400">IFERROR(IF(COUNTIF($K$164:$K$179,LEFT(GN164,FIND("·",GN164)-1))&gt;0,IF(INDEX($L$164:$L$179,MATCH(LEFT(GN164,FIND("·",GN164)-1),$K$164:$K$179,0))=IFERROR(VALUE(MID(GN164,FIND("·",GN164)+1,1)),0),($D$16+(INDEX($M$164:$M$179,MATCH(LEFT(GN164,FIND("·",GN164)-1),$K$164:$K$179,0))=MID(GN164,FIND("|",GN164)+1,10))*$D$18+MAX(0,IF($D$50=1,$D$17*(1-(ABS(INDEX($P$164:$P$179,MATCH(LEFT(GN164,FIND("·",GN164)-1),$K$164:$K$179,0))-(VALUE(MID(GN164,FIND("|",GN164)+1,FIND("-",GN164,FIND("|",GN164))-FIND("|",GN164)-1))-VALUE(MID(GN164,FIND("-",GN164,FIND("|",GN164))+1,10)))))*$D$50),$D$17*(1-(IF(INDEX($L$164:$L$179,MATCH(LEFT(GN164,FIND("·",GN164)-1),$K$164:$K$179,0))=0,ABS(INDEX($N$164:$N$179,MATCH(LEFT(GN164,FIND("·",GN164)-1),$K$164:$K$179,0))-VALUE(MID(GN164,FIND("|",GN164)+1,FIND("-",GN164,FIND("|",GN164))-FIND("|",GN164)-1))),ABS(INDEX($P$164:$P$179,MATCH(LEFT(GN164,FIND("·",GN164)-1),$K$164:$K$179,0))-(VALUE(MID(GN164,FIND("|",GN164)+1,FIND("-",GN164,FIND("|",GN164))-FIND("|",GN164)-1))-VALUE(MID(GN164,FIND("-",GN164,FIND("|",GN164))+1,10)))))*$D$50)))))*INDEX($I$164:$I$179,MATCH(LEFT(GN164,FIND("·",GN164)-1),$K$164:$K$179,0)),0),0),0)+IFERROR(IF(COUNTIF($C$164:$C$179,LEFT(GN164,FIND("·",GN164)-1))&gt;0,IF(INDEX($D$164:$D$179,MATCH(LEFT(GN164,FIND("·",GN164)-1),$C$164:$C$179,0))=IFERROR(VALUE(MID(GN164,FIND("·",GN164)+1,1)),0),($D$16+(INDEX($E$164:$E$179,MATCH(LEFT(GN164,FIND("·",GN164)-1),$C$164:$C$179,0))=MID(GN164,FIND("|",GN164)+1,10))*$D$18+MAX(0,IF($D$50=1,$D$17*(1-(ABS(INDEX($Q$164:$Q$179,MATCH(LEFT(GN164,FIND("·",GN164)-1),$C$164:$C$179,0))-(VALUE(MID(GN164,FIND("|",GN164)+1,FIND("-",GN164,FIND("|",GN164))-FIND("|",GN164)-1))-VALUE(MID(GN164,FIND("-",GN164,FIND("|",GN164))+1,10)))))*$D$50),$D$17*(1-(IF(INDEX($D$164:$D$179,MATCH(LEFT(GN164,FIND("·",GN164)-1),$C$164:$C$179,0))=0,ABS(INDEX($A$164:$A$179,MATCH(LEFT(GN164,FIND("·",GN164)-1),$C$164:$C$179,0))-VALUE(MID(GN164,FIND("|",GN164)+1,FIND("-",GN164,FIND("|",GN164))-FIND("|",GN164)-1))),ABS(INDEX($Q$164:$Q$179,MATCH(LEFT(GN164,FIND("·",GN164)-1),$C$164:$C$179,0))-(VALUE(MID(GN164,FIND("|",GN164)+1,FIND("-",GN164,FIND("|",GN164))-FIND("|",GN164)-1))-VALUE(MID(GN164,FIND("-",GN164,FIND("|",GN164))+1,10)))))*$D$50)))))*INDEX($I$164:$I$179,MATCH(LEFT(GN164,FIND("·",GN164)-1),$C$164:$C$179,0)),0),0),0)</f>
        <v>0</v>
      </c>
      <c r="GP164" s="110"/>
      <c r="GQ164" s="76" t="str">
        <f>Idiomas!$D$367</f>
        <v>Paste Values Round of 32'</v>
      </c>
      <c r="GR164" s="77">
        <f t="shared" ref="GR164" ca="1" si="1401">IFERROR(IF(COUNTIF($K$164:$K$179,LEFT(GQ164,FIND("·",GQ164)-1))&gt;0,IF(INDEX($L$164:$L$179,MATCH(LEFT(GQ164,FIND("·",GQ164)-1),$K$164:$K$179,0))=IFERROR(VALUE(MID(GQ164,FIND("·",GQ164)+1,1)),0),($D$16+(INDEX($M$164:$M$179,MATCH(LEFT(GQ164,FIND("·",GQ164)-1),$K$164:$K$179,0))=MID(GQ164,FIND("|",GQ164)+1,10))*$D$18+MAX(0,IF($D$50=1,$D$17*(1-(ABS(INDEX($P$164:$P$179,MATCH(LEFT(GQ164,FIND("·",GQ164)-1),$K$164:$K$179,0))-(VALUE(MID(GQ164,FIND("|",GQ164)+1,FIND("-",GQ164,FIND("|",GQ164))-FIND("|",GQ164)-1))-VALUE(MID(GQ164,FIND("-",GQ164,FIND("|",GQ164))+1,10)))))*$D$50),$D$17*(1-(IF(INDEX($L$164:$L$179,MATCH(LEFT(GQ164,FIND("·",GQ164)-1),$K$164:$K$179,0))=0,ABS(INDEX($N$164:$N$179,MATCH(LEFT(GQ164,FIND("·",GQ164)-1),$K$164:$K$179,0))-VALUE(MID(GQ164,FIND("|",GQ164)+1,FIND("-",GQ164,FIND("|",GQ164))-FIND("|",GQ164)-1))),ABS(INDEX($P$164:$P$179,MATCH(LEFT(GQ164,FIND("·",GQ164)-1),$K$164:$K$179,0))-(VALUE(MID(GQ164,FIND("|",GQ164)+1,FIND("-",GQ164,FIND("|",GQ164))-FIND("|",GQ164)-1))-VALUE(MID(GQ164,FIND("-",GQ164,FIND("|",GQ164))+1,10)))))*$D$50)))))*INDEX($I$164:$I$179,MATCH(LEFT(GQ164,FIND("·",GQ164)-1),$K$164:$K$179,0)),0),0),0)+IFERROR(IF(COUNTIF($C$164:$C$179,LEFT(GQ164,FIND("·",GQ164)-1))&gt;0,IF(INDEX($D$164:$D$179,MATCH(LEFT(GQ164,FIND("·",GQ164)-1),$C$164:$C$179,0))=IFERROR(VALUE(MID(GQ164,FIND("·",GQ164)+1,1)),0),($D$16+(INDEX($E$164:$E$179,MATCH(LEFT(GQ164,FIND("·",GQ164)-1),$C$164:$C$179,0))=MID(GQ164,FIND("|",GQ164)+1,10))*$D$18+MAX(0,IF($D$50=1,$D$17*(1-(ABS(INDEX($Q$164:$Q$179,MATCH(LEFT(GQ164,FIND("·",GQ164)-1),$C$164:$C$179,0))-(VALUE(MID(GQ164,FIND("|",GQ164)+1,FIND("-",GQ164,FIND("|",GQ164))-FIND("|",GQ164)-1))-VALUE(MID(GQ164,FIND("-",GQ164,FIND("|",GQ164))+1,10)))))*$D$50),$D$17*(1-(IF(INDEX($D$164:$D$179,MATCH(LEFT(GQ164,FIND("·",GQ164)-1),$C$164:$C$179,0))=0,ABS(INDEX($A$164:$A$179,MATCH(LEFT(GQ164,FIND("·",GQ164)-1),$C$164:$C$179,0))-VALUE(MID(GQ164,FIND("|",GQ164)+1,FIND("-",GQ164,FIND("|",GQ164))-FIND("|",GQ164)-1))),ABS(INDEX($Q$164:$Q$179,MATCH(LEFT(GQ164,FIND("·",GQ164)-1),$C$164:$C$179,0))-(VALUE(MID(GQ164,FIND("|",GQ164)+1,FIND("-",GQ164,FIND("|",GQ164))-FIND("|",GQ164)-1))-VALUE(MID(GQ164,FIND("-",GQ164,FIND("|",GQ164))+1,10)))))*$D$50)))))*INDEX($I$164:$I$179,MATCH(LEFT(GQ164,FIND("·",GQ164)-1),$C$164:$C$179,0)),0),0),0)</f>
        <v>0</v>
      </c>
      <c r="GS164" s="110"/>
      <c r="GT164" s="76" t="str">
        <f>Idiomas!$D$367</f>
        <v>Paste Values Round of 32'</v>
      </c>
      <c r="GU164" s="77">
        <f t="shared" ref="GU164" ca="1" si="1402">IFERROR(IF(COUNTIF($K$164:$K$179,LEFT(GT164,FIND("·",GT164)-1))&gt;0,IF(INDEX($L$164:$L$179,MATCH(LEFT(GT164,FIND("·",GT164)-1),$K$164:$K$179,0))=IFERROR(VALUE(MID(GT164,FIND("·",GT164)+1,1)),0),($D$16+(INDEX($M$164:$M$179,MATCH(LEFT(GT164,FIND("·",GT164)-1),$K$164:$K$179,0))=MID(GT164,FIND("|",GT164)+1,10))*$D$18+MAX(0,IF($D$50=1,$D$17*(1-(ABS(INDEX($P$164:$P$179,MATCH(LEFT(GT164,FIND("·",GT164)-1),$K$164:$K$179,0))-(VALUE(MID(GT164,FIND("|",GT164)+1,FIND("-",GT164,FIND("|",GT164))-FIND("|",GT164)-1))-VALUE(MID(GT164,FIND("-",GT164,FIND("|",GT164))+1,10)))))*$D$50),$D$17*(1-(IF(INDEX($L$164:$L$179,MATCH(LEFT(GT164,FIND("·",GT164)-1),$K$164:$K$179,0))=0,ABS(INDEX($N$164:$N$179,MATCH(LEFT(GT164,FIND("·",GT164)-1),$K$164:$K$179,0))-VALUE(MID(GT164,FIND("|",GT164)+1,FIND("-",GT164,FIND("|",GT164))-FIND("|",GT164)-1))),ABS(INDEX($P$164:$P$179,MATCH(LEFT(GT164,FIND("·",GT164)-1),$K$164:$K$179,0))-(VALUE(MID(GT164,FIND("|",GT164)+1,FIND("-",GT164,FIND("|",GT164))-FIND("|",GT164)-1))-VALUE(MID(GT164,FIND("-",GT164,FIND("|",GT164))+1,10)))))*$D$50)))))*INDEX($I$164:$I$179,MATCH(LEFT(GT164,FIND("·",GT164)-1),$K$164:$K$179,0)),0),0),0)+IFERROR(IF(COUNTIF($C$164:$C$179,LEFT(GT164,FIND("·",GT164)-1))&gt;0,IF(INDEX($D$164:$D$179,MATCH(LEFT(GT164,FIND("·",GT164)-1),$C$164:$C$179,0))=IFERROR(VALUE(MID(GT164,FIND("·",GT164)+1,1)),0),($D$16+(INDEX($E$164:$E$179,MATCH(LEFT(GT164,FIND("·",GT164)-1),$C$164:$C$179,0))=MID(GT164,FIND("|",GT164)+1,10))*$D$18+MAX(0,IF($D$50=1,$D$17*(1-(ABS(INDEX($Q$164:$Q$179,MATCH(LEFT(GT164,FIND("·",GT164)-1),$C$164:$C$179,0))-(VALUE(MID(GT164,FIND("|",GT164)+1,FIND("-",GT164,FIND("|",GT164))-FIND("|",GT164)-1))-VALUE(MID(GT164,FIND("-",GT164,FIND("|",GT164))+1,10)))))*$D$50),$D$17*(1-(IF(INDEX($D$164:$D$179,MATCH(LEFT(GT164,FIND("·",GT164)-1),$C$164:$C$179,0))=0,ABS(INDEX($A$164:$A$179,MATCH(LEFT(GT164,FIND("·",GT164)-1),$C$164:$C$179,0))-VALUE(MID(GT164,FIND("|",GT164)+1,FIND("-",GT164,FIND("|",GT164))-FIND("|",GT164)-1))),ABS(INDEX($Q$164:$Q$179,MATCH(LEFT(GT164,FIND("·",GT164)-1),$C$164:$C$179,0))-(VALUE(MID(GT164,FIND("|",GT164)+1,FIND("-",GT164,FIND("|",GT164))-FIND("|",GT164)-1))-VALUE(MID(GT164,FIND("-",GT164,FIND("|",GT164))+1,10)))))*$D$50)))))*INDEX($I$164:$I$179,MATCH(LEFT(GT164,FIND("·",GT164)-1),$C$164:$C$179,0)),0),0),0)</f>
        <v>0</v>
      </c>
      <c r="GV164" s="110"/>
      <c r="GW164" s="76" t="str">
        <f>Idiomas!$D$367</f>
        <v>Paste Values Round of 32'</v>
      </c>
      <c r="GX164" s="77">
        <f t="shared" ref="GX164" ca="1" si="1403">IFERROR(IF(COUNTIF($K$164:$K$179,LEFT(GW164,FIND("·",GW164)-1))&gt;0,IF(INDEX($L$164:$L$179,MATCH(LEFT(GW164,FIND("·",GW164)-1),$K$164:$K$179,0))=IFERROR(VALUE(MID(GW164,FIND("·",GW164)+1,1)),0),($D$16+(INDEX($M$164:$M$179,MATCH(LEFT(GW164,FIND("·",GW164)-1),$K$164:$K$179,0))=MID(GW164,FIND("|",GW164)+1,10))*$D$18+MAX(0,IF($D$50=1,$D$17*(1-(ABS(INDEX($P$164:$P$179,MATCH(LEFT(GW164,FIND("·",GW164)-1),$K$164:$K$179,0))-(VALUE(MID(GW164,FIND("|",GW164)+1,FIND("-",GW164,FIND("|",GW164))-FIND("|",GW164)-1))-VALUE(MID(GW164,FIND("-",GW164,FIND("|",GW164))+1,10)))))*$D$50),$D$17*(1-(IF(INDEX($L$164:$L$179,MATCH(LEFT(GW164,FIND("·",GW164)-1),$K$164:$K$179,0))=0,ABS(INDEX($N$164:$N$179,MATCH(LEFT(GW164,FIND("·",GW164)-1),$K$164:$K$179,0))-VALUE(MID(GW164,FIND("|",GW164)+1,FIND("-",GW164,FIND("|",GW164))-FIND("|",GW164)-1))),ABS(INDEX($P$164:$P$179,MATCH(LEFT(GW164,FIND("·",GW164)-1),$K$164:$K$179,0))-(VALUE(MID(GW164,FIND("|",GW164)+1,FIND("-",GW164,FIND("|",GW164))-FIND("|",GW164)-1))-VALUE(MID(GW164,FIND("-",GW164,FIND("|",GW164))+1,10)))))*$D$50)))))*INDEX($I$164:$I$179,MATCH(LEFT(GW164,FIND("·",GW164)-1),$K$164:$K$179,0)),0),0),0)+IFERROR(IF(COUNTIF($C$164:$C$179,LEFT(GW164,FIND("·",GW164)-1))&gt;0,IF(INDEX($D$164:$D$179,MATCH(LEFT(GW164,FIND("·",GW164)-1),$C$164:$C$179,0))=IFERROR(VALUE(MID(GW164,FIND("·",GW164)+1,1)),0),($D$16+(INDEX($E$164:$E$179,MATCH(LEFT(GW164,FIND("·",GW164)-1),$C$164:$C$179,0))=MID(GW164,FIND("|",GW164)+1,10))*$D$18+MAX(0,IF($D$50=1,$D$17*(1-(ABS(INDEX($Q$164:$Q$179,MATCH(LEFT(GW164,FIND("·",GW164)-1),$C$164:$C$179,0))-(VALUE(MID(GW164,FIND("|",GW164)+1,FIND("-",GW164,FIND("|",GW164))-FIND("|",GW164)-1))-VALUE(MID(GW164,FIND("-",GW164,FIND("|",GW164))+1,10)))))*$D$50),$D$17*(1-(IF(INDEX($D$164:$D$179,MATCH(LEFT(GW164,FIND("·",GW164)-1),$C$164:$C$179,0))=0,ABS(INDEX($A$164:$A$179,MATCH(LEFT(GW164,FIND("·",GW164)-1),$C$164:$C$179,0))-VALUE(MID(GW164,FIND("|",GW164)+1,FIND("-",GW164,FIND("|",GW164))-FIND("|",GW164)-1))),ABS(INDEX($Q$164:$Q$179,MATCH(LEFT(GW164,FIND("·",GW164)-1),$C$164:$C$179,0))-(VALUE(MID(GW164,FIND("|",GW164)+1,FIND("-",GW164,FIND("|",GW164))-FIND("|",GW164)-1))-VALUE(MID(GW164,FIND("-",GW164,FIND("|",GW164))+1,10)))))*$D$50)))))*INDEX($I$164:$I$179,MATCH(LEFT(GW164,FIND("·",GW164)-1),$C$164:$C$179,0)),0),0),0)</f>
        <v>0</v>
      </c>
      <c r="GY164" s="110"/>
      <c r="GZ164" s="76" t="str">
        <f>Idiomas!$D$367</f>
        <v>Paste Values Round of 32'</v>
      </c>
      <c r="HA164" s="77">
        <f t="shared" ref="HA164" ca="1" si="1404">IFERROR(IF(COUNTIF($K$164:$K$179,LEFT(GZ164,FIND("·",GZ164)-1))&gt;0,IF(INDEX($L$164:$L$179,MATCH(LEFT(GZ164,FIND("·",GZ164)-1),$K$164:$K$179,0))=IFERROR(VALUE(MID(GZ164,FIND("·",GZ164)+1,1)),0),($D$16+(INDEX($M$164:$M$179,MATCH(LEFT(GZ164,FIND("·",GZ164)-1),$K$164:$K$179,0))=MID(GZ164,FIND("|",GZ164)+1,10))*$D$18+MAX(0,IF($D$50=1,$D$17*(1-(ABS(INDEX($P$164:$P$179,MATCH(LEFT(GZ164,FIND("·",GZ164)-1),$K$164:$K$179,0))-(VALUE(MID(GZ164,FIND("|",GZ164)+1,FIND("-",GZ164,FIND("|",GZ164))-FIND("|",GZ164)-1))-VALUE(MID(GZ164,FIND("-",GZ164,FIND("|",GZ164))+1,10)))))*$D$50),$D$17*(1-(IF(INDEX($L$164:$L$179,MATCH(LEFT(GZ164,FIND("·",GZ164)-1),$K$164:$K$179,0))=0,ABS(INDEX($N$164:$N$179,MATCH(LEFT(GZ164,FIND("·",GZ164)-1),$K$164:$K$179,0))-VALUE(MID(GZ164,FIND("|",GZ164)+1,FIND("-",GZ164,FIND("|",GZ164))-FIND("|",GZ164)-1))),ABS(INDEX($P$164:$P$179,MATCH(LEFT(GZ164,FIND("·",GZ164)-1),$K$164:$K$179,0))-(VALUE(MID(GZ164,FIND("|",GZ164)+1,FIND("-",GZ164,FIND("|",GZ164))-FIND("|",GZ164)-1))-VALUE(MID(GZ164,FIND("-",GZ164,FIND("|",GZ164))+1,10)))))*$D$50)))))*INDEX($I$164:$I$179,MATCH(LEFT(GZ164,FIND("·",GZ164)-1),$K$164:$K$179,0)),0),0),0)+IFERROR(IF(COUNTIF($C$164:$C$179,LEFT(GZ164,FIND("·",GZ164)-1))&gt;0,IF(INDEX($D$164:$D$179,MATCH(LEFT(GZ164,FIND("·",GZ164)-1),$C$164:$C$179,0))=IFERROR(VALUE(MID(GZ164,FIND("·",GZ164)+1,1)),0),($D$16+(INDEX($E$164:$E$179,MATCH(LEFT(GZ164,FIND("·",GZ164)-1),$C$164:$C$179,0))=MID(GZ164,FIND("|",GZ164)+1,10))*$D$18+MAX(0,IF($D$50=1,$D$17*(1-(ABS(INDEX($Q$164:$Q$179,MATCH(LEFT(GZ164,FIND("·",GZ164)-1),$C$164:$C$179,0))-(VALUE(MID(GZ164,FIND("|",GZ164)+1,FIND("-",GZ164,FIND("|",GZ164))-FIND("|",GZ164)-1))-VALUE(MID(GZ164,FIND("-",GZ164,FIND("|",GZ164))+1,10)))))*$D$50),$D$17*(1-(IF(INDEX($D$164:$D$179,MATCH(LEFT(GZ164,FIND("·",GZ164)-1),$C$164:$C$179,0))=0,ABS(INDEX($A$164:$A$179,MATCH(LEFT(GZ164,FIND("·",GZ164)-1),$C$164:$C$179,0))-VALUE(MID(GZ164,FIND("|",GZ164)+1,FIND("-",GZ164,FIND("|",GZ164))-FIND("|",GZ164)-1))),ABS(INDEX($Q$164:$Q$179,MATCH(LEFT(GZ164,FIND("·",GZ164)-1),$C$164:$C$179,0))-(VALUE(MID(GZ164,FIND("|",GZ164)+1,FIND("-",GZ164,FIND("|",GZ164))-FIND("|",GZ164)-1))-VALUE(MID(GZ164,FIND("-",GZ164,FIND("|",GZ164))+1,10)))))*$D$50)))))*INDEX($I$164:$I$179,MATCH(LEFT(GZ164,FIND("·",GZ164)-1),$C$164:$C$179,0)),0),0),0)</f>
        <v>0</v>
      </c>
      <c r="HB164" s="110"/>
      <c r="HC164" s="76" t="str">
        <f>Idiomas!$D$367</f>
        <v>Paste Values Round of 32'</v>
      </c>
      <c r="HD164" s="77">
        <f t="shared" ref="HD164" ca="1" si="1405">IFERROR(IF(COUNTIF($K$164:$K$179,LEFT(HC164,FIND("·",HC164)-1))&gt;0,IF(INDEX($L$164:$L$179,MATCH(LEFT(HC164,FIND("·",HC164)-1),$K$164:$K$179,0))=IFERROR(VALUE(MID(HC164,FIND("·",HC164)+1,1)),0),($D$16+(INDEX($M$164:$M$179,MATCH(LEFT(HC164,FIND("·",HC164)-1),$K$164:$K$179,0))=MID(HC164,FIND("|",HC164)+1,10))*$D$18+MAX(0,IF($D$50=1,$D$17*(1-(ABS(INDEX($P$164:$P$179,MATCH(LEFT(HC164,FIND("·",HC164)-1),$K$164:$K$179,0))-(VALUE(MID(HC164,FIND("|",HC164)+1,FIND("-",HC164,FIND("|",HC164))-FIND("|",HC164)-1))-VALUE(MID(HC164,FIND("-",HC164,FIND("|",HC164))+1,10)))))*$D$50),$D$17*(1-(IF(INDEX($L$164:$L$179,MATCH(LEFT(HC164,FIND("·",HC164)-1),$K$164:$K$179,0))=0,ABS(INDEX($N$164:$N$179,MATCH(LEFT(HC164,FIND("·",HC164)-1),$K$164:$K$179,0))-VALUE(MID(HC164,FIND("|",HC164)+1,FIND("-",HC164,FIND("|",HC164))-FIND("|",HC164)-1))),ABS(INDEX($P$164:$P$179,MATCH(LEFT(HC164,FIND("·",HC164)-1),$K$164:$K$179,0))-(VALUE(MID(HC164,FIND("|",HC164)+1,FIND("-",HC164,FIND("|",HC164))-FIND("|",HC164)-1))-VALUE(MID(HC164,FIND("-",HC164,FIND("|",HC164))+1,10)))))*$D$50)))))*INDEX($I$164:$I$179,MATCH(LEFT(HC164,FIND("·",HC164)-1),$K$164:$K$179,0)),0),0),0)+IFERROR(IF(COUNTIF($C$164:$C$179,LEFT(HC164,FIND("·",HC164)-1))&gt;0,IF(INDEX($D$164:$D$179,MATCH(LEFT(HC164,FIND("·",HC164)-1),$C$164:$C$179,0))=IFERROR(VALUE(MID(HC164,FIND("·",HC164)+1,1)),0),($D$16+(INDEX($E$164:$E$179,MATCH(LEFT(HC164,FIND("·",HC164)-1),$C$164:$C$179,0))=MID(HC164,FIND("|",HC164)+1,10))*$D$18+MAX(0,IF($D$50=1,$D$17*(1-(ABS(INDEX($Q$164:$Q$179,MATCH(LEFT(HC164,FIND("·",HC164)-1),$C$164:$C$179,0))-(VALUE(MID(HC164,FIND("|",HC164)+1,FIND("-",HC164,FIND("|",HC164))-FIND("|",HC164)-1))-VALUE(MID(HC164,FIND("-",HC164,FIND("|",HC164))+1,10)))))*$D$50),$D$17*(1-(IF(INDEX($D$164:$D$179,MATCH(LEFT(HC164,FIND("·",HC164)-1),$C$164:$C$179,0))=0,ABS(INDEX($A$164:$A$179,MATCH(LEFT(HC164,FIND("·",HC164)-1),$C$164:$C$179,0))-VALUE(MID(HC164,FIND("|",HC164)+1,FIND("-",HC164,FIND("|",HC164))-FIND("|",HC164)-1))),ABS(INDEX($Q$164:$Q$179,MATCH(LEFT(HC164,FIND("·",HC164)-1),$C$164:$C$179,0))-(VALUE(MID(HC164,FIND("|",HC164)+1,FIND("-",HC164,FIND("|",HC164))-FIND("|",HC164)-1))-VALUE(MID(HC164,FIND("-",HC164,FIND("|",HC164))+1,10)))))*$D$50)))))*INDEX($I$164:$I$179,MATCH(LEFT(HC164,FIND("·",HC164)-1),$C$164:$C$179,0)),0),0),0)</f>
        <v>0</v>
      </c>
      <c r="HE164" s="110"/>
      <c r="HF164" s="76" t="str">
        <f>Idiomas!$D$367</f>
        <v>Paste Values Round of 32'</v>
      </c>
      <c r="HG164" s="77">
        <f t="shared" ref="HG164" ca="1" si="1406">IFERROR(IF(COUNTIF($K$164:$K$179,LEFT(HF164,FIND("·",HF164)-1))&gt;0,IF(INDEX($L$164:$L$179,MATCH(LEFT(HF164,FIND("·",HF164)-1),$K$164:$K$179,0))=IFERROR(VALUE(MID(HF164,FIND("·",HF164)+1,1)),0),($D$16+(INDEX($M$164:$M$179,MATCH(LEFT(HF164,FIND("·",HF164)-1),$K$164:$K$179,0))=MID(HF164,FIND("|",HF164)+1,10))*$D$18+MAX(0,IF($D$50=1,$D$17*(1-(ABS(INDEX($P$164:$P$179,MATCH(LEFT(HF164,FIND("·",HF164)-1),$K$164:$K$179,0))-(VALUE(MID(HF164,FIND("|",HF164)+1,FIND("-",HF164,FIND("|",HF164))-FIND("|",HF164)-1))-VALUE(MID(HF164,FIND("-",HF164,FIND("|",HF164))+1,10)))))*$D$50),$D$17*(1-(IF(INDEX($L$164:$L$179,MATCH(LEFT(HF164,FIND("·",HF164)-1),$K$164:$K$179,0))=0,ABS(INDEX($N$164:$N$179,MATCH(LEFT(HF164,FIND("·",HF164)-1),$K$164:$K$179,0))-VALUE(MID(HF164,FIND("|",HF164)+1,FIND("-",HF164,FIND("|",HF164))-FIND("|",HF164)-1))),ABS(INDEX($P$164:$P$179,MATCH(LEFT(HF164,FIND("·",HF164)-1),$K$164:$K$179,0))-(VALUE(MID(HF164,FIND("|",HF164)+1,FIND("-",HF164,FIND("|",HF164))-FIND("|",HF164)-1))-VALUE(MID(HF164,FIND("-",HF164,FIND("|",HF164))+1,10)))))*$D$50)))))*INDEX($I$164:$I$179,MATCH(LEFT(HF164,FIND("·",HF164)-1),$K$164:$K$179,0)),0),0),0)+IFERROR(IF(COUNTIF($C$164:$C$179,LEFT(HF164,FIND("·",HF164)-1))&gt;0,IF(INDEX($D$164:$D$179,MATCH(LEFT(HF164,FIND("·",HF164)-1),$C$164:$C$179,0))=IFERROR(VALUE(MID(HF164,FIND("·",HF164)+1,1)),0),($D$16+(INDEX($E$164:$E$179,MATCH(LEFT(HF164,FIND("·",HF164)-1),$C$164:$C$179,0))=MID(HF164,FIND("|",HF164)+1,10))*$D$18+MAX(0,IF($D$50=1,$D$17*(1-(ABS(INDEX($Q$164:$Q$179,MATCH(LEFT(HF164,FIND("·",HF164)-1),$C$164:$C$179,0))-(VALUE(MID(HF164,FIND("|",HF164)+1,FIND("-",HF164,FIND("|",HF164))-FIND("|",HF164)-1))-VALUE(MID(HF164,FIND("-",HF164,FIND("|",HF164))+1,10)))))*$D$50),$D$17*(1-(IF(INDEX($D$164:$D$179,MATCH(LEFT(HF164,FIND("·",HF164)-1),$C$164:$C$179,0))=0,ABS(INDEX($A$164:$A$179,MATCH(LEFT(HF164,FIND("·",HF164)-1),$C$164:$C$179,0))-VALUE(MID(HF164,FIND("|",HF164)+1,FIND("-",HF164,FIND("|",HF164))-FIND("|",HF164)-1))),ABS(INDEX($Q$164:$Q$179,MATCH(LEFT(HF164,FIND("·",HF164)-1),$C$164:$C$179,0))-(VALUE(MID(HF164,FIND("|",HF164)+1,FIND("-",HF164,FIND("|",HF164))-FIND("|",HF164)-1))-VALUE(MID(HF164,FIND("-",HF164,FIND("|",HF164))+1,10)))))*$D$50)))))*INDEX($I$164:$I$179,MATCH(LEFT(HF164,FIND("·",HF164)-1),$C$164:$C$179,0)),0),0),0)</f>
        <v>0</v>
      </c>
      <c r="HH164" s="110"/>
      <c r="HI164" s="76" t="str">
        <f>Idiomas!$D$367</f>
        <v>Paste Values Round of 32'</v>
      </c>
      <c r="HJ164" s="77">
        <f t="shared" ref="HJ164" ca="1" si="1407">IFERROR(IF(COUNTIF($K$164:$K$179,LEFT(HI164,FIND("·",HI164)-1))&gt;0,IF(INDEX($L$164:$L$179,MATCH(LEFT(HI164,FIND("·",HI164)-1),$K$164:$K$179,0))=IFERROR(VALUE(MID(HI164,FIND("·",HI164)+1,1)),0),($D$16+(INDEX($M$164:$M$179,MATCH(LEFT(HI164,FIND("·",HI164)-1),$K$164:$K$179,0))=MID(HI164,FIND("|",HI164)+1,10))*$D$18+MAX(0,IF($D$50=1,$D$17*(1-(ABS(INDEX($P$164:$P$179,MATCH(LEFT(HI164,FIND("·",HI164)-1),$K$164:$K$179,0))-(VALUE(MID(HI164,FIND("|",HI164)+1,FIND("-",HI164,FIND("|",HI164))-FIND("|",HI164)-1))-VALUE(MID(HI164,FIND("-",HI164,FIND("|",HI164))+1,10)))))*$D$50),$D$17*(1-(IF(INDEX($L$164:$L$179,MATCH(LEFT(HI164,FIND("·",HI164)-1),$K$164:$K$179,0))=0,ABS(INDEX($N$164:$N$179,MATCH(LEFT(HI164,FIND("·",HI164)-1),$K$164:$K$179,0))-VALUE(MID(HI164,FIND("|",HI164)+1,FIND("-",HI164,FIND("|",HI164))-FIND("|",HI164)-1))),ABS(INDEX($P$164:$P$179,MATCH(LEFT(HI164,FIND("·",HI164)-1),$K$164:$K$179,0))-(VALUE(MID(HI164,FIND("|",HI164)+1,FIND("-",HI164,FIND("|",HI164))-FIND("|",HI164)-1))-VALUE(MID(HI164,FIND("-",HI164,FIND("|",HI164))+1,10)))))*$D$50)))))*INDEX($I$164:$I$179,MATCH(LEFT(HI164,FIND("·",HI164)-1),$K$164:$K$179,0)),0),0),0)+IFERROR(IF(COUNTIF($C$164:$C$179,LEFT(HI164,FIND("·",HI164)-1))&gt;0,IF(INDEX($D$164:$D$179,MATCH(LEFT(HI164,FIND("·",HI164)-1),$C$164:$C$179,0))=IFERROR(VALUE(MID(HI164,FIND("·",HI164)+1,1)),0),($D$16+(INDEX($E$164:$E$179,MATCH(LEFT(HI164,FIND("·",HI164)-1),$C$164:$C$179,0))=MID(HI164,FIND("|",HI164)+1,10))*$D$18+MAX(0,IF($D$50=1,$D$17*(1-(ABS(INDEX($Q$164:$Q$179,MATCH(LEFT(HI164,FIND("·",HI164)-1),$C$164:$C$179,0))-(VALUE(MID(HI164,FIND("|",HI164)+1,FIND("-",HI164,FIND("|",HI164))-FIND("|",HI164)-1))-VALUE(MID(HI164,FIND("-",HI164,FIND("|",HI164))+1,10)))))*$D$50),$D$17*(1-(IF(INDEX($D$164:$D$179,MATCH(LEFT(HI164,FIND("·",HI164)-1),$C$164:$C$179,0))=0,ABS(INDEX($A$164:$A$179,MATCH(LEFT(HI164,FIND("·",HI164)-1),$C$164:$C$179,0))-VALUE(MID(HI164,FIND("|",HI164)+1,FIND("-",HI164,FIND("|",HI164))-FIND("|",HI164)-1))),ABS(INDEX($Q$164:$Q$179,MATCH(LEFT(HI164,FIND("·",HI164)-1),$C$164:$C$179,0))-(VALUE(MID(HI164,FIND("|",HI164)+1,FIND("-",HI164,FIND("|",HI164))-FIND("|",HI164)-1))-VALUE(MID(HI164,FIND("-",HI164,FIND("|",HI164))+1,10)))))*$D$50)))))*INDEX($I$164:$I$179,MATCH(LEFT(HI164,FIND("·",HI164)-1),$C$164:$C$179,0)),0),0),0)</f>
        <v>0</v>
      </c>
      <c r="HK164" s="110"/>
      <c r="HL164" s="76" t="str">
        <f>Idiomas!$D$367</f>
        <v>Paste Values Round of 32'</v>
      </c>
      <c r="HM164" s="77">
        <f t="shared" ref="HM164:JX177" ca="1" si="1408">IFERROR(IF(COUNTIF($K$164:$K$179,LEFT(HL164,FIND("·",HL164)-1))&gt;0,IF(INDEX($L$164:$L$179,MATCH(LEFT(HL164,FIND("·",HL164)-1),$K$164:$K$179,0))=IFERROR(VALUE(MID(HL164,FIND("·",HL164)+1,1)),0),($D$16+(INDEX($M$164:$M$179,MATCH(LEFT(HL164,FIND("·",HL164)-1),$K$164:$K$179,0))=MID(HL164,FIND("|",HL164)+1,10))*$D$18+MAX(0,IF($D$50=1,$D$17*(1-(ABS(INDEX($P$164:$P$179,MATCH(LEFT(HL164,FIND("·",HL164)-1),$K$164:$K$179,0))-(VALUE(MID(HL164,FIND("|",HL164)+1,FIND("-",HL164,FIND("|",HL164))-FIND("|",HL164)-1))-VALUE(MID(HL164,FIND("-",HL164,FIND("|",HL164))+1,10)))))*$D$50),$D$17*(1-(IF(INDEX($L$164:$L$179,MATCH(LEFT(HL164,FIND("·",HL164)-1),$K$164:$K$179,0))=0,ABS(INDEX($N$164:$N$179,MATCH(LEFT(HL164,FIND("·",HL164)-1),$K$164:$K$179,0))-VALUE(MID(HL164,FIND("|",HL164)+1,FIND("-",HL164,FIND("|",HL164))-FIND("|",HL164)-1))),ABS(INDEX($P$164:$P$179,MATCH(LEFT(HL164,FIND("·",HL164)-1),$K$164:$K$179,0))-(VALUE(MID(HL164,FIND("|",HL164)+1,FIND("-",HL164,FIND("|",HL164))-FIND("|",HL164)-1))-VALUE(MID(HL164,FIND("-",HL164,FIND("|",HL164))+1,10)))))*$D$50)))))*INDEX($I$164:$I$179,MATCH(LEFT(HL164,FIND("·",HL164)-1),$K$164:$K$179,0)),0),0),0)+IFERROR(IF(COUNTIF($C$164:$C$179,LEFT(HL164,FIND("·",HL164)-1))&gt;0,IF(INDEX($D$164:$D$179,MATCH(LEFT(HL164,FIND("·",HL164)-1),$C$164:$C$179,0))=IFERROR(VALUE(MID(HL164,FIND("·",HL164)+1,1)),0),($D$16+(INDEX($E$164:$E$179,MATCH(LEFT(HL164,FIND("·",HL164)-1),$C$164:$C$179,0))=MID(HL164,FIND("|",HL164)+1,10))*$D$18+MAX(0,IF($D$50=1,$D$17*(1-(ABS(INDEX($Q$164:$Q$179,MATCH(LEFT(HL164,FIND("·",HL164)-1),$C$164:$C$179,0))-(VALUE(MID(HL164,FIND("|",HL164)+1,FIND("-",HL164,FIND("|",HL164))-FIND("|",HL164)-1))-VALUE(MID(HL164,FIND("-",HL164,FIND("|",HL164))+1,10)))))*$D$50),$D$17*(1-(IF(INDEX($D$164:$D$179,MATCH(LEFT(HL164,FIND("·",HL164)-1),$C$164:$C$179,0))=0,ABS(INDEX($A$164:$A$179,MATCH(LEFT(HL164,FIND("·",HL164)-1),$C$164:$C$179,0))-VALUE(MID(HL164,FIND("|",HL164)+1,FIND("-",HL164,FIND("|",HL164))-FIND("|",HL164)-1))),ABS(INDEX($Q$164:$Q$179,MATCH(LEFT(HL164,FIND("·",HL164)-1),$C$164:$C$179,0))-(VALUE(MID(HL164,FIND("|",HL164)+1,FIND("-",HL164,FIND("|",HL164))-FIND("|",HL164)-1))-VALUE(MID(HL164,FIND("-",HL164,FIND("|",HL164))+1,10)))))*$D$50)))))*INDEX($I$164:$I$179,MATCH(LEFT(HL164,FIND("·",HL164)-1),$C$164:$C$179,0)),0),0),0)</f>
        <v>0</v>
      </c>
      <c r="HN164" s="110"/>
      <c r="HO164" s="76" t="str">
        <f>Idiomas!$D$367</f>
        <v>Paste Values Round of 32'</v>
      </c>
      <c r="HP164" s="77">
        <f t="shared" ref="HP164" ca="1" si="1409">IFERROR(IF(COUNTIF($K$164:$K$179,LEFT(HO164,FIND("·",HO164)-1))&gt;0,IF(INDEX($L$164:$L$179,MATCH(LEFT(HO164,FIND("·",HO164)-1),$K$164:$K$179,0))=IFERROR(VALUE(MID(HO164,FIND("·",HO164)+1,1)),0),($D$16+(INDEX($M$164:$M$179,MATCH(LEFT(HO164,FIND("·",HO164)-1),$K$164:$K$179,0))=MID(HO164,FIND("|",HO164)+1,10))*$D$18+MAX(0,IF($D$50=1,$D$17*(1-(ABS(INDEX($P$164:$P$179,MATCH(LEFT(HO164,FIND("·",HO164)-1),$K$164:$K$179,0))-(VALUE(MID(HO164,FIND("|",HO164)+1,FIND("-",HO164,FIND("|",HO164))-FIND("|",HO164)-1))-VALUE(MID(HO164,FIND("-",HO164,FIND("|",HO164))+1,10)))))*$D$50),$D$17*(1-(IF(INDEX($L$164:$L$179,MATCH(LEFT(HO164,FIND("·",HO164)-1),$K$164:$K$179,0))=0,ABS(INDEX($N$164:$N$179,MATCH(LEFT(HO164,FIND("·",HO164)-1),$K$164:$K$179,0))-VALUE(MID(HO164,FIND("|",HO164)+1,FIND("-",HO164,FIND("|",HO164))-FIND("|",HO164)-1))),ABS(INDEX($P$164:$P$179,MATCH(LEFT(HO164,FIND("·",HO164)-1),$K$164:$K$179,0))-(VALUE(MID(HO164,FIND("|",HO164)+1,FIND("-",HO164,FIND("|",HO164))-FIND("|",HO164)-1))-VALUE(MID(HO164,FIND("-",HO164,FIND("|",HO164))+1,10)))))*$D$50)))))*INDEX($I$164:$I$179,MATCH(LEFT(HO164,FIND("·",HO164)-1),$K$164:$K$179,0)),0),0),0)+IFERROR(IF(COUNTIF($C$164:$C$179,LEFT(HO164,FIND("·",HO164)-1))&gt;0,IF(INDEX($D$164:$D$179,MATCH(LEFT(HO164,FIND("·",HO164)-1),$C$164:$C$179,0))=IFERROR(VALUE(MID(HO164,FIND("·",HO164)+1,1)),0),($D$16+(INDEX($E$164:$E$179,MATCH(LEFT(HO164,FIND("·",HO164)-1),$C$164:$C$179,0))=MID(HO164,FIND("|",HO164)+1,10))*$D$18+MAX(0,IF($D$50=1,$D$17*(1-(ABS(INDEX($Q$164:$Q$179,MATCH(LEFT(HO164,FIND("·",HO164)-1),$C$164:$C$179,0))-(VALUE(MID(HO164,FIND("|",HO164)+1,FIND("-",HO164,FIND("|",HO164))-FIND("|",HO164)-1))-VALUE(MID(HO164,FIND("-",HO164,FIND("|",HO164))+1,10)))))*$D$50),$D$17*(1-(IF(INDEX($D$164:$D$179,MATCH(LEFT(HO164,FIND("·",HO164)-1),$C$164:$C$179,0))=0,ABS(INDEX($A$164:$A$179,MATCH(LEFT(HO164,FIND("·",HO164)-1),$C$164:$C$179,0))-VALUE(MID(HO164,FIND("|",HO164)+1,FIND("-",HO164,FIND("|",HO164))-FIND("|",HO164)-1))),ABS(INDEX($Q$164:$Q$179,MATCH(LEFT(HO164,FIND("·",HO164)-1),$C$164:$C$179,0))-(VALUE(MID(HO164,FIND("|",HO164)+1,FIND("-",HO164,FIND("|",HO164))-FIND("|",HO164)-1))-VALUE(MID(HO164,FIND("-",HO164,FIND("|",HO164))+1,10)))))*$D$50)))))*INDEX($I$164:$I$179,MATCH(LEFT(HO164,FIND("·",HO164)-1),$C$164:$C$179,0)),0),0),0)</f>
        <v>0</v>
      </c>
      <c r="HQ164" s="110"/>
      <c r="HR164" s="76" t="str">
        <f>Idiomas!$D$367</f>
        <v>Paste Values Round of 32'</v>
      </c>
      <c r="HS164" s="77">
        <f t="shared" ref="HS164" ca="1" si="1410">IFERROR(IF(COUNTIF($K$164:$K$179,LEFT(HR164,FIND("·",HR164)-1))&gt;0,IF(INDEX($L$164:$L$179,MATCH(LEFT(HR164,FIND("·",HR164)-1),$K$164:$K$179,0))=IFERROR(VALUE(MID(HR164,FIND("·",HR164)+1,1)),0),($D$16+(INDEX($M$164:$M$179,MATCH(LEFT(HR164,FIND("·",HR164)-1),$K$164:$K$179,0))=MID(HR164,FIND("|",HR164)+1,10))*$D$18+MAX(0,IF($D$50=1,$D$17*(1-(ABS(INDEX($P$164:$P$179,MATCH(LEFT(HR164,FIND("·",HR164)-1),$K$164:$K$179,0))-(VALUE(MID(HR164,FIND("|",HR164)+1,FIND("-",HR164,FIND("|",HR164))-FIND("|",HR164)-1))-VALUE(MID(HR164,FIND("-",HR164,FIND("|",HR164))+1,10)))))*$D$50),$D$17*(1-(IF(INDEX($L$164:$L$179,MATCH(LEFT(HR164,FIND("·",HR164)-1),$K$164:$K$179,0))=0,ABS(INDEX($N$164:$N$179,MATCH(LEFT(HR164,FIND("·",HR164)-1),$K$164:$K$179,0))-VALUE(MID(HR164,FIND("|",HR164)+1,FIND("-",HR164,FIND("|",HR164))-FIND("|",HR164)-1))),ABS(INDEX($P$164:$P$179,MATCH(LEFT(HR164,FIND("·",HR164)-1),$K$164:$K$179,0))-(VALUE(MID(HR164,FIND("|",HR164)+1,FIND("-",HR164,FIND("|",HR164))-FIND("|",HR164)-1))-VALUE(MID(HR164,FIND("-",HR164,FIND("|",HR164))+1,10)))))*$D$50)))))*INDEX($I$164:$I$179,MATCH(LEFT(HR164,FIND("·",HR164)-1),$K$164:$K$179,0)),0),0),0)+IFERROR(IF(COUNTIF($C$164:$C$179,LEFT(HR164,FIND("·",HR164)-1))&gt;0,IF(INDEX($D$164:$D$179,MATCH(LEFT(HR164,FIND("·",HR164)-1),$C$164:$C$179,0))=IFERROR(VALUE(MID(HR164,FIND("·",HR164)+1,1)),0),($D$16+(INDEX($E$164:$E$179,MATCH(LEFT(HR164,FIND("·",HR164)-1),$C$164:$C$179,0))=MID(HR164,FIND("|",HR164)+1,10))*$D$18+MAX(0,IF($D$50=1,$D$17*(1-(ABS(INDEX($Q$164:$Q$179,MATCH(LEFT(HR164,FIND("·",HR164)-1),$C$164:$C$179,0))-(VALUE(MID(HR164,FIND("|",HR164)+1,FIND("-",HR164,FIND("|",HR164))-FIND("|",HR164)-1))-VALUE(MID(HR164,FIND("-",HR164,FIND("|",HR164))+1,10)))))*$D$50),$D$17*(1-(IF(INDEX($D$164:$D$179,MATCH(LEFT(HR164,FIND("·",HR164)-1),$C$164:$C$179,0))=0,ABS(INDEX($A$164:$A$179,MATCH(LEFT(HR164,FIND("·",HR164)-1),$C$164:$C$179,0))-VALUE(MID(HR164,FIND("|",HR164)+1,FIND("-",HR164,FIND("|",HR164))-FIND("|",HR164)-1))),ABS(INDEX($Q$164:$Q$179,MATCH(LEFT(HR164,FIND("·",HR164)-1),$C$164:$C$179,0))-(VALUE(MID(HR164,FIND("|",HR164)+1,FIND("-",HR164,FIND("|",HR164))-FIND("|",HR164)-1))-VALUE(MID(HR164,FIND("-",HR164,FIND("|",HR164))+1,10)))))*$D$50)))))*INDEX($I$164:$I$179,MATCH(LEFT(HR164,FIND("·",HR164)-1),$C$164:$C$179,0)),0),0),0)</f>
        <v>0</v>
      </c>
      <c r="HT164" s="110"/>
      <c r="HU164" s="76" t="str">
        <f>Idiomas!$D$367</f>
        <v>Paste Values Round of 32'</v>
      </c>
      <c r="HV164" s="77">
        <f t="shared" ref="HV164" ca="1" si="1411">IFERROR(IF(COUNTIF($K$164:$K$179,LEFT(HU164,FIND("·",HU164)-1))&gt;0,IF(INDEX($L$164:$L$179,MATCH(LEFT(HU164,FIND("·",HU164)-1),$K$164:$K$179,0))=IFERROR(VALUE(MID(HU164,FIND("·",HU164)+1,1)),0),($D$16+(INDEX($M$164:$M$179,MATCH(LEFT(HU164,FIND("·",HU164)-1),$K$164:$K$179,0))=MID(HU164,FIND("|",HU164)+1,10))*$D$18+MAX(0,IF($D$50=1,$D$17*(1-(ABS(INDEX($P$164:$P$179,MATCH(LEFT(HU164,FIND("·",HU164)-1),$K$164:$K$179,0))-(VALUE(MID(HU164,FIND("|",HU164)+1,FIND("-",HU164,FIND("|",HU164))-FIND("|",HU164)-1))-VALUE(MID(HU164,FIND("-",HU164,FIND("|",HU164))+1,10)))))*$D$50),$D$17*(1-(IF(INDEX($L$164:$L$179,MATCH(LEFT(HU164,FIND("·",HU164)-1),$K$164:$K$179,0))=0,ABS(INDEX($N$164:$N$179,MATCH(LEFT(HU164,FIND("·",HU164)-1),$K$164:$K$179,0))-VALUE(MID(HU164,FIND("|",HU164)+1,FIND("-",HU164,FIND("|",HU164))-FIND("|",HU164)-1))),ABS(INDEX($P$164:$P$179,MATCH(LEFT(HU164,FIND("·",HU164)-1),$K$164:$K$179,0))-(VALUE(MID(HU164,FIND("|",HU164)+1,FIND("-",HU164,FIND("|",HU164))-FIND("|",HU164)-1))-VALUE(MID(HU164,FIND("-",HU164,FIND("|",HU164))+1,10)))))*$D$50)))))*INDEX($I$164:$I$179,MATCH(LEFT(HU164,FIND("·",HU164)-1),$K$164:$K$179,0)),0),0),0)+IFERROR(IF(COUNTIF($C$164:$C$179,LEFT(HU164,FIND("·",HU164)-1))&gt;0,IF(INDEX($D$164:$D$179,MATCH(LEFT(HU164,FIND("·",HU164)-1),$C$164:$C$179,0))=IFERROR(VALUE(MID(HU164,FIND("·",HU164)+1,1)),0),($D$16+(INDEX($E$164:$E$179,MATCH(LEFT(HU164,FIND("·",HU164)-1),$C$164:$C$179,0))=MID(HU164,FIND("|",HU164)+1,10))*$D$18+MAX(0,IF($D$50=1,$D$17*(1-(ABS(INDEX($Q$164:$Q$179,MATCH(LEFT(HU164,FIND("·",HU164)-1),$C$164:$C$179,0))-(VALUE(MID(HU164,FIND("|",HU164)+1,FIND("-",HU164,FIND("|",HU164))-FIND("|",HU164)-1))-VALUE(MID(HU164,FIND("-",HU164,FIND("|",HU164))+1,10)))))*$D$50),$D$17*(1-(IF(INDEX($D$164:$D$179,MATCH(LEFT(HU164,FIND("·",HU164)-1),$C$164:$C$179,0))=0,ABS(INDEX($A$164:$A$179,MATCH(LEFT(HU164,FIND("·",HU164)-1),$C$164:$C$179,0))-VALUE(MID(HU164,FIND("|",HU164)+1,FIND("-",HU164,FIND("|",HU164))-FIND("|",HU164)-1))),ABS(INDEX($Q$164:$Q$179,MATCH(LEFT(HU164,FIND("·",HU164)-1),$C$164:$C$179,0))-(VALUE(MID(HU164,FIND("|",HU164)+1,FIND("-",HU164,FIND("|",HU164))-FIND("|",HU164)-1))-VALUE(MID(HU164,FIND("-",HU164,FIND("|",HU164))+1,10)))))*$D$50)))))*INDEX($I$164:$I$179,MATCH(LEFT(HU164,FIND("·",HU164)-1),$C$164:$C$179,0)),0),0),0)</f>
        <v>0</v>
      </c>
      <c r="HW164" s="110"/>
      <c r="HX164" s="76" t="str">
        <f>Idiomas!$D$367</f>
        <v>Paste Values Round of 32'</v>
      </c>
      <c r="HY164" s="77">
        <f t="shared" ref="HY164" ca="1" si="1412">IFERROR(IF(COUNTIF($K$164:$K$179,LEFT(HX164,FIND("·",HX164)-1))&gt;0,IF(INDEX($L$164:$L$179,MATCH(LEFT(HX164,FIND("·",HX164)-1),$K$164:$K$179,0))=IFERROR(VALUE(MID(HX164,FIND("·",HX164)+1,1)),0),($D$16+(INDEX($M$164:$M$179,MATCH(LEFT(HX164,FIND("·",HX164)-1),$K$164:$K$179,0))=MID(HX164,FIND("|",HX164)+1,10))*$D$18+MAX(0,IF($D$50=1,$D$17*(1-(ABS(INDEX($P$164:$P$179,MATCH(LEFT(HX164,FIND("·",HX164)-1),$K$164:$K$179,0))-(VALUE(MID(HX164,FIND("|",HX164)+1,FIND("-",HX164,FIND("|",HX164))-FIND("|",HX164)-1))-VALUE(MID(HX164,FIND("-",HX164,FIND("|",HX164))+1,10)))))*$D$50),$D$17*(1-(IF(INDEX($L$164:$L$179,MATCH(LEFT(HX164,FIND("·",HX164)-1),$K$164:$K$179,0))=0,ABS(INDEX($N$164:$N$179,MATCH(LEFT(HX164,FIND("·",HX164)-1),$K$164:$K$179,0))-VALUE(MID(HX164,FIND("|",HX164)+1,FIND("-",HX164,FIND("|",HX164))-FIND("|",HX164)-1))),ABS(INDEX($P$164:$P$179,MATCH(LEFT(HX164,FIND("·",HX164)-1),$K$164:$K$179,0))-(VALUE(MID(HX164,FIND("|",HX164)+1,FIND("-",HX164,FIND("|",HX164))-FIND("|",HX164)-1))-VALUE(MID(HX164,FIND("-",HX164,FIND("|",HX164))+1,10)))))*$D$50)))))*INDEX($I$164:$I$179,MATCH(LEFT(HX164,FIND("·",HX164)-1),$K$164:$K$179,0)),0),0),0)+IFERROR(IF(COUNTIF($C$164:$C$179,LEFT(HX164,FIND("·",HX164)-1))&gt;0,IF(INDEX($D$164:$D$179,MATCH(LEFT(HX164,FIND("·",HX164)-1),$C$164:$C$179,0))=IFERROR(VALUE(MID(HX164,FIND("·",HX164)+1,1)),0),($D$16+(INDEX($E$164:$E$179,MATCH(LEFT(HX164,FIND("·",HX164)-1),$C$164:$C$179,0))=MID(HX164,FIND("|",HX164)+1,10))*$D$18+MAX(0,IF($D$50=1,$D$17*(1-(ABS(INDEX($Q$164:$Q$179,MATCH(LEFT(HX164,FIND("·",HX164)-1),$C$164:$C$179,0))-(VALUE(MID(HX164,FIND("|",HX164)+1,FIND("-",HX164,FIND("|",HX164))-FIND("|",HX164)-1))-VALUE(MID(HX164,FIND("-",HX164,FIND("|",HX164))+1,10)))))*$D$50),$D$17*(1-(IF(INDEX($D$164:$D$179,MATCH(LEFT(HX164,FIND("·",HX164)-1),$C$164:$C$179,0))=0,ABS(INDEX($A$164:$A$179,MATCH(LEFT(HX164,FIND("·",HX164)-1),$C$164:$C$179,0))-VALUE(MID(HX164,FIND("|",HX164)+1,FIND("-",HX164,FIND("|",HX164))-FIND("|",HX164)-1))),ABS(INDEX($Q$164:$Q$179,MATCH(LEFT(HX164,FIND("·",HX164)-1),$C$164:$C$179,0))-(VALUE(MID(HX164,FIND("|",HX164)+1,FIND("-",HX164,FIND("|",HX164))-FIND("|",HX164)-1))-VALUE(MID(HX164,FIND("-",HX164,FIND("|",HX164))+1,10)))))*$D$50)))))*INDEX($I$164:$I$179,MATCH(LEFT(HX164,FIND("·",HX164)-1),$C$164:$C$179,0)),0),0),0)</f>
        <v>0</v>
      </c>
      <c r="HZ164" s="110"/>
      <c r="IA164" s="76" t="str">
        <f>Idiomas!$D$367</f>
        <v>Paste Values Round of 32'</v>
      </c>
      <c r="IB164" s="77">
        <f t="shared" ref="IB164" ca="1" si="1413">IFERROR(IF(COUNTIF($K$164:$K$179,LEFT(IA164,FIND("·",IA164)-1))&gt;0,IF(INDEX($L$164:$L$179,MATCH(LEFT(IA164,FIND("·",IA164)-1),$K$164:$K$179,0))=IFERROR(VALUE(MID(IA164,FIND("·",IA164)+1,1)),0),($D$16+(INDEX($M$164:$M$179,MATCH(LEFT(IA164,FIND("·",IA164)-1),$K$164:$K$179,0))=MID(IA164,FIND("|",IA164)+1,10))*$D$18+MAX(0,IF($D$50=1,$D$17*(1-(ABS(INDEX($P$164:$P$179,MATCH(LEFT(IA164,FIND("·",IA164)-1),$K$164:$K$179,0))-(VALUE(MID(IA164,FIND("|",IA164)+1,FIND("-",IA164,FIND("|",IA164))-FIND("|",IA164)-1))-VALUE(MID(IA164,FIND("-",IA164,FIND("|",IA164))+1,10)))))*$D$50),$D$17*(1-(IF(INDEX($L$164:$L$179,MATCH(LEFT(IA164,FIND("·",IA164)-1),$K$164:$K$179,0))=0,ABS(INDEX($N$164:$N$179,MATCH(LEFT(IA164,FIND("·",IA164)-1),$K$164:$K$179,0))-VALUE(MID(IA164,FIND("|",IA164)+1,FIND("-",IA164,FIND("|",IA164))-FIND("|",IA164)-1))),ABS(INDEX($P$164:$P$179,MATCH(LEFT(IA164,FIND("·",IA164)-1),$K$164:$K$179,0))-(VALUE(MID(IA164,FIND("|",IA164)+1,FIND("-",IA164,FIND("|",IA164))-FIND("|",IA164)-1))-VALUE(MID(IA164,FIND("-",IA164,FIND("|",IA164))+1,10)))))*$D$50)))))*INDEX($I$164:$I$179,MATCH(LEFT(IA164,FIND("·",IA164)-1),$K$164:$K$179,0)),0),0),0)+IFERROR(IF(COUNTIF($C$164:$C$179,LEFT(IA164,FIND("·",IA164)-1))&gt;0,IF(INDEX($D$164:$D$179,MATCH(LEFT(IA164,FIND("·",IA164)-1),$C$164:$C$179,0))=IFERROR(VALUE(MID(IA164,FIND("·",IA164)+1,1)),0),($D$16+(INDEX($E$164:$E$179,MATCH(LEFT(IA164,FIND("·",IA164)-1),$C$164:$C$179,0))=MID(IA164,FIND("|",IA164)+1,10))*$D$18+MAX(0,IF($D$50=1,$D$17*(1-(ABS(INDEX($Q$164:$Q$179,MATCH(LEFT(IA164,FIND("·",IA164)-1),$C$164:$C$179,0))-(VALUE(MID(IA164,FIND("|",IA164)+1,FIND("-",IA164,FIND("|",IA164))-FIND("|",IA164)-1))-VALUE(MID(IA164,FIND("-",IA164,FIND("|",IA164))+1,10)))))*$D$50),$D$17*(1-(IF(INDEX($D$164:$D$179,MATCH(LEFT(IA164,FIND("·",IA164)-1),$C$164:$C$179,0))=0,ABS(INDEX($A$164:$A$179,MATCH(LEFT(IA164,FIND("·",IA164)-1),$C$164:$C$179,0))-VALUE(MID(IA164,FIND("|",IA164)+1,FIND("-",IA164,FIND("|",IA164))-FIND("|",IA164)-1))),ABS(INDEX($Q$164:$Q$179,MATCH(LEFT(IA164,FIND("·",IA164)-1),$C$164:$C$179,0))-(VALUE(MID(IA164,FIND("|",IA164)+1,FIND("-",IA164,FIND("|",IA164))-FIND("|",IA164)-1))-VALUE(MID(IA164,FIND("-",IA164,FIND("|",IA164))+1,10)))))*$D$50)))))*INDEX($I$164:$I$179,MATCH(LEFT(IA164,FIND("·",IA164)-1),$C$164:$C$179,0)),0),0),0)</f>
        <v>0</v>
      </c>
      <c r="IC164" s="110"/>
      <c r="ID164" s="76" t="str">
        <f>Idiomas!$D$367</f>
        <v>Paste Values Round of 32'</v>
      </c>
      <c r="IE164" s="77">
        <f t="shared" ref="IE164" ca="1" si="1414">IFERROR(IF(COUNTIF($K$164:$K$179,LEFT(ID164,FIND("·",ID164)-1))&gt;0,IF(INDEX($L$164:$L$179,MATCH(LEFT(ID164,FIND("·",ID164)-1),$K$164:$K$179,0))=IFERROR(VALUE(MID(ID164,FIND("·",ID164)+1,1)),0),($D$16+(INDEX($M$164:$M$179,MATCH(LEFT(ID164,FIND("·",ID164)-1),$K$164:$K$179,0))=MID(ID164,FIND("|",ID164)+1,10))*$D$18+MAX(0,IF($D$50=1,$D$17*(1-(ABS(INDEX($P$164:$P$179,MATCH(LEFT(ID164,FIND("·",ID164)-1),$K$164:$K$179,0))-(VALUE(MID(ID164,FIND("|",ID164)+1,FIND("-",ID164,FIND("|",ID164))-FIND("|",ID164)-1))-VALUE(MID(ID164,FIND("-",ID164,FIND("|",ID164))+1,10)))))*$D$50),$D$17*(1-(IF(INDEX($L$164:$L$179,MATCH(LEFT(ID164,FIND("·",ID164)-1),$K$164:$K$179,0))=0,ABS(INDEX($N$164:$N$179,MATCH(LEFT(ID164,FIND("·",ID164)-1),$K$164:$K$179,0))-VALUE(MID(ID164,FIND("|",ID164)+1,FIND("-",ID164,FIND("|",ID164))-FIND("|",ID164)-1))),ABS(INDEX($P$164:$P$179,MATCH(LEFT(ID164,FIND("·",ID164)-1),$K$164:$K$179,0))-(VALUE(MID(ID164,FIND("|",ID164)+1,FIND("-",ID164,FIND("|",ID164))-FIND("|",ID164)-1))-VALUE(MID(ID164,FIND("-",ID164,FIND("|",ID164))+1,10)))))*$D$50)))))*INDEX($I$164:$I$179,MATCH(LEFT(ID164,FIND("·",ID164)-1),$K$164:$K$179,0)),0),0),0)+IFERROR(IF(COUNTIF($C$164:$C$179,LEFT(ID164,FIND("·",ID164)-1))&gt;0,IF(INDEX($D$164:$D$179,MATCH(LEFT(ID164,FIND("·",ID164)-1),$C$164:$C$179,0))=IFERROR(VALUE(MID(ID164,FIND("·",ID164)+1,1)),0),($D$16+(INDEX($E$164:$E$179,MATCH(LEFT(ID164,FIND("·",ID164)-1),$C$164:$C$179,0))=MID(ID164,FIND("|",ID164)+1,10))*$D$18+MAX(0,IF($D$50=1,$D$17*(1-(ABS(INDEX($Q$164:$Q$179,MATCH(LEFT(ID164,FIND("·",ID164)-1),$C$164:$C$179,0))-(VALUE(MID(ID164,FIND("|",ID164)+1,FIND("-",ID164,FIND("|",ID164))-FIND("|",ID164)-1))-VALUE(MID(ID164,FIND("-",ID164,FIND("|",ID164))+1,10)))))*$D$50),$D$17*(1-(IF(INDEX($D$164:$D$179,MATCH(LEFT(ID164,FIND("·",ID164)-1),$C$164:$C$179,0))=0,ABS(INDEX($A$164:$A$179,MATCH(LEFT(ID164,FIND("·",ID164)-1),$C$164:$C$179,0))-VALUE(MID(ID164,FIND("|",ID164)+1,FIND("-",ID164,FIND("|",ID164))-FIND("|",ID164)-1))),ABS(INDEX($Q$164:$Q$179,MATCH(LEFT(ID164,FIND("·",ID164)-1),$C$164:$C$179,0))-(VALUE(MID(ID164,FIND("|",ID164)+1,FIND("-",ID164,FIND("|",ID164))-FIND("|",ID164)-1))-VALUE(MID(ID164,FIND("-",ID164,FIND("|",ID164))+1,10)))))*$D$50)))))*INDEX($I$164:$I$179,MATCH(LEFT(ID164,FIND("·",ID164)-1),$C$164:$C$179,0)),0),0),0)</f>
        <v>0</v>
      </c>
      <c r="IF164" s="110"/>
      <c r="IG164" s="76" t="str">
        <f>Idiomas!$D$367</f>
        <v>Paste Values Round of 32'</v>
      </c>
      <c r="IH164" s="77">
        <f t="shared" ref="IH164" ca="1" si="1415">IFERROR(IF(COUNTIF($K$164:$K$179,LEFT(IG164,FIND("·",IG164)-1))&gt;0,IF(INDEX($L$164:$L$179,MATCH(LEFT(IG164,FIND("·",IG164)-1),$K$164:$K$179,0))=IFERROR(VALUE(MID(IG164,FIND("·",IG164)+1,1)),0),($D$16+(INDEX($M$164:$M$179,MATCH(LEFT(IG164,FIND("·",IG164)-1),$K$164:$K$179,0))=MID(IG164,FIND("|",IG164)+1,10))*$D$18+MAX(0,IF($D$50=1,$D$17*(1-(ABS(INDEX($P$164:$P$179,MATCH(LEFT(IG164,FIND("·",IG164)-1),$K$164:$K$179,0))-(VALUE(MID(IG164,FIND("|",IG164)+1,FIND("-",IG164,FIND("|",IG164))-FIND("|",IG164)-1))-VALUE(MID(IG164,FIND("-",IG164,FIND("|",IG164))+1,10)))))*$D$50),$D$17*(1-(IF(INDEX($L$164:$L$179,MATCH(LEFT(IG164,FIND("·",IG164)-1),$K$164:$K$179,0))=0,ABS(INDEX($N$164:$N$179,MATCH(LEFT(IG164,FIND("·",IG164)-1),$K$164:$K$179,0))-VALUE(MID(IG164,FIND("|",IG164)+1,FIND("-",IG164,FIND("|",IG164))-FIND("|",IG164)-1))),ABS(INDEX($P$164:$P$179,MATCH(LEFT(IG164,FIND("·",IG164)-1),$K$164:$K$179,0))-(VALUE(MID(IG164,FIND("|",IG164)+1,FIND("-",IG164,FIND("|",IG164))-FIND("|",IG164)-1))-VALUE(MID(IG164,FIND("-",IG164,FIND("|",IG164))+1,10)))))*$D$50)))))*INDEX($I$164:$I$179,MATCH(LEFT(IG164,FIND("·",IG164)-1),$K$164:$K$179,0)),0),0),0)+IFERROR(IF(COUNTIF($C$164:$C$179,LEFT(IG164,FIND("·",IG164)-1))&gt;0,IF(INDEX($D$164:$D$179,MATCH(LEFT(IG164,FIND("·",IG164)-1),$C$164:$C$179,0))=IFERROR(VALUE(MID(IG164,FIND("·",IG164)+1,1)),0),($D$16+(INDEX($E$164:$E$179,MATCH(LEFT(IG164,FIND("·",IG164)-1),$C$164:$C$179,0))=MID(IG164,FIND("|",IG164)+1,10))*$D$18+MAX(0,IF($D$50=1,$D$17*(1-(ABS(INDEX($Q$164:$Q$179,MATCH(LEFT(IG164,FIND("·",IG164)-1),$C$164:$C$179,0))-(VALUE(MID(IG164,FIND("|",IG164)+1,FIND("-",IG164,FIND("|",IG164))-FIND("|",IG164)-1))-VALUE(MID(IG164,FIND("-",IG164,FIND("|",IG164))+1,10)))))*$D$50),$D$17*(1-(IF(INDEX($D$164:$D$179,MATCH(LEFT(IG164,FIND("·",IG164)-1),$C$164:$C$179,0))=0,ABS(INDEX($A$164:$A$179,MATCH(LEFT(IG164,FIND("·",IG164)-1),$C$164:$C$179,0))-VALUE(MID(IG164,FIND("|",IG164)+1,FIND("-",IG164,FIND("|",IG164))-FIND("|",IG164)-1))),ABS(INDEX($Q$164:$Q$179,MATCH(LEFT(IG164,FIND("·",IG164)-1),$C$164:$C$179,0))-(VALUE(MID(IG164,FIND("|",IG164)+1,FIND("-",IG164,FIND("|",IG164))-FIND("|",IG164)-1))-VALUE(MID(IG164,FIND("-",IG164,FIND("|",IG164))+1,10)))))*$D$50)))))*INDEX($I$164:$I$179,MATCH(LEFT(IG164,FIND("·",IG164)-1),$C$164:$C$179,0)),0),0),0)</f>
        <v>0</v>
      </c>
      <c r="II164" s="110"/>
      <c r="IJ164" s="76" t="str">
        <f>Idiomas!$D$367</f>
        <v>Paste Values Round of 32'</v>
      </c>
      <c r="IK164" s="77">
        <f t="shared" ref="IK164" ca="1" si="1416">IFERROR(IF(COUNTIF($K$164:$K$179,LEFT(IJ164,FIND("·",IJ164)-1))&gt;0,IF(INDEX($L$164:$L$179,MATCH(LEFT(IJ164,FIND("·",IJ164)-1),$K$164:$K$179,0))=IFERROR(VALUE(MID(IJ164,FIND("·",IJ164)+1,1)),0),($D$16+(INDEX($M$164:$M$179,MATCH(LEFT(IJ164,FIND("·",IJ164)-1),$K$164:$K$179,0))=MID(IJ164,FIND("|",IJ164)+1,10))*$D$18+MAX(0,IF($D$50=1,$D$17*(1-(ABS(INDEX($P$164:$P$179,MATCH(LEFT(IJ164,FIND("·",IJ164)-1),$K$164:$K$179,0))-(VALUE(MID(IJ164,FIND("|",IJ164)+1,FIND("-",IJ164,FIND("|",IJ164))-FIND("|",IJ164)-1))-VALUE(MID(IJ164,FIND("-",IJ164,FIND("|",IJ164))+1,10)))))*$D$50),$D$17*(1-(IF(INDEX($L$164:$L$179,MATCH(LEFT(IJ164,FIND("·",IJ164)-1),$K$164:$K$179,0))=0,ABS(INDEX($N$164:$N$179,MATCH(LEFT(IJ164,FIND("·",IJ164)-1),$K$164:$K$179,0))-VALUE(MID(IJ164,FIND("|",IJ164)+1,FIND("-",IJ164,FIND("|",IJ164))-FIND("|",IJ164)-1))),ABS(INDEX($P$164:$P$179,MATCH(LEFT(IJ164,FIND("·",IJ164)-1),$K$164:$K$179,0))-(VALUE(MID(IJ164,FIND("|",IJ164)+1,FIND("-",IJ164,FIND("|",IJ164))-FIND("|",IJ164)-1))-VALUE(MID(IJ164,FIND("-",IJ164,FIND("|",IJ164))+1,10)))))*$D$50)))))*INDEX($I$164:$I$179,MATCH(LEFT(IJ164,FIND("·",IJ164)-1),$K$164:$K$179,0)),0),0),0)+IFERROR(IF(COUNTIF($C$164:$C$179,LEFT(IJ164,FIND("·",IJ164)-1))&gt;0,IF(INDEX($D$164:$D$179,MATCH(LEFT(IJ164,FIND("·",IJ164)-1),$C$164:$C$179,0))=IFERROR(VALUE(MID(IJ164,FIND("·",IJ164)+1,1)),0),($D$16+(INDEX($E$164:$E$179,MATCH(LEFT(IJ164,FIND("·",IJ164)-1),$C$164:$C$179,0))=MID(IJ164,FIND("|",IJ164)+1,10))*$D$18+MAX(0,IF($D$50=1,$D$17*(1-(ABS(INDEX($Q$164:$Q$179,MATCH(LEFT(IJ164,FIND("·",IJ164)-1),$C$164:$C$179,0))-(VALUE(MID(IJ164,FIND("|",IJ164)+1,FIND("-",IJ164,FIND("|",IJ164))-FIND("|",IJ164)-1))-VALUE(MID(IJ164,FIND("-",IJ164,FIND("|",IJ164))+1,10)))))*$D$50),$D$17*(1-(IF(INDEX($D$164:$D$179,MATCH(LEFT(IJ164,FIND("·",IJ164)-1),$C$164:$C$179,0))=0,ABS(INDEX($A$164:$A$179,MATCH(LEFT(IJ164,FIND("·",IJ164)-1),$C$164:$C$179,0))-VALUE(MID(IJ164,FIND("|",IJ164)+1,FIND("-",IJ164,FIND("|",IJ164))-FIND("|",IJ164)-1))),ABS(INDEX($Q$164:$Q$179,MATCH(LEFT(IJ164,FIND("·",IJ164)-1),$C$164:$C$179,0))-(VALUE(MID(IJ164,FIND("|",IJ164)+1,FIND("-",IJ164,FIND("|",IJ164))-FIND("|",IJ164)-1))-VALUE(MID(IJ164,FIND("-",IJ164,FIND("|",IJ164))+1,10)))))*$D$50)))))*INDEX($I$164:$I$179,MATCH(LEFT(IJ164,FIND("·",IJ164)-1),$C$164:$C$179,0)),0),0),0)</f>
        <v>0</v>
      </c>
      <c r="IL164" s="110"/>
      <c r="IM164" s="76" t="str">
        <f>Idiomas!$D$367</f>
        <v>Paste Values Round of 32'</v>
      </c>
      <c r="IN164" s="77">
        <f t="shared" ref="IN164" ca="1" si="1417">IFERROR(IF(COUNTIF($K$164:$K$179,LEFT(IM164,FIND("·",IM164)-1))&gt;0,IF(INDEX($L$164:$L$179,MATCH(LEFT(IM164,FIND("·",IM164)-1),$K$164:$K$179,0))=IFERROR(VALUE(MID(IM164,FIND("·",IM164)+1,1)),0),($D$16+(INDEX($M$164:$M$179,MATCH(LEFT(IM164,FIND("·",IM164)-1),$K$164:$K$179,0))=MID(IM164,FIND("|",IM164)+1,10))*$D$18+MAX(0,IF($D$50=1,$D$17*(1-(ABS(INDEX($P$164:$P$179,MATCH(LEFT(IM164,FIND("·",IM164)-1),$K$164:$K$179,0))-(VALUE(MID(IM164,FIND("|",IM164)+1,FIND("-",IM164,FIND("|",IM164))-FIND("|",IM164)-1))-VALUE(MID(IM164,FIND("-",IM164,FIND("|",IM164))+1,10)))))*$D$50),$D$17*(1-(IF(INDEX($L$164:$L$179,MATCH(LEFT(IM164,FIND("·",IM164)-1),$K$164:$K$179,0))=0,ABS(INDEX($N$164:$N$179,MATCH(LEFT(IM164,FIND("·",IM164)-1),$K$164:$K$179,0))-VALUE(MID(IM164,FIND("|",IM164)+1,FIND("-",IM164,FIND("|",IM164))-FIND("|",IM164)-1))),ABS(INDEX($P$164:$P$179,MATCH(LEFT(IM164,FIND("·",IM164)-1),$K$164:$K$179,0))-(VALUE(MID(IM164,FIND("|",IM164)+1,FIND("-",IM164,FIND("|",IM164))-FIND("|",IM164)-1))-VALUE(MID(IM164,FIND("-",IM164,FIND("|",IM164))+1,10)))))*$D$50)))))*INDEX($I$164:$I$179,MATCH(LEFT(IM164,FIND("·",IM164)-1),$K$164:$K$179,0)),0),0),0)+IFERROR(IF(COUNTIF($C$164:$C$179,LEFT(IM164,FIND("·",IM164)-1))&gt;0,IF(INDEX($D$164:$D$179,MATCH(LEFT(IM164,FIND("·",IM164)-1),$C$164:$C$179,0))=IFERROR(VALUE(MID(IM164,FIND("·",IM164)+1,1)),0),($D$16+(INDEX($E$164:$E$179,MATCH(LEFT(IM164,FIND("·",IM164)-1),$C$164:$C$179,0))=MID(IM164,FIND("|",IM164)+1,10))*$D$18+MAX(0,IF($D$50=1,$D$17*(1-(ABS(INDEX($Q$164:$Q$179,MATCH(LEFT(IM164,FIND("·",IM164)-1),$C$164:$C$179,0))-(VALUE(MID(IM164,FIND("|",IM164)+1,FIND("-",IM164,FIND("|",IM164))-FIND("|",IM164)-1))-VALUE(MID(IM164,FIND("-",IM164,FIND("|",IM164))+1,10)))))*$D$50),$D$17*(1-(IF(INDEX($D$164:$D$179,MATCH(LEFT(IM164,FIND("·",IM164)-1),$C$164:$C$179,0))=0,ABS(INDEX($A$164:$A$179,MATCH(LEFT(IM164,FIND("·",IM164)-1),$C$164:$C$179,0))-VALUE(MID(IM164,FIND("|",IM164)+1,FIND("-",IM164,FIND("|",IM164))-FIND("|",IM164)-1))),ABS(INDEX($Q$164:$Q$179,MATCH(LEFT(IM164,FIND("·",IM164)-1),$C$164:$C$179,0))-(VALUE(MID(IM164,FIND("|",IM164)+1,FIND("-",IM164,FIND("|",IM164))-FIND("|",IM164)-1))-VALUE(MID(IM164,FIND("-",IM164,FIND("|",IM164))+1,10)))))*$D$50)))))*INDEX($I$164:$I$179,MATCH(LEFT(IM164,FIND("·",IM164)-1),$C$164:$C$179,0)),0),0),0)</f>
        <v>0</v>
      </c>
      <c r="IO164" s="110"/>
      <c r="IP164" s="76" t="str">
        <f>Idiomas!$D$367</f>
        <v>Paste Values Round of 32'</v>
      </c>
      <c r="IQ164" s="77">
        <f t="shared" ref="IQ164" ca="1" si="1418">IFERROR(IF(COUNTIF($K$164:$K$179,LEFT(IP164,FIND("·",IP164)-1))&gt;0,IF(INDEX($L$164:$L$179,MATCH(LEFT(IP164,FIND("·",IP164)-1),$K$164:$K$179,0))=IFERROR(VALUE(MID(IP164,FIND("·",IP164)+1,1)),0),($D$16+(INDEX($M$164:$M$179,MATCH(LEFT(IP164,FIND("·",IP164)-1),$K$164:$K$179,0))=MID(IP164,FIND("|",IP164)+1,10))*$D$18+MAX(0,IF($D$50=1,$D$17*(1-(ABS(INDEX($P$164:$P$179,MATCH(LEFT(IP164,FIND("·",IP164)-1),$K$164:$K$179,0))-(VALUE(MID(IP164,FIND("|",IP164)+1,FIND("-",IP164,FIND("|",IP164))-FIND("|",IP164)-1))-VALUE(MID(IP164,FIND("-",IP164,FIND("|",IP164))+1,10)))))*$D$50),$D$17*(1-(IF(INDEX($L$164:$L$179,MATCH(LEFT(IP164,FIND("·",IP164)-1),$K$164:$K$179,0))=0,ABS(INDEX($N$164:$N$179,MATCH(LEFT(IP164,FIND("·",IP164)-1),$K$164:$K$179,0))-VALUE(MID(IP164,FIND("|",IP164)+1,FIND("-",IP164,FIND("|",IP164))-FIND("|",IP164)-1))),ABS(INDEX($P$164:$P$179,MATCH(LEFT(IP164,FIND("·",IP164)-1),$K$164:$K$179,0))-(VALUE(MID(IP164,FIND("|",IP164)+1,FIND("-",IP164,FIND("|",IP164))-FIND("|",IP164)-1))-VALUE(MID(IP164,FIND("-",IP164,FIND("|",IP164))+1,10)))))*$D$50)))))*INDEX($I$164:$I$179,MATCH(LEFT(IP164,FIND("·",IP164)-1),$K$164:$K$179,0)),0),0),0)+IFERROR(IF(COUNTIF($C$164:$C$179,LEFT(IP164,FIND("·",IP164)-1))&gt;0,IF(INDEX($D$164:$D$179,MATCH(LEFT(IP164,FIND("·",IP164)-1),$C$164:$C$179,0))=IFERROR(VALUE(MID(IP164,FIND("·",IP164)+1,1)),0),($D$16+(INDEX($E$164:$E$179,MATCH(LEFT(IP164,FIND("·",IP164)-1),$C$164:$C$179,0))=MID(IP164,FIND("|",IP164)+1,10))*$D$18+MAX(0,IF($D$50=1,$D$17*(1-(ABS(INDEX($Q$164:$Q$179,MATCH(LEFT(IP164,FIND("·",IP164)-1),$C$164:$C$179,0))-(VALUE(MID(IP164,FIND("|",IP164)+1,FIND("-",IP164,FIND("|",IP164))-FIND("|",IP164)-1))-VALUE(MID(IP164,FIND("-",IP164,FIND("|",IP164))+1,10)))))*$D$50),$D$17*(1-(IF(INDEX($D$164:$D$179,MATCH(LEFT(IP164,FIND("·",IP164)-1),$C$164:$C$179,0))=0,ABS(INDEX($A$164:$A$179,MATCH(LEFT(IP164,FIND("·",IP164)-1),$C$164:$C$179,0))-VALUE(MID(IP164,FIND("|",IP164)+1,FIND("-",IP164,FIND("|",IP164))-FIND("|",IP164)-1))),ABS(INDEX($Q$164:$Q$179,MATCH(LEFT(IP164,FIND("·",IP164)-1),$C$164:$C$179,0))-(VALUE(MID(IP164,FIND("|",IP164)+1,FIND("-",IP164,FIND("|",IP164))-FIND("|",IP164)-1))-VALUE(MID(IP164,FIND("-",IP164,FIND("|",IP164))+1,10)))))*$D$50)))))*INDEX($I$164:$I$179,MATCH(LEFT(IP164,FIND("·",IP164)-1),$C$164:$C$179,0)),0),0),0)</f>
        <v>0</v>
      </c>
      <c r="IR164" s="110"/>
      <c r="IS164" s="76" t="str">
        <f>Idiomas!$D$367</f>
        <v>Paste Values Round of 32'</v>
      </c>
      <c r="IT164" s="77">
        <f t="shared" ref="IT164" ca="1" si="1419">IFERROR(IF(COUNTIF($K$164:$K$179,LEFT(IS164,FIND("·",IS164)-1))&gt;0,IF(INDEX($L$164:$L$179,MATCH(LEFT(IS164,FIND("·",IS164)-1),$K$164:$K$179,0))=IFERROR(VALUE(MID(IS164,FIND("·",IS164)+1,1)),0),($D$16+(INDEX($M$164:$M$179,MATCH(LEFT(IS164,FIND("·",IS164)-1),$K$164:$K$179,0))=MID(IS164,FIND("|",IS164)+1,10))*$D$18+MAX(0,IF($D$50=1,$D$17*(1-(ABS(INDEX($P$164:$P$179,MATCH(LEFT(IS164,FIND("·",IS164)-1),$K$164:$K$179,0))-(VALUE(MID(IS164,FIND("|",IS164)+1,FIND("-",IS164,FIND("|",IS164))-FIND("|",IS164)-1))-VALUE(MID(IS164,FIND("-",IS164,FIND("|",IS164))+1,10)))))*$D$50),$D$17*(1-(IF(INDEX($L$164:$L$179,MATCH(LEFT(IS164,FIND("·",IS164)-1),$K$164:$K$179,0))=0,ABS(INDEX($N$164:$N$179,MATCH(LEFT(IS164,FIND("·",IS164)-1),$K$164:$K$179,0))-VALUE(MID(IS164,FIND("|",IS164)+1,FIND("-",IS164,FIND("|",IS164))-FIND("|",IS164)-1))),ABS(INDEX($P$164:$P$179,MATCH(LEFT(IS164,FIND("·",IS164)-1),$K$164:$K$179,0))-(VALUE(MID(IS164,FIND("|",IS164)+1,FIND("-",IS164,FIND("|",IS164))-FIND("|",IS164)-1))-VALUE(MID(IS164,FIND("-",IS164,FIND("|",IS164))+1,10)))))*$D$50)))))*INDEX($I$164:$I$179,MATCH(LEFT(IS164,FIND("·",IS164)-1),$K$164:$K$179,0)),0),0),0)+IFERROR(IF(COUNTIF($C$164:$C$179,LEFT(IS164,FIND("·",IS164)-1))&gt;0,IF(INDEX($D$164:$D$179,MATCH(LEFT(IS164,FIND("·",IS164)-1),$C$164:$C$179,0))=IFERROR(VALUE(MID(IS164,FIND("·",IS164)+1,1)),0),($D$16+(INDEX($E$164:$E$179,MATCH(LEFT(IS164,FIND("·",IS164)-1),$C$164:$C$179,0))=MID(IS164,FIND("|",IS164)+1,10))*$D$18+MAX(0,IF($D$50=1,$D$17*(1-(ABS(INDEX($Q$164:$Q$179,MATCH(LEFT(IS164,FIND("·",IS164)-1),$C$164:$C$179,0))-(VALUE(MID(IS164,FIND("|",IS164)+1,FIND("-",IS164,FIND("|",IS164))-FIND("|",IS164)-1))-VALUE(MID(IS164,FIND("-",IS164,FIND("|",IS164))+1,10)))))*$D$50),$D$17*(1-(IF(INDEX($D$164:$D$179,MATCH(LEFT(IS164,FIND("·",IS164)-1),$C$164:$C$179,0))=0,ABS(INDEX($A$164:$A$179,MATCH(LEFT(IS164,FIND("·",IS164)-1),$C$164:$C$179,0))-VALUE(MID(IS164,FIND("|",IS164)+1,FIND("-",IS164,FIND("|",IS164))-FIND("|",IS164)-1))),ABS(INDEX($Q$164:$Q$179,MATCH(LEFT(IS164,FIND("·",IS164)-1),$C$164:$C$179,0))-(VALUE(MID(IS164,FIND("|",IS164)+1,FIND("-",IS164,FIND("|",IS164))-FIND("|",IS164)-1))-VALUE(MID(IS164,FIND("-",IS164,FIND("|",IS164))+1,10)))))*$D$50)))))*INDEX($I$164:$I$179,MATCH(LEFT(IS164,FIND("·",IS164)-1),$C$164:$C$179,0)),0),0),0)</f>
        <v>0</v>
      </c>
      <c r="IU164" s="110"/>
      <c r="IV164" s="76" t="str">
        <f>Idiomas!$D$367</f>
        <v>Paste Values Round of 32'</v>
      </c>
      <c r="IW164" s="77">
        <f t="shared" ref="IW164" ca="1" si="1420">IFERROR(IF(COUNTIF($K$164:$K$179,LEFT(IV164,FIND("·",IV164)-1))&gt;0,IF(INDEX($L$164:$L$179,MATCH(LEFT(IV164,FIND("·",IV164)-1),$K$164:$K$179,0))=IFERROR(VALUE(MID(IV164,FIND("·",IV164)+1,1)),0),($D$16+(INDEX($M$164:$M$179,MATCH(LEFT(IV164,FIND("·",IV164)-1),$K$164:$K$179,0))=MID(IV164,FIND("|",IV164)+1,10))*$D$18+MAX(0,IF($D$50=1,$D$17*(1-(ABS(INDEX($P$164:$P$179,MATCH(LEFT(IV164,FIND("·",IV164)-1),$K$164:$K$179,0))-(VALUE(MID(IV164,FIND("|",IV164)+1,FIND("-",IV164,FIND("|",IV164))-FIND("|",IV164)-1))-VALUE(MID(IV164,FIND("-",IV164,FIND("|",IV164))+1,10)))))*$D$50),$D$17*(1-(IF(INDEX($L$164:$L$179,MATCH(LEFT(IV164,FIND("·",IV164)-1),$K$164:$K$179,0))=0,ABS(INDEX($N$164:$N$179,MATCH(LEFT(IV164,FIND("·",IV164)-1),$K$164:$K$179,0))-VALUE(MID(IV164,FIND("|",IV164)+1,FIND("-",IV164,FIND("|",IV164))-FIND("|",IV164)-1))),ABS(INDEX($P$164:$P$179,MATCH(LEFT(IV164,FIND("·",IV164)-1),$K$164:$K$179,0))-(VALUE(MID(IV164,FIND("|",IV164)+1,FIND("-",IV164,FIND("|",IV164))-FIND("|",IV164)-1))-VALUE(MID(IV164,FIND("-",IV164,FIND("|",IV164))+1,10)))))*$D$50)))))*INDEX($I$164:$I$179,MATCH(LEFT(IV164,FIND("·",IV164)-1),$K$164:$K$179,0)),0),0),0)+IFERROR(IF(COUNTIF($C$164:$C$179,LEFT(IV164,FIND("·",IV164)-1))&gt;0,IF(INDEX($D$164:$D$179,MATCH(LEFT(IV164,FIND("·",IV164)-1),$C$164:$C$179,0))=IFERROR(VALUE(MID(IV164,FIND("·",IV164)+1,1)),0),($D$16+(INDEX($E$164:$E$179,MATCH(LEFT(IV164,FIND("·",IV164)-1),$C$164:$C$179,0))=MID(IV164,FIND("|",IV164)+1,10))*$D$18+MAX(0,IF($D$50=1,$D$17*(1-(ABS(INDEX($Q$164:$Q$179,MATCH(LEFT(IV164,FIND("·",IV164)-1),$C$164:$C$179,0))-(VALUE(MID(IV164,FIND("|",IV164)+1,FIND("-",IV164,FIND("|",IV164))-FIND("|",IV164)-1))-VALUE(MID(IV164,FIND("-",IV164,FIND("|",IV164))+1,10)))))*$D$50),$D$17*(1-(IF(INDEX($D$164:$D$179,MATCH(LEFT(IV164,FIND("·",IV164)-1),$C$164:$C$179,0))=0,ABS(INDEX($A$164:$A$179,MATCH(LEFT(IV164,FIND("·",IV164)-1),$C$164:$C$179,0))-VALUE(MID(IV164,FIND("|",IV164)+1,FIND("-",IV164,FIND("|",IV164))-FIND("|",IV164)-1))),ABS(INDEX($Q$164:$Q$179,MATCH(LEFT(IV164,FIND("·",IV164)-1),$C$164:$C$179,0))-(VALUE(MID(IV164,FIND("|",IV164)+1,FIND("-",IV164,FIND("|",IV164))-FIND("|",IV164)-1))-VALUE(MID(IV164,FIND("-",IV164,FIND("|",IV164))+1,10)))))*$D$50)))))*INDEX($I$164:$I$179,MATCH(LEFT(IV164,FIND("·",IV164)-1),$C$164:$C$179,0)),0),0),0)</f>
        <v>0</v>
      </c>
      <c r="IX164" s="110"/>
      <c r="IY164" s="76" t="str">
        <f>Idiomas!$D$367</f>
        <v>Paste Values Round of 32'</v>
      </c>
      <c r="IZ164" s="77">
        <f t="shared" ref="IZ164" ca="1" si="1421">IFERROR(IF(COUNTIF($K$164:$K$179,LEFT(IY164,FIND("·",IY164)-1))&gt;0,IF(INDEX($L$164:$L$179,MATCH(LEFT(IY164,FIND("·",IY164)-1),$K$164:$K$179,0))=IFERROR(VALUE(MID(IY164,FIND("·",IY164)+1,1)),0),($D$16+(INDEX($M$164:$M$179,MATCH(LEFT(IY164,FIND("·",IY164)-1),$K$164:$K$179,0))=MID(IY164,FIND("|",IY164)+1,10))*$D$18+MAX(0,IF($D$50=1,$D$17*(1-(ABS(INDEX($P$164:$P$179,MATCH(LEFT(IY164,FIND("·",IY164)-1),$K$164:$K$179,0))-(VALUE(MID(IY164,FIND("|",IY164)+1,FIND("-",IY164,FIND("|",IY164))-FIND("|",IY164)-1))-VALUE(MID(IY164,FIND("-",IY164,FIND("|",IY164))+1,10)))))*$D$50),$D$17*(1-(IF(INDEX($L$164:$L$179,MATCH(LEFT(IY164,FIND("·",IY164)-1),$K$164:$K$179,0))=0,ABS(INDEX($N$164:$N$179,MATCH(LEFT(IY164,FIND("·",IY164)-1),$K$164:$K$179,0))-VALUE(MID(IY164,FIND("|",IY164)+1,FIND("-",IY164,FIND("|",IY164))-FIND("|",IY164)-1))),ABS(INDEX($P$164:$P$179,MATCH(LEFT(IY164,FIND("·",IY164)-1),$K$164:$K$179,0))-(VALUE(MID(IY164,FIND("|",IY164)+1,FIND("-",IY164,FIND("|",IY164))-FIND("|",IY164)-1))-VALUE(MID(IY164,FIND("-",IY164,FIND("|",IY164))+1,10)))))*$D$50)))))*INDEX($I$164:$I$179,MATCH(LEFT(IY164,FIND("·",IY164)-1),$K$164:$K$179,0)),0),0),0)+IFERROR(IF(COUNTIF($C$164:$C$179,LEFT(IY164,FIND("·",IY164)-1))&gt;0,IF(INDEX($D$164:$D$179,MATCH(LEFT(IY164,FIND("·",IY164)-1),$C$164:$C$179,0))=IFERROR(VALUE(MID(IY164,FIND("·",IY164)+1,1)),0),($D$16+(INDEX($E$164:$E$179,MATCH(LEFT(IY164,FIND("·",IY164)-1),$C$164:$C$179,0))=MID(IY164,FIND("|",IY164)+1,10))*$D$18+MAX(0,IF($D$50=1,$D$17*(1-(ABS(INDEX($Q$164:$Q$179,MATCH(LEFT(IY164,FIND("·",IY164)-1),$C$164:$C$179,0))-(VALUE(MID(IY164,FIND("|",IY164)+1,FIND("-",IY164,FIND("|",IY164))-FIND("|",IY164)-1))-VALUE(MID(IY164,FIND("-",IY164,FIND("|",IY164))+1,10)))))*$D$50),$D$17*(1-(IF(INDEX($D$164:$D$179,MATCH(LEFT(IY164,FIND("·",IY164)-1),$C$164:$C$179,0))=0,ABS(INDEX($A$164:$A$179,MATCH(LEFT(IY164,FIND("·",IY164)-1),$C$164:$C$179,0))-VALUE(MID(IY164,FIND("|",IY164)+1,FIND("-",IY164,FIND("|",IY164))-FIND("|",IY164)-1))),ABS(INDEX($Q$164:$Q$179,MATCH(LEFT(IY164,FIND("·",IY164)-1),$C$164:$C$179,0))-(VALUE(MID(IY164,FIND("|",IY164)+1,FIND("-",IY164,FIND("|",IY164))-FIND("|",IY164)-1))-VALUE(MID(IY164,FIND("-",IY164,FIND("|",IY164))+1,10)))))*$D$50)))))*INDEX($I$164:$I$179,MATCH(LEFT(IY164,FIND("·",IY164)-1),$C$164:$C$179,0)),0),0),0)</f>
        <v>0</v>
      </c>
      <c r="JA164" s="110"/>
      <c r="JB164" s="76" t="str">
        <f>Idiomas!$D$367</f>
        <v>Paste Values Round of 32'</v>
      </c>
      <c r="JC164" s="77">
        <f t="shared" ref="JC164" ca="1" si="1422">IFERROR(IF(COUNTIF($K$164:$K$179,LEFT(JB164,FIND("·",JB164)-1))&gt;0,IF(INDEX($L$164:$L$179,MATCH(LEFT(JB164,FIND("·",JB164)-1),$K$164:$K$179,0))=IFERROR(VALUE(MID(JB164,FIND("·",JB164)+1,1)),0),($D$16+(INDEX($M$164:$M$179,MATCH(LEFT(JB164,FIND("·",JB164)-1),$K$164:$K$179,0))=MID(JB164,FIND("|",JB164)+1,10))*$D$18+MAX(0,IF($D$50=1,$D$17*(1-(ABS(INDEX($P$164:$P$179,MATCH(LEFT(JB164,FIND("·",JB164)-1),$K$164:$K$179,0))-(VALUE(MID(JB164,FIND("|",JB164)+1,FIND("-",JB164,FIND("|",JB164))-FIND("|",JB164)-1))-VALUE(MID(JB164,FIND("-",JB164,FIND("|",JB164))+1,10)))))*$D$50),$D$17*(1-(IF(INDEX($L$164:$L$179,MATCH(LEFT(JB164,FIND("·",JB164)-1),$K$164:$K$179,0))=0,ABS(INDEX($N$164:$N$179,MATCH(LEFT(JB164,FIND("·",JB164)-1),$K$164:$K$179,0))-VALUE(MID(JB164,FIND("|",JB164)+1,FIND("-",JB164,FIND("|",JB164))-FIND("|",JB164)-1))),ABS(INDEX($P$164:$P$179,MATCH(LEFT(JB164,FIND("·",JB164)-1),$K$164:$K$179,0))-(VALUE(MID(JB164,FIND("|",JB164)+1,FIND("-",JB164,FIND("|",JB164))-FIND("|",JB164)-1))-VALUE(MID(JB164,FIND("-",JB164,FIND("|",JB164))+1,10)))))*$D$50)))))*INDEX($I$164:$I$179,MATCH(LEFT(JB164,FIND("·",JB164)-1),$K$164:$K$179,0)),0),0),0)+IFERROR(IF(COUNTIF($C$164:$C$179,LEFT(JB164,FIND("·",JB164)-1))&gt;0,IF(INDEX($D$164:$D$179,MATCH(LEFT(JB164,FIND("·",JB164)-1),$C$164:$C$179,0))=IFERROR(VALUE(MID(JB164,FIND("·",JB164)+1,1)),0),($D$16+(INDEX($E$164:$E$179,MATCH(LEFT(JB164,FIND("·",JB164)-1),$C$164:$C$179,0))=MID(JB164,FIND("|",JB164)+1,10))*$D$18+MAX(0,IF($D$50=1,$D$17*(1-(ABS(INDEX($Q$164:$Q$179,MATCH(LEFT(JB164,FIND("·",JB164)-1),$C$164:$C$179,0))-(VALUE(MID(JB164,FIND("|",JB164)+1,FIND("-",JB164,FIND("|",JB164))-FIND("|",JB164)-1))-VALUE(MID(JB164,FIND("-",JB164,FIND("|",JB164))+1,10)))))*$D$50),$D$17*(1-(IF(INDEX($D$164:$D$179,MATCH(LEFT(JB164,FIND("·",JB164)-1),$C$164:$C$179,0))=0,ABS(INDEX($A$164:$A$179,MATCH(LEFT(JB164,FIND("·",JB164)-1),$C$164:$C$179,0))-VALUE(MID(JB164,FIND("|",JB164)+1,FIND("-",JB164,FIND("|",JB164))-FIND("|",JB164)-1))),ABS(INDEX($Q$164:$Q$179,MATCH(LEFT(JB164,FIND("·",JB164)-1),$C$164:$C$179,0))-(VALUE(MID(JB164,FIND("|",JB164)+1,FIND("-",JB164,FIND("|",JB164))-FIND("|",JB164)-1))-VALUE(MID(JB164,FIND("-",JB164,FIND("|",JB164))+1,10)))))*$D$50)))))*INDEX($I$164:$I$179,MATCH(LEFT(JB164,FIND("·",JB164)-1),$C$164:$C$179,0)),0),0),0)</f>
        <v>0</v>
      </c>
      <c r="JD164" s="110"/>
      <c r="JE164" s="76" t="str">
        <f>Idiomas!$D$367</f>
        <v>Paste Values Round of 32'</v>
      </c>
      <c r="JF164" s="77">
        <f t="shared" ref="JF164" ca="1" si="1423">IFERROR(IF(COUNTIF($K$164:$K$179,LEFT(JE164,FIND("·",JE164)-1))&gt;0,IF(INDEX($L$164:$L$179,MATCH(LEFT(JE164,FIND("·",JE164)-1),$K$164:$K$179,0))=IFERROR(VALUE(MID(JE164,FIND("·",JE164)+1,1)),0),($D$16+(INDEX($M$164:$M$179,MATCH(LEFT(JE164,FIND("·",JE164)-1),$K$164:$K$179,0))=MID(JE164,FIND("|",JE164)+1,10))*$D$18+MAX(0,IF($D$50=1,$D$17*(1-(ABS(INDEX($P$164:$P$179,MATCH(LEFT(JE164,FIND("·",JE164)-1),$K$164:$K$179,0))-(VALUE(MID(JE164,FIND("|",JE164)+1,FIND("-",JE164,FIND("|",JE164))-FIND("|",JE164)-1))-VALUE(MID(JE164,FIND("-",JE164,FIND("|",JE164))+1,10)))))*$D$50),$D$17*(1-(IF(INDEX($L$164:$L$179,MATCH(LEFT(JE164,FIND("·",JE164)-1),$K$164:$K$179,0))=0,ABS(INDEX($N$164:$N$179,MATCH(LEFT(JE164,FIND("·",JE164)-1),$K$164:$K$179,0))-VALUE(MID(JE164,FIND("|",JE164)+1,FIND("-",JE164,FIND("|",JE164))-FIND("|",JE164)-1))),ABS(INDEX($P$164:$P$179,MATCH(LEFT(JE164,FIND("·",JE164)-1),$K$164:$K$179,0))-(VALUE(MID(JE164,FIND("|",JE164)+1,FIND("-",JE164,FIND("|",JE164))-FIND("|",JE164)-1))-VALUE(MID(JE164,FIND("-",JE164,FIND("|",JE164))+1,10)))))*$D$50)))))*INDEX($I$164:$I$179,MATCH(LEFT(JE164,FIND("·",JE164)-1),$K$164:$K$179,0)),0),0),0)+IFERROR(IF(COUNTIF($C$164:$C$179,LEFT(JE164,FIND("·",JE164)-1))&gt;0,IF(INDEX($D$164:$D$179,MATCH(LEFT(JE164,FIND("·",JE164)-1),$C$164:$C$179,0))=IFERROR(VALUE(MID(JE164,FIND("·",JE164)+1,1)),0),($D$16+(INDEX($E$164:$E$179,MATCH(LEFT(JE164,FIND("·",JE164)-1),$C$164:$C$179,0))=MID(JE164,FIND("|",JE164)+1,10))*$D$18+MAX(0,IF($D$50=1,$D$17*(1-(ABS(INDEX($Q$164:$Q$179,MATCH(LEFT(JE164,FIND("·",JE164)-1),$C$164:$C$179,0))-(VALUE(MID(JE164,FIND("|",JE164)+1,FIND("-",JE164,FIND("|",JE164))-FIND("|",JE164)-1))-VALUE(MID(JE164,FIND("-",JE164,FIND("|",JE164))+1,10)))))*$D$50),$D$17*(1-(IF(INDEX($D$164:$D$179,MATCH(LEFT(JE164,FIND("·",JE164)-1),$C$164:$C$179,0))=0,ABS(INDEX($A$164:$A$179,MATCH(LEFT(JE164,FIND("·",JE164)-1),$C$164:$C$179,0))-VALUE(MID(JE164,FIND("|",JE164)+1,FIND("-",JE164,FIND("|",JE164))-FIND("|",JE164)-1))),ABS(INDEX($Q$164:$Q$179,MATCH(LEFT(JE164,FIND("·",JE164)-1),$C$164:$C$179,0))-(VALUE(MID(JE164,FIND("|",JE164)+1,FIND("-",JE164,FIND("|",JE164))-FIND("|",JE164)-1))-VALUE(MID(JE164,FIND("-",JE164,FIND("|",JE164))+1,10)))))*$D$50)))))*INDEX($I$164:$I$179,MATCH(LEFT(JE164,FIND("·",JE164)-1),$C$164:$C$179,0)),0),0),0)</f>
        <v>0</v>
      </c>
      <c r="JG164" s="110"/>
      <c r="JH164" s="76" t="str">
        <f>Idiomas!$D$367</f>
        <v>Paste Values Round of 32'</v>
      </c>
      <c r="JI164" s="77">
        <f t="shared" ref="JI164" ca="1" si="1424">IFERROR(IF(COUNTIF($K$164:$K$179,LEFT(JH164,FIND("·",JH164)-1))&gt;0,IF(INDEX($L$164:$L$179,MATCH(LEFT(JH164,FIND("·",JH164)-1),$K$164:$K$179,0))=IFERROR(VALUE(MID(JH164,FIND("·",JH164)+1,1)),0),($D$16+(INDEX($M$164:$M$179,MATCH(LEFT(JH164,FIND("·",JH164)-1),$K$164:$K$179,0))=MID(JH164,FIND("|",JH164)+1,10))*$D$18+MAX(0,IF($D$50=1,$D$17*(1-(ABS(INDEX($P$164:$P$179,MATCH(LEFT(JH164,FIND("·",JH164)-1),$K$164:$K$179,0))-(VALUE(MID(JH164,FIND("|",JH164)+1,FIND("-",JH164,FIND("|",JH164))-FIND("|",JH164)-1))-VALUE(MID(JH164,FIND("-",JH164,FIND("|",JH164))+1,10)))))*$D$50),$D$17*(1-(IF(INDEX($L$164:$L$179,MATCH(LEFT(JH164,FIND("·",JH164)-1),$K$164:$K$179,0))=0,ABS(INDEX($N$164:$N$179,MATCH(LEFT(JH164,FIND("·",JH164)-1),$K$164:$K$179,0))-VALUE(MID(JH164,FIND("|",JH164)+1,FIND("-",JH164,FIND("|",JH164))-FIND("|",JH164)-1))),ABS(INDEX($P$164:$P$179,MATCH(LEFT(JH164,FIND("·",JH164)-1),$K$164:$K$179,0))-(VALUE(MID(JH164,FIND("|",JH164)+1,FIND("-",JH164,FIND("|",JH164))-FIND("|",JH164)-1))-VALUE(MID(JH164,FIND("-",JH164,FIND("|",JH164))+1,10)))))*$D$50)))))*INDEX($I$164:$I$179,MATCH(LEFT(JH164,FIND("·",JH164)-1),$K$164:$K$179,0)),0),0),0)+IFERROR(IF(COUNTIF($C$164:$C$179,LEFT(JH164,FIND("·",JH164)-1))&gt;0,IF(INDEX($D$164:$D$179,MATCH(LEFT(JH164,FIND("·",JH164)-1),$C$164:$C$179,0))=IFERROR(VALUE(MID(JH164,FIND("·",JH164)+1,1)),0),($D$16+(INDEX($E$164:$E$179,MATCH(LEFT(JH164,FIND("·",JH164)-1),$C$164:$C$179,0))=MID(JH164,FIND("|",JH164)+1,10))*$D$18+MAX(0,IF($D$50=1,$D$17*(1-(ABS(INDEX($Q$164:$Q$179,MATCH(LEFT(JH164,FIND("·",JH164)-1),$C$164:$C$179,0))-(VALUE(MID(JH164,FIND("|",JH164)+1,FIND("-",JH164,FIND("|",JH164))-FIND("|",JH164)-1))-VALUE(MID(JH164,FIND("-",JH164,FIND("|",JH164))+1,10)))))*$D$50),$D$17*(1-(IF(INDEX($D$164:$D$179,MATCH(LEFT(JH164,FIND("·",JH164)-1),$C$164:$C$179,0))=0,ABS(INDEX($A$164:$A$179,MATCH(LEFT(JH164,FIND("·",JH164)-1),$C$164:$C$179,0))-VALUE(MID(JH164,FIND("|",JH164)+1,FIND("-",JH164,FIND("|",JH164))-FIND("|",JH164)-1))),ABS(INDEX($Q$164:$Q$179,MATCH(LEFT(JH164,FIND("·",JH164)-1),$C$164:$C$179,0))-(VALUE(MID(JH164,FIND("|",JH164)+1,FIND("-",JH164,FIND("|",JH164))-FIND("|",JH164)-1))-VALUE(MID(JH164,FIND("-",JH164,FIND("|",JH164))+1,10)))))*$D$50)))))*INDEX($I$164:$I$179,MATCH(LEFT(JH164,FIND("·",JH164)-1),$C$164:$C$179,0)),0),0),0)</f>
        <v>0</v>
      </c>
      <c r="JJ164" s="110"/>
      <c r="JK164" s="76" t="str">
        <f>Idiomas!$D$367</f>
        <v>Paste Values Round of 32'</v>
      </c>
      <c r="JL164" s="77">
        <f t="shared" ref="JL164" ca="1" si="1425">IFERROR(IF(COUNTIF($K$164:$K$179,LEFT(JK164,FIND("·",JK164)-1))&gt;0,IF(INDEX($L$164:$L$179,MATCH(LEFT(JK164,FIND("·",JK164)-1),$K$164:$K$179,0))=IFERROR(VALUE(MID(JK164,FIND("·",JK164)+1,1)),0),($D$16+(INDEX($M$164:$M$179,MATCH(LEFT(JK164,FIND("·",JK164)-1),$K$164:$K$179,0))=MID(JK164,FIND("|",JK164)+1,10))*$D$18+MAX(0,IF($D$50=1,$D$17*(1-(ABS(INDEX($P$164:$P$179,MATCH(LEFT(JK164,FIND("·",JK164)-1),$K$164:$K$179,0))-(VALUE(MID(JK164,FIND("|",JK164)+1,FIND("-",JK164,FIND("|",JK164))-FIND("|",JK164)-1))-VALUE(MID(JK164,FIND("-",JK164,FIND("|",JK164))+1,10)))))*$D$50),$D$17*(1-(IF(INDEX($L$164:$L$179,MATCH(LEFT(JK164,FIND("·",JK164)-1),$K$164:$K$179,0))=0,ABS(INDEX($N$164:$N$179,MATCH(LEFT(JK164,FIND("·",JK164)-1),$K$164:$K$179,0))-VALUE(MID(JK164,FIND("|",JK164)+1,FIND("-",JK164,FIND("|",JK164))-FIND("|",JK164)-1))),ABS(INDEX($P$164:$P$179,MATCH(LEFT(JK164,FIND("·",JK164)-1),$K$164:$K$179,0))-(VALUE(MID(JK164,FIND("|",JK164)+1,FIND("-",JK164,FIND("|",JK164))-FIND("|",JK164)-1))-VALUE(MID(JK164,FIND("-",JK164,FIND("|",JK164))+1,10)))))*$D$50)))))*INDEX($I$164:$I$179,MATCH(LEFT(JK164,FIND("·",JK164)-1),$K$164:$K$179,0)),0),0),0)+IFERROR(IF(COUNTIF($C$164:$C$179,LEFT(JK164,FIND("·",JK164)-1))&gt;0,IF(INDEX($D$164:$D$179,MATCH(LEFT(JK164,FIND("·",JK164)-1),$C$164:$C$179,0))=IFERROR(VALUE(MID(JK164,FIND("·",JK164)+1,1)),0),($D$16+(INDEX($E$164:$E$179,MATCH(LEFT(JK164,FIND("·",JK164)-1),$C$164:$C$179,0))=MID(JK164,FIND("|",JK164)+1,10))*$D$18+MAX(0,IF($D$50=1,$D$17*(1-(ABS(INDEX($Q$164:$Q$179,MATCH(LEFT(JK164,FIND("·",JK164)-1),$C$164:$C$179,0))-(VALUE(MID(JK164,FIND("|",JK164)+1,FIND("-",JK164,FIND("|",JK164))-FIND("|",JK164)-1))-VALUE(MID(JK164,FIND("-",JK164,FIND("|",JK164))+1,10)))))*$D$50),$D$17*(1-(IF(INDEX($D$164:$D$179,MATCH(LEFT(JK164,FIND("·",JK164)-1),$C$164:$C$179,0))=0,ABS(INDEX($A$164:$A$179,MATCH(LEFT(JK164,FIND("·",JK164)-1),$C$164:$C$179,0))-VALUE(MID(JK164,FIND("|",JK164)+1,FIND("-",JK164,FIND("|",JK164))-FIND("|",JK164)-1))),ABS(INDEX($Q$164:$Q$179,MATCH(LEFT(JK164,FIND("·",JK164)-1),$C$164:$C$179,0))-(VALUE(MID(JK164,FIND("|",JK164)+1,FIND("-",JK164,FIND("|",JK164))-FIND("|",JK164)-1))-VALUE(MID(JK164,FIND("-",JK164,FIND("|",JK164))+1,10)))))*$D$50)))))*INDEX($I$164:$I$179,MATCH(LEFT(JK164,FIND("·",JK164)-1),$C$164:$C$179,0)),0),0),0)</f>
        <v>0</v>
      </c>
      <c r="JM164" s="110"/>
      <c r="JN164" s="76" t="str">
        <f>Idiomas!$D$367</f>
        <v>Paste Values Round of 32'</v>
      </c>
      <c r="JO164" s="77">
        <f t="shared" ref="JO164" ca="1" si="1426">IFERROR(IF(COUNTIF($K$164:$K$179,LEFT(JN164,FIND("·",JN164)-1))&gt;0,IF(INDEX($L$164:$L$179,MATCH(LEFT(JN164,FIND("·",JN164)-1),$K$164:$K$179,0))=IFERROR(VALUE(MID(JN164,FIND("·",JN164)+1,1)),0),($D$16+(INDEX($M$164:$M$179,MATCH(LEFT(JN164,FIND("·",JN164)-1),$K$164:$K$179,0))=MID(JN164,FIND("|",JN164)+1,10))*$D$18+MAX(0,IF($D$50=1,$D$17*(1-(ABS(INDEX($P$164:$P$179,MATCH(LEFT(JN164,FIND("·",JN164)-1),$K$164:$K$179,0))-(VALUE(MID(JN164,FIND("|",JN164)+1,FIND("-",JN164,FIND("|",JN164))-FIND("|",JN164)-1))-VALUE(MID(JN164,FIND("-",JN164,FIND("|",JN164))+1,10)))))*$D$50),$D$17*(1-(IF(INDEX($L$164:$L$179,MATCH(LEFT(JN164,FIND("·",JN164)-1),$K$164:$K$179,0))=0,ABS(INDEX($N$164:$N$179,MATCH(LEFT(JN164,FIND("·",JN164)-1),$K$164:$K$179,0))-VALUE(MID(JN164,FIND("|",JN164)+1,FIND("-",JN164,FIND("|",JN164))-FIND("|",JN164)-1))),ABS(INDEX($P$164:$P$179,MATCH(LEFT(JN164,FIND("·",JN164)-1),$K$164:$K$179,0))-(VALUE(MID(JN164,FIND("|",JN164)+1,FIND("-",JN164,FIND("|",JN164))-FIND("|",JN164)-1))-VALUE(MID(JN164,FIND("-",JN164,FIND("|",JN164))+1,10)))))*$D$50)))))*INDEX($I$164:$I$179,MATCH(LEFT(JN164,FIND("·",JN164)-1),$K$164:$K$179,0)),0),0),0)+IFERROR(IF(COUNTIF($C$164:$C$179,LEFT(JN164,FIND("·",JN164)-1))&gt;0,IF(INDEX($D$164:$D$179,MATCH(LEFT(JN164,FIND("·",JN164)-1),$C$164:$C$179,0))=IFERROR(VALUE(MID(JN164,FIND("·",JN164)+1,1)),0),($D$16+(INDEX($E$164:$E$179,MATCH(LEFT(JN164,FIND("·",JN164)-1),$C$164:$C$179,0))=MID(JN164,FIND("|",JN164)+1,10))*$D$18+MAX(0,IF($D$50=1,$D$17*(1-(ABS(INDEX($Q$164:$Q$179,MATCH(LEFT(JN164,FIND("·",JN164)-1),$C$164:$C$179,0))-(VALUE(MID(JN164,FIND("|",JN164)+1,FIND("-",JN164,FIND("|",JN164))-FIND("|",JN164)-1))-VALUE(MID(JN164,FIND("-",JN164,FIND("|",JN164))+1,10)))))*$D$50),$D$17*(1-(IF(INDEX($D$164:$D$179,MATCH(LEFT(JN164,FIND("·",JN164)-1),$C$164:$C$179,0))=0,ABS(INDEX($A$164:$A$179,MATCH(LEFT(JN164,FIND("·",JN164)-1),$C$164:$C$179,0))-VALUE(MID(JN164,FIND("|",JN164)+1,FIND("-",JN164,FIND("|",JN164))-FIND("|",JN164)-1))),ABS(INDEX($Q$164:$Q$179,MATCH(LEFT(JN164,FIND("·",JN164)-1),$C$164:$C$179,0))-(VALUE(MID(JN164,FIND("|",JN164)+1,FIND("-",JN164,FIND("|",JN164))-FIND("|",JN164)-1))-VALUE(MID(JN164,FIND("-",JN164,FIND("|",JN164))+1,10)))))*$D$50)))))*INDEX($I$164:$I$179,MATCH(LEFT(JN164,FIND("·",JN164)-1),$C$164:$C$179,0)),0),0),0)</f>
        <v>0</v>
      </c>
      <c r="JP164" s="110"/>
      <c r="JQ164" s="76" t="str">
        <f>Idiomas!$D$367</f>
        <v>Paste Values Round of 32'</v>
      </c>
      <c r="JR164" s="77">
        <f t="shared" ref="JR164" ca="1" si="1427">IFERROR(IF(COUNTIF($K$164:$K$179,LEFT(JQ164,FIND("·",JQ164)-1))&gt;0,IF(INDEX($L$164:$L$179,MATCH(LEFT(JQ164,FIND("·",JQ164)-1),$K$164:$K$179,0))=IFERROR(VALUE(MID(JQ164,FIND("·",JQ164)+1,1)),0),($D$16+(INDEX($M$164:$M$179,MATCH(LEFT(JQ164,FIND("·",JQ164)-1),$K$164:$K$179,0))=MID(JQ164,FIND("|",JQ164)+1,10))*$D$18+MAX(0,IF($D$50=1,$D$17*(1-(ABS(INDEX($P$164:$P$179,MATCH(LEFT(JQ164,FIND("·",JQ164)-1),$K$164:$K$179,0))-(VALUE(MID(JQ164,FIND("|",JQ164)+1,FIND("-",JQ164,FIND("|",JQ164))-FIND("|",JQ164)-1))-VALUE(MID(JQ164,FIND("-",JQ164,FIND("|",JQ164))+1,10)))))*$D$50),$D$17*(1-(IF(INDEX($L$164:$L$179,MATCH(LEFT(JQ164,FIND("·",JQ164)-1),$K$164:$K$179,0))=0,ABS(INDEX($N$164:$N$179,MATCH(LEFT(JQ164,FIND("·",JQ164)-1),$K$164:$K$179,0))-VALUE(MID(JQ164,FIND("|",JQ164)+1,FIND("-",JQ164,FIND("|",JQ164))-FIND("|",JQ164)-1))),ABS(INDEX($P$164:$P$179,MATCH(LEFT(JQ164,FIND("·",JQ164)-1),$K$164:$K$179,0))-(VALUE(MID(JQ164,FIND("|",JQ164)+1,FIND("-",JQ164,FIND("|",JQ164))-FIND("|",JQ164)-1))-VALUE(MID(JQ164,FIND("-",JQ164,FIND("|",JQ164))+1,10)))))*$D$50)))))*INDEX($I$164:$I$179,MATCH(LEFT(JQ164,FIND("·",JQ164)-1),$K$164:$K$179,0)),0),0),0)+IFERROR(IF(COUNTIF($C$164:$C$179,LEFT(JQ164,FIND("·",JQ164)-1))&gt;0,IF(INDEX($D$164:$D$179,MATCH(LEFT(JQ164,FIND("·",JQ164)-1),$C$164:$C$179,0))=IFERROR(VALUE(MID(JQ164,FIND("·",JQ164)+1,1)),0),($D$16+(INDEX($E$164:$E$179,MATCH(LEFT(JQ164,FIND("·",JQ164)-1),$C$164:$C$179,0))=MID(JQ164,FIND("|",JQ164)+1,10))*$D$18+MAX(0,IF($D$50=1,$D$17*(1-(ABS(INDEX($Q$164:$Q$179,MATCH(LEFT(JQ164,FIND("·",JQ164)-1),$C$164:$C$179,0))-(VALUE(MID(JQ164,FIND("|",JQ164)+1,FIND("-",JQ164,FIND("|",JQ164))-FIND("|",JQ164)-1))-VALUE(MID(JQ164,FIND("-",JQ164,FIND("|",JQ164))+1,10)))))*$D$50),$D$17*(1-(IF(INDEX($D$164:$D$179,MATCH(LEFT(JQ164,FIND("·",JQ164)-1),$C$164:$C$179,0))=0,ABS(INDEX($A$164:$A$179,MATCH(LEFT(JQ164,FIND("·",JQ164)-1),$C$164:$C$179,0))-VALUE(MID(JQ164,FIND("|",JQ164)+1,FIND("-",JQ164,FIND("|",JQ164))-FIND("|",JQ164)-1))),ABS(INDEX($Q$164:$Q$179,MATCH(LEFT(JQ164,FIND("·",JQ164)-1),$C$164:$C$179,0))-(VALUE(MID(JQ164,FIND("|",JQ164)+1,FIND("-",JQ164,FIND("|",JQ164))-FIND("|",JQ164)-1))-VALUE(MID(JQ164,FIND("-",JQ164,FIND("|",JQ164))+1,10)))))*$D$50)))))*INDEX($I$164:$I$179,MATCH(LEFT(JQ164,FIND("·",JQ164)-1),$C$164:$C$179,0)),0),0),0)</f>
        <v>0</v>
      </c>
      <c r="JS164" s="110"/>
      <c r="JT164" s="76" t="str">
        <f>Idiomas!$D$367</f>
        <v>Paste Values Round of 32'</v>
      </c>
      <c r="JU164" s="77">
        <f t="shared" ref="JU164" ca="1" si="1428">IFERROR(IF(COUNTIF($K$164:$K$179,LEFT(JT164,FIND("·",JT164)-1))&gt;0,IF(INDEX($L$164:$L$179,MATCH(LEFT(JT164,FIND("·",JT164)-1),$K$164:$K$179,0))=IFERROR(VALUE(MID(JT164,FIND("·",JT164)+1,1)),0),($D$16+(INDEX($M$164:$M$179,MATCH(LEFT(JT164,FIND("·",JT164)-1),$K$164:$K$179,0))=MID(JT164,FIND("|",JT164)+1,10))*$D$18+MAX(0,IF($D$50=1,$D$17*(1-(ABS(INDEX($P$164:$P$179,MATCH(LEFT(JT164,FIND("·",JT164)-1),$K$164:$K$179,0))-(VALUE(MID(JT164,FIND("|",JT164)+1,FIND("-",JT164,FIND("|",JT164))-FIND("|",JT164)-1))-VALUE(MID(JT164,FIND("-",JT164,FIND("|",JT164))+1,10)))))*$D$50),$D$17*(1-(IF(INDEX($L$164:$L$179,MATCH(LEFT(JT164,FIND("·",JT164)-1),$K$164:$K$179,0))=0,ABS(INDEX($N$164:$N$179,MATCH(LEFT(JT164,FIND("·",JT164)-1),$K$164:$K$179,0))-VALUE(MID(JT164,FIND("|",JT164)+1,FIND("-",JT164,FIND("|",JT164))-FIND("|",JT164)-1))),ABS(INDEX($P$164:$P$179,MATCH(LEFT(JT164,FIND("·",JT164)-1),$K$164:$K$179,0))-(VALUE(MID(JT164,FIND("|",JT164)+1,FIND("-",JT164,FIND("|",JT164))-FIND("|",JT164)-1))-VALUE(MID(JT164,FIND("-",JT164,FIND("|",JT164))+1,10)))))*$D$50)))))*INDEX($I$164:$I$179,MATCH(LEFT(JT164,FIND("·",JT164)-1),$K$164:$K$179,0)),0),0),0)+IFERROR(IF(COUNTIF($C$164:$C$179,LEFT(JT164,FIND("·",JT164)-1))&gt;0,IF(INDEX($D$164:$D$179,MATCH(LEFT(JT164,FIND("·",JT164)-1),$C$164:$C$179,0))=IFERROR(VALUE(MID(JT164,FIND("·",JT164)+1,1)),0),($D$16+(INDEX($E$164:$E$179,MATCH(LEFT(JT164,FIND("·",JT164)-1),$C$164:$C$179,0))=MID(JT164,FIND("|",JT164)+1,10))*$D$18+MAX(0,IF($D$50=1,$D$17*(1-(ABS(INDEX($Q$164:$Q$179,MATCH(LEFT(JT164,FIND("·",JT164)-1),$C$164:$C$179,0))-(VALUE(MID(JT164,FIND("|",JT164)+1,FIND("-",JT164,FIND("|",JT164))-FIND("|",JT164)-1))-VALUE(MID(JT164,FIND("-",JT164,FIND("|",JT164))+1,10)))))*$D$50),$D$17*(1-(IF(INDEX($D$164:$D$179,MATCH(LEFT(JT164,FIND("·",JT164)-1),$C$164:$C$179,0))=0,ABS(INDEX($A$164:$A$179,MATCH(LEFT(JT164,FIND("·",JT164)-1),$C$164:$C$179,0))-VALUE(MID(JT164,FIND("|",JT164)+1,FIND("-",JT164,FIND("|",JT164))-FIND("|",JT164)-1))),ABS(INDEX($Q$164:$Q$179,MATCH(LEFT(JT164,FIND("·",JT164)-1),$C$164:$C$179,0))-(VALUE(MID(JT164,FIND("|",JT164)+1,FIND("-",JT164,FIND("|",JT164))-FIND("|",JT164)-1))-VALUE(MID(JT164,FIND("-",JT164,FIND("|",JT164))+1,10)))))*$D$50)))))*INDEX($I$164:$I$179,MATCH(LEFT(JT164,FIND("·",JT164)-1),$C$164:$C$179,0)),0),0),0)</f>
        <v>0</v>
      </c>
      <c r="JV164" s="110"/>
      <c r="JW164" s="76" t="str">
        <f>Idiomas!$D$367</f>
        <v>Paste Values Round of 32'</v>
      </c>
      <c r="JX164" s="77">
        <f t="shared" ref="JX164" ca="1" si="1429">IFERROR(IF(COUNTIF($K$164:$K$179,LEFT(JW164,FIND("·",JW164)-1))&gt;0,IF(INDEX($L$164:$L$179,MATCH(LEFT(JW164,FIND("·",JW164)-1),$K$164:$K$179,0))=IFERROR(VALUE(MID(JW164,FIND("·",JW164)+1,1)),0),($D$16+(INDEX($M$164:$M$179,MATCH(LEFT(JW164,FIND("·",JW164)-1),$K$164:$K$179,0))=MID(JW164,FIND("|",JW164)+1,10))*$D$18+MAX(0,IF($D$50=1,$D$17*(1-(ABS(INDEX($P$164:$P$179,MATCH(LEFT(JW164,FIND("·",JW164)-1),$K$164:$K$179,0))-(VALUE(MID(JW164,FIND("|",JW164)+1,FIND("-",JW164,FIND("|",JW164))-FIND("|",JW164)-1))-VALUE(MID(JW164,FIND("-",JW164,FIND("|",JW164))+1,10)))))*$D$50),$D$17*(1-(IF(INDEX($L$164:$L$179,MATCH(LEFT(JW164,FIND("·",JW164)-1),$K$164:$K$179,0))=0,ABS(INDEX($N$164:$N$179,MATCH(LEFT(JW164,FIND("·",JW164)-1),$K$164:$K$179,0))-VALUE(MID(JW164,FIND("|",JW164)+1,FIND("-",JW164,FIND("|",JW164))-FIND("|",JW164)-1))),ABS(INDEX($P$164:$P$179,MATCH(LEFT(JW164,FIND("·",JW164)-1),$K$164:$K$179,0))-(VALUE(MID(JW164,FIND("|",JW164)+1,FIND("-",JW164,FIND("|",JW164))-FIND("|",JW164)-1))-VALUE(MID(JW164,FIND("-",JW164,FIND("|",JW164))+1,10)))))*$D$50)))))*INDEX($I$164:$I$179,MATCH(LEFT(JW164,FIND("·",JW164)-1),$K$164:$K$179,0)),0),0),0)+IFERROR(IF(COUNTIF($C$164:$C$179,LEFT(JW164,FIND("·",JW164)-1))&gt;0,IF(INDEX($D$164:$D$179,MATCH(LEFT(JW164,FIND("·",JW164)-1),$C$164:$C$179,0))=IFERROR(VALUE(MID(JW164,FIND("·",JW164)+1,1)),0),($D$16+(INDEX($E$164:$E$179,MATCH(LEFT(JW164,FIND("·",JW164)-1),$C$164:$C$179,0))=MID(JW164,FIND("|",JW164)+1,10))*$D$18+MAX(0,IF($D$50=1,$D$17*(1-(ABS(INDEX($Q$164:$Q$179,MATCH(LEFT(JW164,FIND("·",JW164)-1),$C$164:$C$179,0))-(VALUE(MID(JW164,FIND("|",JW164)+1,FIND("-",JW164,FIND("|",JW164))-FIND("|",JW164)-1))-VALUE(MID(JW164,FIND("-",JW164,FIND("|",JW164))+1,10)))))*$D$50),$D$17*(1-(IF(INDEX($D$164:$D$179,MATCH(LEFT(JW164,FIND("·",JW164)-1),$C$164:$C$179,0))=0,ABS(INDEX($A$164:$A$179,MATCH(LEFT(JW164,FIND("·",JW164)-1),$C$164:$C$179,0))-VALUE(MID(JW164,FIND("|",JW164)+1,FIND("-",JW164,FIND("|",JW164))-FIND("|",JW164)-1))),ABS(INDEX($Q$164:$Q$179,MATCH(LEFT(JW164,FIND("·",JW164)-1),$C$164:$C$179,0))-(VALUE(MID(JW164,FIND("|",JW164)+1,FIND("-",JW164,FIND("|",JW164))-FIND("|",JW164)-1))-VALUE(MID(JW164,FIND("-",JW164,FIND("|",JW164))+1,10)))))*$D$50)))))*INDEX($I$164:$I$179,MATCH(LEFT(JW164,FIND("·",JW164)-1),$C$164:$C$179,0)),0),0),0)</f>
        <v>0</v>
      </c>
      <c r="JY164" s="110"/>
      <c r="JZ164" s="76" t="str">
        <f>Idiomas!$D$367</f>
        <v>Paste Values Round of 32'</v>
      </c>
      <c r="KA164" s="77">
        <f t="shared" ref="KA164:LE176" ca="1" si="1430">IFERROR(IF(COUNTIF($K$164:$K$179,LEFT(JZ164,FIND("·",JZ164)-1))&gt;0,IF(INDEX($L$164:$L$179,MATCH(LEFT(JZ164,FIND("·",JZ164)-1),$K$164:$K$179,0))=IFERROR(VALUE(MID(JZ164,FIND("·",JZ164)+1,1)),0),($D$16+(INDEX($M$164:$M$179,MATCH(LEFT(JZ164,FIND("·",JZ164)-1),$K$164:$K$179,0))=MID(JZ164,FIND("|",JZ164)+1,10))*$D$18+MAX(0,IF($D$50=1,$D$17*(1-(ABS(INDEX($P$164:$P$179,MATCH(LEFT(JZ164,FIND("·",JZ164)-1),$K$164:$K$179,0))-(VALUE(MID(JZ164,FIND("|",JZ164)+1,FIND("-",JZ164,FIND("|",JZ164))-FIND("|",JZ164)-1))-VALUE(MID(JZ164,FIND("-",JZ164,FIND("|",JZ164))+1,10)))))*$D$50),$D$17*(1-(IF(INDEX($L$164:$L$179,MATCH(LEFT(JZ164,FIND("·",JZ164)-1),$K$164:$K$179,0))=0,ABS(INDEX($N$164:$N$179,MATCH(LEFT(JZ164,FIND("·",JZ164)-1),$K$164:$K$179,0))-VALUE(MID(JZ164,FIND("|",JZ164)+1,FIND("-",JZ164,FIND("|",JZ164))-FIND("|",JZ164)-1))),ABS(INDEX($P$164:$P$179,MATCH(LEFT(JZ164,FIND("·",JZ164)-1),$K$164:$K$179,0))-(VALUE(MID(JZ164,FIND("|",JZ164)+1,FIND("-",JZ164,FIND("|",JZ164))-FIND("|",JZ164)-1))-VALUE(MID(JZ164,FIND("-",JZ164,FIND("|",JZ164))+1,10)))))*$D$50)))))*INDEX($I$164:$I$179,MATCH(LEFT(JZ164,FIND("·",JZ164)-1),$K$164:$K$179,0)),0),0),0)+IFERROR(IF(COUNTIF($C$164:$C$179,LEFT(JZ164,FIND("·",JZ164)-1))&gt;0,IF(INDEX($D$164:$D$179,MATCH(LEFT(JZ164,FIND("·",JZ164)-1),$C$164:$C$179,0))=IFERROR(VALUE(MID(JZ164,FIND("·",JZ164)+1,1)),0),($D$16+(INDEX($E$164:$E$179,MATCH(LEFT(JZ164,FIND("·",JZ164)-1),$C$164:$C$179,0))=MID(JZ164,FIND("|",JZ164)+1,10))*$D$18+MAX(0,IF($D$50=1,$D$17*(1-(ABS(INDEX($Q$164:$Q$179,MATCH(LEFT(JZ164,FIND("·",JZ164)-1),$C$164:$C$179,0))-(VALUE(MID(JZ164,FIND("|",JZ164)+1,FIND("-",JZ164,FIND("|",JZ164))-FIND("|",JZ164)-1))-VALUE(MID(JZ164,FIND("-",JZ164,FIND("|",JZ164))+1,10)))))*$D$50),$D$17*(1-(IF(INDEX($D$164:$D$179,MATCH(LEFT(JZ164,FIND("·",JZ164)-1),$C$164:$C$179,0))=0,ABS(INDEX($A$164:$A$179,MATCH(LEFT(JZ164,FIND("·",JZ164)-1),$C$164:$C$179,0))-VALUE(MID(JZ164,FIND("|",JZ164)+1,FIND("-",JZ164,FIND("|",JZ164))-FIND("|",JZ164)-1))),ABS(INDEX($Q$164:$Q$179,MATCH(LEFT(JZ164,FIND("·",JZ164)-1),$C$164:$C$179,0))-(VALUE(MID(JZ164,FIND("|",JZ164)+1,FIND("-",JZ164,FIND("|",JZ164))-FIND("|",JZ164)-1))-VALUE(MID(JZ164,FIND("-",JZ164,FIND("|",JZ164))+1,10)))))*$D$50)))))*INDEX($I$164:$I$179,MATCH(LEFT(JZ164,FIND("·",JZ164)-1),$C$164:$C$179,0)),0),0),0)</f>
        <v>0</v>
      </c>
      <c r="KB164" s="110"/>
      <c r="KC164" s="76" t="str">
        <f>Idiomas!$D$367</f>
        <v>Paste Values Round of 32'</v>
      </c>
      <c r="KD164" s="77">
        <f t="shared" ref="KD164" ca="1" si="1431">IFERROR(IF(COUNTIF($K$164:$K$179,LEFT(KC164,FIND("·",KC164)-1))&gt;0,IF(INDEX($L$164:$L$179,MATCH(LEFT(KC164,FIND("·",KC164)-1),$K$164:$K$179,0))=IFERROR(VALUE(MID(KC164,FIND("·",KC164)+1,1)),0),($D$16+(INDEX($M$164:$M$179,MATCH(LEFT(KC164,FIND("·",KC164)-1),$K$164:$K$179,0))=MID(KC164,FIND("|",KC164)+1,10))*$D$18+MAX(0,IF($D$50=1,$D$17*(1-(ABS(INDEX($P$164:$P$179,MATCH(LEFT(KC164,FIND("·",KC164)-1),$K$164:$K$179,0))-(VALUE(MID(KC164,FIND("|",KC164)+1,FIND("-",KC164,FIND("|",KC164))-FIND("|",KC164)-1))-VALUE(MID(KC164,FIND("-",KC164,FIND("|",KC164))+1,10)))))*$D$50),$D$17*(1-(IF(INDEX($L$164:$L$179,MATCH(LEFT(KC164,FIND("·",KC164)-1),$K$164:$K$179,0))=0,ABS(INDEX($N$164:$N$179,MATCH(LEFT(KC164,FIND("·",KC164)-1),$K$164:$K$179,0))-VALUE(MID(KC164,FIND("|",KC164)+1,FIND("-",KC164,FIND("|",KC164))-FIND("|",KC164)-1))),ABS(INDEX($P$164:$P$179,MATCH(LEFT(KC164,FIND("·",KC164)-1),$K$164:$K$179,0))-(VALUE(MID(KC164,FIND("|",KC164)+1,FIND("-",KC164,FIND("|",KC164))-FIND("|",KC164)-1))-VALUE(MID(KC164,FIND("-",KC164,FIND("|",KC164))+1,10)))))*$D$50)))))*INDEX($I$164:$I$179,MATCH(LEFT(KC164,FIND("·",KC164)-1),$K$164:$K$179,0)),0),0),0)+IFERROR(IF(COUNTIF($C$164:$C$179,LEFT(KC164,FIND("·",KC164)-1))&gt;0,IF(INDEX($D$164:$D$179,MATCH(LEFT(KC164,FIND("·",KC164)-1),$C$164:$C$179,0))=IFERROR(VALUE(MID(KC164,FIND("·",KC164)+1,1)),0),($D$16+(INDEX($E$164:$E$179,MATCH(LEFT(KC164,FIND("·",KC164)-1),$C$164:$C$179,0))=MID(KC164,FIND("|",KC164)+1,10))*$D$18+MAX(0,IF($D$50=1,$D$17*(1-(ABS(INDEX($Q$164:$Q$179,MATCH(LEFT(KC164,FIND("·",KC164)-1),$C$164:$C$179,0))-(VALUE(MID(KC164,FIND("|",KC164)+1,FIND("-",KC164,FIND("|",KC164))-FIND("|",KC164)-1))-VALUE(MID(KC164,FIND("-",KC164,FIND("|",KC164))+1,10)))))*$D$50),$D$17*(1-(IF(INDEX($D$164:$D$179,MATCH(LEFT(KC164,FIND("·",KC164)-1),$C$164:$C$179,0))=0,ABS(INDEX($A$164:$A$179,MATCH(LEFT(KC164,FIND("·",KC164)-1),$C$164:$C$179,0))-VALUE(MID(KC164,FIND("|",KC164)+1,FIND("-",KC164,FIND("|",KC164))-FIND("|",KC164)-1))),ABS(INDEX($Q$164:$Q$179,MATCH(LEFT(KC164,FIND("·",KC164)-1),$C$164:$C$179,0))-(VALUE(MID(KC164,FIND("|",KC164)+1,FIND("-",KC164,FIND("|",KC164))-FIND("|",KC164)-1))-VALUE(MID(KC164,FIND("-",KC164,FIND("|",KC164))+1,10)))))*$D$50)))))*INDEX($I$164:$I$179,MATCH(LEFT(KC164,FIND("·",KC164)-1),$C$164:$C$179,0)),0),0),0)</f>
        <v>0</v>
      </c>
      <c r="KE164" s="110"/>
      <c r="KF164" s="76" t="str">
        <f>Idiomas!$D$367</f>
        <v>Paste Values Round of 32'</v>
      </c>
      <c r="KG164" s="77">
        <f t="shared" ref="KG164" ca="1" si="1432">IFERROR(IF(COUNTIF($K$164:$K$179,LEFT(KF164,FIND("·",KF164)-1))&gt;0,IF(INDEX($L$164:$L$179,MATCH(LEFT(KF164,FIND("·",KF164)-1),$K$164:$K$179,0))=IFERROR(VALUE(MID(KF164,FIND("·",KF164)+1,1)),0),($D$16+(INDEX($M$164:$M$179,MATCH(LEFT(KF164,FIND("·",KF164)-1),$K$164:$K$179,0))=MID(KF164,FIND("|",KF164)+1,10))*$D$18+MAX(0,IF($D$50=1,$D$17*(1-(ABS(INDEX($P$164:$P$179,MATCH(LEFT(KF164,FIND("·",KF164)-1),$K$164:$K$179,0))-(VALUE(MID(KF164,FIND("|",KF164)+1,FIND("-",KF164,FIND("|",KF164))-FIND("|",KF164)-1))-VALUE(MID(KF164,FIND("-",KF164,FIND("|",KF164))+1,10)))))*$D$50),$D$17*(1-(IF(INDEX($L$164:$L$179,MATCH(LEFT(KF164,FIND("·",KF164)-1),$K$164:$K$179,0))=0,ABS(INDEX($N$164:$N$179,MATCH(LEFT(KF164,FIND("·",KF164)-1),$K$164:$K$179,0))-VALUE(MID(KF164,FIND("|",KF164)+1,FIND("-",KF164,FIND("|",KF164))-FIND("|",KF164)-1))),ABS(INDEX($P$164:$P$179,MATCH(LEFT(KF164,FIND("·",KF164)-1),$K$164:$K$179,0))-(VALUE(MID(KF164,FIND("|",KF164)+1,FIND("-",KF164,FIND("|",KF164))-FIND("|",KF164)-1))-VALUE(MID(KF164,FIND("-",KF164,FIND("|",KF164))+1,10)))))*$D$50)))))*INDEX($I$164:$I$179,MATCH(LEFT(KF164,FIND("·",KF164)-1),$K$164:$K$179,0)),0),0),0)+IFERROR(IF(COUNTIF($C$164:$C$179,LEFT(KF164,FIND("·",KF164)-1))&gt;0,IF(INDEX($D$164:$D$179,MATCH(LEFT(KF164,FIND("·",KF164)-1),$C$164:$C$179,0))=IFERROR(VALUE(MID(KF164,FIND("·",KF164)+1,1)),0),($D$16+(INDEX($E$164:$E$179,MATCH(LEFT(KF164,FIND("·",KF164)-1),$C$164:$C$179,0))=MID(KF164,FIND("|",KF164)+1,10))*$D$18+MAX(0,IF($D$50=1,$D$17*(1-(ABS(INDEX($Q$164:$Q$179,MATCH(LEFT(KF164,FIND("·",KF164)-1),$C$164:$C$179,0))-(VALUE(MID(KF164,FIND("|",KF164)+1,FIND("-",KF164,FIND("|",KF164))-FIND("|",KF164)-1))-VALUE(MID(KF164,FIND("-",KF164,FIND("|",KF164))+1,10)))))*$D$50),$D$17*(1-(IF(INDEX($D$164:$D$179,MATCH(LEFT(KF164,FIND("·",KF164)-1),$C$164:$C$179,0))=0,ABS(INDEX($A$164:$A$179,MATCH(LEFT(KF164,FIND("·",KF164)-1),$C$164:$C$179,0))-VALUE(MID(KF164,FIND("|",KF164)+1,FIND("-",KF164,FIND("|",KF164))-FIND("|",KF164)-1))),ABS(INDEX($Q$164:$Q$179,MATCH(LEFT(KF164,FIND("·",KF164)-1),$C$164:$C$179,0))-(VALUE(MID(KF164,FIND("|",KF164)+1,FIND("-",KF164,FIND("|",KF164))-FIND("|",KF164)-1))-VALUE(MID(KF164,FIND("-",KF164,FIND("|",KF164))+1,10)))))*$D$50)))))*INDEX($I$164:$I$179,MATCH(LEFT(KF164,FIND("·",KF164)-1),$C$164:$C$179,0)),0),0),0)</f>
        <v>0</v>
      </c>
      <c r="KH164" s="110"/>
      <c r="KI164" s="76" t="str">
        <f>Idiomas!$D$367</f>
        <v>Paste Values Round of 32'</v>
      </c>
      <c r="KJ164" s="77">
        <f t="shared" ref="KJ164" ca="1" si="1433">IFERROR(IF(COUNTIF($K$164:$K$179,LEFT(KI164,FIND("·",KI164)-1))&gt;0,IF(INDEX($L$164:$L$179,MATCH(LEFT(KI164,FIND("·",KI164)-1),$K$164:$K$179,0))=IFERROR(VALUE(MID(KI164,FIND("·",KI164)+1,1)),0),($D$16+(INDEX($M$164:$M$179,MATCH(LEFT(KI164,FIND("·",KI164)-1),$K$164:$K$179,0))=MID(KI164,FIND("|",KI164)+1,10))*$D$18+MAX(0,IF($D$50=1,$D$17*(1-(ABS(INDEX($P$164:$P$179,MATCH(LEFT(KI164,FIND("·",KI164)-1),$K$164:$K$179,0))-(VALUE(MID(KI164,FIND("|",KI164)+1,FIND("-",KI164,FIND("|",KI164))-FIND("|",KI164)-1))-VALUE(MID(KI164,FIND("-",KI164,FIND("|",KI164))+1,10)))))*$D$50),$D$17*(1-(IF(INDEX($L$164:$L$179,MATCH(LEFT(KI164,FIND("·",KI164)-1),$K$164:$K$179,0))=0,ABS(INDEX($N$164:$N$179,MATCH(LEFT(KI164,FIND("·",KI164)-1),$K$164:$K$179,0))-VALUE(MID(KI164,FIND("|",KI164)+1,FIND("-",KI164,FIND("|",KI164))-FIND("|",KI164)-1))),ABS(INDEX($P$164:$P$179,MATCH(LEFT(KI164,FIND("·",KI164)-1),$K$164:$K$179,0))-(VALUE(MID(KI164,FIND("|",KI164)+1,FIND("-",KI164,FIND("|",KI164))-FIND("|",KI164)-1))-VALUE(MID(KI164,FIND("-",KI164,FIND("|",KI164))+1,10)))))*$D$50)))))*INDEX($I$164:$I$179,MATCH(LEFT(KI164,FIND("·",KI164)-1),$K$164:$K$179,0)),0),0),0)+IFERROR(IF(COUNTIF($C$164:$C$179,LEFT(KI164,FIND("·",KI164)-1))&gt;0,IF(INDEX($D$164:$D$179,MATCH(LEFT(KI164,FIND("·",KI164)-1),$C$164:$C$179,0))=IFERROR(VALUE(MID(KI164,FIND("·",KI164)+1,1)),0),($D$16+(INDEX($E$164:$E$179,MATCH(LEFT(KI164,FIND("·",KI164)-1),$C$164:$C$179,0))=MID(KI164,FIND("|",KI164)+1,10))*$D$18+MAX(0,IF($D$50=1,$D$17*(1-(ABS(INDEX($Q$164:$Q$179,MATCH(LEFT(KI164,FIND("·",KI164)-1),$C$164:$C$179,0))-(VALUE(MID(KI164,FIND("|",KI164)+1,FIND("-",KI164,FIND("|",KI164))-FIND("|",KI164)-1))-VALUE(MID(KI164,FIND("-",KI164,FIND("|",KI164))+1,10)))))*$D$50),$D$17*(1-(IF(INDEX($D$164:$D$179,MATCH(LEFT(KI164,FIND("·",KI164)-1),$C$164:$C$179,0))=0,ABS(INDEX($A$164:$A$179,MATCH(LEFT(KI164,FIND("·",KI164)-1),$C$164:$C$179,0))-VALUE(MID(KI164,FIND("|",KI164)+1,FIND("-",KI164,FIND("|",KI164))-FIND("|",KI164)-1))),ABS(INDEX($Q$164:$Q$179,MATCH(LEFT(KI164,FIND("·",KI164)-1),$C$164:$C$179,0))-(VALUE(MID(KI164,FIND("|",KI164)+1,FIND("-",KI164,FIND("|",KI164))-FIND("|",KI164)-1))-VALUE(MID(KI164,FIND("-",KI164,FIND("|",KI164))+1,10)))))*$D$50)))))*INDEX($I$164:$I$179,MATCH(LEFT(KI164,FIND("·",KI164)-1),$C$164:$C$179,0)),0),0),0)</f>
        <v>0</v>
      </c>
      <c r="KK164" s="110"/>
      <c r="KL164" s="76" t="str">
        <f>Idiomas!$D$367</f>
        <v>Paste Values Round of 32'</v>
      </c>
      <c r="KM164" s="77">
        <f t="shared" ref="KM164" ca="1" si="1434">IFERROR(IF(COUNTIF($K$164:$K$179,LEFT(KL164,FIND("·",KL164)-1))&gt;0,IF(INDEX($L$164:$L$179,MATCH(LEFT(KL164,FIND("·",KL164)-1),$K$164:$K$179,0))=IFERROR(VALUE(MID(KL164,FIND("·",KL164)+1,1)),0),($D$16+(INDEX($M$164:$M$179,MATCH(LEFT(KL164,FIND("·",KL164)-1),$K$164:$K$179,0))=MID(KL164,FIND("|",KL164)+1,10))*$D$18+MAX(0,IF($D$50=1,$D$17*(1-(ABS(INDEX($P$164:$P$179,MATCH(LEFT(KL164,FIND("·",KL164)-1),$K$164:$K$179,0))-(VALUE(MID(KL164,FIND("|",KL164)+1,FIND("-",KL164,FIND("|",KL164))-FIND("|",KL164)-1))-VALUE(MID(KL164,FIND("-",KL164,FIND("|",KL164))+1,10)))))*$D$50),$D$17*(1-(IF(INDEX($L$164:$L$179,MATCH(LEFT(KL164,FIND("·",KL164)-1),$K$164:$K$179,0))=0,ABS(INDEX($N$164:$N$179,MATCH(LEFT(KL164,FIND("·",KL164)-1),$K$164:$K$179,0))-VALUE(MID(KL164,FIND("|",KL164)+1,FIND("-",KL164,FIND("|",KL164))-FIND("|",KL164)-1))),ABS(INDEX($P$164:$P$179,MATCH(LEFT(KL164,FIND("·",KL164)-1),$K$164:$K$179,0))-(VALUE(MID(KL164,FIND("|",KL164)+1,FIND("-",KL164,FIND("|",KL164))-FIND("|",KL164)-1))-VALUE(MID(KL164,FIND("-",KL164,FIND("|",KL164))+1,10)))))*$D$50)))))*INDEX($I$164:$I$179,MATCH(LEFT(KL164,FIND("·",KL164)-1),$K$164:$K$179,0)),0),0),0)+IFERROR(IF(COUNTIF($C$164:$C$179,LEFT(KL164,FIND("·",KL164)-1))&gt;0,IF(INDEX($D$164:$D$179,MATCH(LEFT(KL164,FIND("·",KL164)-1),$C$164:$C$179,0))=IFERROR(VALUE(MID(KL164,FIND("·",KL164)+1,1)),0),($D$16+(INDEX($E$164:$E$179,MATCH(LEFT(KL164,FIND("·",KL164)-1),$C$164:$C$179,0))=MID(KL164,FIND("|",KL164)+1,10))*$D$18+MAX(0,IF($D$50=1,$D$17*(1-(ABS(INDEX($Q$164:$Q$179,MATCH(LEFT(KL164,FIND("·",KL164)-1),$C$164:$C$179,0))-(VALUE(MID(KL164,FIND("|",KL164)+1,FIND("-",KL164,FIND("|",KL164))-FIND("|",KL164)-1))-VALUE(MID(KL164,FIND("-",KL164,FIND("|",KL164))+1,10)))))*$D$50),$D$17*(1-(IF(INDEX($D$164:$D$179,MATCH(LEFT(KL164,FIND("·",KL164)-1),$C$164:$C$179,0))=0,ABS(INDEX($A$164:$A$179,MATCH(LEFT(KL164,FIND("·",KL164)-1),$C$164:$C$179,0))-VALUE(MID(KL164,FIND("|",KL164)+1,FIND("-",KL164,FIND("|",KL164))-FIND("|",KL164)-1))),ABS(INDEX($Q$164:$Q$179,MATCH(LEFT(KL164,FIND("·",KL164)-1),$C$164:$C$179,0))-(VALUE(MID(KL164,FIND("|",KL164)+1,FIND("-",KL164,FIND("|",KL164))-FIND("|",KL164)-1))-VALUE(MID(KL164,FIND("-",KL164,FIND("|",KL164))+1,10)))))*$D$50)))))*INDEX($I$164:$I$179,MATCH(LEFT(KL164,FIND("·",KL164)-1),$C$164:$C$179,0)),0),0),0)</f>
        <v>0</v>
      </c>
      <c r="KN164" s="110"/>
      <c r="KO164" s="76" t="str">
        <f>Idiomas!$D$367</f>
        <v>Paste Values Round of 32'</v>
      </c>
      <c r="KP164" s="77">
        <f t="shared" ref="KP164" ca="1" si="1435">IFERROR(IF(COUNTIF($K$164:$K$179,LEFT(KO164,FIND("·",KO164)-1))&gt;0,IF(INDEX($L$164:$L$179,MATCH(LEFT(KO164,FIND("·",KO164)-1),$K$164:$K$179,0))=IFERROR(VALUE(MID(KO164,FIND("·",KO164)+1,1)),0),($D$16+(INDEX($M$164:$M$179,MATCH(LEFT(KO164,FIND("·",KO164)-1),$K$164:$K$179,0))=MID(KO164,FIND("|",KO164)+1,10))*$D$18+MAX(0,IF($D$50=1,$D$17*(1-(ABS(INDEX($P$164:$P$179,MATCH(LEFT(KO164,FIND("·",KO164)-1),$K$164:$K$179,0))-(VALUE(MID(KO164,FIND("|",KO164)+1,FIND("-",KO164,FIND("|",KO164))-FIND("|",KO164)-1))-VALUE(MID(KO164,FIND("-",KO164,FIND("|",KO164))+1,10)))))*$D$50),$D$17*(1-(IF(INDEX($L$164:$L$179,MATCH(LEFT(KO164,FIND("·",KO164)-1),$K$164:$K$179,0))=0,ABS(INDEX($N$164:$N$179,MATCH(LEFT(KO164,FIND("·",KO164)-1),$K$164:$K$179,0))-VALUE(MID(KO164,FIND("|",KO164)+1,FIND("-",KO164,FIND("|",KO164))-FIND("|",KO164)-1))),ABS(INDEX($P$164:$P$179,MATCH(LEFT(KO164,FIND("·",KO164)-1),$K$164:$K$179,0))-(VALUE(MID(KO164,FIND("|",KO164)+1,FIND("-",KO164,FIND("|",KO164))-FIND("|",KO164)-1))-VALUE(MID(KO164,FIND("-",KO164,FIND("|",KO164))+1,10)))))*$D$50)))))*INDEX($I$164:$I$179,MATCH(LEFT(KO164,FIND("·",KO164)-1),$K$164:$K$179,0)),0),0),0)+IFERROR(IF(COUNTIF($C$164:$C$179,LEFT(KO164,FIND("·",KO164)-1))&gt;0,IF(INDEX($D$164:$D$179,MATCH(LEFT(KO164,FIND("·",KO164)-1),$C$164:$C$179,0))=IFERROR(VALUE(MID(KO164,FIND("·",KO164)+1,1)),0),($D$16+(INDEX($E$164:$E$179,MATCH(LEFT(KO164,FIND("·",KO164)-1),$C$164:$C$179,0))=MID(KO164,FIND("|",KO164)+1,10))*$D$18+MAX(0,IF($D$50=1,$D$17*(1-(ABS(INDEX($Q$164:$Q$179,MATCH(LEFT(KO164,FIND("·",KO164)-1),$C$164:$C$179,0))-(VALUE(MID(KO164,FIND("|",KO164)+1,FIND("-",KO164,FIND("|",KO164))-FIND("|",KO164)-1))-VALUE(MID(KO164,FIND("-",KO164,FIND("|",KO164))+1,10)))))*$D$50),$D$17*(1-(IF(INDEX($D$164:$D$179,MATCH(LEFT(KO164,FIND("·",KO164)-1),$C$164:$C$179,0))=0,ABS(INDEX($A$164:$A$179,MATCH(LEFT(KO164,FIND("·",KO164)-1),$C$164:$C$179,0))-VALUE(MID(KO164,FIND("|",KO164)+1,FIND("-",KO164,FIND("|",KO164))-FIND("|",KO164)-1))),ABS(INDEX($Q$164:$Q$179,MATCH(LEFT(KO164,FIND("·",KO164)-1),$C$164:$C$179,0))-(VALUE(MID(KO164,FIND("|",KO164)+1,FIND("-",KO164,FIND("|",KO164))-FIND("|",KO164)-1))-VALUE(MID(KO164,FIND("-",KO164,FIND("|",KO164))+1,10)))))*$D$50)))))*INDEX($I$164:$I$179,MATCH(LEFT(KO164,FIND("·",KO164)-1),$C$164:$C$179,0)),0),0),0)</f>
        <v>0</v>
      </c>
      <c r="KQ164" s="110"/>
      <c r="KR164" s="76" t="str">
        <f>Idiomas!$D$367</f>
        <v>Paste Values Round of 32'</v>
      </c>
      <c r="KS164" s="77">
        <f t="shared" ref="KS164" ca="1" si="1436">IFERROR(IF(COUNTIF($K$164:$K$179,LEFT(KR164,FIND("·",KR164)-1))&gt;0,IF(INDEX($L$164:$L$179,MATCH(LEFT(KR164,FIND("·",KR164)-1),$K$164:$K$179,0))=IFERROR(VALUE(MID(KR164,FIND("·",KR164)+1,1)),0),($D$16+(INDEX($M$164:$M$179,MATCH(LEFT(KR164,FIND("·",KR164)-1),$K$164:$K$179,0))=MID(KR164,FIND("|",KR164)+1,10))*$D$18+MAX(0,IF($D$50=1,$D$17*(1-(ABS(INDEX($P$164:$P$179,MATCH(LEFT(KR164,FIND("·",KR164)-1),$K$164:$K$179,0))-(VALUE(MID(KR164,FIND("|",KR164)+1,FIND("-",KR164,FIND("|",KR164))-FIND("|",KR164)-1))-VALUE(MID(KR164,FIND("-",KR164,FIND("|",KR164))+1,10)))))*$D$50),$D$17*(1-(IF(INDEX($L$164:$L$179,MATCH(LEFT(KR164,FIND("·",KR164)-1),$K$164:$K$179,0))=0,ABS(INDEX($N$164:$N$179,MATCH(LEFT(KR164,FIND("·",KR164)-1),$K$164:$K$179,0))-VALUE(MID(KR164,FIND("|",KR164)+1,FIND("-",KR164,FIND("|",KR164))-FIND("|",KR164)-1))),ABS(INDEX($P$164:$P$179,MATCH(LEFT(KR164,FIND("·",KR164)-1),$K$164:$K$179,0))-(VALUE(MID(KR164,FIND("|",KR164)+1,FIND("-",KR164,FIND("|",KR164))-FIND("|",KR164)-1))-VALUE(MID(KR164,FIND("-",KR164,FIND("|",KR164))+1,10)))))*$D$50)))))*INDEX($I$164:$I$179,MATCH(LEFT(KR164,FIND("·",KR164)-1),$K$164:$K$179,0)),0),0),0)+IFERROR(IF(COUNTIF($C$164:$C$179,LEFT(KR164,FIND("·",KR164)-1))&gt;0,IF(INDEX($D$164:$D$179,MATCH(LEFT(KR164,FIND("·",KR164)-1),$C$164:$C$179,0))=IFERROR(VALUE(MID(KR164,FIND("·",KR164)+1,1)),0),($D$16+(INDEX($E$164:$E$179,MATCH(LEFT(KR164,FIND("·",KR164)-1),$C$164:$C$179,0))=MID(KR164,FIND("|",KR164)+1,10))*$D$18+MAX(0,IF($D$50=1,$D$17*(1-(ABS(INDEX($Q$164:$Q$179,MATCH(LEFT(KR164,FIND("·",KR164)-1),$C$164:$C$179,0))-(VALUE(MID(KR164,FIND("|",KR164)+1,FIND("-",KR164,FIND("|",KR164))-FIND("|",KR164)-1))-VALUE(MID(KR164,FIND("-",KR164,FIND("|",KR164))+1,10)))))*$D$50),$D$17*(1-(IF(INDEX($D$164:$D$179,MATCH(LEFT(KR164,FIND("·",KR164)-1),$C$164:$C$179,0))=0,ABS(INDEX($A$164:$A$179,MATCH(LEFT(KR164,FIND("·",KR164)-1),$C$164:$C$179,0))-VALUE(MID(KR164,FIND("|",KR164)+1,FIND("-",KR164,FIND("|",KR164))-FIND("|",KR164)-1))),ABS(INDEX($Q$164:$Q$179,MATCH(LEFT(KR164,FIND("·",KR164)-1),$C$164:$C$179,0))-(VALUE(MID(KR164,FIND("|",KR164)+1,FIND("-",KR164,FIND("|",KR164))-FIND("|",KR164)-1))-VALUE(MID(KR164,FIND("-",KR164,FIND("|",KR164))+1,10)))))*$D$50)))))*INDEX($I$164:$I$179,MATCH(LEFT(KR164,FIND("·",KR164)-1),$C$164:$C$179,0)),0),0),0)</f>
        <v>0</v>
      </c>
      <c r="KT164" s="110"/>
      <c r="KU164" s="76" t="str">
        <f>Idiomas!$D$367</f>
        <v>Paste Values Round of 32'</v>
      </c>
      <c r="KV164" s="77">
        <f t="shared" ref="KV164" ca="1" si="1437">IFERROR(IF(COUNTIF($K$164:$K$179,LEFT(KU164,FIND("·",KU164)-1))&gt;0,IF(INDEX($L$164:$L$179,MATCH(LEFT(KU164,FIND("·",KU164)-1),$K$164:$K$179,0))=IFERROR(VALUE(MID(KU164,FIND("·",KU164)+1,1)),0),($D$16+(INDEX($M$164:$M$179,MATCH(LEFT(KU164,FIND("·",KU164)-1),$K$164:$K$179,0))=MID(KU164,FIND("|",KU164)+1,10))*$D$18+MAX(0,IF($D$50=1,$D$17*(1-(ABS(INDEX($P$164:$P$179,MATCH(LEFT(KU164,FIND("·",KU164)-1),$K$164:$K$179,0))-(VALUE(MID(KU164,FIND("|",KU164)+1,FIND("-",KU164,FIND("|",KU164))-FIND("|",KU164)-1))-VALUE(MID(KU164,FIND("-",KU164,FIND("|",KU164))+1,10)))))*$D$50),$D$17*(1-(IF(INDEX($L$164:$L$179,MATCH(LEFT(KU164,FIND("·",KU164)-1),$K$164:$K$179,0))=0,ABS(INDEX($N$164:$N$179,MATCH(LEFT(KU164,FIND("·",KU164)-1),$K$164:$K$179,0))-VALUE(MID(KU164,FIND("|",KU164)+1,FIND("-",KU164,FIND("|",KU164))-FIND("|",KU164)-1))),ABS(INDEX($P$164:$P$179,MATCH(LEFT(KU164,FIND("·",KU164)-1),$K$164:$K$179,0))-(VALUE(MID(KU164,FIND("|",KU164)+1,FIND("-",KU164,FIND("|",KU164))-FIND("|",KU164)-1))-VALUE(MID(KU164,FIND("-",KU164,FIND("|",KU164))+1,10)))))*$D$50)))))*INDEX($I$164:$I$179,MATCH(LEFT(KU164,FIND("·",KU164)-1),$K$164:$K$179,0)),0),0),0)+IFERROR(IF(COUNTIF($C$164:$C$179,LEFT(KU164,FIND("·",KU164)-1))&gt;0,IF(INDEX($D$164:$D$179,MATCH(LEFT(KU164,FIND("·",KU164)-1),$C$164:$C$179,0))=IFERROR(VALUE(MID(KU164,FIND("·",KU164)+1,1)),0),($D$16+(INDEX($E$164:$E$179,MATCH(LEFT(KU164,FIND("·",KU164)-1),$C$164:$C$179,0))=MID(KU164,FIND("|",KU164)+1,10))*$D$18+MAX(0,IF($D$50=1,$D$17*(1-(ABS(INDEX($Q$164:$Q$179,MATCH(LEFT(KU164,FIND("·",KU164)-1),$C$164:$C$179,0))-(VALUE(MID(KU164,FIND("|",KU164)+1,FIND("-",KU164,FIND("|",KU164))-FIND("|",KU164)-1))-VALUE(MID(KU164,FIND("-",KU164,FIND("|",KU164))+1,10)))))*$D$50),$D$17*(1-(IF(INDEX($D$164:$D$179,MATCH(LEFT(KU164,FIND("·",KU164)-1),$C$164:$C$179,0))=0,ABS(INDEX($A$164:$A$179,MATCH(LEFT(KU164,FIND("·",KU164)-1),$C$164:$C$179,0))-VALUE(MID(KU164,FIND("|",KU164)+1,FIND("-",KU164,FIND("|",KU164))-FIND("|",KU164)-1))),ABS(INDEX($Q$164:$Q$179,MATCH(LEFT(KU164,FIND("·",KU164)-1),$C$164:$C$179,0))-(VALUE(MID(KU164,FIND("|",KU164)+1,FIND("-",KU164,FIND("|",KU164))-FIND("|",KU164)-1))-VALUE(MID(KU164,FIND("-",KU164,FIND("|",KU164))+1,10)))))*$D$50)))))*INDEX($I$164:$I$179,MATCH(LEFT(KU164,FIND("·",KU164)-1),$C$164:$C$179,0)),0),0),0)</f>
        <v>0</v>
      </c>
      <c r="KW164" s="110"/>
      <c r="KX164" s="76" t="str">
        <f>Idiomas!$D$367</f>
        <v>Paste Values Round of 32'</v>
      </c>
      <c r="KY164" s="77">
        <f t="shared" ref="KY164" ca="1" si="1438">IFERROR(IF(COUNTIF($K$164:$K$179,LEFT(KX164,FIND("·",KX164)-1))&gt;0,IF(INDEX($L$164:$L$179,MATCH(LEFT(KX164,FIND("·",KX164)-1),$K$164:$K$179,0))=IFERROR(VALUE(MID(KX164,FIND("·",KX164)+1,1)),0),($D$16+(INDEX($M$164:$M$179,MATCH(LEFT(KX164,FIND("·",KX164)-1),$K$164:$K$179,0))=MID(KX164,FIND("|",KX164)+1,10))*$D$18+MAX(0,IF($D$50=1,$D$17*(1-(ABS(INDEX($P$164:$P$179,MATCH(LEFT(KX164,FIND("·",KX164)-1),$K$164:$K$179,0))-(VALUE(MID(KX164,FIND("|",KX164)+1,FIND("-",KX164,FIND("|",KX164))-FIND("|",KX164)-1))-VALUE(MID(KX164,FIND("-",KX164,FIND("|",KX164))+1,10)))))*$D$50),$D$17*(1-(IF(INDEX($L$164:$L$179,MATCH(LEFT(KX164,FIND("·",KX164)-1),$K$164:$K$179,0))=0,ABS(INDEX($N$164:$N$179,MATCH(LEFT(KX164,FIND("·",KX164)-1),$K$164:$K$179,0))-VALUE(MID(KX164,FIND("|",KX164)+1,FIND("-",KX164,FIND("|",KX164))-FIND("|",KX164)-1))),ABS(INDEX($P$164:$P$179,MATCH(LEFT(KX164,FIND("·",KX164)-1),$K$164:$K$179,0))-(VALUE(MID(KX164,FIND("|",KX164)+1,FIND("-",KX164,FIND("|",KX164))-FIND("|",KX164)-1))-VALUE(MID(KX164,FIND("-",KX164,FIND("|",KX164))+1,10)))))*$D$50)))))*INDEX($I$164:$I$179,MATCH(LEFT(KX164,FIND("·",KX164)-1),$K$164:$K$179,0)),0),0),0)+IFERROR(IF(COUNTIF($C$164:$C$179,LEFT(KX164,FIND("·",KX164)-1))&gt;0,IF(INDEX($D$164:$D$179,MATCH(LEFT(KX164,FIND("·",KX164)-1),$C$164:$C$179,0))=IFERROR(VALUE(MID(KX164,FIND("·",KX164)+1,1)),0),($D$16+(INDEX($E$164:$E$179,MATCH(LEFT(KX164,FIND("·",KX164)-1),$C$164:$C$179,0))=MID(KX164,FIND("|",KX164)+1,10))*$D$18+MAX(0,IF($D$50=1,$D$17*(1-(ABS(INDEX($Q$164:$Q$179,MATCH(LEFT(KX164,FIND("·",KX164)-1),$C$164:$C$179,0))-(VALUE(MID(KX164,FIND("|",KX164)+1,FIND("-",KX164,FIND("|",KX164))-FIND("|",KX164)-1))-VALUE(MID(KX164,FIND("-",KX164,FIND("|",KX164))+1,10)))))*$D$50),$D$17*(1-(IF(INDEX($D$164:$D$179,MATCH(LEFT(KX164,FIND("·",KX164)-1),$C$164:$C$179,0))=0,ABS(INDEX($A$164:$A$179,MATCH(LEFT(KX164,FIND("·",KX164)-1),$C$164:$C$179,0))-VALUE(MID(KX164,FIND("|",KX164)+1,FIND("-",KX164,FIND("|",KX164))-FIND("|",KX164)-1))),ABS(INDEX($Q$164:$Q$179,MATCH(LEFT(KX164,FIND("·",KX164)-1),$C$164:$C$179,0))-(VALUE(MID(KX164,FIND("|",KX164)+1,FIND("-",KX164,FIND("|",KX164))-FIND("|",KX164)-1))-VALUE(MID(KX164,FIND("-",KX164,FIND("|",KX164))+1,10)))))*$D$50)))))*INDEX($I$164:$I$179,MATCH(LEFT(KX164,FIND("·",KX164)-1),$C$164:$C$179,0)),0),0),0)</f>
        <v>0</v>
      </c>
      <c r="KZ164" s="110"/>
      <c r="LA164" s="76" t="str">
        <f>Idiomas!$D$367</f>
        <v>Paste Values Round of 32'</v>
      </c>
      <c r="LB164" s="77">
        <f t="shared" ref="LB164" ca="1" si="1439">IFERROR(IF(COUNTIF($K$164:$K$179,LEFT(LA164,FIND("·",LA164)-1))&gt;0,IF(INDEX($L$164:$L$179,MATCH(LEFT(LA164,FIND("·",LA164)-1),$K$164:$K$179,0))=IFERROR(VALUE(MID(LA164,FIND("·",LA164)+1,1)),0),($D$16+(INDEX($M$164:$M$179,MATCH(LEFT(LA164,FIND("·",LA164)-1),$K$164:$K$179,0))=MID(LA164,FIND("|",LA164)+1,10))*$D$18+MAX(0,IF($D$50=1,$D$17*(1-(ABS(INDEX($P$164:$P$179,MATCH(LEFT(LA164,FIND("·",LA164)-1),$K$164:$K$179,0))-(VALUE(MID(LA164,FIND("|",LA164)+1,FIND("-",LA164,FIND("|",LA164))-FIND("|",LA164)-1))-VALUE(MID(LA164,FIND("-",LA164,FIND("|",LA164))+1,10)))))*$D$50),$D$17*(1-(IF(INDEX($L$164:$L$179,MATCH(LEFT(LA164,FIND("·",LA164)-1),$K$164:$K$179,0))=0,ABS(INDEX($N$164:$N$179,MATCH(LEFT(LA164,FIND("·",LA164)-1),$K$164:$K$179,0))-VALUE(MID(LA164,FIND("|",LA164)+1,FIND("-",LA164,FIND("|",LA164))-FIND("|",LA164)-1))),ABS(INDEX($P$164:$P$179,MATCH(LEFT(LA164,FIND("·",LA164)-1),$K$164:$K$179,0))-(VALUE(MID(LA164,FIND("|",LA164)+1,FIND("-",LA164,FIND("|",LA164))-FIND("|",LA164)-1))-VALUE(MID(LA164,FIND("-",LA164,FIND("|",LA164))+1,10)))))*$D$50)))))*INDEX($I$164:$I$179,MATCH(LEFT(LA164,FIND("·",LA164)-1),$K$164:$K$179,0)),0),0),0)+IFERROR(IF(COUNTIF($C$164:$C$179,LEFT(LA164,FIND("·",LA164)-1))&gt;0,IF(INDEX($D$164:$D$179,MATCH(LEFT(LA164,FIND("·",LA164)-1),$C$164:$C$179,0))=IFERROR(VALUE(MID(LA164,FIND("·",LA164)+1,1)),0),($D$16+(INDEX($E$164:$E$179,MATCH(LEFT(LA164,FIND("·",LA164)-1),$C$164:$C$179,0))=MID(LA164,FIND("|",LA164)+1,10))*$D$18+MAX(0,IF($D$50=1,$D$17*(1-(ABS(INDEX($Q$164:$Q$179,MATCH(LEFT(LA164,FIND("·",LA164)-1),$C$164:$C$179,0))-(VALUE(MID(LA164,FIND("|",LA164)+1,FIND("-",LA164,FIND("|",LA164))-FIND("|",LA164)-1))-VALUE(MID(LA164,FIND("-",LA164,FIND("|",LA164))+1,10)))))*$D$50),$D$17*(1-(IF(INDEX($D$164:$D$179,MATCH(LEFT(LA164,FIND("·",LA164)-1),$C$164:$C$179,0))=0,ABS(INDEX($A$164:$A$179,MATCH(LEFT(LA164,FIND("·",LA164)-1),$C$164:$C$179,0))-VALUE(MID(LA164,FIND("|",LA164)+1,FIND("-",LA164,FIND("|",LA164))-FIND("|",LA164)-1))),ABS(INDEX($Q$164:$Q$179,MATCH(LEFT(LA164,FIND("·",LA164)-1),$C$164:$C$179,0))-(VALUE(MID(LA164,FIND("|",LA164)+1,FIND("-",LA164,FIND("|",LA164))-FIND("|",LA164)-1))-VALUE(MID(LA164,FIND("-",LA164,FIND("|",LA164))+1,10)))))*$D$50)))))*INDEX($I$164:$I$179,MATCH(LEFT(LA164,FIND("·",LA164)-1),$C$164:$C$179,0)),0),0),0)</f>
        <v>0</v>
      </c>
      <c r="LC164" s="110"/>
      <c r="LD164" s="76" t="str">
        <f>Idiomas!$D$367</f>
        <v>Paste Values Round of 32'</v>
      </c>
      <c r="LE164" s="77">
        <f t="shared" ref="LE164" ca="1" si="1440">IFERROR(IF(COUNTIF($K$164:$K$179,LEFT(LD164,FIND("·",LD164)-1))&gt;0,IF(INDEX($L$164:$L$179,MATCH(LEFT(LD164,FIND("·",LD164)-1),$K$164:$K$179,0))=IFERROR(VALUE(MID(LD164,FIND("·",LD164)+1,1)),0),($D$16+(INDEX($M$164:$M$179,MATCH(LEFT(LD164,FIND("·",LD164)-1),$K$164:$K$179,0))=MID(LD164,FIND("|",LD164)+1,10))*$D$18+MAX(0,IF($D$50=1,$D$17*(1-(ABS(INDEX($P$164:$P$179,MATCH(LEFT(LD164,FIND("·",LD164)-1),$K$164:$K$179,0))-(VALUE(MID(LD164,FIND("|",LD164)+1,FIND("-",LD164,FIND("|",LD164))-FIND("|",LD164)-1))-VALUE(MID(LD164,FIND("-",LD164,FIND("|",LD164))+1,10)))))*$D$50),$D$17*(1-(IF(INDEX($L$164:$L$179,MATCH(LEFT(LD164,FIND("·",LD164)-1),$K$164:$K$179,0))=0,ABS(INDEX($N$164:$N$179,MATCH(LEFT(LD164,FIND("·",LD164)-1),$K$164:$K$179,0))-VALUE(MID(LD164,FIND("|",LD164)+1,FIND("-",LD164,FIND("|",LD164))-FIND("|",LD164)-1))),ABS(INDEX($P$164:$P$179,MATCH(LEFT(LD164,FIND("·",LD164)-1),$K$164:$K$179,0))-(VALUE(MID(LD164,FIND("|",LD164)+1,FIND("-",LD164,FIND("|",LD164))-FIND("|",LD164)-1))-VALUE(MID(LD164,FIND("-",LD164,FIND("|",LD164))+1,10)))))*$D$50)))))*INDEX($I$164:$I$179,MATCH(LEFT(LD164,FIND("·",LD164)-1),$K$164:$K$179,0)),0),0),0)+IFERROR(IF(COUNTIF($C$164:$C$179,LEFT(LD164,FIND("·",LD164)-1))&gt;0,IF(INDEX($D$164:$D$179,MATCH(LEFT(LD164,FIND("·",LD164)-1),$C$164:$C$179,0))=IFERROR(VALUE(MID(LD164,FIND("·",LD164)+1,1)),0),($D$16+(INDEX($E$164:$E$179,MATCH(LEFT(LD164,FIND("·",LD164)-1),$C$164:$C$179,0))=MID(LD164,FIND("|",LD164)+1,10))*$D$18+MAX(0,IF($D$50=1,$D$17*(1-(ABS(INDEX($Q$164:$Q$179,MATCH(LEFT(LD164,FIND("·",LD164)-1),$C$164:$C$179,0))-(VALUE(MID(LD164,FIND("|",LD164)+1,FIND("-",LD164,FIND("|",LD164))-FIND("|",LD164)-1))-VALUE(MID(LD164,FIND("-",LD164,FIND("|",LD164))+1,10)))))*$D$50),$D$17*(1-(IF(INDEX($D$164:$D$179,MATCH(LEFT(LD164,FIND("·",LD164)-1),$C$164:$C$179,0))=0,ABS(INDEX($A$164:$A$179,MATCH(LEFT(LD164,FIND("·",LD164)-1),$C$164:$C$179,0))-VALUE(MID(LD164,FIND("|",LD164)+1,FIND("-",LD164,FIND("|",LD164))-FIND("|",LD164)-1))),ABS(INDEX($Q$164:$Q$179,MATCH(LEFT(LD164,FIND("·",LD164)-1),$C$164:$C$179,0))-(VALUE(MID(LD164,FIND("|",LD164)+1,FIND("-",LD164,FIND("|",LD164))-FIND("|",LD164)-1))-VALUE(MID(LD164,FIND("-",LD164,FIND("|",LD164))+1,10)))))*$D$50)))))*INDEX($I$164:$I$179,MATCH(LEFT(LD164,FIND("·",LD164)-1),$C$164:$C$179,0)),0),0),0)</f>
        <v>0</v>
      </c>
      <c r="LF164" s="110"/>
      <c r="LG164" s="110"/>
    </row>
    <row r="165" spans="1:319">
      <c r="A165" s="25">
        <f>WORLDCUP!AD102</f>
        <v>1</v>
      </c>
      <c r="B165" s="25">
        <f>WORLDCUP!AC102</f>
        <v>2</v>
      </c>
      <c r="C165" s="25" t="str">
        <f ca="1">CONCATENATE(WORLDCUP!AF102,"-",WORLDCUP!AA102)</f>
        <v>Japan-Brazil</v>
      </c>
      <c r="D165" s="25">
        <f>IF(WORLDCUP!AC102&gt;WORLDCUP!AD102,2,IF(WORLDCUP!AC102&lt;WORLDCUP!AD102,1,IF(AND(WORLDCUP!AC102=WORLDCUP!AD102,WORLDCUP!AC102&lt;&gt;"",WORLDCUP!AD102&lt;&gt;""),0,"PD")))</f>
        <v>2</v>
      </c>
      <c r="E165" s="25" t="str">
        <f>IF(OR(WORLDCUP!AC102="",WORLDCUP!AD102=""),"-",A165&amp;"-"&amp;B165)</f>
        <v>1-2</v>
      </c>
      <c r="F165" s="407">
        <f t="shared" ref="F165:F179" si="1441">SUM($D$16:$D$18)*I165</f>
        <v>20</v>
      </c>
      <c r="G165" s="407">
        <f ca="1">VLOOKUP(H165,Equipos!$Q$1:$R$25,2,0)</f>
        <v>20</v>
      </c>
      <c r="H165" s="446" t="str">
        <f>Idiomas!$D$260</f>
        <v>Round of 32</v>
      </c>
      <c r="I165" s="43">
        <v>1</v>
      </c>
      <c r="J165" s="845"/>
      <c r="K165" s="56" t="str">
        <f ca="1">CONCATENATE(WORLDCUP!AA102,"-",WORLDCUP!AF102)</f>
        <v>Brazil-Japan</v>
      </c>
      <c r="L165" s="53">
        <f>IF(OR(WORLDCUP!AC102="",WORLDCUP!AD102=""),"PD",IF(WORLDCUP!AC102&gt;WORLDCUP!AD102,1,IF(WORLDCUP!AC102&lt;WORLDCUP!AD102,2,0)))</f>
        <v>1</v>
      </c>
      <c r="M165" s="55" t="str">
        <f t="shared" ref="M165:M179" si="1442">IF(L165="PD","-",N165&amp;"-"&amp;O165)</f>
        <v>2-1</v>
      </c>
      <c r="N165" s="25">
        <f>WORLDCUP!AC102</f>
        <v>2</v>
      </c>
      <c r="O165" s="25">
        <f>WORLDCUP!AD102</f>
        <v>1</v>
      </c>
      <c r="P165" s="25">
        <f t="shared" ref="P165:P179" si="1443">N165-O165</f>
        <v>1</v>
      </c>
      <c r="Q165" s="25">
        <f t="shared" ref="Q165:Q179" si="1444">A165-B165</f>
        <v>-1</v>
      </c>
      <c r="R165" s="110"/>
      <c r="S165" s="76" t="s">
        <v>1963</v>
      </c>
      <c r="T165" s="77">
        <f t="shared" ref="T165:T179" ca="1" si="1445">IFERROR(IF(COUNTIF($K$164:$K$179,LEFT(S165,FIND("·",S165)-1))&gt;0,IF(INDEX($L$164:$L$179,MATCH(LEFT(S165,FIND("·",S165)-1),$K$164:$K$179,0))=IFERROR(VALUE(MID(S165,FIND("·",S165)+1,1)),0),($D$16+(INDEX($M$164:$M$179,MATCH(LEFT(S165,FIND("·",S165)-1),$K$164:$K$179,0))=MID(S165,FIND("|",S165)+1,10))*$D$18+MAX(0,IF($D$50=1,$D$17*(1-(ABS(INDEX($P$164:$P$179,MATCH(LEFT(S165,FIND("·",S165)-1),$K$164:$K$179,0))-(VALUE(MID(S165,FIND("|",S165)+1,FIND("-",S165,FIND("|",S165))-FIND("|",S165)-1))-VALUE(MID(S165,FIND("-",S165,FIND("|",S165))+1,10)))))*$D$50),$D$17*(1-(IF(INDEX($L$164:$L$179,MATCH(LEFT(S165,FIND("·",S165)-1),$K$164:$K$179,0))=0,ABS(INDEX($N$164:$N$179,MATCH(LEFT(S165,FIND("·",S165)-1),$K$164:$K$179,0))-VALUE(MID(S165,FIND("|",S165)+1,FIND("-",S165,FIND("|",S165))-FIND("|",S165)-1))),ABS(INDEX($P$164:$P$179,MATCH(LEFT(S165,FIND("·",S165)-1),$K$164:$K$179,0))-(VALUE(MID(S165,FIND("|",S165)+1,FIND("-",S165,FIND("|",S165))-FIND("|",S165)-1))-VALUE(MID(S165,FIND("-",S165,FIND("|",S165))+1,10)))))*$D$50)))))*INDEX($I$164:$I$179,MATCH(LEFT(S165,FIND("·",S165)-1),$K$164:$K$179,0)),0),0),0)+IFERROR(IF(COUNTIF($C$164:$C$179,LEFT(S165,FIND("·",S165)-1))&gt;0,IF(INDEX($D$164:$D$179,MATCH(LEFT(S165,FIND("·",S165)-1),$C$164:$C$179,0))=IFERROR(VALUE(MID(S165,FIND("·",S165)+1,1)),0),($D$16+(INDEX($E$164:$E$179,MATCH(LEFT(S165,FIND("·",S165)-1),$C$164:$C$179,0))=MID(S165,FIND("|",S165)+1,10))*$D$18+MAX(0,IF($D$50=1,$D$17*(1-(ABS(INDEX($Q$164:$Q$179,MATCH(LEFT(S165,FIND("·",S165)-1),$C$164:$C$179,0))-(VALUE(MID(S165,FIND("|",S165)+1,FIND("-",S165,FIND("|",S165))-FIND("|",S165)-1))-VALUE(MID(S165,FIND("-",S165,FIND("|",S165))+1,10)))))*$D$50),$D$17*(1-(IF(INDEX($D$164:$D$179,MATCH(LEFT(S165,FIND("·",S165)-1),$C$164:$C$179,0))=0,ABS(INDEX($A$164:$A$179,MATCH(LEFT(S165,FIND("·",S165)-1),$C$164:$C$179,0))-VALUE(MID(S165,FIND("|",S165)+1,FIND("-",S165,FIND("|",S165))-FIND("|",S165)-1))),ABS(INDEX($Q$164:$Q$179,MATCH(LEFT(S165,FIND("·",S165)-1),$C$164:$C$179,0))-(VALUE(MID(S165,FIND("|",S165)+1,FIND("-",S165,FIND("|",S165))-FIND("|",S165)-1))-VALUE(MID(S165,FIND("-",S165,FIND("|",S165))+1,10)))))*$D$50)))))*INDEX($I$164:$I$179,MATCH(LEFT(S165,FIND("·",S165)-1),$C$164:$C$179,0)),0),0),0)</f>
        <v>0</v>
      </c>
      <c r="U165" s="110"/>
      <c r="V165" s="74" t="s">
        <v>2002</v>
      </c>
      <c r="W165" s="77">
        <f t="shared" ca="1" si="1342"/>
        <v>0</v>
      </c>
      <c r="X165" s="110"/>
      <c r="Y165" s="74" t="s">
        <v>2039</v>
      </c>
      <c r="Z165" s="77">
        <f t="shared" ca="1" si="1342"/>
        <v>10</v>
      </c>
      <c r="AA165" s="110"/>
      <c r="AB165" s="80" t="s">
        <v>2071</v>
      </c>
      <c r="AC165" s="77">
        <f t="shared" ca="1" si="1342"/>
        <v>10</v>
      </c>
      <c r="AD165" s="110"/>
      <c r="AE165" s="74" t="s">
        <v>2002</v>
      </c>
      <c r="AF165" s="77">
        <f t="shared" ca="1" si="1342"/>
        <v>0</v>
      </c>
      <c r="AG165" s="110"/>
      <c r="AH165" s="74" t="s">
        <v>2135</v>
      </c>
      <c r="AI165" s="77">
        <f t="shared" ca="1" si="1342"/>
        <v>0</v>
      </c>
      <c r="AJ165" s="110"/>
      <c r="AK165" s="74" t="s">
        <v>2135</v>
      </c>
      <c r="AL165" s="77">
        <f t="shared" ca="1" si="1342"/>
        <v>0</v>
      </c>
      <c r="AM165" s="110"/>
      <c r="AN165" s="74" t="s">
        <v>2189</v>
      </c>
      <c r="AO165" s="77">
        <f t="shared" ca="1" si="1342"/>
        <v>0</v>
      </c>
      <c r="AP165" s="110"/>
      <c r="AQ165" s="74" t="s">
        <v>2071</v>
      </c>
      <c r="AR165" s="77">
        <f t="shared" ca="1" si="1342"/>
        <v>10</v>
      </c>
      <c r="AS165" s="110"/>
      <c r="AT165" s="74" t="s">
        <v>2039</v>
      </c>
      <c r="AU165" s="77">
        <f t="shared" ca="1" si="1342"/>
        <v>10</v>
      </c>
      <c r="AV165" s="110"/>
      <c r="AW165" s="74" t="s">
        <v>2280</v>
      </c>
      <c r="AX165" s="77">
        <f t="shared" ca="1" si="1342"/>
        <v>0</v>
      </c>
      <c r="AY165" s="110"/>
      <c r="AZ165" s="74" t="s">
        <v>2307</v>
      </c>
      <c r="BA165" s="77">
        <f t="shared" ca="1" si="1342"/>
        <v>10</v>
      </c>
      <c r="BB165" s="110"/>
      <c r="BC165" s="74" t="s">
        <v>2323</v>
      </c>
      <c r="BD165" s="77">
        <f t="shared" ca="1" si="1342"/>
        <v>0</v>
      </c>
      <c r="BE165" s="110"/>
      <c r="BF165" s="74" t="s">
        <v>2002</v>
      </c>
      <c r="BG165" s="77">
        <f t="shared" ca="1" si="1342"/>
        <v>0</v>
      </c>
      <c r="BH165" s="110"/>
      <c r="BI165" s="74" t="s">
        <v>2371</v>
      </c>
      <c r="BJ165" s="77">
        <f t="shared" ca="1" si="1342"/>
        <v>12</v>
      </c>
      <c r="BK165" s="110"/>
      <c r="BL165" s="708" t="s">
        <v>2406</v>
      </c>
      <c r="BM165" s="77">
        <f t="shared" ca="1" si="1342"/>
        <v>0</v>
      </c>
      <c r="BN165" s="110"/>
      <c r="BO165" s="74" t="s">
        <v>2002</v>
      </c>
      <c r="BP165" s="77">
        <f t="shared" ca="1" si="1342"/>
        <v>0</v>
      </c>
      <c r="BQ165" s="110"/>
      <c r="BR165" s="74" t="s">
        <v>2444</v>
      </c>
      <c r="BS165" s="77">
        <f t="shared" ca="1" si="1342"/>
        <v>0</v>
      </c>
      <c r="BT165" s="110"/>
      <c r="BU165" s="74" t="s">
        <v>2406</v>
      </c>
      <c r="BV165" s="77">
        <f t="shared" ca="1" si="1342"/>
        <v>0</v>
      </c>
      <c r="BW165" s="110"/>
      <c r="BX165" s="74" t="s">
        <v>2135</v>
      </c>
      <c r="BY165" s="77">
        <f t="shared" ca="1" si="1342"/>
        <v>0</v>
      </c>
      <c r="BZ165" s="110"/>
      <c r="CA165" s="74" t="s">
        <v>2307</v>
      </c>
      <c r="CB165" s="77">
        <f t="shared" ca="1" si="1342"/>
        <v>10</v>
      </c>
      <c r="CC165" s="110"/>
      <c r="CD165" s="74" t="s">
        <v>2444</v>
      </c>
      <c r="CE165" s="77">
        <f t="shared" ca="1" si="1342"/>
        <v>0</v>
      </c>
      <c r="CF165" s="110"/>
      <c r="CG165" s="74" t="s">
        <v>2533</v>
      </c>
      <c r="CH165" s="77">
        <f t="shared" ca="1" si="1342"/>
        <v>20</v>
      </c>
      <c r="CI165" s="110"/>
      <c r="CJ165" s="74" t="s">
        <v>2549</v>
      </c>
      <c r="CK165" s="77">
        <f t="shared" ca="1" si="1364"/>
        <v>12</v>
      </c>
      <c r="CL165" s="110"/>
      <c r="CM165" s="74" t="s">
        <v>2573</v>
      </c>
      <c r="CN165" s="77">
        <f t="shared" ca="1" si="1364"/>
        <v>0</v>
      </c>
      <c r="CO165" s="110"/>
      <c r="CP165" s="74" t="s">
        <v>2549</v>
      </c>
      <c r="CQ165" s="77">
        <f t="shared" ca="1" si="1364"/>
        <v>12</v>
      </c>
      <c r="CR165" s="110"/>
      <c r="CS165" s="74" t="s">
        <v>2444</v>
      </c>
      <c r="CT165" s="77">
        <f t="shared" ca="1" si="1364"/>
        <v>0</v>
      </c>
      <c r="CU165" s="110"/>
      <c r="CV165" s="74" t="s">
        <v>2071</v>
      </c>
      <c r="CW165" s="77">
        <f t="shared" ca="1" si="1364"/>
        <v>10</v>
      </c>
      <c r="CX165" s="110"/>
      <c r="CY165" s="74" t="s">
        <v>2661</v>
      </c>
      <c r="CZ165" s="77">
        <f t="shared" ca="1" si="1364"/>
        <v>0</v>
      </c>
      <c r="DA165" s="110"/>
      <c r="DB165" s="74" t="s">
        <v>2039</v>
      </c>
      <c r="DC165" s="77">
        <f t="shared" ca="1" si="1364"/>
        <v>10</v>
      </c>
      <c r="DD165" s="110"/>
      <c r="DE165" s="74" t="s">
        <v>2039</v>
      </c>
      <c r="DF165" s="77">
        <f t="shared" ca="1" si="1364"/>
        <v>10</v>
      </c>
      <c r="DG165" s="110"/>
      <c r="DH165" s="74" t="s">
        <v>2723</v>
      </c>
      <c r="DI165" s="77">
        <f t="shared" ca="1" si="1364"/>
        <v>0</v>
      </c>
      <c r="DJ165" s="110"/>
      <c r="DK165" s="74" t="s">
        <v>2135</v>
      </c>
      <c r="DL165" s="77">
        <f t="shared" ca="1" si="1364"/>
        <v>0</v>
      </c>
      <c r="DM165" s="110"/>
      <c r="DN165" s="74" t="s">
        <v>2307</v>
      </c>
      <c r="DO165" s="77">
        <f t="shared" ca="1" si="1364"/>
        <v>10</v>
      </c>
      <c r="DP165" s="110"/>
      <c r="DQ165" s="74" t="s">
        <v>2778</v>
      </c>
      <c r="DR165" s="77">
        <f t="shared" ca="1" si="1364"/>
        <v>0</v>
      </c>
      <c r="DS165" s="110"/>
      <c r="DT165" s="74" t="s">
        <v>2533</v>
      </c>
      <c r="DU165" s="77">
        <f t="shared" ca="1" si="1364"/>
        <v>20</v>
      </c>
      <c r="DV165" s="110"/>
      <c r="DW165" s="74" t="s">
        <v>2803</v>
      </c>
      <c r="DX165" s="77">
        <f t="shared" ca="1" si="1364"/>
        <v>0</v>
      </c>
      <c r="DY165" s="110"/>
      <c r="DZ165" s="74" t="s">
        <v>2406</v>
      </c>
      <c r="EA165" s="77">
        <f t="shared" ca="1" si="1364"/>
        <v>0</v>
      </c>
      <c r="EB165" s="110"/>
      <c r="EC165" s="74" t="s">
        <v>2533</v>
      </c>
      <c r="ED165" s="77">
        <f t="shared" ca="1" si="1364"/>
        <v>20</v>
      </c>
      <c r="EE165" s="110"/>
      <c r="EF165" s="74" t="s">
        <v>2829</v>
      </c>
      <c r="EG165" s="77">
        <f t="shared" ca="1" si="1364"/>
        <v>10</v>
      </c>
      <c r="EH165" s="110"/>
      <c r="EI165" s="74" t="s">
        <v>2533</v>
      </c>
      <c r="EJ165" s="77">
        <f t="shared" ca="1" si="1364"/>
        <v>20</v>
      </c>
      <c r="EK165" s="110"/>
      <c r="EL165" s="74" t="s">
        <v>2071</v>
      </c>
      <c r="EM165" s="77">
        <f t="shared" ca="1" si="1364"/>
        <v>10</v>
      </c>
      <c r="EN165" s="110"/>
      <c r="EO165" s="74" t="s">
        <v>2873</v>
      </c>
      <c r="EP165" s="77">
        <f t="shared" ca="1" si="1364"/>
        <v>10</v>
      </c>
      <c r="EQ165" s="110"/>
      <c r="ER165" s="74" t="s">
        <v>2071</v>
      </c>
      <c r="ES165" s="77">
        <f t="shared" ca="1" si="1364"/>
        <v>10</v>
      </c>
      <c r="ET165" s="110"/>
      <c r="EU165" s="74" t="s">
        <v>2898</v>
      </c>
      <c r="EV165" s="77">
        <f t="shared" ca="1" si="1364"/>
        <v>0</v>
      </c>
      <c r="EW165" s="110"/>
      <c r="EX165" s="74" t="s">
        <v>2307</v>
      </c>
      <c r="EY165" s="77">
        <f t="shared" ca="1" si="1386"/>
        <v>10</v>
      </c>
      <c r="EZ165" s="110"/>
      <c r="FA165" s="74" t="s">
        <v>2406</v>
      </c>
      <c r="FB165" s="77">
        <f t="shared" ca="1" si="1386"/>
        <v>0</v>
      </c>
      <c r="FC165" s="110"/>
      <c r="FD165" s="74" t="s">
        <v>2002</v>
      </c>
      <c r="FE165" s="77">
        <f t="shared" ca="1" si="1386"/>
        <v>0</v>
      </c>
      <c r="FF165" s="110"/>
      <c r="FG165" s="74" t="s">
        <v>2307</v>
      </c>
      <c r="FH165" s="77">
        <f t="shared" ca="1" si="1386"/>
        <v>10</v>
      </c>
      <c r="FI165" s="110"/>
      <c r="FJ165" s="74" t="s">
        <v>2533</v>
      </c>
      <c r="FK165" s="77">
        <f t="shared" ca="1" si="1386"/>
        <v>20</v>
      </c>
      <c r="FL165" s="110"/>
      <c r="FM165" s="74" t="s">
        <v>2071</v>
      </c>
      <c r="FN165" s="77">
        <f t="shared" ca="1" si="1386"/>
        <v>10</v>
      </c>
      <c r="FO165" s="110"/>
      <c r="FP165" s="74" t="s">
        <v>2406</v>
      </c>
      <c r="FQ165" s="77">
        <f t="shared" ca="1" si="1386"/>
        <v>0</v>
      </c>
      <c r="FR165" s="110"/>
      <c r="FS165" s="74" t="s">
        <v>2406</v>
      </c>
      <c r="FT165" s="77">
        <f t="shared" ca="1" si="1386"/>
        <v>0</v>
      </c>
      <c r="FU165" s="110"/>
      <c r="FV165" s="74" t="s">
        <v>2071</v>
      </c>
      <c r="FW165" s="77">
        <f t="shared" ca="1" si="1386"/>
        <v>10</v>
      </c>
      <c r="FX165" s="110"/>
      <c r="FY165" s="74" t="s">
        <v>2406</v>
      </c>
      <c r="FZ165" s="77">
        <f t="shared" ca="1" si="1386"/>
        <v>0</v>
      </c>
      <c r="GA165" s="110"/>
      <c r="GB165" s="74" t="s">
        <v>2307</v>
      </c>
      <c r="GC165" s="77">
        <f t="shared" ca="1" si="1386"/>
        <v>10</v>
      </c>
      <c r="GD165" s="110"/>
      <c r="GE165" s="74" t="s">
        <v>2307</v>
      </c>
      <c r="GF165" s="77">
        <f t="shared" ca="1" si="1386"/>
        <v>10</v>
      </c>
      <c r="GG165" s="110"/>
      <c r="GH165" s="74" t="s">
        <v>2135</v>
      </c>
      <c r="GI165" s="77">
        <f t="shared" ca="1" si="1386"/>
        <v>0</v>
      </c>
      <c r="GJ165" s="110"/>
      <c r="GK165" s="74" t="s">
        <v>2135</v>
      </c>
      <c r="GL165" s="77">
        <f t="shared" ca="1" si="1386"/>
        <v>0</v>
      </c>
      <c r="GM165" s="110"/>
      <c r="GN165" s="74"/>
      <c r="GO165" s="77">
        <f t="shared" ca="1" si="1386"/>
        <v>0</v>
      </c>
      <c r="GP165" s="110"/>
      <c r="GQ165" s="74"/>
      <c r="GR165" s="77">
        <f t="shared" ca="1" si="1386"/>
        <v>0</v>
      </c>
      <c r="GS165" s="110"/>
      <c r="GT165" s="74"/>
      <c r="GU165" s="77">
        <f t="shared" ca="1" si="1386"/>
        <v>0</v>
      </c>
      <c r="GV165" s="110"/>
      <c r="GW165" s="74"/>
      <c r="GX165" s="77">
        <f t="shared" ca="1" si="1386"/>
        <v>0</v>
      </c>
      <c r="GY165" s="110"/>
      <c r="GZ165" s="74"/>
      <c r="HA165" s="77">
        <f t="shared" ca="1" si="1386"/>
        <v>0</v>
      </c>
      <c r="HB165" s="110"/>
      <c r="HC165" s="74"/>
      <c r="HD165" s="77">
        <f t="shared" ca="1" si="1386"/>
        <v>0</v>
      </c>
      <c r="HE165" s="110"/>
      <c r="HF165" s="74"/>
      <c r="HG165" s="77">
        <f t="shared" ca="1" si="1386"/>
        <v>0</v>
      </c>
      <c r="HH165" s="110"/>
      <c r="HI165" s="74"/>
      <c r="HJ165" s="77">
        <f t="shared" ca="1" si="1386"/>
        <v>0</v>
      </c>
      <c r="HK165" s="110"/>
      <c r="HL165" s="74"/>
      <c r="HM165" s="77">
        <f t="shared" ca="1" si="1408"/>
        <v>0</v>
      </c>
      <c r="HN165" s="110"/>
      <c r="HO165" s="74"/>
      <c r="HP165" s="77">
        <f t="shared" ca="1" si="1408"/>
        <v>0</v>
      </c>
      <c r="HQ165" s="110"/>
      <c r="HR165" s="74"/>
      <c r="HS165" s="77">
        <f t="shared" ca="1" si="1408"/>
        <v>0</v>
      </c>
      <c r="HT165" s="110"/>
      <c r="HU165" s="74"/>
      <c r="HV165" s="77">
        <f t="shared" ca="1" si="1408"/>
        <v>0</v>
      </c>
      <c r="HW165" s="110"/>
      <c r="HX165" s="74"/>
      <c r="HY165" s="77">
        <f t="shared" ca="1" si="1408"/>
        <v>0</v>
      </c>
      <c r="HZ165" s="110"/>
      <c r="IA165" s="74"/>
      <c r="IB165" s="77">
        <f t="shared" ca="1" si="1408"/>
        <v>0</v>
      </c>
      <c r="IC165" s="110"/>
      <c r="ID165" s="74"/>
      <c r="IE165" s="77">
        <f t="shared" ca="1" si="1408"/>
        <v>0</v>
      </c>
      <c r="IF165" s="110"/>
      <c r="IG165" s="74"/>
      <c r="IH165" s="77">
        <f t="shared" ca="1" si="1408"/>
        <v>0</v>
      </c>
      <c r="II165" s="110"/>
      <c r="IJ165" s="74"/>
      <c r="IK165" s="77">
        <f t="shared" ca="1" si="1408"/>
        <v>0</v>
      </c>
      <c r="IL165" s="110"/>
      <c r="IM165" s="74"/>
      <c r="IN165" s="77">
        <f t="shared" ca="1" si="1408"/>
        <v>0</v>
      </c>
      <c r="IO165" s="110"/>
      <c r="IP165" s="74"/>
      <c r="IQ165" s="77">
        <f t="shared" ca="1" si="1408"/>
        <v>0</v>
      </c>
      <c r="IR165" s="110"/>
      <c r="IS165" s="74"/>
      <c r="IT165" s="77">
        <f t="shared" ca="1" si="1408"/>
        <v>0</v>
      </c>
      <c r="IU165" s="110"/>
      <c r="IV165" s="74"/>
      <c r="IW165" s="77">
        <f t="shared" ca="1" si="1408"/>
        <v>0</v>
      </c>
      <c r="IX165" s="110"/>
      <c r="IY165" s="74"/>
      <c r="IZ165" s="77">
        <f t="shared" ca="1" si="1408"/>
        <v>0</v>
      </c>
      <c r="JA165" s="110"/>
      <c r="JB165" s="74"/>
      <c r="JC165" s="77">
        <f t="shared" ca="1" si="1408"/>
        <v>0</v>
      </c>
      <c r="JD165" s="110"/>
      <c r="JE165" s="74"/>
      <c r="JF165" s="77">
        <f t="shared" ca="1" si="1408"/>
        <v>0</v>
      </c>
      <c r="JG165" s="110"/>
      <c r="JH165" s="74"/>
      <c r="JI165" s="77">
        <f t="shared" ca="1" si="1408"/>
        <v>0</v>
      </c>
      <c r="JJ165" s="110"/>
      <c r="JK165" s="74"/>
      <c r="JL165" s="77">
        <f t="shared" ca="1" si="1408"/>
        <v>0</v>
      </c>
      <c r="JM165" s="110"/>
      <c r="JN165" s="74"/>
      <c r="JO165" s="77">
        <f t="shared" ca="1" si="1408"/>
        <v>0</v>
      </c>
      <c r="JP165" s="110"/>
      <c r="JQ165" s="74"/>
      <c r="JR165" s="77">
        <f t="shared" ca="1" si="1408"/>
        <v>0</v>
      </c>
      <c r="JS165" s="110"/>
      <c r="JT165" s="74"/>
      <c r="JU165" s="77">
        <f t="shared" ca="1" si="1408"/>
        <v>0</v>
      </c>
      <c r="JV165" s="110"/>
      <c r="JW165" s="74"/>
      <c r="JX165" s="77">
        <f t="shared" ca="1" si="1408"/>
        <v>0</v>
      </c>
      <c r="JY165" s="110"/>
      <c r="JZ165" s="74"/>
      <c r="KA165" s="77">
        <f t="shared" ca="1" si="1430"/>
        <v>0</v>
      </c>
      <c r="KB165" s="110"/>
      <c r="KC165" s="74"/>
      <c r="KD165" s="77">
        <f t="shared" ca="1" si="1430"/>
        <v>0</v>
      </c>
      <c r="KE165" s="110"/>
      <c r="KF165" s="74"/>
      <c r="KG165" s="77">
        <f t="shared" ca="1" si="1430"/>
        <v>0</v>
      </c>
      <c r="KH165" s="110"/>
      <c r="KI165" s="74"/>
      <c r="KJ165" s="77">
        <f t="shared" ca="1" si="1430"/>
        <v>0</v>
      </c>
      <c r="KK165" s="110"/>
      <c r="KL165" s="74"/>
      <c r="KM165" s="77">
        <f t="shared" ca="1" si="1430"/>
        <v>0</v>
      </c>
      <c r="KN165" s="110"/>
      <c r="KO165" s="74"/>
      <c r="KP165" s="77">
        <f t="shared" ca="1" si="1430"/>
        <v>0</v>
      </c>
      <c r="KQ165" s="110"/>
      <c r="KR165" s="74"/>
      <c r="KS165" s="77">
        <f t="shared" ca="1" si="1430"/>
        <v>0</v>
      </c>
      <c r="KT165" s="110"/>
      <c r="KU165" s="74"/>
      <c r="KV165" s="77">
        <f t="shared" ca="1" si="1430"/>
        <v>0</v>
      </c>
      <c r="KW165" s="110"/>
      <c r="KX165" s="74"/>
      <c r="KY165" s="77">
        <f t="shared" ca="1" si="1430"/>
        <v>0</v>
      </c>
      <c r="KZ165" s="110"/>
      <c r="LA165" s="74"/>
      <c r="LB165" s="77">
        <f t="shared" ca="1" si="1430"/>
        <v>0</v>
      </c>
      <c r="LC165" s="110"/>
      <c r="LD165" s="74"/>
      <c r="LE165" s="77">
        <f t="shared" ca="1" si="1430"/>
        <v>0</v>
      </c>
      <c r="LF165" s="110"/>
      <c r="LG165" s="110"/>
    </row>
    <row r="166" spans="1:319">
      <c r="A166" s="25">
        <f>WORLDCUP!AD103</f>
        <v>1</v>
      </c>
      <c r="B166" s="25">
        <f>WORLDCUP!AC103</f>
        <v>1</v>
      </c>
      <c r="C166" s="25" t="str">
        <f ca="1">CONCATENATE(WORLDCUP!AF103,"-",WORLDCUP!AA103)</f>
        <v>Paraguay-Germany</v>
      </c>
      <c r="D166" s="25">
        <f>IF(WORLDCUP!AC103&gt;WORLDCUP!AD103,2,IF(WORLDCUP!AC103&lt;WORLDCUP!AD103,1,IF(AND(WORLDCUP!AC103=WORLDCUP!AD103,WORLDCUP!AC103&lt;&gt;"",WORLDCUP!AD103&lt;&gt;""),0,"PD")))</f>
        <v>0</v>
      </c>
      <c r="E166" s="25" t="str">
        <f>IF(OR(WORLDCUP!AC103="",WORLDCUP!AD103=""),"-",A166&amp;"-"&amp;B166)</f>
        <v>1-1</v>
      </c>
      <c r="F166" s="407">
        <f t="shared" si="1441"/>
        <v>20</v>
      </c>
      <c r="G166" s="407">
        <f ca="1">VLOOKUP(H166,Equipos!$Q$1:$R$25,2,0)</f>
        <v>20</v>
      </c>
      <c r="H166" s="446" t="str">
        <f>Idiomas!$D$260</f>
        <v>Round of 32</v>
      </c>
      <c r="I166" s="43">
        <v>1</v>
      </c>
      <c r="J166" s="845"/>
      <c r="K166" s="56" t="str">
        <f ca="1">CONCATENATE(WORLDCUP!AA103,"-",WORLDCUP!AF103)</f>
        <v>Germany-Paraguay</v>
      </c>
      <c r="L166" s="53">
        <f>IF(OR(WORLDCUP!AC103="",WORLDCUP!AD103=""),"PD",IF(WORLDCUP!AC103&gt;WORLDCUP!AD103,1,IF(WORLDCUP!AC103&lt;WORLDCUP!AD103,2,0)))</f>
        <v>0</v>
      </c>
      <c r="M166" s="55" t="str">
        <f t="shared" si="1442"/>
        <v>1-1</v>
      </c>
      <c r="N166" s="25">
        <f>WORLDCUP!AC103</f>
        <v>1</v>
      </c>
      <c r="O166" s="25">
        <f>WORLDCUP!AD103</f>
        <v>1</v>
      </c>
      <c r="P166" s="25">
        <f t="shared" si="1443"/>
        <v>0</v>
      </c>
      <c r="Q166" s="25">
        <f t="shared" si="1444"/>
        <v>0</v>
      </c>
      <c r="R166" s="110"/>
      <c r="S166" s="74" t="s">
        <v>1964</v>
      </c>
      <c r="T166" s="77">
        <f t="shared" ca="1" si="1445"/>
        <v>0</v>
      </c>
      <c r="U166" s="110"/>
      <c r="V166" s="74" t="s">
        <v>2003</v>
      </c>
      <c r="W166" s="77">
        <f t="shared" ca="1" si="1342"/>
        <v>0</v>
      </c>
      <c r="X166" s="110"/>
      <c r="Y166" s="74" t="s">
        <v>2040</v>
      </c>
      <c r="Z166" s="77">
        <f t="shared" ca="1" si="1342"/>
        <v>0</v>
      </c>
      <c r="AA166" s="110"/>
      <c r="AB166" s="80" t="s">
        <v>2072</v>
      </c>
      <c r="AC166" s="77">
        <f t="shared" ca="1" si="1342"/>
        <v>0</v>
      </c>
      <c r="AD166" s="110"/>
      <c r="AE166" s="74" t="s">
        <v>2003</v>
      </c>
      <c r="AF166" s="77">
        <f t="shared" ca="1" si="1342"/>
        <v>0</v>
      </c>
      <c r="AG166" s="110"/>
      <c r="AH166" s="74" t="s">
        <v>2136</v>
      </c>
      <c r="AI166" s="77">
        <f t="shared" ca="1" si="1342"/>
        <v>0</v>
      </c>
      <c r="AJ166" s="110"/>
      <c r="AK166" s="74" t="s">
        <v>2163</v>
      </c>
      <c r="AL166" s="77">
        <f t="shared" ca="1" si="1342"/>
        <v>0</v>
      </c>
      <c r="AM166" s="110"/>
      <c r="AN166" s="74" t="s">
        <v>2190</v>
      </c>
      <c r="AO166" s="77">
        <f t="shared" ca="1" si="1342"/>
        <v>0</v>
      </c>
      <c r="AP166" s="110"/>
      <c r="AQ166" s="74" t="s">
        <v>2226</v>
      </c>
      <c r="AR166" s="77">
        <f t="shared" ca="1" si="1342"/>
        <v>0</v>
      </c>
      <c r="AS166" s="110"/>
      <c r="AT166" s="74" t="s">
        <v>2253</v>
      </c>
      <c r="AU166" s="77">
        <f t="shared" ca="1" si="1342"/>
        <v>0</v>
      </c>
      <c r="AV166" s="110"/>
      <c r="AW166" s="74" t="s">
        <v>2281</v>
      </c>
      <c r="AX166" s="77">
        <f t="shared" ca="1" si="1342"/>
        <v>0</v>
      </c>
      <c r="AY166" s="110"/>
      <c r="AZ166" s="74" t="s">
        <v>2308</v>
      </c>
      <c r="BA166" s="77">
        <f t="shared" ca="1" si="1342"/>
        <v>0</v>
      </c>
      <c r="BB166" s="110"/>
      <c r="BC166" s="74" t="s">
        <v>2324</v>
      </c>
      <c r="BD166" s="77">
        <f t="shared" ca="1" si="1342"/>
        <v>0</v>
      </c>
      <c r="BE166" s="110"/>
      <c r="BF166" s="74" t="s">
        <v>2350</v>
      </c>
      <c r="BG166" s="77">
        <f t="shared" ca="1" si="1342"/>
        <v>0</v>
      </c>
      <c r="BH166" s="110"/>
      <c r="BI166" s="74" t="s">
        <v>2372</v>
      </c>
      <c r="BJ166" s="77">
        <f t="shared" ca="1" si="1342"/>
        <v>0</v>
      </c>
      <c r="BK166" s="110"/>
      <c r="BL166" s="74" t="s">
        <v>2372</v>
      </c>
      <c r="BM166" s="77">
        <f t="shared" ca="1" si="1342"/>
        <v>0</v>
      </c>
      <c r="BN166" s="110"/>
      <c r="BO166" s="74" t="s">
        <v>2421</v>
      </c>
      <c r="BP166" s="77">
        <f t="shared" ca="1" si="1342"/>
        <v>0</v>
      </c>
      <c r="BQ166" s="110"/>
      <c r="BR166" s="74" t="s">
        <v>2350</v>
      </c>
      <c r="BS166" s="77">
        <f t="shared" ca="1" si="1342"/>
        <v>0</v>
      </c>
      <c r="BT166" s="110"/>
      <c r="BU166" s="74" t="s">
        <v>2372</v>
      </c>
      <c r="BV166" s="77">
        <f t="shared" ca="1" si="1342"/>
        <v>0</v>
      </c>
      <c r="BW166" s="110"/>
      <c r="BX166" s="74" t="s">
        <v>2479</v>
      </c>
      <c r="BY166" s="77">
        <f t="shared" ca="1" si="1342"/>
        <v>0</v>
      </c>
      <c r="BZ166" s="110"/>
      <c r="CA166" s="74" t="s">
        <v>2493</v>
      </c>
      <c r="CB166" s="77">
        <f t="shared" ca="1" si="1342"/>
        <v>0</v>
      </c>
      <c r="CC166" s="110"/>
      <c r="CD166" s="74" t="s">
        <v>2512</v>
      </c>
      <c r="CE166" s="77">
        <f t="shared" ca="1" si="1342"/>
        <v>0</v>
      </c>
      <c r="CF166" s="110"/>
      <c r="CG166" s="74" t="s">
        <v>2226</v>
      </c>
      <c r="CH166" s="77">
        <f t="shared" ca="1" si="1342"/>
        <v>0</v>
      </c>
      <c r="CI166" s="110"/>
      <c r="CJ166" s="74" t="s">
        <v>2550</v>
      </c>
      <c r="CK166" s="77">
        <f t="shared" ca="1" si="1364"/>
        <v>0</v>
      </c>
      <c r="CL166" s="110"/>
      <c r="CM166" s="74" t="s">
        <v>2479</v>
      </c>
      <c r="CN166" s="77">
        <f t="shared" ca="1" si="1364"/>
        <v>0</v>
      </c>
      <c r="CO166" s="110"/>
      <c r="CP166" s="74" t="s">
        <v>2308</v>
      </c>
      <c r="CQ166" s="77">
        <f t="shared" ca="1" si="1364"/>
        <v>0</v>
      </c>
      <c r="CR166" s="110"/>
      <c r="CS166" s="74" t="s">
        <v>2612</v>
      </c>
      <c r="CT166" s="77">
        <f t="shared" ca="1" si="1364"/>
        <v>0</v>
      </c>
      <c r="CU166" s="110"/>
      <c r="CV166" s="74" t="s">
        <v>2636</v>
      </c>
      <c r="CW166" s="77">
        <f t="shared" ca="1" si="1364"/>
        <v>0</v>
      </c>
      <c r="CX166" s="110"/>
      <c r="CY166" s="74" t="s">
        <v>2662</v>
      </c>
      <c r="CZ166" s="77">
        <f t="shared" ca="1" si="1364"/>
        <v>0</v>
      </c>
      <c r="DA166" s="110"/>
      <c r="DB166" s="74" t="s">
        <v>2698</v>
      </c>
      <c r="DC166" s="77">
        <f t="shared" ca="1" si="1364"/>
        <v>0</v>
      </c>
      <c r="DD166" s="110"/>
      <c r="DE166" s="74" t="s">
        <v>2372</v>
      </c>
      <c r="DF166" s="77">
        <f t="shared" ca="1" si="1364"/>
        <v>0</v>
      </c>
      <c r="DG166" s="110"/>
      <c r="DH166" s="74" t="s">
        <v>2724</v>
      </c>
      <c r="DI166" s="77">
        <f t="shared" ca="1" si="1364"/>
        <v>0</v>
      </c>
      <c r="DJ166" s="110"/>
      <c r="DK166" s="74" t="s">
        <v>2747</v>
      </c>
      <c r="DL166" s="77">
        <f t="shared" ca="1" si="1364"/>
        <v>0</v>
      </c>
      <c r="DM166" s="110"/>
      <c r="DN166" s="74" t="s">
        <v>2761</v>
      </c>
      <c r="DO166" s="77">
        <f t="shared" ca="1" si="1364"/>
        <v>0</v>
      </c>
      <c r="DP166" s="110"/>
      <c r="DQ166" s="74" t="s">
        <v>2779</v>
      </c>
      <c r="DR166" s="77">
        <f t="shared" ca="1" si="1364"/>
        <v>0</v>
      </c>
      <c r="DS166" s="110"/>
      <c r="DT166" s="74" t="s">
        <v>2779</v>
      </c>
      <c r="DU166" s="77">
        <f t="shared" ca="1" si="1364"/>
        <v>0</v>
      </c>
      <c r="DV166" s="110"/>
      <c r="DW166" s="74" t="s">
        <v>2324</v>
      </c>
      <c r="DX166" s="77">
        <f t="shared" ca="1" si="1364"/>
        <v>0</v>
      </c>
      <c r="DY166" s="110"/>
      <c r="DZ166" s="74" t="s">
        <v>2072</v>
      </c>
      <c r="EA166" s="77">
        <f t="shared" ca="1" si="1364"/>
        <v>0</v>
      </c>
      <c r="EB166" s="110"/>
      <c r="EC166" s="74" t="s">
        <v>2821</v>
      </c>
      <c r="ED166" s="77">
        <f t="shared" ca="1" si="1364"/>
        <v>0</v>
      </c>
      <c r="EE166" s="110"/>
      <c r="EF166" s="74" t="s">
        <v>2324</v>
      </c>
      <c r="EG166" s="77">
        <f t="shared" ca="1" si="1364"/>
        <v>0</v>
      </c>
      <c r="EH166" s="110"/>
      <c r="EI166" s="74" t="s">
        <v>2372</v>
      </c>
      <c r="EJ166" s="77">
        <f t="shared" ca="1" si="1364"/>
        <v>0</v>
      </c>
      <c r="EK166" s="110"/>
      <c r="EL166" s="74" t="s">
        <v>2308</v>
      </c>
      <c r="EM166" s="77">
        <f t="shared" ca="1" si="1364"/>
        <v>0</v>
      </c>
      <c r="EN166" s="110"/>
      <c r="EO166" s="74" t="s">
        <v>2874</v>
      </c>
      <c r="EP166" s="77">
        <f t="shared" ca="1" si="1364"/>
        <v>0</v>
      </c>
      <c r="EQ166" s="110"/>
      <c r="ER166" s="74" t="s">
        <v>2512</v>
      </c>
      <c r="ES166" s="77">
        <f t="shared" ca="1" si="1364"/>
        <v>0</v>
      </c>
      <c r="ET166" s="110"/>
      <c r="EU166" s="74" t="s">
        <v>2003</v>
      </c>
      <c r="EV166" s="77">
        <f t="shared" ca="1" si="1364"/>
        <v>0</v>
      </c>
      <c r="EW166" s="110"/>
      <c r="EX166" s="74" t="s">
        <v>2372</v>
      </c>
      <c r="EY166" s="77">
        <f t="shared" ca="1" si="1386"/>
        <v>0</v>
      </c>
      <c r="EZ166" s="110"/>
      <c r="FA166" s="74" t="s">
        <v>2421</v>
      </c>
      <c r="FB166" s="77">
        <f t="shared" ca="1" si="1386"/>
        <v>0</v>
      </c>
      <c r="FC166" s="110"/>
      <c r="FD166" s="74" t="s">
        <v>2936</v>
      </c>
      <c r="FE166" s="77">
        <f t="shared" ca="1" si="1386"/>
        <v>0</v>
      </c>
      <c r="FF166" s="110"/>
      <c r="FG166" s="74" t="s">
        <v>2950</v>
      </c>
      <c r="FH166" s="77">
        <f t="shared" ca="1" si="1386"/>
        <v>0</v>
      </c>
      <c r="FI166" s="110"/>
      <c r="FJ166" s="74" t="s">
        <v>2372</v>
      </c>
      <c r="FK166" s="77">
        <f t="shared" ca="1" si="1386"/>
        <v>0</v>
      </c>
      <c r="FL166" s="110"/>
      <c r="FM166" s="74" t="s">
        <v>2226</v>
      </c>
      <c r="FN166" s="77">
        <f t="shared" ca="1" si="1386"/>
        <v>0</v>
      </c>
      <c r="FO166" s="110"/>
      <c r="FP166" s="74" t="s">
        <v>2372</v>
      </c>
      <c r="FQ166" s="77">
        <f t="shared" ca="1" si="1386"/>
        <v>0</v>
      </c>
      <c r="FR166" s="110"/>
      <c r="FS166" s="74" t="s">
        <v>2421</v>
      </c>
      <c r="FT166" s="77">
        <f t="shared" ca="1" si="1386"/>
        <v>0</v>
      </c>
      <c r="FU166" s="110"/>
      <c r="FV166" s="74" t="s">
        <v>2372</v>
      </c>
      <c r="FW166" s="77">
        <f t="shared" ca="1" si="1386"/>
        <v>0</v>
      </c>
      <c r="FX166" s="110"/>
      <c r="FY166" s="74" t="s">
        <v>2324</v>
      </c>
      <c r="FZ166" s="77">
        <f t="shared" ca="1" si="1386"/>
        <v>0</v>
      </c>
      <c r="GA166" s="110"/>
      <c r="GB166" s="74" t="s">
        <v>2493</v>
      </c>
      <c r="GC166" s="77">
        <f t="shared" ca="1" si="1386"/>
        <v>0</v>
      </c>
      <c r="GD166" s="110"/>
      <c r="GE166" s="74" t="s">
        <v>3032</v>
      </c>
      <c r="GF166" s="77">
        <f t="shared" ca="1" si="1386"/>
        <v>0</v>
      </c>
      <c r="GG166" s="110"/>
      <c r="GH166" s="74" t="s">
        <v>2072</v>
      </c>
      <c r="GI166" s="77">
        <f t="shared" ca="1" si="1386"/>
        <v>0</v>
      </c>
      <c r="GJ166" s="110"/>
      <c r="GK166" s="74" t="s">
        <v>2724</v>
      </c>
      <c r="GL166" s="77">
        <f t="shared" ca="1" si="1386"/>
        <v>0</v>
      </c>
      <c r="GM166" s="110"/>
      <c r="GN166" s="74"/>
      <c r="GO166" s="77">
        <f t="shared" ca="1" si="1386"/>
        <v>0</v>
      </c>
      <c r="GP166" s="110"/>
      <c r="GQ166" s="74"/>
      <c r="GR166" s="77">
        <f t="shared" ca="1" si="1386"/>
        <v>0</v>
      </c>
      <c r="GS166" s="110"/>
      <c r="GT166" s="74"/>
      <c r="GU166" s="77">
        <f t="shared" ca="1" si="1386"/>
        <v>0</v>
      </c>
      <c r="GV166" s="110"/>
      <c r="GW166" s="74"/>
      <c r="GX166" s="77">
        <f t="shared" ca="1" si="1386"/>
        <v>0</v>
      </c>
      <c r="GY166" s="110"/>
      <c r="GZ166" s="74"/>
      <c r="HA166" s="77">
        <f t="shared" ca="1" si="1386"/>
        <v>0</v>
      </c>
      <c r="HB166" s="110"/>
      <c r="HC166" s="74"/>
      <c r="HD166" s="77">
        <f t="shared" ca="1" si="1386"/>
        <v>0</v>
      </c>
      <c r="HE166" s="110"/>
      <c r="HF166" s="74"/>
      <c r="HG166" s="77">
        <f t="shared" ca="1" si="1386"/>
        <v>0</v>
      </c>
      <c r="HH166" s="110"/>
      <c r="HI166" s="74"/>
      <c r="HJ166" s="77">
        <f t="shared" ca="1" si="1386"/>
        <v>0</v>
      </c>
      <c r="HK166" s="110"/>
      <c r="HL166" s="74"/>
      <c r="HM166" s="77">
        <f t="shared" ca="1" si="1408"/>
        <v>0</v>
      </c>
      <c r="HN166" s="110"/>
      <c r="HO166" s="74"/>
      <c r="HP166" s="77">
        <f t="shared" ca="1" si="1408"/>
        <v>0</v>
      </c>
      <c r="HQ166" s="110"/>
      <c r="HR166" s="74"/>
      <c r="HS166" s="77">
        <f t="shared" ca="1" si="1408"/>
        <v>0</v>
      </c>
      <c r="HT166" s="110"/>
      <c r="HU166" s="74"/>
      <c r="HV166" s="77">
        <f t="shared" ca="1" si="1408"/>
        <v>0</v>
      </c>
      <c r="HW166" s="110"/>
      <c r="HX166" s="74"/>
      <c r="HY166" s="77">
        <f t="shared" ca="1" si="1408"/>
        <v>0</v>
      </c>
      <c r="HZ166" s="110"/>
      <c r="IA166" s="74"/>
      <c r="IB166" s="77">
        <f t="shared" ca="1" si="1408"/>
        <v>0</v>
      </c>
      <c r="IC166" s="110"/>
      <c r="ID166" s="74"/>
      <c r="IE166" s="77">
        <f t="shared" ca="1" si="1408"/>
        <v>0</v>
      </c>
      <c r="IF166" s="110"/>
      <c r="IG166" s="74"/>
      <c r="IH166" s="77">
        <f t="shared" ca="1" si="1408"/>
        <v>0</v>
      </c>
      <c r="II166" s="110"/>
      <c r="IJ166" s="74"/>
      <c r="IK166" s="77">
        <f t="shared" ca="1" si="1408"/>
        <v>0</v>
      </c>
      <c r="IL166" s="110"/>
      <c r="IM166" s="74"/>
      <c r="IN166" s="77">
        <f t="shared" ca="1" si="1408"/>
        <v>0</v>
      </c>
      <c r="IO166" s="110"/>
      <c r="IP166" s="74"/>
      <c r="IQ166" s="77">
        <f t="shared" ca="1" si="1408"/>
        <v>0</v>
      </c>
      <c r="IR166" s="110"/>
      <c r="IS166" s="74"/>
      <c r="IT166" s="77">
        <f t="shared" ca="1" si="1408"/>
        <v>0</v>
      </c>
      <c r="IU166" s="110"/>
      <c r="IV166" s="74"/>
      <c r="IW166" s="77">
        <f t="shared" ca="1" si="1408"/>
        <v>0</v>
      </c>
      <c r="IX166" s="110"/>
      <c r="IY166" s="74"/>
      <c r="IZ166" s="77">
        <f t="shared" ca="1" si="1408"/>
        <v>0</v>
      </c>
      <c r="JA166" s="110"/>
      <c r="JB166" s="74"/>
      <c r="JC166" s="77">
        <f t="shared" ca="1" si="1408"/>
        <v>0</v>
      </c>
      <c r="JD166" s="110"/>
      <c r="JE166" s="74"/>
      <c r="JF166" s="77">
        <f t="shared" ca="1" si="1408"/>
        <v>0</v>
      </c>
      <c r="JG166" s="110"/>
      <c r="JH166" s="74"/>
      <c r="JI166" s="77">
        <f t="shared" ca="1" si="1408"/>
        <v>0</v>
      </c>
      <c r="JJ166" s="110"/>
      <c r="JK166" s="74"/>
      <c r="JL166" s="77">
        <f t="shared" ca="1" si="1408"/>
        <v>0</v>
      </c>
      <c r="JM166" s="110"/>
      <c r="JN166" s="74"/>
      <c r="JO166" s="77">
        <f t="shared" ca="1" si="1408"/>
        <v>0</v>
      </c>
      <c r="JP166" s="110"/>
      <c r="JQ166" s="74"/>
      <c r="JR166" s="77">
        <f t="shared" ca="1" si="1408"/>
        <v>0</v>
      </c>
      <c r="JS166" s="110"/>
      <c r="JT166" s="74"/>
      <c r="JU166" s="77">
        <f t="shared" ca="1" si="1408"/>
        <v>0</v>
      </c>
      <c r="JV166" s="110"/>
      <c r="JW166" s="74"/>
      <c r="JX166" s="77">
        <f t="shared" ca="1" si="1408"/>
        <v>0</v>
      </c>
      <c r="JY166" s="110"/>
      <c r="JZ166" s="74"/>
      <c r="KA166" s="77">
        <f t="shared" ca="1" si="1430"/>
        <v>0</v>
      </c>
      <c r="KB166" s="110"/>
      <c r="KC166" s="74"/>
      <c r="KD166" s="77">
        <f t="shared" ca="1" si="1430"/>
        <v>0</v>
      </c>
      <c r="KE166" s="110"/>
      <c r="KF166" s="74"/>
      <c r="KG166" s="77">
        <f t="shared" ca="1" si="1430"/>
        <v>0</v>
      </c>
      <c r="KH166" s="110"/>
      <c r="KI166" s="74"/>
      <c r="KJ166" s="77">
        <f t="shared" ca="1" si="1430"/>
        <v>0</v>
      </c>
      <c r="KK166" s="110"/>
      <c r="KL166" s="74"/>
      <c r="KM166" s="77">
        <f t="shared" ca="1" si="1430"/>
        <v>0</v>
      </c>
      <c r="KN166" s="110"/>
      <c r="KO166" s="74"/>
      <c r="KP166" s="77">
        <f t="shared" ca="1" si="1430"/>
        <v>0</v>
      </c>
      <c r="KQ166" s="110"/>
      <c r="KR166" s="74"/>
      <c r="KS166" s="77">
        <f t="shared" ca="1" si="1430"/>
        <v>0</v>
      </c>
      <c r="KT166" s="110"/>
      <c r="KU166" s="74"/>
      <c r="KV166" s="77">
        <f t="shared" ca="1" si="1430"/>
        <v>0</v>
      </c>
      <c r="KW166" s="110"/>
      <c r="KX166" s="74"/>
      <c r="KY166" s="77">
        <f t="shared" ca="1" si="1430"/>
        <v>0</v>
      </c>
      <c r="KZ166" s="110"/>
      <c r="LA166" s="74"/>
      <c r="LB166" s="77">
        <f t="shared" ca="1" si="1430"/>
        <v>0</v>
      </c>
      <c r="LC166" s="110"/>
      <c r="LD166" s="74"/>
      <c r="LE166" s="77">
        <f t="shared" ca="1" si="1430"/>
        <v>0</v>
      </c>
      <c r="LF166" s="110"/>
      <c r="LG166" s="110"/>
    </row>
    <row r="167" spans="1:319">
      <c r="A167" s="25">
        <f>WORLDCUP!AD104</f>
        <v>1</v>
      </c>
      <c r="B167" s="25">
        <f>WORLDCUP!AC104</f>
        <v>1</v>
      </c>
      <c r="C167" s="25" t="str">
        <f ca="1">CONCATENATE(WORLDCUP!AF104,"-",WORLDCUP!AA104)</f>
        <v>Morocco-Netherlands</v>
      </c>
      <c r="D167" s="25">
        <f>IF(WORLDCUP!AC104&gt;WORLDCUP!AD104,2,IF(WORLDCUP!AC104&lt;WORLDCUP!AD104,1,IF(AND(WORLDCUP!AC104=WORLDCUP!AD104,WORLDCUP!AC104&lt;&gt;"",WORLDCUP!AD104&lt;&gt;""),0,"PD")))</f>
        <v>0</v>
      </c>
      <c r="E167" s="25" t="str">
        <f>IF(OR(WORLDCUP!AC104="",WORLDCUP!AD104=""),"-",A167&amp;"-"&amp;B167)</f>
        <v>1-1</v>
      </c>
      <c r="F167" s="407">
        <f t="shared" si="1441"/>
        <v>20</v>
      </c>
      <c r="G167" s="407">
        <f ca="1">VLOOKUP(H167,Equipos!$Q$1:$R$25,2,0)</f>
        <v>20</v>
      </c>
      <c r="H167" s="446" t="str">
        <f>Idiomas!$D$260</f>
        <v>Round of 32</v>
      </c>
      <c r="I167" s="43">
        <v>1</v>
      </c>
      <c r="J167" s="845"/>
      <c r="K167" s="56" t="str">
        <f ca="1">CONCATENATE(WORLDCUP!AA104,"-",WORLDCUP!AF104)</f>
        <v>Netherlands-Morocco</v>
      </c>
      <c r="L167" s="53">
        <f>IF(OR(WORLDCUP!AC104="",WORLDCUP!AD104=""),"PD",IF(WORLDCUP!AC104&gt;WORLDCUP!AD104,1,IF(WORLDCUP!AC104&lt;WORLDCUP!AD104,2,0)))</f>
        <v>0</v>
      </c>
      <c r="M167" s="55" t="str">
        <f t="shared" si="1442"/>
        <v>1-1</v>
      </c>
      <c r="N167" s="25">
        <f>WORLDCUP!AC104</f>
        <v>1</v>
      </c>
      <c r="O167" s="25">
        <f>WORLDCUP!AD104</f>
        <v>1</v>
      </c>
      <c r="P167" s="25">
        <f t="shared" si="1443"/>
        <v>0</v>
      </c>
      <c r="Q167" s="25">
        <f t="shared" si="1444"/>
        <v>0</v>
      </c>
      <c r="R167" s="110"/>
      <c r="S167" s="74" t="s">
        <v>1965</v>
      </c>
      <c r="T167" s="77">
        <f t="shared" ca="1" si="1445"/>
        <v>0</v>
      </c>
      <c r="U167" s="110"/>
      <c r="V167" s="74" t="s">
        <v>2004</v>
      </c>
      <c r="W167" s="77">
        <f t="shared" ca="1" si="1342"/>
        <v>0</v>
      </c>
      <c r="X167" s="110"/>
      <c r="Y167" s="74" t="s">
        <v>2041</v>
      </c>
      <c r="Z167" s="77">
        <f t="shared" ca="1" si="1342"/>
        <v>0</v>
      </c>
      <c r="AA167" s="110"/>
      <c r="AB167" s="80" t="s">
        <v>2073</v>
      </c>
      <c r="AC167" s="77">
        <f t="shared" ca="1" si="1342"/>
        <v>0</v>
      </c>
      <c r="AD167" s="110"/>
      <c r="AE167" s="74" t="s">
        <v>2073</v>
      </c>
      <c r="AF167" s="77">
        <f t="shared" ca="1" si="1342"/>
        <v>0</v>
      </c>
      <c r="AG167" s="110"/>
      <c r="AH167" s="74" t="s">
        <v>2073</v>
      </c>
      <c r="AI167" s="77">
        <f t="shared" ca="1" si="1342"/>
        <v>0</v>
      </c>
      <c r="AJ167" s="110"/>
      <c r="AK167" s="74" t="s">
        <v>2073</v>
      </c>
      <c r="AL167" s="77">
        <f t="shared" ca="1" si="1342"/>
        <v>0</v>
      </c>
      <c r="AM167" s="110"/>
      <c r="AN167" s="74" t="s">
        <v>2191</v>
      </c>
      <c r="AO167" s="77">
        <f t="shared" ca="1" si="1342"/>
        <v>0</v>
      </c>
      <c r="AP167" s="110"/>
      <c r="AQ167" s="74" t="s">
        <v>2227</v>
      </c>
      <c r="AR167" s="77">
        <f t="shared" ca="1" si="1342"/>
        <v>0</v>
      </c>
      <c r="AS167" s="110"/>
      <c r="AT167" s="74" t="s">
        <v>2254</v>
      </c>
      <c r="AU167" s="77">
        <f t="shared" ca="1" si="1342"/>
        <v>0</v>
      </c>
      <c r="AV167" s="110"/>
      <c r="AW167" s="74" t="s">
        <v>2282</v>
      </c>
      <c r="AX167" s="77">
        <f t="shared" ca="1" si="1342"/>
        <v>0</v>
      </c>
      <c r="AY167" s="110"/>
      <c r="AZ167" s="74" t="s">
        <v>2041</v>
      </c>
      <c r="BA167" s="77">
        <f t="shared" ca="1" si="1342"/>
        <v>0</v>
      </c>
      <c r="BB167" s="110"/>
      <c r="BC167" s="74" t="s">
        <v>2325</v>
      </c>
      <c r="BD167" s="77">
        <f t="shared" ca="1" si="1342"/>
        <v>0</v>
      </c>
      <c r="BE167" s="110"/>
      <c r="BF167" s="74" t="s">
        <v>2254</v>
      </c>
      <c r="BG167" s="77">
        <f t="shared" ca="1" si="1342"/>
        <v>0</v>
      </c>
      <c r="BH167" s="110"/>
      <c r="BI167" s="74" t="s">
        <v>2373</v>
      </c>
      <c r="BJ167" s="77">
        <f t="shared" ca="1" si="1342"/>
        <v>0</v>
      </c>
      <c r="BK167" s="110"/>
      <c r="BL167" s="74" t="s">
        <v>2073</v>
      </c>
      <c r="BM167" s="77">
        <f t="shared" ca="1" si="1342"/>
        <v>0</v>
      </c>
      <c r="BN167" s="110"/>
      <c r="BO167" s="74" t="s">
        <v>2041</v>
      </c>
      <c r="BP167" s="77">
        <f t="shared" ca="1" si="1342"/>
        <v>0</v>
      </c>
      <c r="BQ167" s="110"/>
      <c r="BR167" s="74" t="s">
        <v>2445</v>
      </c>
      <c r="BS167" s="77">
        <f t="shared" ca="1" si="1342"/>
        <v>0</v>
      </c>
      <c r="BT167" s="110"/>
      <c r="BU167" s="74" t="s">
        <v>2073</v>
      </c>
      <c r="BV167" s="77">
        <f t="shared" ca="1" si="1342"/>
        <v>0</v>
      </c>
      <c r="BW167" s="110"/>
      <c r="BX167" s="74" t="s">
        <v>2073</v>
      </c>
      <c r="BY167" s="77">
        <f t="shared" ca="1" si="1342"/>
        <v>0</v>
      </c>
      <c r="BZ167" s="110"/>
      <c r="CA167" s="74" t="s">
        <v>2494</v>
      </c>
      <c r="CB167" s="77">
        <f t="shared" ca="1" si="1342"/>
        <v>0</v>
      </c>
      <c r="CC167" s="110"/>
      <c r="CD167" s="74" t="s">
        <v>2073</v>
      </c>
      <c r="CE167" s="77">
        <f t="shared" ca="1" si="1342"/>
        <v>0</v>
      </c>
      <c r="CF167" s="110"/>
      <c r="CG167" s="74" t="s">
        <v>2073</v>
      </c>
      <c r="CH167" s="77">
        <f t="shared" ca="1" si="1342"/>
        <v>0</v>
      </c>
      <c r="CI167" s="110"/>
      <c r="CJ167" s="74" t="s">
        <v>2227</v>
      </c>
      <c r="CK167" s="77">
        <f t="shared" ca="1" si="1364"/>
        <v>0</v>
      </c>
      <c r="CL167" s="110"/>
      <c r="CM167" s="74" t="s">
        <v>2574</v>
      </c>
      <c r="CN167" s="77">
        <f t="shared" ca="1" si="1364"/>
        <v>20</v>
      </c>
      <c r="CO167" s="110"/>
      <c r="CP167" s="74" t="s">
        <v>2073</v>
      </c>
      <c r="CQ167" s="77">
        <f t="shared" ca="1" si="1364"/>
        <v>0</v>
      </c>
      <c r="CR167" s="110"/>
      <c r="CS167" s="74" t="s">
        <v>2191</v>
      </c>
      <c r="CT167" s="77">
        <f t="shared" ca="1" si="1364"/>
        <v>0</v>
      </c>
      <c r="CU167" s="110"/>
      <c r="CV167" s="74" t="s">
        <v>2637</v>
      </c>
      <c r="CW167" s="77">
        <f t="shared" ca="1" si="1364"/>
        <v>0</v>
      </c>
      <c r="CX167" s="110"/>
      <c r="CY167" s="74" t="s">
        <v>2663</v>
      </c>
      <c r="CZ167" s="77">
        <f t="shared" ca="1" si="1364"/>
        <v>0</v>
      </c>
      <c r="DA167" s="110"/>
      <c r="DB167" s="74" t="s">
        <v>2699</v>
      </c>
      <c r="DC167" s="77">
        <f t="shared" ca="1" si="1364"/>
        <v>0</v>
      </c>
      <c r="DD167" s="110"/>
      <c r="DE167" s="74" t="s">
        <v>2073</v>
      </c>
      <c r="DF167" s="77">
        <f t="shared" ca="1" si="1364"/>
        <v>0</v>
      </c>
      <c r="DG167" s="110"/>
      <c r="DH167" s="74" t="s">
        <v>2725</v>
      </c>
      <c r="DI167" s="77">
        <f t="shared" ca="1" si="1364"/>
        <v>0</v>
      </c>
      <c r="DJ167" s="110"/>
      <c r="DK167" s="74" t="s">
        <v>2748</v>
      </c>
      <c r="DL167" s="77">
        <f t="shared" ca="1" si="1364"/>
        <v>0</v>
      </c>
      <c r="DM167" s="110"/>
      <c r="DN167" s="74" t="s">
        <v>2041</v>
      </c>
      <c r="DO167" s="77">
        <f t="shared" ca="1" si="1364"/>
        <v>0</v>
      </c>
      <c r="DP167" s="110"/>
      <c r="DQ167" s="74" t="s">
        <v>2663</v>
      </c>
      <c r="DR167" s="77">
        <f t="shared" ca="1" si="1364"/>
        <v>0</v>
      </c>
      <c r="DS167" s="110"/>
      <c r="DT167" s="74" t="s">
        <v>2073</v>
      </c>
      <c r="DU167" s="77">
        <f t="shared" ca="1" si="1364"/>
        <v>0</v>
      </c>
      <c r="DV167" s="110"/>
      <c r="DW167" s="74" t="s">
        <v>2804</v>
      </c>
      <c r="DX167" s="77">
        <f t="shared" ca="1" si="1364"/>
        <v>0</v>
      </c>
      <c r="DY167" s="110"/>
      <c r="DZ167" s="74" t="s">
        <v>2073</v>
      </c>
      <c r="EA167" s="77">
        <f t="shared" ca="1" si="1364"/>
        <v>0</v>
      </c>
      <c r="EB167" s="110"/>
      <c r="EC167" s="74" t="s">
        <v>2073</v>
      </c>
      <c r="ED167" s="77">
        <f t="shared" ca="1" si="1364"/>
        <v>0</v>
      </c>
      <c r="EE167" s="110"/>
      <c r="EF167" s="74" t="s">
        <v>2073</v>
      </c>
      <c r="EG167" s="77">
        <f t="shared" ca="1" si="1364"/>
        <v>0</v>
      </c>
      <c r="EH167" s="110"/>
      <c r="EI167" s="74" t="s">
        <v>2073</v>
      </c>
      <c r="EJ167" s="77">
        <f t="shared" ca="1" si="1364"/>
        <v>0</v>
      </c>
      <c r="EK167" s="110"/>
      <c r="EL167" s="74" t="s">
        <v>2574</v>
      </c>
      <c r="EM167" s="77">
        <f t="shared" ca="1" si="1364"/>
        <v>20</v>
      </c>
      <c r="EN167" s="110"/>
      <c r="EO167" s="74" t="s">
        <v>2227</v>
      </c>
      <c r="EP167" s="77">
        <f t="shared" ca="1" si="1364"/>
        <v>0</v>
      </c>
      <c r="EQ167" s="110"/>
      <c r="ER167" s="74" t="s">
        <v>2073</v>
      </c>
      <c r="ES167" s="77">
        <f t="shared" ca="1" si="1364"/>
        <v>0</v>
      </c>
      <c r="ET167" s="110"/>
      <c r="EU167" s="74" t="s">
        <v>2282</v>
      </c>
      <c r="EV167" s="77">
        <f t="shared" ca="1" si="1364"/>
        <v>0</v>
      </c>
      <c r="EW167" s="110"/>
      <c r="EX167" s="74" t="s">
        <v>2073</v>
      </c>
      <c r="EY167" s="77">
        <f t="shared" ca="1" si="1386"/>
        <v>0</v>
      </c>
      <c r="EZ167" s="110"/>
      <c r="FA167" s="74" t="s">
        <v>2373</v>
      </c>
      <c r="FB167" s="77">
        <f t="shared" ca="1" si="1386"/>
        <v>0</v>
      </c>
      <c r="FC167" s="110"/>
      <c r="FD167" s="74" t="s">
        <v>2254</v>
      </c>
      <c r="FE167" s="77">
        <f t="shared" ca="1" si="1386"/>
        <v>0</v>
      </c>
      <c r="FF167" s="110"/>
      <c r="FG167" s="74" t="s">
        <v>2073</v>
      </c>
      <c r="FH167" s="77">
        <f t="shared" ca="1" si="1386"/>
        <v>0</v>
      </c>
      <c r="FI167" s="110"/>
      <c r="FJ167" s="74" t="s">
        <v>2073</v>
      </c>
      <c r="FK167" s="77">
        <f t="shared" ca="1" si="1386"/>
        <v>0</v>
      </c>
      <c r="FL167" s="110"/>
      <c r="FM167" s="74" t="s">
        <v>2004</v>
      </c>
      <c r="FN167" s="77">
        <f t="shared" ca="1" si="1386"/>
        <v>0</v>
      </c>
      <c r="FO167" s="110"/>
      <c r="FP167" s="74" t="s">
        <v>2073</v>
      </c>
      <c r="FQ167" s="77">
        <f t="shared" ca="1" si="1386"/>
        <v>0</v>
      </c>
      <c r="FR167" s="110"/>
      <c r="FS167" s="74" t="s">
        <v>2073</v>
      </c>
      <c r="FT167" s="77">
        <f t="shared" ca="1" si="1386"/>
        <v>0</v>
      </c>
      <c r="FU167" s="110"/>
      <c r="FV167" s="74" t="s">
        <v>2004</v>
      </c>
      <c r="FW167" s="77">
        <f t="shared" ca="1" si="1386"/>
        <v>0</v>
      </c>
      <c r="FX167" s="110"/>
      <c r="FY167" s="74" t="s">
        <v>2073</v>
      </c>
      <c r="FZ167" s="77">
        <f t="shared" ca="1" si="1386"/>
        <v>0</v>
      </c>
      <c r="GA167" s="110"/>
      <c r="GB167" s="74" t="s">
        <v>2073</v>
      </c>
      <c r="GC167" s="77">
        <f t="shared" ca="1" si="1386"/>
        <v>0</v>
      </c>
      <c r="GD167" s="110"/>
      <c r="GE167" s="74" t="s">
        <v>2004</v>
      </c>
      <c r="GF167" s="77">
        <f t="shared" ca="1" si="1386"/>
        <v>0</v>
      </c>
      <c r="GG167" s="110"/>
      <c r="GH167" s="74" t="s">
        <v>2574</v>
      </c>
      <c r="GI167" s="77">
        <f t="shared" ca="1" si="1386"/>
        <v>20</v>
      </c>
      <c r="GJ167" s="110"/>
      <c r="GK167" s="74" t="s">
        <v>2041</v>
      </c>
      <c r="GL167" s="77">
        <f t="shared" ca="1" si="1386"/>
        <v>0</v>
      </c>
      <c r="GM167" s="110"/>
      <c r="GN167" s="74"/>
      <c r="GO167" s="77">
        <f t="shared" ca="1" si="1386"/>
        <v>0</v>
      </c>
      <c r="GP167" s="110"/>
      <c r="GQ167" s="74"/>
      <c r="GR167" s="77">
        <f t="shared" ca="1" si="1386"/>
        <v>0</v>
      </c>
      <c r="GS167" s="110"/>
      <c r="GT167" s="74"/>
      <c r="GU167" s="77">
        <f t="shared" ca="1" si="1386"/>
        <v>0</v>
      </c>
      <c r="GV167" s="110"/>
      <c r="GW167" s="74"/>
      <c r="GX167" s="77">
        <f t="shared" ca="1" si="1386"/>
        <v>0</v>
      </c>
      <c r="GY167" s="110"/>
      <c r="GZ167" s="74"/>
      <c r="HA167" s="77">
        <f t="shared" ca="1" si="1386"/>
        <v>0</v>
      </c>
      <c r="HB167" s="110"/>
      <c r="HC167" s="74"/>
      <c r="HD167" s="77">
        <f t="shared" ca="1" si="1386"/>
        <v>0</v>
      </c>
      <c r="HE167" s="110"/>
      <c r="HF167" s="74"/>
      <c r="HG167" s="77">
        <f t="shared" ca="1" si="1386"/>
        <v>0</v>
      </c>
      <c r="HH167" s="110"/>
      <c r="HI167" s="74"/>
      <c r="HJ167" s="77">
        <f t="shared" ca="1" si="1386"/>
        <v>0</v>
      </c>
      <c r="HK167" s="110"/>
      <c r="HL167" s="74"/>
      <c r="HM167" s="77">
        <f t="shared" ca="1" si="1408"/>
        <v>0</v>
      </c>
      <c r="HN167" s="110"/>
      <c r="HO167" s="74"/>
      <c r="HP167" s="77">
        <f t="shared" ca="1" si="1408"/>
        <v>0</v>
      </c>
      <c r="HQ167" s="110"/>
      <c r="HR167" s="74"/>
      <c r="HS167" s="77">
        <f t="shared" ca="1" si="1408"/>
        <v>0</v>
      </c>
      <c r="HT167" s="110"/>
      <c r="HU167" s="74"/>
      <c r="HV167" s="77">
        <f t="shared" ca="1" si="1408"/>
        <v>0</v>
      </c>
      <c r="HW167" s="110"/>
      <c r="HX167" s="74"/>
      <c r="HY167" s="77">
        <f t="shared" ca="1" si="1408"/>
        <v>0</v>
      </c>
      <c r="HZ167" s="110"/>
      <c r="IA167" s="74"/>
      <c r="IB167" s="77">
        <f t="shared" ca="1" si="1408"/>
        <v>0</v>
      </c>
      <c r="IC167" s="110"/>
      <c r="ID167" s="74"/>
      <c r="IE167" s="77">
        <f t="shared" ca="1" si="1408"/>
        <v>0</v>
      </c>
      <c r="IF167" s="110"/>
      <c r="IG167" s="74"/>
      <c r="IH167" s="77">
        <f t="shared" ca="1" si="1408"/>
        <v>0</v>
      </c>
      <c r="II167" s="110"/>
      <c r="IJ167" s="74"/>
      <c r="IK167" s="77">
        <f t="shared" ca="1" si="1408"/>
        <v>0</v>
      </c>
      <c r="IL167" s="110"/>
      <c r="IM167" s="74"/>
      <c r="IN167" s="77">
        <f t="shared" ca="1" si="1408"/>
        <v>0</v>
      </c>
      <c r="IO167" s="110"/>
      <c r="IP167" s="74"/>
      <c r="IQ167" s="77">
        <f t="shared" ca="1" si="1408"/>
        <v>0</v>
      </c>
      <c r="IR167" s="110"/>
      <c r="IS167" s="74"/>
      <c r="IT167" s="77">
        <f t="shared" ca="1" si="1408"/>
        <v>0</v>
      </c>
      <c r="IU167" s="110"/>
      <c r="IV167" s="74"/>
      <c r="IW167" s="77">
        <f t="shared" ca="1" si="1408"/>
        <v>0</v>
      </c>
      <c r="IX167" s="110"/>
      <c r="IY167" s="74"/>
      <c r="IZ167" s="77">
        <f t="shared" ca="1" si="1408"/>
        <v>0</v>
      </c>
      <c r="JA167" s="110"/>
      <c r="JB167" s="74"/>
      <c r="JC167" s="77">
        <f t="shared" ca="1" si="1408"/>
        <v>0</v>
      </c>
      <c r="JD167" s="110"/>
      <c r="JE167" s="74"/>
      <c r="JF167" s="77">
        <f t="shared" ca="1" si="1408"/>
        <v>0</v>
      </c>
      <c r="JG167" s="110"/>
      <c r="JH167" s="74"/>
      <c r="JI167" s="77">
        <f t="shared" ca="1" si="1408"/>
        <v>0</v>
      </c>
      <c r="JJ167" s="110"/>
      <c r="JK167" s="74"/>
      <c r="JL167" s="77">
        <f t="shared" ca="1" si="1408"/>
        <v>0</v>
      </c>
      <c r="JM167" s="110"/>
      <c r="JN167" s="74"/>
      <c r="JO167" s="77">
        <f t="shared" ca="1" si="1408"/>
        <v>0</v>
      </c>
      <c r="JP167" s="110"/>
      <c r="JQ167" s="74"/>
      <c r="JR167" s="77">
        <f t="shared" ca="1" si="1408"/>
        <v>0</v>
      </c>
      <c r="JS167" s="110"/>
      <c r="JT167" s="74"/>
      <c r="JU167" s="77">
        <f t="shared" ca="1" si="1408"/>
        <v>0</v>
      </c>
      <c r="JV167" s="110"/>
      <c r="JW167" s="74"/>
      <c r="JX167" s="77">
        <f t="shared" ca="1" si="1408"/>
        <v>0</v>
      </c>
      <c r="JY167" s="110"/>
      <c r="JZ167" s="74"/>
      <c r="KA167" s="77">
        <f t="shared" ca="1" si="1430"/>
        <v>0</v>
      </c>
      <c r="KB167" s="110"/>
      <c r="KC167" s="74"/>
      <c r="KD167" s="77">
        <f t="shared" ca="1" si="1430"/>
        <v>0</v>
      </c>
      <c r="KE167" s="110"/>
      <c r="KF167" s="74"/>
      <c r="KG167" s="77">
        <f t="shared" ca="1" si="1430"/>
        <v>0</v>
      </c>
      <c r="KH167" s="110"/>
      <c r="KI167" s="74"/>
      <c r="KJ167" s="77">
        <f t="shared" ca="1" si="1430"/>
        <v>0</v>
      </c>
      <c r="KK167" s="110"/>
      <c r="KL167" s="74"/>
      <c r="KM167" s="77">
        <f t="shared" ca="1" si="1430"/>
        <v>0</v>
      </c>
      <c r="KN167" s="110"/>
      <c r="KO167" s="74"/>
      <c r="KP167" s="77">
        <f t="shared" ca="1" si="1430"/>
        <v>0</v>
      </c>
      <c r="KQ167" s="110"/>
      <c r="KR167" s="74"/>
      <c r="KS167" s="77">
        <f t="shared" ca="1" si="1430"/>
        <v>0</v>
      </c>
      <c r="KT167" s="110"/>
      <c r="KU167" s="74"/>
      <c r="KV167" s="77">
        <f t="shared" ca="1" si="1430"/>
        <v>0</v>
      </c>
      <c r="KW167" s="110"/>
      <c r="KX167" s="74"/>
      <c r="KY167" s="77">
        <f t="shared" ca="1" si="1430"/>
        <v>0</v>
      </c>
      <c r="KZ167" s="110"/>
      <c r="LA167" s="74"/>
      <c r="LB167" s="77">
        <f t="shared" ca="1" si="1430"/>
        <v>0</v>
      </c>
      <c r="LC167" s="110"/>
      <c r="LD167" s="74"/>
      <c r="LE167" s="77">
        <f t="shared" ca="1" si="1430"/>
        <v>0</v>
      </c>
      <c r="LF167" s="110"/>
      <c r="LG167" s="110"/>
    </row>
    <row r="168" spans="1:319">
      <c r="A168" s="25">
        <f>WORLDCUP!AD105</f>
        <v>2</v>
      </c>
      <c r="B168" s="25">
        <f>WORLDCUP!AC105</f>
        <v>1</v>
      </c>
      <c r="C168" s="25" t="str">
        <f ca="1">CONCATENATE(WORLDCUP!AF105,"-",WORLDCUP!AA105)</f>
        <v>Norway-Ivory Coast</v>
      </c>
      <c r="D168" s="25">
        <f>IF(WORLDCUP!AC105&gt;WORLDCUP!AD105,2,IF(WORLDCUP!AC105&lt;WORLDCUP!AD105,1,IF(AND(WORLDCUP!AC105=WORLDCUP!AD105,WORLDCUP!AC105&lt;&gt;"",WORLDCUP!AD105&lt;&gt;""),0,"PD")))</f>
        <v>1</v>
      </c>
      <c r="E168" s="25" t="str">
        <f>IF(OR(WORLDCUP!AC105="",WORLDCUP!AD105=""),"-",A168&amp;"-"&amp;B168)</f>
        <v>2-1</v>
      </c>
      <c r="F168" s="407">
        <f t="shared" si="1441"/>
        <v>20</v>
      </c>
      <c r="G168" s="407">
        <f ca="1">VLOOKUP(H168,Equipos!$Q$1:$R$25,2,0)</f>
        <v>20</v>
      </c>
      <c r="H168" s="446" t="str">
        <f>Idiomas!$D$260</f>
        <v>Round of 32</v>
      </c>
      <c r="I168" s="43">
        <v>1</v>
      </c>
      <c r="J168" s="845"/>
      <c r="K168" s="56" t="str">
        <f ca="1">CONCATENATE(WORLDCUP!AA105,"-",WORLDCUP!AF105)</f>
        <v>Ivory Coast-Norway</v>
      </c>
      <c r="L168" s="53">
        <f>IF(OR(WORLDCUP!AC105="",WORLDCUP!AD105=""),"PD",IF(WORLDCUP!AC105&gt;WORLDCUP!AD105,1,IF(WORLDCUP!AC105&lt;WORLDCUP!AD105,2,0)))</f>
        <v>2</v>
      </c>
      <c r="M168" s="55" t="str">
        <f t="shared" si="1442"/>
        <v>1-2</v>
      </c>
      <c r="N168" s="25">
        <f>WORLDCUP!AC105</f>
        <v>1</v>
      </c>
      <c r="O168" s="25">
        <f>WORLDCUP!AD105</f>
        <v>2</v>
      </c>
      <c r="P168" s="25">
        <f t="shared" si="1443"/>
        <v>-1</v>
      </c>
      <c r="Q168" s="25">
        <f t="shared" si="1444"/>
        <v>1</v>
      </c>
      <c r="R168" s="110"/>
      <c r="S168" s="74" t="s">
        <v>1966</v>
      </c>
      <c r="T168" s="77">
        <f t="shared" ca="1" si="1445"/>
        <v>0</v>
      </c>
      <c r="U168" s="110"/>
      <c r="V168" s="74" t="s">
        <v>2005</v>
      </c>
      <c r="W168" s="77">
        <f t="shared" ca="1" si="1342"/>
        <v>0</v>
      </c>
      <c r="X168" s="110"/>
      <c r="Y168" s="74" t="s">
        <v>2042</v>
      </c>
      <c r="Z168" s="77">
        <f t="shared" ca="1" si="1342"/>
        <v>0</v>
      </c>
      <c r="AA168" s="110"/>
      <c r="AB168" s="80" t="s">
        <v>2005</v>
      </c>
      <c r="AC168" s="77">
        <f t="shared" ca="1" si="1342"/>
        <v>0</v>
      </c>
      <c r="AD168" s="110"/>
      <c r="AE168" s="74" t="s">
        <v>2108</v>
      </c>
      <c r="AF168" s="77">
        <f t="shared" ca="1" si="1342"/>
        <v>0</v>
      </c>
      <c r="AG168" s="110"/>
      <c r="AH168" s="74" t="s">
        <v>2137</v>
      </c>
      <c r="AI168" s="77">
        <f t="shared" ca="1" si="1342"/>
        <v>0</v>
      </c>
      <c r="AJ168" s="110"/>
      <c r="AK168" s="74" t="s">
        <v>2164</v>
      </c>
      <c r="AL168" s="77">
        <f t="shared" ca="1" si="1342"/>
        <v>0</v>
      </c>
      <c r="AM168" s="110"/>
      <c r="AN168" s="74" t="s">
        <v>2192</v>
      </c>
      <c r="AO168" s="77">
        <f t="shared" ca="1" si="1342"/>
        <v>0</v>
      </c>
      <c r="AP168" s="110"/>
      <c r="AQ168" s="74" t="s">
        <v>2228</v>
      </c>
      <c r="AR168" s="77">
        <f t="shared" ca="1" si="1342"/>
        <v>0</v>
      </c>
      <c r="AS168" s="110"/>
      <c r="AT168" s="74" t="s">
        <v>2255</v>
      </c>
      <c r="AU168" s="77">
        <f t="shared" ca="1" si="1342"/>
        <v>0</v>
      </c>
      <c r="AV168" s="110"/>
      <c r="AW168" s="74" t="s">
        <v>2228</v>
      </c>
      <c r="AX168" s="77">
        <f t="shared" ca="1" si="1342"/>
        <v>0</v>
      </c>
      <c r="AY168" s="110"/>
      <c r="AZ168" s="74" t="s">
        <v>2255</v>
      </c>
      <c r="BA168" s="77">
        <f t="shared" ca="1" si="1342"/>
        <v>0</v>
      </c>
      <c r="BB168" s="110"/>
      <c r="BC168" s="74" t="s">
        <v>2326</v>
      </c>
      <c r="BD168" s="77">
        <f t="shared" ca="1" si="1342"/>
        <v>0</v>
      </c>
      <c r="BE168" s="110"/>
      <c r="BF168" s="74" t="s">
        <v>2108</v>
      </c>
      <c r="BG168" s="77">
        <f t="shared" ca="1" si="1342"/>
        <v>0</v>
      </c>
      <c r="BH168" s="110"/>
      <c r="BI168" s="74" t="s">
        <v>2374</v>
      </c>
      <c r="BJ168" s="77">
        <f t="shared" ca="1" si="1342"/>
        <v>0</v>
      </c>
      <c r="BK168" s="110"/>
      <c r="BL168" s="74" t="s">
        <v>2255</v>
      </c>
      <c r="BM168" s="77">
        <f t="shared" ca="1" si="1342"/>
        <v>0</v>
      </c>
      <c r="BN168" s="110"/>
      <c r="BO168" s="74" t="s">
        <v>2422</v>
      </c>
      <c r="BP168" s="77">
        <f t="shared" ca="1" si="1342"/>
        <v>0</v>
      </c>
      <c r="BQ168" s="110"/>
      <c r="BR168" s="74" t="s">
        <v>2446</v>
      </c>
      <c r="BS168" s="77">
        <f t="shared" ca="1" si="1342"/>
        <v>12</v>
      </c>
      <c r="BT168" s="110"/>
      <c r="BU168" s="74" t="s">
        <v>2108</v>
      </c>
      <c r="BV168" s="77">
        <f t="shared" ca="1" si="1342"/>
        <v>0</v>
      </c>
      <c r="BW168" s="110"/>
      <c r="BX168" s="74" t="s">
        <v>2480</v>
      </c>
      <c r="BY168" s="77">
        <f t="shared" ca="1" si="1342"/>
        <v>0</v>
      </c>
      <c r="BZ168" s="110"/>
      <c r="CA168" s="74" t="s">
        <v>2495</v>
      </c>
      <c r="CB168" s="77">
        <f t="shared" ca="1" si="1342"/>
        <v>0</v>
      </c>
      <c r="CC168" s="110"/>
      <c r="CD168" s="74" t="s">
        <v>2513</v>
      </c>
      <c r="CE168" s="77">
        <f t="shared" ca="1" si="1342"/>
        <v>0</v>
      </c>
      <c r="CF168" s="110"/>
      <c r="CG168" s="74" t="s">
        <v>2534</v>
      </c>
      <c r="CH168" s="77">
        <f t="shared" ca="1" si="1342"/>
        <v>20</v>
      </c>
      <c r="CI168" s="110"/>
      <c r="CJ168" s="74" t="s">
        <v>2551</v>
      </c>
      <c r="CK168" s="77">
        <f t="shared" ca="1" si="1364"/>
        <v>0</v>
      </c>
      <c r="CL168" s="110"/>
      <c r="CM168" s="74" t="s">
        <v>2575</v>
      </c>
      <c r="CN168" s="77">
        <f t="shared" ca="1" si="1364"/>
        <v>10</v>
      </c>
      <c r="CO168" s="110"/>
      <c r="CP168" s="74" t="s">
        <v>2534</v>
      </c>
      <c r="CQ168" s="77">
        <f t="shared" ca="1" si="1364"/>
        <v>20</v>
      </c>
      <c r="CR168" s="110"/>
      <c r="CS168" s="74" t="s">
        <v>2613</v>
      </c>
      <c r="CT168" s="77">
        <f t="shared" ca="1" si="1364"/>
        <v>0</v>
      </c>
      <c r="CU168" s="110"/>
      <c r="CV168" s="74" t="s">
        <v>2638</v>
      </c>
      <c r="CW168" s="77">
        <f t="shared" ca="1" si="1364"/>
        <v>0</v>
      </c>
      <c r="CX168" s="110"/>
      <c r="CY168" s="74" t="s">
        <v>2664</v>
      </c>
      <c r="CZ168" s="77">
        <f t="shared" ca="1" si="1364"/>
        <v>0</v>
      </c>
      <c r="DA168" s="110"/>
      <c r="DB168" s="74" t="s">
        <v>2700</v>
      </c>
      <c r="DC168" s="77">
        <f t="shared" ca="1" si="1364"/>
        <v>0</v>
      </c>
      <c r="DD168" s="110"/>
      <c r="DE168" s="74" t="s">
        <v>2710</v>
      </c>
      <c r="DF168" s="77">
        <f t="shared" ca="1" si="1364"/>
        <v>0</v>
      </c>
      <c r="DG168" s="110"/>
      <c r="DH168" s="74" t="s">
        <v>2575</v>
      </c>
      <c r="DI168" s="77">
        <f t="shared" ca="1" si="1364"/>
        <v>10</v>
      </c>
      <c r="DJ168" s="110"/>
      <c r="DK168" s="74" t="s">
        <v>2749</v>
      </c>
      <c r="DL168" s="77">
        <f t="shared" ca="1" si="1364"/>
        <v>0</v>
      </c>
      <c r="DM168" s="110"/>
      <c r="DN168" s="74" t="s">
        <v>2374</v>
      </c>
      <c r="DO168" s="77">
        <f t="shared" ca="1" si="1364"/>
        <v>0</v>
      </c>
      <c r="DP168" s="110"/>
      <c r="DQ168" s="74" t="s">
        <v>2255</v>
      </c>
      <c r="DR168" s="77">
        <f t="shared" ca="1" si="1364"/>
        <v>0</v>
      </c>
      <c r="DS168" s="110"/>
      <c r="DT168" s="74" t="s">
        <v>2791</v>
      </c>
      <c r="DU168" s="77">
        <f t="shared" ca="1" si="1364"/>
        <v>0</v>
      </c>
      <c r="DV168" s="110"/>
      <c r="DW168" s="74" t="s">
        <v>2805</v>
      </c>
      <c r="DX168" s="77">
        <f t="shared" ca="1" si="1364"/>
        <v>0</v>
      </c>
      <c r="DY168" s="110"/>
      <c r="DZ168" s="74" t="s">
        <v>2534</v>
      </c>
      <c r="EA168" s="77">
        <f t="shared" ca="1" si="1364"/>
        <v>20</v>
      </c>
      <c r="EB168" s="110"/>
      <c r="EC168" s="74" t="s">
        <v>2534</v>
      </c>
      <c r="ED168" s="77">
        <f t="shared" ca="1" si="1364"/>
        <v>20</v>
      </c>
      <c r="EE168" s="110"/>
      <c r="EF168" s="74" t="s">
        <v>2830</v>
      </c>
      <c r="EG168" s="77">
        <f t="shared" ca="1" si="1364"/>
        <v>0</v>
      </c>
      <c r="EH168" s="110"/>
      <c r="EI168" s="74" t="s">
        <v>2858</v>
      </c>
      <c r="EJ168" s="77">
        <f t="shared" ca="1" si="1364"/>
        <v>0</v>
      </c>
      <c r="EK168" s="110"/>
      <c r="EL168" s="74" t="s">
        <v>2862</v>
      </c>
      <c r="EM168" s="77">
        <f t="shared" ca="1" si="1364"/>
        <v>0</v>
      </c>
      <c r="EN168" s="110"/>
      <c r="EO168" s="74" t="s">
        <v>2875</v>
      </c>
      <c r="EP168" s="77">
        <f t="shared" ca="1" si="1364"/>
        <v>0</v>
      </c>
      <c r="EQ168" s="110"/>
      <c r="ER168" s="74" t="s">
        <v>2228</v>
      </c>
      <c r="ES168" s="77">
        <f t="shared" ca="1" si="1364"/>
        <v>0</v>
      </c>
      <c r="ET168" s="110"/>
      <c r="EU168" s="74" t="s">
        <v>2899</v>
      </c>
      <c r="EV168" s="77">
        <f t="shared" ca="1" si="1364"/>
        <v>0</v>
      </c>
      <c r="EW168" s="110"/>
      <c r="EX168" s="74" t="s">
        <v>2534</v>
      </c>
      <c r="EY168" s="77">
        <f t="shared" ca="1" si="1386"/>
        <v>20</v>
      </c>
      <c r="EZ168" s="110"/>
      <c r="FA168" s="74" t="s">
        <v>2899</v>
      </c>
      <c r="FB168" s="77">
        <f t="shared" ca="1" si="1386"/>
        <v>0</v>
      </c>
      <c r="FC168" s="110"/>
      <c r="FD168" s="74" t="s">
        <v>2937</v>
      </c>
      <c r="FE168" s="77">
        <f t="shared" ca="1" si="1386"/>
        <v>0</v>
      </c>
      <c r="FF168" s="110"/>
      <c r="FG168" s="74" t="s">
        <v>2951</v>
      </c>
      <c r="FH168" s="77">
        <f t="shared" ca="1" si="1386"/>
        <v>0</v>
      </c>
      <c r="FI168" s="110"/>
      <c r="FJ168" s="74" t="s">
        <v>2228</v>
      </c>
      <c r="FK168" s="77">
        <f t="shared" ca="1" si="1386"/>
        <v>0</v>
      </c>
      <c r="FL168" s="110"/>
      <c r="FM168" s="74" t="s">
        <v>2422</v>
      </c>
      <c r="FN168" s="77">
        <f t="shared" ca="1" si="1386"/>
        <v>0</v>
      </c>
      <c r="FO168" s="110"/>
      <c r="FP168" s="74" t="s">
        <v>2791</v>
      </c>
      <c r="FQ168" s="77">
        <f t="shared" ca="1" si="1386"/>
        <v>0</v>
      </c>
      <c r="FR168" s="110"/>
      <c r="FS168" s="74" t="s">
        <v>2228</v>
      </c>
      <c r="FT168" s="77">
        <f t="shared" ca="1" si="1386"/>
        <v>0</v>
      </c>
      <c r="FU168" s="110"/>
      <c r="FV168" s="74" t="s">
        <v>2994</v>
      </c>
      <c r="FW168" s="77">
        <f t="shared" ca="1" si="1386"/>
        <v>10</v>
      </c>
      <c r="FX168" s="110"/>
      <c r="FY168" s="74" t="s">
        <v>2858</v>
      </c>
      <c r="FZ168" s="77">
        <f t="shared" ca="1" si="1386"/>
        <v>0</v>
      </c>
      <c r="GA168" s="110"/>
      <c r="GB168" s="74" t="s">
        <v>2710</v>
      </c>
      <c r="GC168" s="77">
        <f t="shared" ca="1" si="1386"/>
        <v>0</v>
      </c>
      <c r="GD168" s="110"/>
      <c r="GE168" s="74" t="s">
        <v>2805</v>
      </c>
      <c r="GF168" s="77">
        <f t="shared" ca="1" si="1386"/>
        <v>0</v>
      </c>
      <c r="GG168" s="110"/>
      <c r="GH168" s="74" t="s">
        <v>2326</v>
      </c>
      <c r="GI168" s="77">
        <f t="shared" ca="1" si="1386"/>
        <v>0</v>
      </c>
      <c r="GJ168" s="110"/>
      <c r="GK168" s="74" t="s">
        <v>2255</v>
      </c>
      <c r="GL168" s="77">
        <f t="shared" ca="1" si="1386"/>
        <v>0</v>
      </c>
      <c r="GM168" s="110"/>
      <c r="GN168" s="74"/>
      <c r="GO168" s="77">
        <f t="shared" ca="1" si="1386"/>
        <v>0</v>
      </c>
      <c r="GP168" s="110"/>
      <c r="GQ168" s="74"/>
      <c r="GR168" s="77">
        <f t="shared" ca="1" si="1386"/>
        <v>0</v>
      </c>
      <c r="GS168" s="110"/>
      <c r="GT168" s="74"/>
      <c r="GU168" s="77">
        <f t="shared" ca="1" si="1386"/>
        <v>0</v>
      </c>
      <c r="GV168" s="110"/>
      <c r="GW168" s="74"/>
      <c r="GX168" s="77">
        <f t="shared" ca="1" si="1386"/>
        <v>0</v>
      </c>
      <c r="GY168" s="110"/>
      <c r="GZ168" s="74"/>
      <c r="HA168" s="77">
        <f t="shared" ca="1" si="1386"/>
        <v>0</v>
      </c>
      <c r="HB168" s="110"/>
      <c r="HC168" s="74"/>
      <c r="HD168" s="77">
        <f t="shared" ca="1" si="1386"/>
        <v>0</v>
      </c>
      <c r="HE168" s="110"/>
      <c r="HF168" s="74"/>
      <c r="HG168" s="77">
        <f t="shared" ca="1" si="1386"/>
        <v>0</v>
      </c>
      <c r="HH168" s="110"/>
      <c r="HI168" s="74"/>
      <c r="HJ168" s="77">
        <f t="shared" ca="1" si="1386"/>
        <v>0</v>
      </c>
      <c r="HK168" s="110"/>
      <c r="HL168" s="74"/>
      <c r="HM168" s="77">
        <f t="shared" ca="1" si="1408"/>
        <v>0</v>
      </c>
      <c r="HN168" s="110"/>
      <c r="HO168" s="74"/>
      <c r="HP168" s="77">
        <f t="shared" ca="1" si="1408"/>
        <v>0</v>
      </c>
      <c r="HQ168" s="110"/>
      <c r="HR168" s="74"/>
      <c r="HS168" s="77">
        <f t="shared" ca="1" si="1408"/>
        <v>0</v>
      </c>
      <c r="HT168" s="110"/>
      <c r="HU168" s="74"/>
      <c r="HV168" s="77">
        <f t="shared" ca="1" si="1408"/>
        <v>0</v>
      </c>
      <c r="HW168" s="110"/>
      <c r="HX168" s="74"/>
      <c r="HY168" s="77">
        <f t="shared" ca="1" si="1408"/>
        <v>0</v>
      </c>
      <c r="HZ168" s="110"/>
      <c r="IA168" s="74"/>
      <c r="IB168" s="77">
        <f t="shared" ca="1" si="1408"/>
        <v>0</v>
      </c>
      <c r="IC168" s="110"/>
      <c r="ID168" s="74"/>
      <c r="IE168" s="77">
        <f t="shared" ca="1" si="1408"/>
        <v>0</v>
      </c>
      <c r="IF168" s="110"/>
      <c r="IG168" s="74"/>
      <c r="IH168" s="77">
        <f t="shared" ca="1" si="1408"/>
        <v>0</v>
      </c>
      <c r="II168" s="110"/>
      <c r="IJ168" s="74"/>
      <c r="IK168" s="77">
        <f t="shared" ca="1" si="1408"/>
        <v>0</v>
      </c>
      <c r="IL168" s="110"/>
      <c r="IM168" s="74"/>
      <c r="IN168" s="77">
        <f t="shared" ca="1" si="1408"/>
        <v>0</v>
      </c>
      <c r="IO168" s="110"/>
      <c r="IP168" s="74"/>
      <c r="IQ168" s="77">
        <f t="shared" ca="1" si="1408"/>
        <v>0</v>
      </c>
      <c r="IR168" s="110"/>
      <c r="IS168" s="74"/>
      <c r="IT168" s="77">
        <f t="shared" ca="1" si="1408"/>
        <v>0</v>
      </c>
      <c r="IU168" s="110"/>
      <c r="IV168" s="74"/>
      <c r="IW168" s="77">
        <f t="shared" ca="1" si="1408"/>
        <v>0</v>
      </c>
      <c r="IX168" s="110"/>
      <c r="IY168" s="74"/>
      <c r="IZ168" s="77">
        <f t="shared" ca="1" si="1408"/>
        <v>0</v>
      </c>
      <c r="JA168" s="110"/>
      <c r="JB168" s="74"/>
      <c r="JC168" s="77">
        <f t="shared" ca="1" si="1408"/>
        <v>0</v>
      </c>
      <c r="JD168" s="110"/>
      <c r="JE168" s="74"/>
      <c r="JF168" s="77">
        <f t="shared" ca="1" si="1408"/>
        <v>0</v>
      </c>
      <c r="JG168" s="110"/>
      <c r="JH168" s="74"/>
      <c r="JI168" s="77">
        <f t="shared" ca="1" si="1408"/>
        <v>0</v>
      </c>
      <c r="JJ168" s="110"/>
      <c r="JK168" s="74"/>
      <c r="JL168" s="77">
        <f t="shared" ca="1" si="1408"/>
        <v>0</v>
      </c>
      <c r="JM168" s="110"/>
      <c r="JN168" s="74"/>
      <c r="JO168" s="77">
        <f t="shared" ca="1" si="1408"/>
        <v>0</v>
      </c>
      <c r="JP168" s="110"/>
      <c r="JQ168" s="74"/>
      <c r="JR168" s="77">
        <f t="shared" ca="1" si="1408"/>
        <v>0</v>
      </c>
      <c r="JS168" s="110"/>
      <c r="JT168" s="74"/>
      <c r="JU168" s="77">
        <f t="shared" ca="1" si="1408"/>
        <v>0</v>
      </c>
      <c r="JV168" s="110"/>
      <c r="JW168" s="74"/>
      <c r="JX168" s="77">
        <f t="shared" ca="1" si="1408"/>
        <v>0</v>
      </c>
      <c r="JY168" s="110"/>
      <c r="JZ168" s="74"/>
      <c r="KA168" s="77">
        <f t="shared" ca="1" si="1430"/>
        <v>0</v>
      </c>
      <c r="KB168" s="110"/>
      <c r="KC168" s="74"/>
      <c r="KD168" s="77">
        <f t="shared" ca="1" si="1430"/>
        <v>0</v>
      </c>
      <c r="KE168" s="110"/>
      <c r="KF168" s="74"/>
      <c r="KG168" s="77">
        <f t="shared" ca="1" si="1430"/>
        <v>0</v>
      </c>
      <c r="KH168" s="110"/>
      <c r="KI168" s="74"/>
      <c r="KJ168" s="77">
        <f t="shared" ca="1" si="1430"/>
        <v>0</v>
      </c>
      <c r="KK168" s="110"/>
      <c r="KL168" s="74"/>
      <c r="KM168" s="77">
        <f t="shared" ca="1" si="1430"/>
        <v>0</v>
      </c>
      <c r="KN168" s="110"/>
      <c r="KO168" s="74"/>
      <c r="KP168" s="77">
        <f t="shared" ca="1" si="1430"/>
        <v>0</v>
      </c>
      <c r="KQ168" s="110"/>
      <c r="KR168" s="74"/>
      <c r="KS168" s="77">
        <f t="shared" ca="1" si="1430"/>
        <v>0</v>
      </c>
      <c r="KT168" s="110"/>
      <c r="KU168" s="74"/>
      <c r="KV168" s="77">
        <f t="shared" ca="1" si="1430"/>
        <v>0</v>
      </c>
      <c r="KW168" s="110"/>
      <c r="KX168" s="74"/>
      <c r="KY168" s="77">
        <f t="shared" ca="1" si="1430"/>
        <v>0</v>
      </c>
      <c r="KZ168" s="110"/>
      <c r="LA168" s="74"/>
      <c r="LB168" s="77">
        <f t="shared" ca="1" si="1430"/>
        <v>0</v>
      </c>
      <c r="LC168" s="110"/>
      <c r="LD168" s="74"/>
      <c r="LE168" s="77">
        <f t="shared" ca="1" si="1430"/>
        <v>0</v>
      </c>
      <c r="LF168" s="110"/>
      <c r="LG168" s="110"/>
    </row>
    <row r="169" spans="1:319">
      <c r="A169" s="25">
        <f>WORLDCUP!AD106</f>
        <v>0</v>
      </c>
      <c r="B169" s="25">
        <f>WORLDCUP!AC106</f>
        <v>3</v>
      </c>
      <c r="C169" s="25" t="str">
        <f ca="1">CONCATENATE(WORLDCUP!AF106,"-",WORLDCUP!AA106)</f>
        <v>Sweden-France</v>
      </c>
      <c r="D169" s="25">
        <f>IF(WORLDCUP!AC106&gt;WORLDCUP!AD106,2,IF(WORLDCUP!AC106&lt;WORLDCUP!AD106,1,IF(AND(WORLDCUP!AC106=WORLDCUP!AD106,WORLDCUP!AC106&lt;&gt;"",WORLDCUP!AD106&lt;&gt;""),0,"PD")))</f>
        <v>2</v>
      </c>
      <c r="E169" s="25" t="str">
        <f>IF(OR(WORLDCUP!AC106="",WORLDCUP!AD106=""),"-",A169&amp;"-"&amp;B169)</f>
        <v>0-3</v>
      </c>
      <c r="F169" s="407">
        <f t="shared" si="1441"/>
        <v>20</v>
      </c>
      <c r="G169" s="407">
        <f ca="1">VLOOKUP(H169,Equipos!$Q$1:$R$25,2,0)</f>
        <v>20</v>
      </c>
      <c r="H169" s="446" t="str">
        <f>Idiomas!$D$260</f>
        <v>Round of 32</v>
      </c>
      <c r="I169" s="43">
        <v>1</v>
      </c>
      <c r="J169" s="845"/>
      <c r="K169" s="56" t="str">
        <f ca="1">CONCATENATE(WORLDCUP!AA106,"-",WORLDCUP!AF106)</f>
        <v>France-Sweden</v>
      </c>
      <c r="L169" s="53">
        <f>IF(OR(WORLDCUP!AC106="",WORLDCUP!AD106=""),"PD",IF(WORLDCUP!AC106&gt;WORLDCUP!AD106,1,IF(WORLDCUP!AC106&lt;WORLDCUP!AD106,2,0)))</f>
        <v>1</v>
      </c>
      <c r="M169" s="55" t="str">
        <f t="shared" si="1442"/>
        <v>3-0</v>
      </c>
      <c r="N169" s="25">
        <f>WORLDCUP!AC106</f>
        <v>3</v>
      </c>
      <c r="O169" s="25">
        <f>WORLDCUP!AD106</f>
        <v>0</v>
      </c>
      <c r="P169" s="25">
        <f t="shared" si="1443"/>
        <v>3</v>
      </c>
      <c r="Q169" s="25">
        <f t="shared" si="1444"/>
        <v>-3</v>
      </c>
      <c r="R169" s="110"/>
      <c r="S169" s="74" t="s">
        <v>1967</v>
      </c>
      <c r="T169" s="77">
        <f t="shared" ca="1" si="1445"/>
        <v>0</v>
      </c>
      <c r="U169" s="110"/>
      <c r="V169" s="74" t="s">
        <v>2006</v>
      </c>
      <c r="W169" s="77">
        <f t="shared" ca="1" si="1342"/>
        <v>0</v>
      </c>
      <c r="X169" s="110"/>
      <c r="Y169" s="74" t="s">
        <v>2043</v>
      </c>
      <c r="Z169" s="77">
        <f t="shared" ca="1" si="1342"/>
        <v>0</v>
      </c>
      <c r="AA169" s="110"/>
      <c r="AB169" s="80" t="s">
        <v>2074</v>
      </c>
      <c r="AC169" s="77">
        <f t="shared" ca="1" si="1342"/>
        <v>0</v>
      </c>
      <c r="AD169" s="110"/>
      <c r="AE169" s="74" t="s">
        <v>2109</v>
      </c>
      <c r="AF169" s="77">
        <f t="shared" ca="1" si="1342"/>
        <v>0</v>
      </c>
      <c r="AG169" s="110"/>
      <c r="AH169" s="74" t="s">
        <v>2138</v>
      </c>
      <c r="AI169" s="77">
        <f t="shared" ca="1" si="1342"/>
        <v>0</v>
      </c>
      <c r="AJ169" s="110"/>
      <c r="AK169" s="74" t="s">
        <v>2165</v>
      </c>
      <c r="AL169" s="77">
        <f t="shared" ca="1" si="1342"/>
        <v>0</v>
      </c>
      <c r="AM169" s="110"/>
      <c r="AN169" s="74" t="s">
        <v>2193</v>
      </c>
      <c r="AO169" s="77">
        <f t="shared" ca="1" si="1342"/>
        <v>0</v>
      </c>
      <c r="AP169" s="110"/>
      <c r="AQ169" s="74" t="s">
        <v>2229</v>
      </c>
      <c r="AR169" s="77">
        <f t="shared" ca="1" si="1342"/>
        <v>10</v>
      </c>
      <c r="AS169" s="110"/>
      <c r="AT169" s="74" t="s">
        <v>2256</v>
      </c>
      <c r="AU169" s="77">
        <f t="shared" ca="1" si="1342"/>
        <v>10</v>
      </c>
      <c r="AV169" s="110"/>
      <c r="AW169" s="74" t="s">
        <v>2283</v>
      </c>
      <c r="AX169" s="77">
        <f t="shared" ca="1" si="1342"/>
        <v>0</v>
      </c>
      <c r="AY169" s="110"/>
      <c r="AZ169" s="74" t="s">
        <v>2229</v>
      </c>
      <c r="BA169" s="77">
        <f t="shared" ca="1" si="1342"/>
        <v>10</v>
      </c>
      <c r="BB169" s="110"/>
      <c r="BC169" s="74" t="s">
        <v>2327</v>
      </c>
      <c r="BD169" s="77">
        <f t="shared" ca="1" si="1342"/>
        <v>0</v>
      </c>
      <c r="BE169" s="110"/>
      <c r="BF169" s="74" t="s">
        <v>2006</v>
      </c>
      <c r="BG169" s="77">
        <f t="shared" ca="1" si="1342"/>
        <v>0</v>
      </c>
      <c r="BH169" s="110"/>
      <c r="BI169" s="74" t="s">
        <v>2375</v>
      </c>
      <c r="BJ169" s="77">
        <f t="shared" ca="1" si="1342"/>
        <v>0</v>
      </c>
      <c r="BK169" s="110"/>
      <c r="BL169" s="74" t="s">
        <v>2407</v>
      </c>
      <c r="BM169" s="77">
        <f t="shared" ca="1" si="1342"/>
        <v>0</v>
      </c>
      <c r="BN169" s="110"/>
      <c r="BO169" s="74" t="s">
        <v>2165</v>
      </c>
      <c r="BP169" s="77">
        <f t="shared" ca="1" si="1342"/>
        <v>0</v>
      </c>
      <c r="BQ169" s="110"/>
      <c r="BR169" s="74" t="s">
        <v>2138</v>
      </c>
      <c r="BS169" s="77">
        <f t="shared" ca="1" si="1342"/>
        <v>0</v>
      </c>
      <c r="BT169" s="110"/>
      <c r="BU169" s="74" t="s">
        <v>2138</v>
      </c>
      <c r="BV169" s="77">
        <f t="shared" ca="1" si="1342"/>
        <v>0</v>
      </c>
      <c r="BW169" s="110"/>
      <c r="BX169" s="74" t="s">
        <v>2165</v>
      </c>
      <c r="BY169" s="77">
        <f t="shared" ca="1" si="1342"/>
        <v>0</v>
      </c>
      <c r="BZ169" s="110"/>
      <c r="CA169" s="74" t="s">
        <v>2496</v>
      </c>
      <c r="CB169" s="77">
        <f t="shared" ca="1" si="1342"/>
        <v>10</v>
      </c>
      <c r="CC169" s="110"/>
      <c r="CD169" s="74" t="s">
        <v>2138</v>
      </c>
      <c r="CE169" s="77">
        <f t="shared" ca="1" si="1342"/>
        <v>0</v>
      </c>
      <c r="CF169" s="110"/>
      <c r="CG169" s="74" t="s">
        <v>2229</v>
      </c>
      <c r="CH169" s="77">
        <f t="shared" ca="1" si="1342"/>
        <v>10</v>
      </c>
      <c r="CI169" s="110"/>
      <c r="CJ169" s="74" t="s">
        <v>2496</v>
      </c>
      <c r="CK169" s="77">
        <f t="shared" ca="1" si="1364"/>
        <v>10</v>
      </c>
      <c r="CL169" s="110"/>
      <c r="CM169" s="74" t="s">
        <v>2576</v>
      </c>
      <c r="CN169" s="77">
        <f t="shared" ca="1" si="1364"/>
        <v>20</v>
      </c>
      <c r="CO169" s="110"/>
      <c r="CP169" s="74" t="s">
        <v>2605</v>
      </c>
      <c r="CQ169" s="77">
        <f t="shared" ca="1" si="1364"/>
        <v>10</v>
      </c>
      <c r="CR169" s="110"/>
      <c r="CS169" s="74" t="s">
        <v>2614</v>
      </c>
      <c r="CT169" s="77">
        <f t="shared" ca="1" si="1364"/>
        <v>0</v>
      </c>
      <c r="CU169" s="110"/>
      <c r="CV169" s="74" t="s">
        <v>2639</v>
      </c>
      <c r="CW169" s="77">
        <f t="shared" ca="1" si="1364"/>
        <v>12</v>
      </c>
      <c r="CX169" s="110"/>
      <c r="CY169" s="74" t="s">
        <v>2665</v>
      </c>
      <c r="CZ169" s="77">
        <f t="shared" ca="1" si="1364"/>
        <v>0</v>
      </c>
      <c r="DA169" s="110"/>
      <c r="DB169" s="74" t="s">
        <v>2639</v>
      </c>
      <c r="DC169" s="77">
        <f t="shared" ca="1" si="1364"/>
        <v>12</v>
      </c>
      <c r="DD169" s="110"/>
      <c r="DE169" s="74" t="s">
        <v>2496</v>
      </c>
      <c r="DF169" s="77">
        <f t="shared" ca="1" si="1364"/>
        <v>10</v>
      </c>
      <c r="DG169" s="110"/>
      <c r="DH169" s="74" t="s">
        <v>2229</v>
      </c>
      <c r="DI169" s="77">
        <f t="shared" ca="1" si="1364"/>
        <v>10</v>
      </c>
      <c r="DJ169" s="110"/>
      <c r="DK169" s="74" t="s">
        <v>2165</v>
      </c>
      <c r="DL169" s="77">
        <f t="shared" ca="1" si="1364"/>
        <v>0</v>
      </c>
      <c r="DM169" s="110"/>
      <c r="DN169" s="74" t="s">
        <v>2762</v>
      </c>
      <c r="DO169" s="77">
        <f t="shared" ca="1" si="1364"/>
        <v>0</v>
      </c>
      <c r="DP169" s="110"/>
      <c r="DQ169" s="74" t="s">
        <v>2780</v>
      </c>
      <c r="DR169" s="77">
        <f t="shared" ca="1" si="1364"/>
        <v>0</v>
      </c>
      <c r="DS169" s="110"/>
      <c r="DT169" s="74" t="s">
        <v>2496</v>
      </c>
      <c r="DU169" s="77">
        <f t="shared" ca="1" si="1364"/>
        <v>10</v>
      </c>
      <c r="DV169" s="110"/>
      <c r="DW169" s="74" t="s">
        <v>2576</v>
      </c>
      <c r="DX169" s="77">
        <f t="shared" ca="1" si="1364"/>
        <v>20</v>
      </c>
      <c r="DY169" s="110"/>
      <c r="DZ169" s="74" t="s">
        <v>2817</v>
      </c>
      <c r="EA169" s="77">
        <f t="shared" ca="1" si="1364"/>
        <v>0</v>
      </c>
      <c r="EB169" s="110"/>
      <c r="EC169" s="74" t="s">
        <v>2074</v>
      </c>
      <c r="ED169" s="77">
        <f t="shared" ca="1" si="1364"/>
        <v>0</v>
      </c>
      <c r="EE169" s="110"/>
      <c r="EF169" s="74" t="s">
        <v>2831</v>
      </c>
      <c r="EG169" s="77">
        <f t="shared" ca="1" si="1364"/>
        <v>0</v>
      </c>
      <c r="EH169" s="110"/>
      <c r="EI169" s="74" t="s">
        <v>2229</v>
      </c>
      <c r="EJ169" s="77">
        <f t="shared" ca="1" si="1364"/>
        <v>10</v>
      </c>
      <c r="EK169" s="110"/>
      <c r="EL169" s="74" t="s">
        <v>2576</v>
      </c>
      <c r="EM169" s="77">
        <f t="shared" ca="1" si="1364"/>
        <v>20</v>
      </c>
      <c r="EN169" s="110"/>
      <c r="EO169" s="74" t="s">
        <v>2876</v>
      </c>
      <c r="EP169" s="77">
        <f t="shared" ca="1" si="1364"/>
        <v>0</v>
      </c>
      <c r="EQ169" s="110"/>
      <c r="ER169" s="74" t="s">
        <v>2229</v>
      </c>
      <c r="ES169" s="77">
        <f t="shared" ca="1" si="1364"/>
        <v>10</v>
      </c>
      <c r="ET169" s="110"/>
      <c r="EU169" s="74" t="s">
        <v>2138</v>
      </c>
      <c r="EV169" s="77">
        <f t="shared" ca="1" si="1364"/>
        <v>0</v>
      </c>
      <c r="EW169" s="110"/>
      <c r="EX169" s="74" t="s">
        <v>2496</v>
      </c>
      <c r="EY169" s="77">
        <f t="shared" ca="1" si="1386"/>
        <v>10</v>
      </c>
      <c r="EZ169" s="110"/>
      <c r="FA169" s="74" t="s">
        <v>2074</v>
      </c>
      <c r="FB169" s="77">
        <f t="shared" ca="1" si="1386"/>
        <v>0</v>
      </c>
      <c r="FC169" s="110"/>
      <c r="FD169" s="74" t="s">
        <v>2138</v>
      </c>
      <c r="FE169" s="77">
        <f t="shared" ca="1" si="1386"/>
        <v>0</v>
      </c>
      <c r="FF169" s="110"/>
      <c r="FG169" s="74" t="s">
        <v>2576</v>
      </c>
      <c r="FH169" s="77">
        <f t="shared" ca="1" si="1386"/>
        <v>20</v>
      </c>
      <c r="FI169" s="110"/>
      <c r="FJ169" s="74" t="s">
        <v>2229</v>
      </c>
      <c r="FK169" s="77">
        <f t="shared" ca="1" si="1386"/>
        <v>10</v>
      </c>
      <c r="FL169" s="110"/>
      <c r="FM169" s="74" t="s">
        <v>2970</v>
      </c>
      <c r="FN169" s="77">
        <f t="shared" ca="1" si="1386"/>
        <v>10</v>
      </c>
      <c r="FO169" s="110"/>
      <c r="FP169" s="74" t="s">
        <v>2138</v>
      </c>
      <c r="FQ169" s="77">
        <f t="shared" ca="1" si="1386"/>
        <v>0</v>
      </c>
      <c r="FR169" s="110"/>
      <c r="FS169" s="74" t="s">
        <v>2339</v>
      </c>
      <c r="FT169" s="77">
        <f t="shared" ca="1" si="1386"/>
        <v>0</v>
      </c>
      <c r="FU169" s="110"/>
      <c r="FV169" s="74" t="s">
        <v>2407</v>
      </c>
      <c r="FW169" s="77">
        <f t="shared" ca="1" si="1386"/>
        <v>0</v>
      </c>
      <c r="FX169" s="110"/>
      <c r="FY169" s="74" t="s">
        <v>3001</v>
      </c>
      <c r="FZ169" s="77">
        <f t="shared" ca="1" si="1386"/>
        <v>0</v>
      </c>
      <c r="GA169" s="110"/>
      <c r="GB169" s="74" t="s">
        <v>2229</v>
      </c>
      <c r="GC169" s="77">
        <f t="shared" ca="1" si="1386"/>
        <v>10</v>
      </c>
      <c r="GD169" s="110"/>
      <c r="GE169" s="74" t="s">
        <v>3033</v>
      </c>
      <c r="GF169" s="77">
        <f t="shared" ca="1" si="1386"/>
        <v>10</v>
      </c>
      <c r="GG169" s="110"/>
      <c r="GH169" s="74" t="s">
        <v>2138</v>
      </c>
      <c r="GI169" s="77">
        <f t="shared" ca="1" si="1386"/>
        <v>0</v>
      </c>
      <c r="GJ169" s="110"/>
      <c r="GK169" s="74" t="s">
        <v>2138</v>
      </c>
      <c r="GL169" s="77">
        <f t="shared" ca="1" si="1386"/>
        <v>0</v>
      </c>
      <c r="GM169" s="110"/>
      <c r="GN169" s="74"/>
      <c r="GO169" s="77">
        <f t="shared" ca="1" si="1386"/>
        <v>0</v>
      </c>
      <c r="GP169" s="110"/>
      <c r="GQ169" s="74"/>
      <c r="GR169" s="77">
        <f t="shared" ca="1" si="1386"/>
        <v>0</v>
      </c>
      <c r="GS169" s="110"/>
      <c r="GT169" s="74"/>
      <c r="GU169" s="77">
        <f t="shared" ca="1" si="1386"/>
        <v>0</v>
      </c>
      <c r="GV169" s="110"/>
      <c r="GW169" s="74"/>
      <c r="GX169" s="77">
        <f t="shared" ca="1" si="1386"/>
        <v>0</v>
      </c>
      <c r="GY169" s="110"/>
      <c r="GZ169" s="74"/>
      <c r="HA169" s="77">
        <f t="shared" ca="1" si="1386"/>
        <v>0</v>
      </c>
      <c r="HB169" s="110"/>
      <c r="HC169" s="74"/>
      <c r="HD169" s="77">
        <f t="shared" ca="1" si="1386"/>
        <v>0</v>
      </c>
      <c r="HE169" s="110"/>
      <c r="HF169" s="74"/>
      <c r="HG169" s="77">
        <f t="shared" ca="1" si="1386"/>
        <v>0</v>
      </c>
      <c r="HH169" s="110"/>
      <c r="HI169" s="74"/>
      <c r="HJ169" s="77">
        <f t="shared" ca="1" si="1386"/>
        <v>0</v>
      </c>
      <c r="HK169" s="110"/>
      <c r="HL169" s="74"/>
      <c r="HM169" s="77">
        <f t="shared" ca="1" si="1408"/>
        <v>0</v>
      </c>
      <c r="HN169" s="110"/>
      <c r="HO169" s="74"/>
      <c r="HP169" s="77">
        <f t="shared" ca="1" si="1408"/>
        <v>0</v>
      </c>
      <c r="HQ169" s="110"/>
      <c r="HR169" s="74"/>
      <c r="HS169" s="77">
        <f t="shared" ca="1" si="1408"/>
        <v>0</v>
      </c>
      <c r="HT169" s="110"/>
      <c r="HU169" s="74"/>
      <c r="HV169" s="77">
        <f t="shared" ca="1" si="1408"/>
        <v>0</v>
      </c>
      <c r="HW169" s="110"/>
      <c r="HX169" s="74"/>
      <c r="HY169" s="77">
        <f t="shared" ca="1" si="1408"/>
        <v>0</v>
      </c>
      <c r="HZ169" s="110"/>
      <c r="IA169" s="74"/>
      <c r="IB169" s="77">
        <f t="shared" ca="1" si="1408"/>
        <v>0</v>
      </c>
      <c r="IC169" s="110"/>
      <c r="ID169" s="74"/>
      <c r="IE169" s="77">
        <f t="shared" ca="1" si="1408"/>
        <v>0</v>
      </c>
      <c r="IF169" s="110"/>
      <c r="IG169" s="74"/>
      <c r="IH169" s="77">
        <f t="shared" ca="1" si="1408"/>
        <v>0</v>
      </c>
      <c r="II169" s="110"/>
      <c r="IJ169" s="74"/>
      <c r="IK169" s="77">
        <f t="shared" ca="1" si="1408"/>
        <v>0</v>
      </c>
      <c r="IL169" s="110"/>
      <c r="IM169" s="74"/>
      <c r="IN169" s="77">
        <f t="shared" ca="1" si="1408"/>
        <v>0</v>
      </c>
      <c r="IO169" s="110"/>
      <c r="IP169" s="74"/>
      <c r="IQ169" s="77">
        <f t="shared" ca="1" si="1408"/>
        <v>0</v>
      </c>
      <c r="IR169" s="110"/>
      <c r="IS169" s="74"/>
      <c r="IT169" s="77">
        <f t="shared" ca="1" si="1408"/>
        <v>0</v>
      </c>
      <c r="IU169" s="110"/>
      <c r="IV169" s="74"/>
      <c r="IW169" s="77">
        <f t="shared" ca="1" si="1408"/>
        <v>0</v>
      </c>
      <c r="IX169" s="110"/>
      <c r="IY169" s="74"/>
      <c r="IZ169" s="77">
        <f t="shared" ca="1" si="1408"/>
        <v>0</v>
      </c>
      <c r="JA169" s="110"/>
      <c r="JB169" s="74"/>
      <c r="JC169" s="77">
        <f t="shared" ca="1" si="1408"/>
        <v>0</v>
      </c>
      <c r="JD169" s="110"/>
      <c r="JE169" s="74"/>
      <c r="JF169" s="77">
        <f t="shared" ca="1" si="1408"/>
        <v>0</v>
      </c>
      <c r="JG169" s="110"/>
      <c r="JH169" s="74"/>
      <c r="JI169" s="77">
        <f t="shared" ca="1" si="1408"/>
        <v>0</v>
      </c>
      <c r="JJ169" s="110"/>
      <c r="JK169" s="74"/>
      <c r="JL169" s="77">
        <f t="shared" ca="1" si="1408"/>
        <v>0</v>
      </c>
      <c r="JM169" s="110"/>
      <c r="JN169" s="74"/>
      <c r="JO169" s="77">
        <f t="shared" ca="1" si="1408"/>
        <v>0</v>
      </c>
      <c r="JP169" s="110"/>
      <c r="JQ169" s="74"/>
      <c r="JR169" s="77">
        <f t="shared" ca="1" si="1408"/>
        <v>0</v>
      </c>
      <c r="JS169" s="110"/>
      <c r="JT169" s="74"/>
      <c r="JU169" s="77">
        <f t="shared" ca="1" si="1408"/>
        <v>0</v>
      </c>
      <c r="JV169" s="110"/>
      <c r="JW169" s="74"/>
      <c r="JX169" s="77">
        <f t="shared" ca="1" si="1408"/>
        <v>0</v>
      </c>
      <c r="JY169" s="110"/>
      <c r="JZ169" s="74"/>
      <c r="KA169" s="77">
        <f t="shared" ca="1" si="1430"/>
        <v>0</v>
      </c>
      <c r="KB169" s="110"/>
      <c r="KC169" s="74"/>
      <c r="KD169" s="77">
        <f t="shared" ca="1" si="1430"/>
        <v>0</v>
      </c>
      <c r="KE169" s="110"/>
      <c r="KF169" s="74"/>
      <c r="KG169" s="77">
        <f t="shared" ca="1" si="1430"/>
        <v>0</v>
      </c>
      <c r="KH169" s="110"/>
      <c r="KI169" s="74"/>
      <c r="KJ169" s="77">
        <f t="shared" ca="1" si="1430"/>
        <v>0</v>
      </c>
      <c r="KK169" s="110"/>
      <c r="KL169" s="74"/>
      <c r="KM169" s="77">
        <f t="shared" ca="1" si="1430"/>
        <v>0</v>
      </c>
      <c r="KN169" s="110"/>
      <c r="KO169" s="74"/>
      <c r="KP169" s="77">
        <f t="shared" ca="1" si="1430"/>
        <v>0</v>
      </c>
      <c r="KQ169" s="110"/>
      <c r="KR169" s="74"/>
      <c r="KS169" s="77">
        <f t="shared" ca="1" si="1430"/>
        <v>0</v>
      </c>
      <c r="KT169" s="110"/>
      <c r="KU169" s="74"/>
      <c r="KV169" s="77">
        <f t="shared" ca="1" si="1430"/>
        <v>0</v>
      </c>
      <c r="KW169" s="110"/>
      <c r="KX169" s="74"/>
      <c r="KY169" s="77">
        <f t="shared" ca="1" si="1430"/>
        <v>0</v>
      </c>
      <c r="KZ169" s="110"/>
      <c r="LA169" s="74"/>
      <c r="LB169" s="77">
        <f t="shared" ca="1" si="1430"/>
        <v>0</v>
      </c>
      <c r="LC169" s="110"/>
      <c r="LD169" s="74"/>
      <c r="LE169" s="77">
        <f t="shared" ca="1" si="1430"/>
        <v>0</v>
      </c>
      <c r="LF169" s="110"/>
      <c r="LG169" s="110"/>
    </row>
    <row r="170" spans="1:319">
      <c r="A170" s="25">
        <f>WORLDCUP!AD107</f>
        <v>0</v>
      </c>
      <c r="B170" s="25">
        <f>WORLDCUP!AC107</f>
        <v>2</v>
      </c>
      <c r="C170" s="25" t="str">
        <f ca="1">CONCATENATE(WORLDCUP!AF107,"-",WORLDCUP!AA107)</f>
        <v>Ecuador-Mexico</v>
      </c>
      <c r="D170" s="25">
        <f>IF(WORLDCUP!AC107&gt;WORLDCUP!AD107,2,IF(WORLDCUP!AC107&lt;WORLDCUP!AD107,1,IF(AND(WORLDCUP!AC107=WORLDCUP!AD107,WORLDCUP!AC107&lt;&gt;"",WORLDCUP!AD107&lt;&gt;""),0,"PD")))</f>
        <v>2</v>
      </c>
      <c r="E170" s="25" t="str">
        <f>IF(OR(WORLDCUP!AC107="",WORLDCUP!AD107=""),"-",A170&amp;"-"&amp;B170)</f>
        <v>0-2</v>
      </c>
      <c r="F170" s="407">
        <f t="shared" si="1441"/>
        <v>20</v>
      </c>
      <c r="G170" s="407">
        <f ca="1">VLOOKUP(H170,Equipos!$Q$1:$R$25,2,0)</f>
        <v>20</v>
      </c>
      <c r="H170" s="446" t="str">
        <f>Idiomas!$D$260</f>
        <v>Round of 32</v>
      </c>
      <c r="I170" s="43">
        <v>1</v>
      </c>
      <c r="J170" s="845"/>
      <c r="K170" s="56" t="str">
        <f ca="1">CONCATENATE(WORLDCUP!AA107,"-",WORLDCUP!AF107)</f>
        <v>Mexico-Ecuador</v>
      </c>
      <c r="L170" s="53">
        <f>IF(OR(WORLDCUP!AC107="",WORLDCUP!AD107=""),"PD",IF(WORLDCUP!AC107&gt;WORLDCUP!AD107,1,IF(WORLDCUP!AC107&lt;WORLDCUP!AD107,2,0)))</f>
        <v>1</v>
      </c>
      <c r="M170" s="55" t="str">
        <f t="shared" si="1442"/>
        <v>2-0</v>
      </c>
      <c r="N170" s="25">
        <f>WORLDCUP!AC107</f>
        <v>2</v>
      </c>
      <c r="O170" s="25">
        <f>WORLDCUP!AD107</f>
        <v>0</v>
      </c>
      <c r="P170" s="25">
        <f t="shared" si="1443"/>
        <v>2</v>
      </c>
      <c r="Q170" s="25">
        <f t="shared" si="1444"/>
        <v>-2</v>
      </c>
      <c r="R170" s="110"/>
      <c r="S170" s="74" t="s">
        <v>1968</v>
      </c>
      <c r="T170" s="77">
        <f t="shared" ca="1" si="1445"/>
        <v>0</v>
      </c>
      <c r="U170" s="110"/>
      <c r="V170" s="74" t="s">
        <v>2007</v>
      </c>
      <c r="W170" s="77">
        <f t="shared" ca="1" si="1342"/>
        <v>0</v>
      </c>
      <c r="X170" s="110"/>
      <c r="Y170" s="74" t="s">
        <v>1968</v>
      </c>
      <c r="Z170" s="77">
        <f t="shared" ca="1" si="1342"/>
        <v>0</v>
      </c>
      <c r="AA170" s="110"/>
      <c r="AB170" s="80" t="s">
        <v>2075</v>
      </c>
      <c r="AC170" s="77">
        <f t="shared" ca="1" si="1342"/>
        <v>0</v>
      </c>
      <c r="AD170" s="110"/>
      <c r="AE170" s="74" t="s">
        <v>2110</v>
      </c>
      <c r="AF170" s="77">
        <f t="shared" ca="1" si="1342"/>
        <v>0</v>
      </c>
      <c r="AG170" s="110"/>
      <c r="AH170" s="74" t="s">
        <v>2139</v>
      </c>
      <c r="AI170" s="77">
        <f t="shared" ca="1" si="1342"/>
        <v>0</v>
      </c>
      <c r="AJ170" s="110"/>
      <c r="AK170" s="74" t="s">
        <v>2166</v>
      </c>
      <c r="AL170" s="77">
        <f t="shared" ca="1" si="1342"/>
        <v>0</v>
      </c>
      <c r="AM170" s="110"/>
      <c r="AN170" s="74" t="s">
        <v>2194</v>
      </c>
      <c r="AO170" s="77">
        <f t="shared" ca="1" si="1342"/>
        <v>10</v>
      </c>
      <c r="AP170" s="110"/>
      <c r="AQ170" s="74" t="s">
        <v>2230</v>
      </c>
      <c r="AR170" s="77">
        <f t="shared" ca="1" si="1342"/>
        <v>0</v>
      </c>
      <c r="AS170" s="110"/>
      <c r="AT170" s="74" t="s">
        <v>2257</v>
      </c>
      <c r="AU170" s="77">
        <f t="shared" ca="1" si="1342"/>
        <v>0</v>
      </c>
      <c r="AV170" s="110"/>
      <c r="AW170" s="74" t="s">
        <v>2284</v>
      </c>
      <c r="AX170" s="77">
        <f t="shared" ca="1" si="1342"/>
        <v>0</v>
      </c>
      <c r="AY170" s="110"/>
      <c r="AZ170" s="74" t="s">
        <v>2139</v>
      </c>
      <c r="BA170" s="77">
        <f t="shared" ca="1" si="1342"/>
        <v>0</v>
      </c>
      <c r="BB170" s="110"/>
      <c r="BC170" s="74" t="s">
        <v>2328</v>
      </c>
      <c r="BD170" s="77">
        <f t="shared" ca="1" si="1342"/>
        <v>0</v>
      </c>
      <c r="BE170" s="110"/>
      <c r="BF170" s="74" t="s">
        <v>2351</v>
      </c>
      <c r="BG170" s="77">
        <f t="shared" ca="1" si="1342"/>
        <v>0</v>
      </c>
      <c r="BH170" s="110"/>
      <c r="BI170" s="74" t="s">
        <v>2376</v>
      </c>
      <c r="BJ170" s="77">
        <f t="shared" ca="1" si="1342"/>
        <v>0</v>
      </c>
      <c r="BK170" s="110"/>
      <c r="BL170" s="74" t="s">
        <v>2408</v>
      </c>
      <c r="BM170" s="77">
        <f t="shared" ca="1" si="1342"/>
        <v>0</v>
      </c>
      <c r="BN170" s="110"/>
      <c r="BO170" s="74" t="s">
        <v>2423</v>
      </c>
      <c r="BP170" s="77">
        <f t="shared" ca="1" si="1342"/>
        <v>0</v>
      </c>
      <c r="BQ170" s="110"/>
      <c r="BR170" s="74" t="s">
        <v>2447</v>
      </c>
      <c r="BS170" s="77">
        <f t="shared" ca="1" si="1342"/>
        <v>0</v>
      </c>
      <c r="BT170" s="110"/>
      <c r="BU170" s="74" t="s">
        <v>2469</v>
      </c>
      <c r="BV170" s="77">
        <f t="shared" ca="1" si="1342"/>
        <v>0</v>
      </c>
      <c r="BW170" s="110"/>
      <c r="BX170" s="74" t="s">
        <v>2230</v>
      </c>
      <c r="BY170" s="77">
        <f t="shared" ca="1" si="1342"/>
        <v>0</v>
      </c>
      <c r="BZ170" s="110"/>
      <c r="CA170" s="74" t="s">
        <v>2497</v>
      </c>
      <c r="CB170" s="77">
        <f t="shared" ca="1" si="1342"/>
        <v>10</v>
      </c>
      <c r="CC170" s="110"/>
      <c r="CD170" s="74" t="s">
        <v>2514</v>
      </c>
      <c r="CE170" s="77">
        <f t="shared" ca="1" si="1342"/>
        <v>0</v>
      </c>
      <c r="CF170" s="110"/>
      <c r="CG170" s="74" t="s">
        <v>2139</v>
      </c>
      <c r="CH170" s="77">
        <f t="shared" ca="1" si="1342"/>
        <v>0</v>
      </c>
      <c r="CI170" s="110"/>
      <c r="CJ170" s="74" t="s">
        <v>2552</v>
      </c>
      <c r="CK170" s="77">
        <f t="shared" ca="1" si="1364"/>
        <v>0</v>
      </c>
      <c r="CL170" s="110"/>
      <c r="CM170" s="74" t="s">
        <v>2577</v>
      </c>
      <c r="CN170" s="77">
        <f t="shared" ca="1" si="1364"/>
        <v>0</v>
      </c>
      <c r="CO170" s="110"/>
      <c r="CP170" s="74" t="s">
        <v>2552</v>
      </c>
      <c r="CQ170" s="77">
        <f t="shared" ca="1" si="1364"/>
        <v>0</v>
      </c>
      <c r="CR170" s="110"/>
      <c r="CS170" s="74" t="s">
        <v>2615</v>
      </c>
      <c r="CT170" s="77">
        <f t="shared" ca="1" si="1364"/>
        <v>0</v>
      </c>
      <c r="CU170" s="110"/>
      <c r="CV170" s="74" t="s">
        <v>2640</v>
      </c>
      <c r="CW170" s="77">
        <f t="shared" ca="1" si="1364"/>
        <v>0</v>
      </c>
      <c r="CX170" s="110"/>
      <c r="CY170" s="74" t="s">
        <v>2666</v>
      </c>
      <c r="CZ170" s="77">
        <f t="shared" ca="1" si="1364"/>
        <v>0</v>
      </c>
      <c r="DA170" s="110"/>
      <c r="DB170" s="74" t="s">
        <v>2139</v>
      </c>
      <c r="DC170" s="77">
        <f t="shared" ca="1" si="1364"/>
        <v>0</v>
      </c>
      <c r="DD170" s="110"/>
      <c r="DE170" s="74" t="s">
        <v>2469</v>
      </c>
      <c r="DF170" s="77">
        <f t="shared" ca="1" si="1364"/>
        <v>0</v>
      </c>
      <c r="DG170" s="110"/>
      <c r="DH170" s="74" t="s">
        <v>2726</v>
      </c>
      <c r="DI170" s="77">
        <f t="shared" ca="1" si="1364"/>
        <v>0</v>
      </c>
      <c r="DJ170" s="110"/>
      <c r="DK170" s="74" t="s">
        <v>2750</v>
      </c>
      <c r="DL170" s="77">
        <f t="shared" ca="1" si="1364"/>
        <v>0</v>
      </c>
      <c r="DM170" s="110"/>
      <c r="DN170" s="74" t="s">
        <v>2763</v>
      </c>
      <c r="DO170" s="77">
        <f t="shared" ca="1" si="1364"/>
        <v>0</v>
      </c>
      <c r="DP170" s="110"/>
      <c r="DQ170" s="74" t="s">
        <v>2552</v>
      </c>
      <c r="DR170" s="77">
        <f t="shared" ca="1" si="1364"/>
        <v>0</v>
      </c>
      <c r="DS170" s="110"/>
      <c r="DT170" s="74" t="s">
        <v>2139</v>
      </c>
      <c r="DU170" s="77">
        <f t="shared" ca="1" si="1364"/>
        <v>0</v>
      </c>
      <c r="DV170" s="110"/>
      <c r="DW170" s="74" t="s">
        <v>2806</v>
      </c>
      <c r="DX170" s="77">
        <f t="shared" ca="1" si="1364"/>
        <v>0</v>
      </c>
      <c r="DY170" s="110"/>
      <c r="DZ170" s="74" t="s">
        <v>2818</v>
      </c>
      <c r="EA170" s="77">
        <f t="shared" ca="1" si="1364"/>
        <v>0</v>
      </c>
      <c r="EB170" s="110"/>
      <c r="EC170" s="74" t="s">
        <v>2822</v>
      </c>
      <c r="ED170" s="77">
        <f t="shared" ca="1" si="1364"/>
        <v>0</v>
      </c>
      <c r="EE170" s="110"/>
      <c r="EF170" s="74" t="s">
        <v>2832</v>
      </c>
      <c r="EG170" s="77">
        <f t="shared" ca="1" si="1364"/>
        <v>0</v>
      </c>
      <c r="EH170" s="110"/>
      <c r="EI170" s="74" t="s">
        <v>2469</v>
      </c>
      <c r="EJ170" s="77">
        <f t="shared" ca="1" si="1364"/>
        <v>0</v>
      </c>
      <c r="EK170" s="110"/>
      <c r="EL170" s="74" t="s">
        <v>2284</v>
      </c>
      <c r="EM170" s="77">
        <f t="shared" ca="1" si="1364"/>
        <v>0</v>
      </c>
      <c r="EN170" s="110"/>
      <c r="EO170" s="74" t="s">
        <v>2877</v>
      </c>
      <c r="EP170" s="77">
        <f t="shared" ca="1" si="1364"/>
        <v>0</v>
      </c>
      <c r="EQ170" s="110"/>
      <c r="ER170" s="74" t="s">
        <v>2284</v>
      </c>
      <c r="ES170" s="77">
        <f t="shared" ca="1" si="1364"/>
        <v>0</v>
      </c>
      <c r="ET170" s="110"/>
      <c r="EU170" s="74" t="s">
        <v>2284</v>
      </c>
      <c r="EV170" s="77">
        <f t="shared" ca="1" si="1364"/>
        <v>0</v>
      </c>
      <c r="EW170" s="110"/>
      <c r="EX170" s="74" t="s">
        <v>2194</v>
      </c>
      <c r="EY170" s="77">
        <f t="shared" ca="1" si="1386"/>
        <v>10</v>
      </c>
      <c r="EZ170" s="110"/>
      <c r="FA170" s="74" t="s">
        <v>2925</v>
      </c>
      <c r="FB170" s="77">
        <f t="shared" ca="1" si="1386"/>
        <v>0</v>
      </c>
      <c r="FC170" s="110"/>
      <c r="FD170" s="74" t="s">
        <v>2328</v>
      </c>
      <c r="FE170" s="77">
        <f t="shared" ca="1" si="1386"/>
        <v>0</v>
      </c>
      <c r="FF170" s="110"/>
      <c r="FG170" s="74" t="s">
        <v>2952</v>
      </c>
      <c r="FH170" s="77">
        <f t="shared" ca="1" si="1386"/>
        <v>0</v>
      </c>
      <c r="FI170" s="110"/>
      <c r="FJ170" s="74" t="s">
        <v>2284</v>
      </c>
      <c r="FK170" s="77">
        <f t="shared" ca="1" si="1386"/>
        <v>0</v>
      </c>
      <c r="FL170" s="110"/>
      <c r="FM170" s="74" t="s">
        <v>2139</v>
      </c>
      <c r="FN170" s="77">
        <f t="shared" ca="1" si="1386"/>
        <v>0</v>
      </c>
      <c r="FO170" s="110"/>
      <c r="FP170" s="74" t="s">
        <v>2978</v>
      </c>
      <c r="FQ170" s="77">
        <f t="shared" ca="1" si="1386"/>
        <v>0</v>
      </c>
      <c r="FR170" s="110"/>
      <c r="FS170" s="74" t="s">
        <v>2984</v>
      </c>
      <c r="FT170" s="77">
        <f t="shared" ca="1" si="1386"/>
        <v>0</v>
      </c>
      <c r="FU170" s="110"/>
      <c r="FV170" s="74" t="s">
        <v>2995</v>
      </c>
      <c r="FW170" s="77">
        <f t="shared" ca="1" si="1386"/>
        <v>0</v>
      </c>
      <c r="FX170" s="110"/>
      <c r="FY170" s="74" t="s">
        <v>3002</v>
      </c>
      <c r="FZ170" s="77">
        <f t="shared" ca="1" si="1386"/>
        <v>0</v>
      </c>
      <c r="GA170" s="110"/>
      <c r="GB170" s="74" t="s">
        <v>2230</v>
      </c>
      <c r="GC170" s="77">
        <f t="shared" ca="1" si="1386"/>
        <v>0</v>
      </c>
      <c r="GD170" s="110"/>
      <c r="GE170" s="74" t="s">
        <v>2552</v>
      </c>
      <c r="GF170" s="77">
        <f t="shared" ca="1" si="1386"/>
        <v>0</v>
      </c>
      <c r="GG170" s="110"/>
      <c r="GH170" s="74" t="s">
        <v>2110</v>
      </c>
      <c r="GI170" s="77">
        <f t="shared" ca="1" si="1386"/>
        <v>0</v>
      </c>
      <c r="GJ170" s="110"/>
      <c r="GK170" s="74" t="s">
        <v>3058</v>
      </c>
      <c r="GL170" s="77">
        <f t="shared" ca="1" si="1386"/>
        <v>0</v>
      </c>
      <c r="GM170" s="110"/>
      <c r="GN170" s="74"/>
      <c r="GO170" s="77">
        <f t="shared" ca="1" si="1386"/>
        <v>0</v>
      </c>
      <c r="GP170" s="110"/>
      <c r="GQ170" s="74"/>
      <c r="GR170" s="77">
        <f t="shared" ca="1" si="1386"/>
        <v>0</v>
      </c>
      <c r="GS170" s="110"/>
      <c r="GT170" s="74"/>
      <c r="GU170" s="77">
        <f t="shared" ca="1" si="1386"/>
        <v>0</v>
      </c>
      <c r="GV170" s="110"/>
      <c r="GW170" s="74"/>
      <c r="GX170" s="77">
        <f t="shared" ca="1" si="1386"/>
        <v>0</v>
      </c>
      <c r="GY170" s="110"/>
      <c r="GZ170" s="74"/>
      <c r="HA170" s="77">
        <f t="shared" ca="1" si="1386"/>
        <v>0</v>
      </c>
      <c r="HB170" s="110"/>
      <c r="HC170" s="74"/>
      <c r="HD170" s="77">
        <f t="shared" ca="1" si="1386"/>
        <v>0</v>
      </c>
      <c r="HE170" s="110"/>
      <c r="HF170" s="74"/>
      <c r="HG170" s="77">
        <f t="shared" ca="1" si="1386"/>
        <v>0</v>
      </c>
      <c r="HH170" s="110"/>
      <c r="HI170" s="74"/>
      <c r="HJ170" s="77">
        <f t="shared" ca="1" si="1386"/>
        <v>0</v>
      </c>
      <c r="HK170" s="110"/>
      <c r="HL170" s="74"/>
      <c r="HM170" s="77">
        <f t="shared" ca="1" si="1408"/>
        <v>0</v>
      </c>
      <c r="HN170" s="110"/>
      <c r="HO170" s="74"/>
      <c r="HP170" s="77">
        <f t="shared" ca="1" si="1408"/>
        <v>0</v>
      </c>
      <c r="HQ170" s="110"/>
      <c r="HR170" s="74"/>
      <c r="HS170" s="77">
        <f t="shared" ca="1" si="1408"/>
        <v>0</v>
      </c>
      <c r="HT170" s="110"/>
      <c r="HU170" s="74"/>
      <c r="HV170" s="77">
        <f t="shared" ca="1" si="1408"/>
        <v>0</v>
      </c>
      <c r="HW170" s="110"/>
      <c r="HX170" s="74"/>
      <c r="HY170" s="77">
        <f t="shared" ca="1" si="1408"/>
        <v>0</v>
      </c>
      <c r="HZ170" s="110"/>
      <c r="IA170" s="74"/>
      <c r="IB170" s="77">
        <f t="shared" ca="1" si="1408"/>
        <v>0</v>
      </c>
      <c r="IC170" s="110"/>
      <c r="ID170" s="74"/>
      <c r="IE170" s="77">
        <f t="shared" ca="1" si="1408"/>
        <v>0</v>
      </c>
      <c r="IF170" s="110"/>
      <c r="IG170" s="74"/>
      <c r="IH170" s="77">
        <f t="shared" ca="1" si="1408"/>
        <v>0</v>
      </c>
      <c r="II170" s="110"/>
      <c r="IJ170" s="74"/>
      <c r="IK170" s="77">
        <f t="shared" ca="1" si="1408"/>
        <v>0</v>
      </c>
      <c r="IL170" s="110"/>
      <c r="IM170" s="74"/>
      <c r="IN170" s="77">
        <f t="shared" ca="1" si="1408"/>
        <v>0</v>
      </c>
      <c r="IO170" s="110"/>
      <c r="IP170" s="74"/>
      <c r="IQ170" s="77">
        <f t="shared" ca="1" si="1408"/>
        <v>0</v>
      </c>
      <c r="IR170" s="110"/>
      <c r="IS170" s="74"/>
      <c r="IT170" s="77">
        <f t="shared" ca="1" si="1408"/>
        <v>0</v>
      </c>
      <c r="IU170" s="110"/>
      <c r="IV170" s="74"/>
      <c r="IW170" s="77">
        <f t="shared" ca="1" si="1408"/>
        <v>0</v>
      </c>
      <c r="IX170" s="110"/>
      <c r="IY170" s="74"/>
      <c r="IZ170" s="77">
        <f t="shared" ca="1" si="1408"/>
        <v>0</v>
      </c>
      <c r="JA170" s="110"/>
      <c r="JB170" s="74"/>
      <c r="JC170" s="77">
        <f t="shared" ca="1" si="1408"/>
        <v>0</v>
      </c>
      <c r="JD170" s="110"/>
      <c r="JE170" s="74"/>
      <c r="JF170" s="77">
        <f t="shared" ca="1" si="1408"/>
        <v>0</v>
      </c>
      <c r="JG170" s="110"/>
      <c r="JH170" s="74"/>
      <c r="JI170" s="77">
        <f t="shared" ca="1" si="1408"/>
        <v>0</v>
      </c>
      <c r="JJ170" s="110"/>
      <c r="JK170" s="74"/>
      <c r="JL170" s="77">
        <f t="shared" ca="1" si="1408"/>
        <v>0</v>
      </c>
      <c r="JM170" s="110"/>
      <c r="JN170" s="74"/>
      <c r="JO170" s="77">
        <f t="shared" ca="1" si="1408"/>
        <v>0</v>
      </c>
      <c r="JP170" s="110"/>
      <c r="JQ170" s="74"/>
      <c r="JR170" s="77">
        <f t="shared" ca="1" si="1408"/>
        <v>0</v>
      </c>
      <c r="JS170" s="110"/>
      <c r="JT170" s="74"/>
      <c r="JU170" s="77">
        <f t="shared" ca="1" si="1408"/>
        <v>0</v>
      </c>
      <c r="JV170" s="110"/>
      <c r="JW170" s="74"/>
      <c r="JX170" s="77">
        <f t="shared" ca="1" si="1408"/>
        <v>0</v>
      </c>
      <c r="JY170" s="110"/>
      <c r="JZ170" s="74"/>
      <c r="KA170" s="77">
        <f t="shared" ca="1" si="1430"/>
        <v>0</v>
      </c>
      <c r="KB170" s="110"/>
      <c r="KC170" s="74"/>
      <c r="KD170" s="77">
        <f t="shared" ca="1" si="1430"/>
        <v>0</v>
      </c>
      <c r="KE170" s="110"/>
      <c r="KF170" s="74"/>
      <c r="KG170" s="77">
        <f t="shared" ca="1" si="1430"/>
        <v>0</v>
      </c>
      <c r="KH170" s="110"/>
      <c r="KI170" s="74"/>
      <c r="KJ170" s="77">
        <f t="shared" ca="1" si="1430"/>
        <v>0</v>
      </c>
      <c r="KK170" s="110"/>
      <c r="KL170" s="74"/>
      <c r="KM170" s="77">
        <f t="shared" ca="1" si="1430"/>
        <v>0</v>
      </c>
      <c r="KN170" s="110"/>
      <c r="KO170" s="74"/>
      <c r="KP170" s="77">
        <f t="shared" ca="1" si="1430"/>
        <v>0</v>
      </c>
      <c r="KQ170" s="110"/>
      <c r="KR170" s="74"/>
      <c r="KS170" s="77">
        <f t="shared" ca="1" si="1430"/>
        <v>0</v>
      </c>
      <c r="KT170" s="110"/>
      <c r="KU170" s="74"/>
      <c r="KV170" s="77">
        <f t="shared" ca="1" si="1430"/>
        <v>0</v>
      </c>
      <c r="KW170" s="110"/>
      <c r="KX170" s="74"/>
      <c r="KY170" s="77">
        <f t="shared" ca="1" si="1430"/>
        <v>0</v>
      </c>
      <c r="KZ170" s="110"/>
      <c r="LA170" s="74"/>
      <c r="LB170" s="77">
        <f t="shared" ca="1" si="1430"/>
        <v>0</v>
      </c>
      <c r="LC170" s="110"/>
      <c r="LD170" s="74"/>
      <c r="LE170" s="77">
        <f t="shared" ca="1" si="1430"/>
        <v>0</v>
      </c>
      <c r="LF170" s="110"/>
      <c r="LG170" s="110"/>
    </row>
    <row r="171" spans="1:319">
      <c r="A171" s="25">
        <f>WORLDCUP!AD108</f>
        <v>1</v>
      </c>
      <c r="B171" s="25">
        <f>WORLDCUP!AC108</f>
        <v>2</v>
      </c>
      <c r="C171" s="25" t="str">
        <f ca="1">CONCATENATE(WORLDCUP!AF108,"-",WORLDCUP!AA108)</f>
        <v>DR Congo-England</v>
      </c>
      <c r="D171" s="25">
        <f>IF(WORLDCUP!AC108&gt;WORLDCUP!AD108,2,IF(WORLDCUP!AC108&lt;WORLDCUP!AD108,1,IF(AND(WORLDCUP!AC108=WORLDCUP!AD108,WORLDCUP!AC108&lt;&gt;"",WORLDCUP!AD108&lt;&gt;""),0,"PD")))</f>
        <v>2</v>
      </c>
      <c r="E171" s="25" t="str">
        <f>IF(OR(WORLDCUP!AC108="",WORLDCUP!AD108=""),"-",A171&amp;"-"&amp;B171)</f>
        <v>1-2</v>
      </c>
      <c r="F171" s="407">
        <f t="shared" si="1441"/>
        <v>20</v>
      </c>
      <c r="G171" s="407">
        <f ca="1">VLOOKUP(H171,Equipos!$Q$1:$R$25,2,0)</f>
        <v>20</v>
      </c>
      <c r="H171" s="446" t="str">
        <f>Idiomas!$D$260</f>
        <v>Round of 32</v>
      </c>
      <c r="I171" s="43">
        <v>1</v>
      </c>
      <c r="J171" s="845"/>
      <c r="K171" s="56" t="str">
        <f ca="1">CONCATENATE(WORLDCUP!AA108,"-",WORLDCUP!AF108)</f>
        <v>England-DR Congo</v>
      </c>
      <c r="L171" s="53">
        <f>IF(OR(WORLDCUP!AC108="",WORLDCUP!AD108=""),"PD",IF(WORLDCUP!AC108&gt;WORLDCUP!AD108,1,IF(WORLDCUP!AC108&lt;WORLDCUP!AD108,2,0)))</f>
        <v>1</v>
      </c>
      <c r="M171" s="55" t="str">
        <f t="shared" si="1442"/>
        <v>2-1</v>
      </c>
      <c r="N171" s="25">
        <f>WORLDCUP!AC108</f>
        <v>2</v>
      </c>
      <c r="O171" s="25">
        <f>WORLDCUP!AD108</f>
        <v>1</v>
      </c>
      <c r="P171" s="25">
        <f t="shared" si="1443"/>
        <v>1</v>
      </c>
      <c r="Q171" s="25">
        <f t="shared" si="1444"/>
        <v>-1</v>
      </c>
      <c r="R171" s="110"/>
      <c r="S171" s="74" t="s">
        <v>1969</v>
      </c>
      <c r="T171" s="77">
        <f t="shared" ca="1" si="1445"/>
        <v>0</v>
      </c>
      <c r="U171" s="110"/>
      <c r="V171" s="74" t="s">
        <v>2008</v>
      </c>
      <c r="W171" s="77">
        <f t="shared" ca="1" si="1342"/>
        <v>0</v>
      </c>
      <c r="X171" s="110"/>
      <c r="Y171" s="74" t="s">
        <v>2044</v>
      </c>
      <c r="Z171" s="77">
        <f t="shared" ca="1" si="1342"/>
        <v>10</v>
      </c>
      <c r="AA171" s="110"/>
      <c r="AB171" s="80" t="s">
        <v>2076</v>
      </c>
      <c r="AC171" s="77">
        <f t="shared" ca="1" si="1342"/>
        <v>0</v>
      </c>
      <c r="AD171" s="110"/>
      <c r="AE171" s="74" t="s">
        <v>2111</v>
      </c>
      <c r="AF171" s="77">
        <f t="shared" ca="1" si="1342"/>
        <v>0</v>
      </c>
      <c r="AG171" s="110"/>
      <c r="AH171" s="74" t="s">
        <v>2140</v>
      </c>
      <c r="AI171" s="77">
        <f t="shared" ca="1" si="1342"/>
        <v>10</v>
      </c>
      <c r="AJ171" s="110"/>
      <c r="AK171" s="74" t="s">
        <v>2167</v>
      </c>
      <c r="AL171" s="77">
        <f t="shared" ca="1" si="1342"/>
        <v>0</v>
      </c>
      <c r="AM171" s="110"/>
      <c r="AN171" s="74" t="s">
        <v>2195</v>
      </c>
      <c r="AO171" s="77">
        <f t="shared" ca="1" si="1342"/>
        <v>0</v>
      </c>
      <c r="AP171" s="110"/>
      <c r="AQ171" s="74" t="s">
        <v>2231</v>
      </c>
      <c r="AR171" s="77">
        <f t="shared" ca="1" si="1342"/>
        <v>0</v>
      </c>
      <c r="AS171" s="110"/>
      <c r="AT171" s="74" t="s">
        <v>2258</v>
      </c>
      <c r="AU171" s="77">
        <f t="shared" ca="1" si="1342"/>
        <v>0</v>
      </c>
      <c r="AV171" s="110"/>
      <c r="AW171" s="74" t="s">
        <v>2285</v>
      </c>
      <c r="AX171" s="77">
        <f t="shared" ca="1" si="1342"/>
        <v>12</v>
      </c>
      <c r="AY171" s="110"/>
      <c r="AZ171" s="74" t="s">
        <v>2111</v>
      </c>
      <c r="BA171" s="77">
        <f t="shared" ca="1" si="1342"/>
        <v>0</v>
      </c>
      <c r="BB171" s="110"/>
      <c r="BC171" s="74" t="s">
        <v>2329</v>
      </c>
      <c r="BD171" s="77">
        <f t="shared" ca="1" si="1342"/>
        <v>0</v>
      </c>
      <c r="BE171" s="110"/>
      <c r="BF171" s="74" t="s">
        <v>2352</v>
      </c>
      <c r="BG171" s="77">
        <f t="shared" ca="1" si="1342"/>
        <v>0</v>
      </c>
      <c r="BH171" s="110"/>
      <c r="BI171" s="74" t="s">
        <v>2377</v>
      </c>
      <c r="BJ171" s="77">
        <f t="shared" ca="1" si="1342"/>
        <v>0</v>
      </c>
      <c r="BK171" s="110"/>
      <c r="BL171" s="74" t="s">
        <v>2409</v>
      </c>
      <c r="BM171" s="77">
        <f t="shared" ca="1" si="1342"/>
        <v>0</v>
      </c>
      <c r="BN171" s="110"/>
      <c r="BO171" s="74" t="s">
        <v>2424</v>
      </c>
      <c r="BP171" s="77">
        <f t="shared" ca="1" si="1342"/>
        <v>0</v>
      </c>
      <c r="BQ171" s="110"/>
      <c r="BR171" s="74" t="s">
        <v>2111</v>
      </c>
      <c r="BS171" s="77">
        <f t="shared" ca="1" si="1342"/>
        <v>0</v>
      </c>
      <c r="BT171" s="110"/>
      <c r="BU171" s="74" t="s">
        <v>2044</v>
      </c>
      <c r="BV171" s="77">
        <f t="shared" ca="1" si="1342"/>
        <v>10</v>
      </c>
      <c r="BW171" s="110"/>
      <c r="BX171" s="74" t="s">
        <v>2167</v>
      </c>
      <c r="BY171" s="77">
        <f t="shared" ca="1" si="1342"/>
        <v>0</v>
      </c>
      <c r="BZ171" s="110"/>
      <c r="CA171" s="74" t="s">
        <v>2498</v>
      </c>
      <c r="CB171" s="77">
        <f t="shared" ca="1" si="1342"/>
        <v>0</v>
      </c>
      <c r="CC171" s="110"/>
      <c r="CD171" s="74" t="s">
        <v>2515</v>
      </c>
      <c r="CE171" s="77">
        <f t="shared" ca="1" si="1342"/>
        <v>0</v>
      </c>
      <c r="CF171" s="110"/>
      <c r="CG171" s="74" t="s">
        <v>2076</v>
      </c>
      <c r="CH171" s="77">
        <f t="shared" ca="1" si="1342"/>
        <v>0</v>
      </c>
      <c r="CI171" s="110"/>
      <c r="CJ171" s="74" t="s">
        <v>2553</v>
      </c>
      <c r="CK171" s="77">
        <f t="shared" ca="1" si="1364"/>
        <v>20</v>
      </c>
      <c r="CL171" s="110"/>
      <c r="CM171" s="74" t="s">
        <v>2578</v>
      </c>
      <c r="CN171" s="77">
        <f t="shared" ca="1" si="1364"/>
        <v>0</v>
      </c>
      <c r="CO171" s="110"/>
      <c r="CP171" s="74" t="s">
        <v>2606</v>
      </c>
      <c r="CQ171" s="77">
        <f t="shared" ca="1" si="1364"/>
        <v>0</v>
      </c>
      <c r="CR171" s="110"/>
      <c r="CS171" s="74" t="s">
        <v>2616</v>
      </c>
      <c r="CT171" s="77">
        <f t="shared" ca="1" si="1364"/>
        <v>0</v>
      </c>
      <c r="CU171" s="110"/>
      <c r="CV171" s="74" t="s">
        <v>2641</v>
      </c>
      <c r="CW171" s="77">
        <f t="shared" ca="1" si="1364"/>
        <v>0</v>
      </c>
      <c r="CX171" s="110"/>
      <c r="CY171" s="74" t="s">
        <v>2667</v>
      </c>
      <c r="CZ171" s="77">
        <f t="shared" ca="1" si="1364"/>
        <v>0</v>
      </c>
      <c r="DA171" s="110"/>
      <c r="DB171" s="74" t="s">
        <v>2498</v>
      </c>
      <c r="DC171" s="77">
        <f t="shared" ca="1" si="1364"/>
        <v>0</v>
      </c>
      <c r="DD171" s="110"/>
      <c r="DE171" s="74" t="s">
        <v>2711</v>
      </c>
      <c r="DF171" s="77">
        <f t="shared" ca="1" si="1364"/>
        <v>0</v>
      </c>
      <c r="DG171" s="110"/>
      <c r="DH171" s="74" t="s">
        <v>2727</v>
      </c>
      <c r="DI171" s="77">
        <f t="shared" ca="1" si="1364"/>
        <v>0</v>
      </c>
      <c r="DJ171" s="110"/>
      <c r="DK171" s="74" t="s">
        <v>2111</v>
      </c>
      <c r="DL171" s="77">
        <f t="shared" ca="1" si="1364"/>
        <v>0</v>
      </c>
      <c r="DM171" s="110"/>
      <c r="DN171" s="74" t="s">
        <v>2498</v>
      </c>
      <c r="DO171" s="77">
        <f t="shared" ca="1" si="1364"/>
        <v>0</v>
      </c>
      <c r="DP171" s="110"/>
      <c r="DQ171" s="74" t="s">
        <v>2111</v>
      </c>
      <c r="DR171" s="77">
        <f t="shared" ca="1" si="1364"/>
        <v>0</v>
      </c>
      <c r="DS171" s="110"/>
      <c r="DT171" s="74" t="s">
        <v>2409</v>
      </c>
      <c r="DU171" s="77">
        <f t="shared" ca="1" si="1364"/>
        <v>0</v>
      </c>
      <c r="DV171" s="110"/>
      <c r="DW171" s="74" t="s">
        <v>2329</v>
      </c>
      <c r="DX171" s="77">
        <f t="shared" ca="1" si="1364"/>
        <v>0</v>
      </c>
      <c r="DY171" s="110"/>
      <c r="DZ171" s="74" t="s">
        <v>2409</v>
      </c>
      <c r="EA171" s="77">
        <f t="shared" ca="1" si="1364"/>
        <v>0</v>
      </c>
      <c r="EB171" s="110"/>
      <c r="EC171" s="74" t="s">
        <v>2076</v>
      </c>
      <c r="ED171" s="77">
        <f t="shared" ca="1" si="1364"/>
        <v>0</v>
      </c>
      <c r="EE171" s="110"/>
      <c r="EF171" s="74" t="s">
        <v>2833</v>
      </c>
      <c r="EG171" s="77">
        <f t="shared" ca="1" si="1364"/>
        <v>0</v>
      </c>
      <c r="EH171" s="110"/>
      <c r="EI171" s="74" t="s">
        <v>2606</v>
      </c>
      <c r="EJ171" s="77">
        <f t="shared" ca="1" si="1364"/>
        <v>0</v>
      </c>
      <c r="EK171" s="110"/>
      <c r="EL171" s="74" t="s">
        <v>2863</v>
      </c>
      <c r="EM171" s="77">
        <f t="shared" ca="1" si="1364"/>
        <v>0</v>
      </c>
      <c r="EN171" s="110"/>
      <c r="EO171" s="74" t="s">
        <v>2727</v>
      </c>
      <c r="EP171" s="77">
        <f t="shared" ca="1" si="1364"/>
        <v>0</v>
      </c>
      <c r="EQ171" s="110"/>
      <c r="ER171" s="74" t="s">
        <v>2889</v>
      </c>
      <c r="ES171" s="77">
        <f t="shared" ca="1" si="1364"/>
        <v>0</v>
      </c>
      <c r="ET171" s="110"/>
      <c r="EU171" s="74" t="s">
        <v>2900</v>
      </c>
      <c r="EV171" s="77">
        <f t="shared" ca="1" si="1364"/>
        <v>10</v>
      </c>
      <c r="EW171" s="110"/>
      <c r="EX171" s="74" t="s">
        <v>2111</v>
      </c>
      <c r="EY171" s="77">
        <f t="shared" ca="1" si="1386"/>
        <v>0</v>
      </c>
      <c r="EZ171" s="110"/>
      <c r="FA171" s="74" t="s">
        <v>2833</v>
      </c>
      <c r="FB171" s="77">
        <f t="shared" ca="1" si="1386"/>
        <v>0</v>
      </c>
      <c r="FC171" s="110"/>
      <c r="FD171" s="74" t="s">
        <v>2578</v>
      </c>
      <c r="FE171" s="77">
        <f t="shared" ca="1" si="1386"/>
        <v>0</v>
      </c>
      <c r="FF171" s="110"/>
      <c r="FG171" s="74" t="s">
        <v>2111</v>
      </c>
      <c r="FH171" s="77">
        <f t="shared" ca="1" si="1386"/>
        <v>0</v>
      </c>
      <c r="FI171" s="110"/>
      <c r="FJ171" s="74" t="s">
        <v>1969</v>
      </c>
      <c r="FK171" s="77">
        <f t="shared" ca="1" si="1386"/>
        <v>0</v>
      </c>
      <c r="FL171" s="110"/>
      <c r="FM171" s="74" t="s">
        <v>2971</v>
      </c>
      <c r="FN171" s="77">
        <f t="shared" ca="1" si="1386"/>
        <v>0</v>
      </c>
      <c r="FO171" s="110"/>
      <c r="FP171" s="74" t="s">
        <v>2409</v>
      </c>
      <c r="FQ171" s="77">
        <f t="shared" ca="1" si="1386"/>
        <v>0</v>
      </c>
      <c r="FR171" s="110"/>
      <c r="FS171" s="74" t="s">
        <v>1969</v>
      </c>
      <c r="FT171" s="77">
        <f t="shared" ca="1" si="1386"/>
        <v>0</v>
      </c>
      <c r="FU171" s="110"/>
      <c r="FV171" s="74" t="s">
        <v>2889</v>
      </c>
      <c r="FW171" s="77">
        <f t="shared" ca="1" si="1386"/>
        <v>0</v>
      </c>
      <c r="FX171" s="110"/>
      <c r="FY171" s="74" t="s">
        <v>2167</v>
      </c>
      <c r="FZ171" s="77">
        <f t="shared" ca="1" si="1386"/>
        <v>0</v>
      </c>
      <c r="GA171" s="110"/>
      <c r="GB171" s="74" t="s">
        <v>3018</v>
      </c>
      <c r="GC171" s="77">
        <f t="shared" ca="1" si="1386"/>
        <v>0</v>
      </c>
      <c r="GD171" s="110"/>
      <c r="GE171" s="74" t="s">
        <v>1969</v>
      </c>
      <c r="GF171" s="77">
        <f t="shared" ca="1" si="1386"/>
        <v>0</v>
      </c>
      <c r="GG171" s="110"/>
      <c r="GH171" s="74" t="s">
        <v>2515</v>
      </c>
      <c r="GI171" s="77">
        <f t="shared" ca="1" si="1386"/>
        <v>0</v>
      </c>
      <c r="GJ171" s="110"/>
      <c r="GK171" s="74" t="s">
        <v>3059</v>
      </c>
      <c r="GL171" s="77">
        <f t="shared" ca="1" si="1386"/>
        <v>0</v>
      </c>
      <c r="GM171" s="110"/>
      <c r="GN171" s="74"/>
      <c r="GO171" s="77">
        <f t="shared" ca="1" si="1386"/>
        <v>0</v>
      </c>
      <c r="GP171" s="110"/>
      <c r="GQ171" s="74"/>
      <c r="GR171" s="77">
        <f t="shared" ca="1" si="1386"/>
        <v>0</v>
      </c>
      <c r="GS171" s="110"/>
      <c r="GT171" s="74"/>
      <c r="GU171" s="77">
        <f t="shared" ca="1" si="1386"/>
        <v>0</v>
      </c>
      <c r="GV171" s="110"/>
      <c r="GW171" s="74"/>
      <c r="GX171" s="77">
        <f t="shared" ca="1" si="1386"/>
        <v>0</v>
      </c>
      <c r="GY171" s="110"/>
      <c r="GZ171" s="74"/>
      <c r="HA171" s="77">
        <f t="shared" ca="1" si="1386"/>
        <v>0</v>
      </c>
      <c r="HB171" s="110"/>
      <c r="HC171" s="74"/>
      <c r="HD171" s="77">
        <f t="shared" ca="1" si="1386"/>
        <v>0</v>
      </c>
      <c r="HE171" s="110"/>
      <c r="HF171" s="74"/>
      <c r="HG171" s="77">
        <f t="shared" ca="1" si="1386"/>
        <v>0</v>
      </c>
      <c r="HH171" s="110"/>
      <c r="HI171" s="74"/>
      <c r="HJ171" s="77">
        <f t="shared" ca="1" si="1386"/>
        <v>0</v>
      </c>
      <c r="HK171" s="110"/>
      <c r="HL171" s="74"/>
      <c r="HM171" s="77">
        <f t="shared" ca="1" si="1408"/>
        <v>0</v>
      </c>
      <c r="HN171" s="110"/>
      <c r="HO171" s="74"/>
      <c r="HP171" s="77">
        <f t="shared" ca="1" si="1408"/>
        <v>0</v>
      </c>
      <c r="HQ171" s="110"/>
      <c r="HR171" s="74"/>
      <c r="HS171" s="77">
        <f t="shared" ca="1" si="1408"/>
        <v>0</v>
      </c>
      <c r="HT171" s="110"/>
      <c r="HU171" s="74"/>
      <c r="HV171" s="77">
        <f t="shared" ca="1" si="1408"/>
        <v>0</v>
      </c>
      <c r="HW171" s="110"/>
      <c r="HX171" s="74"/>
      <c r="HY171" s="77">
        <f t="shared" ca="1" si="1408"/>
        <v>0</v>
      </c>
      <c r="HZ171" s="110"/>
      <c r="IA171" s="74"/>
      <c r="IB171" s="77">
        <f t="shared" ca="1" si="1408"/>
        <v>0</v>
      </c>
      <c r="IC171" s="110"/>
      <c r="ID171" s="74"/>
      <c r="IE171" s="77">
        <f t="shared" ca="1" si="1408"/>
        <v>0</v>
      </c>
      <c r="IF171" s="110"/>
      <c r="IG171" s="74"/>
      <c r="IH171" s="77">
        <f t="shared" ca="1" si="1408"/>
        <v>0</v>
      </c>
      <c r="II171" s="110"/>
      <c r="IJ171" s="74"/>
      <c r="IK171" s="77">
        <f t="shared" ca="1" si="1408"/>
        <v>0</v>
      </c>
      <c r="IL171" s="110"/>
      <c r="IM171" s="74"/>
      <c r="IN171" s="77">
        <f t="shared" ca="1" si="1408"/>
        <v>0</v>
      </c>
      <c r="IO171" s="110"/>
      <c r="IP171" s="74"/>
      <c r="IQ171" s="77">
        <f t="shared" ca="1" si="1408"/>
        <v>0</v>
      </c>
      <c r="IR171" s="110"/>
      <c r="IS171" s="74"/>
      <c r="IT171" s="77">
        <f t="shared" ca="1" si="1408"/>
        <v>0</v>
      </c>
      <c r="IU171" s="110"/>
      <c r="IV171" s="74"/>
      <c r="IW171" s="77">
        <f t="shared" ca="1" si="1408"/>
        <v>0</v>
      </c>
      <c r="IX171" s="110"/>
      <c r="IY171" s="74"/>
      <c r="IZ171" s="77">
        <f t="shared" ca="1" si="1408"/>
        <v>0</v>
      </c>
      <c r="JA171" s="110"/>
      <c r="JB171" s="74"/>
      <c r="JC171" s="77">
        <f t="shared" ca="1" si="1408"/>
        <v>0</v>
      </c>
      <c r="JD171" s="110"/>
      <c r="JE171" s="74"/>
      <c r="JF171" s="77">
        <f t="shared" ca="1" si="1408"/>
        <v>0</v>
      </c>
      <c r="JG171" s="110"/>
      <c r="JH171" s="74"/>
      <c r="JI171" s="77">
        <f t="shared" ca="1" si="1408"/>
        <v>0</v>
      </c>
      <c r="JJ171" s="110"/>
      <c r="JK171" s="74"/>
      <c r="JL171" s="77">
        <f t="shared" ca="1" si="1408"/>
        <v>0</v>
      </c>
      <c r="JM171" s="110"/>
      <c r="JN171" s="74"/>
      <c r="JO171" s="77">
        <f t="shared" ca="1" si="1408"/>
        <v>0</v>
      </c>
      <c r="JP171" s="110"/>
      <c r="JQ171" s="74"/>
      <c r="JR171" s="77">
        <f t="shared" ca="1" si="1408"/>
        <v>0</v>
      </c>
      <c r="JS171" s="110"/>
      <c r="JT171" s="74"/>
      <c r="JU171" s="77">
        <f t="shared" ca="1" si="1408"/>
        <v>0</v>
      </c>
      <c r="JV171" s="110"/>
      <c r="JW171" s="74"/>
      <c r="JX171" s="77">
        <f t="shared" ca="1" si="1408"/>
        <v>0</v>
      </c>
      <c r="JY171" s="110"/>
      <c r="JZ171" s="74"/>
      <c r="KA171" s="77">
        <f t="shared" ca="1" si="1430"/>
        <v>0</v>
      </c>
      <c r="KB171" s="110"/>
      <c r="KC171" s="74"/>
      <c r="KD171" s="77">
        <f t="shared" ca="1" si="1430"/>
        <v>0</v>
      </c>
      <c r="KE171" s="110"/>
      <c r="KF171" s="74"/>
      <c r="KG171" s="77">
        <f t="shared" ca="1" si="1430"/>
        <v>0</v>
      </c>
      <c r="KH171" s="110"/>
      <c r="KI171" s="74"/>
      <c r="KJ171" s="77">
        <f t="shared" ca="1" si="1430"/>
        <v>0</v>
      </c>
      <c r="KK171" s="110"/>
      <c r="KL171" s="74"/>
      <c r="KM171" s="77">
        <f t="shared" ca="1" si="1430"/>
        <v>0</v>
      </c>
      <c r="KN171" s="110"/>
      <c r="KO171" s="74"/>
      <c r="KP171" s="77">
        <f t="shared" ca="1" si="1430"/>
        <v>0</v>
      </c>
      <c r="KQ171" s="110"/>
      <c r="KR171" s="74"/>
      <c r="KS171" s="77">
        <f t="shared" ca="1" si="1430"/>
        <v>0</v>
      </c>
      <c r="KT171" s="110"/>
      <c r="KU171" s="74"/>
      <c r="KV171" s="77">
        <f t="shared" ca="1" si="1430"/>
        <v>0</v>
      </c>
      <c r="KW171" s="110"/>
      <c r="KX171" s="74"/>
      <c r="KY171" s="77">
        <f t="shared" ca="1" si="1430"/>
        <v>0</v>
      </c>
      <c r="KZ171" s="110"/>
      <c r="LA171" s="74"/>
      <c r="LB171" s="77">
        <f t="shared" ca="1" si="1430"/>
        <v>0</v>
      </c>
      <c r="LC171" s="110"/>
      <c r="LD171" s="74"/>
      <c r="LE171" s="77">
        <f t="shared" ca="1" si="1430"/>
        <v>0</v>
      </c>
      <c r="LF171" s="110"/>
      <c r="LG171" s="110"/>
    </row>
    <row r="172" spans="1:319">
      <c r="A172" s="25">
        <f>WORLDCUP!AD109</f>
        <v>2</v>
      </c>
      <c r="B172" s="25">
        <f>WORLDCUP!AC109</f>
        <v>3</v>
      </c>
      <c r="C172" s="25" t="str">
        <f ca="1">CONCATENATE(WORLDCUP!AF109,"-",WORLDCUP!AA109)</f>
        <v>Senegal-Belgium</v>
      </c>
      <c r="D172" s="25">
        <f>IF(WORLDCUP!AC109&gt;WORLDCUP!AD109,2,IF(WORLDCUP!AC109&lt;WORLDCUP!AD109,1,IF(AND(WORLDCUP!AC109=WORLDCUP!AD109,WORLDCUP!AC109&lt;&gt;"",WORLDCUP!AD109&lt;&gt;""),0,"PD")))</f>
        <v>2</v>
      </c>
      <c r="E172" s="25" t="str">
        <f>IF(OR(WORLDCUP!AC109="",WORLDCUP!AD109=""),"-",A172&amp;"-"&amp;B172)</f>
        <v>2-3</v>
      </c>
      <c r="F172" s="407">
        <f t="shared" si="1441"/>
        <v>20</v>
      </c>
      <c r="G172" s="407">
        <f ca="1">VLOOKUP(H172,Equipos!$Q$1:$R$25,2,0)</f>
        <v>20</v>
      </c>
      <c r="H172" s="446" t="str">
        <f>Idiomas!$D$260</f>
        <v>Round of 32</v>
      </c>
      <c r="I172" s="43">
        <v>1</v>
      </c>
      <c r="J172" s="845"/>
      <c r="K172" s="56" t="str">
        <f ca="1">CONCATENATE(WORLDCUP!AA109,"-",WORLDCUP!AF109)</f>
        <v>Belgium-Senegal</v>
      </c>
      <c r="L172" s="53">
        <f>IF(OR(WORLDCUP!AC109="",WORLDCUP!AD109=""),"PD",IF(WORLDCUP!AC109&gt;WORLDCUP!AD109,1,IF(WORLDCUP!AC109&lt;WORLDCUP!AD109,2,0)))</f>
        <v>1</v>
      </c>
      <c r="M172" s="55" t="str">
        <f t="shared" si="1442"/>
        <v>3-2</v>
      </c>
      <c r="N172" s="25">
        <f>WORLDCUP!AC109</f>
        <v>3</v>
      </c>
      <c r="O172" s="25">
        <f>WORLDCUP!AD109</f>
        <v>2</v>
      </c>
      <c r="P172" s="25">
        <f t="shared" si="1443"/>
        <v>1</v>
      </c>
      <c r="Q172" s="25">
        <f t="shared" si="1444"/>
        <v>-1</v>
      </c>
      <c r="R172" s="110"/>
      <c r="S172" s="74" t="s">
        <v>1970</v>
      </c>
      <c r="T172" s="77">
        <f t="shared" ca="1" si="1445"/>
        <v>0</v>
      </c>
      <c r="U172" s="110"/>
      <c r="V172" s="74" t="s">
        <v>2009</v>
      </c>
      <c r="W172" s="77">
        <f t="shared" ca="1" si="1342"/>
        <v>0</v>
      </c>
      <c r="X172" s="110"/>
      <c r="Y172" s="74" t="s">
        <v>2045</v>
      </c>
      <c r="Z172" s="77">
        <f t="shared" ca="1" si="1342"/>
        <v>0</v>
      </c>
      <c r="AA172" s="110"/>
      <c r="AB172" s="80" t="s">
        <v>2077</v>
      </c>
      <c r="AC172" s="77">
        <f t="shared" ca="1" si="1342"/>
        <v>0</v>
      </c>
      <c r="AD172" s="110"/>
      <c r="AE172" s="74" t="s">
        <v>2112</v>
      </c>
      <c r="AF172" s="77">
        <f t="shared" ca="1" si="1342"/>
        <v>0</v>
      </c>
      <c r="AG172" s="110"/>
      <c r="AH172" s="74" t="s">
        <v>2141</v>
      </c>
      <c r="AI172" s="77">
        <f t="shared" ca="1" si="1342"/>
        <v>0</v>
      </c>
      <c r="AJ172" s="110"/>
      <c r="AK172" s="74" t="s">
        <v>2168</v>
      </c>
      <c r="AL172" s="77">
        <f t="shared" ca="1" si="1342"/>
        <v>10</v>
      </c>
      <c r="AM172" s="110"/>
      <c r="AN172" s="74" t="s">
        <v>2196</v>
      </c>
      <c r="AO172" s="77">
        <f t="shared" ca="1" si="1342"/>
        <v>0</v>
      </c>
      <c r="AP172" s="110"/>
      <c r="AQ172" s="74" t="s">
        <v>2232</v>
      </c>
      <c r="AR172" s="77">
        <f t="shared" ca="1" si="1342"/>
        <v>0</v>
      </c>
      <c r="AS172" s="110"/>
      <c r="AT172" s="74" t="s">
        <v>2259</v>
      </c>
      <c r="AU172" s="77">
        <f t="shared" ca="1" si="1342"/>
        <v>0</v>
      </c>
      <c r="AV172" s="110"/>
      <c r="AW172" s="74" t="s">
        <v>2286</v>
      </c>
      <c r="AX172" s="77">
        <f t="shared" ca="1" si="1342"/>
        <v>0</v>
      </c>
      <c r="AY172" s="110"/>
      <c r="AZ172" s="74" t="s">
        <v>2232</v>
      </c>
      <c r="BA172" s="77">
        <f t="shared" ca="1" si="1342"/>
        <v>0</v>
      </c>
      <c r="BB172" s="110"/>
      <c r="BC172" s="74" t="s">
        <v>2330</v>
      </c>
      <c r="BD172" s="77">
        <f t="shared" ca="1" si="1342"/>
        <v>0</v>
      </c>
      <c r="BE172" s="110"/>
      <c r="BF172" s="74" t="s">
        <v>2353</v>
      </c>
      <c r="BG172" s="77">
        <f t="shared" ca="1" si="1342"/>
        <v>0</v>
      </c>
      <c r="BH172" s="110"/>
      <c r="BI172" s="74" t="s">
        <v>2378</v>
      </c>
      <c r="BJ172" s="77">
        <f t="shared" ca="1" si="1342"/>
        <v>0</v>
      </c>
      <c r="BK172" s="110"/>
      <c r="BL172" s="74" t="s">
        <v>2112</v>
      </c>
      <c r="BM172" s="77">
        <f t="shared" ca="1" si="1342"/>
        <v>0</v>
      </c>
      <c r="BN172" s="110"/>
      <c r="BO172" s="74" t="s">
        <v>2425</v>
      </c>
      <c r="BP172" s="77">
        <f t="shared" ca="1" si="1342"/>
        <v>0</v>
      </c>
      <c r="BQ172" s="110"/>
      <c r="BR172" s="74" t="s">
        <v>2448</v>
      </c>
      <c r="BS172" s="77">
        <f t="shared" ca="1" si="1342"/>
        <v>0</v>
      </c>
      <c r="BT172" s="110"/>
      <c r="BU172" s="74" t="s">
        <v>2470</v>
      </c>
      <c r="BV172" s="77">
        <f t="shared" ca="1" si="1342"/>
        <v>0</v>
      </c>
      <c r="BW172" s="110"/>
      <c r="BX172" s="74" t="s">
        <v>2481</v>
      </c>
      <c r="BY172" s="77">
        <f t="shared" ca="1" si="1342"/>
        <v>0</v>
      </c>
      <c r="BZ172" s="110"/>
      <c r="CA172" s="74" t="s">
        <v>2330</v>
      </c>
      <c r="CB172" s="77">
        <f t="shared" ca="1" si="1342"/>
        <v>0</v>
      </c>
      <c r="CC172" s="110"/>
      <c r="CD172" s="74" t="s">
        <v>2516</v>
      </c>
      <c r="CE172" s="77">
        <f t="shared" ca="1" si="1342"/>
        <v>0</v>
      </c>
      <c r="CF172" s="110"/>
      <c r="CG172" s="74" t="s">
        <v>2112</v>
      </c>
      <c r="CH172" s="77">
        <f t="shared" ca="1" si="1342"/>
        <v>0</v>
      </c>
      <c r="CI172" s="110"/>
      <c r="CJ172" s="74" t="s">
        <v>2554</v>
      </c>
      <c r="CK172" s="77">
        <f t="shared" ca="1" si="1364"/>
        <v>0</v>
      </c>
      <c r="CL172" s="110"/>
      <c r="CM172" s="74" t="s">
        <v>2579</v>
      </c>
      <c r="CN172" s="77">
        <f t="shared" ca="1" si="1364"/>
        <v>0</v>
      </c>
      <c r="CO172" s="110"/>
      <c r="CP172" s="74" t="s">
        <v>2607</v>
      </c>
      <c r="CQ172" s="77">
        <f t="shared" ca="1" si="1364"/>
        <v>0</v>
      </c>
      <c r="CR172" s="110"/>
      <c r="CS172" s="74" t="s">
        <v>2378</v>
      </c>
      <c r="CT172" s="77">
        <f t="shared" ca="1" si="1364"/>
        <v>0</v>
      </c>
      <c r="CU172" s="110"/>
      <c r="CV172" s="74" t="s">
        <v>2642</v>
      </c>
      <c r="CW172" s="77">
        <f t="shared" ca="1" si="1364"/>
        <v>0</v>
      </c>
      <c r="CX172" s="110"/>
      <c r="CY172" s="74" t="s">
        <v>2668</v>
      </c>
      <c r="CZ172" s="77">
        <f t="shared" ca="1" si="1364"/>
        <v>0</v>
      </c>
      <c r="DA172" s="110"/>
      <c r="DB172" s="74" t="s">
        <v>2330</v>
      </c>
      <c r="DC172" s="77">
        <f t="shared" ca="1" si="1364"/>
        <v>0</v>
      </c>
      <c r="DD172" s="110"/>
      <c r="DE172" s="74" t="s">
        <v>2330</v>
      </c>
      <c r="DF172" s="77">
        <f t="shared" ca="1" si="1364"/>
        <v>0</v>
      </c>
      <c r="DG172" s="110"/>
      <c r="DH172" s="74" t="s">
        <v>2728</v>
      </c>
      <c r="DI172" s="77">
        <f t="shared" ca="1" si="1364"/>
        <v>0</v>
      </c>
      <c r="DJ172" s="110"/>
      <c r="DK172" s="74" t="s">
        <v>2751</v>
      </c>
      <c r="DL172" s="77">
        <f t="shared" ca="1" si="1364"/>
        <v>0</v>
      </c>
      <c r="DM172" s="110"/>
      <c r="DN172" s="74" t="s">
        <v>2764</v>
      </c>
      <c r="DO172" s="77">
        <f t="shared" ca="1" si="1364"/>
        <v>0</v>
      </c>
      <c r="DP172" s="110"/>
      <c r="DQ172" s="74" t="s">
        <v>2077</v>
      </c>
      <c r="DR172" s="77">
        <f t="shared" ca="1" si="1364"/>
        <v>0</v>
      </c>
      <c r="DS172" s="110"/>
      <c r="DT172" s="74" t="s">
        <v>2259</v>
      </c>
      <c r="DU172" s="77">
        <f t="shared" ca="1" si="1364"/>
        <v>0</v>
      </c>
      <c r="DV172" s="110"/>
      <c r="DW172" s="74" t="s">
        <v>2807</v>
      </c>
      <c r="DX172" s="77">
        <f t="shared" ca="1" si="1364"/>
        <v>0</v>
      </c>
      <c r="DY172" s="110"/>
      <c r="DZ172" s="74" t="s">
        <v>2232</v>
      </c>
      <c r="EA172" s="77">
        <f t="shared" ca="1" si="1364"/>
        <v>0</v>
      </c>
      <c r="EB172" s="110"/>
      <c r="EC172" s="74" t="s">
        <v>2330</v>
      </c>
      <c r="ED172" s="77">
        <f t="shared" ca="1" si="1364"/>
        <v>0</v>
      </c>
      <c r="EE172" s="110"/>
      <c r="EF172" s="74" t="s">
        <v>2834</v>
      </c>
      <c r="EG172" s="77">
        <f t="shared" ca="1" si="1364"/>
        <v>0</v>
      </c>
      <c r="EH172" s="110"/>
      <c r="EI172" s="74" t="s">
        <v>2259</v>
      </c>
      <c r="EJ172" s="77">
        <f t="shared" ca="1" si="1364"/>
        <v>0</v>
      </c>
      <c r="EK172" s="110"/>
      <c r="EL172" s="74" t="s">
        <v>2232</v>
      </c>
      <c r="EM172" s="77">
        <f t="shared" ca="1" si="1364"/>
        <v>0</v>
      </c>
      <c r="EN172" s="110"/>
      <c r="EO172" s="74" t="s">
        <v>2878</v>
      </c>
      <c r="EP172" s="77">
        <f t="shared" ca="1" si="1364"/>
        <v>0</v>
      </c>
      <c r="EQ172" s="110"/>
      <c r="ER172" s="74" t="s">
        <v>2077</v>
      </c>
      <c r="ES172" s="77">
        <f t="shared" ca="1" si="1364"/>
        <v>0</v>
      </c>
      <c r="ET172" s="110"/>
      <c r="EU172" s="74" t="s">
        <v>2901</v>
      </c>
      <c r="EV172" s="77">
        <f t="shared" ca="1" si="1364"/>
        <v>0</v>
      </c>
      <c r="EW172" s="110"/>
      <c r="EX172" s="74" t="s">
        <v>2607</v>
      </c>
      <c r="EY172" s="77">
        <f t="shared" ca="1" si="1386"/>
        <v>0</v>
      </c>
      <c r="EZ172" s="110"/>
      <c r="FA172" s="74" t="s">
        <v>2668</v>
      </c>
      <c r="FB172" s="77">
        <f t="shared" ca="1" si="1386"/>
        <v>0</v>
      </c>
      <c r="FC172" s="110"/>
      <c r="FD172" s="74" t="s">
        <v>2481</v>
      </c>
      <c r="FE172" s="77">
        <f t="shared" ca="1" si="1386"/>
        <v>0</v>
      </c>
      <c r="FF172" s="110"/>
      <c r="FG172" s="74" t="s">
        <v>2953</v>
      </c>
      <c r="FH172" s="77">
        <f t="shared" ca="1" si="1386"/>
        <v>0</v>
      </c>
      <c r="FI172" s="110"/>
      <c r="FJ172" s="74" t="s">
        <v>2330</v>
      </c>
      <c r="FK172" s="77">
        <f t="shared" ca="1" si="1386"/>
        <v>0</v>
      </c>
      <c r="FL172" s="110"/>
      <c r="FM172" s="74" t="s">
        <v>2330</v>
      </c>
      <c r="FN172" s="77">
        <f t="shared" ca="1" si="1386"/>
        <v>0</v>
      </c>
      <c r="FO172" s="110"/>
      <c r="FP172" s="74" t="s">
        <v>2330</v>
      </c>
      <c r="FQ172" s="77">
        <f t="shared" ca="1" si="1386"/>
        <v>0</v>
      </c>
      <c r="FR172" s="110"/>
      <c r="FS172" s="74" t="s">
        <v>2985</v>
      </c>
      <c r="FT172" s="77">
        <f t="shared" ca="1" si="1386"/>
        <v>0</v>
      </c>
      <c r="FU172" s="110"/>
      <c r="FV172" s="74" t="s">
        <v>2112</v>
      </c>
      <c r="FW172" s="77">
        <f t="shared" ca="1" si="1386"/>
        <v>0</v>
      </c>
      <c r="FX172" s="110"/>
      <c r="FY172" s="74" t="s">
        <v>3003</v>
      </c>
      <c r="FZ172" s="77">
        <f t="shared" ca="1" si="1386"/>
        <v>0</v>
      </c>
      <c r="GA172" s="110"/>
      <c r="GB172" s="74" t="s">
        <v>2232</v>
      </c>
      <c r="GC172" s="77">
        <f t="shared" ca="1" si="1386"/>
        <v>0</v>
      </c>
      <c r="GD172" s="110"/>
      <c r="GE172" s="74" t="s">
        <v>2232</v>
      </c>
      <c r="GF172" s="77">
        <f t="shared" ca="1" si="1386"/>
        <v>0</v>
      </c>
      <c r="GG172" s="110"/>
      <c r="GH172" s="74" t="s">
        <v>2077</v>
      </c>
      <c r="GI172" s="77">
        <f t="shared" ca="1" si="1386"/>
        <v>0</v>
      </c>
      <c r="GJ172" s="110"/>
      <c r="GK172" s="74" t="s">
        <v>3060</v>
      </c>
      <c r="GL172" s="77">
        <f t="shared" ca="1" si="1386"/>
        <v>0</v>
      </c>
      <c r="GM172" s="110"/>
      <c r="GN172" s="74"/>
      <c r="GO172" s="77">
        <f t="shared" ca="1" si="1386"/>
        <v>0</v>
      </c>
      <c r="GP172" s="110"/>
      <c r="GQ172" s="74"/>
      <c r="GR172" s="77">
        <f t="shared" ca="1" si="1386"/>
        <v>0</v>
      </c>
      <c r="GS172" s="110"/>
      <c r="GT172" s="74"/>
      <c r="GU172" s="77">
        <f t="shared" ca="1" si="1386"/>
        <v>0</v>
      </c>
      <c r="GV172" s="110"/>
      <c r="GW172" s="74"/>
      <c r="GX172" s="77">
        <f t="shared" ca="1" si="1386"/>
        <v>0</v>
      </c>
      <c r="GY172" s="110"/>
      <c r="GZ172" s="74"/>
      <c r="HA172" s="77">
        <f t="shared" ca="1" si="1386"/>
        <v>0</v>
      </c>
      <c r="HB172" s="110"/>
      <c r="HC172" s="74"/>
      <c r="HD172" s="77">
        <f t="shared" ca="1" si="1386"/>
        <v>0</v>
      </c>
      <c r="HE172" s="110"/>
      <c r="HF172" s="74"/>
      <c r="HG172" s="77">
        <f t="shared" ca="1" si="1386"/>
        <v>0</v>
      </c>
      <c r="HH172" s="110"/>
      <c r="HI172" s="74"/>
      <c r="HJ172" s="77">
        <f t="shared" ca="1" si="1386"/>
        <v>0</v>
      </c>
      <c r="HK172" s="110"/>
      <c r="HL172" s="74"/>
      <c r="HM172" s="77">
        <f t="shared" ca="1" si="1408"/>
        <v>0</v>
      </c>
      <c r="HN172" s="110"/>
      <c r="HO172" s="74"/>
      <c r="HP172" s="77">
        <f t="shared" ca="1" si="1408"/>
        <v>0</v>
      </c>
      <c r="HQ172" s="110"/>
      <c r="HR172" s="74"/>
      <c r="HS172" s="77">
        <f t="shared" ca="1" si="1408"/>
        <v>0</v>
      </c>
      <c r="HT172" s="110"/>
      <c r="HU172" s="74"/>
      <c r="HV172" s="77">
        <f t="shared" ca="1" si="1408"/>
        <v>0</v>
      </c>
      <c r="HW172" s="110"/>
      <c r="HX172" s="74"/>
      <c r="HY172" s="77">
        <f t="shared" ca="1" si="1408"/>
        <v>0</v>
      </c>
      <c r="HZ172" s="110"/>
      <c r="IA172" s="74"/>
      <c r="IB172" s="77">
        <f t="shared" ca="1" si="1408"/>
        <v>0</v>
      </c>
      <c r="IC172" s="110"/>
      <c r="ID172" s="74"/>
      <c r="IE172" s="77">
        <f t="shared" ca="1" si="1408"/>
        <v>0</v>
      </c>
      <c r="IF172" s="110"/>
      <c r="IG172" s="74"/>
      <c r="IH172" s="77">
        <f t="shared" ca="1" si="1408"/>
        <v>0</v>
      </c>
      <c r="II172" s="110"/>
      <c r="IJ172" s="74"/>
      <c r="IK172" s="77">
        <f t="shared" ca="1" si="1408"/>
        <v>0</v>
      </c>
      <c r="IL172" s="110"/>
      <c r="IM172" s="74"/>
      <c r="IN172" s="77">
        <f t="shared" ca="1" si="1408"/>
        <v>0</v>
      </c>
      <c r="IO172" s="110"/>
      <c r="IP172" s="74"/>
      <c r="IQ172" s="77">
        <f t="shared" ca="1" si="1408"/>
        <v>0</v>
      </c>
      <c r="IR172" s="110"/>
      <c r="IS172" s="74"/>
      <c r="IT172" s="77">
        <f t="shared" ca="1" si="1408"/>
        <v>0</v>
      </c>
      <c r="IU172" s="110"/>
      <c r="IV172" s="74"/>
      <c r="IW172" s="77">
        <f t="shared" ca="1" si="1408"/>
        <v>0</v>
      </c>
      <c r="IX172" s="110"/>
      <c r="IY172" s="74"/>
      <c r="IZ172" s="77">
        <f t="shared" ca="1" si="1408"/>
        <v>0</v>
      </c>
      <c r="JA172" s="110"/>
      <c r="JB172" s="74"/>
      <c r="JC172" s="77">
        <f t="shared" ca="1" si="1408"/>
        <v>0</v>
      </c>
      <c r="JD172" s="110"/>
      <c r="JE172" s="74"/>
      <c r="JF172" s="77">
        <f t="shared" ca="1" si="1408"/>
        <v>0</v>
      </c>
      <c r="JG172" s="110"/>
      <c r="JH172" s="74"/>
      <c r="JI172" s="77">
        <f t="shared" ca="1" si="1408"/>
        <v>0</v>
      </c>
      <c r="JJ172" s="110"/>
      <c r="JK172" s="74"/>
      <c r="JL172" s="77">
        <f t="shared" ca="1" si="1408"/>
        <v>0</v>
      </c>
      <c r="JM172" s="110"/>
      <c r="JN172" s="74"/>
      <c r="JO172" s="77">
        <f t="shared" ca="1" si="1408"/>
        <v>0</v>
      </c>
      <c r="JP172" s="110"/>
      <c r="JQ172" s="74"/>
      <c r="JR172" s="77">
        <f t="shared" ca="1" si="1408"/>
        <v>0</v>
      </c>
      <c r="JS172" s="110"/>
      <c r="JT172" s="74"/>
      <c r="JU172" s="77">
        <f t="shared" ca="1" si="1408"/>
        <v>0</v>
      </c>
      <c r="JV172" s="110"/>
      <c r="JW172" s="74"/>
      <c r="JX172" s="77">
        <f t="shared" ca="1" si="1408"/>
        <v>0</v>
      </c>
      <c r="JY172" s="110"/>
      <c r="JZ172" s="74"/>
      <c r="KA172" s="77">
        <f t="shared" ca="1" si="1430"/>
        <v>0</v>
      </c>
      <c r="KB172" s="110"/>
      <c r="KC172" s="74"/>
      <c r="KD172" s="77">
        <f t="shared" ca="1" si="1430"/>
        <v>0</v>
      </c>
      <c r="KE172" s="110"/>
      <c r="KF172" s="74"/>
      <c r="KG172" s="77">
        <f t="shared" ca="1" si="1430"/>
        <v>0</v>
      </c>
      <c r="KH172" s="110"/>
      <c r="KI172" s="74"/>
      <c r="KJ172" s="77">
        <f t="shared" ca="1" si="1430"/>
        <v>0</v>
      </c>
      <c r="KK172" s="110"/>
      <c r="KL172" s="74"/>
      <c r="KM172" s="77">
        <f t="shared" ca="1" si="1430"/>
        <v>0</v>
      </c>
      <c r="KN172" s="110"/>
      <c r="KO172" s="74"/>
      <c r="KP172" s="77">
        <f t="shared" ca="1" si="1430"/>
        <v>0</v>
      </c>
      <c r="KQ172" s="110"/>
      <c r="KR172" s="74"/>
      <c r="KS172" s="77">
        <f t="shared" ca="1" si="1430"/>
        <v>0</v>
      </c>
      <c r="KT172" s="110"/>
      <c r="KU172" s="74"/>
      <c r="KV172" s="77">
        <f t="shared" ca="1" si="1430"/>
        <v>0</v>
      </c>
      <c r="KW172" s="110"/>
      <c r="KX172" s="74"/>
      <c r="KY172" s="77">
        <f t="shared" ca="1" si="1430"/>
        <v>0</v>
      </c>
      <c r="KZ172" s="110"/>
      <c r="LA172" s="74"/>
      <c r="LB172" s="77">
        <f t="shared" ca="1" si="1430"/>
        <v>0</v>
      </c>
      <c r="LC172" s="110"/>
      <c r="LD172" s="74"/>
      <c r="LE172" s="77">
        <f t="shared" ca="1" si="1430"/>
        <v>0</v>
      </c>
      <c r="LF172" s="110"/>
      <c r="LG172" s="110"/>
    </row>
    <row r="173" spans="1:319">
      <c r="A173" s="25">
        <f>WORLDCUP!AD110</f>
        <v>0</v>
      </c>
      <c r="B173" s="25">
        <f>WORLDCUP!AC110</f>
        <v>2</v>
      </c>
      <c r="C173" s="25" t="str">
        <f ca="1">CONCATENATE(WORLDCUP!AF110,"-",WORLDCUP!AA110)</f>
        <v>Bosnia and Herzegovina-United States</v>
      </c>
      <c r="D173" s="25">
        <f>IF(WORLDCUP!AC110&gt;WORLDCUP!AD110,2,IF(WORLDCUP!AC110&lt;WORLDCUP!AD110,1,IF(AND(WORLDCUP!AC110=WORLDCUP!AD110,WORLDCUP!AC110&lt;&gt;"",WORLDCUP!AD110&lt;&gt;""),0,"PD")))</f>
        <v>2</v>
      </c>
      <c r="E173" s="25" t="str">
        <f>IF(OR(WORLDCUP!AC110="",WORLDCUP!AD110=""),"-",A173&amp;"-"&amp;B173)</f>
        <v>0-2</v>
      </c>
      <c r="F173" s="407">
        <f t="shared" si="1441"/>
        <v>20</v>
      </c>
      <c r="G173" s="407">
        <f ca="1">VLOOKUP(H173,Equipos!$Q$1:$R$25,2,0)</f>
        <v>20</v>
      </c>
      <c r="H173" s="446" t="str">
        <f>Idiomas!$D$260</f>
        <v>Round of 32</v>
      </c>
      <c r="I173" s="43">
        <v>1</v>
      </c>
      <c r="J173" s="845"/>
      <c r="K173" s="56" t="str">
        <f ca="1">CONCATENATE(WORLDCUP!AA110,"-",WORLDCUP!AF110)</f>
        <v>United States-Bosnia and Herzegovina</v>
      </c>
      <c r="L173" s="53">
        <f>IF(OR(WORLDCUP!AC110="",WORLDCUP!AD110=""),"PD",IF(WORLDCUP!AC110&gt;WORLDCUP!AD110,1,IF(WORLDCUP!AC110&lt;WORLDCUP!AD110,2,0)))</f>
        <v>1</v>
      </c>
      <c r="M173" s="55" t="str">
        <f t="shared" si="1442"/>
        <v>2-0</v>
      </c>
      <c r="N173" s="25">
        <f>WORLDCUP!AC110</f>
        <v>2</v>
      </c>
      <c r="O173" s="25">
        <f>WORLDCUP!AD110</f>
        <v>0</v>
      </c>
      <c r="P173" s="25">
        <f t="shared" si="1443"/>
        <v>2</v>
      </c>
      <c r="Q173" s="25">
        <f t="shared" si="1444"/>
        <v>-2</v>
      </c>
      <c r="R173" s="110"/>
      <c r="S173" s="74" t="s">
        <v>1971</v>
      </c>
      <c r="T173" s="77">
        <f t="shared" ca="1" si="1445"/>
        <v>0</v>
      </c>
      <c r="U173" s="110"/>
      <c r="V173" s="74" t="s">
        <v>2010</v>
      </c>
      <c r="W173" s="77">
        <f t="shared" ca="1" si="1342"/>
        <v>0</v>
      </c>
      <c r="X173" s="110"/>
      <c r="Y173" s="74" t="s">
        <v>2046</v>
      </c>
      <c r="Z173" s="77">
        <f t="shared" ca="1" si="1342"/>
        <v>10</v>
      </c>
      <c r="AA173" s="110"/>
      <c r="AB173" s="74" t="s">
        <v>2078</v>
      </c>
      <c r="AC173" s="77">
        <f t="shared" ca="1" si="1342"/>
        <v>0</v>
      </c>
      <c r="AD173" s="110"/>
      <c r="AE173" s="74" t="s">
        <v>2113</v>
      </c>
      <c r="AF173" s="77">
        <f t="shared" ca="1" si="1342"/>
        <v>0</v>
      </c>
      <c r="AG173" s="110"/>
      <c r="AH173" s="74" t="s">
        <v>2142</v>
      </c>
      <c r="AI173" s="77">
        <f t="shared" ca="1" si="1342"/>
        <v>0</v>
      </c>
      <c r="AJ173" s="110"/>
      <c r="AK173" s="74" t="s">
        <v>2169</v>
      </c>
      <c r="AL173" s="77">
        <f t="shared" ca="1" si="1342"/>
        <v>0</v>
      </c>
      <c r="AM173" s="110"/>
      <c r="AN173" s="74" t="s">
        <v>2197</v>
      </c>
      <c r="AO173" s="77">
        <f t="shared" ca="1" si="1342"/>
        <v>0</v>
      </c>
      <c r="AP173" s="110"/>
      <c r="AQ173" s="74" t="s">
        <v>2233</v>
      </c>
      <c r="AR173" s="77">
        <f t="shared" ca="1" si="1342"/>
        <v>0</v>
      </c>
      <c r="AS173" s="110"/>
      <c r="AT173" s="74" t="s">
        <v>2260</v>
      </c>
      <c r="AU173" s="77">
        <f t="shared" ca="1" si="1342"/>
        <v>0</v>
      </c>
      <c r="AV173" s="110"/>
      <c r="AW173" s="74" t="s">
        <v>2287</v>
      </c>
      <c r="AX173" s="77">
        <f t="shared" ca="1" si="1342"/>
        <v>0</v>
      </c>
      <c r="AY173" s="110"/>
      <c r="AZ173" s="74" t="s">
        <v>2309</v>
      </c>
      <c r="BA173" s="77">
        <f t="shared" ca="1" si="1342"/>
        <v>0</v>
      </c>
      <c r="BB173" s="110"/>
      <c r="BC173" s="74" t="s">
        <v>2331</v>
      </c>
      <c r="BD173" s="77">
        <f t="shared" ca="1" si="1342"/>
        <v>0</v>
      </c>
      <c r="BE173" s="110"/>
      <c r="BF173" s="74" t="s">
        <v>2354</v>
      </c>
      <c r="BG173" s="77">
        <f t="shared" ca="1" si="1342"/>
        <v>10</v>
      </c>
      <c r="BH173" s="110"/>
      <c r="BI173" s="74" t="s">
        <v>2379</v>
      </c>
      <c r="BJ173" s="77">
        <f t="shared" ca="1" si="1342"/>
        <v>0</v>
      </c>
      <c r="BK173" s="110"/>
      <c r="BL173" s="74" t="s">
        <v>2410</v>
      </c>
      <c r="BM173" s="77">
        <f t="shared" ca="1" si="1342"/>
        <v>10</v>
      </c>
      <c r="BN173" s="110"/>
      <c r="BO173" s="74" t="s">
        <v>2410</v>
      </c>
      <c r="BP173" s="77">
        <f t="shared" ca="1" si="1342"/>
        <v>10</v>
      </c>
      <c r="BQ173" s="110"/>
      <c r="BR173" s="74" t="s">
        <v>2449</v>
      </c>
      <c r="BS173" s="77">
        <f t="shared" ca="1" si="1342"/>
        <v>0</v>
      </c>
      <c r="BT173" s="110"/>
      <c r="BU173" s="74" t="s">
        <v>2471</v>
      </c>
      <c r="BV173" s="77">
        <f t="shared" ca="1" si="1342"/>
        <v>0</v>
      </c>
      <c r="BW173" s="110"/>
      <c r="BX173" s="74" t="s">
        <v>2482</v>
      </c>
      <c r="BY173" s="77">
        <f t="shared" ca="1" si="1342"/>
        <v>0</v>
      </c>
      <c r="BZ173" s="110"/>
      <c r="CA173" s="74" t="s">
        <v>2499</v>
      </c>
      <c r="CB173" s="77">
        <f t="shared" ca="1" si="1342"/>
        <v>0</v>
      </c>
      <c r="CC173" s="110"/>
      <c r="CD173" s="74" t="s">
        <v>2517</v>
      </c>
      <c r="CE173" s="77">
        <f t="shared" ca="1" si="1342"/>
        <v>0</v>
      </c>
      <c r="CF173" s="110"/>
      <c r="CG173" s="74" t="s">
        <v>2535</v>
      </c>
      <c r="CH173" s="77">
        <f t="shared" ca="1" si="1342"/>
        <v>20</v>
      </c>
      <c r="CI173" s="110"/>
      <c r="CJ173" s="74" t="s">
        <v>2555</v>
      </c>
      <c r="CK173" s="77">
        <f t="shared" ca="1" si="1364"/>
        <v>0</v>
      </c>
      <c r="CL173" s="110"/>
      <c r="CM173" s="74" t="s">
        <v>2580</v>
      </c>
      <c r="CN173" s="77">
        <f t="shared" ca="1" si="1364"/>
        <v>0</v>
      </c>
      <c r="CO173" s="110"/>
      <c r="CP173" s="74" t="s">
        <v>2608</v>
      </c>
      <c r="CQ173" s="77">
        <f t="shared" ca="1" si="1364"/>
        <v>0</v>
      </c>
      <c r="CR173" s="110"/>
      <c r="CS173" s="74" t="s">
        <v>2617</v>
      </c>
      <c r="CT173" s="77">
        <f t="shared" ca="1" si="1364"/>
        <v>0</v>
      </c>
      <c r="CU173" s="110"/>
      <c r="CV173" s="74" t="s">
        <v>2643</v>
      </c>
      <c r="CW173" s="77">
        <f t="shared" ca="1" si="1364"/>
        <v>0</v>
      </c>
      <c r="CX173" s="110"/>
      <c r="CY173" s="74" t="s">
        <v>2669</v>
      </c>
      <c r="CZ173" s="77">
        <f t="shared" ca="1" si="1364"/>
        <v>0</v>
      </c>
      <c r="DA173" s="110"/>
      <c r="DB173" s="74" t="s">
        <v>2309</v>
      </c>
      <c r="DC173" s="77">
        <f t="shared" ca="1" si="1364"/>
        <v>0</v>
      </c>
      <c r="DD173" s="110"/>
      <c r="DE173" s="74" t="s">
        <v>2712</v>
      </c>
      <c r="DF173" s="77">
        <f t="shared" ca="1" si="1364"/>
        <v>0</v>
      </c>
      <c r="DG173" s="110"/>
      <c r="DH173" s="74" t="s">
        <v>2729</v>
      </c>
      <c r="DI173" s="77">
        <f t="shared" ca="1" si="1364"/>
        <v>0</v>
      </c>
      <c r="DJ173" s="110"/>
      <c r="DK173" s="74" t="s">
        <v>2410</v>
      </c>
      <c r="DL173" s="77">
        <f t="shared" ca="1" si="1364"/>
        <v>10</v>
      </c>
      <c r="DM173" s="110"/>
      <c r="DN173" s="74" t="s">
        <v>2729</v>
      </c>
      <c r="DO173" s="77">
        <f t="shared" ca="1" si="1364"/>
        <v>0</v>
      </c>
      <c r="DP173" s="110"/>
      <c r="DQ173" s="74" t="s">
        <v>2781</v>
      </c>
      <c r="DR173" s="77">
        <f t="shared" ca="1" si="1364"/>
        <v>0</v>
      </c>
      <c r="DS173" s="110"/>
      <c r="DT173" s="74" t="s">
        <v>2792</v>
      </c>
      <c r="DU173" s="77">
        <f t="shared" ca="1" si="1364"/>
        <v>0</v>
      </c>
      <c r="DV173" s="110"/>
      <c r="DW173" s="74" t="s">
        <v>2535</v>
      </c>
      <c r="DX173" s="77">
        <f t="shared" ca="1" si="1364"/>
        <v>20</v>
      </c>
      <c r="DY173" s="110"/>
      <c r="DZ173" s="74" t="s">
        <v>2410</v>
      </c>
      <c r="EA173" s="77">
        <f t="shared" ca="1" si="1364"/>
        <v>10</v>
      </c>
      <c r="EB173" s="110"/>
      <c r="EC173" s="74" t="s">
        <v>2535</v>
      </c>
      <c r="ED173" s="77">
        <f t="shared" ca="1" si="1364"/>
        <v>20</v>
      </c>
      <c r="EE173" s="110"/>
      <c r="EF173" s="74" t="s">
        <v>2835</v>
      </c>
      <c r="EG173" s="77">
        <f t="shared" ca="1" si="1364"/>
        <v>0</v>
      </c>
      <c r="EH173" s="110"/>
      <c r="EI173" s="74" t="s">
        <v>2309</v>
      </c>
      <c r="EJ173" s="77">
        <f t="shared" ca="1" si="1364"/>
        <v>0</v>
      </c>
      <c r="EK173" s="110"/>
      <c r="EL173" s="74" t="s">
        <v>2864</v>
      </c>
      <c r="EM173" s="77">
        <f t="shared" ca="1" si="1364"/>
        <v>0</v>
      </c>
      <c r="EN173" s="110"/>
      <c r="EO173" s="74" t="s">
        <v>2410</v>
      </c>
      <c r="EP173" s="77">
        <f t="shared" ca="1" si="1364"/>
        <v>10</v>
      </c>
      <c r="EQ173" s="110"/>
      <c r="ER173" s="74" t="s">
        <v>2890</v>
      </c>
      <c r="ES173" s="77">
        <f t="shared" ca="1" si="1364"/>
        <v>0</v>
      </c>
      <c r="ET173" s="110"/>
      <c r="EU173" s="74" t="s">
        <v>2902</v>
      </c>
      <c r="EV173" s="77">
        <f t="shared" ca="1" si="1364"/>
        <v>0</v>
      </c>
      <c r="EW173" s="110"/>
      <c r="EX173" s="74" t="s">
        <v>2580</v>
      </c>
      <c r="EY173" s="77">
        <f t="shared" ca="1" si="1386"/>
        <v>0</v>
      </c>
      <c r="EZ173" s="110"/>
      <c r="FA173" s="74" t="s">
        <v>2926</v>
      </c>
      <c r="FB173" s="77">
        <f t="shared" ca="1" si="1386"/>
        <v>0</v>
      </c>
      <c r="FC173" s="110"/>
      <c r="FD173" s="74" t="s">
        <v>2938</v>
      </c>
      <c r="FE173" s="77">
        <f t="shared" ca="1" si="1386"/>
        <v>0</v>
      </c>
      <c r="FF173" s="110"/>
      <c r="FG173" s="74" t="s">
        <v>2580</v>
      </c>
      <c r="FH173" s="77">
        <f t="shared" ca="1" si="1386"/>
        <v>0</v>
      </c>
      <c r="FI173" s="110"/>
      <c r="FJ173" s="74" t="s">
        <v>2967</v>
      </c>
      <c r="FK173" s="77">
        <f t="shared" ca="1" si="1386"/>
        <v>0</v>
      </c>
      <c r="FL173" s="110"/>
      <c r="FM173" s="74" t="s">
        <v>2449</v>
      </c>
      <c r="FN173" s="77">
        <f t="shared" ca="1" si="1386"/>
        <v>0</v>
      </c>
      <c r="FO173" s="110"/>
      <c r="FP173" s="74" t="s">
        <v>2979</v>
      </c>
      <c r="FQ173" s="77">
        <f t="shared" ca="1" si="1386"/>
        <v>0</v>
      </c>
      <c r="FR173" s="110"/>
      <c r="FS173" s="74" t="s">
        <v>2986</v>
      </c>
      <c r="FT173" s="77">
        <f t="shared" ca="1" si="1386"/>
        <v>0</v>
      </c>
      <c r="FU173" s="110"/>
      <c r="FV173" s="74" t="s">
        <v>2864</v>
      </c>
      <c r="FW173" s="77">
        <f t="shared" ca="1" si="1386"/>
        <v>0</v>
      </c>
      <c r="FX173" s="110"/>
      <c r="FY173" s="74" t="s">
        <v>3004</v>
      </c>
      <c r="FZ173" s="77">
        <f t="shared" ca="1" si="1386"/>
        <v>0</v>
      </c>
      <c r="GA173" s="110"/>
      <c r="GB173" s="74" t="s">
        <v>2449</v>
      </c>
      <c r="GC173" s="77">
        <f t="shared" ca="1" si="1386"/>
        <v>0</v>
      </c>
      <c r="GD173" s="110"/>
      <c r="GE173" s="74" t="s">
        <v>3034</v>
      </c>
      <c r="GF173" s="77">
        <f t="shared" ca="1" si="1386"/>
        <v>0</v>
      </c>
      <c r="GG173" s="110"/>
      <c r="GH173" s="74" t="s">
        <v>3044</v>
      </c>
      <c r="GI173" s="77">
        <f t="shared" ca="1" si="1386"/>
        <v>0</v>
      </c>
      <c r="GJ173" s="110"/>
      <c r="GK173" s="74" t="s">
        <v>2580</v>
      </c>
      <c r="GL173" s="77">
        <f t="shared" ca="1" si="1386"/>
        <v>0</v>
      </c>
      <c r="GM173" s="110"/>
      <c r="GN173" s="74"/>
      <c r="GO173" s="77">
        <f t="shared" ca="1" si="1386"/>
        <v>0</v>
      </c>
      <c r="GP173" s="110"/>
      <c r="GQ173" s="74"/>
      <c r="GR173" s="77">
        <f t="shared" ca="1" si="1386"/>
        <v>0</v>
      </c>
      <c r="GS173" s="110"/>
      <c r="GT173" s="74"/>
      <c r="GU173" s="77">
        <f t="shared" ca="1" si="1386"/>
        <v>0</v>
      </c>
      <c r="GV173" s="110"/>
      <c r="GW173" s="74"/>
      <c r="GX173" s="77">
        <f t="shared" ca="1" si="1386"/>
        <v>0</v>
      </c>
      <c r="GY173" s="110"/>
      <c r="GZ173" s="74"/>
      <c r="HA173" s="77">
        <f t="shared" ca="1" si="1386"/>
        <v>0</v>
      </c>
      <c r="HB173" s="110"/>
      <c r="HC173" s="74"/>
      <c r="HD173" s="77">
        <f t="shared" ca="1" si="1386"/>
        <v>0</v>
      </c>
      <c r="HE173" s="110"/>
      <c r="HF173" s="74"/>
      <c r="HG173" s="77">
        <f t="shared" ca="1" si="1386"/>
        <v>0</v>
      </c>
      <c r="HH173" s="110"/>
      <c r="HI173" s="74"/>
      <c r="HJ173" s="77">
        <f t="shared" ca="1" si="1386"/>
        <v>0</v>
      </c>
      <c r="HK173" s="110"/>
      <c r="HL173" s="74"/>
      <c r="HM173" s="77">
        <f t="shared" ca="1" si="1408"/>
        <v>0</v>
      </c>
      <c r="HN173" s="110"/>
      <c r="HO173" s="74"/>
      <c r="HP173" s="77">
        <f t="shared" ca="1" si="1408"/>
        <v>0</v>
      </c>
      <c r="HQ173" s="110"/>
      <c r="HR173" s="74"/>
      <c r="HS173" s="77">
        <f t="shared" ca="1" si="1408"/>
        <v>0</v>
      </c>
      <c r="HT173" s="110"/>
      <c r="HU173" s="74"/>
      <c r="HV173" s="77">
        <f t="shared" ca="1" si="1408"/>
        <v>0</v>
      </c>
      <c r="HW173" s="110"/>
      <c r="HX173" s="74"/>
      <c r="HY173" s="77">
        <f t="shared" ca="1" si="1408"/>
        <v>0</v>
      </c>
      <c r="HZ173" s="110"/>
      <c r="IA173" s="74"/>
      <c r="IB173" s="77">
        <f t="shared" ca="1" si="1408"/>
        <v>0</v>
      </c>
      <c r="IC173" s="110"/>
      <c r="ID173" s="74"/>
      <c r="IE173" s="77">
        <f t="shared" ca="1" si="1408"/>
        <v>0</v>
      </c>
      <c r="IF173" s="110"/>
      <c r="IG173" s="74"/>
      <c r="IH173" s="77">
        <f t="shared" ca="1" si="1408"/>
        <v>0</v>
      </c>
      <c r="II173" s="110"/>
      <c r="IJ173" s="74"/>
      <c r="IK173" s="77">
        <f t="shared" ca="1" si="1408"/>
        <v>0</v>
      </c>
      <c r="IL173" s="110"/>
      <c r="IM173" s="74"/>
      <c r="IN173" s="77">
        <f t="shared" ca="1" si="1408"/>
        <v>0</v>
      </c>
      <c r="IO173" s="110"/>
      <c r="IP173" s="74"/>
      <c r="IQ173" s="77">
        <f t="shared" ca="1" si="1408"/>
        <v>0</v>
      </c>
      <c r="IR173" s="110"/>
      <c r="IS173" s="74"/>
      <c r="IT173" s="77">
        <f t="shared" ca="1" si="1408"/>
        <v>0</v>
      </c>
      <c r="IU173" s="110"/>
      <c r="IV173" s="74"/>
      <c r="IW173" s="77">
        <f t="shared" ca="1" si="1408"/>
        <v>0</v>
      </c>
      <c r="IX173" s="110"/>
      <c r="IY173" s="74"/>
      <c r="IZ173" s="77">
        <f t="shared" ca="1" si="1408"/>
        <v>0</v>
      </c>
      <c r="JA173" s="110"/>
      <c r="JB173" s="74"/>
      <c r="JC173" s="77">
        <f t="shared" ca="1" si="1408"/>
        <v>0</v>
      </c>
      <c r="JD173" s="110"/>
      <c r="JE173" s="74"/>
      <c r="JF173" s="77">
        <f t="shared" ca="1" si="1408"/>
        <v>0</v>
      </c>
      <c r="JG173" s="110"/>
      <c r="JH173" s="74"/>
      <c r="JI173" s="77">
        <f t="shared" ca="1" si="1408"/>
        <v>0</v>
      </c>
      <c r="JJ173" s="110"/>
      <c r="JK173" s="74"/>
      <c r="JL173" s="77">
        <f t="shared" ca="1" si="1408"/>
        <v>0</v>
      </c>
      <c r="JM173" s="110"/>
      <c r="JN173" s="74"/>
      <c r="JO173" s="77">
        <f t="shared" ca="1" si="1408"/>
        <v>0</v>
      </c>
      <c r="JP173" s="110"/>
      <c r="JQ173" s="74"/>
      <c r="JR173" s="77">
        <f t="shared" ca="1" si="1408"/>
        <v>0</v>
      </c>
      <c r="JS173" s="110"/>
      <c r="JT173" s="74"/>
      <c r="JU173" s="77">
        <f t="shared" ca="1" si="1408"/>
        <v>0</v>
      </c>
      <c r="JV173" s="110"/>
      <c r="JW173" s="74"/>
      <c r="JX173" s="77">
        <f t="shared" ca="1" si="1408"/>
        <v>0</v>
      </c>
      <c r="JY173" s="110"/>
      <c r="JZ173" s="74"/>
      <c r="KA173" s="77">
        <f t="shared" ca="1" si="1430"/>
        <v>0</v>
      </c>
      <c r="KB173" s="110"/>
      <c r="KC173" s="74"/>
      <c r="KD173" s="77">
        <f t="shared" ca="1" si="1430"/>
        <v>0</v>
      </c>
      <c r="KE173" s="110"/>
      <c r="KF173" s="74"/>
      <c r="KG173" s="77">
        <f t="shared" ca="1" si="1430"/>
        <v>0</v>
      </c>
      <c r="KH173" s="110"/>
      <c r="KI173" s="74"/>
      <c r="KJ173" s="77">
        <f t="shared" ca="1" si="1430"/>
        <v>0</v>
      </c>
      <c r="KK173" s="110"/>
      <c r="KL173" s="74"/>
      <c r="KM173" s="77">
        <f t="shared" ca="1" si="1430"/>
        <v>0</v>
      </c>
      <c r="KN173" s="110"/>
      <c r="KO173" s="74"/>
      <c r="KP173" s="77">
        <f t="shared" ca="1" si="1430"/>
        <v>0</v>
      </c>
      <c r="KQ173" s="110"/>
      <c r="KR173" s="74"/>
      <c r="KS173" s="77">
        <f t="shared" ca="1" si="1430"/>
        <v>0</v>
      </c>
      <c r="KT173" s="110"/>
      <c r="KU173" s="74"/>
      <c r="KV173" s="77">
        <f t="shared" ca="1" si="1430"/>
        <v>0</v>
      </c>
      <c r="KW173" s="110"/>
      <c r="KX173" s="74"/>
      <c r="KY173" s="77">
        <f t="shared" ca="1" si="1430"/>
        <v>0</v>
      </c>
      <c r="KZ173" s="110"/>
      <c r="LA173" s="74"/>
      <c r="LB173" s="77">
        <f t="shared" ca="1" si="1430"/>
        <v>0</v>
      </c>
      <c r="LC173" s="110"/>
      <c r="LD173" s="74"/>
      <c r="LE173" s="77">
        <f t="shared" ca="1" si="1430"/>
        <v>0</v>
      </c>
      <c r="LF173" s="110"/>
      <c r="LG173" s="110"/>
    </row>
    <row r="174" spans="1:319">
      <c r="A174" s="25">
        <f>WORLDCUP!AD111</f>
        <v>0</v>
      </c>
      <c r="B174" s="25">
        <f>WORLDCUP!AC111</f>
        <v>3</v>
      </c>
      <c r="C174" s="25" t="str">
        <f ca="1">CONCATENATE(WORLDCUP!AF111,"-",WORLDCUP!AA111)</f>
        <v>Austria-Spain</v>
      </c>
      <c r="D174" s="25">
        <f>IF(WORLDCUP!AC111&gt;WORLDCUP!AD111,2,IF(WORLDCUP!AC111&lt;WORLDCUP!AD111,1,IF(AND(WORLDCUP!AC111=WORLDCUP!AD111,WORLDCUP!AC111&lt;&gt;"",WORLDCUP!AD111&lt;&gt;""),0,"PD")))</f>
        <v>2</v>
      </c>
      <c r="E174" s="25" t="str">
        <f>IF(OR(WORLDCUP!AC111="",WORLDCUP!AD111=""),"-",A174&amp;"-"&amp;B174)</f>
        <v>0-3</v>
      </c>
      <c r="F174" s="407">
        <f t="shared" si="1441"/>
        <v>20</v>
      </c>
      <c r="G174" s="407">
        <f ca="1">VLOOKUP(H174,Equipos!$Q$1:$R$25,2,0)</f>
        <v>20</v>
      </c>
      <c r="H174" s="446" t="str">
        <f>Idiomas!$D$260</f>
        <v>Round of 32</v>
      </c>
      <c r="I174" s="43">
        <v>1</v>
      </c>
      <c r="J174" s="845"/>
      <c r="K174" s="56" t="str">
        <f ca="1">CONCATENATE(WORLDCUP!AA111,"-",WORLDCUP!AF111)</f>
        <v>Spain-Austria</v>
      </c>
      <c r="L174" s="53">
        <f>IF(OR(WORLDCUP!AC111="",WORLDCUP!AD111=""),"PD",IF(WORLDCUP!AC111&gt;WORLDCUP!AD111,1,IF(WORLDCUP!AC111&lt;WORLDCUP!AD111,2,0)))</f>
        <v>1</v>
      </c>
      <c r="M174" s="55" t="str">
        <f t="shared" si="1442"/>
        <v>3-0</v>
      </c>
      <c r="N174" s="25">
        <f>WORLDCUP!AC111</f>
        <v>3</v>
      </c>
      <c r="O174" s="25">
        <f>WORLDCUP!AD111</f>
        <v>0</v>
      </c>
      <c r="P174" s="25">
        <f t="shared" si="1443"/>
        <v>3</v>
      </c>
      <c r="Q174" s="25">
        <f t="shared" si="1444"/>
        <v>-3</v>
      </c>
      <c r="R174" s="110"/>
      <c r="S174" s="74" t="s">
        <v>1972</v>
      </c>
      <c r="T174" s="77">
        <f t="shared" ca="1" si="1445"/>
        <v>0</v>
      </c>
      <c r="U174" s="110"/>
      <c r="V174" s="74" t="s">
        <v>2011</v>
      </c>
      <c r="W174" s="77">
        <f t="shared" ca="1" si="1342"/>
        <v>10</v>
      </c>
      <c r="X174" s="110"/>
      <c r="Y174" s="74" t="s">
        <v>2047</v>
      </c>
      <c r="Z174" s="77">
        <f t="shared" ca="1" si="1342"/>
        <v>0</v>
      </c>
      <c r="AA174" s="110"/>
      <c r="AB174" s="74" t="s">
        <v>2079</v>
      </c>
      <c r="AC174" s="77">
        <f t="shared" ca="1" si="1342"/>
        <v>10</v>
      </c>
      <c r="AD174" s="110"/>
      <c r="AE174" s="74" t="s">
        <v>2114</v>
      </c>
      <c r="AF174" s="77">
        <f t="shared" ca="1" si="1342"/>
        <v>10</v>
      </c>
      <c r="AG174" s="110"/>
      <c r="AH174" s="74" t="s">
        <v>2143</v>
      </c>
      <c r="AI174" s="77">
        <f t="shared" ca="1" si="1342"/>
        <v>0</v>
      </c>
      <c r="AJ174" s="110"/>
      <c r="AK174" s="74" t="s">
        <v>2170</v>
      </c>
      <c r="AL174" s="77">
        <f t="shared" ca="1" si="1342"/>
        <v>10</v>
      </c>
      <c r="AM174" s="110"/>
      <c r="AN174" s="74" t="s">
        <v>2198</v>
      </c>
      <c r="AO174" s="77">
        <f t="shared" ca="1" si="1342"/>
        <v>0</v>
      </c>
      <c r="AP174" s="110"/>
      <c r="AQ174" s="74" t="s">
        <v>2114</v>
      </c>
      <c r="AR174" s="77">
        <f t="shared" ca="1" si="1342"/>
        <v>10</v>
      </c>
      <c r="AS174" s="110"/>
      <c r="AT174" s="74" t="s">
        <v>2170</v>
      </c>
      <c r="AU174" s="77">
        <f t="shared" ca="1" si="1342"/>
        <v>10</v>
      </c>
      <c r="AV174" s="110"/>
      <c r="AW174" s="74" t="s">
        <v>2079</v>
      </c>
      <c r="AX174" s="77">
        <f t="shared" ca="1" si="1342"/>
        <v>10</v>
      </c>
      <c r="AY174" s="110"/>
      <c r="AZ174" s="74" t="s">
        <v>2310</v>
      </c>
      <c r="BA174" s="77">
        <f t="shared" ca="1" si="1342"/>
        <v>0</v>
      </c>
      <c r="BB174" s="110"/>
      <c r="BC174" s="74" t="s">
        <v>2332</v>
      </c>
      <c r="BD174" s="77">
        <f t="shared" ca="1" si="1342"/>
        <v>10</v>
      </c>
      <c r="BE174" s="110"/>
      <c r="BF174" s="74" t="s">
        <v>2114</v>
      </c>
      <c r="BG174" s="77">
        <f t="shared" ca="1" si="1342"/>
        <v>10</v>
      </c>
      <c r="BH174" s="110"/>
      <c r="BI174" s="74" t="s">
        <v>2114</v>
      </c>
      <c r="BJ174" s="77">
        <f t="shared" ca="1" si="1342"/>
        <v>10</v>
      </c>
      <c r="BK174" s="110"/>
      <c r="BL174" s="74" t="s">
        <v>2411</v>
      </c>
      <c r="BM174" s="77">
        <f t="shared" ca="1" si="1342"/>
        <v>20</v>
      </c>
      <c r="BN174" s="110"/>
      <c r="BO174" s="74" t="s">
        <v>2426</v>
      </c>
      <c r="BP174" s="77">
        <f t="shared" ca="1" si="1342"/>
        <v>12</v>
      </c>
      <c r="BQ174" s="110"/>
      <c r="BR174" s="74" t="s">
        <v>2450</v>
      </c>
      <c r="BS174" s="77">
        <f t="shared" ca="1" si="1342"/>
        <v>0</v>
      </c>
      <c r="BT174" s="110"/>
      <c r="BU174" s="74" t="s">
        <v>2114</v>
      </c>
      <c r="BV174" s="77">
        <f t="shared" ca="1" si="1342"/>
        <v>10</v>
      </c>
      <c r="BW174" s="110"/>
      <c r="BX174" s="74" t="s">
        <v>2079</v>
      </c>
      <c r="BY174" s="77">
        <f t="shared" ca="1" si="1342"/>
        <v>10</v>
      </c>
      <c r="BZ174" s="110"/>
      <c r="CA174" s="74" t="s">
        <v>2114</v>
      </c>
      <c r="CB174" s="77">
        <f t="shared" ca="1" si="1342"/>
        <v>10</v>
      </c>
      <c r="CC174" s="110"/>
      <c r="CD174" s="74" t="s">
        <v>2518</v>
      </c>
      <c r="CE174" s="77">
        <f t="shared" ca="1" si="1342"/>
        <v>10</v>
      </c>
      <c r="CF174" s="110"/>
      <c r="CG174" s="74" t="s">
        <v>2170</v>
      </c>
      <c r="CH174" s="77">
        <f t="shared" ca="1" si="1342"/>
        <v>10</v>
      </c>
      <c r="CI174" s="110"/>
      <c r="CJ174" s="74" t="s">
        <v>2450</v>
      </c>
      <c r="CK174" s="77">
        <f t="shared" ca="1" si="1364"/>
        <v>0</v>
      </c>
      <c r="CL174" s="110"/>
      <c r="CM174" s="74" t="s">
        <v>2450</v>
      </c>
      <c r="CN174" s="77">
        <f t="shared" ca="1" si="1364"/>
        <v>0</v>
      </c>
      <c r="CO174" s="110"/>
      <c r="CP174" s="74" t="s">
        <v>2079</v>
      </c>
      <c r="CQ174" s="77">
        <f t="shared" ca="1" si="1364"/>
        <v>10</v>
      </c>
      <c r="CR174" s="110"/>
      <c r="CS174" s="74" t="s">
        <v>2079</v>
      </c>
      <c r="CT174" s="77">
        <f t="shared" ca="1" si="1364"/>
        <v>10</v>
      </c>
      <c r="CU174" s="110"/>
      <c r="CV174" s="74" t="s">
        <v>2450</v>
      </c>
      <c r="CW174" s="77">
        <f t="shared" ca="1" si="1364"/>
        <v>0</v>
      </c>
      <c r="CX174" s="110"/>
      <c r="CY174" s="74" t="s">
        <v>2670</v>
      </c>
      <c r="CZ174" s="77">
        <f t="shared" ca="1" si="1364"/>
        <v>0</v>
      </c>
      <c r="DA174" s="110"/>
      <c r="DB174" s="74" t="s">
        <v>2426</v>
      </c>
      <c r="DC174" s="77">
        <f t="shared" ca="1" si="1364"/>
        <v>12</v>
      </c>
      <c r="DD174" s="110"/>
      <c r="DE174" s="74" t="s">
        <v>2411</v>
      </c>
      <c r="DF174" s="77">
        <f t="shared" ca="1" si="1364"/>
        <v>20</v>
      </c>
      <c r="DG174" s="110"/>
      <c r="DH174" s="74" t="s">
        <v>2730</v>
      </c>
      <c r="DI174" s="77">
        <f t="shared" ca="1" si="1364"/>
        <v>0</v>
      </c>
      <c r="DJ174" s="110"/>
      <c r="DK174" s="74" t="s">
        <v>2411</v>
      </c>
      <c r="DL174" s="77">
        <f t="shared" ca="1" si="1364"/>
        <v>20</v>
      </c>
      <c r="DM174" s="110"/>
      <c r="DN174" s="74" t="s">
        <v>2011</v>
      </c>
      <c r="DO174" s="77">
        <f t="shared" ca="1" si="1364"/>
        <v>10</v>
      </c>
      <c r="DP174" s="110"/>
      <c r="DQ174" s="74" t="s">
        <v>2114</v>
      </c>
      <c r="DR174" s="77">
        <f t="shared" ca="1" si="1364"/>
        <v>10</v>
      </c>
      <c r="DS174" s="110"/>
      <c r="DT174" s="74" t="s">
        <v>2426</v>
      </c>
      <c r="DU174" s="77">
        <f t="shared" ca="1" si="1364"/>
        <v>12</v>
      </c>
      <c r="DV174" s="110"/>
      <c r="DW174" s="74" t="s">
        <v>2245</v>
      </c>
      <c r="DX174" s="77">
        <f t="shared" ca="1" si="1364"/>
        <v>0</v>
      </c>
      <c r="DY174" s="110"/>
      <c r="DZ174" s="74" t="s">
        <v>2114</v>
      </c>
      <c r="EA174" s="77">
        <f t="shared" ca="1" si="1364"/>
        <v>10</v>
      </c>
      <c r="EB174" s="110"/>
      <c r="EC174" s="74" t="s">
        <v>2114</v>
      </c>
      <c r="ED174" s="77">
        <f t="shared" ca="1" si="1364"/>
        <v>10</v>
      </c>
      <c r="EE174" s="110"/>
      <c r="EF174" s="74" t="s">
        <v>2836</v>
      </c>
      <c r="EG174" s="77">
        <f t="shared" ca="1" si="1364"/>
        <v>0</v>
      </c>
      <c r="EH174" s="110"/>
      <c r="EI174" s="74" t="s">
        <v>2170</v>
      </c>
      <c r="EJ174" s="77">
        <f t="shared" ca="1" si="1364"/>
        <v>10</v>
      </c>
      <c r="EK174" s="110"/>
      <c r="EL174" s="74" t="s">
        <v>2114</v>
      </c>
      <c r="EM174" s="77">
        <f t="shared" ca="1" si="1364"/>
        <v>10</v>
      </c>
      <c r="EN174" s="110"/>
      <c r="EO174" s="74" t="s">
        <v>2332</v>
      </c>
      <c r="EP174" s="77">
        <f t="shared" ca="1" si="1364"/>
        <v>10</v>
      </c>
      <c r="EQ174" s="110"/>
      <c r="ER174" s="74" t="s">
        <v>2170</v>
      </c>
      <c r="ES174" s="77">
        <f t="shared" ca="1" si="1364"/>
        <v>10</v>
      </c>
      <c r="ET174" s="110"/>
      <c r="EU174" s="74" t="s">
        <v>2011</v>
      </c>
      <c r="EV174" s="77">
        <f t="shared" ca="1" si="1364"/>
        <v>10</v>
      </c>
      <c r="EW174" s="110"/>
      <c r="EX174" s="74" t="s">
        <v>2114</v>
      </c>
      <c r="EY174" s="77">
        <f t="shared" ca="1" si="1386"/>
        <v>10</v>
      </c>
      <c r="EZ174" s="110"/>
      <c r="FA174" s="74" t="s">
        <v>2411</v>
      </c>
      <c r="FB174" s="77">
        <f t="shared" ca="1" si="1386"/>
        <v>20</v>
      </c>
      <c r="FC174" s="110"/>
      <c r="FD174" s="74" t="s">
        <v>2411</v>
      </c>
      <c r="FE174" s="77">
        <f t="shared" ca="1" si="1386"/>
        <v>20</v>
      </c>
      <c r="FF174" s="110"/>
      <c r="FG174" s="74" t="s">
        <v>2411</v>
      </c>
      <c r="FH174" s="77">
        <f t="shared" ca="1" si="1386"/>
        <v>20</v>
      </c>
      <c r="FI174" s="110"/>
      <c r="FJ174" s="74" t="s">
        <v>2114</v>
      </c>
      <c r="FK174" s="77">
        <f t="shared" ca="1" si="1386"/>
        <v>10</v>
      </c>
      <c r="FL174" s="110"/>
      <c r="FM174" s="74" t="s">
        <v>2079</v>
      </c>
      <c r="FN174" s="77">
        <f t="shared" ca="1" si="1386"/>
        <v>10</v>
      </c>
      <c r="FO174" s="110"/>
      <c r="FP174" s="74" t="s">
        <v>2114</v>
      </c>
      <c r="FQ174" s="77">
        <f t="shared" ca="1" si="1386"/>
        <v>10</v>
      </c>
      <c r="FR174" s="110"/>
      <c r="FS174" s="74" t="s">
        <v>2079</v>
      </c>
      <c r="FT174" s="77">
        <f t="shared" ca="1" si="1386"/>
        <v>10</v>
      </c>
      <c r="FU174" s="110"/>
      <c r="FV174" s="74" t="s">
        <v>2450</v>
      </c>
      <c r="FW174" s="77">
        <f t="shared" ca="1" si="1386"/>
        <v>0</v>
      </c>
      <c r="FX174" s="110"/>
      <c r="FY174" s="74" t="s">
        <v>2310</v>
      </c>
      <c r="FZ174" s="77">
        <f t="shared" ca="1" si="1386"/>
        <v>0</v>
      </c>
      <c r="GA174" s="110"/>
      <c r="GB174" s="74" t="s">
        <v>2450</v>
      </c>
      <c r="GC174" s="77">
        <f t="shared" ca="1" si="1386"/>
        <v>0</v>
      </c>
      <c r="GD174" s="110"/>
      <c r="GE174" s="74" t="s">
        <v>2079</v>
      </c>
      <c r="GF174" s="77">
        <f t="shared" ca="1" si="1386"/>
        <v>10</v>
      </c>
      <c r="GG174" s="110"/>
      <c r="GH174" s="74" t="s">
        <v>2245</v>
      </c>
      <c r="GI174" s="77">
        <f t="shared" ca="1" si="1386"/>
        <v>0</v>
      </c>
      <c r="GJ174" s="110"/>
      <c r="GK174" s="74" t="s">
        <v>3061</v>
      </c>
      <c r="GL174" s="77">
        <f t="shared" ca="1" si="1386"/>
        <v>0</v>
      </c>
      <c r="GM174" s="110"/>
      <c r="GN174" s="74"/>
      <c r="GO174" s="77">
        <f t="shared" ca="1" si="1386"/>
        <v>0</v>
      </c>
      <c r="GP174" s="110"/>
      <c r="GQ174" s="74"/>
      <c r="GR174" s="77">
        <f t="shared" ca="1" si="1386"/>
        <v>0</v>
      </c>
      <c r="GS174" s="110"/>
      <c r="GT174" s="74"/>
      <c r="GU174" s="77">
        <f t="shared" ca="1" si="1386"/>
        <v>0</v>
      </c>
      <c r="GV174" s="110"/>
      <c r="GW174" s="74"/>
      <c r="GX174" s="77">
        <f t="shared" ca="1" si="1386"/>
        <v>0</v>
      </c>
      <c r="GY174" s="110"/>
      <c r="GZ174" s="74"/>
      <c r="HA174" s="77">
        <f t="shared" ca="1" si="1386"/>
        <v>0</v>
      </c>
      <c r="HB174" s="110"/>
      <c r="HC174" s="74"/>
      <c r="HD174" s="77">
        <f t="shared" ca="1" si="1386"/>
        <v>0</v>
      </c>
      <c r="HE174" s="110"/>
      <c r="HF174" s="74"/>
      <c r="HG174" s="77">
        <f t="shared" ca="1" si="1386"/>
        <v>0</v>
      </c>
      <c r="HH174" s="110"/>
      <c r="HI174" s="74"/>
      <c r="HJ174" s="77">
        <f t="shared" ca="1" si="1386"/>
        <v>0</v>
      </c>
      <c r="HK174" s="110"/>
      <c r="HL174" s="74"/>
      <c r="HM174" s="77">
        <f t="shared" ca="1" si="1408"/>
        <v>0</v>
      </c>
      <c r="HN174" s="110"/>
      <c r="HO174" s="74"/>
      <c r="HP174" s="77">
        <f t="shared" ca="1" si="1408"/>
        <v>0</v>
      </c>
      <c r="HQ174" s="110"/>
      <c r="HR174" s="74"/>
      <c r="HS174" s="77">
        <f t="shared" ca="1" si="1408"/>
        <v>0</v>
      </c>
      <c r="HT174" s="110"/>
      <c r="HU174" s="74"/>
      <c r="HV174" s="77">
        <f t="shared" ca="1" si="1408"/>
        <v>0</v>
      </c>
      <c r="HW174" s="110"/>
      <c r="HX174" s="74"/>
      <c r="HY174" s="77">
        <f t="shared" ca="1" si="1408"/>
        <v>0</v>
      </c>
      <c r="HZ174" s="110"/>
      <c r="IA174" s="74"/>
      <c r="IB174" s="77">
        <f t="shared" ca="1" si="1408"/>
        <v>0</v>
      </c>
      <c r="IC174" s="110"/>
      <c r="ID174" s="74"/>
      <c r="IE174" s="77">
        <f t="shared" ca="1" si="1408"/>
        <v>0</v>
      </c>
      <c r="IF174" s="110"/>
      <c r="IG174" s="74"/>
      <c r="IH174" s="77">
        <f t="shared" ca="1" si="1408"/>
        <v>0</v>
      </c>
      <c r="II174" s="110"/>
      <c r="IJ174" s="74"/>
      <c r="IK174" s="77">
        <f t="shared" ca="1" si="1408"/>
        <v>0</v>
      </c>
      <c r="IL174" s="110"/>
      <c r="IM174" s="74"/>
      <c r="IN174" s="77">
        <f t="shared" ca="1" si="1408"/>
        <v>0</v>
      </c>
      <c r="IO174" s="110"/>
      <c r="IP174" s="74"/>
      <c r="IQ174" s="77">
        <f t="shared" ca="1" si="1408"/>
        <v>0</v>
      </c>
      <c r="IR174" s="110"/>
      <c r="IS174" s="74"/>
      <c r="IT174" s="77">
        <f t="shared" ca="1" si="1408"/>
        <v>0</v>
      </c>
      <c r="IU174" s="110"/>
      <c r="IV174" s="74"/>
      <c r="IW174" s="77">
        <f t="shared" ca="1" si="1408"/>
        <v>0</v>
      </c>
      <c r="IX174" s="110"/>
      <c r="IY174" s="74"/>
      <c r="IZ174" s="77">
        <f t="shared" ca="1" si="1408"/>
        <v>0</v>
      </c>
      <c r="JA174" s="110"/>
      <c r="JB174" s="74"/>
      <c r="JC174" s="77">
        <f t="shared" ca="1" si="1408"/>
        <v>0</v>
      </c>
      <c r="JD174" s="110"/>
      <c r="JE174" s="74"/>
      <c r="JF174" s="77">
        <f t="shared" ca="1" si="1408"/>
        <v>0</v>
      </c>
      <c r="JG174" s="110"/>
      <c r="JH174" s="74"/>
      <c r="JI174" s="77">
        <f t="shared" ca="1" si="1408"/>
        <v>0</v>
      </c>
      <c r="JJ174" s="110"/>
      <c r="JK174" s="74"/>
      <c r="JL174" s="77">
        <f t="shared" ca="1" si="1408"/>
        <v>0</v>
      </c>
      <c r="JM174" s="110"/>
      <c r="JN174" s="74"/>
      <c r="JO174" s="77">
        <f t="shared" ca="1" si="1408"/>
        <v>0</v>
      </c>
      <c r="JP174" s="110"/>
      <c r="JQ174" s="74"/>
      <c r="JR174" s="77">
        <f t="shared" ca="1" si="1408"/>
        <v>0</v>
      </c>
      <c r="JS174" s="110"/>
      <c r="JT174" s="74"/>
      <c r="JU174" s="77">
        <f t="shared" ca="1" si="1408"/>
        <v>0</v>
      </c>
      <c r="JV174" s="110"/>
      <c r="JW174" s="74"/>
      <c r="JX174" s="77">
        <f t="shared" ca="1" si="1408"/>
        <v>0</v>
      </c>
      <c r="JY174" s="110"/>
      <c r="JZ174" s="74"/>
      <c r="KA174" s="77">
        <f t="shared" ca="1" si="1430"/>
        <v>0</v>
      </c>
      <c r="KB174" s="110"/>
      <c r="KC174" s="74"/>
      <c r="KD174" s="77">
        <f t="shared" ca="1" si="1430"/>
        <v>0</v>
      </c>
      <c r="KE174" s="110"/>
      <c r="KF174" s="74"/>
      <c r="KG174" s="77">
        <f t="shared" ca="1" si="1430"/>
        <v>0</v>
      </c>
      <c r="KH174" s="110"/>
      <c r="KI174" s="74"/>
      <c r="KJ174" s="77">
        <f t="shared" ca="1" si="1430"/>
        <v>0</v>
      </c>
      <c r="KK174" s="110"/>
      <c r="KL174" s="74"/>
      <c r="KM174" s="77">
        <f t="shared" ca="1" si="1430"/>
        <v>0</v>
      </c>
      <c r="KN174" s="110"/>
      <c r="KO174" s="74"/>
      <c r="KP174" s="77">
        <f t="shared" ca="1" si="1430"/>
        <v>0</v>
      </c>
      <c r="KQ174" s="110"/>
      <c r="KR174" s="74"/>
      <c r="KS174" s="77">
        <f t="shared" ca="1" si="1430"/>
        <v>0</v>
      </c>
      <c r="KT174" s="110"/>
      <c r="KU174" s="74"/>
      <c r="KV174" s="77">
        <f t="shared" ca="1" si="1430"/>
        <v>0</v>
      </c>
      <c r="KW174" s="110"/>
      <c r="KX174" s="74"/>
      <c r="KY174" s="77">
        <f t="shared" ca="1" si="1430"/>
        <v>0</v>
      </c>
      <c r="KZ174" s="110"/>
      <c r="LA174" s="74"/>
      <c r="LB174" s="77">
        <f t="shared" ca="1" si="1430"/>
        <v>0</v>
      </c>
      <c r="LC174" s="110"/>
      <c r="LD174" s="74"/>
      <c r="LE174" s="77">
        <f t="shared" ca="1" si="1430"/>
        <v>0</v>
      </c>
      <c r="LF174" s="110"/>
      <c r="LG174" s="110"/>
    </row>
    <row r="175" spans="1:319">
      <c r="A175" s="25">
        <f>WORLDCUP!AD112</f>
        <v>1</v>
      </c>
      <c r="B175" s="25">
        <f>WORLDCUP!AC112</f>
        <v>2</v>
      </c>
      <c r="C175" s="25" t="str">
        <f ca="1">CONCATENATE(WORLDCUP!AF112,"-",WORLDCUP!AA112)</f>
        <v>Croatia-Portugal</v>
      </c>
      <c r="D175" s="25">
        <f>IF(WORLDCUP!AC112&gt;WORLDCUP!AD112,2,IF(WORLDCUP!AC112&lt;WORLDCUP!AD112,1,IF(AND(WORLDCUP!AC112=WORLDCUP!AD112,WORLDCUP!AC112&lt;&gt;"",WORLDCUP!AD112&lt;&gt;""),0,"PD")))</f>
        <v>2</v>
      </c>
      <c r="E175" s="25" t="str">
        <f>IF(OR(WORLDCUP!AC112="",WORLDCUP!AD112=""),"-",A175&amp;"-"&amp;B175)</f>
        <v>1-2</v>
      </c>
      <c r="F175" s="407">
        <f t="shared" si="1441"/>
        <v>20</v>
      </c>
      <c r="G175" s="407">
        <f ca="1">VLOOKUP(H175,Equipos!$Q$1:$R$25,2,0)</f>
        <v>20</v>
      </c>
      <c r="H175" s="446" t="str">
        <f>Idiomas!$D$260</f>
        <v>Round of 32</v>
      </c>
      <c r="I175" s="43">
        <v>1</v>
      </c>
      <c r="J175" s="845"/>
      <c r="K175" s="56" t="str">
        <f ca="1">CONCATENATE(WORLDCUP!AA112,"-",WORLDCUP!AF112)</f>
        <v>Portugal-Croatia</v>
      </c>
      <c r="L175" s="53">
        <f>IF(OR(WORLDCUP!AC112="",WORLDCUP!AD112=""),"PD",IF(WORLDCUP!AC112&gt;WORLDCUP!AD112,1,IF(WORLDCUP!AC112&lt;WORLDCUP!AD112,2,0)))</f>
        <v>1</v>
      </c>
      <c r="M175" s="55" t="str">
        <f t="shared" si="1442"/>
        <v>2-1</v>
      </c>
      <c r="N175" s="25">
        <f>WORLDCUP!AC112</f>
        <v>2</v>
      </c>
      <c r="O175" s="25">
        <f>WORLDCUP!AD112</f>
        <v>1</v>
      </c>
      <c r="P175" s="25">
        <f t="shared" si="1443"/>
        <v>1</v>
      </c>
      <c r="Q175" s="25">
        <f t="shared" si="1444"/>
        <v>-1</v>
      </c>
      <c r="R175" s="110"/>
      <c r="S175" s="74" t="s">
        <v>1973</v>
      </c>
      <c r="T175" s="77">
        <f t="shared" ca="1" si="1445"/>
        <v>0</v>
      </c>
      <c r="U175" s="110"/>
      <c r="V175" s="74" t="s">
        <v>2012</v>
      </c>
      <c r="W175" s="77">
        <f t="shared" ca="1" si="1342"/>
        <v>0</v>
      </c>
      <c r="X175" s="110"/>
      <c r="Y175" s="74" t="s">
        <v>2048</v>
      </c>
      <c r="Z175" s="77">
        <f t="shared" ca="1" si="1342"/>
        <v>0</v>
      </c>
      <c r="AA175" s="110"/>
      <c r="AB175" s="74" t="s">
        <v>2080</v>
      </c>
      <c r="AC175" s="77">
        <f t="shared" ca="1" si="1342"/>
        <v>0</v>
      </c>
      <c r="AD175" s="110"/>
      <c r="AE175" s="74" t="s">
        <v>2115</v>
      </c>
      <c r="AF175" s="77">
        <f t="shared" ca="1" si="1342"/>
        <v>0</v>
      </c>
      <c r="AG175" s="110"/>
      <c r="AH175" s="74" t="s">
        <v>2144</v>
      </c>
      <c r="AI175" s="77">
        <f t="shared" ca="1" si="1342"/>
        <v>0</v>
      </c>
      <c r="AJ175" s="110"/>
      <c r="AK175" s="74" t="s">
        <v>2171</v>
      </c>
      <c r="AL175" s="77">
        <f t="shared" ca="1" si="1342"/>
        <v>0</v>
      </c>
      <c r="AM175" s="110"/>
      <c r="AN175" s="74" t="s">
        <v>2199</v>
      </c>
      <c r="AO175" s="77">
        <f t="shared" ca="1" si="1342"/>
        <v>0</v>
      </c>
      <c r="AP175" s="110"/>
      <c r="AQ175" s="74" t="s">
        <v>2234</v>
      </c>
      <c r="AR175" s="77">
        <f t="shared" ca="1" si="1342"/>
        <v>0</v>
      </c>
      <c r="AS175" s="110"/>
      <c r="AT175" s="74" t="s">
        <v>2261</v>
      </c>
      <c r="AU175" s="77">
        <f t="shared" ca="1" si="1342"/>
        <v>0</v>
      </c>
      <c r="AV175" s="110"/>
      <c r="AW175" s="74" t="s">
        <v>2016</v>
      </c>
      <c r="AX175" s="77">
        <f t="shared" ca="1" si="1342"/>
        <v>0</v>
      </c>
      <c r="AY175" s="110"/>
      <c r="AZ175" s="74" t="s">
        <v>2115</v>
      </c>
      <c r="BA175" s="77">
        <f t="shared" ca="1" si="1342"/>
        <v>0</v>
      </c>
      <c r="BB175" s="110"/>
      <c r="BC175" s="74" t="s">
        <v>2080</v>
      </c>
      <c r="BD175" s="77">
        <f t="shared" ca="1" si="1342"/>
        <v>0</v>
      </c>
      <c r="BE175" s="110"/>
      <c r="BF175" s="74" t="s">
        <v>2171</v>
      </c>
      <c r="BG175" s="77">
        <f t="shared" ca="1" si="1342"/>
        <v>0</v>
      </c>
      <c r="BH175" s="110"/>
      <c r="BI175" s="74" t="s">
        <v>2380</v>
      </c>
      <c r="BJ175" s="77">
        <f t="shared" ca="1" si="1342"/>
        <v>0</v>
      </c>
      <c r="BK175" s="110"/>
      <c r="BL175" s="74" t="s">
        <v>2115</v>
      </c>
      <c r="BM175" s="77">
        <f t="shared" ca="1" si="1342"/>
        <v>0</v>
      </c>
      <c r="BN175" s="110"/>
      <c r="BO175" s="74" t="s">
        <v>2427</v>
      </c>
      <c r="BP175" s="77">
        <f t="shared" ca="1" si="1342"/>
        <v>20</v>
      </c>
      <c r="BQ175" s="110"/>
      <c r="BR175" s="74" t="s">
        <v>2451</v>
      </c>
      <c r="BS175" s="77">
        <f t="shared" ca="1" si="1342"/>
        <v>0</v>
      </c>
      <c r="BT175" s="110"/>
      <c r="BU175" s="74" t="s">
        <v>2080</v>
      </c>
      <c r="BV175" s="77">
        <f t="shared" ca="1" si="1342"/>
        <v>0</v>
      </c>
      <c r="BW175" s="110"/>
      <c r="BX175" s="74" t="s">
        <v>2171</v>
      </c>
      <c r="BY175" s="77">
        <f t="shared" ca="1" si="1342"/>
        <v>0</v>
      </c>
      <c r="BZ175" s="110"/>
      <c r="CA175" s="74" t="s">
        <v>2171</v>
      </c>
      <c r="CB175" s="77">
        <f t="shared" ca="1" si="1342"/>
        <v>0</v>
      </c>
      <c r="CC175" s="110"/>
      <c r="CD175" s="74" t="s">
        <v>2519</v>
      </c>
      <c r="CE175" s="77">
        <f t="shared" ca="1" si="1342"/>
        <v>0</v>
      </c>
      <c r="CF175" s="110"/>
      <c r="CG175" s="74" t="s">
        <v>2536</v>
      </c>
      <c r="CH175" s="77">
        <f t="shared" ca="1" si="1342"/>
        <v>0</v>
      </c>
      <c r="CI175" s="110"/>
      <c r="CJ175" s="74" t="s">
        <v>2430</v>
      </c>
      <c r="CK175" s="77">
        <f t="shared" ca="1" si="1364"/>
        <v>12</v>
      </c>
      <c r="CL175" s="110"/>
      <c r="CM175" s="74" t="s">
        <v>2080</v>
      </c>
      <c r="CN175" s="77">
        <f t="shared" ca="1" si="1364"/>
        <v>0</v>
      </c>
      <c r="CO175" s="110"/>
      <c r="CP175" s="74" t="s">
        <v>2536</v>
      </c>
      <c r="CQ175" s="77">
        <f t="shared" ca="1" si="1364"/>
        <v>0</v>
      </c>
      <c r="CR175" s="110"/>
      <c r="CS175" s="74" t="s">
        <v>2618</v>
      </c>
      <c r="CT175" s="77">
        <f t="shared" ca="1" si="1364"/>
        <v>0</v>
      </c>
      <c r="CU175" s="110"/>
      <c r="CV175" s="74" t="s">
        <v>2644</v>
      </c>
      <c r="CW175" s="77">
        <f t="shared" ca="1" si="1364"/>
        <v>0</v>
      </c>
      <c r="CX175" s="110"/>
      <c r="CY175" s="74" t="s">
        <v>2671</v>
      </c>
      <c r="CZ175" s="77">
        <f t="shared" ca="1" si="1364"/>
        <v>10</v>
      </c>
      <c r="DA175" s="110"/>
      <c r="DB175" s="74" t="s">
        <v>2701</v>
      </c>
      <c r="DC175" s="77">
        <f t="shared" ca="1" si="1364"/>
        <v>0</v>
      </c>
      <c r="DD175" s="110"/>
      <c r="DE175" s="74" t="s">
        <v>2115</v>
      </c>
      <c r="DF175" s="77">
        <f t="shared" ca="1" si="1364"/>
        <v>0</v>
      </c>
      <c r="DG175" s="110"/>
      <c r="DH175" s="74" t="s">
        <v>2701</v>
      </c>
      <c r="DI175" s="77">
        <f t="shared" ca="1" si="1364"/>
        <v>0</v>
      </c>
      <c r="DJ175" s="110"/>
      <c r="DK175" s="74" t="s">
        <v>2752</v>
      </c>
      <c r="DL175" s="77">
        <f t="shared" ca="1" si="1364"/>
        <v>0</v>
      </c>
      <c r="DM175" s="110"/>
      <c r="DN175" s="74" t="s">
        <v>2618</v>
      </c>
      <c r="DO175" s="77">
        <f t="shared" ca="1" si="1364"/>
        <v>0</v>
      </c>
      <c r="DP175" s="110"/>
      <c r="DQ175" s="74" t="s">
        <v>2115</v>
      </c>
      <c r="DR175" s="77">
        <f t="shared" ca="1" si="1364"/>
        <v>0</v>
      </c>
      <c r="DS175" s="110"/>
      <c r="DT175" s="74" t="s">
        <v>2115</v>
      </c>
      <c r="DU175" s="77">
        <f t="shared" ca="1" si="1364"/>
        <v>0</v>
      </c>
      <c r="DV175" s="110"/>
      <c r="DW175" s="74" t="s">
        <v>2536</v>
      </c>
      <c r="DX175" s="77">
        <f t="shared" ca="1" si="1364"/>
        <v>0</v>
      </c>
      <c r="DY175" s="110"/>
      <c r="DZ175" s="74" t="s">
        <v>2380</v>
      </c>
      <c r="EA175" s="77">
        <f t="shared" ca="1" si="1364"/>
        <v>0</v>
      </c>
      <c r="EB175" s="110"/>
      <c r="EC175" s="74" t="s">
        <v>2752</v>
      </c>
      <c r="ED175" s="77">
        <f t="shared" ca="1" si="1364"/>
        <v>0</v>
      </c>
      <c r="EE175" s="110"/>
      <c r="EF175" s="74" t="s">
        <v>2837</v>
      </c>
      <c r="EG175" s="77">
        <f t="shared" ca="1" si="1364"/>
        <v>0</v>
      </c>
      <c r="EH175" s="110"/>
      <c r="EI175" s="74" t="s">
        <v>2115</v>
      </c>
      <c r="EJ175" s="77">
        <f t="shared" ca="1" si="1364"/>
        <v>0</v>
      </c>
      <c r="EK175" s="110"/>
      <c r="EL175" s="74" t="s">
        <v>2115</v>
      </c>
      <c r="EM175" s="77">
        <f t="shared" ca="1" si="1364"/>
        <v>0</v>
      </c>
      <c r="EN175" s="110"/>
      <c r="EO175" s="74" t="s">
        <v>2879</v>
      </c>
      <c r="EP175" s="77">
        <f t="shared" ca="1" si="1364"/>
        <v>0</v>
      </c>
      <c r="EQ175" s="110"/>
      <c r="ER175" s="74" t="s">
        <v>2115</v>
      </c>
      <c r="ES175" s="77">
        <f t="shared" ca="1" si="1364"/>
        <v>0</v>
      </c>
      <c r="ET175" s="110"/>
      <c r="EU175" s="74" t="s">
        <v>2671</v>
      </c>
      <c r="EV175" s="77">
        <f t="shared" ca="1" si="1364"/>
        <v>10</v>
      </c>
      <c r="EW175" s="110"/>
      <c r="EX175" s="74" t="s">
        <v>2115</v>
      </c>
      <c r="EY175" s="77">
        <f t="shared" ca="1" si="1386"/>
        <v>0</v>
      </c>
      <c r="EZ175" s="110"/>
      <c r="FA175" s="74" t="s">
        <v>2701</v>
      </c>
      <c r="FB175" s="77">
        <f t="shared" ca="1" si="1386"/>
        <v>0</v>
      </c>
      <c r="FC175" s="110"/>
      <c r="FD175" s="74" t="s">
        <v>2115</v>
      </c>
      <c r="FE175" s="77">
        <f t="shared" ca="1" si="1386"/>
        <v>0</v>
      </c>
      <c r="FF175" s="110"/>
      <c r="FG175" s="74" t="s">
        <v>2080</v>
      </c>
      <c r="FH175" s="77">
        <f t="shared" ca="1" si="1386"/>
        <v>0</v>
      </c>
      <c r="FI175" s="110"/>
      <c r="FJ175" s="74" t="s">
        <v>2536</v>
      </c>
      <c r="FK175" s="77">
        <f t="shared" ca="1" si="1386"/>
        <v>0</v>
      </c>
      <c r="FL175" s="110"/>
      <c r="FM175" s="74" t="s">
        <v>2171</v>
      </c>
      <c r="FN175" s="77">
        <f t="shared" ca="1" si="1386"/>
        <v>0</v>
      </c>
      <c r="FO175" s="110"/>
      <c r="FP175" s="74" t="s">
        <v>2380</v>
      </c>
      <c r="FQ175" s="77">
        <f t="shared" ca="1" si="1386"/>
        <v>0</v>
      </c>
      <c r="FR175" s="110"/>
      <c r="FS175" s="74" t="s">
        <v>2115</v>
      </c>
      <c r="FT175" s="77">
        <f t="shared" ca="1" si="1386"/>
        <v>0</v>
      </c>
      <c r="FU175" s="110"/>
      <c r="FV175" s="74" t="s">
        <v>2536</v>
      </c>
      <c r="FW175" s="77">
        <f t="shared" ca="1" si="1386"/>
        <v>0</v>
      </c>
      <c r="FX175" s="110"/>
      <c r="FY175" s="74" t="s">
        <v>2080</v>
      </c>
      <c r="FZ175" s="77">
        <f t="shared" ca="1" si="1386"/>
        <v>0</v>
      </c>
      <c r="GA175" s="110"/>
      <c r="GB175" s="74" t="s">
        <v>3019</v>
      </c>
      <c r="GC175" s="77">
        <f t="shared" ca="1" si="1386"/>
        <v>0</v>
      </c>
      <c r="GD175" s="110"/>
      <c r="GE175" s="74" t="s">
        <v>2536</v>
      </c>
      <c r="GF175" s="77">
        <f t="shared" ca="1" si="1386"/>
        <v>0</v>
      </c>
      <c r="GG175" s="110"/>
      <c r="GH175" s="74" t="s">
        <v>3045</v>
      </c>
      <c r="GI175" s="77">
        <f t="shared" ca="1" si="1386"/>
        <v>0</v>
      </c>
      <c r="GJ175" s="110"/>
      <c r="GK175" s="74" t="s">
        <v>2701</v>
      </c>
      <c r="GL175" s="77">
        <f t="shared" ca="1" si="1386"/>
        <v>0</v>
      </c>
      <c r="GM175" s="110"/>
      <c r="GN175" s="74"/>
      <c r="GO175" s="77">
        <f t="shared" ca="1" si="1386"/>
        <v>0</v>
      </c>
      <c r="GP175" s="110"/>
      <c r="GQ175" s="74"/>
      <c r="GR175" s="77">
        <f t="shared" ca="1" si="1386"/>
        <v>0</v>
      </c>
      <c r="GS175" s="110"/>
      <c r="GT175" s="74"/>
      <c r="GU175" s="77">
        <f t="shared" ca="1" si="1386"/>
        <v>0</v>
      </c>
      <c r="GV175" s="110"/>
      <c r="GW175" s="74"/>
      <c r="GX175" s="77">
        <f t="shared" ca="1" si="1386"/>
        <v>0</v>
      </c>
      <c r="GY175" s="110"/>
      <c r="GZ175" s="74"/>
      <c r="HA175" s="77">
        <f t="shared" ca="1" si="1386"/>
        <v>0</v>
      </c>
      <c r="HB175" s="110"/>
      <c r="HC175" s="74"/>
      <c r="HD175" s="77">
        <f t="shared" ca="1" si="1386"/>
        <v>0</v>
      </c>
      <c r="HE175" s="110"/>
      <c r="HF175" s="74"/>
      <c r="HG175" s="77">
        <f t="shared" ca="1" si="1386"/>
        <v>0</v>
      </c>
      <c r="HH175" s="110"/>
      <c r="HI175" s="74"/>
      <c r="HJ175" s="77">
        <f t="shared" ca="1" si="1386"/>
        <v>0</v>
      </c>
      <c r="HK175" s="110"/>
      <c r="HL175" s="74"/>
      <c r="HM175" s="77">
        <f t="shared" ca="1" si="1408"/>
        <v>0</v>
      </c>
      <c r="HN175" s="110"/>
      <c r="HO175" s="74"/>
      <c r="HP175" s="77">
        <f t="shared" ca="1" si="1408"/>
        <v>0</v>
      </c>
      <c r="HQ175" s="110"/>
      <c r="HR175" s="74"/>
      <c r="HS175" s="77">
        <f t="shared" ca="1" si="1408"/>
        <v>0</v>
      </c>
      <c r="HT175" s="110"/>
      <c r="HU175" s="74"/>
      <c r="HV175" s="77">
        <f t="shared" ca="1" si="1408"/>
        <v>0</v>
      </c>
      <c r="HW175" s="110"/>
      <c r="HX175" s="74"/>
      <c r="HY175" s="77">
        <f t="shared" ca="1" si="1408"/>
        <v>0</v>
      </c>
      <c r="HZ175" s="110"/>
      <c r="IA175" s="74"/>
      <c r="IB175" s="77">
        <f t="shared" ca="1" si="1408"/>
        <v>0</v>
      </c>
      <c r="IC175" s="110"/>
      <c r="ID175" s="74"/>
      <c r="IE175" s="77">
        <f t="shared" ca="1" si="1408"/>
        <v>0</v>
      </c>
      <c r="IF175" s="110"/>
      <c r="IG175" s="74"/>
      <c r="IH175" s="77">
        <f t="shared" ca="1" si="1408"/>
        <v>0</v>
      </c>
      <c r="II175" s="110"/>
      <c r="IJ175" s="74"/>
      <c r="IK175" s="77">
        <f t="shared" ca="1" si="1408"/>
        <v>0</v>
      </c>
      <c r="IL175" s="110"/>
      <c r="IM175" s="74"/>
      <c r="IN175" s="77">
        <f t="shared" ca="1" si="1408"/>
        <v>0</v>
      </c>
      <c r="IO175" s="110"/>
      <c r="IP175" s="74"/>
      <c r="IQ175" s="77">
        <f t="shared" ca="1" si="1408"/>
        <v>0</v>
      </c>
      <c r="IR175" s="110"/>
      <c r="IS175" s="74"/>
      <c r="IT175" s="77">
        <f t="shared" ca="1" si="1408"/>
        <v>0</v>
      </c>
      <c r="IU175" s="110"/>
      <c r="IV175" s="74"/>
      <c r="IW175" s="77">
        <f t="shared" ca="1" si="1408"/>
        <v>0</v>
      </c>
      <c r="IX175" s="110"/>
      <c r="IY175" s="74"/>
      <c r="IZ175" s="77">
        <f t="shared" ca="1" si="1408"/>
        <v>0</v>
      </c>
      <c r="JA175" s="110"/>
      <c r="JB175" s="74"/>
      <c r="JC175" s="77">
        <f t="shared" ca="1" si="1408"/>
        <v>0</v>
      </c>
      <c r="JD175" s="110"/>
      <c r="JE175" s="74"/>
      <c r="JF175" s="77">
        <f t="shared" ca="1" si="1408"/>
        <v>0</v>
      </c>
      <c r="JG175" s="110"/>
      <c r="JH175" s="74"/>
      <c r="JI175" s="77">
        <f t="shared" ca="1" si="1408"/>
        <v>0</v>
      </c>
      <c r="JJ175" s="110"/>
      <c r="JK175" s="74"/>
      <c r="JL175" s="77">
        <f t="shared" ca="1" si="1408"/>
        <v>0</v>
      </c>
      <c r="JM175" s="110"/>
      <c r="JN175" s="74"/>
      <c r="JO175" s="77">
        <f t="shared" ca="1" si="1408"/>
        <v>0</v>
      </c>
      <c r="JP175" s="110"/>
      <c r="JQ175" s="74"/>
      <c r="JR175" s="77">
        <f t="shared" ca="1" si="1408"/>
        <v>0</v>
      </c>
      <c r="JS175" s="110"/>
      <c r="JT175" s="74"/>
      <c r="JU175" s="77">
        <f t="shared" ca="1" si="1408"/>
        <v>0</v>
      </c>
      <c r="JV175" s="110"/>
      <c r="JW175" s="74"/>
      <c r="JX175" s="77">
        <f t="shared" ca="1" si="1408"/>
        <v>0</v>
      </c>
      <c r="JY175" s="110"/>
      <c r="JZ175" s="74"/>
      <c r="KA175" s="77">
        <f t="shared" ca="1" si="1430"/>
        <v>0</v>
      </c>
      <c r="KB175" s="110"/>
      <c r="KC175" s="74"/>
      <c r="KD175" s="77">
        <f t="shared" ca="1" si="1430"/>
        <v>0</v>
      </c>
      <c r="KE175" s="110"/>
      <c r="KF175" s="74"/>
      <c r="KG175" s="77">
        <f t="shared" ca="1" si="1430"/>
        <v>0</v>
      </c>
      <c r="KH175" s="110"/>
      <c r="KI175" s="74"/>
      <c r="KJ175" s="77">
        <f t="shared" ca="1" si="1430"/>
        <v>0</v>
      </c>
      <c r="KK175" s="110"/>
      <c r="KL175" s="74"/>
      <c r="KM175" s="77">
        <f t="shared" ca="1" si="1430"/>
        <v>0</v>
      </c>
      <c r="KN175" s="110"/>
      <c r="KO175" s="74"/>
      <c r="KP175" s="77">
        <f t="shared" ca="1" si="1430"/>
        <v>0</v>
      </c>
      <c r="KQ175" s="110"/>
      <c r="KR175" s="74"/>
      <c r="KS175" s="77">
        <f t="shared" ca="1" si="1430"/>
        <v>0</v>
      </c>
      <c r="KT175" s="110"/>
      <c r="KU175" s="74"/>
      <c r="KV175" s="77">
        <f t="shared" ca="1" si="1430"/>
        <v>0</v>
      </c>
      <c r="KW175" s="110"/>
      <c r="KX175" s="74"/>
      <c r="KY175" s="77">
        <f t="shared" ca="1" si="1430"/>
        <v>0</v>
      </c>
      <c r="KZ175" s="110"/>
      <c r="LA175" s="74"/>
      <c r="LB175" s="77">
        <f t="shared" ca="1" si="1430"/>
        <v>0</v>
      </c>
      <c r="LC175" s="110"/>
      <c r="LD175" s="74"/>
      <c r="LE175" s="77">
        <f t="shared" ca="1" si="1430"/>
        <v>0</v>
      </c>
      <c r="LF175" s="110"/>
      <c r="LG175" s="110"/>
    </row>
    <row r="176" spans="1:319">
      <c r="A176" s="25">
        <f>WORLDCUP!AD113</f>
        <v>0</v>
      </c>
      <c r="B176" s="25">
        <f>WORLDCUP!AC113</f>
        <v>2</v>
      </c>
      <c r="C176" s="25" t="str">
        <f ca="1">CONCATENATE(WORLDCUP!AF113,"-",WORLDCUP!AA113)</f>
        <v>Algeria-Switzerland</v>
      </c>
      <c r="D176" s="25">
        <f>IF(WORLDCUP!AC113&gt;WORLDCUP!AD113,2,IF(WORLDCUP!AC113&lt;WORLDCUP!AD113,1,IF(AND(WORLDCUP!AC113=WORLDCUP!AD113,WORLDCUP!AC113&lt;&gt;"",WORLDCUP!AD113&lt;&gt;""),0,"PD")))</f>
        <v>2</v>
      </c>
      <c r="E176" s="25" t="str">
        <f>IF(OR(WORLDCUP!AC113="",WORLDCUP!AD113=""),"-",A176&amp;"-"&amp;B176)</f>
        <v>0-2</v>
      </c>
      <c r="F176" s="407">
        <f t="shared" si="1441"/>
        <v>20</v>
      </c>
      <c r="G176" s="407">
        <f ca="1">VLOOKUP(H176,Equipos!$Q$1:$R$25,2,0)</f>
        <v>20</v>
      </c>
      <c r="H176" s="446" t="str">
        <f>Idiomas!$D$260</f>
        <v>Round of 32</v>
      </c>
      <c r="I176" s="43">
        <v>1</v>
      </c>
      <c r="J176" s="845"/>
      <c r="K176" s="56" t="str">
        <f ca="1">CONCATENATE(WORLDCUP!AA113,"-",WORLDCUP!AF113)</f>
        <v>Switzerland-Algeria</v>
      </c>
      <c r="L176" s="53">
        <f>IF(OR(WORLDCUP!AC113="",WORLDCUP!AD113=""),"PD",IF(WORLDCUP!AC113&gt;WORLDCUP!AD113,1,IF(WORLDCUP!AC113&lt;WORLDCUP!AD113,2,0)))</f>
        <v>1</v>
      </c>
      <c r="M176" s="55" t="str">
        <f t="shared" si="1442"/>
        <v>2-0</v>
      </c>
      <c r="N176" s="25">
        <f>WORLDCUP!AC113</f>
        <v>2</v>
      </c>
      <c r="O176" s="25">
        <f>WORLDCUP!AD113</f>
        <v>0</v>
      </c>
      <c r="P176" s="25">
        <f t="shared" si="1443"/>
        <v>2</v>
      </c>
      <c r="Q176" s="25">
        <f t="shared" si="1444"/>
        <v>-2</v>
      </c>
      <c r="R176" s="110"/>
      <c r="S176" s="74" t="s">
        <v>1974</v>
      </c>
      <c r="T176" s="77">
        <f t="shared" ca="1" si="1445"/>
        <v>20</v>
      </c>
      <c r="U176" s="110"/>
      <c r="V176" s="74" t="s">
        <v>2013</v>
      </c>
      <c r="W176" s="77">
        <f t="shared" ca="1" si="1342"/>
        <v>0</v>
      </c>
      <c r="X176" s="110"/>
      <c r="Y176" s="74" t="s">
        <v>1974</v>
      </c>
      <c r="Z176" s="77">
        <f t="shared" ca="1" si="1342"/>
        <v>20</v>
      </c>
      <c r="AA176" s="110"/>
      <c r="AB176" s="74" t="s">
        <v>2081</v>
      </c>
      <c r="AC176" s="77">
        <f t="shared" ca="1" si="1342"/>
        <v>10</v>
      </c>
      <c r="AD176" s="110"/>
      <c r="AE176" s="74" t="s">
        <v>1974</v>
      </c>
      <c r="AF176" s="77">
        <f t="shared" ca="1" si="1342"/>
        <v>20</v>
      </c>
      <c r="AG176" s="110"/>
      <c r="AH176" s="74" t="s">
        <v>2145</v>
      </c>
      <c r="AI176" s="77">
        <f t="shared" ca="1" si="1342"/>
        <v>0</v>
      </c>
      <c r="AJ176" s="110"/>
      <c r="AK176" s="74" t="s">
        <v>2172</v>
      </c>
      <c r="AL176" s="77">
        <f t="shared" ca="1" si="1342"/>
        <v>0</v>
      </c>
      <c r="AM176" s="110"/>
      <c r="AN176" s="74" t="s">
        <v>2200</v>
      </c>
      <c r="AO176" s="77">
        <f t="shared" ca="1" si="1342"/>
        <v>0</v>
      </c>
      <c r="AP176" s="110"/>
      <c r="AQ176" s="74" t="s">
        <v>2235</v>
      </c>
      <c r="AR176" s="77">
        <f t="shared" ca="1" si="1342"/>
        <v>0</v>
      </c>
      <c r="AS176" s="110"/>
      <c r="AT176" s="74" t="s">
        <v>2262</v>
      </c>
      <c r="AU176" s="77">
        <f t="shared" ca="1" si="1342"/>
        <v>0</v>
      </c>
      <c r="AV176" s="110"/>
      <c r="AW176" s="74" t="s">
        <v>2288</v>
      </c>
      <c r="AX176" s="77">
        <f t="shared" ca="1" si="1342"/>
        <v>0</v>
      </c>
      <c r="AY176" s="110"/>
      <c r="AZ176" s="74" t="s">
        <v>2311</v>
      </c>
      <c r="BA176" s="77">
        <f t="shared" ca="1" si="1342"/>
        <v>0</v>
      </c>
      <c r="BB176" s="110"/>
      <c r="BC176" s="74" t="s">
        <v>2333</v>
      </c>
      <c r="BD176" s="77">
        <f t="shared" ca="1" si="1342"/>
        <v>0</v>
      </c>
      <c r="BE176" s="110"/>
      <c r="BF176" s="74" t="s">
        <v>2355</v>
      </c>
      <c r="BG176" s="77">
        <f t="shared" ref="BG176:DR179" ca="1" si="1446">IFERROR(IF(COUNTIF($K$164:$K$179,LEFT(BF176,FIND("·",BF176)-1))&gt;0,IF(INDEX($L$164:$L$179,MATCH(LEFT(BF176,FIND("·",BF176)-1),$K$164:$K$179,0))=IFERROR(VALUE(MID(BF176,FIND("·",BF176)+1,1)),0),($D$16+(INDEX($M$164:$M$179,MATCH(LEFT(BF176,FIND("·",BF176)-1),$K$164:$K$179,0))=MID(BF176,FIND("|",BF176)+1,10))*$D$18+MAX(0,IF($D$50=1,$D$17*(1-(ABS(INDEX($P$164:$P$179,MATCH(LEFT(BF176,FIND("·",BF176)-1),$K$164:$K$179,0))-(VALUE(MID(BF176,FIND("|",BF176)+1,FIND("-",BF176,FIND("|",BF176))-FIND("|",BF176)-1))-VALUE(MID(BF176,FIND("-",BF176,FIND("|",BF176))+1,10)))))*$D$50),$D$17*(1-(IF(INDEX($L$164:$L$179,MATCH(LEFT(BF176,FIND("·",BF176)-1),$K$164:$K$179,0))=0,ABS(INDEX($N$164:$N$179,MATCH(LEFT(BF176,FIND("·",BF176)-1),$K$164:$K$179,0))-VALUE(MID(BF176,FIND("|",BF176)+1,FIND("-",BF176,FIND("|",BF176))-FIND("|",BF176)-1))),ABS(INDEX($P$164:$P$179,MATCH(LEFT(BF176,FIND("·",BF176)-1),$K$164:$K$179,0))-(VALUE(MID(BF176,FIND("|",BF176)+1,FIND("-",BF176,FIND("|",BF176))-FIND("|",BF176)-1))-VALUE(MID(BF176,FIND("-",BF176,FIND("|",BF176))+1,10)))))*$D$50)))))*INDEX($I$164:$I$179,MATCH(LEFT(BF176,FIND("·",BF176)-1),$K$164:$K$179,0)),0),0),0)+IFERROR(IF(COUNTIF($C$164:$C$179,LEFT(BF176,FIND("·",BF176)-1))&gt;0,IF(INDEX($D$164:$D$179,MATCH(LEFT(BF176,FIND("·",BF176)-1),$C$164:$C$179,0))=IFERROR(VALUE(MID(BF176,FIND("·",BF176)+1,1)),0),($D$16+(INDEX($E$164:$E$179,MATCH(LEFT(BF176,FIND("·",BF176)-1),$C$164:$C$179,0))=MID(BF176,FIND("|",BF176)+1,10))*$D$18+MAX(0,IF($D$50=1,$D$17*(1-(ABS(INDEX($Q$164:$Q$179,MATCH(LEFT(BF176,FIND("·",BF176)-1),$C$164:$C$179,0))-(VALUE(MID(BF176,FIND("|",BF176)+1,FIND("-",BF176,FIND("|",BF176))-FIND("|",BF176)-1))-VALUE(MID(BF176,FIND("-",BF176,FIND("|",BF176))+1,10)))))*$D$50),$D$17*(1-(IF(INDEX($D$164:$D$179,MATCH(LEFT(BF176,FIND("·",BF176)-1),$C$164:$C$179,0))=0,ABS(INDEX($A$164:$A$179,MATCH(LEFT(BF176,FIND("·",BF176)-1),$C$164:$C$179,0))-VALUE(MID(BF176,FIND("|",BF176)+1,FIND("-",BF176,FIND("|",BF176))-FIND("|",BF176)-1))),ABS(INDEX($Q$164:$Q$179,MATCH(LEFT(BF176,FIND("·",BF176)-1),$C$164:$C$179,0))-(VALUE(MID(BF176,FIND("|",BF176)+1,FIND("-",BF176,FIND("|",BF176))-FIND("|",BF176)-1))-VALUE(MID(BF176,FIND("-",BF176,FIND("|",BF176))+1,10)))))*$D$50)))))*INDEX($I$164:$I$179,MATCH(LEFT(BF176,FIND("·",BF176)-1),$C$164:$C$179,0)),0),0),0)</f>
        <v>0</v>
      </c>
      <c r="BH176" s="110"/>
      <c r="BI176" s="74" t="s">
        <v>2381</v>
      </c>
      <c r="BJ176" s="77">
        <f t="shared" ca="1" si="1446"/>
        <v>0</v>
      </c>
      <c r="BK176" s="110"/>
      <c r="BL176" s="74" t="s">
        <v>2081</v>
      </c>
      <c r="BM176" s="77">
        <f t="shared" ca="1" si="1446"/>
        <v>10</v>
      </c>
      <c r="BN176" s="110"/>
      <c r="BO176" s="74" t="s">
        <v>1974</v>
      </c>
      <c r="BP176" s="77">
        <f t="shared" ca="1" si="1446"/>
        <v>20</v>
      </c>
      <c r="BQ176" s="110"/>
      <c r="BR176" s="74" t="s">
        <v>2452</v>
      </c>
      <c r="BS176" s="77">
        <f t="shared" ca="1" si="1446"/>
        <v>0</v>
      </c>
      <c r="BT176" s="110"/>
      <c r="BU176" s="74" t="s">
        <v>2472</v>
      </c>
      <c r="BV176" s="77">
        <f t="shared" ca="1" si="1446"/>
        <v>0</v>
      </c>
      <c r="BW176" s="110"/>
      <c r="BX176" s="74" t="s">
        <v>2172</v>
      </c>
      <c r="BY176" s="77">
        <f t="shared" ca="1" si="1446"/>
        <v>0</v>
      </c>
      <c r="BZ176" s="110"/>
      <c r="CA176" s="74" t="s">
        <v>2500</v>
      </c>
      <c r="CB176" s="77">
        <f t="shared" ca="1" si="1446"/>
        <v>0</v>
      </c>
      <c r="CC176" s="110"/>
      <c r="CD176" s="74" t="s">
        <v>2381</v>
      </c>
      <c r="CE176" s="77">
        <f t="shared" ca="1" si="1446"/>
        <v>0</v>
      </c>
      <c r="CF176" s="110"/>
      <c r="CG176" s="74" t="s">
        <v>2288</v>
      </c>
      <c r="CH176" s="77">
        <f t="shared" ca="1" si="1446"/>
        <v>0</v>
      </c>
      <c r="CI176" s="110"/>
      <c r="CJ176" s="74" t="s">
        <v>2556</v>
      </c>
      <c r="CK176" s="77">
        <f t="shared" ca="1" si="1446"/>
        <v>0</v>
      </c>
      <c r="CL176" s="110"/>
      <c r="CM176" s="74" t="s">
        <v>2311</v>
      </c>
      <c r="CN176" s="77">
        <f t="shared" ca="1" si="1446"/>
        <v>0</v>
      </c>
      <c r="CO176" s="110"/>
      <c r="CP176" s="74" t="s">
        <v>2500</v>
      </c>
      <c r="CQ176" s="77">
        <f t="shared" ca="1" si="1446"/>
        <v>0</v>
      </c>
      <c r="CR176" s="110"/>
      <c r="CS176" s="74" t="s">
        <v>2619</v>
      </c>
      <c r="CT176" s="77">
        <f t="shared" ca="1" si="1446"/>
        <v>0</v>
      </c>
      <c r="CU176" s="110"/>
      <c r="CV176" s="74" t="s">
        <v>2172</v>
      </c>
      <c r="CW176" s="77">
        <f t="shared" ca="1" si="1446"/>
        <v>0</v>
      </c>
      <c r="CX176" s="110"/>
      <c r="CY176" s="74" t="s">
        <v>2672</v>
      </c>
      <c r="CZ176" s="77">
        <f t="shared" ca="1" si="1446"/>
        <v>0</v>
      </c>
      <c r="DA176" s="110"/>
      <c r="DB176" s="74" t="s">
        <v>2702</v>
      </c>
      <c r="DC176" s="77">
        <f t="shared" ca="1" si="1446"/>
        <v>0</v>
      </c>
      <c r="DD176" s="110"/>
      <c r="DE176" s="74" t="s">
        <v>2713</v>
      </c>
      <c r="DF176" s="77">
        <f t="shared" ca="1" si="1446"/>
        <v>0</v>
      </c>
      <c r="DG176" s="110"/>
      <c r="DH176" s="74" t="s">
        <v>2731</v>
      </c>
      <c r="DI176" s="77">
        <f t="shared" ca="1" si="1446"/>
        <v>0</v>
      </c>
      <c r="DJ176" s="110"/>
      <c r="DK176" s="74" t="s">
        <v>2753</v>
      </c>
      <c r="DL176" s="77">
        <f t="shared" ca="1" si="1446"/>
        <v>0</v>
      </c>
      <c r="DM176" s="110"/>
      <c r="DN176" s="74" t="s">
        <v>2500</v>
      </c>
      <c r="DO176" s="77">
        <f t="shared" ca="1" si="1446"/>
        <v>0</v>
      </c>
      <c r="DP176" s="110"/>
      <c r="DQ176" s="74" t="s">
        <v>1974</v>
      </c>
      <c r="DR176" s="77">
        <f t="shared" ca="1" si="1446"/>
        <v>20</v>
      </c>
      <c r="DS176" s="110"/>
      <c r="DT176" s="74" t="s">
        <v>2793</v>
      </c>
      <c r="DU176" s="77">
        <f t="shared" ca="1" si="1364"/>
        <v>0</v>
      </c>
      <c r="DV176" s="110"/>
      <c r="DW176" s="74" t="s">
        <v>2311</v>
      </c>
      <c r="DX176" s="77">
        <f t="shared" ca="1" si="1364"/>
        <v>0</v>
      </c>
      <c r="DY176" s="110"/>
      <c r="DZ176" s="74" t="s">
        <v>1974</v>
      </c>
      <c r="EA176" s="77">
        <f t="shared" ca="1" si="1364"/>
        <v>20</v>
      </c>
      <c r="EB176" s="110"/>
      <c r="EC176" s="74" t="s">
        <v>2081</v>
      </c>
      <c r="ED176" s="77">
        <f t="shared" ca="1" si="1364"/>
        <v>10</v>
      </c>
      <c r="EE176" s="110"/>
      <c r="EF176" s="74" t="s">
        <v>2838</v>
      </c>
      <c r="EG176" s="77">
        <f t="shared" ca="1" si="1364"/>
        <v>0</v>
      </c>
      <c r="EH176" s="110"/>
      <c r="EI176" s="74" t="s">
        <v>2381</v>
      </c>
      <c r="EJ176" s="77">
        <f t="shared" ca="1" si="1364"/>
        <v>0</v>
      </c>
      <c r="EK176" s="110"/>
      <c r="EL176" s="74" t="s">
        <v>2081</v>
      </c>
      <c r="EM176" s="77">
        <f t="shared" ca="1" si="1364"/>
        <v>10</v>
      </c>
      <c r="EN176" s="110"/>
      <c r="EO176" s="74" t="s">
        <v>2880</v>
      </c>
      <c r="EP176" s="77">
        <f t="shared" ca="1" si="1364"/>
        <v>12</v>
      </c>
      <c r="EQ176" s="110"/>
      <c r="ER176" s="74" t="s">
        <v>2311</v>
      </c>
      <c r="ES176" s="77">
        <f t="shared" ca="1" si="1364"/>
        <v>0</v>
      </c>
      <c r="ET176" s="110"/>
      <c r="EU176" s="74" t="s">
        <v>2903</v>
      </c>
      <c r="EV176" s="77">
        <f t="shared" ca="1" si="1364"/>
        <v>0</v>
      </c>
      <c r="EW176" s="110"/>
      <c r="EX176" s="74" t="s">
        <v>2920</v>
      </c>
      <c r="EY176" s="77">
        <f t="shared" ca="1" si="1386"/>
        <v>10</v>
      </c>
      <c r="EZ176" s="110"/>
      <c r="FA176" s="74" t="s">
        <v>2927</v>
      </c>
      <c r="FB176" s="77">
        <f t="shared" ca="1" si="1386"/>
        <v>0</v>
      </c>
      <c r="FC176" s="110"/>
      <c r="FD176" s="74" t="s">
        <v>2939</v>
      </c>
      <c r="FE176" s="77">
        <f t="shared" ca="1" si="1386"/>
        <v>0</v>
      </c>
      <c r="FF176" s="110"/>
      <c r="FG176" s="74" t="s">
        <v>2954</v>
      </c>
      <c r="FH176" s="77">
        <f t="shared" ca="1" si="1386"/>
        <v>0</v>
      </c>
      <c r="FI176" s="110"/>
      <c r="FJ176" s="74" t="s">
        <v>2500</v>
      </c>
      <c r="FK176" s="77">
        <f t="shared" ca="1" si="1386"/>
        <v>0</v>
      </c>
      <c r="FL176" s="110"/>
      <c r="FM176" s="74" t="s">
        <v>2500</v>
      </c>
      <c r="FN176" s="77">
        <f t="shared" ca="1" si="1386"/>
        <v>0</v>
      </c>
      <c r="FO176" s="110"/>
      <c r="FP176" s="74" t="s">
        <v>2920</v>
      </c>
      <c r="FQ176" s="77">
        <f t="shared" ca="1" si="1386"/>
        <v>10</v>
      </c>
      <c r="FR176" s="110"/>
      <c r="FS176" s="74" t="s">
        <v>2472</v>
      </c>
      <c r="FT176" s="77">
        <f t="shared" ca="1" si="1386"/>
        <v>0</v>
      </c>
      <c r="FU176" s="110"/>
      <c r="FV176" s="74" t="s">
        <v>2200</v>
      </c>
      <c r="FW176" s="77">
        <f t="shared" ca="1" si="1386"/>
        <v>0</v>
      </c>
      <c r="FX176" s="110"/>
      <c r="FY176" s="74" t="s">
        <v>3005</v>
      </c>
      <c r="FZ176" s="77">
        <f t="shared" ca="1" si="1386"/>
        <v>0</v>
      </c>
      <c r="GA176" s="110"/>
      <c r="GB176" s="74" t="s">
        <v>3020</v>
      </c>
      <c r="GC176" s="77">
        <f t="shared" ca="1" si="1386"/>
        <v>0</v>
      </c>
      <c r="GD176" s="110"/>
      <c r="GE176" s="74" t="s">
        <v>3035</v>
      </c>
      <c r="GF176" s="77">
        <f t="shared" ca="1" si="1386"/>
        <v>0</v>
      </c>
      <c r="GG176" s="110"/>
      <c r="GH176" s="74" t="s">
        <v>2081</v>
      </c>
      <c r="GI176" s="77">
        <f t="shared" ref="GI176:IT179" ca="1" si="1447">IFERROR(IF(COUNTIF($K$164:$K$179,LEFT(GH176,FIND("·",GH176)-1))&gt;0,IF(INDEX($L$164:$L$179,MATCH(LEFT(GH176,FIND("·",GH176)-1),$K$164:$K$179,0))=IFERROR(VALUE(MID(GH176,FIND("·",GH176)+1,1)),0),($D$16+(INDEX($M$164:$M$179,MATCH(LEFT(GH176,FIND("·",GH176)-1),$K$164:$K$179,0))=MID(GH176,FIND("|",GH176)+1,10))*$D$18+MAX(0,IF($D$50=1,$D$17*(1-(ABS(INDEX($P$164:$P$179,MATCH(LEFT(GH176,FIND("·",GH176)-1),$K$164:$K$179,0))-(VALUE(MID(GH176,FIND("|",GH176)+1,FIND("-",GH176,FIND("|",GH176))-FIND("|",GH176)-1))-VALUE(MID(GH176,FIND("-",GH176,FIND("|",GH176))+1,10)))))*$D$50),$D$17*(1-(IF(INDEX($L$164:$L$179,MATCH(LEFT(GH176,FIND("·",GH176)-1),$K$164:$K$179,0))=0,ABS(INDEX($N$164:$N$179,MATCH(LEFT(GH176,FIND("·",GH176)-1),$K$164:$K$179,0))-VALUE(MID(GH176,FIND("|",GH176)+1,FIND("-",GH176,FIND("|",GH176))-FIND("|",GH176)-1))),ABS(INDEX($P$164:$P$179,MATCH(LEFT(GH176,FIND("·",GH176)-1),$K$164:$K$179,0))-(VALUE(MID(GH176,FIND("|",GH176)+1,FIND("-",GH176,FIND("|",GH176))-FIND("|",GH176)-1))-VALUE(MID(GH176,FIND("-",GH176,FIND("|",GH176))+1,10)))))*$D$50)))))*INDEX($I$164:$I$179,MATCH(LEFT(GH176,FIND("·",GH176)-1),$K$164:$K$179,0)),0),0),0)+IFERROR(IF(COUNTIF($C$164:$C$179,LEFT(GH176,FIND("·",GH176)-1))&gt;0,IF(INDEX($D$164:$D$179,MATCH(LEFT(GH176,FIND("·",GH176)-1),$C$164:$C$179,0))=IFERROR(VALUE(MID(GH176,FIND("·",GH176)+1,1)),0),($D$16+(INDEX($E$164:$E$179,MATCH(LEFT(GH176,FIND("·",GH176)-1),$C$164:$C$179,0))=MID(GH176,FIND("|",GH176)+1,10))*$D$18+MAX(0,IF($D$50=1,$D$17*(1-(ABS(INDEX($Q$164:$Q$179,MATCH(LEFT(GH176,FIND("·",GH176)-1),$C$164:$C$179,0))-(VALUE(MID(GH176,FIND("|",GH176)+1,FIND("-",GH176,FIND("|",GH176))-FIND("|",GH176)-1))-VALUE(MID(GH176,FIND("-",GH176,FIND("|",GH176))+1,10)))))*$D$50),$D$17*(1-(IF(INDEX($D$164:$D$179,MATCH(LEFT(GH176,FIND("·",GH176)-1),$C$164:$C$179,0))=0,ABS(INDEX($A$164:$A$179,MATCH(LEFT(GH176,FIND("·",GH176)-1),$C$164:$C$179,0))-VALUE(MID(GH176,FIND("|",GH176)+1,FIND("-",GH176,FIND("|",GH176))-FIND("|",GH176)-1))),ABS(INDEX($Q$164:$Q$179,MATCH(LEFT(GH176,FIND("·",GH176)-1),$C$164:$C$179,0))-(VALUE(MID(GH176,FIND("|",GH176)+1,FIND("-",GH176,FIND("|",GH176))-FIND("|",GH176)-1))-VALUE(MID(GH176,FIND("-",GH176,FIND("|",GH176))+1,10)))))*$D$50)))))*INDEX($I$164:$I$179,MATCH(LEFT(GH176,FIND("·",GH176)-1),$C$164:$C$179,0)),0),0),0)</f>
        <v>10</v>
      </c>
      <c r="GJ176" s="110"/>
      <c r="GK176" s="74" t="s">
        <v>3035</v>
      </c>
      <c r="GL176" s="77">
        <f t="shared" ca="1" si="1447"/>
        <v>0</v>
      </c>
      <c r="GM176" s="110"/>
      <c r="GN176" s="74"/>
      <c r="GO176" s="77">
        <f t="shared" ca="1" si="1447"/>
        <v>0</v>
      </c>
      <c r="GP176" s="110"/>
      <c r="GQ176" s="74"/>
      <c r="GR176" s="77">
        <f t="shared" ca="1" si="1447"/>
        <v>0</v>
      </c>
      <c r="GS176" s="110"/>
      <c r="GT176" s="74"/>
      <c r="GU176" s="77">
        <f t="shared" ca="1" si="1447"/>
        <v>0</v>
      </c>
      <c r="GV176" s="110"/>
      <c r="GW176" s="74"/>
      <c r="GX176" s="77">
        <f t="shared" ca="1" si="1447"/>
        <v>0</v>
      </c>
      <c r="GY176" s="110"/>
      <c r="GZ176" s="74"/>
      <c r="HA176" s="77">
        <f t="shared" ca="1" si="1447"/>
        <v>0</v>
      </c>
      <c r="HB176" s="110"/>
      <c r="HC176" s="74"/>
      <c r="HD176" s="77">
        <f t="shared" ca="1" si="1447"/>
        <v>0</v>
      </c>
      <c r="HE176" s="110"/>
      <c r="HF176" s="74"/>
      <c r="HG176" s="77">
        <f t="shared" ca="1" si="1447"/>
        <v>0</v>
      </c>
      <c r="HH176" s="110"/>
      <c r="HI176" s="74"/>
      <c r="HJ176" s="77">
        <f t="shared" ca="1" si="1447"/>
        <v>0</v>
      </c>
      <c r="HK176" s="110"/>
      <c r="HL176" s="74"/>
      <c r="HM176" s="77">
        <f t="shared" ca="1" si="1447"/>
        <v>0</v>
      </c>
      <c r="HN176" s="110"/>
      <c r="HO176" s="74"/>
      <c r="HP176" s="77">
        <f t="shared" ca="1" si="1447"/>
        <v>0</v>
      </c>
      <c r="HQ176" s="110"/>
      <c r="HR176" s="74"/>
      <c r="HS176" s="77">
        <f t="shared" ca="1" si="1447"/>
        <v>0</v>
      </c>
      <c r="HT176" s="110"/>
      <c r="HU176" s="74"/>
      <c r="HV176" s="77">
        <f t="shared" ca="1" si="1447"/>
        <v>0</v>
      </c>
      <c r="HW176" s="110"/>
      <c r="HX176" s="74"/>
      <c r="HY176" s="77">
        <f t="shared" ca="1" si="1447"/>
        <v>0</v>
      </c>
      <c r="HZ176" s="110"/>
      <c r="IA176" s="74"/>
      <c r="IB176" s="77">
        <f t="shared" ca="1" si="1447"/>
        <v>0</v>
      </c>
      <c r="IC176" s="110"/>
      <c r="ID176" s="74"/>
      <c r="IE176" s="77">
        <f t="shared" ca="1" si="1447"/>
        <v>0</v>
      </c>
      <c r="IF176" s="110"/>
      <c r="IG176" s="74"/>
      <c r="IH176" s="77">
        <f t="shared" ca="1" si="1447"/>
        <v>0</v>
      </c>
      <c r="II176" s="110"/>
      <c r="IJ176" s="74"/>
      <c r="IK176" s="77">
        <f t="shared" ca="1" si="1447"/>
        <v>0</v>
      </c>
      <c r="IL176" s="110"/>
      <c r="IM176" s="74"/>
      <c r="IN176" s="77">
        <f t="shared" ca="1" si="1447"/>
        <v>0</v>
      </c>
      <c r="IO176" s="110"/>
      <c r="IP176" s="74"/>
      <c r="IQ176" s="77">
        <f t="shared" ca="1" si="1447"/>
        <v>0</v>
      </c>
      <c r="IR176" s="110"/>
      <c r="IS176" s="74"/>
      <c r="IT176" s="77">
        <f t="shared" ca="1" si="1447"/>
        <v>0</v>
      </c>
      <c r="IU176" s="110"/>
      <c r="IV176" s="74"/>
      <c r="IW176" s="77">
        <f t="shared" ca="1" si="1408"/>
        <v>0</v>
      </c>
      <c r="IX176" s="110"/>
      <c r="IY176" s="74"/>
      <c r="IZ176" s="77">
        <f t="shared" ca="1" si="1408"/>
        <v>0</v>
      </c>
      <c r="JA176" s="110"/>
      <c r="JB176" s="74"/>
      <c r="JC176" s="77">
        <f t="shared" ca="1" si="1408"/>
        <v>0</v>
      </c>
      <c r="JD176" s="110"/>
      <c r="JE176" s="74"/>
      <c r="JF176" s="77">
        <f t="shared" ca="1" si="1408"/>
        <v>0</v>
      </c>
      <c r="JG176" s="110"/>
      <c r="JH176" s="74"/>
      <c r="JI176" s="77">
        <f t="shared" ca="1" si="1408"/>
        <v>0</v>
      </c>
      <c r="JJ176" s="110"/>
      <c r="JK176" s="74"/>
      <c r="JL176" s="77">
        <f t="shared" ca="1" si="1408"/>
        <v>0</v>
      </c>
      <c r="JM176" s="110"/>
      <c r="JN176" s="74"/>
      <c r="JO176" s="77">
        <f t="shared" ca="1" si="1408"/>
        <v>0</v>
      </c>
      <c r="JP176" s="110"/>
      <c r="JQ176" s="74"/>
      <c r="JR176" s="77">
        <f t="shared" ca="1" si="1408"/>
        <v>0</v>
      </c>
      <c r="JS176" s="110"/>
      <c r="JT176" s="74"/>
      <c r="JU176" s="77">
        <f t="shared" ca="1" si="1408"/>
        <v>0</v>
      </c>
      <c r="JV176" s="110"/>
      <c r="JW176" s="74"/>
      <c r="JX176" s="77">
        <f t="shared" ca="1" si="1408"/>
        <v>0</v>
      </c>
      <c r="JY176" s="110"/>
      <c r="JZ176" s="74"/>
      <c r="KA176" s="77">
        <f t="shared" ca="1" si="1430"/>
        <v>0</v>
      </c>
      <c r="KB176" s="110"/>
      <c r="KC176" s="74"/>
      <c r="KD176" s="77">
        <f t="shared" ca="1" si="1430"/>
        <v>0</v>
      </c>
      <c r="KE176" s="110"/>
      <c r="KF176" s="74"/>
      <c r="KG176" s="77">
        <f t="shared" ca="1" si="1430"/>
        <v>0</v>
      </c>
      <c r="KH176" s="110"/>
      <c r="KI176" s="74"/>
      <c r="KJ176" s="77">
        <f t="shared" ca="1" si="1430"/>
        <v>0</v>
      </c>
      <c r="KK176" s="110"/>
      <c r="KL176" s="74"/>
      <c r="KM176" s="77">
        <f t="shared" ca="1" si="1430"/>
        <v>0</v>
      </c>
      <c r="KN176" s="110"/>
      <c r="KO176" s="74"/>
      <c r="KP176" s="77">
        <f t="shared" ca="1" si="1430"/>
        <v>0</v>
      </c>
      <c r="KQ176" s="110"/>
      <c r="KR176" s="74"/>
      <c r="KS176" s="77">
        <f t="shared" ca="1" si="1430"/>
        <v>0</v>
      </c>
      <c r="KT176" s="110"/>
      <c r="KU176" s="74"/>
      <c r="KV176" s="77">
        <f t="shared" ca="1" si="1430"/>
        <v>0</v>
      </c>
      <c r="KW176" s="110"/>
      <c r="KX176" s="74"/>
      <c r="KY176" s="77">
        <f t="shared" ca="1" si="1430"/>
        <v>0</v>
      </c>
      <c r="KZ176" s="110"/>
      <c r="LA176" s="74"/>
      <c r="LB176" s="77">
        <f t="shared" ca="1" si="1430"/>
        <v>0</v>
      </c>
      <c r="LC176" s="110"/>
      <c r="LD176" s="74"/>
      <c r="LE176" s="77">
        <f t="shared" ca="1" si="1430"/>
        <v>0</v>
      </c>
      <c r="LF176" s="110"/>
      <c r="LG176" s="110"/>
    </row>
    <row r="177" spans="1:319">
      <c r="A177" s="25">
        <f>WORLDCUP!AD114</f>
        <v>1</v>
      </c>
      <c r="B177" s="25">
        <f>WORLDCUP!AC114</f>
        <v>1</v>
      </c>
      <c r="C177" s="25" t="str">
        <f ca="1">CONCATENATE(WORLDCUP!AF114,"-",WORLDCUP!AA114)</f>
        <v>Egypt-Australia</v>
      </c>
      <c r="D177" s="25">
        <f>IF(WORLDCUP!AC114&gt;WORLDCUP!AD114,2,IF(WORLDCUP!AC114&lt;WORLDCUP!AD114,1,IF(AND(WORLDCUP!AC114=WORLDCUP!AD114,WORLDCUP!AC114&lt;&gt;"",WORLDCUP!AD114&lt;&gt;""),0,"PD")))</f>
        <v>0</v>
      </c>
      <c r="E177" s="25" t="str">
        <f>IF(OR(WORLDCUP!AC114="",WORLDCUP!AD114=""),"-",A177&amp;"-"&amp;B177)</f>
        <v>1-1</v>
      </c>
      <c r="F177" s="407">
        <f t="shared" si="1441"/>
        <v>20</v>
      </c>
      <c r="G177" s="407">
        <f ca="1">VLOOKUP(H177,Equipos!$Q$1:$R$25,2,0)</f>
        <v>20</v>
      </c>
      <c r="H177" s="446" t="str">
        <f>Idiomas!$D$260</f>
        <v>Round of 32</v>
      </c>
      <c r="I177" s="43">
        <v>1</v>
      </c>
      <c r="J177" s="845"/>
      <c r="K177" s="56" t="str">
        <f ca="1">CONCATENATE(WORLDCUP!AA114,"-",WORLDCUP!AF114)</f>
        <v>Australia-Egypt</v>
      </c>
      <c r="L177" s="53">
        <f>IF(OR(WORLDCUP!AC114="",WORLDCUP!AD114=""),"PD",IF(WORLDCUP!AC114&gt;WORLDCUP!AD114,1,IF(WORLDCUP!AC114&lt;WORLDCUP!AD114,2,0)))</f>
        <v>0</v>
      </c>
      <c r="M177" s="55" t="str">
        <f t="shared" si="1442"/>
        <v>1-1</v>
      </c>
      <c r="N177" s="25">
        <f>WORLDCUP!AC114</f>
        <v>1</v>
      </c>
      <c r="O177" s="25">
        <f>WORLDCUP!AD114</f>
        <v>1</v>
      </c>
      <c r="P177" s="25">
        <f t="shared" si="1443"/>
        <v>0</v>
      </c>
      <c r="Q177" s="25">
        <f t="shared" si="1444"/>
        <v>0</v>
      </c>
      <c r="R177" s="110"/>
      <c r="S177" s="74" t="s">
        <v>1975</v>
      </c>
      <c r="T177" s="77">
        <f t="shared" ca="1" si="1445"/>
        <v>0</v>
      </c>
      <c r="U177" s="110"/>
      <c r="V177" s="74" t="s">
        <v>2014</v>
      </c>
      <c r="W177" s="77">
        <f t="shared" ref="W177:CH179" ca="1" si="1448">IFERROR(IF(COUNTIF($K$164:$K$179,LEFT(V177,FIND("·",V177)-1))&gt;0,IF(INDEX($L$164:$L$179,MATCH(LEFT(V177,FIND("·",V177)-1),$K$164:$K$179,0))=IFERROR(VALUE(MID(V177,FIND("·",V177)+1,1)),0),($D$16+(INDEX($M$164:$M$179,MATCH(LEFT(V177,FIND("·",V177)-1),$K$164:$K$179,0))=MID(V177,FIND("|",V177)+1,10))*$D$18+MAX(0,IF($D$50=1,$D$17*(1-(ABS(INDEX($P$164:$P$179,MATCH(LEFT(V177,FIND("·",V177)-1),$K$164:$K$179,0))-(VALUE(MID(V177,FIND("|",V177)+1,FIND("-",V177,FIND("|",V177))-FIND("|",V177)-1))-VALUE(MID(V177,FIND("-",V177,FIND("|",V177))+1,10)))))*$D$50),$D$17*(1-(IF(INDEX($L$164:$L$179,MATCH(LEFT(V177,FIND("·",V177)-1),$K$164:$K$179,0))=0,ABS(INDEX($N$164:$N$179,MATCH(LEFT(V177,FIND("·",V177)-1),$K$164:$K$179,0))-VALUE(MID(V177,FIND("|",V177)+1,FIND("-",V177,FIND("|",V177))-FIND("|",V177)-1))),ABS(INDEX($P$164:$P$179,MATCH(LEFT(V177,FIND("·",V177)-1),$K$164:$K$179,0))-(VALUE(MID(V177,FIND("|",V177)+1,FIND("-",V177,FIND("|",V177))-FIND("|",V177)-1))-VALUE(MID(V177,FIND("-",V177,FIND("|",V177))+1,10)))))*$D$50)))))*INDEX($I$164:$I$179,MATCH(LEFT(V177,FIND("·",V177)-1),$K$164:$K$179,0)),0),0),0)+IFERROR(IF(COUNTIF($C$164:$C$179,LEFT(V177,FIND("·",V177)-1))&gt;0,IF(INDEX($D$164:$D$179,MATCH(LEFT(V177,FIND("·",V177)-1),$C$164:$C$179,0))=IFERROR(VALUE(MID(V177,FIND("·",V177)+1,1)),0),($D$16+(INDEX($E$164:$E$179,MATCH(LEFT(V177,FIND("·",V177)-1),$C$164:$C$179,0))=MID(V177,FIND("|",V177)+1,10))*$D$18+MAX(0,IF($D$50=1,$D$17*(1-(ABS(INDEX($Q$164:$Q$179,MATCH(LEFT(V177,FIND("·",V177)-1),$C$164:$C$179,0))-(VALUE(MID(V177,FIND("|",V177)+1,FIND("-",V177,FIND("|",V177))-FIND("|",V177)-1))-VALUE(MID(V177,FIND("-",V177,FIND("|",V177))+1,10)))))*$D$50),$D$17*(1-(IF(INDEX($D$164:$D$179,MATCH(LEFT(V177,FIND("·",V177)-1),$C$164:$C$179,0))=0,ABS(INDEX($A$164:$A$179,MATCH(LEFT(V177,FIND("·",V177)-1),$C$164:$C$179,0))-VALUE(MID(V177,FIND("|",V177)+1,FIND("-",V177,FIND("|",V177))-FIND("|",V177)-1))),ABS(INDEX($Q$164:$Q$179,MATCH(LEFT(V177,FIND("·",V177)-1),$C$164:$C$179,0))-(VALUE(MID(V177,FIND("|",V177)+1,FIND("-",V177,FIND("|",V177))-FIND("|",V177)-1))-VALUE(MID(V177,FIND("-",V177,FIND("|",V177))+1,10)))))*$D$50)))))*INDEX($I$164:$I$179,MATCH(LEFT(V177,FIND("·",V177)-1),$C$164:$C$179,0)),0),0),0)</f>
        <v>0</v>
      </c>
      <c r="X177" s="110"/>
      <c r="Y177" s="74" t="s">
        <v>2049</v>
      </c>
      <c r="Z177" s="77">
        <f t="shared" ca="1" si="1448"/>
        <v>0</v>
      </c>
      <c r="AA177" s="110"/>
      <c r="AB177" s="74" t="s">
        <v>2082</v>
      </c>
      <c r="AC177" s="77">
        <f t="shared" ca="1" si="1448"/>
        <v>0</v>
      </c>
      <c r="AD177" s="110"/>
      <c r="AE177" s="74" t="s">
        <v>2049</v>
      </c>
      <c r="AF177" s="77">
        <f t="shared" ca="1" si="1448"/>
        <v>0</v>
      </c>
      <c r="AG177" s="110"/>
      <c r="AH177" s="74" t="s">
        <v>2146</v>
      </c>
      <c r="AI177" s="77">
        <f t="shared" ca="1" si="1448"/>
        <v>0</v>
      </c>
      <c r="AJ177" s="110"/>
      <c r="AK177" s="74" t="s">
        <v>2173</v>
      </c>
      <c r="AL177" s="77">
        <f t="shared" ca="1" si="1448"/>
        <v>0</v>
      </c>
      <c r="AM177" s="110"/>
      <c r="AN177" s="74" t="s">
        <v>2201</v>
      </c>
      <c r="AO177" s="77">
        <f t="shared" ca="1" si="1448"/>
        <v>0</v>
      </c>
      <c r="AP177" s="110"/>
      <c r="AQ177" s="74" t="s">
        <v>2049</v>
      </c>
      <c r="AR177" s="77">
        <f t="shared" ca="1" si="1448"/>
        <v>0</v>
      </c>
      <c r="AS177" s="110"/>
      <c r="AT177" s="74" t="s">
        <v>2263</v>
      </c>
      <c r="AU177" s="77">
        <f t="shared" ca="1" si="1448"/>
        <v>0</v>
      </c>
      <c r="AV177" s="110"/>
      <c r="AW177" s="74" t="s">
        <v>2289</v>
      </c>
      <c r="AX177" s="77">
        <f t="shared" ca="1" si="1448"/>
        <v>0</v>
      </c>
      <c r="AY177" s="110"/>
      <c r="AZ177" s="74" t="s">
        <v>2312</v>
      </c>
      <c r="BA177" s="77">
        <f t="shared" ca="1" si="1448"/>
        <v>0</v>
      </c>
      <c r="BB177" s="110"/>
      <c r="BC177" s="74" t="s">
        <v>2049</v>
      </c>
      <c r="BD177" s="77">
        <f t="shared" ca="1" si="1448"/>
        <v>0</v>
      </c>
      <c r="BE177" s="110"/>
      <c r="BF177" s="74" t="s">
        <v>2356</v>
      </c>
      <c r="BG177" s="77">
        <f t="shared" ca="1" si="1448"/>
        <v>0</v>
      </c>
      <c r="BH177" s="110"/>
      <c r="BI177" s="74" t="s">
        <v>1975</v>
      </c>
      <c r="BJ177" s="77">
        <f t="shared" ca="1" si="1448"/>
        <v>0</v>
      </c>
      <c r="BK177" s="110"/>
      <c r="BL177" s="74" t="s">
        <v>2049</v>
      </c>
      <c r="BM177" s="77">
        <f t="shared" ca="1" si="1448"/>
        <v>0</v>
      </c>
      <c r="BN177" s="110"/>
      <c r="BO177" s="74" t="s">
        <v>2428</v>
      </c>
      <c r="BP177" s="77">
        <f t="shared" ca="1" si="1448"/>
        <v>0</v>
      </c>
      <c r="BQ177" s="110"/>
      <c r="BR177" s="74" t="s">
        <v>2453</v>
      </c>
      <c r="BS177" s="77">
        <f t="shared" ca="1" si="1448"/>
        <v>0</v>
      </c>
      <c r="BT177" s="110"/>
      <c r="BU177" s="74" t="s">
        <v>2473</v>
      </c>
      <c r="BV177" s="77">
        <f t="shared" ca="1" si="1448"/>
        <v>0</v>
      </c>
      <c r="BW177" s="110"/>
      <c r="BX177" s="74" t="s">
        <v>2082</v>
      </c>
      <c r="BY177" s="77">
        <f t="shared" ca="1" si="1448"/>
        <v>0</v>
      </c>
      <c r="BZ177" s="110"/>
      <c r="CA177" s="74" t="s">
        <v>2501</v>
      </c>
      <c r="CB177" s="77">
        <f t="shared" ca="1" si="1448"/>
        <v>0</v>
      </c>
      <c r="CC177" s="110"/>
      <c r="CD177" s="74" t="s">
        <v>2146</v>
      </c>
      <c r="CE177" s="77">
        <f t="shared" ca="1" si="1448"/>
        <v>0</v>
      </c>
      <c r="CF177" s="110"/>
      <c r="CG177" s="74" t="s">
        <v>2537</v>
      </c>
      <c r="CH177" s="77">
        <f t="shared" ca="1" si="1448"/>
        <v>0</v>
      </c>
      <c r="CI177" s="110"/>
      <c r="CJ177" s="74" t="s">
        <v>2557</v>
      </c>
      <c r="CK177" s="77">
        <f t="shared" ca="1" si="1446"/>
        <v>0</v>
      </c>
      <c r="CL177" s="110"/>
      <c r="CM177" s="74" t="s">
        <v>2312</v>
      </c>
      <c r="CN177" s="77">
        <f t="shared" ca="1" si="1446"/>
        <v>0</v>
      </c>
      <c r="CO177" s="110"/>
      <c r="CP177" s="74" t="s">
        <v>2592</v>
      </c>
      <c r="CQ177" s="77">
        <f t="shared" ca="1" si="1446"/>
        <v>0</v>
      </c>
      <c r="CR177" s="110"/>
      <c r="CS177" s="74" t="s">
        <v>2620</v>
      </c>
      <c r="CT177" s="77">
        <f t="shared" ca="1" si="1446"/>
        <v>0</v>
      </c>
      <c r="CU177" s="110"/>
      <c r="CV177" s="74" t="s">
        <v>2146</v>
      </c>
      <c r="CW177" s="77">
        <f t="shared" ca="1" si="1446"/>
        <v>0</v>
      </c>
      <c r="CX177" s="110"/>
      <c r="CY177" s="74" t="s">
        <v>2592</v>
      </c>
      <c r="CZ177" s="77">
        <f t="shared" ca="1" si="1446"/>
        <v>0</v>
      </c>
      <c r="DA177" s="110"/>
      <c r="DB177" s="74" t="s">
        <v>2703</v>
      </c>
      <c r="DC177" s="77">
        <f t="shared" ca="1" si="1446"/>
        <v>0</v>
      </c>
      <c r="DD177" s="110"/>
      <c r="DE177" s="74" t="s">
        <v>2714</v>
      </c>
      <c r="DF177" s="77">
        <f t="shared" ca="1" si="1446"/>
        <v>0</v>
      </c>
      <c r="DG177" s="110"/>
      <c r="DH177" s="74" t="s">
        <v>2732</v>
      </c>
      <c r="DI177" s="77">
        <f t="shared" ca="1" si="1446"/>
        <v>0</v>
      </c>
      <c r="DJ177" s="110"/>
      <c r="DK177" s="74" t="s">
        <v>2754</v>
      </c>
      <c r="DL177" s="77">
        <f t="shared" ca="1" si="1446"/>
        <v>0</v>
      </c>
      <c r="DM177" s="110"/>
      <c r="DN177" s="74" t="s">
        <v>2592</v>
      </c>
      <c r="DO177" s="77">
        <f t="shared" ca="1" si="1446"/>
        <v>0</v>
      </c>
      <c r="DP177" s="110"/>
      <c r="DQ177" s="74" t="s">
        <v>2435</v>
      </c>
      <c r="DR177" s="77">
        <f t="shared" ca="1" si="1446"/>
        <v>0</v>
      </c>
      <c r="DS177" s="110"/>
      <c r="DT177" s="74" t="s">
        <v>2794</v>
      </c>
      <c r="DU177" s="77">
        <f t="shared" ca="1" si="1364"/>
        <v>0</v>
      </c>
      <c r="DV177" s="110"/>
      <c r="DW177" s="74" t="s">
        <v>2049</v>
      </c>
      <c r="DX177" s="77">
        <f t="shared" ca="1" si="1364"/>
        <v>0</v>
      </c>
      <c r="DY177" s="110"/>
      <c r="DZ177" s="74" t="s">
        <v>2592</v>
      </c>
      <c r="EA177" s="77">
        <f t="shared" ref="EA177:GL179" ca="1" si="1449">IFERROR(IF(COUNTIF($K$164:$K$179,LEFT(DZ177,FIND("·",DZ177)-1))&gt;0,IF(INDEX($L$164:$L$179,MATCH(LEFT(DZ177,FIND("·",DZ177)-1),$K$164:$K$179,0))=IFERROR(VALUE(MID(DZ177,FIND("·",DZ177)+1,1)),0),($D$16+(INDEX($M$164:$M$179,MATCH(LEFT(DZ177,FIND("·",DZ177)-1),$K$164:$K$179,0))=MID(DZ177,FIND("|",DZ177)+1,10))*$D$18+MAX(0,IF($D$50=1,$D$17*(1-(ABS(INDEX($P$164:$P$179,MATCH(LEFT(DZ177,FIND("·",DZ177)-1),$K$164:$K$179,0))-(VALUE(MID(DZ177,FIND("|",DZ177)+1,FIND("-",DZ177,FIND("|",DZ177))-FIND("|",DZ177)-1))-VALUE(MID(DZ177,FIND("-",DZ177,FIND("|",DZ177))+1,10)))))*$D$50),$D$17*(1-(IF(INDEX($L$164:$L$179,MATCH(LEFT(DZ177,FIND("·",DZ177)-1),$K$164:$K$179,0))=0,ABS(INDEX($N$164:$N$179,MATCH(LEFT(DZ177,FIND("·",DZ177)-1),$K$164:$K$179,0))-VALUE(MID(DZ177,FIND("|",DZ177)+1,FIND("-",DZ177,FIND("|",DZ177))-FIND("|",DZ177)-1))),ABS(INDEX($P$164:$P$179,MATCH(LEFT(DZ177,FIND("·",DZ177)-1),$K$164:$K$179,0))-(VALUE(MID(DZ177,FIND("|",DZ177)+1,FIND("-",DZ177,FIND("|",DZ177))-FIND("|",DZ177)-1))-VALUE(MID(DZ177,FIND("-",DZ177,FIND("|",DZ177))+1,10)))))*$D$50)))))*INDEX($I$164:$I$179,MATCH(LEFT(DZ177,FIND("·",DZ177)-1),$K$164:$K$179,0)),0),0),0)+IFERROR(IF(COUNTIF($C$164:$C$179,LEFT(DZ177,FIND("·",DZ177)-1))&gt;0,IF(INDEX($D$164:$D$179,MATCH(LEFT(DZ177,FIND("·",DZ177)-1),$C$164:$C$179,0))=IFERROR(VALUE(MID(DZ177,FIND("·",DZ177)+1,1)),0),($D$16+(INDEX($E$164:$E$179,MATCH(LEFT(DZ177,FIND("·",DZ177)-1),$C$164:$C$179,0))=MID(DZ177,FIND("|",DZ177)+1,10))*$D$18+MAX(0,IF($D$50=1,$D$17*(1-(ABS(INDEX($Q$164:$Q$179,MATCH(LEFT(DZ177,FIND("·",DZ177)-1),$C$164:$C$179,0))-(VALUE(MID(DZ177,FIND("|",DZ177)+1,FIND("-",DZ177,FIND("|",DZ177))-FIND("|",DZ177)-1))-VALUE(MID(DZ177,FIND("-",DZ177,FIND("|",DZ177))+1,10)))))*$D$50),$D$17*(1-(IF(INDEX($D$164:$D$179,MATCH(LEFT(DZ177,FIND("·",DZ177)-1),$C$164:$C$179,0))=0,ABS(INDEX($A$164:$A$179,MATCH(LEFT(DZ177,FIND("·",DZ177)-1),$C$164:$C$179,0))-VALUE(MID(DZ177,FIND("|",DZ177)+1,FIND("-",DZ177,FIND("|",DZ177))-FIND("|",DZ177)-1))),ABS(INDEX($Q$164:$Q$179,MATCH(LEFT(DZ177,FIND("·",DZ177)-1),$C$164:$C$179,0))-(VALUE(MID(DZ177,FIND("|",DZ177)+1,FIND("-",DZ177,FIND("|",DZ177))-FIND("|",DZ177)-1))-VALUE(MID(DZ177,FIND("-",DZ177,FIND("|",DZ177))+1,10)))))*$D$50)))))*INDEX($I$164:$I$179,MATCH(LEFT(DZ177,FIND("·",DZ177)-1),$C$164:$C$179,0)),0),0),0)</f>
        <v>0</v>
      </c>
      <c r="EB177" s="110"/>
      <c r="EC177" s="74" t="s">
        <v>2082</v>
      </c>
      <c r="ED177" s="77">
        <f t="shared" ca="1" si="1449"/>
        <v>0</v>
      </c>
      <c r="EE177" s="110"/>
      <c r="EF177" s="74" t="s">
        <v>2428</v>
      </c>
      <c r="EG177" s="77">
        <f t="shared" ca="1" si="1449"/>
        <v>0</v>
      </c>
      <c r="EH177" s="110"/>
      <c r="EI177" s="74" t="s">
        <v>2435</v>
      </c>
      <c r="EJ177" s="77">
        <f t="shared" ca="1" si="1449"/>
        <v>0</v>
      </c>
      <c r="EK177" s="110"/>
      <c r="EL177" s="74" t="s">
        <v>2865</v>
      </c>
      <c r="EM177" s="77">
        <f t="shared" ca="1" si="1449"/>
        <v>0</v>
      </c>
      <c r="EN177" s="110"/>
      <c r="EO177" s="74" t="s">
        <v>2881</v>
      </c>
      <c r="EP177" s="77">
        <f t="shared" ca="1" si="1449"/>
        <v>0</v>
      </c>
      <c r="EQ177" s="110"/>
      <c r="ER177" s="74" t="s">
        <v>2049</v>
      </c>
      <c r="ES177" s="77">
        <f t="shared" ca="1" si="1449"/>
        <v>0</v>
      </c>
      <c r="ET177" s="110"/>
      <c r="EU177" s="74" t="s">
        <v>2904</v>
      </c>
      <c r="EV177" s="77">
        <f t="shared" ca="1" si="1449"/>
        <v>0</v>
      </c>
      <c r="EW177" s="110"/>
      <c r="EX177" s="74" t="s">
        <v>2146</v>
      </c>
      <c r="EY177" s="77">
        <f t="shared" ca="1" si="1449"/>
        <v>0</v>
      </c>
      <c r="EZ177" s="110"/>
      <c r="FA177" s="74" t="s">
        <v>2904</v>
      </c>
      <c r="FB177" s="77">
        <f t="shared" ca="1" si="1449"/>
        <v>0</v>
      </c>
      <c r="FC177" s="110"/>
      <c r="FD177" s="74" t="s">
        <v>2014</v>
      </c>
      <c r="FE177" s="77">
        <f t="shared" ca="1" si="1449"/>
        <v>0</v>
      </c>
      <c r="FF177" s="110"/>
      <c r="FG177" s="74" t="s">
        <v>2955</v>
      </c>
      <c r="FH177" s="77">
        <f t="shared" ca="1" si="1449"/>
        <v>0</v>
      </c>
      <c r="FI177" s="110"/>
      <c r="FJ177" s="74" t="s">
        <v>2794</v>
      </c>
      <c r="FK177" s="77">
        <f t="shared" ca="1" si="1449"/>
        <v>0</v>
      </c>
      <c r="FL177" s="110"/>
      <c r="FM177" s="74" t="s">
        <v>2972</v>
      </c>
      <c r="FN177" s="77">
        <f t="shared" ca="1" si="1449"/>
        <v>0</v>
      </c>
      <c r="FO177" s="110"/>
      <c r="FP177" s="74" t="s">
        <v>2435</v>
      </c>
      <c r="FQ177" s="77">
        <f t="shared" ca="1" si="1449"/>
        <v>0</v>
      </c>
      <c r="FR177" s="110"/>
      <c r="FS177" s="74" t="s">
        <v>2794</v>
      </c>
      <c r="FT177" s="77">
        <f t="shared" ca="1" si="1449"/>
        <v>0</v>
      </c>
      <c r="FU177" s="110"/>
      <c r="FV177" s="74" t="s">
        <v>2435</v>
      </c>
      <c r="FW177" s="77">
        <f t="shared" ca="1" si="1449"/>
        <v>0</v>
      </c>
      <c r="FX177" s="110"/>
      <c r="FY177" s="74" t="s">
        <v>3006</v>
      </c>
      <c r="FZ177" s="77">
        <f t="shared" ca="1" si="1449"/>
        <v>0</v>
      </c>
      <c r="GA177" s="110"/>
      <c r="GB177" s="74" t="s">
        <v>3021</v>
      </c>
      <c r="GC177" s="77">
        <f t="shared" ca="1" si="1449"/>
        <v>0</v>
      </c>
      <c r="GD177" s="110"/>
      <c r="GE177" s="74" t="s">
        <v>2049</v>
      </c>
      <c r="GF177" s="77">
        <f t="shared" ca="1" si="1449"/>
        <v>0</v>
      </c>
      <c r="GG177" s="110"/>
      <c r="GH177" s="74" t="s">
        <v>2082</v>
      </c>
      <c r="GI177" s="77">
        <f t="shared" ca="1" si="1449"/>
        <v>0</v>
      </c>
      <c r="GJ177" s="110"/>
      <c r="GK177" s="74" t="s">
        <v>2754</v>
      </c>
      <c r="GL177" s="77">
        <f t="shared" ca="1" si="1449"/>
        <v>0</v>
      </c>
      <c r="GM177" s="110"/>
      <c r="GN177" s="74"/>
      <c r="GO177" s="77">
        <f t="shared" ca="1" si="1447"/>
        <v>0</v>
      </c>
      <c r="GP177" s="110"/>
      <c r="GQ177" s="74"/>
      <c r="GR177" s="77">
        <f t="shared" ca="1" si="1447"/>
        <v>0</v>
      </c>
      <c r="GS177" s="110"/>
      <c r="GT177" s="74"/>
      <c r="GU177" s="77">
        <f t="shared" ca="1" si="1447"/>
        <v>0</v>
      </c>
      <c r="GV177" s="110"/>
      <c r="GW177" s="74"/>
      <c r="GX177" s="77">
        <f t="shared" ca="1" si="1447"/>
        <v>0</v>
      </c>
      <c r="GY177" s="110"/>
      <c r="GZ177" s="74"/>
      <c r="HA177" s="77">
        <f t="shared" ca="1" si="1447"/>
        <v>0</v>
      </c>
      <c r="HB177" s="110"/>
      <c r="HC177" s="74"/>
      <c r="HD177" s="77">
        <f t="shared" ca="1" si="1447"/>
        <v>0</v>
      </c>
      <c r="HE177" s="110"/>
      <c r="HF177" s="74"/>
      <c r="HG177" s="77">
        <f t="shared" ca="1" si="1447"/>
        <v>0</v>
      </c>
      <c r="HH177" s="110"/>
      <c r="HI177" s="74"/>
      <c r="HJ177" s="77">
        <f t="shared" ca="1" si="1447"/>
        <v>0</v>
      </c>
      <c r="HK177" s="110"/>
      <c r="HL177" s="74"/>
      <c r="HM177" s="77">
        <f t="shared" ca="1" si="1447"/>
        <v>0</v>
      </c>
      <c r="HN177" s="110"/>
      <c r="HO177" s="74"/>
      <c r="HP177" s="77">
        <f t="shared" ca="1" si="1447"/>
        <v>0</v>
      </c>
      <c r="HQ177" s="110"/>
      <c r="HR177" s="74"/>
      <c r="HS177" s="77">
        <f t="shared" ca="1" si="1447"/>
        <v>0</v>
      </c>
      <c r="HT177" s="110"/>
      <c r="HU177" s="74"/>
      <c r="HV177" s="77">
        <f t="shared" ca="1" si="1447"/>
        <v>0</v>
      </c>
      <c r="HW177" s="110"/>
      <c r="HX177" s="74"/>
      <c r="HY177" s="77">
        <f t="shared" ca="1" si="1447"/>
        <v>0</v>
      </c>
      <c r="HZ177" s="110"/>
      <c r="IA177" s="74"/>
      <c r="IB177" s="77">
        <f t="shared" ca="1" si="1447"/>
        <v>0</v>
      </c>
      <c r="IC177" s="110"/>
      <c r="ID177" s="74"/>
      <c r="IE177" s="77">
        <f t="shared" ca="1" si="1447"/>
        <v>0</v>
      </c>
      <c r="IF177" s="110"/>
      <c r="IG177" s="74"/>
      <c r="IH177" s="77">
        <f t="shared" ca="1" si="1447"/>
        <v>0</v>
      </c>
      <c r="II177" s="110"/>
      <c r="IJ177" s="74"/>
      <c r="IK177" s="77">
        <f t="shared" ca="1" si="1447"/>
        <v>0</v>
      </c>
      <c r="IL177" s="110"/>
      <c r="IM177" s="74"/>
      <c r="IN177" s="77">
        <f t="shared" ca="1" si="1447"/>
        <v>0</v>
      </c>
      <c r="IO177" s="110"/>
      <c r="IP177" s="74"/>
      <c r="IQ177" s="77">
        <f t="shared" ca="1" si="1447"/>
        <v>0</v>
      </c>
      <c r="IR177" s="110"/>
      <c r="IS177" s="74"/>
      <c r="IT177" s="77">
        <f t="shared" ca="1" si="1447"/>
        <v>0</v>
      </c>
      <c r="IU177" s="110"/>
      <c r="IV177" s="74"/>
      <c r="IW177" s="77">
        <f t="shared" ca="1" si="1408"/>
        <v>0</v>
      </c>
      <c r="IX177" s="110"/>
      <c r="IY177" s="74"/>
      <c r="IZ177" s="77">
        <f t="shared" ca="1" si="1408"/>
        <v>0</v>
      </c>
      <c r="JA177" s="110"/>
      <c r="JB177" s="74"/>
      <c r="JC177" s="77">
        <f t="shared" ref="JC177:LE177" ca="1" si="1450">IFERROR(IF(COUNTIF($K$164:$K$179,LEFT(JB177,FIND("·",JB177)-1))&gt;0,IF(INDEX($L$164:$L$179,MATCH(LEFT(JB177,FIND("·",JB177)-1),$K$164:$K$179,0))=IFERROR(VALUE(MID(JB177,FIND("·",JB177)+1,1)),0),($D$16+(INDEX($M$164:$M$179,MATCH(LEFT(JB177,FIND("·",JB177)-1),$K$164:$K$179,0))=MID(JB177,FIND("|",JB177)+1,10))*$D$18+MAX(0,IF($D$50=1,$D$17*(1-(ABS(INDEX($P$164:$P$179,MATCH(LEFT(JB177,FIND("·",JB177)-1),$K$164:$K$179,0))-(VALUE(MID(JB177,FIND("|",JB177)+1,FIND("-",JB177,FIND("|",JB177))-FIND("|",JB177)-1))-VALUE(MID(JB177,FIND("-",JB177,FIND("|",JB177))+1,10)))))*$D$50),$D$17*(1-(IF(INDEX($L$164:$L$179,MATCH(LEFT(JB177,FIND("·",JB177)-1),$K$164:$K$179,0))=0,ABS(INDEX($N$164:$N$179,MATCH(LEFT(JB177,FIND("·",JB177)-1),$K$164:$K$179,0))-VALUE(MID(JB177,FIND("|",JB177)+1,FIND("-",JB177,FIND("|",JB177))-FIND("|",JB177)-1))),ABS(INDEX($P$164:$P$179,MATCH(LEFT(JB177,FIND("·",JB177)-1),$K$164:$K$179,0))-(VALUE(MID(JB177,FIND("|",JB177)+1,FIND("-",JB177,FIND("|",JB177))-FIND("|",JB177)-1))-VALUE(MID(JB177,FIND("-",JB177,FIND("|",JB177))+1,10)))))*$D$50)))))*INDEX($I$164:$I$179,MATCH(LEFT(JB177,FIND("·",JB177)-1),$K$164:$K$179,0)),0),0),0)+IFERROR(IF(COUNTIF($C$164:$C$179,LEFT(JB177,FIND("·",JB177)-1))&gt;0,IF(INDEX($D$164:$D$179,MATCH(LEFT(JB177,FIND("·",JB177)-1),$C$164:$C$179,0))=IFERROR(VALUE(MID(JB177,FIND("·",JB177)+1,1)),0),($D$16+(INDEX($E$164:$E$179,MATCH(LEFT(JB177,FIND("·",JB177)-1),$C$164:$C$179,0))=MID(JB177,FIND("|",JB177)+1,10))*$D$18+MAX(0,IF($D$50=1,$D$17*(1-(ABS(INDEX($Q$164:$Q$179,MATCH(LEFT(JB177,FIND("·",JB177)-1),$C$164:$C$179,0))-(VALUE(MID(JB177,FIND("|",JB177)+1,FIND("-",JB177,FIND("|",JB177))-FIND("|",JB177)-1))-VALUE(MID(JB177,FIND("-",JB177,FIND("|",JB177))+1,10)))))*$D$50),$D$17*(1-(IF(INDEX($D$164:$D$179,MATCH(LEFT(JB177,FIND("·",JB177)-1),$C$164:$C$179,0))=0,ABS(INDEX($A$164:$A$179,MATCH(LEFT(JB177,FIND("·",JB177)-1),$C$164:$C$179,0))-VALUE(MID(JB177,FIND("|",JB177)+1,FIND("-",JB177,FIND("|",JB177))-FIND("|",JB177)-1))),ABS(INDEX($Q$164:$Q$179,MATCH(LEFT(JB177,FIND("·",JB177)-1),$C$164:$C$179,0))-(VALUE(MID(JB177,FIND("|",JB177)+1,FIND("-",JB177,FIND("|",JB177))-FIND("|",JB177)-1))-VALUE(MID(JB177,FIND("-",JB177,FIND("|",JB177))+1,10)))))*$D$50)))))*INDEX($I$164:$I$179,MATCH(LEFT(JB177,FIND("·",JB177)-1),$C$164:$C$179,0)),0),0),0)</f>
        <v>0</v>
      </c>
      <c r="JD177" s="110"/>
      <c r="JE177" s="74"/>
      <c r="JF177" s="77">
        <f t="shared" ca="1" si="1450"/>
        <v>0</v>
      </c>
      <c r="JG177" s="110"/>
      <c r="JH177" s="74"/>
      <c r="JI177" s="77">
        <f t="shared" ca="1" si="1450"/>
        <v>0</v>
      </c>
      <c r="JJ177" s="110"/>
      <c r="JK177" s="74"/>
      <c r="JL177" s="77">
        <f t="shared" ca="1" si="1450"/>
        <v>0</v>
      </c>
      <c r="JM177" s="110"/>
      <c r="JN177" s="74"/>
      <c r="JO177" s="77">
        <f t="shared" ca="1" si="1450"/>
        <v>0</v>
      </c>
      <c r="JP177" s="110"/>
      <c r="JQ177" s="74"/>
      <c r="JR177" s="77">
        <f t="shared" ca="1" si="1450"/>
        <v>0</v>
      </c>
      <c r="JS177" s="110"/>
      <c r="JT177" s="74"/>
      <c r="JU177" s="77">
        <f t="shared" ca="1" si="1450"/>
        <v>0</v>
      </c>
      <c r="JV177" s="110"/>
      <c r="JW177" s="74"/>
      <c r="JX177" s="77">
        <f t="shared" ca="1" si="1450"/>
        <v>0</v>
      </c>
      <c r="JY177" s="110"/>
      <c r="JZ177" s="74"/>
      <c r="KA177" s="77">
        <f t="shared" ca="1" si="1450"/>
        <v>0</v>
      </c>
      <c r="KB177" s="110"/>
      <c r="KC177" s="74"/>
      <c r="KD177" s="77">
        <f t="shared" ca="1" si="1450"/>
        <v>0</v>
      </c>
      <c r="KE177" s="110"/>
      <c r="KF177" s="74"/>
      <c r="KG177" s="77">
        <f t="shared" ca="1" si="1450"/>
        <v>0</v>
      </c>
      <c r="KH177" s="110"/>
      <c r="KI177" s="74"/>
      <c r="KJ177" s="77">
        <f t="shared" ca="1" si="1450"/>
        <v>0</v>
      </c>
      <c r="KK177" s="110"/>
      <c r="KL177" s="74"/>
      <c r="KM177" s="77">
        <f t="shared" ca="1" si="1450"/>
        <v>0</v>
      </c>
      <c r="KN177" s="110"/>
      <c r="KO177" s="74"/>
      <c r="KP177" s="77">
        <f t="shared" ca="1" si="1450"/>
        <v>0</v>
      </c>
      <c r="KQ177" s="110"/>
      <c r="KR177" s="74"/>
      <c r="KS177" s="77">
        <f t="shared" ca="1" si="1450"/>
        <v>0</v>
      </c>
      <c r="KT177" s="110"/>
      <c r="KU177" s="74"/>
      <c r="KV177" s="77">
        <f t="shared" ca="1" si="1450"/>
        <v>0</v>
      </c>
      <c r="KW177" s="110"/>
      <c r="KX177" s="74"/>
      <c r="KY177" s="77">
        <f t="shared" ca="1" si="1450"/>
        <v>0</v>
      </c>
      <c r="KZ177" s="110"/>
      <c r="LA177" s="74"/>
      <c r="LB177" s="77">
        <f t="shared" ca="1" si="1450"/>
        <v>0</v>
      </c>
      <c r="LC177" s="110"/>
      <c r="LD177" s="74"/>
      <c r="LE177" s="77">
        <f t="shared" ca="1" si="1450"/>
        <v>0</v>
      </c>
      <c r="LF177" s="110"/>
      <c r="LG177" s="110"/>
    </row>
    <row r="178" spans="1:319">
      <c r="A178" s="25">
        <f>WORLDCUP!AD115</f>
        <v>2</v>
      </c>
      <c r="B178" s="25">
        <f>WORLDCUP!AC115</f>
        <v>3</v>
      </c>
      <c r="C178" s="25" t="str">
        <f ca="1">CONCATENATE(WORLDCUP!AF115,"-",WORLDCUP!AA115)</f>
        <v>Cape Verde-Argentina</v>
      </c>
      <c r="D178" s="25">
        <f>IF(WORLDCUP!AC115&gt;WORLDCUP!AD115,2,IF(WORLDCUP!AC115&lt;WORLDCUP!AD115,1,IF(AND(WORLDCUP!AC115=WORLDCUP!AD115,WORLDCUP!AC115&lt;&gt;"",WORLDCUP!AD115&lt;&gt;""),0,"PD")))</f>
        <v>2</v>
      </c>
      <c r="E178" s="25" t="str">
        <f>IF(OR(WORLDCUP!AC115="",WORLDCUP!AD115=""),"-",A178&amp;"-"&amp;B178)</f>
        <v>2-3</v>
      </c>
      <c r="F178" s="407">
        <f t="shared" si="1441"/>
        <v>20</v>
      </c>
      <c r="G178" s="407">
        <f ca="1">VLOOKUP(H178,Equipos!$Q$1:$R$25,2,0)</f>
        <v>20</v>
      </c>
      <c r="H178" s="446" t="str">
        <f>Idiomas!$D$260</f>
        <v>Round of 32</v>
      </c>
      <c r="I178" s="43">
        <v>1</v>
      </c>
      <c r="J178" s="845"/>
      <c r="K178" s="56" t="str">
        <f ca="1">CONCATENATE(WORLDCUP!AA115,"-",WORLDCUP!AF115)</f>
        <v>Argentina-Cape Verde</v>
      </c>
      <c r="L178" s="53">
        <f>IF(OR(WORLDCUP!AC115="",WORLDCUP!AD115=""),"PD",IF(WORLDCUP!AC115&gt;WORLDCUP!AD115,1,IF(WORLDCUP!AC115&lt;WORLDCUP!AD115,2,0)))</f>
        <v>1</v>
      </c>
      <c r="M178" s="55" t="str">
        <f t="shared" si="1442"/>
        <v>3-2</v>
      </c>
      <c r="N178" s="25">
        <f>WORLDCUP!AC115</f>
        <v>3</v>
      </c>
      <c r="O178" s="25">
        <f>WORLDCUP!AD115</f>
        <v>2</v>
      </c>
      <c r="P178" s="25">
        <f t="shared" si="1443"/>
        <v>1</v>
      </c>
      <c r="Q178" s="25">
        <f t="shared" si="1444"/>
        <v>-1</v>
      </c>
      <c r="R178" s="110"/>
      <c r="S178" s="74" t="s">
        <v>1976</v>
      </c>
      <c r="T178" s="77">
        <f t="shared" ca="1" si="1445"/>
        <v>0</v>
      </c>
      <c r="U178" s="110"/>
      <c r="V178" s="74" t="s">
        <v>2015</v>
      </c>
      <c r="W178" s="77">
        <f t="shared" ca="1" si="1448"/>
        <v>0</v>
      </c>
      <c r="X178" s="110"/>
      <c r="Y178" s="74" t="s">
        <v>2050</v>
      </c>
      <c r="Z178" s="77">
        <f t="shared" ca="1" si="1448"/>
        <v>0</v>
      </c>
      <c r="AA178" s="110"/>
      <c r="AB178" s="74" t="s">
        <v>2083</v>
      </c>
      <c r="AC178" s="77">
        <f t="shared" ca="1" si="1448"/>
        <v>0</v>
      </c>
      <c r="AD178" s="110"/>
      <c r="AE178" s="74" t="s">
        <v>2050</v>
      </c>
      <c r="AF178" s="77">
        <f t="shared" ca="1" si="1448"/>
        <v>0</v>
      </c>
      <c r="AG178" s="110"/>
      <c r="AH178" s="74" t="s">
        <v>2083</v>
      </c>
      <c r="AI178" s="77">
        <f t="shared" ca="1" si="1448"/>
        <v>0</v>
      </c>
      <c r="AJ178" s="110"/>
      <c r="AK178" s="74" t="s">
        <v>2174</v>
      </c>
      <c r="AL178" s="77">
        <f t="shared" ca="1" si="1448"/>
        <v>0</v>
      </c>
      <c r="AM178" s="110"/>
      <c r="AN178" s="74" t="s">
        <v>2202</v>
      </c>
      <c r="AO178" s="77">
        <f t="shared" ca="1" si="1448"/>
        <v>0</v>
      </c>
      <c r="AP178" s="110"/>
      <c r="AQ178" s="74" t="s">
        <v>2050</v>
      </c>
      <c r="AR178" s="77">
        <f t="shared" ca="1" si="1448"/>
        <v>0</v>
      </c>
      <c r="AS178" s="110"/>
      <c r="AT178" s="74" t="s">
        <v>2050</v>
      </c>
      <c r="AU178" s="77">
        <f t="shared" ca="1" si="1448"/>
        <v>0</v>
      </c>
      <c r="AV178" s="110"/>
      <c r="AW178" s="74" t="s">
        <v>2174</v>
      </c>
      <c r="AX178" s="77">
        <f t="shared" ca="1" si="1448"/>
        <v>0</v>
      </c>
      <c r="AY178" s="110"/>
      <c r="AZ178" s="74" t="s">
        <v>2174</v>
      </c>
      <c r="BA178" s="77">
        <f t="shared" ca="1" si="1448"/>
        <v>0</v>
      </c>
      <c r="BB178" s="110"/>
      <c r="BC178" s="74" t="s">
        <v>2174</v>
      </c>
      <c r="BD178" s="77">
        <f t="shared" ca="1" si="1448"/>
        <v>0</v>
      </c>
      <c r="BE178" s="110"/>
      <c r="BF178" s="74" t="s">
        <v>2174</v>
      </c>
      <c r="BG178" s="77">
        <f t="shared" ca="1" si="1448"/>
        <v>0</v>
      </c>
      <c r="BH178" s="110"/>
      <c r="BI178" s="74" t="s">
        <v>2382</v>
      </c>
      <c r="BJ178" s="77">
        <f t="shared" ca="1" si="1448"/>
        <v>0</v>
      </c>
      <c r="BK178" s="110"/>
      <c r="BL178" s="74" t="s">
        <v>2174</v>
      </c>
      <c r="BM178" s="77">
        <f t="shared" ca="1" si="1448"/>
        <v>0</v>
      </c>
      <c r="BN178" s="110"/>
      <c r="BO178" s="74" t="s">
        <v>2429</v>
      </c>
      <c r="BP178" s="77">
        <f t="shared" ca="1" si="1448"/>
        <v>0</v>
      </c>
      <c r="BQ178" s="110"/>
      <c r="BR178" s="74" t="s">
        <v>2015</v>
      </c>
      <c r="BS178" s="77">
        <f t="shared" ca="1" si="1448"/>
        <v>0</v>
      </c>
      <c r="BT178" s="110"/>
      <c r="BU178" s="74" t="s">
        <v>2050</v>
      </c>
      <c r="BV178" s="77">
        <f t="shared" ca="1" si="1448"/>
        <v>0</v>
      </c>
      <c r="BW178" s="110"/>
      <c r="BX178" s="74" t="s">
        <v>2382</v>
      </c>
      <c r="BY178" s="77">
        <f t="shared" ca="1" si="1448"/>
        <v>0</v>
      </c>
      <c r="BZ178" s="110"/>
      <c r="CA178" s="74" t="s">
        <v>2174</v>
      </c>
      <c r="CB178" s="77">
        <f t="shared" ca="1" si="1448"/>
        <v>0</v>
      </c>
      <c r="CC178" s="110"/>
      <c r="CD178" s="74" t="s">
        <v>2174</v>
      </c>
      <c r="CE178" s="77">
        <f t="shared" ca="1" si="1448"/>
        <v>0</v>
      </c>
      <c r="CF178" s="110"/>
      <c r="CG178" s="74" t="s">
        <v>2429</v>
      </c>
      <c r="CH178" s="77">
        <f t="shared" ca="1" si="1448"/>
        <v>0</v>
      </c>
      <c r="CI178" s="110"/>
      <c r="CJ178" s="74" t="s">
        <v>2083</v>
      </c>
      <c r="CK178" s="77">
        <f t="shared" ca="1" si="1446"/>
        <v>0</v>
      </c>
      <c r="CL178" s="110"/>
      <c r="CM178" s="74" t="s">
        <v>2174</v>
      </c>
      <c r="CN178" s="77">
        <f t="shared" ca="1" si="1446"/>
        <v>0</v>
      </c>
      <c r="CO178" s="110"/>
      <c r="CP178" s="74" t="s">
        <v>2609</v>
      </c>
      <c r="CQ178" s="77">
        <f t="shared" ca="1" si="1446"/>
        <v>0</v>
      </c>
      <c r="CR178" s="110"/>
      <c r="CS178" s="74" t="s">
        <v>2621</v>
      </c>
      <c r="CT178" s="77">
        <f t="shared" ca="1" si="1446"/>
        <v>0</v>
      </c>
      <c r="CU178" s="110"/>
      <c r="CV178" s="74" t="s">
        <v>2083</v>
      </c>
      <c r="CW178" s="77">
        <f t="shared" ca="1" si="1446"/>
        <v>0</v>
      </c>
      <c r="CX178" s="110"/>
      <c r="CY178" s="74" t="s">
        <v>2673</v>
      </c>
      <c r="CZ178" s="77">
        <f t="shared" ca="1" si="1446"/>
        <v>0</v>
      </c>
      <c r="DA178" s="110"/>
      <c r="DB178" s="74" t="s">
        <v>2015</v>
      </c>
      <c r="DC178" s="77">
        <f t="shared" ca="1" si="1446"/>
        <v>0</v>
      </c>
      <c r="DD178" s="110"/>
      <c r="DE178" s="74" t="s">
        <v>2174</v>
      </c>
      <c r="DF178" s="77">
        <f t="shared" ca="1" si="1446"/>
        <v>0</v>
      </c>
      <c r="DG178" s="110"/>
      <c r="DH178" s="74" t="s">
        <v>2083</v>
      </c>
      <c r="DI178" s="77">
        <f t="shared" ca="1" si="1446"/>
        <v>0</v>
      </c>
      <c r="DJ178" s="110"/>
      <c r="DK178" s="74" t="s">
        <v>2382</v>
      </c>
      <c r="DL178" s="77">
        <f t="shared" ca="1" si="1446"/>
        <v>0</v>
      </c>
      <c r="DM178" s="110"/>
      <c r="DN178" s="74" t="s">
        <v>2050</v>
      </c>
      <c r="DO178" s="77">
        <f t="shared" ca="1" si="1446"/>
        <v>0</v>
      </c>
      <c r="DP178" s="110"/>
      <c r="DQ178" s="74" t="s">
        <v>2174</v>
      </c>
      <c r="DR178" s="77">
        <f t="shared" ca="1" si="1446"/>
        <v>0</v>
      </c>
      <c r="DS178" s="110"/>
      <c r="DT178" s="74" t="s">
        <v>2795</v>
      </c>
      <c r="DU178" s="77">
        <f t="shared" ref="DU178:GF179" ca="1" si="1451">IFERROR(IF(COUNTIF($K$164:$K$179,LEFT(DT178,FIND("·",DT178)-1))&gt;0,IF(INDEX($L$164:$L$179,MATCH(LEFT(DT178,FIND("·",DT178)-1),$K$164:$K$179,0))=IFERROR(VALUE(MID(DT178,FIND("·",DT178)+1,1)),0),($D$16+(INDEX($M$164:$M$179,MATCH(LEFT(DT178,FIND("·",DT178)-1),$K$164:$K$179,0))=MID(DT178,FIND("|",DT178)+1,10))*$D$18+MAX(0,IF($D$50=1,$D$17*(1-(ABS(INDEX($P$164:$P$179,MATCH(LEFT(DT178,FIND("·",DT178)-1),$K$164:$K$179,0))-(VALUE(MID(DT178,FIND("|",DT178)+1,FIND("-",DT178,FIND("|",DT178))-FIND("|",DT178)-1))-VALUE(MID(DT178,FIND("-",DT178,FIND("|",DT178))+1,10)))))*$D$50),$D$17*(1-(IF(INDEX($L$164:$L$179,MATCH(LEFT(DT178,FIND("·",DT178)-1),$K$164:$K$179,0))=0,ABS(INDEX($N$164:$N$179,MATCH(LEFT(DT178,FIND("·",DT178)-1),$K$164:$K$179,0))-VALUE(MID(DT178,FIND("|",DT178)+1,FIND("-",DT178,FIND("|",DT178))-FIND("|",DT178)-1))),ABS(INDEX($P$164:$P$179,MATCH(LEFT(DT178,FIND("·",DT178)-1),$K$164:$K$179,0))-(VALUE(MID(DT178,FIND("|",DT178)+1,FIND("-",DT178,FIND("|",DT178))-FIND("|",DT178)-1))-VALUE(MID(DT178,FIND("-",DT178,FIND("|",DT178))+1,10)))))*$D$50)))))*INDEX($I$164:$I$179,MATCH(LEFT(DT178,FIND("·",DT178)-1),$K$164:$K$179,0)),0),0),0)+IFERROR(IF(COUNTIF($C$164:$C$179,LEFT(DT178,FIND("·",DT178)-1))&gt;0,IF(INDEX($D$164:$D$179,MATCH(LEFT(DT178,FIND("·",DT178)-1),$C$164:$C$179,0))=IFERROR(VALUE(MID(DT178,FIND("·",DT178)+1,1)),0),($D$16+(INDEX($E$164:$E$179,MATCH(LEFT(DT178,FIND("·",DT178)-1),$C$164:$C$179,0))=MID(DT178,FIND("|",DT178)+1,10))*$D$18+MAX(0,IF($D$50=1,$D$17*(1-(ABS(INDEX($Q$164:$Q$179,MATCH(LEFT(DT178,FIND("·",DT178)-1),$C$164:$C$179,0))-(VALUE(MID(DT178,FIND("|",DT178)+1,FIND("-",DT178,FIND("|",DT178))-FIND("|",DT178)-1))-VALUE(MID(DT178,FIND("-",DT178,FIND("|",DT178))+1,10)))))*$D$50),$D$17*(1-(IF(INDEX($D$164:$D$179,MATCH(LEFT(DT178,FIND("·",DT178)-1),$C$164:$C$179,0))=0,ABS(INDEX($A$164:$A$179,MATCH(LEFT(DT178,FIND("·",DT178)-1),$C$164:$C$179,0))-VALUE(MID(DT178,FIND("|",DT178)+1,FIND("-",DT178,FIND("|",DT178))-FIND("|",DT178)-1))),ABS(INDEX($Q$164:$Q$179,MATCH(LEFT(DT178,FIND("·",DT178)-1),$C$164:$C$179,0))-(VALUE(MID(DT178,FIND("|",DT178)+1,FIND("-",DT178,FIND("|",DT178))-FIND("|",DT178)-1))-VALUE(MID(DT178,FIND("-",DT178,FIND("|",DT178))+1,10)))))*$D$50)))))*INDEX($I$164:$I$179,MATCH(LEFT(DT178,FIND("·",DT178)-1),$C$164:$C$179,0)),0),0),0)</f>
        <v>0</v>
      </c>
      <c r="DV178" s="110"/>
      <c r="DW178" s="74" t="s">
        <v>2808</v>
      </c>
      <c r="DX178" s="77">
        <f t="shared" ca="1" si="1451"/>
        <v>0</v>
      </c>
      <c r="DY178" s="110"/>
      <c r="DZ178" s="74" t="s">
        <v>2174</v>
      </c>
      <c r="EA178" s="77">
        <f t="shared" ca="1" si="1451"/>
        <v>0</v>
      </c>
      <c r="EB178" s="110"/>
      <c r="EC178" s="74" t="s">
        <v>2174</v>
      </c>
      <c r="ED178" s="77">
        <f t="shared" ca="1" si="1451"/>
        <v>0</v>
      </c>
      <c r="EE178" s="110"/>
      <c r="EF178" s="74" t="s">
        <v>2839</v>
      </c>
      <c r="EG178" s="77">
        <f t="shared" ca="1" si="1451"/>
        <v>0</v>
      </c>
      <c r="EH178" s="110"/>
      <c r="EI178" s="74" t="s">
        <v>2174</v>
      </c>
      <c r="EJ178" s="77">
        <f t="shared" ca="1" si="1451"/>
        <v>0</v>
      </c>
      <c r="EK178" s="110"/>
      <c r="EL178" s="74" t="s">
        <v>2015</v>
      </c>
      <c r="EM178" s="77">
        <f t="shared" ca="1" si="1451"/>
        <v>0</v>
      </c>
      <c r="EN178" s="110"/>
      <c r="EO178" s="74" t="s">
        <v>2882</v>
      </c>
      <c r="EP178" s="77">
        <f t="shared" ca="1" si="1451"/>
        <v>0</v>
      </c>
      <c r="EQ178" s="110"/>
      <c r="ER178" s="74" t="s">
        <v>2174</v>
      </c>
      <c r="ES178" s="77">
        <f t="shared" ca="1" si="1451"/>
        <v>0</v>
      </c>
      <c r="ET178" s="110"/>
      <c r="EU178" s="74" t="s">
        <v>2795</v>
      </c>
      <c r="EV178" s="77">
        <f t="shared" ca="1" si="1451"/>
        <v>0</v>
      </c>
      <c r="EW178" s="110"/>
      <c r="EX178" s="74" t="s">
        <v>2174</v>
      </c>
      <c r="EY178" s="77">
        <f t="shared" ca="1" si="1451"/>
        <v>0</v>
      </c>
      <c r="EZ178" s="110"/>
      <c r="FA178" s="74" t="s">
        <v>2621</v>
      </c>
      <c r="FB178" s="77">
        <f t="shared" ca="1" si="1451"/>
        <v>0</v>
      </c>
      <c r="FC178" s="110"/>
      <c r="FD178" s="74" t="s">
        <v>2940</v>
      </c>
      <c r="FE178" s="77">
        <f t="shared" ca="1" si="1451"/>
        <v>10</v>
      </c>
      <c r="FF178" s="110"/>
      <c r="FG178" s="74" t="s">
        <v>2174</v>
      </c>
      <c r="FH178" s="77">
        <f t="shared" ca="1" si="1451"/>
        <v>0</v>
      </c>
      <c r="FI178" s="110"/>
      <c r="FJ178" s="74" t="s">
        <v>2174</v>
      </c>
      <c r="FK178" s="77">
        <f t="shared" ca="1" si="1451"/>
        <v>0</v>
      </c>
      <c r="FL178" s="110"/>
      <c r="FM178" s="74" t="s">
        <v>2015</v>
      </c>
      <c r="FN178" s="77">
        <f t="shared" ca="1" si="1451"/>
        <v>0</v>
      </c>
      <c r="FO178" s="110"/>
      <c r="FP178" s="74" t="s">
        <v>2429</v>
      </c>
      <c r="FQ178" s="77">
        <f t="shared" ca="1" si="1451"/>
        <v>0</v>
      </c>
      <c r="FR178" s="110"/>
      <c r="FS178" s="74" t="s">
        <v>2174</v>
      </c>
      <c r="FT178" s="77">
        <f t="shared" ca="1" si="1451"/>
        <v>0</v>
      </c>
      <c r="FU178" s="110"/>
      <c r="FV178" s="74" t="s">
        <v>2015</v>
      </c>
      <c r="FW178" s="77">
        <f t="shared" ca="1" si="1451"/>
        <v>0</v>
      </c>
      <c r="FX178" s="110"/>
      <c r="FY178" s="74" t="s">
        <v>2083</v>
      </c>
      <c r="FZ178" s="77">
        <f t="shared" ca="1" si="1451"/>
        <v>0</v>
      </c>
      <c r="GA178" s="110"/>
      <c r="GB178" s="74" t="s">
        <v>2382</v>
      </c>
      <c r="GC178" s="77">
        <f t="shared" ca="1" si="1451"/>
        <v>0</v>
      </c>
      <c r="GD178" s="110"/>
      <c r="GE178" s="74" t="s">
        <v>2174</v>
      </c>
      <c r="GF178" s="77">
        <f t="shared" ca="1" si="1451"/>
        <v>0</v>
      </c>
      <c r="GG178" s="110"/>
      <c r="GH178" s="74" t="s">
        <v>3046</v>
      </c>
      <c r="GI178" s="77">
        <f t="shared" ca="1" si="1449"/>
        <v>0</v>
      </c>
      <c r="GJ178" s="110"/>
      <c r="GK178" s="74" t="s">
        <v>2015</v>
      </c>
      <c r="GL178" s="77">
        <f t="shared" ca="1" si="1449"/>
        <v>0</v>
      </c>
      <c r="GM178" s="110"/>
      <c r="GN178" s="74"/>
      <c r="GO178" s="77">
        <f t="shared" ca="1" si="1447"/>
        <v>0</v>
      </c>
      <c r="GP178" s="110"/>
      <c r="GQ178" s="74"/>
      <c r="GR178" s="77">
        <f t="shared" ca="1" si="1447"/>
        <v>0</v>
      </c>
      <c r="GS178" s="110"/>
      <c r="GT178" s="74"/>
      <c r="GU178" s="77">
        <f t="shared" ca="1" si="1447"/>
        <v>0</v>
      </c>
      <c r="GV178" s="110"/>
      <c r="GW178" s="74"/>
      <c r="GX178" s="77">
        <f t="shared" ca="1" si="1447"/>
        <v>0</v>
      </c>
      <c r="GY178" s="110"/>
      <c r="GZ178" s="74"/>
      <c r="HA178" s="77">
        <f t="shared" ca="1" si="1447"/>
        <v>0</v>
      </c>
      <c r="HB178" s="110"/>
      <c r="HC178" s="74"/>
      <c r="HD178" s="77">
        <f t="shared" ca="1" si="1447"/>
        <v>0</v>
      </c>
      <c r="HE178" s="110"/>
      <c r="HF178" s="74"/>
      <c r="HG178" s="77">
        <f t="shared" ca="1" si="1447"/>
        <v>0</v>
      </c>
      <c r="HH178" s="110"/>
      <c r="HI178" s="74"/>
      <c r="HJ178" s="77">
        <f t="shared" ca="1" si="1447"/>
        <v>0</v>
      </c>
      <c r="HK178" s="110"/>
      <c r="HL178" s="74"/>
      <c r="HM178" s="77">
        <f t="shared" ca="1" si="1447"/>
        <v>0</v>
      </c>
      <c r="HN178" s="110"/>
      <c r="HO178" s="74"/>
      <c r="HP178" s="77">
        <f t="shared" ca="1" si="1447"/>
        <v>0</v>
      </c>
      <c r="HQ178" s="110"/>
      <c r="HR178" s="74"/>
      <c r="HS178" s="77">
        <f t="shared" ca="1" si="1447"/>
        <v>0</v>
      </c>
      <c r="HT178" s="110"/>
      <c r="HU178" s="74"/>
      <c r="HV178" s="77">
        <f t="shared" ca="1" si="1447"/>
        <v>0</v>
      </c>
      <c r="HW178" s="110"/>
      <c r="HX178" s="74"/>
      <c r="HY178" s="77">
        <f t="shared" ca="1" si="1447"/>
        <v>0</v>
      </c>
      <c r="HZ178" s="110"/>
      <c r="IA178" s="74"/>
      <c r="IB178" s="77">
        <f t="shared" ca="1" si="1447"/>
        <v>0</v>
      </c>
      <c r="IC178" s="110"/>
      <c r="ID178" s="74"/>
      <c r="IE178" s="77">
        <f t="shared" ca="1" si="1447"/>
        <v>0</v>
      </c>
      <c r="IF178" s="110"/>
      <c r="IG178" s="74"/>
      <c r="IH178" s="77">
        <f t="shared" ca="1" si="1447"/>
        <v>0</v>
      </c>
      <c r="II178" s="110"/>
      <c r="IJ178" s="74"/>
      <c r="IK178" s="77">
        <f t="shared" ca="1" si="1447"/>
        <v>0</v>
      </c>
      <c r="IL178" s="110"/>
      <c r="IM178" s="74"/>
      <c r="IN178" s="77">
        <f t="shared" ca="1" si="1447"/>
        <v>0</v>
      </c>
      <c r="IO178" s="110"/>
      <c r="IP178" s="74"/>
      <c r="IQ178" s="77">
        <f t="shared" ca="1" si="1447"/>
        <v>0</v>
      </c>
      <c r="IR178" s="110"/>
      <c r="IS178" s="74"/>
      <c r="IT178" s="77">
        <f t="shared" ca="1" si="1447"/>
        <v>0</v>
      </c>
      <c r="IU178" s="110"/>
      <c r="IV178" s="74"/>
      <c r="IW178" s="77">
        <f t="shared" ref="IW178:LE179" ca="1" si="1452">IFERROR(IF(COUNTIF($K$164:$K$179,LEFT(IV178,FIND("·",IV178)-1))&gt;0,IF(INDEX($L$164:$L$179,MATCH(LEFT(IV178,FIND("·",IV178)-1),$K$164:$K$179,0))=IFERROR(VALUE(MID(IV178,FIND("·",IV178)+1,1)),0),($D$16+(INDEX($M$164:$M$179,MATCH(LEFT(IV178,FIND("·",IV178)-1),$K$164:$K$179,0))=MID(IV178,FIND("|",IV178)+1,10))*$D$18+MAX(0,IF($D$50=1,$D$17*(1-(ABS(INDEX($P$164:$P$179,MATCH(LEFT(IV178,FIND("·",IV178)-1),$K$164:$K$179,0))-(VALUE(MID(IV178,FIND("|",IV178)+1,FIND("-",IV178,FIND("|",IV178))-FIND("|",IV178)-1))-VALUE(MID(IV178,FIND("-",IV178,FIND("|",IV178))+1,10)))))*$D$50),$D$17*(1-(IF(INDEX($L$164:$L$179,MATCH(LEFT(IV178,FIND("·",IV178)-1),$K$164:$K$179,0))=0,ABS(INDEX($N$164:$N$179,MATCH(LEFT(IV178,FIND("·",IV178)-1),$K$164:$K$179,0))-VALUE(MID(IV178,FIND("|",IV178)+1,FIND("-",IV178,FIND("|",IV178))-FIND("|",IV178)-1))),ABS(INDEX($P$164:$P$179,MATCH(LEFT(IV178,FIND("·",IV178)-1),$K$164:$K$179,0))-(VALUE(MID(IV178,FIND("|",IV178)+1,FIND("-",IV178,FIND("|",IV178))-FIND("|",IV178)-1))-VALUE(MID(IV178,FIND("-",IV178,FIND("|",IV178))+1,10)))))*$D$50)))))*INDEX($I$164:$I$179,MATCH(LEFT(IV178,FIND("·",IV178)-1),$K$164:$K$179,0)),0),0),0)+IFERROR(IF(COUNTIF($C$164:$C$179,LEFT(IV178,FIND("·",IV178)-1))&gt;0,IF(INDEX($D$164:$D$179,MATCH(LEFT(IV178,FIND("·",IV178)-1),$C$164:$C$179,0))=IFERROR(VALUE(MID(IV178,FIND("·",IV178)+1,1)),0),($D$16+(INDEX($E$164:$E$179,MATCH(LEFT(IV178,FIND("·",IV178)-1),$C$164:$C$179,0))=MID(IV178,FIND("|",IV178)+1,10))*$D$18+MAX(0,IF($D$50=1,$D$17*(1-(ABS(INDEX($Q$164:$Q$179,MATCH(LEFT(IV178,FIND("·",IV178)-1),$C$164:$C$179,0))-(VALUE(MID(IV178,FIND("|",IV178)+1,FIND("-",IV178,FIND("|",IV178))-FIND("|",IV178)-1))-VALUE(MID(IV178,FIND("-",IV178,FIND("|",IV178))+1,10)))))*$D$50),$D$17*(1-(IF(INDEX($D$164:$D$179,MATCH(LEFT(IV178,FIND("·",IV178)-1),$C$164:$C$179,0))=0,ABS(INDEX($A$164:$A$179,MATCH(LEFT(IV178,FIND("·",IV178)-1),$C$164:$C$179,0))-VALUE(MID(IV178,FIND("|",IV178)+1,FIND("-",IV178,FIND("|",IV178))-FIND("|",IV178)-1))),ABS(INDEX($Q$164:$Q$179,MATCH(LEFT(IV178,FIND("·",IV178)-1),$C$164:$C$179,0))-(VALUE(MID(IV178,FIND("|",IV178)+1,FIND("-",IV178,FIND("|",IV178))-FIND("|",IV178)-1))-VALUE(MID(IV178,FIND("-",IV178,FIND("|",IV178))+1,10)))))*$D$50)))))*INDEX($I$164:$I$179,MATCH(LEFT(IV178,FIND("·",IV178)-1),$C$164:$C$179,0)),0),0),0)</f>
        <v>0</v>
      </c>
      <c r="IX178" s="110"/>
      <c r="IY178" s="74"/>
      <c r="IZ178" s="77">
        <f t="shared" ca="1" si="1452"/>
        <v>0</v>
      </c>
      <c r="JA178" s="110"/>
      <c r="JB178" s="74"/>
      <c r="JC178" s="77">
        <f t="shared" ca="1" si="1452"/>
        <v>0</v>
      </c>
      <c r="JD178" s="110"/>
      <c r="JE178" s="74"/>
      <c r="JF178" s="77">
        <f t="shared" ca="1" si="1452"/>
        <v>0</v>
      </c>
      <c r="JG178" s="110"/>
      <c r="JH178" s="74"/>
      <c r="JI178" s="77">
        <f t="shared" ca="1" si="1452"/>
        <v>0</v>
      </c>
      <c r="JJ178" s="110"/>
      <c r="JK178" s="74"/>
      <c r="JL178" s="77">
        <f t="shared" ca="1" si="1452"/>
        <v>0</v>
      </c>
      <c r="JM178" s="110"/>
      <c r="JN178" s="74"/>
      <c r="JO178" s="77">
        <f t="shared" ca="1" si="1452"/>
        <v>0</v>
      </c>
      <c r="JP178" s="110"/>
      <c r="JQ178" s="74"/>
      <c r="JR178" s="77">
        <f t="shared" ca="1" si="1452"/>
        <v>0</v>
      </c>
      <c r="JS178" s="110"/>
      <c r="JT178" s="74"/>
      <c r="JU178" s="77">
        <f t="shared" ca="1" si="1452"/>
        <v>0</v>
      </c>
      <c r="JV178" s="110"/>
      <c r="JW178" s="74"/>
      <c r="JX178" s="77">
        <f t="shared" ca="1" si="1452"/>
        <v>0</v>
      </c>
      <c r="JY178" s="110"/>
      <c r="JZ178" s="74"/>
      <c r="KA178" s="77">
        <f t="shared" ca="1" si="1452"/>
        <v>0</v>
      </c>
      <c r="KB178" s="110"/>
      <c r="KC178" s="74"/>
      <c r="KD178" s="77">
        <f t="shared" ca="1" si="1452"/>
        <v>0</v>
      </c>
      <c r="KE178" s="110"/>
      <c r="KF178" s="74"/>
      <c r="KG178" s="77">
        <f t="shared" ca="1" si="1452"/>
        <v>0</v>
      </c>
      <c r="KH178" s="110"/>
      <c r="KI178" s="74"/>
      <c r="KJ178" s="77">
        <f t="shared" ca="1" si="1452"/>
        <v>0</v>
      </c>
      <c r="KK178" s="110"/>
      <c r="KL178" s="74"/>
      <c r="KM178" s="77">
        <f t="shared" ca="1" si="1452"/>
        <v>0</v>
      </c>
      <c r="KN178" s="110"/>
      <c r="KO178" s="74"/>
      <c r="KP178" s="77">
        <f t="shared" ca="1" si="1452"/>
        <v>0</v>
      </c>
      <c r="KQ178" s="110"/>
      <c r="KR178" s="74"/>
      <c r="KS178" s="77">
        <f t="shared" ca="1" si="1452"/>
        <v>0</v>
      </c>
      <c r="KT178" s="110"/>
      <c r="KU178" s="74"/>
      <c r="KV178" s="77">
        <f t="shared" ca="1" si="1452"/>
        <v>0</v>
      </c>
      <c r="KW178" s="110"/>
      <c r="KX178" s="74"/>
      <c r="KY178" s="77">
        <f t="shared" ca="1" si="1452"/>
        <v>0</v>
      </c>
      <c r="KZ178" s="110"/>
      <c r="LA178" s="74"/>
      <c r="LB178" s="77">
        <f t="shared" ca="1" si="1452"/>
        <v>0</v>
      </c>
      <c r="LC178" s="110"/>
      <c r="LD178" s="74"/>
      <c r="LE178" s="77">
        <f t="shared" ca="1" si="1452"/>
        <v>0</v>
      </c>
      <c r="LF178" s="110"/>
      <c r="LG178" s="110"/>
    </row>
    <row r="179" spans="1:319">
      <c r="A179" s="25">
        <f>WORLDCUP!AD116</f>
        <v>0</v>
      </c>
      <c r="B179" s="25">
        <f>WORLDCUP!AC116</f>
        <v>1</v>
      </c>
      <c r="C179" s="25" t="str">
        <f ca="1">CONCATENATE(WORLDCUP!AF116,"-",WORLDCUP!AA116)</f>
        <v>Ghana-Colombia</v>
      </c>
      <c r="D179" s="25">
        <f>IF(WORLDCUP!AC116&gt;WORLDCUP!AD116,2,IF(WORLDCUP!AC116&lt;WORLDCUP!AD116,1,IF(AND(WORLDCUP!AC116=WORLDCUP!AD116,WORLDCUP!AC116&lt;&gt;"",WORLDCUP!AD116&lt;&gt;""),0,"PD")))</f>
        <v>2</v>
      </c>
      <c r="E179" s="25" t="str">
        <f>IF(OR(WORLDCUP!AC116="",WORLDCUP!AD116=""),"-",A179&amp;"-"&amp;B179)</f>
        <v>0-1</v>
      </c>
      <c r="F179" s="407">
        <f t="shared" si="1441"/>
        <v>20</v>
      </c>
      <c r="G179" s="407">
        <f ca="1">VLOOKUP(H179,Equipos!$Q$1:$R$25,2,0)</f>
        <v>20</v>
      </c>
      <c r="H179" s="446" t="str">
        <f>Idiomas!$D$260</f>
        <v>Round of 32</v>
      </c>
      <c r="I179" s="43">
        <v>1</v>
      </c>
      <c r="J179" s="845"/>
      <c r="K179" s="115" t="str">
        <f ca="1">CONCATENATE(WORLDCUP!AA116,"-",WORLDCUP!AF116)</f>
        <v>Colombia-Ghana</v>
      </c>
      <c r="L179" s="115">
        <f>IF(OR(WORLDCUP!AC116="",WORLDCUP!AD116=""),"PD",IF(WORLDCUP!AC116&gt;WORLDCUP!AD116,1,IF(WORLDCUP!AC116&lt;WORLDCUP!AD116,2,0)))</f>
        <v>1</v>
      </c>
      <c r="M179" s="116" t="str">
        <f t="shared" si="1442"/>
        <v>1-0</v>
      </c>
      <c r="N179" s="25">
        <f>WORLDCUP!AC116</f>
        <v>1</v>
      </c>
      <c r="O179" s="25">
        <f>WORLDCUP!AD116</f>
        <v>0</v>
      </c>
      <c r="P179" s="25">
        <f t="shared" si="1443"/>
        <v>1</v>
      </c>
      <c r="Q179" s="25">
        <f t="shared" si="1444"/>
        <v>-1</v>
      </c>
      <c r="R179" s="110"/>
      <c r="S179" s="80" t="s">
        <v>1977</v>
      </c>
      <c r="T179" s="81">
        <f t="shared" ca="1" si="1445"/>
        <v>0</v>
      </c>
      <c r="U179" s="110"/>
      <c r="V179" s="80" t="s">
        <v>2016</v>
      </c>
      <c r="W179" s="81">
        <f t="shared" ca="1" si="1448"/>
        <v>0</v>
      </c>
      <c r="X179" s="110"/>
      <c r="Y179" s="80" t="s">
        <v>2051</v>
      </c>
      <c r="Z179" s="81">
        <f t="shared" ca="1" si="1448"/>
        <v>0</v>
      </c>
      <c r="AA179" s="110"/>
      <c r="AB179" s="80" t="s">
        <v>2084</v>
      </c>
      <c r="AC179" s="81">
        <f t="shared" ca="1" si="1448"/>
        <v>0</v>
      </c>
      <c r="AD179" s="110"/>
      <c r="AE179" s="80" t="s">
        <v>2116</v>
      </c>
      <c r="AF179" s="81">
        <f t="shared" ca="1" si="1448"/>
        <v>0</v>
      </c>
      <c r="AG179" s="110"/>
      <c r="AH179" s="80" t="s">
        <v>2147</v>
      </c>
      <c r="AI179" s="81">
        <f t="shared" ca="1" si="1448"/>
        <v>0</v>
      </c>
      <c r="AJ179" s="110"/>
      <c r="AK179" s="80" t="s">
        <v>2175</v>
      </c>
      <c r="AL179" s="81">
        <f t="shared" ca="1" si="1448"/>
        <v>0</v>
      </c>
      <c r="AM179" s="110"/>
      <c r="AN179" s="80" t="s">
        <v>2203</v>
      </c>
      <c r="AO179" s="81">
        <f t="shared" ca="1" si="1448"/>
        <v>0</v>
      </c>
      <c r="AP179" s="110"/>
      <c r="AQ179" s="80" t="s">
        <v>2147</v>
      </c>
      <c r="AR179" s="81">
        <f t="shared" ca="1" si="1448"/>
        <v>0</v>
      </c>
      <c r="AS179" s="110"/>
      <c r="AT179" s="80" t="s">
        <v>2264</v>
      </c>
      <c r="AU179" s="81">
        <f t="shared" ca="1" si="1448"/>
        <v>20</v>
      </c>
      <c r="AV179" s="110"/>
      <c r="AW179" s="80" t="s">
        <v>2290</v>
      </c>
      <c r="AX179" s="81">
        <f t="shared" ca="1" si="1448"/>
        <v>12</v>
      </c>
      <c r="AY179" s="110"/>
      <c r="AZ179" s="80" t="s">
        <v>2313</v>
      </c>
      <c r="BA179" s="81">
        <f t="shared" ca="1" si="1448"/>
        <v>0</v>
      </c>
      <c r="BB179" s="110"/>
      <c r="BC179" s="80" t="s">
        <v>2084</v>
      </c>
      <c r="BD179" s="81">
        <f t="shared" ca="1" si="1448"/>
        <v>0</v>
      </c>
      <c r="BE179" s="110"/>
      <c r="BF179" s="80" t="s">
        <v>2116</v>
      </c>
      <c r="BG179" s="81">
        <f t="shared" ca="1" si="1448"/>
        <v>0</v>
      </c>
      <c r="BH179" s="110"/>
      <c r="BI179" s="80" t="s">
        <v>2383</v>
      </c>
      <c r="BJ179" s="81">
        <f t="shared" ca="1" si="1448"/>
        <v>0</v>
      </c>
      <c r="BK179" s="110"/>
      <c r="BL179" s="80" t="s">
        <v>2084</v>
      </c>
      <c r="BM179" s="81">
        <f t="shared" ca="1" si="1448"/>
        <v>0</v>
      </c>
      <c r="BN179" s="110"/>
      <c r="BO179" s="80" t="s">
        <v>2430</v>
      </c>
      <c r="BP179" s="81">
        <f t="shared" ca="1" si="1448"/>
        <v>12</v>
      </c>
      <c r="BQ179" s="110"/>
      <c r="BR179" s="80" t="s">
        <v>2116</v>
      </c>
      <c r="BS179" s="81">
        <f t="shared" ca="1" si="1448"/>
        <v>0</v>
      </c>
      <c r="BT179" s="110"/>
      <c r="BU179" s="80" t="s">
        <v>2116</v>
      </c>
      <c r="BV179" s="81">
        <f t="shared" ca="1" si="1448"/>
        <v>0</v>
      </c>
      <c r="BW179" s="110"/>
      <c r="BX179" s="80" t="s">
        <v>2483</v>
      </c>
      <c r="BY179" s="81">
        <f t="shared" ca="1" si="1448"/>
        <v>0</v>
      </c>
      <c r="BZ179" s="110"/>
      <c r="CA179" s="80" t="s">
        <v>2116</v>
      </c>
      <c r="CB179" s="81">
        <f t="shared" ca="1" si="1448"/>
        <v>0</v>
      </c>
      <c r="CC179" s="110"/>
      <c r="CD179" s="80" t="s">
        <v>2383</v>
      </c>
      <c r="CE179" s="81">
        <f t="shared" ca="1" si="1448"/>
        <v>0</v>
      </c>
      <c r="CF179" s="110"/>
      <c r="CG179" s="80" t="s">
        <v>2147</v>
      </c>
      <c r="CH179" s="81">
        <f t="shared" ca="1" si="1448"/>
        <v>0</v>
      </c>
      <c r="CI179" s="110"/>
      <c r="CJ179" s="80" t="s">
        <v>2427</v>
      </c>
      <c r="CK179" s="81">
        <f t="shared" ca="1" si="1446"/>
        <v>20</v>
      </c>
      <c r="CL179" s="110"/>
      <c r="CM179" s="80" t="s">
        <v>2147</v>
      </c>
      <c r="CN179" s="81">
        <f t="shared" ca="1" si="1446"/>
        <v>0</v>
      </c>
      <c r="CO179" s="110"/>
      <c r="CP179" s="80" t="s">
        <v>2084</v>
      </c>
      <c r="CQ179" s="81">
        <f t="shared" ca="1" si="1446"/>
        <v>0</v>
      </c>
      <c r="CR179" s="110"/>
      <c r="CS179" s="80" t="s">
        <v>2116</v>
      </c>
      <c r="CT179" s="81">
        <f t="shared" ca="1" si="1446"/>
        <v>0</v>
      </c>
      <c r="CU179" s="110"/>
      <c r="CV179" s="80" t="s">
        <v>2313</v>
      </c>
      <c r="CW179" s="81">
        <f t="shared" ca="1" si="1446"/>
        <v>0</v>
      </c>
      <c r="CX179" s="110"/>
      <c r="CY179" s="80" t="s">
        <v>2674</v>
      </c>
      <c r="CZ179" s="81">
        <f t="shared" ca="1" si="1446"/>
        <v>10</v>
      </c>
      <c r="DA179" s="110"/>
      <c r="DB179" s="80" t="s">
        <v>2084</v>
      </c>
      <c r="DC179" s="81">
        <f t="shared" ca="1" si="1446"/>
        <v>0</v>
      </c>
      <c r="DD179" s="110"/>
      <c r="DE179" s="80" t="s">
        <v>2084</v>
      </c>
      <c r="DF179" s="81">
        <f t="shared" ca="1" si="1446"/>
        <v>0</v>
      </c>
      <c r="DG179" s="110"/>
      <c r="DH179" s="80" t="s">
        <v>2733</v>
      </c>
      <c r="DI179" s="81">
        <f t="shared" ca="1" si="1446"/>
        <v>0</v>
      </c>
      <c r="DJ179" s="110"/>
      <c r="DK179" s="80" t="s">
        <v>2116</v>
      </c>
      <c r="DL179" s="81">
        <f t="shared" ca="1" si="1446"/>
        <v>0</v>
      </c>
      <c r="DM179" s="110"/>
      <c r="DN179" s="80" t="s">
        <v>2765</v>
      </c>
      <c r="DO179" s="81">
        <f t="shared" ca="1" si="1446"/>
        <v>0</v>
      </c>
      <c r="DP179" s="110"/>
      <c r="DQ179" s="80" t="s">
        <v>2383</v>
      </c>
      <c r="DR179" s="81">
        <f t="shared" ca="1" si="1446"/>
        <v>0</v>
      </c>
      <c r="DS179" s="110"/>
      <c r="DT179" s="80" t="s">
        <v>2116</v>
      </c>
      <c r="DU179" s="81">
        <f t="shared" ca="1" si="1451"/>
        <v>0</v>
      </c>
      <c r="DV179" s="110"/>
      <c r="DW179" s="80" t="s">
        <v>2116</v>
      </c>
      <c r="DX179" s="81">
        <f t="shared" ca="1" si="1451"/>
        <v>0</v>
      </c>
      <c r="DY179" s="110"/>
      <c r="DZ179" s="80" t="s">
        <v>2147</v>
      </c>
      <c r="EA179" s="81">
        <f t="shared" ca="1" si="1451"/>
        <v>0</v>
      </c>
      <c r="EB179" s="110"/>
      <c r="EC179" s="80" t="s">
        <v>2147</v>
      </c>
      <c r="ED179" s="81">
        <f t="shared" ca="1" si="1451"/>
        <v>0</v>
      </c>
      <c r="EE179" s="110"/>
      <c r="EF179" s="80" t="s">
        <v>2840</v>
      </c>
      <c r="EG179" s="81">
        <f t="shared" ca="1" si="1451"/>
        <v>0</v>
      </c>
      <c r="EH179" s="110"/>
      <c r="EI179" s="80" t="s">
        <v>2859</v>
      </c>
      <c r="EJ179" s="81">
        <f t="shared" ca="1" si="1451"/>
        <v>0</v>
      </c>
      <c r="EK179" s="110"/>
      <c r="EL179" s="80" t="s">
        <v>2116</v>
      </c>
      <c r="EM179" s="81">
        <f t="shared" ca="1" si="1451"/>
        <v>0</v>
      </c>
      <c r="EN179" s="110"/>
      <c r="EO179" s="80" t="s">
        <v>2883</v>
      </c>
      <c r="EP179" s="81">
        <f t="shared" ca="1" si="1451"/>
        <v>0</v>
      </c>
      <c r="EQ179" s="110"/>
      <c r="ER179" s="80" t="s">
        <v>2891</v>
      </c>
      <c r="ES179" s="81">
        <f t="shared" ca="1" si="1451"/>
        <v>0</v>
      </c>
      <c r="ET179" s="110"/>
      <c r="EU179" s="80" t="s">
        <v>2905</v>
      </c>
      <c r="EV179" s="81">
        <f t="shared" ca="1" si="1451"/>
        <v>0</v>
      </c>
      <c r="EW179" s="110"/>
      <c r="EX179" s="80" t="s">
        <v>2116</v>
      </c>
      <c r="EY179" s="81">
        <f t="shared" ca="1" si="1451"/>
        <v>0</v>
      </c>
      <c r="EZ179" s="110"/>
      <c r="FA179" s="80" t="s">
        <v>2147</v>
      </c>
      <c r="FB179" s="81">
        <f t="shared" ca="1" si="1451"/>
        <v>0</v>
      </c>
      <c r="FC179" s="110"/>
      <c r="FD179" s="80" t="s">
        <v>2941</v>
      </c>
      <c r="FE179" s="81">
        <f t="shared" ca="1" si="1451"/>
        <v>0</v>
      </c>
      <c r="FF179" s="110"/>
      <c r="FG179" s="80" t="s">
        <v>2084</v>
      </c>
      <c r="FH179" s="81">
        <f t="shared" ca="1" si="1451"/>
        <v>0</v>
      </c>
      <c r="FI179" s="110"/>
      <c r="FJ179" s="80" t="s">
        <v>2116</v>
      </c>
      <c r="FK179" s="81">
        <f t="shared" ca="1" si="1451"/>
        <v>0</v>
      </c>
      <c r="FL179" s="110"/>
      <c r="FM179" s="80" t="s">
        <v>2973</v>
      </c>
      <c r="FN179" s="81">
        <f t="shared" ca="1" si="1451"/>
        <v>0</v>
      </c>
      <c r="FO179" s="110"/>
      <c r="FP179" s="80" t="s">
        <v>2116</v>
      </c>
      <c r="FQ179" s="81">
        <f t="shared" ca="1" si="1451"/>
        <v>0</v>
      </c>
      <c r="FR179" s="110"/>
      <c r="FS179" s="80" t="s">
        <v>2313</v>
      </c>
      <c r="FT179" s="81">
        <f t="shared" ca="1" si="1451"/>
        <v>0</v>
      </c>
      <c r="FU179" s="110"/>
      <c r="FV179" s="80" t="s">
        <v>2116</v>
      </c>
      <c r="FW179" s="81">
        <f t="shared" ca="1" si="1451"/>
        <v>0</v>
      </c>
      <c r="FX179" s="110"/>
      <c r="FY179" s="80" t="s">
        <v>3007</v>
      </c>
      <c r="FZ179" s="81">
        <f t="shared" ca="1" si="1451"/>
        <v>0</v>
      </c>
      <c r="GA179" s="110"/>
      <c r="GB179" s="80" t="s">
        <v>2430</v>
      </c>
      <c r="GC179" s="81">
        <f t="shared" ca="1" si="1451"/>
        <v>12</v>
      </c>
      <c r="GD179" s="110"/>
      <c r="GE179" s="80" t="s">
        <v>3036</v>
      </c>
      <c r="GF179" s="81">
        <f t="shared" ca="1" si="1451"/>
        <v>0</v>
      </c>
      <c r="GG179" s="110"/>
      <c r="GH179" s="80" t="s">
        <v>2147</v>
      </c>
      <c r="GI179" s="81">
        <f t="shared" ca="1" si="1449"/>
        <v>0</v>
      </c>
      <c r="GJ179" s="110"/>
      <c r="GK179" s="80" t="s">
        <v>2116</v>
      </c>
      <c r="GL179" s="81">
        <f t="shared" ca="1" si="1449"/>
        <v>0</v>
      </c>
      <c r="GM179" s="110"/>
      <c r="GN179" s="80"/>
      <c r="GO179" s="81">
        <f t="shared" ca="1" si="1447"/>
        <v>0</v>
      </c>
      <c r="GP179" s="110"/>
      <c r="GQ179" s="80"/>
      <c r="GR179" s="81">
        <f t="shared" ca="1" si="1447"/>
        <v>0</v>
      </c>
      <c r="GS179" s="110"/>
      <c r="GT179" s="80"/>
      <c r="GU179" s="81">
        <f t="shared" ca="1" si="1447"/>
        <v>0</v>
      </c>
      <c r="GV179" s="110"/>
      <c r="GW179" s="80"/>
      <c r="GX179" s="81">
        <f t="shared" ca="1" si="1447"/>
        <v>0</v>
      </c>
      <c r="GY179" s="110"/>
      <c r="GZ179" s="80"/>
      <c r="HA179" s="81">
        <f t="shared" ca="1" si="1447"/>
        <v>0</v>
      </c>
      <c r="HB179" s="110"/>
      <c r="HC179" s="80"/>
      <c r="HD179" s="81">
        <f t="shared" ca="1" si="1447"/>
        <v>0</v>
      </c>
      <c r="HE179" s="110"/>
      <c r="HF179" s="80"/>
      <c r="HG179" s="81">
        <f t="shared" ca="1" si="1447"/>
        <v>0</v>
      </c>
      <c r="HH179" s="110"/>
      <c r="HI179" s="80"/>
      <c r="HJ179" s="81">
        <f t="shared" ca="1" si="1447"/>
        <v>0</v>
      </c>
      <c r="HK179" s="110"/>
      <c r="HL179" s="80"/>
      <c r="HM179" s="81">
        <f t="shared" ca="1" si="1447"/>
        <v>0</v>
      </c>
      <c r="HN179" s="110"/>
      <c r="HO179" s="80"/>
      <c r="HP179" s="81">
        <f t="shared" ca="1" si="1447"/>
        <v>0</v>
      </c>
      <c r="HQ179" s="110"/>
      <c r="HR179" s="80"/>
      <c r="HS179" s="81">
        <f t="shared" ca="1" si="1447"/>
        <v>0</v>
      </c>
      <c r="HT179" s="110"/>
      <c r="HU179" s="80"/>
      <c r="HV179" s="81">
        <f t="shared" ca="1" si="1447"/>
        <v>0</v>
      </c>
      <c r="HW179" s="110"/>
      <c r="HX179" s="80"/>
      <c r="HY179" s="81">
        <f t="shared" ca="1" si="1447"/>
        <v>0</v>
      </c>
      <c r="HZ179" s="110"/>
      <c r="IA179" s="80"/>
      <c r="IB179" s="81">
        <f t="shared" ca="1" si="1447"/>
        <v>0</v>
      </c>
      <c r="IC179" s="110"/>
      <c r="ID179" s="80"/>
      <c r="IE179" s="81">
        <f t="shared" ca="1" si="1447"/>
        <v>0</v>
      </c>
      <c r="IF179" s="110"/>
      <c r="IG179" s="80"/>
      <c r="IH179" s="81">
        <f t="shared" ca="1" si="1447"/>
        <v>0</v>
      </c>
      <c r="II179" s="110"/>
      <c r="IJ179" s="80"/>
      <c r="IK179" s="81">
        <f t="shared" ca="1" si="1447"/>
        <v>0</v>
      </c>
      <c r="IL179" s="110"/>
      <c r="IM179" s="80"/>
      <c r="IN179" s="81">
        <f t="shared" ca="1" si="1447"/>
        <v>0</v>
      </c>
      <c r="IO179" s="110"/>
      <c r="IP179" s="80"/>
      <c r="IQ179" s="81">
        <f t="shared" ca="1" si="1447"/>
        <v>0</v>
      </c>
      <c r="IR179" s="110"/>
      <c r="IS179" s="80"/>
      <c r="IT179" s="81">
        <f t="shared" ca="1" si="1447"/>
        <v>0</v>
      </c>
      <c r="IU179" s="110"/>
      <c r="IV179" s="80"/>
      <c r="IW179" s="81">
        <f t="shared" ca="1" si="1452"/>
        <v>0</v>
      </c>
      <c r="IX179" s="110"/>
      <c r="IY179" s="80"/>
      <c r="IZ179" s="81">
        <f t="shared" ca="1" si="1452"/>
        <v>0</v>
      </c>
      <c r="JA179" s="110"/>
      <c r="JB179" s="80"/>
      <c r="JC179" s="81">
        <f t="shared" ca="1" si="1452"/>
        <v>0</v>
      </c>
      <c r="JD179" s="110"/>
      <c r="JE179" s="80"/>
      <c r="JF179" s="81">
        <f t="shared" ca="1" si="1452"/>
        <v>0</v>
      </c>
      <c r="JG179" s="110"/>
      <c r="JH179" s="80"/>
      <c r="JI179" s="81">
        <f t="shared" ca="1" si="1452"/>
        <v>0</v>
      </c>
      <c r="JJ179" s="110"/>
      <c r="JK179" s="80"/>
      <c r="JL179" s="81">
        <f t="shared" ca="1" si="1452"/>
        <v>0</v>
      </c>
      <c r="JM179" s="110"/>
      <c r="JN179" s="80"/>
      <c r="JO179" s="81">
        <f t="shared" ca="1" si="1452"/>
        <v>0</v>
      </c>
      <c r="JP179" s="110"/>
      <c r="JQ179" s="80"/>
      <c r="JR179" s="81">
        <f t="shared" ca="1" si="1452"/>
        <v>0</v>
      </c>
      <c r="JS179" s="110"/>
      <c r="JT179" s="80"/>
      <c r="JU179" s="81">
        <f t="shared" ca="1" si="1452"/>
        <v>0</v>
      </c>
      <c r="JV179" s="110"/>
      <c r="JW179" s="80"/>
      <c r="JX179" s="81">
        <f t="shared" ca="1" si="1452"/>
        <v>0</v>
      </c>
      <c r="JY179" s="110"/>
      <c r="JZ179" s="80"/>
      <c r="KA179" s="81">
        <f t="shared" ca="1" si="1452"/>
        <v>0</v>
      </c>
      <c r="KB179" s="110"/>
      <c r="KC179" s="80"/>
      <c r="KD179" s="81">
        <f t="shared" ca="1" si="1452"/>
        <v>0</v>
      </c>
      <c r="KE179" s="110"/>
      <c r="KF179" s="80"/>
      <c r="KG179" s="81">
        <f t="shared" ca="1" si="1452"/>
        <v>0</v>
      </c>
      <c r="KH179" s="110"/>
      <c r="KI179" s="80"/>
      <c r="KJ179" s="81">
        <f t="shared" ca="1" si="1452"/>
        <v>0</v>
      </c>
      <c r="KK179" s="110"/>
      <c r="KL179" s="80"/>
      <c r="KM179" s="81">
        <f t="shared" ca="1" si="1452"/>
        <v>0</v>
      </c>
      <c r="KN179" s="110"/>
      <c r="KO179" s="80"/>
      <c r="KP179" s="81">
        <f t="shared" ca="1" si="1452"/>
        <v>0</v>
      </c>
      <c r="KQ179" s="110"/>
      <c r="KR179" s="80"/>
      <c r="KS179" s="81">
        <f t="shared" ca="1" si="1452"/>
        <v>0</v>
      </c>
      <c r="KT179" s="110"/>
      <c r="KU179" s="80"/>
      <c r="KV179" s="81">
        <f t="shared" ca="1" si="1452"/>
        <v>0</v>
      </c>
      <c r="KW179" s="110"/>
      <c r="KX179" s="80"/>
      <c r="KY179" s="81">
        <f t="shared" ca="1" si="1452"/>
        <v>0</v>
      </c>
      <c r="KZ179" s="110"/>
      <c r="LA179" s="80"/>
      <c r="LB179" s="81">
        <f t="shared" ca="1" si="1452"/>
        <v>0</v>
      </c>
      <c r="LC179" s="110"/>
      <c r="LD179" s="80"/>
      <c r="LE179" s="81">
        <f t="shared" ca="1" si="1452"/>
        <v>0</v>
      </c>
      <c r="LF179" s="110"/>
      <c r="LG179" s="110"/>
    </row>
    <row r="180" spans="1:319">
      <c r="A180" s="25"/>
      <c r="B180" s="25"/>
      <c r="C180" s="25"/>
      <c r="D180" s="25"/>
      <c r="E180" s="25"/>
      <c r="F180" s="407"/>
      <c r="G180" s="407"/>
      <c r="H180" s="446"/>
      <c r="I180" s="50"/>
      <c r="J180" s="94"/>
      <c r="K180" s="434" t="str">
        <f>Idiomas!D458</f>
        <v>R32 Match-ups</v>
      </c>
      <c r="L180" s="435"/>
      <c r="M180" s="434" t="str">
        <f>"Max: "&amp;SUM($D$16:$D$18)*SUM($I$164:$I$179)</f>
        <v>Max: 320</v>
      </c>
      <c r="N180" s="25"/>
      <c r="O180" s="25"/>
      <c r="P180" s="25"/>
      <c r="Q180" s="25"/>
      <c r="R180" s="49"/>
      <c r="S180" s="84"/>
      <c r="T180" s="71">
        <f ca="1">SUM(T164:T179)</f>
        <v>20</v>
      </c>
      <c r="U180" s="65"/>
      <c r="V180" s="84"/>
      <c r="W180" s="71">
        <f t="shared" ref="W180" ca="1" si="1453">SUM(W164:W179)</f>
        <v>10</v>
      </c>
      <c r="X180" s="65"/>
      <c r="Y180" s="84"/>
      <c r="Z180" s="71">
        <f t="shared" ref="Z180" ca="1" si="1454">SUM(Z164:Z179)</f>
        <v>50</v>
      </c>
      <c r="AA180" s="65"/>
      <c r="AB180" s="84"/>
      <c r="AC180" s="71">
        <f t="shared" ref="AC180" ca="1" si="1455">SUM(AC164:AC179)</f>
        <v>30</v>
      </c>
      <c r="AD180" s="65"/>
      <c r="AE180" s="84"/>
      <c r="AF180" s="71">
        <f t="shared" ref="AF180" ca="1" si="1456">SUM(AF164:AF179)</f>
        <v>30</v>
      </c>
      <c r="AG180" s="65"/>
      <c r="AH180" s="84"/>
      <c r="AI180" s="71">
        <f t="shared" ref="AI180" ca="1" si="1457">SUM(AI164:AI179)</f>
        <v>10</v>
      </c>
      <c r="AJ180" s="65"/>
      <c r="AK180" s="84"/>
      <c r="AL180" s="71">
        <f t="shared" ref="AL180" ca="1" si="1458">SUM(AL164:AL179)</f>
        <v>20</v>
      </c>
      <c r="AM180" s="65"/>
      <c r="AN180" s="84"/>
      <c r="AO180" s="71">
        <f t="shared" ref="AO180" ca="1" si="1459">SUM(AO164:AO179)</f>
        <v>10</v>
      </c>
      <c r="AP180" s="65"/>
      <c r="AQ180" s="84"/>
      <c r="AR180" s="71">
        <f t="shared" ref="AR180" ca="1" si="1460">SUM(AR164:AR179)</f>
        <v>30</v>
      </c>
      <c r="AS180" s="65"/>
      <c r="AT180" s="84"/>
      <c r="AU180" s="71">
        <f t="shared" ref="AU180" ca="1" si="1461">SUM(AU164:AU179)</f>
        <v>50</v>
      </c>
      <c r="AV180" s="65"/>
      <c r="AW180" s="84"/>
      <c r="AX180" s="71">
        <f t="shared" ref="AX180" ca="1" si="1462">SUM(AX164:AX179)</f>
        <v>34</v>
      </c>
      <c r="AY180" s="65"/>
      <c r="AZ180" s="84"/>
      <c r="BA180" s="71">
        <f t="shared" ref="BA180" ca="1" si="1463">SUM(BA164:BA179)</f>
        <v>20</v>
      </c>
      <c r="BB180" s="65"/>
      <c r="BC180" s="84"/>
      <c r="BD180" s="71">
        <f t="shared" ref="BD180" ca="1" si="1464">SUM(BD164:BD179)</f>
        <v>10</v>
      </c>
      <c r="BE180" s="65"/>
      <c r="BF180" s="84"/>
      <c r="BG180" s="71">
        <f t="shared" ref="BG180" ca="1" si="1465">SUM(BG164:BG179)</f>
        <v>20</v>
      </c>
      <c r="BH180" s="65"/>
      <c r="BI180" s="84"/>
      <c r="BJ180" s="71">
        <f t="shared" ref="BJ180" ca="1" si="1466">SUM(BJ164:BJ179)</f>
        <v>22</v>
      </c>
      <c r="BK180" s="65"/>
      <c r="BL180" s="84"/>
      <c r="BM180" s="71">
        <f t="shared" ref="BM180" ca="1" si="1467">SUM(BM164:BM179)</f>
        <v>40</v>
      </c>
      <c r="BN180" s="65"/>
      <c r="BO180" s="84"/>
      <c r="BP180" s="71">
        <f t="shared" ref="BP180" ca="1" si="1468">SUM(BP164:BP179)</f>
        <v>74</v>
      </c>
      <c r="BQ180" s="65"/>
      <c r="BR180" s="84"/>
      <c r="BS180" s="71">
        <f t="shared" ref="BS180" ca="1" si="1469">SUM(BS164:BS179)</f>
        <v>12</v>
      </c>
      <c r="BT180" s="65"/>
      <c r="BU180" s="84"/>
      <c r="BV180" s="71">
        <f t="shared" ref="BV180" ca="1" si="1470">SUM(BV164:BV179)</f>
        <v>20</v>
      </c>
      <c r="BW180" s="65"/>
      <c r="BX180" s="84"/>
      <c r="BY180" s="71">
        <f t="shared" ref="BY180" ca="1" si="1471">SUM(BY164:BY179)</f>
        <v>10</v>
      </c>
      <c r="BZ180" s="65"/>
      <c r="CA180" s="84"/>
      <c r="CB180" s="71">
        <f t="shared" ref="CB180" ca="1" si="1472">SUM(CB164:CB179)</f>
        <v>40</v>
      </c>
      <c r="CC180" s="65"/>
      <c r="CD180" s="84"/>
      <c r="CE180" s="71">
        <f t="shared" ref="CE180" ca="1" si="1473">SUM(CE164:CE179)</f>
        <v>10</v>
      </c>
      <c r="CF180" s="65"/>
      <c r="CG180" s="84"/>
      <c r="CH180" s="71">
        <f t="shared" ref="CH180" ca="1" si="1474">SUM(CH164:CH179)</f>
        <v>80</v>
      </c>
      <c r="CI180" s="65"/>
      <c r="CJ180" s="84"/>
      <c r="CK180" s="71">
        <f t="shared" ref="CK180" ca="1" si="1475">SUM(CK164:CK179)</f>
        <v>74</v>
      </c>
      <c r="CL180" s="65"/>
      <c r="CM180" s="84"/>
      <c r="CN180" s="71">
        <f t="shared" ref="CN180" ca="1" si="1476">SUM(CN164:CN179)</f>
        <v>50</v>
      </c>
      <c r="CO180" s="65"/>
      <c r="CP180" s="84"/>
      <c r="CQ180" s="71">
        <f t="shared" ref="CQ180" ca="1" si="1477">SUM(CQ164:CQ179)</f>
        <v>52</v>
      </c>
      <c r="CR180" s="65"/>
      <c r="CS180" s="84"/>
      <c r="CT180" s="71">
        <f t="shared" ref="CT180" ca="1" si="1478">SUM(CT164:CT179)</f>
        <v>10</v>
      </c>
      <c r="CU180" s="65"/>
      <c r="CV180" s="84"/>
      <c r="CW180" s="71">
        <f t="shared" ref="CW180" ca="1" si="1479">SUM(CW164:CW179)</f>
        <v>22</v>
      </c>
      <c r="CX180" s="65"/>
      <c r="CY180" s="84"/>
      <c r="CZ180" s="71">
        <f t="shared" ref="CZ180" ca="1" si="1480">SUM(CZ164:CZ179)</f>
        <v>20</v>
      </c>
      <c r="DA180" s="65"/>
      <c r="DB180" s="84"/>
      <c r="DC180" s="71">
        <f t="shared" ref="DC180" ca="1" si="1481">SUM(DC164:DC179)</f>
        <v>34</v>
      </c>
      <c r="DD180" s="65"/>
      <c r="DE180" s="84"/>
      <c r="DF180" s="71">
        <f t="shared" ref="DF180" ca="1" si="1482">SUM(DF164:DF179)</f>
        <v>40</v>
      </c>
      <c r="DG180" s="65"/>
      <c r="DH180" s="84"/>
      <c r="DI180" s="71">
        <f t="shared" ref="DI180" ca="1" si="1483">SUM(DI164:DI179)</f>
        <v>20</v>
      </c>
      <c r="DJ180" s="65"/>
      <c r="DK180" s="84"/>
      <c r="DL180" s="71">
        <f t="shared" ref="DL180" ca="1" si="1484">SUM(DL164:DL179)</f>
        <v>30</v>
      </c>
      <c r="DM180" s="65"/>
      <c r="DN180" s="84"/>
      <c r="DO180" s="71">
        <f t="shared" ref="DO180" ca="1" si="1485">SUM(DO164:DO179)</f>
        <v>20</v>
      </c>
      <c r="DP180" s="65"/>
      <c r="DQ180" s="84"/>
      <c r="DR180" s="71">
        <f t="shared" ref="DR180" ca="1" si="1486">SUM(DR164:DR179)</f>
        <v>30</v>
      </c>
      <c r="DS180" s="65"/>
      <c r="DT180" s="84"/>
      <c r="DU180" s="71">
        <f t="shared" ref="DU180" ca="1" si="1487">SUM(DU164:DU179)</f>
        <v>42</v>
      </c>
      <c r="DV180" s="65"/>
      <c r="DW180" s="84"/>
      <c r="DX180" s="71">
        <f t="shared" ref="DX180" ca="1" si="1488">SUM(DX164:DX179)</f>
        <v>40</v>
      </c>
      <c r="DY180" s="65"/>
      <c r="DZ180" s="84"/>
      <c r="EA180" s="71">
        <f t="shared" ref="EA180" ca="1" si="1489">SUM(EA164:EA179)</f>
        <v>60</v>
      </c>
      <c r="EB180" s="65"/>
      <c r="EC180" s="84"/>
      <c r="ED180" s="71">
        <f t="shared" ref="ED180" ca="1" si="1490">SUM(ED164:ED179)</f>
        <v>80</v>
      </c>
      <c r="EE180" s="65"/>
      <c r="EF180" s="84"/>
      <c r="EG180" s="71">
        <f t="shared" ref="EG180" ca="1" si="1491">SUM(EG164:EG179)</f>
        <v>10</v>
      </c>
      <c r="EH180" s="65"/>
      <c r="EI180" s="84"/>
      <c r="EJ180" s="71">
        <f t="shared" ref="EJ180" ca="1" si="1492">SUM(EJ164:EJ179)</f>
        <v>40</v>
      </c>
      <c r="EK180" s="65"/>
      <c r="EL180" s="84"/>
      <c r="EM180" s="71">
        <f t="shared" ref="EM180" ca="1" si="1493">SUM(EM164:EM179)</f>
        <v>70</v>
      </c>
      <c r="EN180" s="65"/>
      <c r="EO180" s="84"/>
      <c r="EP180" s="71">
        <f t="shared" ref="EP180" ca="1" si="1494">SUM(EP164:EP179)</f>
        <v>42</v>
      </c>
      <c r="EQ180" s="65"/>
      <c r="ER180" s="84"/>
      <c r="ES180" s="71">
        <f t="shared" ref="ES180" ca="1" si="1495">SUM(ES164:ES179)</f>
        <v>30</v>
      </c>
      <c r="ET180" s="65"/>
      <c r="EU180" s="84"/>
      <c r="EV180" s="71">
        <f t="shared" ref="EV180" ca="1" si="1496">SUM(EV164:EV179)</f>
        <v>30</v>
      </c>
      <c r="EW180" s="65"/>
      <c r="EX180" s="84"/>
      <c r="EY180" s="71">
        <f t="shared" ref="EY180" ca="1" si="1497">SUM(EY164:EY179)</f>
        <v>70</v>
      </c>
      <c r="EZ180" s="65"/>
      <c r="FA180" s="84"/>
      <c r="FB180" s="71">
        <f t="shared" ref="FB180" ca="1" si="1498">SUM(FB164:FB179)</f>
        <v>20</v>
      </c>
      <c r="FC180" s="65"/>
      <c r="FD180" s="84"/>
      <c r="FE180" s="71">
        <f t="shared" ref="FE180" ca="1" si="1499">SUM(FE164:FE179)</f>
        <v>30</v>
      </c>
      <c r="FF180" s="65"/>
      <c r="FG180" s="84"/>
      <c r="FH180" s="71">
        <f t="shared" ref="FH180" ca="1" si="1500">SUM(FH164:FH179)</f>
        <v>50</v>
      </c>
      <c r="FI180" s="65"/>
      <c r="FJ180" s="84"/>
      <c r="FK180" s="71">
        <f t="shared" ref="FK180" ca="1" si="1501">SUM(FK164:FK179)</f>
        <v>40</v>
      </c>
      <c r="FL180" s="65"/>
      <c r="FM180" s="84"/>
      <c r="FN180" s="71">
        <f t="shared" ref="FN180" ca="1" si="1502">SUM(FN164:FN179)</f>
        <v>30</v>
      </c>
      <c r="FO180" s="65"/>
      <c r="FP180" s="84"/>
      <c r="FQ180" s="71">
        <f t="shared" ref="FQ180" ca="1" si="1503">SUM(FQ164:FQ179)</f>
        <v>20</v>
      </c>
      <c r="FR180" s="65"/>
      <c r="FS180" s="84"/>
      <c r="FT180" s="71">
        <f t="shared" ref="FT180" ca="1" si="1504">SUM(FT164:FT179)</f>
        <v>10</v>
      </c>
      <c r="FU180" s="65"/>
      <c r="FV180" s="84"/>
      <c r="FW180" s="71">
        <f t="shared" ref="FW180" ca="1" si="1505">SUM(FW164:FW179)</f>
        <v>20</v>
      </c>
      <c r="FX180" s="65"/>
      <c r="FY180" s="84"/>
      <c r="FZ180" s="71">
        <f t="shared" ref="FZ180" ca="1" si="1506">SUM(FZ164:FZ179)</f>
        <v>0</v>
      </c>
      <c r="GA180" s="65"/>
      <c r="GB180" s="84"/>
      <c r="GC180" s="71">
        <f t="shared" ref="GC180" ca="1" si="1507">SUM(GC164:GC179)</f>
        <v>32</v>
      </c>
      <c r="GD180" s="65"/>
      <c r="GE180" s="84"/>
      <c r="GF180" s="71">
        <f t="shared" ref="GF180" ca="1" si="1508">SUM(GF164:GF179)</f>
        <v>30</v>
      </c>
      <c r="GG180" s="65"/>
      <c r="GH180" s="84"/>
      <c r="GI180" s="71">
        <f t="shared" ref="GI180" ca="1" si="1509">SUM(GI164:GI179)</f>
        <v>30</v>
      </c>
      <c r="GJ180" s="65"/>
      <c r="GK180" s="84"/>
      <c r="GL180" s="71">
        <f t="shared" ref="GL180" ca="1" si="1510">SUM(GL164:GL179)</f>
        <v>0</v>
      </c>
      <c r="GM180" s="65"/>
      <c r="GN180" s="84"/>
      <c r="GO180" s="71">
        <f t="shared" ref="GO180" ca="1" si="1511">SUM(GO164:GO179)</f>
        <v>0</v>
      </c>
      <c r="GP180" s="65"/>
      <c r="GQ180" s="84"/>
      <c r="GR180" s="71">
        <f t="shared" ref="GR180" ca="1" si="1512">SUM(GR164:GR179)</f>
        <v>0</v>
      </c>
      <c r="GS180" s="65"/>
      <c r="GT180" s="84"/>
      <c r="GU180" s="71">
        <f t="shared" ref="GU180" ca="1" si="1513">SUM(GU164:GU179)</f>
        <v>0</v>
      </c>
      <c r="GV180" s="65"/>
      <c r="GW180" s="84"/>
      <c r="GX180" s="71">
        <f t="shared" ref="GX180" ca="1" si="1514">SUM(GX164:GX179)</f>
        <v>0</v>
      </c>
      <c r="GY180" s="65"/>
      <c r="GZ180" s="84"/>
      <c r="HA180" s="71">
        <f t="shared" ref="HA180" ca="1" si="1515">SUM(HA164:HA179)</f>
        <v>0</v>
      </c>
      <c r="HB180" s="65"/>
      <c r="HC180" s="84"/>
      <c r="HD180" s="71">
        <f t="shared" ref="HD180" ca="1" si="1516">SUM(HD164:HD179)</f>
        <v>0</v>
      </c>
      <c r="HE180" s="65"/>
      <c r="HF180" s="84"/>
      <c r="HG180" s="71">
        <f t="shared" ref="HG180" ca="1" si="1517">SUM(HG164:HG179)</f>
        <v>0</v>
      </c>
      <c r="HH180" s="65"/>
      <c r="HI180" s="84"/>
      <c r="HJ180" s="71">
        <f t="shared" ref="HJ180" ca="1" si="1518">SUM(HJ164:HJ179)</f>
        <v>0</v>
      </c>
      <c r="HK180" s="65"/>
      <c r="HL180" s="84"/>
      <c r="HM180" s="71">
        <f t="shared" ref="HM180" ca="1" si="1519">SUM(HM164:HM179)</f>
        <v>0</v>
      </c>
      <c r="HN180" s="65"/>
      <c r="HO180" s="84"/>
      <c r="HP180" s="71">
        <f t="shared" ref="HP180" ca="1" si="1520">SUM(HP164:HP179)</f>
        <v>0</v>
      </c>
      <c r="HQ180" s="65"/>
      <c r="HR180" s="84"/>
      <c r="HS180" s="71">
        <f t="shared" ref="HS180" ca="1" si="1521">SUM(HS164:HS179)</f>
        <v>0</v>
      </c>
      <c r="HT180" s="65"/>
      <c r="HU180" s="84"/>
      <c r="HV180" s="71">
        <f t="shared" ref="HV180" ca="1" si="1522">SUM(HV164:HV179)</f>
        <v>0</v>
      </c>
      <c r="HW180" s="65"/>
      <c r="HX180" s="84"/>
      <c r="HY180" s="71">
        <f t="shared" ref="HY180" ca="1" si="1523">SUM(HY164:HY179)</f>
        <v>0</v>
      </c>
      <c r="HZ180" s="65"/>
      <c r="IA180" s="84"/>
      <c r="IB180" s="71">
        <f t="shared" ref="IB180" ca="1" si="1524">SUM(IB164:IB179)</f>
        <v>0</v>
      </c>
      <c r="IC180" s="65"/>
      <c r="ID180" s="84"/>
      <c r="IE180" s="71">
        <f t="shared" ref="IE180" ca="1" si="1525">SUM(IE164:IE179)</f>
        <v>0</v>
      </c>
      <c r="IF180" s="65"/>
      <c r="IG180" s="84"/>
      <c r="IH180" s="71">
        <f t="shared" ref="IH180" ca="1" si="1526">SUM(IH164:IH179)</f>
        <v>0</v>
      </c>
      <c r="II180" s="65"/>
      <c r="IJ180" s="84"/>
      <c r="IK180" s="71">
        <f t="shared" ref="IK180" ca="1" si="1527">SUM(IK164:IK179)</f>
        <v>0</v>
      </c>
      <c r="IL180" s="65"/>
      <c r="IM180" s="84"/>
      <c r="IN180" s="71">
        <f t="shared" ref="IN180" ca="1" si="1528">SUM(IN164:IN179)</f>
        <v>0</v>
      </c>
      <c r="IO180" s="65"/>
      <c r="IP180" s="84"/>
      <c r="IQ180" s="71">
        <f t="shared" ref="IQ180" ca="1" si="1529">SUM(IQ164:IQ179)</f>
        <v>0</v>
      </c>
      <c r="IR180" s="65"/>
      <c r="IS180" s="84"/>
      <c r="IT180" s="71">
        <f t="shared" ref="IT180" ca="1" si="1530">SUM(IT164:IT179)</f>
        <v>0</v>
      </c>
      <c r="IU180" s="65"/>
      <c r="IV180" s="84"/>
      <c r="IW180" s="71">
        <f t="shared" ref="IW180" ca="1" si="1531">SUM(IW164:IW179)</f>
        <v>0</v>
      </c>
      <c r="IX180" s="65"/>
      <c r="IY180" s="84"/>
      <c r="IZ180" s="71">
        <f t="shared" ref="IZ180" ca="1" si="1532">SUM(IZ164:IZ179)</f>
        <v>0</v>
      </c>
      <c r="JA180" s="65"/>
      <c r="JB180" s="84"/>
      <c r="JC180" s="71">
        <f t="shared" ref="JC180" ca="1" si="1533">SUM(JC164:JC179)</f>
        <v>0</v>
      </c>
      <c r="JD180" s="65"/>
      <c r="JE180" s="84"/>
      <c r="JF180" s="71">
        <f t="shared" ref="JF180" ca="1" si="1534">SUM(JF164:JF179)</f>
        <v>0</v>
      </c>
      <c r="JG180" s="65"/>
      <c r="JH180" s="84"/>
      <c r="JI180" s="71">
        <f t="shared" ref="JI180" ca="1" si="1535">SUM(JI164:JI179)</f>
        <v>0</v>
      </c>
      <c r="JJ180" s="65"/>
      <c r="JK180" s="84"/>
      <c r="JL180" s="71">
        <f t="shared" ref="JL180" ca="1" si="1536">SUM(JL164:JL179)</f>
        <v>0</v>
      </c>
      <c r="JM180" s="65"/>
      <c r="JN180" s="84"/>
      <c r="JO180" s="71">
        <f t="shared" ref="JO180" ca="1" si="1537">SUM(JO164:JO179)</f>
        <v>0</v>
      </c>
      <c r="JP180" s="65"/>
      <c r="JQ180" s="84"/>
      <c r="JR180" s="71">
        <f t="shared" ref="JR180" ca="1" si="1538">SUM(JR164:JR179)</f>
        <v>0</v>
      </c>
      <c r="JS180" s="65"/>
      <c r="JT180" s="84"/>
      <c r="JU180" s="71">
        <f t="shared" ref="JU180" ca="1" si="1539">SUM(JU164:JU179)</f>
        <v>0</v>
      </c>
      <c r="JV180" s="65"/>
      <c r="JW180" s="84"/>
      <c r="JX180" s="71">
        <f t="shared" ref="JX180" ca="1" si="1540">SUM(JX164:JX179)</f>
        <v>0</v>
      </c>
      <c r="JY180" s="65"/>
      <c r="JZ180" s="84"/>
      <c r="KA180" s="71">
        <f t="shared" ref="KA180" ca="1" si="1541">SUM(KA164:KA179)</f>
        <v>0</v>
      </c>
      <c r="KB180" s="65"/>
      <c r="KC180" s="84"/>
      <c r="KD180" s="71">
        <f t="shared" ref="KD180" ca="1" si="1542">SUM(KD164:KD179)</f>
        <v>0</v>
      </c>
      <c r="KE180" s="65"/>
      <c r="KF180" s="84"/>
      <c r="KG180" s="71">
        <f t="shared" ref="KG180" ca="1" si="1543">SUM(KG164:KG179)</f>
        <v>0</v>
      </c>
      <c r="KH180" s="65"/>
      <c r="KI180" s="84"/>
      <c r="KJ180" s="71">
        <f t="shared" ref="KJ180" ca="1" si="1544">SUM(KJ164:KJ179)</f>
        <v>0</v>
      </c>
      <c r="KK180" s="65"/>
      <c r="KL180" s="84"/>
      <c r="KM180" s="71">
        <f t="shared" ref="KM180" ca="1" si="1545">SUM(KM164:KM179)</f>
        <v>0</v>
      </c>
      <c r="KN180" s="65"/>
      <c r="KO180" s="84"/>
      <c r="KP180" s="71">
        <f t="shared" ref="KP180" ca="1" si="1546">SUM(KP164:KP179)</f>
        <v>0</v>
      </c>
      <c r="KQ180" s="65"/>
      <c r="KR180" s="84"/>
      <c r="KS180" s="71">
        <f t="shared" ref="KS180" ca="1" si="1547">SUM(KS164:KS179)</f>
        <v>0</v>
      </c>
      <c r="KT180" s="65"/>
      <c r="KU180" s="84"/>
      <c r="KV180" s="71">
        <f t="shared" ref="KV180" ca="1" si="1548">SUM(KV164:KV179)</f>
        <v>0</v>
      </c>
      <c r="KW180" s="65"/>
      <c r="KX180" s="84"/>
      <c r="KY180" s="71">
        <f t="shared" ref="KY180" ca="1" si="1549">SUM(KY164:KY179)</f>
        <v>0</v>
      </c>
      <c r="KZ180" s="65"/>
      <c r="LA180" s="84"/>
      <c r="LB180" s="71">
        <f t="shared" ref="LB180" ca="1" si="1550">SUM(LB164:LB179)</f>
        <v>0</v>
      </c>
      <c r="LC180" s="65"/>
      <c r="LD180" s="84"/>
      <c r="LE180" s="71">
        <f t="shared" ref="LE180" ca="1" si="1551">SUM(LE164:LE179)</f>
        <v>0</v>
      </c>
      <c r="LF180" s="65"/>
      <c r="LG180" s="65"/>
    </row>
    <row r="181" spans="1:319">
      <c r="A181" s="25"/>
      <c r="B181" s="25"/>
      <c r="C181" s="25"/>
      <c r="D181" s="25"/>
      <c r="E181" s="25"/>
      <c r="F181" s="407"/>
      <c r="G181" s="407"/>
      <c r="H181" s="446"/>
      <c r="I181" s="50"/>
      <c r="J181" s="94"/>
      <c r="K181" s="113" t="str">
        <f>Idiomas!D139</f>
        <v>QUALIFIED FOR ROUND OF 16</v>
      </c>
      <c r="L181" s="50"/>
      <c r="M181" s="71"/>
      <c r="N181" s="25"/>
      <c r="O181" s="25"/>
      <c r="P181" s="25"/>
      <c r="Q181" s="25"/>
      <c r="R181" s="49"/>
      <c r="S181" s="84"/>
      <c r="T181" s="71"/>
      <c r="U181" s="65"/>
      <c r="V181" s="84"/>
      <c r="W181" s="71"/>
      <c r="X181" s="65"/>
      <c r="Y181" s="84"/>
      <c r="Z181" s="71"/>
      <c r="AA181" s="65"/>
      <c r="AB181" s="84"/>
      <c r="AC181" s="71"/>
      <c r="AD181" s="65"/>
      <c r="AE181" s="84"/>
      <c r="AF181" s="71"/>
      <c r="AG181" s="65"/>
      <c r="AH181" s="84"/>
      <c r="AI181" s="71"/>
      <c r="AJ181" s="65"/>
      <c r="AK181" s="84"/>
      <c r="AL181" s="71"/>
      <c r="AM181" s="65"/>
      <c r="AN181" s="84"/>
      <c r="AO181" s="71"/>
      <c r="AP181" s="65"/>
      <c r="AQ181" s="84"/>
      <c r="AR181" s="71"/>
      <c r="AS181" s="65"/>
      <c r="AT181" s="84"/>
      <c r="AU181" s="71"/>
      <c r="AV181" s="65"/>
      <c r="AW181" s="84"/>
      <c r="AX181" s="71"/>
      <c r="AY181" s="65"/>
      <c r="AZ181" s="84"/>
      <c r="BA181" s="71"/>
      <c r="BB181" s="65"/>
      <c r="BC181" s="84"/>
      <c r="BD181" s="71"/>
      <c r="BE181" s="65"/>
      <c r="BF181" s="84"/>
      <c r="BG181" s="71"/>
      <c r="BH181" s="65"/>
      <c r="BI181" s="84"/>
      <c r="BJ181" s="71"/>
      <c r="BK181" s="65"/>
      <c r="BL181" s="84"/>
      <c r="BM181" s="71"/>
      <c r="BN181" s="65"/>
      <c r="BO181" s="84"/>
      <c r="BP181" s="71"/>
      <c r="BQ181" s="65"/>
      <c r="BR181" s="84"/>
      <c r="BS181" s="71"/>
      <c r="BT181" s="65"/>
      <c r="BU181" s="84"/>
      <c r="BV181" s="71"/>
      <c r="BW181" s="65"/>
      <c r="BX181" s="84"/>
      <c r="BY181" s="71"/>
      <c r="BZ181" s="65"/>
      <c r="CA181" s="84"/>
      <c r="CB181" s="71"/>
      <c r="CC181" s="65"/>
      <c r="CD181" s="84"/>
      <c r="CE181" s="71"/>
      <c r="CF181" s="65"/>
      <c r="CG181" s="84"/>
      <c r="CH181" s="71"/>
      <c r="CI181" s="65"/>
      <c r="CJ181" s="84"/>
      <c r="CK181" s="71"/>
      <c r="CL181" s="65"/>
      <c r="CM181" s="84"/>
      <c r="CN181" s="71"/>
      <c r="CO181" s="65"/>
      <c r="CP181" s="84"/>
      <c r="CQ181" s="71"/>
      <c r="CR181" s="65"/>
      <c r="CS181" s="84"/>
      <c r="CT181" s="71"/>
      <c r="CU181" s="65"/>
      <c r="CV181" s="84"/>
      <c r="CW181" s="71"/>
      <c r="CX181" s="65"/>
      <c r="CY181" s="84"/>
      <c r="CZ181" s="71"/>
      <c r="DA181" s="65"/>
      <c r="DB181" s="84"/>
      <c r="DC181" s="71"/>
      <c r="DD181" s="65"/>
      <c r="DE181" s="84"/>
      <c r="DF181" s="71"/>
      <c r="DG181" s="65"/>
      <c r="DH181" s="84"/>
      <c r="DI181" s="71"/>
      <c r="DJ181" s="65"/>
      <c r="DK181" s="84"/>
      <c r="DL181" s="71"/>
      <c r="DM181" s="65"/>
      <c r="DN181" s="84"/>
      <c r="DO181" s="71"/>
      <c r="DP181" s="65"/>
      <c r="DQ181" s="84"/>
      <c r="DR181" s="71"/>
      <c r="DS181" s="65"/>
      <c r="DT181" s="84"/>
      <c r="DU181" s="71"/>
      <c r="DV181" s="65"/>
      <c r="DW181" s="84"/>
      <c r="DX181" s="71"/>
      <c r="DY181" s="65"/>
      <c r="DZ181" s="84"/>
      <c r="EA181" s="71"/>
      <c r="EB181" s="65"/>
      <c r="EC181" s="84"/>
      <c r="ED181" s="71"/>
      <c r="EE181" s="65"/>
      <c r="EF181" s="84"/>
      <c r="EG181" s="71"/>
      <c r="EH181" s="65"/>
      <c r="EI181" s="84"/>
      <c r="EJ181" s="71"/>
      <c r="EK181" s="65"/>
      <c r="EL181" s="84"/>
      <c r="EM181" s="71"/>
      <c r="EN181" s="65"/>
      <c r="EO181" s="84"/>
      <c r="EP181" s="71"/>
      <c r="EQ181" s="65"/>
      <c r="ER181" s="84"/>
      <c r="ES181" s="71"/>
      <c r="ET181" s="65"/>
      <c r="EU181" s="84"/>
      <c r="EV181" s="71"/>
      <c r="EW181" s="65"/>
      <c r="EX181" s="84"/>
      <c r="EY181" s="71"/>
      <c r="EZ181" s="65"/>
      <c r="FA181" s="84"/>
      <c r="FB181" s="71"/>
      <c r="FC181" s="65"/>
      <c r="FD181" s="84"/>
      <c r="FE181" s="71"/>
      <c r="FF181" s="65"/>
      <c r="FG181" s="84"/>
      <c r="FH181" s="71"/>
      <c r="FI181" s="65"/>
      <c r="FJ181" s="84"/>
      <c r="FK181" s="71"/>
      <c r="FL181" s="65"/>
      <c r="FM181" s="84"/>
      <c r="FN181" s="71"/>
      <c r="FO181" s="65"/>
      <c r="FP181" s="84"/>
      <c r="FQ181" s="71"/>
      <c r="FR181" s="65"/>
      <c r="FS181" s="84"/>
      <c r="FT181" s="71"/>
      <c r="FU181" s="65"/>
      <c r="FV181" s="84"/>
      <c r="FW181" s="71"/>
      <c r="FX181" s="65"/>
      <c r="FY181" s="84"/>
      <c r="FZ181" s="71"/>
      <c r="GA181" s="65"/>
      <c r="GB181" s="84"/>
      <c r="GC181" s="71"/>
      <c r="GD181" s="65"/>
      <c r="GE181" s="84"/>
      <c r="GF181" s="71"/>
      <c r="GG181" s="65"/>
      <c r="GH181" s="84"/>
      <c r="GI181" s="71"/>
      <c r="GJ181" s="65"/>
      <c r="GK181" s="84"/>
      <c r="GL181" s="71"/>
      <c r="GM181" s="65"/>
      <c r="GN181" s="84"/>
      <c r="GO181" s="71"/>
      <c r="GP181" s="65"/>
      <c r="GQ181" s="84"/>
      <c r="GR181" s="71"/>
      <c r="GS181" s="65"/>
      <c r="GT181" s="84"/>
      <c r="GU181" s="71"/>
      <c r="GV181" s="65"/>
      <c r="GW181" s="84"/>
      <c r="GX181" s="71"/>
      <c r="GY181" s="65"/>
      <c r="GZ181" s="84"/>
      <c r="HA181" s="71"/>
      <c r="HB181" s="65"/>
      <c r="HC181" s="84"/>
      <c r="HD181" s="71"/>
      <c r="HE181" s="65"/>
      <c r="HF181" s="84"/>
      <c r="HG181" s="71"/>
      <c r="HH181" s="65"/>
      <c r="HI181" s="84"/>
      <c r="HJ181" s="71"/>
      <c r="HK181" s="65"/>
      <c r="HL181" s="84"/>
      <c r="HM181" s="71"/>
      <c r="HN181" s="65"/>
      <c r="HO181" s="84"/>
      <c r="HP181" s="71"/>
      <c r="HQ181" s="65"/>
      <c r="HR181" s="84"/>
      <c r="HS181" s="71"/>
      <c r="HT181" s="65"/>
      <c r="HU181" s="84"/>
      <c r="HV181" s="71"/>
      <c r="HW181" s="65"/>
      <c r="HX181" s="84"/>
      <c r="HY181" s="71"/>
      <c r="HZ181" s="65"/>
      <c r="IA181" s="84"/>
      <c r="IB181" s="71"/>
      <c r="IC181" s="65"/>
      <c r="ID181" s="84"/>
      <c r="IE181" s="71"/>
      <c r="IF181" s="65"/>
      <c r="IG181" s="84"/>
      <c r="IH181" s="71"/>
      <c r="II181" s="65"/>
      <c r="IJ181" s="84"/>
      <c r="IK181" s="71"/>
      <c r="IL181" s="65"/>
      <c r="IM181" s="84"/>
      <c r="IN181" s="71"/>
      <c r="IO181" s="65"/>
      <c r="IP181" s="84"/>
      <c r="IQ181" s="71"/>
      <c r="IR181" s="65"/>
      <c r="IS181" s="84"/>
      <c r="IT181" s="71"/>
      <c r="IU181" s="65"/>
      <c r="IV181" s="84"/>
      <c r="IW181" s="71"/>
      <c r="IX181" s="65"/>
      <c r="IY181" s="84"/>
      <c r="IZ181" s="71"/>
      <c r="JA181" s="65"/>
      <c r="JB181" s="84"/>
      <c r="JC181" s="71"/>
      <c r="JD181" s="65"/>
      <c r="JE181" s="84"/>
      <c r="JF181" s="71"/>
      <c r="JG181" s="65"/>
      <c r="JH181" s="84"/>
      <c r="JI181" s="71"/>
      <c r="JJ181" s="65"/>
      <c r="JK181" s="84"/>
      <c r="JL181" s="71"/>
      <c r="JM181" s="65"/>
      <c r="JN181" s="84"/>
      <c r="JO181" s="71"/>
      <c r="JP181" s="65"/>
      <c r="JQ181" s="84"/>
      <c r="JR181" s="71"/>
      <c r="JS181" s="65"/>
      <c r="JT181" s="84"/>
      <c r="JU181" s="71"/>
      <c r="JV181" s="65"/>
      <c r="JW181" s="84"/>
      <c r="JX181" s="71"/>
      <c r="JY181" s="65"/>
      <c r="JZ181" s="84"/>
      <c r="KA181" s="71"/>
      <c r="KB181" s="65"/>
      <c r="KC181" s="84"/>
      <c r="KD181" s="71"/>
      <c r="KE181" s="65"/>
      <c r="KF181" s="84"/>
      <c r="KG181" s="71"/>
      <c r="KH181" s="65"/>
      <c r="KI181" s="84"/>
      <c r="KJ181" s="71"/>
      <c r="KK181" s="65"/>
      <c r="KL181" s="84"/>
      <c r="KM181" s="71"/>
      <c r="KN181" s="65"/>
      <c r="KO181" s="84"/>
      <c r="KP181" s="71"/>
      <c r="KQ181" s="65"/>
      <c r="KR181" s="84"/>
      <c r="KS181" s="71"/>
      <c r="KT181" s="65"/>
      <c r="KU181" s="84"/>
      <c r="KV181" s="71"/>
      <c r="KW181" s="65"/>
      <c r="KX181" s="84"/>
      <c r="KY181" s="71"/>
      <c r="KZ181" s="65"/>
      <c r="LA181" s="84"/>
      <c r="LB181" s="71"/>
      <c r="LC181" s="65"/>
      <c r="LD181" s="84"/>
      <c r="LE181" s="71"/>
      <c r="LF181" s="65"/>
      <c r="LG181" s="65"/>
    </row>
    <row r="182" spans="1:319">
      <c r="A182" s="25"/>
      <c r="B182" s="25"/>
      <c r="C182" s="25"/>
      <c r="D182" s="25"/>
      <c r="E182" s="25"/>
      <c r="F182" s="407">
        <f>$D$19</f>
        <v>10</v>
      </c>
      <c r="G182" s="407">
        <f ca="1">VLOOKUP(H182,Equipos!$Q$1:$R$25,2,0)</f>
        <v>20</v>
      </c>
      <c r="H182" s="446" t="str">
        <f>Idiomas!$D$260</f>
        <v>Round of 32</v>
      </c>
      <c r="I182" s="50"/>
      <c r="J182" s="845" t="s">
        <v>88</v>
      </c>
      <c r="K182" s="53" t="str">
        <f>Idiomas!$D$199&amp;"-"&amp;ROWS($L$182:L182)</f>
        <v>8-Finalist-1</v>
      </c>
      <c r="L182" s="53"/>
      <c r="M182" s="55" t="str">
        <f ca="1">WORLDCUP!AA120</f>
        <v>Canada</v>
      </c>
      <c r="N182" s="25"/>
      <c r="O182" s="25"/>
      <c r="P182" s="25"/>
      <c r="Q182" s="25"/>
      <c r="R182" s="110"/>
      <c r="S182" s="76" t="s">
        <v>1278</v>
      </c>
      <c r="T182" s="77">
        <f t="shared" ref="T182:T197" ca="1" si="1552">COUNTIF($M$182:$M$197,S182)*$D$19</f>
        <v>0</v>
      </c>
      <c r="U182" s="64"/>
      <c r="V182" s="76" t="s">
        <v>1842</v>
      </c>
      <c r="W182" s="77">
        <f t="shared" ref="W182:W197" ca="1" si="1553">COUNTIF($M$182:$M$197,V182)*$D$19</f>
        <v>0</v>
      </c>
      <c r="X182" s="64"/>
      <c r="Y182" s="76" t="s">
        <v>1844</v>
      </c>
      <c r="Z182" s="77">
        <f t="shared" ref="Z182:Z197" ca="1" si="1554">COUNTIF($M$182:$M$197,Y182)*$D$19</f>
        <v>0</v>
      </c>
      <c r="AA182" s="64"/>
      <c r="AB182" s="76" t="s">
        <v>1276</v>
      </c>
      <c r="AC182" s="77">
        <f t="shared" ref="AC182:AC197" ca="1" si="1555">COUNTIF($M$182:$M$197,AB182)*$D$19</f>
        <v>10</v>
      </c>
      <c r="AD182" s="64"/>
      <c r="AE182" s="76" t="s">
        <v>1276</v>
      </c>
      <c r="AF182" s="77">
        <f t="shared" ref="AF182:AF197" ca="1" si="1556">COUNTIF($M$182:$M$197,AE182)*$D$19</f>
        <v>10</v>
      </c>
      <c r="AG182" s="64"/>
      <c r="AH182" s="76" t="s">
        <v>1278</v>
      </c>
      <c r="AI182" s="77">
        <f t="shared" ref="AI182:AI197" ca="1" si="1557">COUNTIF($M$182:$M$197,AH182)*$D$19</f>
        <v>0</v>
      </c>
      <c r="AJ182" s="64"/>
      <c r="AK182" s="76" t="s">
        <v>290</v>
      </c>
      <c r="AL182" s="77">
        <f t="shared" ref="AL182:AL197" ca="1" si="1558">COUNTIF($M$182:$M$197,AK182)*$D$19</f>
        <v>10</v>
      </c>
      <c r="AM182" s="64"/>
      <c r="AN182" s="76" t="s">
        <v>1278</v>
      </c>
      <c r="AO182" s="77">
        <f t="shared" ref="AO182:AO197" ca="1" si="1559">COUNTIF($M$182:$M$197,AN182)*$D$19</f>
        <v>0</v>
      </c>
      <c r="AP182" s="64"/>
      <c r="AQ182" s="76" t="s">
        <v>1844</v>
      </c>
      <c r="AR182" s="77">
        <f t="shared" ref="AR182:AR197" ca="1" si="1560">COUNTIF($M$182:$M$197,AQ182)*$D$19</f>
        <v>0</v>
      </c>
      <c r="AS182" s="64"/>
      <c r="AT182" s="76" t="s">
        <v>1288</v>
      </c>
      <c r="AU182" s="77">
        <f t="shared" ref="AU182:AU197" ca="1" si="1561">COUNTIF($M$182:$M$197,AT182)*$D$19</f>
        <v>10</v>
      </c>
      <c r="AV182" s="64"/>
      <c r="AW182" s="76" t="s">
        <v>1844</v>
      </c>
      <c r="AX182" s="77">
        <f t="shared" ref="AX182:AX197" ca="1" si="1562">COUNTIF($M$182:$M$197,AW182)*$D$19</f>
        <v>0</v>
      </c>
      <c r="AY182" s="64"/>
      <c r="AZ182" s="76" t="s">
        <v>1844</v>
      </c>
      <c r="BA182" s="77">
        <f t="shared" ref="BA182:BA197" ca="1" si="1563">COUNTIF($M$182:$M$197,AZ182)*$D$19</f>
        <v>0</v>
      </c>
      <c r="BB182" s="64"/>
      <c r="BC182" s="76" t="s">
        <v>1842</v>
      </c>
      <c r="BD182" s="77">
        <f t="shared" ref="BD182:BD197" ca="1" si="1564">COUNTIF($M$182:$M$197,BC182)*$D$19</f>
        <v>0</v>
      </c>
      <c r="BE182" s="64"/>
      <c r="BF182" s="76" t="s">
        <v>1288</v>
      </c>
      <c r="BG182" s="77">
        <f t="shared" ref="BG182:BG197" ca="1" si="1565">COUNTIF($M$182:$M$197,BF182)*$D$19</f>
        <v>10</v>
      </c>
      <c r="BH182" s="64"/>
      <c r="BI182" s="76" t="s">
        <v>1288</v>
      </c>
      <c r="BJ182" s="77">
        <f t="shared" ref="BJ182:BJ197" ca="1" si="1566">COUNTIF($M$182:$M$197,BI182)*$D$19</f>
        <v>10</v>
      </c>
      <c r="BK182" s="64"/>
      <c r="BL182" s="76" t="s">
        <v>1276</v>
      </c>
      <c r="BM182" s="77">
        <f t="shared" ref="BM182:BM197" ca="1" si="1567">COUNTIF($M$182:$M$197,BL182)*$D$19</f>
        <v>10</v>
      </c>
      <c r="BN182" s="64"/>
      <c r="BO182" s="76" t="s">
        <v>1844</v>
      </c>
      <c r="BP182" s="77">
        <f t="shared" ref="BP182:BP197" ca="1" si="1568">COUNTIF($M$182:$M$197,BO182)*$D$19</f>
        <v>0</v>
      </c>
      <c r="BQ182" s="64"/>
      <c r="BR182" s="76" t="s">
        <v>1288</v>
      </c>
      <c r="BS182" s="77">
        <f t="shared" ref="BS182:BS197" ca="1" si="1569">COUNTIF($M$182:$M$197,BR182)*$D$19</f>
        <v>10</v>
      </c>
      <c r="BT182" s="64"/>
      <c r="BU182" s="76" t="s">
        <v>1844</v>
      </c>
      <c r="BV182" s="77">
        <f t="shared" ref="BV182:BV197" ca="1" si="1570">COUNTIF($M$182:$M$197,BU182)*$D$19</f>
        <v>0</v>
      </c>
      <c r="BW182" s="64"/>
      <c r="BX182" s="76" t="s">
        <v>290</v>
      </c>
      <c r="BY182" s="77">
        <f t="shared" ref="BY182:BY197" ca="1" si="1571">COUNTIF($M$182:$M$197,BX182)*$D$19</f>
        <v>10</v>
      </c>
      <c r="BZ182" s="64"/>
      <c r="CA182" s="76" t="s">
        <v>1635</v>
      </c>
      <c r="CB182" s="77">
        <f t="shared" ref="CB182:CB197" ca="1" si="1572">COUNTIF($M$182:$M$197,CA182)*$D$19</f>
        <v>0</v>
      </c>
      <c r="CC182" s="64"/>
      <c r="CD182" s="76" t="s">
        <v>1288</v>
      </c>
      <c r="CE182" s="77">
        <f t="shared" ref="CE182:CE197" ca="1" si="1573">COUNTIF($M$182:$M$197,CD182)*$D$19</f>
        <v>10</v>
      </c>
      <c r="CF182" s="64"/>
      <c r="CG182" s="76" t="s">
        <v>290</v>
      </c>
      <c r="CH182" s="77">
        <f t="shared" ref="CH182:CH197" ca="1" si="1574">COUNTIF($M$182:$M$197,CG182)*$D$19</f>
        <v>10</v>
      </c>
      <c r="CI182" s="64"/>
      <c r="CJ182" s="76" t="s">
        <v>1276</v>
      </c>
      <c r="CK182" s="77">
        <f t="shared" ref="CK182:CK197" ca="1" si="1575">COUNTIF($M$182:$M$197,CJ182)*$D$19</f>
        <v>10</v>
      </c>
      <c r="CL182" s="64"/>
      <c r="CM182" s="76" t="s">
        <v>1288</v>
      </c>
      <c r="CN182" s="77">
        <f t="shared" ref="CN182:CN197" ca="1" si="1576">COUNTIF($M$182:$M$197,CM182)*$D$19</f>
        <v>10</v>
      </c>
      <c r="CO182" s="64"/>
      <c r="CP182" s="76" t="s">
        <v>1278</v>
      </c>
      <c r="CQ182" s="77">
        <f t="shared" ref="CQ182:CQ197" ca="1" si="1577">COUNTIF($M$182:$M$197,CP182)*$D$19</f>
        <v>0</v>
      </c>
      <c r="CR182" s="64"/>
      <c r="CS182" s="76" t="s">
        <v>1844</v>
      </c>
      <c r="CT182" s="77">
        <f t="shared" ref="CT182:CT197" ca="1" si="1578">COUNTIF($M$182:$M$197,CS182)*$D$19</f>
        <v>0</v>
      </c>
      <c r="CU182" s="64"/>
      <c r="CV182" s="76" t="s">
        <v>1844</v>
      </c>
      <c r="CW182" s="77">
        <f t="shared" ref="CW182:CW197" ca="1" si="1579">COUNTIF($M$182:$M$197,CV182)*$D$19</f>
        <v>0</v>
      </c>
      <c r="CX182" s="64"/>
      <c r="CY182" s="76" t="s">
        <v>1288</v>
      </c>
      <c r="CZ182" s="77">
        <f t="shared" ref="CZ182:CZ197" ca="1" si="1580">COUNTIF($M$182:$M$197,CY182)*$D$19</f>
        <v>10</v>
      </c>
      <c r="DA182" s="64"/>
      <c r="DB182" s="76" t="s">
        <v>1844</v>
      </c>
      <c r="DC182" s="77">
        <f t="shared" ref="DC182:DC197" ca="1" si="1581">COUNTIF($M$182:$M$197,DB182)*$D$19</f>
        <v>0</v>
      </c>
      <c r="DD182" s="64"/>
      <c r="DE182" s="76" t="s">
        <v>1844</v>
      </c>
      <c r="DF182" s="77">
        <f t="shared" ref="DF182:DF197" ca="1" si="1582">COUNTIF($M$182:$M$197,DE182)*$D$19</f>
        <v>0</v>
      </c>
      <c r="DG182" s="64"/>
      <c r="DH182" s="76" t="s">
        <v>290</v>
      </c>
      <c r="DI182" s="77">
        <f t="shared" ref="DI182:DI197" ca="1" si="1583">COUNTIF($M$182:$M$197,DH182)*$D$19</f>
        <v>10</v>
      </c>
      <c r="DJ182" s="64"/>
      <c r="DK182" s="76" t="s">
        <v>1276</v>
      </c>
      <c r="DL182" s="77">
        <f t="shared" ref="DL182:DL197" ca="1" si="1584">COUNTIF($M$182:$M$197,DK182)*$D$19</f>
        <v>10</v>
      </c>
      <c r="DM182" s="64"/>
      <c r="DN182" s="76" t="s">
        <v>1844</v>
      </c>
      <c r="DO182" s="77">
        <f t="shared" ref="DO182:DO197" ca="1" si="1585">COUNTIF($M$182:$M$197,DN182)*$D$19</f>
        <v>0</v>
      </c>
      <c r="DP182" s="64"/>
      <c r="DQ182" s="76" t="s">
        <v>1278</v>
      </c>
      <c r="DR182" s="77">
        <f t="shared" ref="DR182:DR197" ca="1" si="1586">COUNTIF($M$182:$M$197,DQ182)*$D$19</f>
        <v>0</v>
      </c>
      <c r="DS182" s="64"/>
      <c r="DT182" s="76" t="s">
        <v>1844</v>
      </c>
      <c r="DU182" s="77">
        <f t="shared" ref="DU182:DU197" ca="1" si="1587">COUNTIF($M$182:$M$197,DT182)*$D$19</f>
        <v>0</v>
      </c>
      <c r="DV182" s="64"/>
      <c r="DW182" s="76" t="s">
        <v>1276</v>
      </c>
      <c r="DX182" s="77">
        <f t="shared" ref="DX182:DX197" ca="1" si="1588">COUNTIF($M$182:$M$197,DW182)*$D$19</f>
        <v>10</v>
      </c>
      <c r="DY182" s="64"/>
      <c r="DZ182" s="76" t="s">
        <v>1276</v>
      </c>
      <c r="EA182" s="77">
        <f t="shared" ref="EA182:EA197" ca="1" si="1589">COUNTIF($M$182:$M$197,DZ182)*$D$19</f>
        <v>10</v>
      </c>
      <c r="EB182" s="64"/>
      <c r="EC182" s="76" t="s">
        <v>1276</v>
      </c>
      <c r="ED182" s="77">
        <f t="shared" ref="ED182:ED197" ca="1" si="1590">COUNTIF($M$182:$M$197,EC182)*$D$19</f>
        <v>10</v>
      </c>
      <c r="EE182" s="64"/>
      <c r="EF182" s="76" t="s">
        <v>1635</v>
      </c>
      <c r="EG182" s="77">
        <f t="shared" ref="EG182:EG197" ca="1" si="1591">COUNTIF($M$182:$M$197,EF182)*$D$19</f>
        <v>0</v>
      </c>
      <c r="EH182" s="64"/>
      <c r="EI182" s="76" t="s">
        <v>1276</v>
      </c>
      <c r="EJ182" s="77">
        <f t="shared" ref="EJ182:EJ197" ca="1" si="1592">COUNTIF($M$182:$M$197,EI182)*$D$19</f>
        <v>10</v>
      </c>
      <c r="EK182" s="64"/>
      <c r="EL182" s="76" t="s">
        <v>1276</v>
      </c>
      <c r="EM182" s="77">
        <f t="shared" ref="EM182:EM197" ca="1" si="1593">COUNTIF($M$182:$M$197,EL182)*$D$19</f>
        <v>10</v>
      </c>
      <c r="EN182" s="64"/>
      <c r="EO182" s="76" t="s">
        <v>1276</v>
      </c>
      <c r="EP182" s="77">
        <f t="shared" ref="EP182:EP197" ca="1" si="1594">COUNTIF($M$182:$M$197,EO182)*$D$19</f>
        <v>10</v>
      </c>
      <c r="EQ182" s="64"/>
      <c r="ER182" s="76" t="s">
        <v>1276</v>
      </c>
      <c r="ES182" s="77">
        <f t="shared" ref="ES182:ES197" ca="1" si="1595">COUNTIF($M$182:$M$197,ER182)*$D$19</f>
        <v>10</v>
      </c>
      <c r="ET182" s="64"/>
      <c r="EU182" s="76" t="s">
        <v>290</v>
      </c>
      <c r="EV182" s="77">
        <f t="shared" ref="EV182:EV197" ca="1" si="1596">COUNTIF($M$182:$M$197,EU182)*$D$19</f>
        <v>10</v>
      </c>
      <c r="EW182" s="64"/>
      <c r="EX182" s="76" t="s">
        <v>1278</v>
      </c>
      <c r="EY182" s="77">
        <f t="shared" ref="EY182:EY197" ca="1" si="1597">COUNTIF($M$182:$M$197,EX182)*$D$19</f>
        <v>0</v>
      </c>
      <c r="EZ182" s="64"/>
      <c r="FA182" s="76" t="s">
        <v>1844</v>
      </c>
      <c r="FB182" s="77">
        <f t="shared" ref="FB182:FB197" ca="1" si="1598">COUNTIF($M$182:$M$197,FA182)*$D$19</f>
        <v>0</v>
      </c>
      <c r="FC182" s="64"/>
      <c r="FD182" s="76" t="s">
        <v>1278</v>
      </c>
      <c r="FE182" s="77">
        <f t="shared" ref="FE182:FE197" ca="1" si="1599">COUNTIF($M$182:$M$197,FD182)*$D$19</f>
        <v>0</v>
      </c>
      <c r="FF182" s="64"/>
      <c r="FG182" s="76" t="s">
        <v>1288</v>
      </c>
      <c r="FH182" s="77">
        <f t="shared" ref="FH182:FH197" ca="1" si="1600">COUNTIF($M$182:$M$197,FG182)*$D$19</f>
        <v>10</v>
      </c>
      <c r="FI182" s="64"/>
      <c r="FJ182" s="76" t="s">
        <v>1844</v>
      </c>
      <c r="FK182" s="77">
        <f t="shared" ref="FK182:FK197" ca="1" si="1601">COUNTIF($M$182:$M$197,FJ182)*$D$19</f>
        <v>0</v>
      </c>
      <c r="FL182" s="64"/>
      <c r="FM182" s="76" t="s">
        <v>1844</v>
      </c>
      <c r="FN182" s="77">
        <f t="shared" ref="FN182:FN197" ca="1" si="1602">COUNTIF($M$182:$M$197,FM182)*$D$19</f>
        <v>0</v>
      </c>
      <c r="FO182" s="64"/>
      <c r="FP182" s="76" t="s">
        <v>1844</v>
      </c>
      <c r="FQ182" s="77">
        <f t="shared" ref="FQ182:FQ197" ca="1" si="1603">COUNTIF($M$182:$M$197,FP182)*$D$19</f>
        <v>0</v>
      </c>
      <c r="FR182" s="64"/>
      <c r="FS182" s="76" t="s">
        <v>1844</v>
      </c>
      <c r="FT182" s="77">
        <f t="shared" ref="FT182:FT197" ca="1" si="1604">COUNTIF($M$182:$M$197,FS182)*$D$19</f>
        <v>0</v>
      </c>
      <c r="FU182" s="64"/>
      <c r="FV182" s="76" t="s">
        <v>1278</v>
      </c>
      <c r="FW182" s="77">
        <f t="shared" ref="FW182:FW197" ca="1" si="1605">COUNTIF($M$182:$M$197,FV182)*$D$19</f>
        <v>0</v>
      </c>
      <c r="FX182" s="64"/>
      <c r="FY182" s="76" t="s">
        <v>1288</v>
      </c>
      <c r="FZ182" s="77">
        <f t="shared" ref="FZ182:FZ197" ca="1" si="1606">COUNTIF($M$182:$M$197,FY182)*$D$19</f>
        <v>10</v>
      </c>
      <c r="GA182" s="64"/>
      <c r="GB182" s="76" t="s">
        <v>1844</v>
      </c>
      <c r="GC182" s="77">
        <f t="shared" ref="GC182:GC197" ca="1" si="1607">COUNTIF($M$182:$M$197,GB182)*$D$19</f>
        <v>0</v>
      </c>
      <c r="GD182" s="64"/>
      <c r="GE182" s="76" t="s">
        <v>1844</v>
      </c>
      <c r="GF182" s="77">
        <f t="shared" ref="GF182:GF197" ca="1" si="1608">COUNTIF($M$182:$M$197,GE182)*$D$19</f>
        <v>0</v>
      </c>
      <c r="GG182" s="64"/>
      <c r="GH182" s="76" t="s">
        <v>1276</v>
      </c>
      <c r="GI182" s="77">
        <f t="shared" ref="GI182:GI197" ca="1" si="1609">COUNTIF($M$182:$M$197,GH182)*$D$19</f>
        <v>10</v>
      </c>
      <c r="GJ182" s="64"/>
      <c r="GK182" s="76" t="s">
        <v>1288</v>
      </c>
      <c r="GL182" s="77">
        <f t="shared" ref="GL182:GL197" ca="1" si="1610">COUNTIF($M$182:$M$197,GK182)*$D$19</f>
        <v>10</v>
      </c>
      <c r="GM182" s="64"/>
      <c r="GN182" s="76"/>
      <c r="GO182" s="77">
        <f t="shared" ref="GO182:GO197" ca="1" si="1611">COUNTIF($M$182:$M$197,GN182)*$D$19</f>
        <v>0</v>
      </c>
      <c r="GP182" s="64"/>
      <c r="GQ182" s="76"/>
      <c r="GR182" s="77">
        <f t="shared" ref="GR182:GR197" ca="1" si="1612">COUNTIF($M$182:$M$197,GQ182)*$D$19</f>
        <v>0</v>
      </c>
      <c r="GS182" s="64"/>
      <c r="GT182" s="76"/>
      <c r="GU182" s="77">
        <f t="shared" ref="GU182:GU197" ca="1" si="1613">COUNTIF($M$182:$M$197,GT182)*$D$19</f>
        <v>0</v>
      </c>
      <c r="GV182" s="64"/>
      <c r="GW182" s="76"/>
      <c r="GX182" s="77">
        <f t="shared" ref="GX182:GX197" ca="1" si="1614">COUNTIF($M$182:$M$197,GW182)*$D$19</f>
        <v>0</v>
      </c>
      <c r="GY182" s="64"/>
      <c r="GZ182" s="76"/>
      <c r="HA182" s="77">
        <f t="shared" ref="HA182:HA197" ca="1" si="1615">COUNTIF($M$182:$M$197,GZ182)*$D$19</f>
        <v>0</v>
      </c>
      <c r="HB182" s="64"/>
      <c r="HC182" s="76"/>
      <c r="HD182" s="77">
        <f t="shared" ref="HD182:HD197" ca="1" si="1616">COUNTIF($M$182:$M$197,HC182)*$D$19</f>
        <v>0</v>
      </c>
      <c r="HE182" s="64"/>
      <c r="HF182" s="76"/>
      <c r="HG182" s="77">
        <f t="shared" ref="HG182:HG197" ca="1" si="1617">COUNTIF($M$182:$M$197,HF182)*$D$19</f>
        <v>0</v>
      </c>
      <c r="HH182" s="64"/>
      <c r="HI182" s="76"/>
      <c r="HJ182" s="77">
        <f t="shared" ref="HJ182:HJ197" ca="1" si="1618">COUNTIF($M$182:$M$197,HI182)*$D$19</f>
        <v>0</v>
      </c>
      <c r="HK182" s="64"/>
      <c r="HL182" s="76"/>
      <c r="HM182" s="77">
        <f t="shared" ref="HM182:HM197" ca="1" si="1619">COUNTIF($M$182:$M$197,HL182)*$D$19</f>
        <v>0</v>
      </c>
      <c r="HN182" s="64"/>
      <c r="HO182" s="76"/>
      <c r="HP182" s="77">
        <f t="shared" ref="HP182:HP197" ca="1" si="1620">COUNTIF($M$182:$M$197,HO182)*$D$19</f>
        <v>0</v>
      </c>
      <c r="HQ182" s="64"/>
      <c r="HR182" s="76"/>
      <c r="HS182" s="77">
        <f t="shared" ref="HS182:HS197" ca="1" si="1621">COUNTIF($M$182:$M$197,HR182)*$D$19</f>
        <v>0</v>
      </c>
      <c r="HT182" s="64"/>
      <c r="HU182" s="76"/>
      <c r="HV182" s="77">
        <f t="shared" ref="HV182:HV197" ca="1" si="1622">COUNTIF($M$182:$M$197,HU182)*$D$19</f>
        <v>0</v>
      </c>
      <c r="HW182" s="64"/>
      <c r="HX182" s="76"/>
      <c r="HY182" s="77">
        <f t="shared" ref="HY182:HY197" ca="1" si="1623">COUNTIF($M$182:$M$197,HX182)*$D$19</f>
        <v>0</v>
      </c>
      <c r="HZ182" s="64"/>
      <c r="IA182" s="76"/>
      <c r="IB182" s="77">
        <f t="shared" ref="IB182:IB197" ca="1" si="1624">COUNTIF($M$182:$M$197,IA182)*$D$19</f>
        <v>0</v>
      </c>
      <c r="IC182" s="64"/>
      <c r="ID182" s="76"/>
      <c r="IE182" s="77">
        <f t="shared" ref="IE182:IE197" ca="1" si="1625">COUNTIF($M$182:$M$197,ID182)*$D$19</f>
        <v>0</v>
      </c>
      <c r="IF182" s="64"/>
      <c r="IG182" s="76"/>
      <c r="IH182" s="77">
        <f t="shared" ref="IH182:IH197" ca="1" si="1626">COUNTIF($M$182:$M$197,IG182)*$D$19</f>
        <v>0</v>
      </c>
      <c r="II182" s="64"/>
      <c r="IJ182" s="76"/>
      <c r="IK182" s="77">
        <f t="shared" ref="IK182:IK197" ca="1" si="1627">COUNTIF($M$182:$M$197,IJ182)*$D$19</f>
        <v>0</v>
      </c>
      <c r="IL182" s="64"/>
      <c r="IM182" s="76"/>
      <c r="IN182" s="77">
        <f t="shared" ref="IN182:IN197" ca="1" si="1628">COUNTIF($M$182:$M$197,IM182)*$D$19</f>
        <v>0</v>
      </c>
      <c r="IO182" s="64"/>
      <c r="IP182" s="76"/>
      <c r="IQ182" s="77">
        <f t="shared" ref="IQ182:IQ197" ca="1" si="1629">COUNTIF($M$182:$M$197,IP182)*$D$19</f>
        <v>0</v>
      </c>
      <c r="IR182" s="64"/>
      <c r="IS182" s="76"/>
      <c r="IT182" s="77">
        <f t="shared" ref="IT182:IT197" ca="1" si="1630">COUNTIF($M$182:$M$197,IS182)*$D$19</f>
        <v>0</v>
      </c>
      <c r="IU182" s="64"/>
      <c r="IV182" s="76"/>
      <c r="IW182" s="77">
        <f t="shared" ref="IW182:IW197" ca="1" si="1631">COUNTIF($M$182:$M$197,IV182)*$D$19</f>
        <v>0</v>
      </c>
      <c r="IX182" s="64"/>
      <c r="IY182" s="76"/>
      <c r="IZ182" s="77">
        <f t="shared" ref="IZ182:IZ197" ca="1" si="1632">COUNTIF($M$182:$M$197,IY182)*$D$19</f>
        <v>0</v>
      </c>
      <c r="JA182" s="64"/>
      <c r="JB182" s="76"/>
      <c r="JC182" s="77">
        <f t="shared" ref="JC182:JC197" ca="1" si="1633">COUNTIF($M$182:$M$197,JB182)*$D$19</f>
        <v>0</v>
      </c>
      <c r="JD182" s="64"/>
      <c r="JE182" s="76"/>
      <c r="JF182" s="77">
        <f t="shared" ref="JF182:JF197" ca="1" si="1634">COUNTIF($M$182:$M$197,JE182)*$D$19</f>
        <v>0</v>
      </c>
      <c r="JG182" s="64"/>
      <c r="JH182" s="76"/>
      <c r="JI182" s="77">
        <f t="shared" ref="JI182:JI197" ca="1" si="1635">COUNTIF($M$182:$M$197,JH182)*$D$19</f>
        <v>0</v>
      </c>
      <c r="JJ182" s="64"/>
      <c r="JK182" s="76"/>
      <c r="JL182" s="77">
        <f t="shared" ref="JL182:JL197" ca="1" si="1636">COUNTIF($M$182:$M$197,JK182)*$D$19</f>
        <v>0</v>
      </c>
      <c r="JM182" s="64"/>
      <c r="JN182" s="76"/>
      <c r="JO182" s="77">
        <f t="shared" ref="JO182:JO197" ca="1" si="1637">COUNTIF($M$182:$M$197,JN182)*$D$19</f>
        <v>0</v>
      </c>
      <c r="JP182" s="64"/>
      <c r="JQ182" s="76"/>
      <c r="JR182" s="77">
        <f t="shared" ref="JR182:JR197" ca="1" si="1638">COUNTIF($M$182:$M$197,JQ182)*$D$19</f>
        <v>0</v>
      </c>
      <c r="JS182" s="64"/>
      <c r="JT182" s="76"/>
      <c r="JU182" s="77">
        <f t="shared" ref="JU182:JU197" ca="1" si="1639">COUNTIF($M$182:$M$197,JT182)*$D$19</f>
        <v>0</v>
      </c>
      <c r="JV182" s="64"/>
      <c r="JW182" s="76"/>
      <c r="JX182" s="77">
        <f t="shared" ref="JX182:JX197" ca="1" si="1640">COUNTIF($M$182:$M$197,JW182)*$D$19</f>
        <v>0</v>
      </c>
      <c r="JY182" s="64"/>
      <c r="JZ182" s="76"/>
      <c r="KA182" s="77">
        <f t="shared" ref="KA182:KA197" ca="1" si="1641">COUNTIF($M$182:$M$197,JZ182)*$D$19</f>
        <v>0</v>
      </c>
      <c r="KB182" s="64"/>
      <c r="KC182" s="76"/>
      <c r="KD182" s="77">
        <f t="shared" ref="KD182:KD197" ca="1" si="1642">COUNTIF($M$182:$M$197,KC182)*$D$19</f>
        <v>0</v>
      </c>
      <c r="KE182" s="64"/>
      <c r="KF182" s="76"/>
      <c r="KG182" s="77">
        <f t="shared" ref="KG182:KG197" ca="1" si="1643">COUNTIF($M$182:$M$197,KF182)*$D$19</f>
        <v>0</v>
      </c>
      <c r="KH182" s="64"/>
      <c r="KI182" s="76"/>
      <c r="KJ182" s="77">
        <f t="shared" ref="KJ182:KJ197" ca="1" si="1644">COUNTIF($M$182:$M$197,KI182)*$D$19</f>
        <v>0</v>
      </c>
      <c r="KK182" s="64"/>
      <c r="KL182" s="76"/>
      <c r="KM182" s="77">
        <f t="shared" ref="KM182:KM197" ca="1" si="1645">COUNTIF($M$182:$M$197,KL182)*$D$19</f>
        <v>0</v>
      </c>
      <c r="KN182" s="64"/>
      <c r="KO182" s="76"/>
      <c r="KP182" s="77">
        <f t="shared" ref="KP182:KP197" ca="1" si="1646">COUNTIF($M$182:$M$197,KO182)*$D$19</f>
        <v>0</v>
      </c>
      <c r="KQ182" s="64"/>
      <c r="KR182" s="76"/>
      <c r="KS182" s="77">
        <f t="shared" ref="KS182:KS197" ca="1" si="1647">COUNTIF($M$182:$M$197,KR182)*$D$19</f>
        <v>0</v>
      </c>
      <c r="KT182" s="64"/>
      <c r="KU182" s="76"/>
      <c r="KV182" s="77">
        <f t="shared" ref="KV182:KV197" ca="1" si="1648">COUNTIF($M$182:$M$197,KU182)*$D$19</f>
        <v>0</v>
      </c>
      <c r="KW182" s="64"/>
      <c r="KX182" s="76"/>
      <c r="KY182" s="77">
        <f t="shared" ref="KY182:KY197" ca="1" si="1649">COUNTIF($M$182:$M$197,KX182)*$D$19</f>
        <v>0</v>
      </c>
      <c r="KZ182" s="64"/>
      <c r="LA182" s="76"/>
      <c r="LB182" s="77">
        <f t="shared" ref="LB182:LB197" ca="1" si="1650">COUNTIF($M$182:$M$197,LA182)*$D$19</f>
        <v>0</v>
      </c>
      <c r="LC182" s="64"/>
      <c r="LD182" s="76"/>
      <c r="LE182" s="77">
        <f t="shared" ref="LE182:LE197" ca="1" si="1651">COUNTIF($M$182:$M$197,LD182)*$D$19</f>
        <v>0</v>
      </c>
      <c r="LF182" s="64"/>
      <c r="LG182" s="64"/>
    </row>
    <row r="183" spans="1:319">
      <c r="A183" s="25"/>
      <c r="B183" s="25"/>
      <c r="C183" s="25"/>
      <c r="D183" s="25"/>
      <c r="E183" s="25"/>
      <c r="F183" s="407">
        <f t="shared" ref="F183:F197" si="1652">$D$19</f>
        <v>10</v>
      </c>
      <c r="G183" s="407">
        <f ca="1">VLOOKUP(H183,Equipos!$Q$1:$R$25,2,0)</f>
        <v>20</v>
      </c>
      <c r="H183" s="446" t="str">
        <f>Idiomas!$D$260</f>
        <v>Round of 32</v>
      </c>
      <c r="I183" s="50"/>
      <c r="J183" s="845"/>
      <c r="K183" s="56" t="str">
        <f>Idiomas!$D$199&amp;"-"&amp;ROWS($L$182:L183)</f>
        <v>8-Finalist-2</v>
      </c>
      <c r="L183" s="53"/>
      <c r="M183" s="55" t="str">
        <f ca="1">WORLDCUP!AA121</f>
        <v>Paraguay</v>
      </c>
      <c r="N183" s="25"/>
      <c r="O183" s="25"/>
      <c r="P183" s="25"/>
      <c r="Q183" s="25"/>
      <c r="R183" s="110"/>
      <c r="S183" s="74" t="s">
        <v>297</v>
      </c>
      <c r="T183" s="73">
        <f t="shared" ca="1" si="1552"/>
        <v>0</v>
      </c>
      <c r="U183" s="64"/>
      <c r="V183" s="74" t="s">
        <v>297</v>
      </c>
      <c r="W183" s="73">
        <f t="shared" ca="1" si="1553"/>
        <v>0</v>
      </c>
      <c r="X183" s="64"/>
      <c r="Y183" s="74" t="s">
        <v>297</v>
      </c>
      <c r="Z183" s="73">
        <f t="shared" ca="1" si="1554"/>
        <v>0</v>
      </c>
      <c r="AA183" s="64"/>
      <c r="AB183" s="74" t="s">
        <v>297</v>
      </c>
      <c r="AC183" s="73">
        <f t="shared" ca="1" si="1555"/>
        <v>0</v>
      </c>
      <c r="AD183" s="64"/>
      <c r="AE183" s="74" t="s">
        <v>297</v>
      </c>
      <c r="AF183" s="73">
        <f t="shared" ca="1" si="1556"/>
        <v>0</v>
      </c>
      <c r="AG183" s="64"/>
      <c r="AH183" s="74" t="s">
        <v>297</v>
      </c>
      <c r="AI183" s="73">
        <f t="shared" ca="1" si="1557"/>
        <v>0</v>
      </c>
      <c r="AJ183" s="64"/>
      <c r="AK183" s="74" t="s">
        <v>297</v>
      </c>
      <c r="AL183" s="73">
        <f t="shared" ca="1" si="1558"/>
        <v>0</v>
      </c>
      <c r="AM183" s="64"/>
      <c r="AN183" s="74" t="s">
        <v>1836</v>
      </c>
      <c r="AO183" s="73">
        <f t="shared" ca="1" si="1559"/>
        <v>0</v>
      </c>
      <c r="AP183" s="64"/>
      <c r="AQ183" s="74" t="s">
        <v>297</v>
      </c>
      <c r="AR183" s="73">
        <f t="shared" ca="1" si="1560"/>
        <v>0</v>
      </c>
      <c r="AS183" s="64"/>
      <c r="AT183" s="74" t="s">
        <v>297</v>
      </c>
      <c r="AU183" s="73">
        <f t="shared" ca="1" si="1561"/>
        <v>0</v>
      </c>
      <c r="AV183" s="64"/>
      <c r="AW183" s="74" t="s">
        <v>297</v>
      </c>
      <c r="AX183" s="73">
        <f t="shared" ca="1" si="1562"/>
        <v>0</v>
      </c>
      <c r="AY183" s="64"/>
      <c r="AZ183" s="74" t="s">
        <v>297</v>
      </c>
      <c r="BA183" s="73">
        <f t="shared" ca="1" si="1563"/>
        <v>0</v>
      </c>
      <c r="BB183" s="64"/>
      <c r="BC183" s="74" t="s">
        <v>297</v>
      </c>
      <c r="BD183" s="73">
        <f t="shared" ca="1" si="1564"/>
        <v>0</v>
      </c>
      <c r="BE183" s="64"/>
      <c r="BF183" s="74" t="s">
        <v>297</v>
      </c>
      <c r="BG183" s="73">
        <f t="shared" ca="1" si="1565"/>
        <v>0</v>
      </c>
      <c r="BH183" s="64"/>
      <c r="BI183" s="74" t="s">
        <v>297</v>
      </c>
      <c r="BJ183" s="73">
        <f t="shared" ca="1" si="1566"/>
        <v>0</v>
      </c>
      <c r="BK183" s="64"/>
      <c r="BL183" s="74" t="s">
        <v>297</v>
      </c>
      <c r="BM183" s="73">
        <f t="shared" ca="1" si="1567"/>
        <v>0</v>
      </c>
      <c r="BN183" s="64"/>
      <c r="BO183" s="74" t="s">
        <v>297</v>
      </c>
      <c r="BP183" s="73">
        <f t="shared" ca="1" si="1568"/>
        <v>0</v>
      </c>
      <c r="BQ183" s="64"/>
      <c r="BR183" s="74" t="s">
        <v>297</v>
      </c>
      <c r="BS183" s="73">
        <f t="shared" ca="1" si="1569"/>
        <v>0</v>
      </c>
      <c r="BT183" s="64"/>
      <c r="BU183" s="74" t="s">
        <v>297</v>
      </c>
      <c r="BV183" s="73">
        <f t="shared" ca="1" si="1570"/>
        <v>0</v>
      </c>
      <c r="BW183" s="64"/>
      <c r="BX183" s="74" t="s">
        <v>297</v>
      </c>
      <c r="BY183" s="73">
        <f t="shared" ca="1" si="1571"/>
        <v>0</v>
      </c>
      <c r="BZ183" s="64"/>
      <c r="CA183" s="74" t="s">
        <v>297</v>
      </c>
      <c r="CB183" s="73">
        <f t="shared" ca="1" si="1572"/>
        <v>0</v>
      </c>
      <c r="CC183" s="64"/>
      <c r="CD183" s="74" t="s">
        <v>297</v>
      </c>
      <c r="CE183" s="73">
        <f t="shared" ca="1" si="1573"/>
        <v>0</v>
      </c>
      <c r="CF183" s="64"/>
      <c r="CG183" s="74" t="s">
        <v>297</v>
      </c>
      <c r="CH183" s="73">
        <f t="shared" ca="1" si="1574"/>
        <v>0</v>
      </c>
      <c r="CI183" s="64"/>
      <c r="CJ183" s="74" t="s">
        <v>1261</v>
      </c>
      <c r="CK183" s="73">
        <f t="shared" ca="1" si="1575"/>
        <v>0</v>
      </c>
      <c r="CL183" s="64"/>
      <c r="CM183" s="74" t="s">
        <v>297</v>
      </c>
      <c r="CN183" s="73">
        <f t="shared" ca="1" si="1576"/>
        <v>0</v>
      </c>
      <c r="CO183" s="64"/>
      <c r="CP183" s="74" t="s">
        <v>297</v>
      </c>
      <c r="CQ183" s="73">
        <f t="shared" ca="1" si="1577"/>
        <v>0</v>
      </c>
      <c r="CR183" s="64"/>
      <c r="CS183" s="74" t="s">
        <v>297</v>
      </c>
      <c r="CT183" s="73">
        <f t="shared" ca="1" si="1578"/>
        <v>0</v>
      </c>
      <c r="CU183" s="64"/>
      <c r="CV183" s="74" t="s">
        <v>297</v>
      </c>
      <c r="CW183" s="73">
        <f t="shared" ca="1" si="1579"/>
        <v>0</v>
      </c>
      <c r="CX183" s="64"/>
      <c r="CY183" s="74" t="s">
        <v>1261</v>
      </c>
      <c r="CZ183" s="73">
        <f t="shared" ca="1" si="1580"/>
        <v>0</v>
      </c>
      <c r="DA183" s="64"/>
      <c r="DB183" s="74" t="s">
        <v>297</v>
      </c>
      <c r="DC183" s="73">
        <f t="shared" ca="1" si="1581"/>
        <v>0</v>
      </c>
      <c r="DD183" s="64"/>
      <c r="DE183" s="74" t="s">
        <v>297</v>
      </c>
      <c r="DF183" s="73">
        <f t="shared" ca="1" si="1582"/>
        <v>0</v>
      </c>
      <c r="DG183" s="64"/>
      <c r="DH183" s="74" t="s">
        <v>297</v>
      </c>
      <c r="DI183" s="73">
        <f t="shared" ca="1" si="1583"/>
        <v>0</v>
      </c>
      <c r="DJ183" s="64"/>
      <c r="DK183" s="74" t="s">
        <v>297</v>
      </c>
      <c r="DL183" s="73">
        <f t="shared" ca="1" si="1584"/>
        <v>0</v>
      </c>
      <c r="DM183" s="64"/>
      <c r="DN183" s="74" t="s">
        <v>297</v>
      </c>
      <c r="DO183" s="73">
        <f t="shared" ca="1" si="1585"/>
        <v>0</v>
      </c>
      <c r="DP183" s="64"/>
      <c r="DQ183" s="74" t="s">
        <v>297</v>
      </c>
      <c r="DR183" s="73">
        <f t="shared" ca="1" si="1586"/>
        <v>0</v>
      </c>
      <c r="DS183" s="64"/>
      <c r="DT183" s="74" t="s">
        <v>297</v>
      </c>
      <c r="DU183" s="73">
        <f t="shared" ca="1" si="1587"/>
        <v>0</v>
      </c>
      <c r="DV183" s="64"/>
      <c r="DW183" s="74" t="s">
        <v>297</v>
      </c>
      <c r="DX183" s="73">
        <f t="shared" ca="1" si="1588"/>
        <v>0</v>
      </c>
      <c r="DY183" s="64"/>
      <c r="DZ183" s="74" t="s">
        <v>297</v>
      </c>
      <c r="EA183" s="73">
        <f t="shared" ca="1" si="1589"/>
        <v>0</v>
      </c>
      <c r="EB183" s="64"/>
      <c r="EC183" s="74" t="s">
        <v>297</v>
      </c>
      <c r="ED183" s="73">
        <f t="shared" ca="1" si="1590"/>
        <v>0</v>
      </c>
      <c r="EE183" s="64"/>
      <c r="EF183" s="74" t="s">
        <v>297</v>
      </c>
      <c r="EG183" s="73">
        <f t="shared" ca="1" si="1591"/>
        <v>0</v>
      </c>
      <c r="EH183" s="64"/>
      <c r="EI183" s="74" t="s">
        <v>297</v>
      </c>
      <c r="EJ183" s="73">
        <f t="shared" ca="1" si="1592"/>
        <v>0</v>
      </c>
      <c r="EK183" s="64"/>
      <c r="EL183" s="74" t="s">
        <v>297</v>
      </c>
      <c r="EM183" s="73">
        <f t="shared" ca="1" si="1593"/>
        <v>0</v>
      </c>
      <c r="EN183" s="64"/>
      <c r="EO183" s="74" t="s">
        <v>297</v>
      </c>
      <c r="EP183" s="73">
        <f t="shared" ca="1" si="1594"/>
        <v>0</v>
      </c>
      <c r="EQ183" s="64"/>
      <c r="ER183" s="74" t="s">
        <v>297</v>
      </c>
      <c r="ES183" s="73">
        <f t="shared" ca="1" si="1595"/>
        <v>0</v>
      </c>
      <c r="ET183" s="64"/>
      <c r="EU183" s="74" t="s">
        <v>297</v>
      </c>
      <c r="EV183" s="73">
        <f t="shared" ca="1" si="1596"/>
        <v>0</v>
      </c>
      <c r="EW183" s="64"/>
      <c r="EX183" s="74" t="s">
        <v>297</v>
      </c>
      <c r="EY183" s="73">
        <f t="shared" ca="1" si="1597"/>
        <v>0</v>
      </c>
      <c r="EZ183" s="64"/>
      <c r="FA183" s="74" t="s">
        <v>297</v>
      </c>
      <c r="FB183" s="73">
        <f t="shared" ca="1" si="1598"/>
        <v>0</v>
      </c>
      <c r="FC183" s="64"/>
      <c r="FD183" s="74" t="s">
        <v>1326</v>
      </c>
      <c r="FE183" s="73">
        <f t="shared" ca="1" si="1599"/>
        <v>10</v>
      </c>
      <c r="FF183" s="64"/>
      <c r="FG183" s="74" t="s">
        <v>1641</v>
      </c>
      <c r="FH183" s="73">
        <f t="shared" ca="1" si="1600"/>
        <v>0</v>
      </c>
      <c r="FI183" s="64"/>
      <c r="FJ183" s="74" t="s">
        <v>297</v>
      </c>
      <c r="FK183" s="73">
        <f t="shared" ca="1" si="1601"/>
        <v>0</v>
      </c>
      <c r="FL183" s="64"/>
      <c r="FM183" s="74" t="s">
        <v>297</v>
      </c>
      <c r="FN183" s="73">
        <f t="shared" ca="1" si="1602"/>
        <v>0</v>
      </c>
      <c r="FO183" s="64"/>
      <c r="FP183" s="74" t="s">
        <v>297</v>
      </c>
      <c r="FQ183" s="73">
        <f t="shared" ca="1" si="1603"/>
        <v>0</v>
      </c>
      <c r="FR183" s="64"/>
      <c r="FS183" s="74" t="s">
        <v>297</v>
      </c>
      <c r="FT183" s="73">
        <f t="shared" ca="1" si="1604"/>
        <v>0</v>
      </c>
      <c r="FU183" s="64"/>
      <c r="FV183" s="74" t="s">
        <v>297</v>
      </c>
      <c r="FW183" s="73">
        <f t="shared" ca="1" si="1605"/>
        <v>0</v>
      </c>
      <c r="FX183" s="64"/>
      <c r="FY183" s="74" t="s">
        <v>297</v>
      </c>
      <c r="FZ183" s="73">
        <f t="shared" ca="1" si="1606"/>
        <v>0</v>
      </c>
      <c r="GA183" s="64"/>
      <c r="GB183" s="74" t="s">
        <v>297</v>
      </c>
      <c r="GC183" s="73">
        <f t="shared" ca="1" si="1607"/>
        <v>0</v>
      </c>
      <c r="GD183" s="64"/>
      <c r="GE183" s="74" t="s">
        <v>297</v>
      </c>
      <c r="GF183" s="73">
        <f t="shared" ca="1" si="1608"/>
        <v>0</v>
      </c>
      <c r="GG183" s="64"/>
      <c r="GH183" s="74" t="s">
        <v>297</v>
      </c>
      <c r="GI183" s="73">
        <f t="shared" ca="1" si="1609"/>
        <v>0</v>
      </c>
      <c r="GJ183" s="64"/>
      <c r="GK183" s="74" t="s">
        <v>297</v>
      </c>
      <c r="GL183" s="73">
        <f t="shared" ca="1" si="1610"/>
        <v>0</v>
      </c>
      <c r="GM183" s="64"/>
      <c r="GN183" s="74"/>
      <c r="GO183" s="73">
        <f t="shared" ca="1" si="1611"/>
        <v>0</v>
      </c>
      <c r="GP183" s="64"/>
      <c r="GQ183" s="74"/>
      <c r="GR183" s="73">
        <f t="shared" ca="1" si="1612"/>
        <v>0</v>
      </c>
      <c r="GS183" s="64"/>
      <c r="GT183" s="74"/>
      <c r="GU183" s="73">
        <f t="shared" ca="1" si="1613"/>
        <v>0</v>
      </c>
      <c r="GV183" s="64"/>
      <c r="GW183" s="74"/>
      <c r="GX183" s="73">
        <f t="shared" ca="1" si="1614"/>
        <v>0</v>
      </c>
      <c r="GY183" s="64"/>
      <c r="GZ183" s="74"/>
      <c r="HA183" s="73">
        <f t="shared" ca="1" si="1615"/>
        <v>0</v>
      </c>
      <c r="HB183" s="64"/>
      <c r="HC183" s="74"/>
      <c r="HD183" s="73">
        <f t="shared" ca="1" si="1616"/>
        <v>0</v>
      </c>
      <c r="HE183" s="64"/>
      <c r="HF183" s="74"/>
      <c r="HG183" s="73">
        <f t="shared" ca="1" si="1617"/>
        <v>0</v>
      </c>
      <c r="HH183" s="64"/>
      <c r="HI183" s="74"/>
      <c r="HJ183" s="73">
        <f t="shared" ca="1" si="1618"/>
        <v>0</v>
      </c>
      <c r="HK183" s="64"/>
      <c r="HL183" s="74"/>
      <c r="HM183" s="73">
        <f t="shared" ca="1" si="1619"/>
        <v>0</v>
      </c>
      <c r="HN183" s="64"/>
      <c r="HO183" s="74"/>
      <c r="HP183" s="73">
        <f t="shared" ca="1" si="1620"/>
        <v>0</v>
      </c>
      <c r="HQ183" s="64"/>
      <c r="HR183" s="74"/>
      <c r="HS183" s="73">
        <f t="shared" ca="1" si="1621"/>
        <v>0</v>
      </c>
      <c r="HT183" s="64"/>
      <c r="HU183" s="74"/>
      <c r="HV183" s="73">
        <f t="shared" ca="1" si="1622"/>
        <v>0</v>
      </c>
      <c r="HW183" s="64"/>
      <c r="HX183" s="74"/>
      <c r="HY183" s="73">
        <f t="shared" ca="1" si="1623"/>
        <v>0</v>
      </c>
      <c r="HZ183" s="64"/>
      <c r="IA183" s="74"/>
      <c r="IB183" s="73">
        <f t="shared" ca="1" si="1624"/>
        <v>0</v>
      </c>
      <c r="IC183" s="64"/>
      <c r="ID183" s="74"/>
      <c r="IE183" s="73">
        <f t="shared" ca="1" si="1625"/>
        <v>0</v>
      </c>
      <c r="IF183" s="64"/>
      <c r="IG183" s="74"/>
      <c r="IH183" s="73">
        <f t="shared" ca="1" si="1626"/>
        <v>0</v>
      </c>
      <c r="II183" s="64"/>
      <c r="IJ183" s="74"/>
      <c r="IK183" s="73">
        <f t="shared" ca="1" si="1627"/>
        <v>0</v>
      </c>
      <c r="IL183" s="64"/>
      <c r="IM183" s="74"/>
      <c r="IN183" s="73">
        <f t="shared" ca="1" si="1628"/>
        <v>0</v>
      </c>
      <c r="IO183" s="64"/>
      <c r="IP183" s="74"/>
      <c r="IQ183" s="73">
        <f t="shared" ca="1" si="1629"/>
        <v>0</v>
      </c>
      <c r="IR183" s="64"/>
      <c r="IS183" s="74"/>
      <c r="IT183" s="73">
        <f t="shared" ca="1" si="1630"/>
        <v>0</v>
      </c>
      <c r="IU183" s="64"/>
      <c r="IV183" s="74"/>
      <c r="IW183" s="73">
        <f t="shared" ca="1" si="1631"/>
        <v>0</v>
      </c>
      <c r="IX183" s="64"/>
      <c r="IY183" s="74"/>
      <c r="IZ183" s="73">
        <f t="shared" ca="1" si="1632"/>
        <v>0</v>
      </c>
      <c r="JA183" s="64"/>
      <c r="JB183" s="74"/>
      <c r="JC183" s="73">
        <f t="shared" ca="1" si="1633"/>
        <v>0</v>
      </c>
      <c r="JD183" s="64"/>
      <c r="JE183" s="74"/>
      <c r="JF183" s="73">
        <f t="shared" ca="1" si="1634"/>
        <v>0</v>
      </c>
      <c r="JG183" s="64"/>
      <c r="JH183" s="74"/>
      <c r="JI183" s="73">
        <f t="shared" ca="1" si="1635"/>
        <v>0</v>
      </c>
      <c r="JJ183" s="64"/>
      <c r="JK183" s="74"/>
      <c r="JL183" s="73">
        <f t="shared" ca="1" si="1636"/>
        <v>0</v>
      </c>
      <c r="JM183" s="64"/>
      <c r="JN183" s="74"/>
      <c r="JO183" s="73">
        <f t="shared" ca="1" si="1637"/>
        <v>0</v>
      </c>
      <c r="JP183" s="64"/>
      <c r="JQ183" s="74"/>
      <c r="JR183" s="73">
        <f t="shared" ca="1" si="1638"/>
        <v>0</v>
      </c>
      <c r="JS183" s="64"/>
      <c r="JT183" s="74"/>
      <c r="JU183" s="73">
        <f t="shared" ca="1" si="1639"/>
        <v>0</v>
      </c>
      <c r="JV183" s="64"/>
      <c r="JW183" s="74"/>
      <c r="JX183" s="73">
        <f t="shared" ca="1" si="1640"/>
        <v>0</v>
      </c>
      <c r="JY183" s="64"/>
      <c r="JZ183" s="74"/>
      <c r="KA183" s="73">
        <f t="shared" ca="1" si="1641"/>
        <v>0</v>
      </c>
      <c r="KB183" s="64"/>
      <c r="KC183" s="74"/>
      <c r="KD183" s="73">
        <f t="shared" ca="1" si="1642"/>
        <v>0</v>
      </c>
      <c r="KE183" s="64"/>
      <c r="KF183" s="74"/>
      <c r="KG183" s="73">
        <f t="shared" ca="1" si="1643"/>
        <v>0</v>
      </c>
      <c r="KH183" s="64"/>
      <c r="KI183" s="74"/>
      <c r="KJ183" s="73">
        <f t="shared" ca="1" si="1644"/>
        <v>0</v>
      </c>
      <c r="KK183" s="64"/>
      <c r="KL183" s="74"/>
      <c r="KM183" s="73">
        <f t="shared" ca="1" si="1645"/>
        <v>0</v>
      </c>
      <c r="KN183" s="64"/>
      <c r="KO183" s="74"/>
      <c r="KP183" s="73">
        <f t="shared" ca="1" si="1646"/>
        <v>0</v>
      </c>
      <c r="KQ183" s="64"/>
      <c r="KR183" s="74"/>
      <c r="KS183" s="73">
        <f t="shared" ca="1" si="1647"/>
        <v>0</v>
      </c>
      <c r="KT183" s="64"/>
      <c r="KU183" s="74"/>
      <c r="KV183" s="73">
        <f t="shared" ca="1" si="1648"/>
        <v>0</v>
      </c>
      <c r="KW183" s="64"/>
      <c r="KX183" s="74"/>
      <c r="KY183" s="73">
        <f t="shared" ca="1" si="1649"/>
        <v>0</v>
      </c>
      <c r="KZ183" s="64"/>
      <c r="LA183" s="74"/>
      <c r="LB183" s="73">
        <f t="shared" ca="1" si="1650"/>
        <v>0</v>
      </c>
      <c r="LC183" s="64"/>
      <c r="LD183" s="74"/>
      <c r="LE183" s="73">
        <f t="shared" ca="1" si="1651"/>
        <v>0</v>
      </c>
      <c r="LF183" s="64"/>
      <c r="LG183" s="64"/>
    </row>
    <row r="184" spans="1:319">
      <c r="A184" s="25"/>
      <c r="B184" s="25"/>
      <c r="C184" s="25"/>
      <c r="D184" s="25"/>
      <c r="E184" s="25"/>
      <c r="F184" s="407">
        <f t="shared" si="1652"/>
        <v>10</v>
      </c>
      <c r="G184" s="407">
        <f ca="1">VLOOKUP(H184,Equipos!$Q$1:$R$25,2,0)</f>
        <v>20</v>
      </c>
      <c r="H184" s="446" t="str">
        <f>Idiomas!$D$260</f>
        <v>Round of 32</v>
      </c>
      <c r="I184" s="50"/>
      <c r="J184" s="845"/>
      <c r="K184" s="56" t="str">
        <f>Idiomas!$D$199&amp;"-"&amp;ROWS($L$182:L184)</f>
        <v>8-Finalist-3</v>
      </c>
      <c r="L184" s="53"/>
      <c r="M184" s="55" t="str">
        <f ca="1">WORLDCUP!AA122</f>
        <v>Brazil</v>
      </c>
      <c r="N184" s="25"/>
      <c r="O184" s="25"/>
      <c r="P184" s="25"/>
      <c r="Q184" s="25"/>
      <c r="R184" s="110"/>
      <c r="S184" s="74" t="s">
        <v>1274</v>
      </c>
      <c r="T184" s="73">
        <f t="shared" ca="1" si="1552"/>
        <v>10</v>
      </c>
      <c r="U184" s="64"/>
      <c r="V184" s="74" t="s">
        <v>1274</v>
      </c>
      <c r="W184" s="73">
        <f t="shared" ca="1" si="1553"/>
        <v>10</v>
      </c>
      <c r="X184" s="64"/>
      <c r="Y184" s="74" t="s">
        <v>1274</v>
      </c>
      <c r="Z184" s="73">
        <f t="shared" ca="1" si="1554"/>
        <v>10</v>
      </c>
      <c r="AA184" s="64"/>
      <c r="AB184" s="74" t="s">
        <v>1274</v>
      </c>
      <c r="AC184" s="73">
        <f t="shared" ca="1" si="1555"/>
        <v>10</v>
      </c>
      <c r="AD184" s="64"/>
      <c r="AE184" s="74" t="s">
        <v>1274</v>
      </c>
      <c r="AF184" s="73">
        <f t="shared" ca="1" si="1556"/>
        <v>10</v>
      </c>
      <c r="AG184" s="64"/>
      <c r="AH184" s="74" t="s">
        <v>1274</v>
      </c>
      <c r="AI184" s="73">
        <f t="shared" ca="1" si="1557"/>
        <v>10</v>
      </c>
      <c r="AJ184" s="64"/>
      <c r="AK184" s="74" t="s">
        <v>1274</v>
      </c>
      <c r="AL184" s="73">
        <f t="shared" ca="1" si="1558"/>
        <v>10</v>
      </c>
      <c r="AM184" s="64"/>
      <c r="AN184" s="74" t="s">
        <v>1274</v>
      </c>
      <c r="AO184" s="73">
        <f t="shared" ca="1" si="1559"/>
        <v>10</v>
      </c>
      <c r="AP184" s="64"/>
      <c r="AQ184" s="74" t="s">
        <v>1274</v>
      </c>
      <c r="AR184" s="73">
        <f t="shared" ca="1" si="1560"/>
        <v>10</v>
      </c>
      <c r="AS184" s="64"/>
      <c r="AT184" s="74" t="s">
        <v>1274</v>
      </c>
      <c r="AU184" s="73">
        <f t="shared" ca="1" si="1561"/>
        <v>10</v>
      </c>
      <c r="AV184" s="64"/>
      <c r="AW184" s="74" t="s">
        <v>1274</v>
      </c>
      <c r="AX184" s="73">
        <f t="shared" ca="1" si="1562"/>
        <v>10</v>
      </c>
      <c r="AY184" s="64"/>
      <c r="AZ184" s="74" t="s">
        <v>1274</v>
      </c>
      <c r="BA184" s="73">
        <f t="shared" ca="1" si="1563"/>
        <v>10</v>
      </c>
      <c r="BB184" s="64"/>
      <c r="BC184" s="74" t="s">
        <v>291</v>
      </c>
      <c r="BD184" s="73">
        <f t="shared" ca="1" si="1564"/>
        <v>0</v>
      </c>
      <c r="BE184" s="64"/>
      <c r="BF184" s="74" t="s">
        <v>1274</v>
      </c>
      <c r="BG184" s="73">
        <f t="shared" ca="1" si="1565"/>
        <v>10</v>
      </c>
      <c r="BH184" s="64"/>
      <c r="BI184" s="74" t="s">
        <v>1274</v>
      </c>
      <c r="BJ184" s="73">
        <f t="shared" ca="1" si="1566"/>
        <v>10</v>
      </c>
      <c r="BK184" s="64"/>
      <c r="BL184" s="74" t="s">
        <v>1274</v>
      </c>
      <c r="BM184" s="73">
        <f t="shared" ca="1" si="1567"/>
        <v>10</v>
      </c>
      <c r="BN184" s="64"/>
      <c r="BO184" s="74" t="s">
        <v>1274</v>
      </c>
      <c r="BP184" s="73">
        <f t="shared" ca="1" si="1568"/>
        <v>10</v>
      </c>
      <c r="BQ184" s="64"/>
      <c r="BR184" s="74" t="s">
        <v>1274</v>
      </c>
      <c r="BS184" s="73">
        <f t="shared" ca="1" si="1569"/>
        <v>10</v>
      </c>
      <c r="BT184" s="64"/>
      <c r="BU184" s="74" t="s">
        <v>1274</v>
      </c>
      <c r="BV184" s="73">
        <f t="shared" ca="1" si="1570"/>
        <v>10</v>
      </c>
      <c r="BW184" s="64"/>
      <c r="BX184" s="74" t="s">
        <v>1274</v>
      </c>
      <c r="BY184" s="73">
        <f t="shared" ca="1" si="1571"/>
        <v>10</v>
      </c>
      <c r="BZ184" s="64"/>
      <c r="CA184" s="74" t="s">
        <v>1274</v>
      </c>
      <c r="CB184" s="73">
        <f t="shared" ca="1" si="1572"/>
        <v>10</v>
      </c>
      <c r="CC184" s="64"/>
      <c r="CD184" s="74" t="s">
        <v>1274</v>
      </c>
      <c r="CE184" s="73">
        <f t="shared" ca="1" si="1573"/>
        <v>10</v>
      </c>
      <c r="CF184" s="64"/>
      <c r="CG184" s="74" t="s">
        <v>1274</v>
      </c>
      <c r="CH184" s="73">
        <f t="shared" ca="1" si="1574"/>
        <v>10</v>
      </c>
      <c r="CI184" s="64"/>
      <c r="CJ184" s="74" t="s">
        <v>1274</v>
      </c>
      <c r="CK184" s="73">
        <f t="shared" ca="1" si="1575"/>
        <v>10</v>
      </c>
      <c r="CL184" s="64"/>
      <c r="CM184" s="74" t="s">
        <v>1284</v>
      </c>
      <c r="CN184" s="73">
        <f t="shared" ca="1" si="1576"/>
        <v>0</v>
      </c>
      <c r="CO184" s="64"/>
      <c r="CP184" s="74" t="s">
        <v>1274</v>
      </c>
      <c r="CQ184" s="73">
        <f t="shared" ca="1" si="1577"/>
        <v>10</v>
      </c>
      <c r="CR184" s="64"/>
      <c r="CS184" s="74" t="s">
        <v>1274</v>
      </c>
      <c r="CT184" s="73">
        <f t="shared" ca="1" si="1578"/>
        <v>10</v>
      </c>
      <c r="CU184" s="64"/>
      <c r="CV184" s="74" t="s">
        <v>1274</v>
      </c>
      <c r="CW184" s="73">
        <f t="shared" ca="1" si="1579"/>
        <v>10</v>
      </c>
      <c r="CX184" s="64"/>
      <c r="CY184" s="74" t="s">
        <v>1284</v>
      </c>
      <c r="CZ184" s="73">
        <f t="shared" ca="1" si="1580"/>
        <v>0</v>
      </c>
      <c r="DA184" s="64"/>
      <c r="DB184" s="74" t="s">
        <v>1274</v>
      </c>
      <c r="DC184" s="73">
        <f t="shared" ca="1" si="1581"/>
        <v>10</v>
      </c>
      <c r="DD184" s="64"/>
      <c r="DE184" s="74" t="s">
        <v>1274</v>
      </c>
      <c r="DF184" s="73">
        <f t="shared" ca="1" si="1582"/>
        <v>10</v>
      </c>
      <c r="DG184" s="64"/>
      <c r="DH184" s="74" t="s">
        <v>1274</v>
      </c>
      <c r="DI184" s="73">
        <f t="shared" ca="1" si="1583"/>
        <v>10</v>
      </c>
      <c r="DJ184" s="64"/>
      <c r="DK184" s="74" t="s">
        <v>1274</v>
      </c>
      <c r="DL184" s="73">
        <f t="shared" ca="1" si="1584"/>
        <v>10</v>
      </c>
      <c r="DM184" s="64"/>
      <c r="DN184" s="74" t="s">
        <v>1274</v>
      </c>
      <c r="DO184" s="73">
        <f t="shared" ca="1" si="1585"/>
        <v>10</v>
      </c>
      <c r="DP184" s="64"/>
      <c r="DQ184" s="74" t="s">
        <v>1326</v>
      </c>
      <c r="DR184" s="73">
        <f t="shared" ca="1" si="1586"/>
        <v>10</v>
      </c>
      <c r="DS184" s="64"/>
      <c r="DT184" s="74" t="s">
        <v>1274</v>
      </c>
      <c r="DU184" s="73">
        <f t="shared" ca="1" si="1587"/>
        <v>10</v>
      </c>
      <c r="DV184" s="64"/>
      <c r="DW184" s="74" t="s">
        <v>1326</v>
      </c>
      <c r="DX184" s="73">
        <f t="shared" ca="1" si="1588"/>
        <v>10</v>
      </c>
      <c r="DY184" s="64"/>
      <c r="DZ184" s="74" t="s">
        <v>1274</v>
      </c>
      <c r="EA184" s="73">
        <f t="shared" ca="1" si="1589"/>
        <v>10</v>
      </c>
      <c r="EB184" s="64"/>
      <c r="EC184" s="74" t="s">
        <v>1274</v>
      </c>
      <c r="ED184" s="73">
        <f t="shared" ca="1" si="1590"/>
        <v>10</v>
      </c>
      <c r="EE184" s="64"/>
      <c r="EF184" s="74" t="s">
        <v>1274</v>
      </c>
      <c r="EG184" s="73">
        <f t="shared" ca="1" si="1591"/>
        <v>10</v>
      </c>
      <c r="EH184" s="64"/>
      <c r="EI184" s="74" t="s">
        <v>1274</v>
      </c>
      <c r="EJ184" s="73">
        <f t="shared" ca="1" si="1592"/>
        <v>10</v>
      </c>
      <c r="EK184" s="64"/>
      <c r="EL184" s="74" t="s">
        <v>1274</v>
      </c>
      <c r="EM184" s="73">
        <f t="shared" ca="1" si="1593"/>
        <v>10</v>
      </c>
      <c r="EN184" s="64"/>
      <c r="EO184" s="74" t="s">
        <v>1274</v>
      </c>
      <c r="EP184" s="73">
        <f t="shared" ca="1" si="1594"/>
        <v>10</v>
      </c>
      <c r="EQ184" s="64"/>
      <c r="ER184" s="74" t="s">
        <v>1274</v>
      </c>
      <c r="ES184" s="73">
        <f t="shared" ca="1" si="1595"/>
        <v>10</v>
      </c>
      <c r="ET184" s="64"/>
      <c r="EU184" s="74" t="s">
        <v>291</v>
      </c>
      <c r="EV184" s="73">
        <f t="shared" ca="1" si="1596"/>
        <v>0</v>
      </c>
      <c r="EW184" s="64"/>
      <c r="EX184" s="74" t="s">
        <v>1274</v>
      </c>
      <c r="EY184" s="73">
        <f t="shared" ca="1" si="1597"/>
        <v>10</v>
      </c>
      <c r="EZ184" s="64"/>
      <c r="FA184" s="74" t="s">
        <v>1274</v>
      </c>
      <c r="FB184" s="73">
        <f t="shared" ca="1" si="1598"/>
        <v>10</v>
      </c>
      <c r="FC184" s="64"/>
      <c r="FD184" s="74" t="s">
        <v>1274</v>
      </c>
      <c r="FE184" s="73">
        <f t="shared" ca="1" si="1599"/>
        <v>10</v>
      </c>
      <c r="FF184" s="64"/>
      <c r="FG184" s="74" t="s">
        <v>1274</v>
      </c>
      <c r="FH184" s="73">
        <f t="shared" ca="1" si="1600"/>
        <v>10</v>
      </c>
      <c r="FI184" s="64"/>
      <c r="FJ184" s="74" t="s">
        <v>1274</v>
      </c>
      <c r="FK184" s="73">
        <f t="shared" ca="1" si="1601"/>
        <v>10</v>
      </c>
      <c r="FL184" s="64"/>
      <c r="FM184" s="74" t="s">
        <v>1274</v>
      </c>
      <c r="FN184" s="73">
        <f t="shared" ca="1" si="1602"/>
        <v>10</v>
      </c>
      <c r="FO184" s="64"/>
      <c r="FP184" s="74" t="s">
        <v>1274</v>
      </c>
      <c r="FQ184" s="73">
        <f t="shared" ca="1" si="1603"/>
        <v>10</v>
      </c>
      <c r="FR184" s="64"/>
      <c r="FS184" s="74" t="s">
        <v>1274</v>
      </c>
      <c r="FT184" s="73">
        <f t="shared" ca="1" si="1604"/>
        <v>10</v>
      </c>
      <c r="FU184" s="64"/>
      <c r="FV184" s="74" t="s">
        <v>1274</v>
      </c>
      <c r="FW184" s="73">
        <f t="shared" ca="1" si="1605"/>
        <v>10</v>
      </c>
      <c r="FX184" s="64"/>
      <c r="FY184" s="74" t="s">
        <v>1274</v>
      </c>
      <c r="FZ184" s="73">
        <f t="shared" ca="1" si="1606"/>
        <v>10</v>
      </c>
      <c r="GA184" s="64"/>
      <c r="GB184" s="74" t="s">
        <v>1274</v>
      </c>
      <c r="GC184" s="73">
        <f t="shared" ca="1" si="1607"/>
        <v>10</v>
      </c>
      <c r="GD184" s="64"/>
      <c r="GE184" s="74" t="s">
        <v>1274</v>
      </c>
      <c r="GF184" s="73">
        <f t="shared" ca="1" si="1608"/>
        <v>10</v>
      </c>
      <c r="GG184" s="64"/>
      <c r="GH184" s="74" t="s">
        <v>1274</v>
      </c>
      <c r="GI184" s="73">
        <f t="shared" ca="1" si="1609"/>
        <v>10</v>
      </c>
      <c r="GJ184" s="64"/>
      <c r="GK184" s="74" t="s">
        <v>1274</v>
      </c>
      <c r="GL184" s="73">
        <f t="shared" ca="1" si="1610"/>
        <v>10</v>
      </c>
      <c r="GM184" s="64"/>
      <c r="GN184" s="74"/>
      <c r="GO184" s="73">
        <f t="shared" ca="1" si="1611"/>
        <v>0</v>
      </c>
      <c r="GP184" s="64"/>
      <c r="GQ184" s="74"/>
      <c r="GR184" s="73">
        <f t="shared" ca="1" si="1612"/>
        <v>0</v>
      </c>
      <c r="GS184" s="64"/>
      <c r="GT184" s="74"/>
      <c r="GU184" s="73">
        <f t="shared" ca="1" si="1613"/>
        <v>0</v>
      </c>
      <c r="GV184" s="64"/>
      <c r="GW184" s="74"/>
      <c r="GX184" s="73">
        <f t="shared" ca="1" si="1614"/>
        <v>0</v>
      </c>
      <c r="GY184" s="64"/>
      <c r="GZ184" s="74"/>
      <c r="HA184" s="73">
        <f t="shared" ca="1" si="1615"/>
        <v>0</v>
      </c>
      <c r="HB184" s="64"/>
      <c r="HC184" s="74"/>
      <c r="HD184" s="73">
        <f t="shared" ca="1" si="1616"/>
        <v>0</v>
      </c>
      <c r="HE184" s="64"/>
      <c r="HF184" s="74"/>
      <c r="HG184" s="73">
        <f t="shared" ca="1" si="1617"/>
        <v>0</v>
      </c>
      <c r="HH184" s="64"/>
      <c r="HI184" s="74"/>
      <c r="HJ184" s="73">
        <f t="shared" ca="1" si="1618"/>
        <v>0</v>
      </c>
      <c r="HK184" s="64"/>
      <c r="HL184" s="74"/>
      <c r="HM184" s="73">
        <f t="shared" ca="1" si="1619"/>
        <v>0</v>
      </c>
      <c r="HN184" s="64"/>
      <c r="HO184" s="74"/>
      <c r="HP184" s="73">
        <f t="shared" ca="1" si="1620"/>
        <v>0</v>
      </c>
      <c r="HQ184" s="64"/>
      <c r="HR184" s="74"/>
      <c r="HS184" s="73">
        <f t="shared" ca="1" si="1621"/>
        <v>0</v>
      </c>
      <c r="HT184" s="64"/>
      <c r="HU184" s="74"/>
      <c r="HV184" s="73">
        <f t="shared" ca="1" si="1622"/>
        <v>0</v>
      </c>
      <c r="HW184" s="64"/>
      <c r="HX184" s="74"/>
      <c r="HY184" s="73">
        <f t="shared" ca="1" si="1623"/>
        <v>0</v>
      </c>
      <c r="HZ184" s="64"/>
      <c r="IA184" s="74"/>
      <c r="IB184" s="73">
        <f t="shared" ca="1" si="1624"/>
        <v>0</v>
      </c>
      <c r="IC184" s="64"/>
      <c r="ID184" s="74"/>
      <c r="IE184" s="73">
        <f t="shared" ca="1" si="1625"/>
        <v>0</v>
      </c>
      <c r="IF184" s="64"/>
      <c r="IG184" s="74"/>
      <c r="IH184" s="73">
        <f t="shared" ca="1" si="1626"/>
        <v>0</v>
      </c>
      <c r="II184" s="64"/>
      <c r="IJ184" s="74"/>
      <c r="IK184" s="73">
        <f t="shared" ca="1" si="1627"/>
        <v>0</v>
      </c>
      <c r="IL184" s="64"/>
      <c r="IM184" s="74"/>
      <c r="IN184" s="73">
        <f t="shared" ca="1" si="1628"/>
        <v>0</v>
      </c>
      <c r="IO184" s="64"/>
      <c r="IP184" s="74"/>
      <c r="IQ184" s="73">
        <f t="shared" ca="1" si="1629"/>
        <v>0</v>
      </c>
      <c r="IR184" s="64"/>
      <c r="IS184" s="74"/>
      <c r="IT184" s="73">
        <f t="shared" ca="1" si="1630"/>
        <v>0</v>
      </c>
      <c r="IU184" s="64"/>
      <c r="IV184" s="74"/>
      <c r="IW184" s="73">
        <f t="shared" ca="1" si="1631"/>
        <v>0</v>
      </c>
      <c r="IX184" s="64"/>
      <c r="IY184" s="74"/>
      <c r="IZ184" s="73">
        <f t="shared" ca="1" si="1632"/>
        <v>0</v>
      </c>
      <c r="JA184" s="64"/>
      <c r="JB184" s="74"/>
      <c r="JC184" s="73">
        <f t="shared" ca="1" si="1633"/>
        <v>0</v>
      </c>
      <c r="JD184" s="64"/>
      <c r="JE184" s="74"/>
      <c r="JF184" s="73">
        <f t="shared" ca="1" si="1634"/>
        <v>0</v>
      </c>
      <c r="JG184" s="64"/>
      <c r="JH184" s="74"/>
      <c r="JI184" s="73">
        <f t="shared" ca="1" si="1635"/>
        <v>0</v>
      </c>
      <c r="JJ184" s="64"/>
      <c r="JK184" s="74"/>
      <c r="JL184" s="73">
        <f t="shared" ca="1" si="1636"/>
        <v>0</v>
      </c>
      <c r="JM184" s="64"/>
      <c r="JN184" s="74"/>
      <c r="JO184" s="73">
        <f t="shared" ca="1" si="1637"/>
        <v>0</v>
      </c>
      <c r="JP184" s="64"/>
      <c r="JQ184" s="74"/>
      <c r="JR184" s="73">
        <f t="shared" ca="1" si="1638"/>
        <v>0</v>
      </c>
      <c r="JS184" s="64"/>
      <c r="JT184" s="74"/>
      <c r="JU184" s="73">
        <f t="shared" ca="1" si="1639"/>
        <v>0</v>
      </c>
      <c r="JV184" s="64"/>
      <c r="JW184" s="74"/>
      <c r="JX184" s="73">
        <f t="shared" ca="1" si="1640"/>
        <v>0</v>
      </c>
      <c r="JY184" s="64"/>
      <c r="JZ184" s="74"/>
      <c r="KA184" s="73">
        <f t="shared" ca="1" si="1641"/>
        <v>0</v>
      </c>
      <c r="KB184" s="64"/>
      <c r="KC184" s="74"/>
      <c r="KD184" s="73">
        <f t="shared" ca="1" si="1642"/>
        <v>0</v>
      </c>
      <c r="KE184" s="64"/>
      <c r="KF184" s="74"/>
      <c r="KG184" s="73">
        <f t="shared" ca="1" si="1643"/>
        <v>0</v>
      </c>
      <c r="KH184" s="64"/>
      <c r="KI184" s="74"/>
      <c r="KJ184" s="73">
        <f t="shared" ca="1" si="1644"/>
        <v>0</v>
      </c>
      <c r="KK184" s="64"/>
      <c r="KL184" s="74"/>
      <c r="KM184" s="73">
        <f t="shared" ca="1" si="1645"/>
        <v>0</v>
      </c>
      <c r="KN184" s="64"/>
      <c r="KO184" s="74"/>
      <c r="KP184" s="73">
        <f t="shared" ca="1" si="1646"/>
        <v>0</v>
      </c>
      <c r="KQ184" s="64"/>
      <c r="KR184" s="74"/>
      <c r="KS184" s="73">
        <f t="shared" ca="1" si="1647"/>
        <v>0</v>
      </c>
      <c r="KT184" s="64"/>
      <c r="KU184" s="74"/>
      <c r="KV184" s="73">
        <f t="shared" ca="1" si="1648"/>
        <v>0</v>
      </c>
      <c r="KW184" s="64"/>
      <c r="KX184" s="74"/>
      <c r="KY184" s="73">
        <f t="shared" ca="1" si="1649"/>
        <v>0</v>
      </c>
      <c r="KZ184" s="64"/>
      <c r="LA184" s="74"/>
      <c r="LB184" s="73">
        <f t="shared" ca="1" si="1650"/>
        <v>0</v>
      </c>
      <c r="LC184" s="64"/>
      <c r="LD184" s="74"/>
      <c r="LE184" s="73">
        <f t="shared" ca="1" si="1651"/>
        <v>0</v>
      </c>
      <c r="LF184" s="64"/>
      <c r="LG184" s="64"/>
    </row>
    <row r="185" spans="1:319">
      <c r="A185" s="25"/>
      <c r="B185" s="25"/>
      <c r="C185" s="25"/>
      <c r="D185" s="25"/>
      <c r="E185" s="25"/>
      <c r="F185" s="407">
        <f t="shared" si="1652"/>
        <v>10</v>
      </c>
      <c r="G185" s="407">
        <f ca="1">VLOOKUP(H185,Equipos!$Q$1:$R$25,2,0)</f>
        <v>20</v>
      </c>
      <c r="H185" s="446" t="str">
        <f>Idiomas!$D$260</f>
        <v>Round of 32</v>
      </c>
      <c r="I185" s="50"/>
      <c r="J185" s="845"/>
      <c r="K185" s="56" t="str">
        <f>Idiomas!$D$199&amp;"-"&amp;ROWS($L$182:L185)</f>
        <v>8-Finalist-4</v>
      </c>
      <c r="L185" s="53"/>
      <c r="M185" s="55" t="str">
        <f ca="1">WORLDCUP!AA123</f>
        <v>Mexico</v>
      </c>
      <c r="N185" s="25"/>
      <c r="O185" s="25"/>
      <c r="P185" s="25"/>
      <c r="Q185" s="25"/>
      <c r="R185" s="110"/>
      <c r="S185" s="74" t="s">
        <v>1288</v>
      </c>
      <c r="T185" s="73">
        <f t="shared" ca="1" si="1552"/>
        <v>10</v>
      </c>
      <c r="U185" s="64"/>
      <c r="V185" s="74" t="s">
        <v>1288</v>
      </c>
      <c r="W185" s="73">
        <f t="shared" ca="1" si="1553"/>
        <v>10</v>
      </c>
      <c r="X185" s="64"/>
      <c r="Y185" s="74" t="s">
        <v>1288</v>
      </c>
      <c r="Z185" s="73">
        <f t="shared" ca="1" si="1554"/>
        <v>10</v>
      </c>
      <c r="AA185" s="64"/>
      <c r="AB185" s="74" t="s">
        <v>1641</v>
      </c>
      <c r="AC185" s="73">
        <f t="shared" ca="1" si="1555"/>
        <v>0</v>
      </c>
      <c r="AD185" s="64"/>
      <c r="AE185" s="74" t="s">
        <v>1288</v>
      </c>
      <c r="AF185" s="73">
        <f t="shared" ca="1" si="1556"/>
        <v>10</v>
      </c>
      <c r="AG185" s="64"/>
      <c r="AH185" s="74" t="s">
        <v>1288</v>
      </c>
      <c r="AI185" s="73">
        <f t="shared" ca="1" si="1557"/>
        <v>10</v>
      </c>
      <c r="AJ185" s="64"/>
      <c r="AK185" s="74" t="s">
        <v>1278</v>
      </c>
      <c r="AL185" s="73">
        <f t="shared" ca="1" si="1558"/>
        <v>0</v>
      </c>
      <c r="AM185" s="64"/>
      <c r="AN185" s="74" t="s">
        <v>1288</v>
      </c>
      <c r="AO185" s="73">
        <f t="shared" ca="1" si="1559"/>
        <v>10</v>
      </c>
      <c r="AP185" s="64"/>
      <c r="AQ185" s="74" t="s">
        <v>1288</v>
      </c>
      <c r="AR185" s="73">
        <f t="shared" ca="1" si="1560"/>
        <v>10</v>
      </c>
      <c r="AS185" s="64"/>
      <c r="AT185" s="74" t="s">
        <v>1844</v>
      </c>
      <c r="AU185" s="73">
        <f t="shared" ca="1" si="1561"/>
        <v>0</v>
      </c>
      <c r="AV185" s="64"/>
      <c r="AW185" s="74" t="s">
        <v>1288</v>
      </c>
      <c r="AX185" s="73">
        <f t="shared" ca="1" si="1562"/>
        <v>10</v>
      </c>
      <c r="AY185" s="64"/>
      <c r="AZ185" s="74" t="s">
        <v>1288</v>
      </c>
      <c r="BA185" s="73">
        <f t="shared" ca="1" si="1563"/>
        <v>10</v>
      </c>
      <c r="BB185" s="64"/>
      <c r="BC185" s="74" t="s">
        <v>1288</v>
      </c>
      <c r="BD185" s="73">
        <f t="shared" ca="1" si="1564"/>
        <v>10</v>
      </c>
      <c r="BE185" s="64"/>
      <c r="BF185" s="74" t="s">
        <v>1844</v>
      </c>
      <c r="BG185" s="73">
        <f t="shared" ca="1" si="1565"/>
        <v>0</v>
      </c>
      <c r="BH185" s="64"/>
      <c r="BI185" s="74" t="s">
        <v>1278</v>
      </c>
      <c r="BJ185" s="73">
        <f t="shared" ca="1" si="1566"/>
        <v>0</v>
      </c>
      <c r="BK185" s="64"/>
      <c r="BL185" s="74" t="s">
        <v>1641</v>
      </c>
      <c r="BM185" s="73">
        <f t="shared" ca="1" si="1567"/>
        <v>0</v>
      </c>
      <c r="BN185" s="64"/>
      <c r="BO185" s="74" t="s">
        <v>1288</v>
      </c>
      <c r="BP185" s="73">
        <f t="shared" ca="1" si="1568"/>
        <v>10</v>
      </c>
      <c r="BQ185" s="64"/>
      <c r="BR185" s="74" t="s">
        <v>1844</v>
      </c>
      <c r="BS185" s="73">
        <f t="shared" ca="1" si="1569"/>
        <v>0</v>
      </c>
      <c r="BT185" s="64"/>
      <c r="BU185" s="74" t="s">
        <v>1288</v>
      </c>
      <c r="BV185" s="73">
        <f t="shared" ca="1" si="1570"/>
        <v>10</v>
      </c>
      <c r="BW185" s="64"/>
      <c r="BX185" s="74" t="s">
        <v>1288</v>
      </c>
      <c r="BY185" s="73">
        <f t="shared" ca="1" si="1571"/>
        <v>10</v>
      </c>
      <c r="BZ185" s="64"/>
      <c r="CA185" s="74" t="s">
        <v>1288</v>
      </c>
      <c r="CB185" s="73">
        <f t="shared" ca="1" si="1572"/>
        <v>10</v>
      </c>
      <c r="CC185" s="64"/>
      <c r="CD185" s="74" t="s">
        <v>1278</v>
      </c>
      <c r="CE185" s="73">
        <f t="shared" ca="1" si="1573"/>
        <v>0</v>
      </c>
      <c r="CF185" s="64"/>
      <c r="CG185" s="74" t="s">
        <v>1288</v>
      </c>
      <c r="CH185" s="73">
        <f t="shared" ca="1" si="1574"/>
        <v>10</v>
      </c>
      <c r="CI185" s="64"/>
      <c r="CJ185" s="74" t="s">
        <v>1288</v>
      </c>
      <c r="CK185" s="73">
        <f t="shared" ca="1" si="1575"/>
        <v>10</v>
      </c>
      <c r="CL185" s="64"/>
      <c r="CM185" s="74" t="s">
        <v>298</v>
      </c>
      <c r="CN185" s="73">
        <f t="shared" ca="1" si="1576"/>
        <v>0</v>
      </c>
      <c r="CO185" s="64"/>
      <c r="CP185" s="74" t="s">
        <v>1288</v>
      </c>
      <c r="CQ185" s="73">
        <f t="shared" ca="1" si="1577"/>
        <v>10</v>
      </c>
      <c r="CR185" s="64"/>
      <c r="CS185" s="74" t="s">
        <v>1288</v>
      </c>
      <c r="CT185" s="73">
        <f t="shared" ca="1" si="1578"/>
        <v>10</v>
      </c>
      <c r="CU185" s="64"/>
      <c r="CV185" s="74" t="s">
        <v>1288</v>
      </c>
      <c r="CW185" s="73">
        <f t="shared" ca="1" si="1579"/>
        <v>10</v>
      </c>
      <c r="CX185" s="64"/>
      <c r="CY185" s="74" t="s">
        <v>1556</v>
      </c>
      <c r="CZ185" s="73">
        <f t="shared" ca="1" si="1580"/>
        <v>0</v>
      </c>
      <c r="DA185" s="64"/>
      <c r="DB185" s="74" t="s">
        <v>1288</v>
      </c>
      <c r="DC185" s="73">
        <f t="shared" ca="1" si="1581"/>
        <v>10</v>
      </c>
      <c r="DD185" s="64"/>
      <c r="DE185" s="74" t="s">
        <v>1288</v>
      </c>
      <c r="DF185" s="73">
        <f t="shared" ca="1" si="1582"/>
        <v>10</v>
      </c>
      <c r="DG185" s="64"/>
      <c r="DH185" s="74" t="s">
        <v>1288</v>
      </c>
      <c r="DI185" s="73">
        <f t="shared" ca="1" si="1583"/>
        <v>10</v>
      </c>
      <c r="DJ185" s="64"/>
      <c r="DK185" s="74" t="s">
        <v>1288</v>
      </c>
      <c r="DL185" s="73">
        <f t="shared" ca="1" si="1584"/>
        <v>10</v>
      </c>
      <c r="DM185" s="64"/>
      <c r="DN185" s="74" t="s">
        <v>298</v>
      </c>
      <c r="DO185" s="73">
        <f t="shared" ca="1" si="1585"/>
        <v>0</v>
      </c>
      <c r="DP185" s="64"/>
      <c r="DQ185" s="74" t="s">
        <v>1288</v>
      </c>
      <c r="DR185" s="73">
        <f t="shared" ca="1" si="1586"/>
        <v>10</v>
      </c>
      <c r="DS185" s="64"/>
      <c r="DT185" s="74" t="s">
        <v>1288</v>
      </c>
      <c r="DU185" s="73">
        <f t="shared" ca="1" si="1587"/>
        <v>10</v>
      </c>
      <c r="DV185" s="64"/>
      <c r="DW185" s="74" t="s">
        <v>1288</v>
      </c>
      <c r="DX185" s="73">
        <f t="shared" ca="1" si="1588"/>
        <v>10</v>
      </c>
      <c r="DY185" s="64"/>
      <c r="DZ185" s="74" t="s">
        <v>1261</v>
      </c>
      <c r="EA185" s="73">
        <f t="shared" ca="1" si="1589"/>
        <v>0</v>
      </c>
      <c r="EB185" s="64"/>
      <c r="EC185" s="74" t="s">
        <v>1261</v>
      </c>
      <c r="ED185" s="73">
        <f t="shared" ca="1" si="1590"/>
        <v>0</v>
      </c>
      <c r="EE185" s="64"/>
      <c r="EF185" s="74" t="s">
        <v>1288</v>
      </c>
      <c r="EG185" s="73">
        <f t="shared" ca="1" si="1591"/>
        <v>10</v>
      </c>
      <c r="EH185" s="64"/>
      <c r="EI185" s="74" t="s">
        <v>1288</v>
      </c>
      <c r="EJ185" s="73">
        <f t="shared" ca="1" si="1592"/>
        <v>10</v>
      </c>
      <c r="EK185" s="64"/>
      <c r="EL185" s="74" t="s">
        <v>1288</v>
      </c>
      <c r="EM185" s="73">
        <f t="shared" ca="1" si="1593"/>
        <v>10</v>
      </c>
      <c r="EN185" s="64"/>
      <c r="EO185" s="74" t="s">
        <v>1288</v>
      </c>
      <c r="EP185" s="73">
        <f t="shared" ca="1" si="1594"/>
        <v>10</v>
      </c>
      <c r="EQ185" s="64"/>
      <c r="ER185" s="74" t="s">
        <v>1288</v>
      </c>
      <c r="ES185" s="73">
        <f t="shared" ca="1" si="1595"/>
        <v>10</v>
      </c>
      <c r="ET185" s="64"/>
      <c r="EU185" s="74" t="s">
        <v>1288</v>
      </c>
      <c r="EV185" s="73">
        <f t="shared" ca="1" si="1596"/>
        <v>10</v>
      </c>
      <c r="EW185" s="64"/>
      <c r="EX185" s="74" t="s">
        <v>1288</v>
      </c>
      <c r="EY185" s="73">
        <f t="shared" ca="1" si="1597"/>
        <v>10</v>
      </c>
      <c r="EZ185" s="64"/>
      <c r="FA185" s="74" t="s">
        <v>1284</v>
      </c>
      <c r="FB185" s="73">
        <f t="shared" ca="1" si="1598"/>
        <v>0</v>
      </c>
      <c r="FC185" s="64"/>
      <c r="FD185" s="74" t="s">
        <v>1288</v>
      </c>
      <c r="FE185" s="73">
        <f t="shared" ca="1" si="1599"/>
        <v>10</v>
      </c>
      <c r="FF185" s="64"/>
      <c r="FG185" s="74" t="s">
        <v>1278</v>
      </c>
      <c r="FH185" s="73">
        <f t="shared" ca="1" si="1600"/>
        <v>0</v>
      </c>
      <c r="FI185" s="64"/>
      <c r="FJ185" s="74" t="s">
        <v>1288</v>
      </c>
      <c r="FK185" s="73">
        <f t="shared" ca="1" si="1601"/>
        <v>10</v>
      </c>
      <c r="FL185" s="64"/>
      <c r="FM185" s="74" t="s">
        <v>1288</v>
      </c>
      <c r="FN185" s="73">
        <f t="shared" ca="1" si="1602"/>
        <v>10</v>
      </c>
      <c r="FO185" s="64"/>
      <c r="FP185" s="74" t="s">
        <v>1288</v>
      </c>
      <c r="FQ185" s="73">
        <f t="shared" ca="1" si="1603"/>
        <v>10</v>
      </c>
      <c r="FR185" s="64"/>
      <c r="FS185" s="74" t="s">
        <v>1288</v>
      </c>
      <c r="FT185" s="73">
        <f t="shared" ca="1" si="1604"/>
        <v>10</v>
      </c>
      <c r="FU185" s="64"/>
      <c r="FV185" s="74" t="s">
        <v>1288</v>
      </c>
      <c r="FW185" s="73">
        <f t="shared" ca="1" si="1605"/>
        <v>10</v>
      </c>
      <c r="FX185" s="64"/>
      <c r="FY185" s="74" t="s">
        <v>1641</v>
      </c>
      <c r="FZ185" s="73">
        <f t="shared" ca="1" si="1606"/>
        <v>0</v>
      </c>
      <c r="GA185" s="64"/>
      <c r="GB185" s="74" t="s">
        <v>1288</v>
      </c>
      <c r="GC185" s="73">
        <f t="shared" ca="1" si="1607"/>
        <v>10</v>
      </c>
      <c r="GD185" s="64"/>
      <c r="GE185" s="74" t="s">
        <v>1288</v>
      </c>
      <c r="GF185" s="73">
        <f t="shared" ca="1" si="1608"/>
        <v>10</v>
      </c>
      <c r="GG185" s="64"/>
      <c r="GH185" s="74" t="s">
        <v>1288</v>
      </c>
      <c r="GI185" s="73">
        <f t="shared" ca="1" si="1609"/>
        <v>10</v>
      </c>
      <c r="GJ185" s="64"/>
      <c r="GK185" s="74" t="s">
        <v>1278</v>
      </c>
      <c r="GL185" s="73">
        <f t="shared" ca="1" si="1610"/>
        <v>0</v>
      </c>
      <c r="GM185" s="64"/>
      <c r="GN185" s="74"/>
      <c r="GO185" s="73">
        <f t="shared" ca="1" si="1611"/>
        <v>0</v>
      </c>
      <c r="GP185" s="64"/>
      <c r="GQ185" s="74"/>
      <c r="GR185" s="73">
        <f t="shared" ca="1" si="1612"/>
        <v>0</v>
      </c>
      <c r="GS185" s="64"/>
      <c r="GT185" s="74"/>
      <c r="GU185" s="73">
        <f t="shared" ca="1" si="1613"/>
        <v>0</v>
      </c>
      <c r="GV185" s="64"/>
      <c r="GW185" s="74"/>
      <c r="GX185" s="73">
        <f t="shared" ca="1" si="1614"/>
        <v>0</v>
      </c>
      <c r="GY185" s="64"/>
      <c r="GZ185" s="74"/>
      <c r="HA185" s="73">
        <f t="shared" ca="1" si="1615"/>
        <v>0</v>
      </c>
      <c r="HB185" s="64"/>
      <c r="HC185" s="74"/>
      <c r="HD185" s="73">
        <f t="shared" ca="1" si="1616"/>
        <v>0</v>
      </c>
      <c r="HE185" s="64"/>
      <c r="HF185" s="74"/>
      <c r="HG185" s="73">
        <f t="shared" ca="1" si="1617"/>
        <v>0</v>
      </c>
      <c r="HH185" s="64"/>
      <c r="HI185" s="74"/>
      <c r="HJ185" s="73">
        <f t="shared" ca="1" si="1618"/>
        <v>0</v>
      </c>
      <c r="HK185" s="64"/>
      <c r="HL185" s="74"/>
      <c r="HM185" s="73">
        <f t="shared" ca="1" si="1619"/>
        <v>0</v>
      </c>
      <c r="HN185" s="64"/>
      <c r="HO185" s="74"/>
      <c r="HP185" s="73">
        <f t="shared" ca="1" si="1620"/>
        <v>0</v>
      </c>
      <c r="HQ185" s="64"/>
      <c r="HR185" s="74"/>
      <c r="HS185" s="73">
        <f t="shared" ca="1" si="1621"/>
        <v>0</v>
      </c>
      <c r="HT185" s="64"/>
      <c r="HU185" s="74"/>
      <c r="HV185" s="73">
        <f t="shared" ca="1" si="1622"/>
        <v>0</v>
      </c>
      <c r="HW185" s="64"/>
      <c r="HX185" s="74"/>
      <c r="HY185" s="73">
        <f t="shared" ca="1" si="1623"/>
        <v>0</v>
      </c>
      <c r="HZ185" s="64"/>
      <c r="IA185" s="74"/>
      <c r="IB185" s="73">
        <f t="shared" ca="1" si="1624"/>
        <v>0</v>
      </c>
      <c r="IC185" s="64"/>
      <c r="ID185" s="74"/>
      <c r="IE185" s="73">
        <f t="shared" ca="1" si="1625"/>
        <v>0</v>
      </c>
      <c r="IF185" s="64"/>
      <c r="IG185" s="74"/>
      <c r="IH185" s="73">
        <f t="shared" ca="1" si="1626"/>
        <v>0</v>
      </c>
      <c r="II185" s="64"/>
      <c r="IJ185" s="74"/>
      <c r="IK185" s="73">
        <f t="shared" ca="1" si="1627"/>
        <v>0</v>
      </c>
      <c r="IL185" s="64"/>
      <c r="IM185" s="74"/>
      <c r="IN185" s="73">
        <f t="shared" ca="1" si="1628"/>
        <v>0</v>
      </c>
      <c r="IO185" s="64"/>
      <c r="IP185" s="74"/>
      <c r="IQ185" s="73">
        <f t="shared" ca="1" si="1629"/>
        <v>0</v>
      </c>
      <c r="IR185" s="64"/>
      <c r="IS185" s="74"/>
      <c r="IT185" s="73">
        <f t="shared" ca="1" si="1630"/>
        <v>0</v>
      </c>
      <c r="IU185" s="64"/>
      <c r="IV185" s="74"/>
      <c r="IW185" s="73">
        <f t="shared" ca="1" si="1631"/>
        <v>0</v>
      </c>
      <c r="IX185" s="64"/>
      <c r="IY185" s="74"/>
      <c r="IZ185" s="73">
        <f t="shared" ca="1" si="1632"/>
        <v>0</v>
      </c>
      <c r="JA185" s="64"/>
      <c r="JB185" s="74"/>
      <c r="JC185" s="73">
        <f t="shared" ca="1" si="1633"/>
        <v>0</v>
      </c>
      <c r="JD185" s="64"/>
      <c r="JE185" s="74"/>
      <c r="JF185" s="73">
        <f t="shared" ca="1" si="1634"/>
        <v>0</v>
      </c>
      <c r="JG185" s="64"/>
      <c r="JH185" s="74"/>
      <c r="JI185" s="73">
        <f t="shared" ca="1" si="1635"/>
        <v>0</v>
      </c>
      <c r="JJ185" s="64"/>
      <c r="JK185" s="74"/>
      <c r="JL185" s="73">
        <f t="shared" ca="1" si="1636"/>
        <v>0</v>
      </c>
      <c r="JM185" s="64"/>
      <c r="JN185" s="74"/>
      <c r="JO185" s="73">
        <f t="shared" ca="1" si="1637"/>
        <v>0</v>
      </c>
      <c r="JP185" s="64"/>
      <c r="JQ185" s="74"/>
      <c r="JR185" s="73">
        <f t="shared" ca="1" si="1638"/>
        <v>0</v>
      </c>
      <c r="JS185" s="64"/>
      <c r="JT185" s="74"/>
      <c r="JU185" s="73">
        <f t="shared" ca="1" si="1639"/>
        <v>0</v>
      </c>
      <c r="JV185" s="64"/>
      <c r="JW185" s="74"/>
      <c r="JX185" s="73">
        <f t="shared" ca="1" si="1640"/>
        <v>0</v>
      </c>
      <c r="JY185" s="64"/>
      <c r="JZ185" s="74"/>
      <c r="KA185" s="73">
        <f t="shared" ca="1" si="1641"/>
        <v>0</v>
      </c>
      <c r="KB185" s="64"/>
      <c r="KC185" s="74"/>
      <c r="KD185" s="73">
        <f t="shared" ca="1" si="1642"/>
        <v>0</v>
      </c>
      <c r="KE185" s="64"/>
      <c r="KF185" s="74"/>
      <c r="KG185" s="73">
        <f t="shared" ca="1" si="1643"/>
        <v>0</v>
      </c>
      <c r="KH185" s="64"/>
      <c r="KI185" s="74"/>
      <c r="KJ185" s="73">
        <f t="shared" ca="1" si="1644"/>
        <v>0</v>
      </c>
      <c r="KK185" s="64"/>
      <c r="KL185" s="74"/>
      <c r="KM185" s="73">
        <f t="shared" ca="1" si="1645"/>
        <v>0</v>
      </c>
      <c r="KN185" s="64"/>
      <c r="KO185" s="74"/>
      <c r="KP185" s="73">
        <f t="shared" ca="1" si="1646"/>
        <v>0</v>
      </c>
      <c r="KQ185" s="64"/>
      <c r="KR185" s="74"/>
      <c r="KS185" s="73">
        <f t="shared" ca="1" si="1647"/>
        <v>0</v>
      </c>
      <c r="KT185" s="64"/>
      <c r="KU185" s="74"/>
      <c r="KV185" s="73">
        <f t="shared" ca="1" si="1648"/>
        <v>0</v>
      </c>
      <c r="KW185" s="64"/>
      <c r="KX185" s="74"/>
      <c r="KY185" s="73">
        <f t="shared" ca="1" si="1649"/>
        <v>0</v>
      </c>
      <c r="KZ185" s="64"/>
      <c r="LA185" s="74"/>
      <c r="LB185" s="73">
        <f t="shared" ca="1" si="1650"/>
        <v>0</v>
      </c>
      <c r="LC185" s="64"/>
      <c r="LD185" s="74"/>
      <c r="LE185" s="73">
        <f t="shared" ca="1" si="1651"/>
        <v>0</v>
      </c>
      <c r="LF185" s="64"/>
      <c r="LG185" s="64"/>
    </row>
    <row r="186" spans="1:319">
      <c r="A186" s="25"/>
      <c r="B186" s="25"/>
      <c r="C186" s="25"/>
      <c r="D186" s="25"/>
      <c r="E186" s="25"/>
      <c r="F186" s="407">
        <f t="shared" si="1652"/>
        <v>10</v>
      </c>
      <c r="G186" s="407">
        <f ca="1">VLOOKUP(H186,Equipos!$Q$1:$R$25,2,0)</f>
        <v>20</v>
      </c>
      <c r="H186" s="446" t="str">
        <f>Idiomas!$D$260</f>
        <v>Round of 32</v>
      </c>
      <c r="I186" s="50"/>
      <c r="J186" s="845"/>
      <c r="K186" s="56" t="str">
        <f>Idiomas!$D$199&amp;"-"&amp;ROWS($L$182:L186)</f>
        <v>8-Finalist-5</v>
      </c>
      <c r="L186" s="53"/>
      <c r="M186" s="55" t="str">
        <f ca="1">WORLDCUP!AA124</f>
        <v>Portugal</v>
      </c>
      <c r="N186" s="25"/>
      <c r="O186" s="25"/>
      <c r="P186" s="25"/>
      <c r="Q186" s="25"/>
      <c r="R186" s="110"/>
      <c r="S186" s="74" t="s">
        <v>1292</v>
      </c>
      <c r="T186" s="73">
        <f t="shared" ca="1" si="1552"/>
        <v>0</v>
      </c>
      <c r="U186" s="64"/>
      <c r="V186" s="74" t="s">
        <v>79</v>
      </c>
      <c r="W186" s="73">
        <f t="shared" ca="1" si="1553"/>
        <v>10</v>
      </c>
      <c r="X186" s="64"/>
      <c r="Y186" s="74" t="s">
        <v>1320</v>
      </c>
      <c r="Z186" s="73">
        <f t="shared" ca="1" si="1554"/>
        <v>10</v>
      </c>
      <c r="AA186" s="64"/>
      <c r="AB186" s="74" t="s">
        <v>1320</v>
      </c>
      <c r="AC186" s="73">
        <f t="shared" ca="1" si="1555"/>
        <v>10</v>
      </c>
      <c r="AD186" s="64"/>
      <c r="AE186" s="74" t="s">
        <v>296</v>
      </c>
      <c r="AF186" s="73">
        <f t="shared" ca="1" si="1556"/>
        <v>0</v>
      </c>
      <c r="AG186" s="64"/>
      <c r="AH186" s="74" t="s">
        <v>296</v>
      </c>
      <c r="AI186" s="73">
        <f t="shared" ca="1" si="1557"/>
        <v>0</v>
      </c>
      <c r="AJ186" s="64"/>
      <c r="AK186" s="74" t="s">
        <v>296</v>
      </c>
      <c r="AL186" s="73">
        <f t="shared" ca="1" si="1558"/>
        <v>0</v>
      </c>
      <c r="AM186" s="64"/>
      <c r="AN186" s="74" t="s">
        <v>79</v>
      </c>
      <c r="AO186" s="73">
        <f t="shared" ca="1" si="1559"/>
        <v>10</v>
      </c>
      <c r="AP186" s="64"/>
      <c r="AQ186" s="74" t="s">
        <v>292</v>
      </c>
      <c r="AR186" s="73">
        <f t="shared" ca="1" si="1560"/>
        <v>10</v>
      </c>
      <c r="AS186" s="64"/>
      <c r="AT186" s="74" t="s">
        <v>1551</v>
      </c>
      <c r="AU186" s="73">
        <f t="shared" ca="1" si="1561"/>
        <v>0</v>
      </c>
      <c r="AV186" s="64"/>
      <c r="AW186" s="74" t="s">
        <v>1551</v>
      </c>
      <c r="AX186" s="73">
        <f t="shared" ca="1" si="1562"/>
        <v>0</v>
      </c>
      <c r="AY186" s="64"/>
      <c r="AZ186" s="74" t="s">
        <v>296</v>
      </c>
      <c r="BA186" s="73">
        <f t="shared" ca="1" si="1563"/>
        <v>0</v>
      </c>
      <c r="BB186" s="64"/>
      <c r="BC186" s="74" t="s">
        <v>1320</v>
      </c>
      <c r="BD186" s="73">
        <f t="shared" ca="1" si="1564"/>
        <v>10</v>
      </c>
      <c r="BE186" s="64"/>
      <c r="BF186" s="74" t="s">
        <v>296</v>
      </c>
      <c r="BG186" s="73">
        <f t="shared" ca="1" si="1565"/>
        <v>0</v>
      </c>
      <c r="BH186" s="64"/>
      <c r="BI186" s="74" t="s">
        <v>296</v>
      </c>
      <c r="BJ186" s="73">
        <f t="shared" ca="1" si="1566"/>
        <v>0</v>
      </c>
      <c r="BK186" s="64"/>
      <c r="BL186" s="74" t="s">
        <v>296</v>
      </c>
      <c r="BM186" s="73">
        <f t="shared" ca="1" si="1567"/>
        <v>0</v>
      </c>
      <c r="BN186" s="64"/>
      <c r="BO186" s="74" t="s">
        <v>79</v>
      </c>
      <c r="BP186" s="73">
        <f t="shared" ca="1" si="1568"/>
        <v>10</v>
      </c>
      <c r="BQ186" s="64"/>
      <c r="BR186" s="74" t="s">
        <v>296</v>
      </c>
      <c r="BS186" s="73">
        <f t="shared" ca="1" si="1569"/>
        <v>0</v>
      </c>
      <c r="BT186" s="64"/>
      <c r="BU186" s="74" t="s">
        <v>1320</v>
      </c>
      <c r="BV186" s="73">
        <f t="shared" ca="1" si="1570"/>
        <v>10</v>
      </c>
      <c r="BW186" s="64"/>
      <c r="BX186" s="74" t="s">
        <v>296</v>
      </c>
      <c r="BY186" s="73">
        <f t="shared" ca="1" si="1571"/>
        <v>0</v>
      </c>
      <c r="BZ186" s="64"/>
      <c r="CA186" s="74" t="s">
        <v>296</v>
      </c>
      <c r="CB186" s="73">
        <f t="shared" ca="1" si="1572"/>
        <v>0</v>
      </c>
      <c r="CC186" s="64"/>
      <c r="CD186" s="74" t="s">
        <v>292</v>
      </c>
      <c r="CE186" s="73">
        <f t="shared" ca="1" si="1573"/>
        <v>10</v>
      </c>
      <c r="CF186" s="64"/>
      <c r="CG186" s="74" t="s">
        <v>1320</v>
      </c>
      <c r="CH186" s="73">
        <f t="shared" ca="1" si="1574"/>
        <v>10</v>
      </c>
      <c r="CI186" s="64"/>
      <c r="CJ186" s="74" t="s">
        <v>1320</v>
      </c>
      <c r="CK186" s="73">
        <f t="shared" ca="1" si="1575"/>
        <v>10</v>
      </c>
      <c r="CL186" s="64"/>
      <c r="CM186" s="74" t="s">
        <v>1320</v>
      </c>
      <c r="CN186" s="73">
        <f t="shared" ca="1" si="1576"/>
        <v>10</v>
      </c>
      <c r="CO186" s="64"/>
      <c r="CP186" s="74" t="s">
        <v>1320</v>
      </c>
      <c r="CQ186" s="73">
        <f t="shared" ca="1" si="1577"/>
        <v>10</v>
      </c>
      <c r="CR186" s="64"/>
      <c r="CS186" s="74" t="s">
        <v>296</v>
      </c>
      <c r="CT186" s="73">
        <f t="shared" ca="1" si="1578"/>
        <v>0</v>
      </c>
      <c r="CU186" s="64"/>
      <c r="CV186" s="74" t="s">
        <v>292</v>
      </c>
      <c r="CW186" s="73">
        <f t="shared" ca="1" si="1579"/>
        <v>10</v>
      </c>
      <c r="CX186" s="64"/>
      <c r="CY186" s="74" t="s">
        <v>1320</v>
      </c>
      <c r="CZ186" s="73">
        <f t="shared" ca="1" si="1580"/>
        <v>10</v>
      </c>
      <c r="DA186" s="64"/>
      <c r="DB186" s="74" t="s">
        <v>296</v>
      </c>
      <c r="DC186" s="73">
        <f t="shared" ca="1" si="1581"/>
        <v>0</v>
      </c>
      <c r="DD186" s="64"/>
      <c r="DE186" s="74" t="s">
        <v>296</v>
      </c>
      <c r="DF186" s="73">
        <f t="shared" ca="1" si="1582"/>
        <v>0</v>
      </c>
      <c r="DG186" s="64"/>
      <c r="DH186" s="74" t="s">
        <v>296</v>
      </c>
      <c r="DI186" s="73">
        <f t="shared" ca="1" si="1583"/>
        <v>0</v>
      </c>
      <c r="DJ186" s="64"/>
      <c r="DK186" s="74" t="s">
        <v>296</v>
      </c>
      <c r="DL186" s="73">
        <f t="shared" ca="1" si="1584"/>
        <v>0</v>
      </c>
      <c r="DM186" s="64"/>
      <c r="DN186" s="74" t="s">
        <v>296</v>
      </c>
      <c r="DO186" s="73">
        <f t="shared" ca="1" si="1585"/>
        <v>0</v>
      </c>
      <c r="DP186" s="64"/>
      <c r="DQ186" s="74" t="s">
        <v>296</v>
      </c>
      <c r="DR186" s="73">
        <f t="shared" ca="1" si="1586"/>
        <v>0</v>
      </c>
      <c r="DS186" s="64"/>
      <c r="DT186" s="74" t="s">
        <v>296</v>
      </c>
      <c r="DU186" s="73">
        <f t="shared" ca="1" si="1587"/>
        <v>0</v>
      </c>
      <c r="DV186" s="64"/>
      <c r="DW186" s="74" t="s">
        <v>1320</v>
      </c>
      <c r="DX186" s="73">
        <f t="shared" ca="1" si="1588"/>
        <v>10</v>
      </c>
      <c r="DY186" s="64"/>
      <c r="DZ186" s="74" t="s">
        <v>296</v>
      </c>
      <c r="EA186" s="73">
        <f t="shared" ca="1" si="1589"/>
        <v>0</v>
      </c>
      <c r="EB186" s="64"/>
      <c r="EC186" s="74" t="s">
        <v>296</v>
      </c>
      <c r="ED186" s="73">
        <f t="shared" ca="1" si="1590"/>
        <v>0</v>
      </c>
      <c r="EE186" s="64"/>
      <c r="EF186" s="74" t="s">
        <v>1551</v>
      </c>
      <c r="EG186" s="73">
        <f t="shared" ca="1" si="1591"/>
        <v>0</v>
      </c>
      <c r="EH186" s="64"/>
      <c r="EI186" s="74" t="s">
        <v>296</v>
      </c>
      <c r="EJ186" s="73">
        <f t="shared" ca="1" si="1592"/>
        <v>0</v>
      </c>
      <c r="EK186" s="64"/>
      <c r="EL186" s="74" t="s">
        <v>296</v>
      </c>
      <c r="EM186" s="73">
        <f t="shared" ca="1" si="1593"/>
        <v>0</v>
      </c>
      <c r="EN186" s="64"/>
      <c r="EO186" s="74" t="s">
        <v>1320</v>
      </c>
      <c r="EP186" s="73">
        <f t="shared" ca="1" si="1594"/>
        <v>10</v>
      </c>
      <c r="EQ186" s="64"/>
      <c r="ER186" s="74" t="s">
        <v>296</v>
      </c>
      <c r="ES186" s="73">
        <f t="shared" ca="1" si="1595"/>
        <v>0</v>
      </c>
      <c r="ET186" s="64"/>
      <c r="EU186" s="74" t="s">
        <v>1320</v>
      </c>
      <c r="EV186" s="73">
        <f t="shared" ca="1" si="1596"/>
        <v>10</v>
      </c>
      <c r="EW186" s="64"/>
      <c r="EX186" s="74" t="s">
        <v>296</v>
      </c>
      <c r="EY186" s="73">
        <f t="shared" ca="1" si="1597"/>
        <v>0</v>
      </c>
      <c r="EZ186" s="64"/>
      <c r="FA186" s="74" t="s">
        <v>296</v>
      </c>
      <c r="FB186" s="73">
        <f t="shared" ca="1" si="1598"/>
        <v>0</v>
      </c>
      <c r="FC186" s="64"/>
      <c r="FD186" s="74" t="s">
        <v>296</v>
      </c>
      <c r="FE186" s="73">
        <f t="shared" ca="1" si="1599"/>
        <v>0</v>
      </c>
      <c r="FF186" s="64"/>
      <c r="FG186" s="74" t="s">
        <v>1320</v>
      </c>
      <c r="FH186" s="73">
        <f t="shared" ca="1" si="1600"/>
        <v>10</v>
      </c>
      <c r="FI186" s="64"/>
      <c r="FJ186" s="74" t="s">
        <v>1320</v>
      </c>
      <c r="FK186" s="73">
        <f t="shared" ca="1" si="1601"/>
        <v>10</v>
      </c>
      <c r="FL186" s="64"/>
      <c r="FM186" s="74" t="s">
        <v>296</v>
      </c>
      <c r="FN186" s="73">
        <f t="shared" ca="1" si="1602"/>
        <v>0</v>
      </c>
      <c r="FO186" s="64"/>
      <c r="FP186" s="74" t="s">
        <v>296</v>
      </c>
      <c r="FQ186" s="73">
        <f t="shared" ca="1" si="1603"/>
        <v>0</v>
      </c>
      <c r="FR186" s="64"/>
      <c r="FS186" s="74" t="s">
        <v>296</v>
      </c>
      <c r="FT186" s="73">
        <f t="shared" ca="1" si="1604"/>
        <v>0</v>
      </c>
      <c r="FU186" s="64"/>
      <c r="FV186" s="74" t="s">
        <v>1320</v>
      </c>
      <c r="FW186" s="73">
        <f t="shared" ca="1" si="1605"/>
        <v>10</v>
      </c>
      <c r="FX186" s="64"/>
      <c r="FY186" s="74" t="s">
        <v>1320</v>
      </c>
      <c r="FZ186" s="73">
        <f t="shared" ca="1" si="1606"/>
        <v>10</v>
      </c>
      <c r="GA186" s="64"/>
      <c r="GB186" s="74" t="s">
        <v>296</v>
      </c>
      <c r="GC186" s="73">
        <f t="shared" ca="1" si="1607"/>
        <v>0</v>
      </c>
      <c r="GD186" s="64"/>
      <c r="GE186" s="74" t="s">
        <v>1320</v>
      </c>
      <c r="GF186" s="73">
        <f t="shared" ca="1" si="1608"/>
        <v>10</v>
      </c>
      <c r="GG186" s="64"/>
      <c r="GH186" s="74" t="s">
        <v>292</v>
      </c>
      <c r="GI186" s="73">
        <f t="shared" ca="1" si="1609"/>
        <v>10</v>
      </c>
      <c r="GJ186" s="64"/>
      <c r="GK186" s="74" t="s">
        <v>296</v>
      </c>
      <c r="GL186" s="73">
        <f t="shared" ca="1" si="1610"/>
        <v>0</v>
      </c>
      <c r="GM186" s="64"/>
      <c r="GN186" s="74"/>
      <c r="GO186" s="73">
        <f t="shared" ca="1" si="1611"/>
        <v>0</v>
      </c>
      <c r="GP186" s="64"/>
      <c r="GQ186" s="74"/>
      <c r="GR186" s="73">
        <f t="shared" ca="1" si="1612"/>
        <v>0</v>
      </c>
      <c r="GS186" s="64"/>
      <c r="GT186" s="74"/>
      <c r="GU186" s="73">
        <f t="shared" ca="1" si="1613"/>
        <v>0</v>
      </c>
      <c r="GV186" s="64"/>
      <c r="GW186" s="74"/>
      <c r="GX186" s="73">
        <f t="shared" ca="1" si="1614"/>
        <v>0</v>
      </c>
      <c r="GY186" s="64"/>
      <c r="GZ186" s="74"/>
      <c r="HA186" s="73">
        <f t="shared" ca="1" si="1615"/>
        <v>0</v>
      </c>
      <c r="HB186" s="64"/>
      <c r="HC186" s="74"/>
      <c r="HD186" s="73">
        <f t="shared" ca="1" si="1616"/>
        <v>0</v>
      </c>
      <c r="HE186" s="64"/>
      <c r="HF186" s="74"/>
      <c r="HG186" s="73">
        <f t="shared" ca="1" si="1617"/>
        <v>0</v>
      </c>
      <c r="HH186" s="64"/>
      <c r="HI186" s="74"/>
      <c r="HJ186" s="73">
        <f t="shared" ca="1" si="1618"/>
        <v>0</v>
      </c>
      <c r="HK186" s="64"/>
      <c r="HL186" s="74"/>
      <c r="HM186" s="73">
        <f t="shared" ca="1" si="1619"/>
        <v>0</v>
      </c>
      <c r="HN186" s="64"/>
      <c r="HO186" s="74"/>
      <c r="HP186" s="73">
        <f t="shared" ca="1" si="1620"/>
        <v>0</v>
      </c>
      <c r="HQ186" s="64"/>
      <c r="HR186" s="74"/>
      <c r="HS186" s="73">
        <f t="shared" ca="1" si="1621"/>
        <v>0</v>
      </c>
      <c r="HT186" s="64"/>
      <c r="HU186" s="74"/>
      <c r="HV186" s="73">
        <f t="shared" ca="1" si="1622"/>
        <v>0</v>
      </c>
      <c r="HW186" s="64"/>
      <c r="HX186" s="74"/>
      <c r="HY186" s="73">
        <f t="shared" ca="1" si="1623"/>
        <v>0</v>
      </c>
      <c r="HZ186" s="64"/>
      <c r="IA186" s="74"/>
      <c r="IB186" s="73">
        <f t="shared" ca="1" si="1624"/>
        <v>0</v>
      </c>
      <c r="IC186" s="64"/>
      <c r="ID186" s="74"/>
      <c r="IE186" s="73">
        <f t="shared" ca="1" si="1625"/>
        <v>0</v>
      </c>
      <c r="IF186" s="64"/>
      <c r="IG186" s="74"/>
      <c r="IH186" s="73">
        <f t="shared" ca="1" si="1626"/>
        <v>0</v>
      </c>
      <c r="II186" s="64"/>
      <c r="IJ186" s="74"/>
      <c r="IK186" s="73">
        <f t="shared" ca="1" si="1627"/>
        <v>0</v>
      </c>
      <c r="IL186" s="64"/>
      <c r="IM186" s="74"/>
      <c r="IN186" s="73">
        <f t="shared" ca="1" si="1628"/>
        <v>0</v>
      </c>
      <c r="IO186" s="64"/>
      <c r="IP186" s="74"/>
      <c r="IQ186" s="73">
        <f t="shared" ca="1" si="1629"/>
        <v>0</v>
      </c>
      <c r="IR186" s="64"/>
      <c r="IS186" s="74"/>
      <c r="IT186" s="73">
        <f t="shared" ca="1" si="1630"/>
        <v>0</v>
      </c>
      <c r="IU186" s="64"/>
      <c r="IV186" s="74"/>
      <c r="IW186" s="73">
        <f t="shared" ca="1" si="1631"/>
        <v>0</v>
      </c>
      <c r="IX186" s="64"/>
      <c r="IY186" s="74"/>
      <c r="IZ186" s="73">
        <f t="shared" ca="1" si="1632"/>
        <v>0</v>
      </c>
      <c r="JA186" s="64"/>
      <c r="JB186" s="74"/>
      <c r="JC186" s="73">
        <f t="shared" ca="1" si="1633"/>
        <v>0</v>
      </c>
      <c r="JD186" s="64"/>
      <c r="JE186" s="74"/>
      <c r="JF186" s="73">
        <f t="shared" ca="1" si="1634"/>
        <v>0</v>
      </c>
      <c r="JG186" s="64"/>
      <c r="JH186" s="74"/>
      <c r="JI186" s="73">
        <f t="shared" ca="1" si="1635"/>
        <v>0</v>
      </c>
      <c r="JJ186" s="64"/>
      <c r="JK186" s="74"/>
      <c r="JL186" s="73">
        <f t="shared" ca="1" si="1636"/>
        <v>0</v>
      </c>
      <c r="JM186" s="64"/>
      <c r="JN186" s="74"/>
      <c r="JO186" s="73">
        <f t="shared" ca="1" si="1637"/>
        <v>0</v>
      </c>
      <c r="JP186" s="64"/>
      <c r="JQ186" s="74"/>
      <c r="JR186" s="73">
        <f t="shared" ca="1" si="1638"/>
        <v>0</v>
      </c>
      <c r="JS186" s="64"/>
      <c r="JT186" s="74"/>
      <c r="JU186" s="73">
        <f t="shared" ca="1" si="1639"/>
        <v>0</v>
      </c>
      <c r="JV186" s="64"/>
      <c r="JW186" s="74"/>
      <c r="JX186" s="73">
        <f t="shared" ca="1" si="1640"/>
        <v>0</v>
      </c>
      <c r="JY186" s="64"/>
      <c r="JZ186" s="74"/>
      <c r="KA186" s="73">
        <f t="shared" ca="1" si="1641"/>
        <v>0</v>
      </c>
      <c r="KB186" s="64"/>
      <c r="KC186" s="74"/>
      <c r="KD186" s="73">
        <f t="shared" ca="1" si="1642"/>
        <v>0</v>
      </c>
      <c r="KE186" s="64"/>
      <c r="KF186" s="74"/>
      <c r="KG186" s="73">
        <f t="shared" ca="1" si="1643"/>
        <v>0</v>
      </c>
      <c r="KH186" s="64"/>
      <c r="KI186" s="74"/>
      <c r="KJ186" s="73">
        <f t="shared" ca="1" si="1644"/>
        <v>0</v>
      </c>
      <c r="KK186" s="64"/>
      <c r="KL186" s="74"/>
      <c r="KM186" s="73">
        <f t="shared" ca="1" si="1645"/>
        <v>0</v>
      </c>
      <c r="KN186" s="64"/>
      <c r="KO186" s="74"/>
      <c r="KP186" s="73">
        <f t="shared" ca="1" si="1646"/>
        <v>0</v>
      </c>
      <c r="KQ186" s="64"/>
      <c r="KR186" s="74"/>
      <c r="KS186" s="73">
        <f t="shared" ca="1" si="1647"/>
        <v>0</v>
      </c>
      <c r="KT186" s="64"/>
      <c r="KU186" s="74"/>
      <c r="KV186" s="73">
        <f t="shared" ca="1" si="1648"/>
        <v>0</v>
      </c>
      <c r="KW186" s="64"/>
      <c r="KX186" s="74"/>
      <c r="KY186" s="73">
        <f t="shared" ca="1" si="1649"/>
        <v>0</v>
      </c>
      <c r="KZ186" s="64"/>
      <c r="LA186" s="74"/>
      <c r="LB186" s="73">
        <f t="shared" ca="1" si="1650"/>
        <v>0</v>
      </c>
      <c r="LC186" s="64"/>
      <c r="LD186" s="74"/>
      <c r="LE186" s="73">
        <f t="shared" ca="1" si="1651"/>
        <v>0</v>
      </c>
      <c r="LF186" s="64"/>
      <c r="LG186" s="64"/>
    </row>
    <row r="187" spans="1:319">
      <c r="A187" s="25"/>
      <c r="B187" s="25"/>
      <c r="C187" s="25"/>
      <c r="D187" s="25"/>
      <c r="E187" s="25"/>
      <c r="F187" s="407">
        <f t="shared" si="1652"/>
        <v>10</v>
      </c>
      <c r="G187" s="407">
        <f ca="1">VLOOKUP(H187,Equipos!$Q$1:$R$25,2,0)</f>
        <v>20</v>
      </c>
      <c r="H187" s="446" t="str">
        <f>Idiomas!$D$260</f>
        <v>Round of 32</v>
      </c>
      <c r="I187" s="50"/>
      <c r="J187" s="845"/>
      <c r="K187" s="56" t="str">
        <f>Idiomas!$D$199&amp;"-"&amp;ROWS($L$182:L187)</f>
        <v>8-Finalist-6</v>
      </c>
      <c r="L187" s="53"/>
      <c r="M187" s="55" t="str">
        <f ca="1">WORLDCUP!AA125</f>
        <v>United States</v>
      </c>
      <c r="N187" s="25"/>
      <c r="O187" s="25"/>
      <c r="P187" s="25"/>
      <c r="Q187" s="25"/>
      <c r="R187" s="110"/>
      <c r="S187" s="74" t="s">
        <v>498</v>
      </c>
      <c r="T187" s="73">
        <f t="shared" ca="1" si="1552"/>
        <v>10</v>
      </c>
      <c r="U187" s="64"/>
      <c r="V187" s="74" t="s">
        <v>498</v>
      </c>
      <c r="W187" s="73">
        <f t="shared" ca="1" si="1553"/>
        <v>10</v>
      </c>
      <c r="X187" s="64"/>
      <c r="Y187" s="74" t="s">
        <v>498</v>
      </c>
      <c r="Z187" s="73">
        <f t="shared" ca="1" si="1554"/>
        <v>10</v>
      </c>
      <c r="AA187" s="64"/>
      <c r="AB187" s="76" t="s">
        <v>498</v>
      </c>
      <c r="AC187" s="73">
        <f t="shared" ca="1" si="1555"/>
        <v>10</v>
      </c>
      <c r="AD187" s="64"/>
      <c r="AE187" s="74" t="s">
        <v>498</v>
      </c>
      <c r="AF187" s="73">
        <f t="shared" ca="1" si="1556"/>
        <v>10</v>
      </c>
      <c r="AG187" s="64"/>
      <c r="AH187" s="74" t="s">
        <v>1641</v>
      </c>
      <c r="AI187" s="73">
        <f t="shared" ca="1" si="1557"/>
        <v>0</v>
      </c>
      <c r="AJ187" s="64"/>
      <c r="AK187" s="74" t="s">
        <v>498</v>
      </c>
      <c r="AL187" s="73">
        <f t="shared" ca="1" si="1558"/>
        <v>10</v>
      </c>
      <c r="AM187" s="64"/>
      <c r="AN187" s="74" t="s">
        <v>1319</v>
      </c>
      <c r="AO187" s="73">
        <f t="shared" ca="1" si="1559"/>
        <v>10</v>
      </c>
      <c r="AP187" s="64"/>
      <c r="AQ187" s="74" t="s">
        <v>498</v>
      </c>
      <c r="AR187" s="73">
        <f t="shared" ca="1" si="1560"/>
        <v>10</v>
      </c>
      <c r="AS187" s="64"/>
      <c r="AT187" s="74" t="s">
        <v>1842</v>
      </c>
      <c r="AU187" s="73">
        <f t="shared" ca="1" si="1561"/>
        <v>0</v>
      </c>
      <c r="AV187" s="64"/>
      <c r="AW187" s="74" t="s">
        <v>1836</v>
      </c>
      <c r="AX187" s="73">
        <f t="shared" ca="1" si="1562"/>
        <v>0</v>
      </c>
      <c r="AY187" s="64"/>
      <c r="AZ187" s="74" t="s">
        <v>1836</v>
      </c>
      <c r="BA187" s="73">
        <f t="shared" ca="1" si="1563"/>
        <v>0</v>
      </c>
      <c r="BB187" s="64"/>
      <c r="BC187" s="74" t="s">
        <v>1257</v>
      </c>
      <c r="BD187" s="73">
        <f t="shared" ca="1" si="1564"/>
        <v>0</v>
      </c>
      <c r="BE187" s="64"/>
      <c r="BF187" s="74" t="s">
        <v>498</v>
      </c>
      <c r="BG187" s="73">
        <f t="shared" ca="1" si="1565"/>
        <v>10</v>
      </c>
      <c r="BH187" s="64"/>
      <c r="BI187" s="74" t="s">
        <v>1836</v>
      </c>
      <c r="BJ187" s="73">
        <f t="shared" ca="1" si="1566"/>
        <v>0</v>
      </c>
      <c r="BK187" s="64"/>
      <c r="BL187" s="74" t="s">
        <v>498</v>
      </c>
      <c r="BM187" s="73">
        <f t="shared" ca="1" si="1567"/>
        <v>10</v>
      </c>
      <c r="BN187" s="64"/>
      <c r="BO187" s="74" t="s">
        <v>498</v>
      </c>
      <c r="BP187" s="73">
        <f t="shared" ca="1" si="1568"/>
        <v>10</v>
      </c>
      <c r="BQ187" s="64"/>
      <c r="BR187" s="74" t="s">
        <v>1836</v>
      </c>
      <c r="BS187" s="73">
        <f t="shared" ca="1" si="1569"/>
        <v>0</v>
      </c>
      <c r="BT187" s="64"/>
      <c r="BU187" s="74" t="s">
        <v>1836</v>
      </c>
      <c r="BV187" s="73">
        <f t="shared" ca="1" si="1570"/>
        <v>0</v>
      </c>
      <c r="BW187" s="64"/>
      <c r="BX187" s="74" t="s">
        <v>498</v>
      </c>
      <c r="BY187" s="73">
        <f t="shared" ca="1" si="1571"/>
        <v>10</v>
      </c>
      <c r="BZ187" s="64"/>
      <c r="CA187" s="74" t="s">
        <v>1559</v>
      </c>
      <c r="CB187" s="73">
        <f t="shared" ca="1" si="1572"/>
        <v>0</v>
      </c>
      <c r="CC187" s="64"/>
      <c r="CD187" s="74" t="s">
        <v>1836</v>
      </c>
      <c r="CE187" s="73">
        <f t="shared" ca="1" si="1573"/>
        <v>0</v>
      </c>
      <c r="CF187" s="64"/>
      <c r="CG187" s="74" t="s">
        <v>498</v>
      </c>
      <c r="CH187" s="73">
        <f t="shared" ca="1" si="1574"/>
        <v>10</v>
      </c>
      <c r="CI187" s="64"/>
      <c r="CJ187" s="74" t="s">
        <v>1319</v>
      </c>
      <c r="CK187" s="73">
        <f t="shared" ca="1" si="1575"/>
        <v>10</v>
      </c>
      <c r="CL187" s="64"/>
      <c r="CM187" s="74" t="s">
        <v>1836</v>
      </c>
      <c r="CN187" s="73">
        <f t="shared" ca="1" si="1576"/>
        <v>0</v>
      </c>
      <c r="CO187" s="64"/>
      <c r="CP187" s="74" t="s">
        <v>498</v>
      </c>
      <c r="CQ187" s="73">
        <f t="shared" ca="1" si="1577"/>
        <v>10</v>
      </c>
      <c r="CR187" s="64"/>
      <c r="CS187" s="74" t="s">
        <v>1836</v>
      </c>
      <c r="CT187" s="73">
        <f t="shared" ca="1" si="1578"/>
        <v>0</v>
      </c>
      <c r="CU187" s="64"/>
      <c r="CV187" s="74" t="s">
        <v>1319</v>
      </c>
      <c r="CW187" s="73">
        <f t="shared" ca="1" si="1579"/>
        <v>10</v>
      </c>
      <c r="CX187" s="64"/>
      <c r="CY187" s="74" t="s">
        <v>290</v>
      </c>
      <c r="CZ187" s="73">
        <f t="shared" ca="1" si="1580"/>
        <v>10</v>
      </c>
      <c r="DA187" s="64"/>
      <c r="DB187" s="74" t="s">
        <v>1836</v>
      </c>
      <c r="DC187" s="73">
        <f t="shared" ca="1" si="1581"/>
        <v>0</v>
      </c>
      <c r="DD187" s="64"/>
      <c r="DE187" s="74" t="s">
        <v>498</v>
      </c>
      <c r="DF187" s="73">
        <f t="shared" ca="1" si="1582"/>
        <v>10</v>
      </c>
      <c r="DG187" s="64"/>
      <c r="DH187" s="74" t="s">
        <v>1257</v>
      </c>
      <c r="DI187" s="73">
        <f t="shared" ca="1" si="1583"/>
        <v>0</v>
      </c>
      <c r="DJ187" s="64"/>
      <c r="DK187" s="74" t="s">
        <v>498</v>
      </c>
      <c r="DL187" s="73">
        <f t="shared" ca="1" si="1584"/>
        <v>10</v>
      </c>
      <c r="DM187" s="64"/>
      <c r="DN187" s="74" t="s">
        <v>1257</v>
      </c>
      <c r="DO187" s="73">
        <f t="shared" ca="1" si="1585"/>
        <v>0</v>
      </c>
      <c r="DP187" s="64"/>
      <c r="DQ187" s="74" t="s">
        <v>1257</v>
      </c>
      <c r="DR187" s="73">
        <f t="shared" ca="1" si="1586"/>
        <v>0</v>
      </c>
      <c r="DS187" s="64"/>
      <c r="DT187" s="74" t="s">
        <v>1261</v>
      </c>
      <c r="DU187" s="73">
        <f t="shared" ca="1" si="1587"/>
        <v>0</v>
      </c>
      <c r="DV187" s="64"/>
      <c r="DW187" s="74" t="s">
        <v>498</v>
      </c>
      <c r="DX187" s="73">
        <f t="shared" ca="1" si="1588"/>
        <v>10</v>
      </c>
      <c r="DY187" s="64"/>
      <c r="DZ187" s="74" t="s">
        <v>498</v>
      </c>
      <c r="EA187" s="73">
        <f t="shared" ca="1" si="1589"/>
        <v>10</v>
      </c>
      <c r="EB187" s="64"/>
      <c r="EC187" s="74" t="s">
        <v>498</v>
      </c>
      <c r="ED187" s="73">
        <f t="shared" ca="1" si="1590"/>
        <v>10</v>
      </c>
      <c r="EE187" s="64"/>
      <c r="EF187" s="74" t="s">
        <v>1637</v>
      </c>
      <c r="EG187" s="73">
        <f t="shared" ca="1" si="1591"/>
        <v>0</v>
      </c>
      <c r="EH187" s="64"/>
      <c r="EI187" s="74" t="s">
        <v>1836</v>
      </c>
      <c r="EJ187" s="73">
        <f t="shared" ca="1" si="1592"/>
        <v>0</v>
      </c>
      <c r="EK187" s="64"/>
      <c r="EL187" s="74" t="s">
        <v>1836</v>
      </c>
      <c r="EM187" s="73">
        <f t="shared" ca="1" si="1593"/>
        <v>0</v>
      </c>
      <c r="EN187" s="64"/>
      <c r="EO187" s="74" t="s">
        <v>498</v>
      </c>
      <c r="EP187" s="73">
        <f t="shared" ca="1" si="1594"/>
        <v>10</v>
      </c>
      <c r="EQ187" s="64"/>
      <c r="ER187" s="74" t="s">
        <v>498</v>
      </c>
      <c r="ES187" s="73">
        <f t="shared" ca="1" si="1595"/>
        <v>10</v>
      </c>
      <c r="ET187" s="64"/>
      <c r="EU187" s="74" t="s">
        <v>498</v>
      </c>
      <c r="EV187" s="73">
        <f t="shared" ca="1" si="1596"/>
        <v>10</v>
      </c>
      <c r="EW187" s="64"/>
      <c r="EX187" s="74" t="s">
        <v>1836</v>
      </c>
      <c r="EY187" s="73">
        <f t="shared" ca="1" si="1597"/>
        <v>0</v>
      </c>
      <c r="EZ187" s="64"/>
      <c r="FA187" s="74" t="s">
        <v>1842</v>
      </c>
      <c r="FB187" s="73">
        <f t="shared" ca="1" si="1598"/>
        <v>0</v>
      </c>
      <c r="FC187" s="64"/>
      <c r="FD187" s="74" t="s">
        <v>498</v>
      </c>
      <c r="FE187" s="73">
        <f t="shared" ca="1" si="1599"/>
        <v>10</v>
      </c>
      <c r="FF187" s="64"/>
      <c r="FG187" s="74" t="s">
        <v>1836</v>
      </c>
      <c r="FH187" s="73">
        <f t="shared" ca="1" si="1600"/>
        <v>0</v>
      </c>
      <c r="FI187" s="64"/>
      <c r="FJ187" s="74" t="s">
        <v>1836</v>
      </c>
      <c r="FK187" s="73">
        <f t="shared" ca="1" si="1601"/>
        <v>0</v>
      </c>
      <c r="FL187" s="64"/>
      <c r="FM187" s="74" t="s">
        <v>1836</v>
      </c>
      <c r="FN187" s="73">
        <f t="shared" ca="1" si="1602"/>
        <v>0</v>
      </c>
      <c r="FO187" s="64"/>
      <c r="FP187" s="74" t="s">
        <v>1836</v>
      </c>
      <c r="FQ187" s="73">
        <f t="shared" ca="1" si="1603"/>
        <v>0</v>
      </c>
      <c r="FR187" s="64"/>
      <c r="FS187" s="74" t="s">
        <v>1836</v>
      </c>
      <c r="FT187" s="73">
        <f t="shared" ca="1" si="1604"/>
        <v>0</v>
      </c>
      <c r="FU187" s="64"/>
      <c r="FV187" s="74" t="s">
        <v>1836</v>
      </c>
      <c r="FW187" s="73">
        <f t="shared" ca="1" si="1605"/>
        <v>0</v>
      </c>
      <c r="FX187" s="64"/>
      <c r="FY187" s="74" t="s">
        <v>1319</v>
      </c>
      <c r="FZ187" s="73">
        <f t="shared" ca="1" si="1606"/>
        <v>10</v>
      </c>
      <c r="GA187" s="64"/>
      <c r="GB187" s="74" t="s">
        <v>1836</v>
      </c>
      <c r="GC187" s="73">
        <f t="shared" ca="1" si="1607"/>
        <v>0</v>
      </c>
      <c r="GD187" s="64"/>
      <c r="GE187" s="74" t="s">
        <v>498</v>
      </c>
      <c r="GF187" s="73">
        <f t="shared" ca="1" si="1608"/>
        <v>10</v>
      </c>
      <c r="GG187" s="64"/>
      <c r="GH187" s="74" t="s">
        <v>1641</v>
      </c>
      <c r="GI187" s="73">
        <f t="shared" ca="1" si="1609"/>
        <v>0</v>
      </c>
      <c r="GJ187" s="64"/>
      <c r="GK187" s="74" t="s">
        <v>1836</v>
      </c>
      <c r="GL187" s="73">
        <f t="shared" ca="1" si="1610"/>
        <v>0</v>
      </c>
      <c r="GM187" s="64"/>
      <c r="GN187" s="74"/>
      <c r="GO187" s="73">
        <f t="shared" ca="1" si="1611"/>
        <v>0</v>
      </c>
      <c r="GP187" s="64"/>
      <c r="GQ187" s="74"/>
      <c r="GR187" s="73">
        <f t="shared" ca="1" si="1612"/>
        <v>0</v>
      </c>
      <c r="GS187" s="64"/>
      <c r="GT187" s="74"/>
      <c r="GU187" s="73">
        <f t="shared" ca="1" si="1613"/>
        <v>0</v>
      </c>
      <c r="GV187" s="64"/>
      <c r="GW187" s="74"/>
      <c r="GX187" s="73">
        <f t="shared" ca="1" si="1614"/>
        <v>0</v>
      </c>
      <c r="GY187" s="64"/>
      <c r="GZ187" s="74"/>
      <c r="HA187" s="73">
        <f t="shared" ca="1" si="1615"/>
        <v>0</v>
      </c>
      <c r="HB187" s="64"/>
      <c r="HC187" s="74"/>
      <c r="HD187" s="73">
        <f t="shared" ca="1" si="1616"/>
        <v>0</v>
      </c>
      <c r="HE187" s="64"/>
      <c r="HF187" s="74"/>
      <c r="HG187" s="73">
        <f t="shared" ca="1" si="1617"/>
        <v>0</v>
      </c>
      <c r="HH187" s="64"/>
      <c r="HI187" s="74"/>
      <c r="HJ187" s="73">
        <f t="shared" ca="1" si="1618"/>
        <v>0</v>
      </c>
      <c r="HK187" s="64"/>
      <c r="HL187" s="74"/>
      <c r="HM187" s="73">
        <f t="shared" ca="1" si="1619"/>
        <v>0</v>
      </c>
      <c r="HN187" s="64"/>
      <c r="HO187" s="74"/>
      <c r="HP187" s="73">
        <f t="shared" ca="1" si="1620"/>
        <v>0</v>
      </c>
      <c r="HQ187" s="64"/>
      <c r="HR187" s="74"/>
      <c r="HS187" s="73">
        <f t="shared" ca="1" si="1621"/>
        <v>0</v>
      </c>
      <c r="HT187" s="64"/>
      <c r="HU187" s="74"/>
      <c r="HV187" s="73">
        <f t="shared" ca="1" si="1622"/>
        <v>0</v>
      </c>
      <c r="HW187" s="64"/>
      <c r="HX187" s="74"/>
      <c r="HY187" s="73">
        <f t="shared" ca="1" si="1623"/>
        <v>0</v>
      </c>
      <c r="HZ187" s="64"/>
      <c r="IA187" s="74"/>
      <c r="IB187" s="73">
        <f t="shared" ca="1" si="1624"/>
        <v>0</v>
      </c>
      <c r="IC187" s="64"/>
      <c r="ID187" s="74"/>
      <c r="IE187" s="73">
        <f t="shared" ca="1" si="1625"/>
        <v>0</v>
      </c>
      <c r="IF187" s="64"/>
      <c r="IG187" s="74"/>
      <c r="IH187" s="73">
        <f t="shared" ca="1" si="1626"/>
        <v>0</v>
      </c>
      <c r="II187" s="64"/>
      <c r="IJ187" s="74"/>
      <c r="IK187" s="73">
        <f t="shared" ca="1" si="1627"/>
        <v>0</v>
      </c>
      <c r="IL187" s="64"/>
      <c r="IM187" s="74"/>
      <c r="IN187" s="73">
        <f t="shared" ca="1" si="1628"/>
        <v>0</v>
      </c>
      <c r="IO187" s="64"/>
      <c r="IP187" s="74"/>
      <c r="IQ187" s="73">
        <f t="shared" ca="1" si="1629"/>
        <v>0</v>
      </c>
      <c r="IR187" s="64"/>
      <c r="IS187" s="74"/>
      <c r="IT187" s="73">
        <f t="shared" ca="1" si="1630"/>
        <v>0</v>
      </c>
      <c r="IU187" s="64"/>
      <c r="IV187" s="74"/>
      <c r="IW187" s="73">
        <f t="shared" ca="1" si="1631"/>
        <v>0</v>
      </c>
      <c r="IX187" s="64"/>
      <c r="IY187" s="74"/>
      <c r="IZ187" s="73">
        <f t="shared" ca="1" si="1632"/>
        <v>0</v>
      </c>
      <c r="JA187" s="64"/>
      <c r="JB187" s="74"/>
      <c r="JC187" s="73">
        <f t="shared" ca="1" si="1633"/>
        <v>0</v>
      </c>
      <c r="JD187" s="64"/>
      <c r="JE187" s="74"/>
      <c r="JF187" s="73">
        <f t="shared" ca="1" si="1634"/>
        <v>0</v>
      </c>
      <c r="JG187" s="64"/>
      <c r="JH187" s="74"/>
      <c r="JI187" s="73">
        <f t="shared" ca="1" si="1635"/>
        <v>0</v>
      </c>
      <c r="JJ187" s="64"/>
      <c r="JK187" s="74"/>
      <c r="JL187" s="73">
        <f t="shared" ca="1" si="1636"/>
        <v>0</v>
      </c>
      <c r="JM187" s="64"/>
      <c r="JN187" s="74"/>
      <c r="JO187" s="73">
        <f t="shared" ca="1" si="1637"/>
        <v>0</v>
      </c>
      <c r="JP187" s="64"/>
      <c r="JQ187" s="74"/>
      <c r="JR187" s="73">
        <f t="shared" ca="1" si="1638"/>
        <v>0</v>
      </c>
      <c r="JS187" s="64"/>
      <c r="JT187" s="74"/>
      <c r="JU187" s="73">
        <f t="shared" ca="1" si="1639"/>
        <v>0</v>
      </c>
      <c r="JV187" s="64"/>
      <c r="JW187" s="74"/>
      <c r="JX187" s="73">
        <f t="shared" ca="1" si="1640"/>
        <v>0</v>
      </c>
      <c r="JY187" s="64"/>
      <c r="JZ187" s="74"/>
      <c r="KA187" s="73">
        <f t="shared" ca="1" si="1641"/>
        <v>0</v>
      </c>
      <c r="KB187" s="64"/>
      <c r="KC187" s="74"/>
      <c r="KD187" s="73">
        <f t="shared" ca="1" si="1642"/>
        <v>0</v>
      </c>
      <c r="KE187" s="64"/>
      <c r="KF187" s="74"/>
      <c r="KG187" s="73">
        <f t="shared" ca="1" si="1643"/>
        <v>0</v>
      </c>
      <c r="KH187" s="64"/>
      <c r="KI187" s="74"/>
      <c r="KJ187" s="73">
        <f t="shared" ca="1" si="1644"/>
        <v>0</v>
      </c>
      <c r="KK187" s="64"/>
      <c r="KL187" s="74"/>
      <c r="KM187" s="73">
        <f t="shared" ca="1" si="1645"/>
        <v>0</v>
      </c>
      <c r="KN187" s="64"/>
      <c r="KO187" s="74"/>
      <c r="KP187" s="73">
        <f t="shared" ca="1" si="1646"/>
        <v>0</v>
      </c>
      <c r="KQ187" s="64"/>
      <c r="KR187" s="74"/>
      <c r="KS187" s="73">
        <f t="shared" ca="1" si="1647"/>
        <v>0</v>
      </c>
      <c r="KT187" s="64"/>
      <c r="KU187" s="74"/>
      <c r="KV187" s="73">
        <f t="shared" ca="1" si="1648"/>
        <v>0</v>
      </c>
      <c r="KW187" s="64"/>
      <c r="KX187" s="74"/>
      <c r="KY187" s="73">
        <f t="shared" ca="1" si="1649"/>
        <v>0</v>
      </c>
      <c r="KZ187" s="64"/>
      <c r="LA187" s="74"/>
      <c r="LB187" s="73">
        <f t="shared" ca="1" si="1650"/>
        <v>0</v>
      </c>
      <c r="LC187" s="64"/>
      <c r="LD187" s="74"/>
      <c r="LE187" s="73">
        <f t="shared" ca="1" si="1651"/>
        <v>0</v>
      </c>
      <c r="LF187" s="64"/>
      <c r="LG187" s="64"/>
    </row>
    <row r="188" spans="1:319">
      <c r="A188" s="25"/>
      <c r="B188" s="25"/>
      <c r="C188" s="25"/>
      <c r="D188" s="25"/>
      <c r="E188" s="25"/>
      <c r="F188" s="407">
        <f t="shared" si="1652"/>
        <v>10</v>
      </c>
      <c r="G188" s="407">
        <f ca="1">VLOOKUP(H188,Equipos!$Q$1:$R$25,2,0)</f>
        <v>20</v>
      </c>
      <c r="H188" s="446" t="str">
        <f>Idiomas!$D$260</f>
        <v>Round of 32</v>
      </c>
      <c r="I188" s="50"/>
      <c r="J188" s="845"/>
      <c r="K188" s="56" t="str">
        <f>Idiomas!$D$199&amp;"-"&amp;ROWS($L$182:L188)</f>
        <v>8-Finalist-7</v>
      </c>
      <c r="L188" s="53"/>
      <c r="M188" s="55" t="str">
        <f ca="1">WORLDCUP!AA126</f>
        <v>Argentina</v>
      </c>
      <c r="N188" s="25"/>
      <c r="O188" s="25"/>
      <c r="P188" s="25"/>
      <c r="Q188" s="25"/>
      <c r="R188" s="110"/>
      <c r="S188" s="74" t="s">
        <v>1639</v>
      </c>
      <c r="T188" s="73">
        <f t="shared" ca="1" si="1552"/>
        <v>0</v>
      </c>
      <c r="U188" s="64"/>
      <c r="V188" s="74" t="s">
        <v>1256</v>
      </c>
      <c r="W188" s="73">
        <f t="shared" ca="1" si="1553"/>
        <v>10</v>
      </c>
      <c r="X188" s="64"/>
      <c r="Y188" s="74" t="s">
        <v>1256</v>
      </c>
      <c r="Z188" s="73">
        <f t="shared" ca="1" si="1554"/>
        <v>10</v>
      </c>
      <c r="AA188" s="64"/>
      <c r="AB188" s="74" t="s">
        <v>1256</v>
      </c>
      <c r="AC188" s="73">
        <f t="shared" ca="1" si="1555"/>
        <v>10</v>
      </c>
      <c r="AD188" s="64"/>
      <c r="AE188" s="74" t="s">
        <v>1256</v>
      </c>
      <c r="AF188" s="73">
        <f t="shared" ca="1" si="1556"/>
        <v>10</v>
      </c>
      <c r="AG188" s="64"/>
      <c r="AH188" s="74" t="s">
        <v>1256</v>
      </c>
      <c r="AI188" s="73">
        <f t="shared" ca="1" si="1557"/>
        <v>10</v>
      </c>
      <c r="AJ188" s="64"/>
      <c r="AK188" s="74" t="s">
        <v>1256</v>
      </c>
      <c r="AL188" s="73">
        <f t="shared" ca="1" si="1558"/>
        <v>10</v>
      </c>
      <c r="AM188" s="64"/>
      <c r="AN188" s="74" t="s">
        <v>1559</v>
      </c>
      <c r="AO188" s="73">
        <f t="shared" ca="1" si="1559"/>
        <v>0</v>
      </c>
      <c r="AP188" s="64"/>
      <c r="AQ188" s="74" t="s">
        <v>1256</v>
      </c>
      <c r="AR188" s="73">
        <f t="shared" ca="1" si="1560"/>
        <v>10</v>
      </c>
      <c r="AS188" s="64"/>
      <c r="AT188" s="74" t="s">
        <v>1256</v>
      </c>
      <c r="AU188" s="73">
        <f t="shared" ca="1" si="1561"/>
        <v>10</v>
      </c>
      <c r="AV188" s="64"/>
      <c r="AW188" s="74" t="s">
        <v>1256</v>
      </c>
      <c r="AX188" s="73">
        <f t="shared" ca="1" si="1562"/>
        <v>10</v>
      </c>
      <c r="AY188" s="64"/>
      <c r="AZ188" s="74" t="s">
        <v>1256</v>
      </c>
      <c r="BA188" s="73">
        <f t="shared" ca="1" si="1563"/>
        <v>10</v>
      </c>
      <c r="BB188" s="64"/>
      <c r="BC188" s="74" t="s">
        <v>1256</v>
      </c>
      <c r="BD188" s="73">
        <f t="shared" ca="1" si="1564"/>
        <v>10</v>
      </c>
      <c r="BE188" s="64"/>
      <c r="BF188" s="74" t="s">
        <v>1256</v>
      </c>
      <c r="BG188" s="73">
        <f t="shared" ca="1" si="1565"/>
        <v>10</v>
      </c>
      <c r="BH188" s="64"/>
      <c r="BI188" s="74" t="s">
        <v>1256</v>
      </c>
      <c r="BJ188" s="73">
        <f t="shared" ca="1" si="1566"/>
        <v>10</v>
      </c>
      <c r="BK188" s="64"/>
      <c r="BL188" s="74" t="s">
        <v>1256</v>
      </c>
      <c r="BM188" s="73">
        <f t="shared" ca="1" si="1567"/>
        <v>10</v>
      </c>
      <c r="BN188" s="64"/>
      <c r="BO188" s="74" t="s">
        <v>1256</v>
      </c>
      <c r="BP188" s="73">
        <f t="shared" ca="1" si="1568"/>
        <v>10</v>
      </c>
      <c r="BQ188" s="64"/>
      <c r="BR188" s="74" t="s">
        <v>1256</v>
      </c>
      <c r="BS188" s="73">
        <f t="shared" ca="1" si="1569"/>
        <v>10</v>
      </c>
      <c r="BT188" s="64"/>
      <c r="BU188" s="74" t="s">
        <v>1256</v>
      </c>
      <c r="BV188" s="73">
        <f t="shared" ca="1" si="1570"/>
        <v>10</v>
      </c>
      <c r="BW188" s="64"/>
      <c r="BX188" s="74" t="s">
        <v>1256</v>
      </c>
      <c r="BY188" s="73">
        <f t="shared" ca="1" si="1571"/>
        <v>10</v>
      </c>
      <c r="BZ188" s="64"/>
      <c r="CA188" s="74" t="s">
        <v>1256</v>
      </c>
      <c r="CB188" s="73">
        <f t="shared" ca="1" si="1572"/>
        <v>10</v>
      </c>
      <c r="CC188" s="64"/>
      <c r="CD188" s="74" t="s">
        <v>1256</v>
      </c>
      <c r="CE188" s="73">
        <f t="shared" ca="1" si="1573"/>
        <v>10</v>
      </c>
      <c r="CF188" s="64"/>
      <c r="CG188" s="74" t="s">
        <v>1256</v>
      </c>
      <c r="CH188" s="73">
        <f t="shared" ca="1" si="1574"/>
        <v>10</v>
      </c>
      <c r="CI188" s="64"/>
      <c r="CJ188" s="74" t="s">
        <v>1256</v>
      </c>
      <c r="CK188" s="73">
        <f t="shared" ca="1" si="1575"/>
        <v>10</v>
      </c>
      <c r="CL188" s="64"/>
      <c r="CM188" s="74" t="s">
        <v>1256</v>
      </c>
      <c r="CN188" s="73">
        <f t="shared" ca="1" si="1576"/>
        <v>10</v>
      </c>
      <c r="CO188" s="64"/>
      <c r="CP188" s="74" t="s">
        <v>1318</v>
      </c>
      <c r="CQ188" s="73">
        <f t="shared" ca="1" si="1577"/>
        <v>0</v>
      </c>
      <c r="CR188" s="64"/>
      <c r="CS188" s="74" t="s">
        <v>1318</v>
      </c>
      <c r="CT188" s="73">
        <f t="shared" ca="1" si="1578"/>
        <v>0</v>
      </c>
      <c r="CU188" s="64"/>
      <c r="CV188" s="74" t="s">
        <v>1256</v>
      </c>
      <c r="CW188" s="73">
        <f t="shared" ca="1" si="1579"/>
        <v>10</v>
      </c>
      <c r="CX188" s="64"/>
      <c r="CY188" s="74" t="s">
        <v>1318</v>
      </c>
      <c r="CZ188" s="73">
        <f t="shared" ca="1" si="1580"/>
        <v>0</v>
      </c>
      <c r="DA188" s="64"/>
      <c r="DB188" s="74" t="s">
        <v>1256</v>
      </c>
      <c r="DC188" s="73">
        <f t="shared" ca="1" si="1581"/>
        <v>10</v>
      </c>
      <c r="DD188" s="64"/>
      <c r="DE188" s="74" t="s">
        <v>1256</v>
      </c>
      <c r="DF188" s="73">
        <f t="shared" ca="1" si="1582"/>
        <v>10</v>
      </c>
      <c r="DG188" s="64"/>
      <c r="DH188" s="74" t="s">
        <v>1256</v>
      </c>
      <c r="DI188" s="73">
        <f t="shared" ca="1" si="1583"/>
        <v>10</v>
      </c>
      <c r="DJ188" s="64"/>
      <c r="DK188" s="74" t="s">
        <v>1256</v>
      </c>
      <c r="DL188" s="73">
        <f t="shared" ca="1" si="1584"/>
        <v>10</v>
      </c>
      <c r="DM188" s="64"/>
      <c r="DN188" s="74" t="s">
        <v>1256</v>
      </c>
      <c r="DO188" s="73">
        <f t="shared" ca="1" si="1585"/>
        <v>10</v>
      </c>
      <c r="DP188" s="64"/>
      <c r="DQ188" s="74" t="s">
        <v>1256</v>
      </c>
      <c r="DR188" s="73">
        <f t="shared" ca="1" si="1586"/>
        <v>10</v>
      </c>
      <c r="DS188" s="64"/>
      <c r="DT188" s="74" t="s">
        <v>1256</v>
      </c>
      <c r="DU188" s="73">
        <f t="shared" ca="1" si="1587"/>
        <v>10</v>
      </c>
      <c r="DV188" s="64"/>
      <c r="DW188" s="74" t="s">
        <v>80</v>
      </c>
      <c r="DX188" s="73">
        <f t="shared" ca="1" si="1588"/>
        <v>0</v>
      </c>
      <c r="DY188" s="64"/>
      <c r="DZ188" s="74" t="s">
        <v>1256</v>
      </c>
      <c r="EA188" s="73">
        <f t="shared" ca="1" si="1589"/>
        <v>10</v>
      </c>
      <c r="EB188" s="64"/>
      <c r="EC188" s="74" t="s">
        <v>1256</v>
      </c>
      <c r="ED188" s="73">
        <f t="shared" ca="1" si="1590"/>
        <v>10</v>
      </c>
      <c r="EE188" s="64"/>
      <c r="EF188" s="74" t="s">
        <v>1256</v>
      </c>
      <c r="EG188" s="73">
        <f t="shared" ca="1" si="1591"/>
        <v>10</v>
      </c>
      <c r="EH188" s="64"/>
      <c r="EI188" s="74" t="s">
        <v>1256</v>
      </c>
      <c r="EJ188" s="73">
        <f t="shared" ca="1" si="1592"/>
        <v>10</v>
      </c>
      <c r="EK188" s="64"/>
      <c r="EL188" s="74" t="s">
        <v>1256</v>
      </c>
      <c r="EM188" s="73">
        <f t="shared" ca="1" si="1593"/>
        <v>10</v>
      </c>
      <c r="EN188" s="64"/>
      <c r="EO188" s="74" t="s">
        <v>1256</v>
      </c>
      <c r="EP188" s="73">
        <f t="shared" ca="1" si="1594"/>
        <v>10</v>
      </c>
      <c r="EQ188" s="64"/>
      <c r="ER188" s="74" t="s">
        <v>1256</v>
      </c>
      <c r="ES188" s="73">
        <f t="shared" ca="1" si="1595"/>
        <v>10</v>
      </c>
      <c r="ET188" s="64"/>
      <c r="EU188" s="74" t="s">
        <v>1318</v>
      </c>
      <c r="EV188" s="73">
        <f t="shared" ca="1" si="1596"/>
        <v>0</v>
      </c>
      <c r="EW188" s="64"/>
      <c r="EX188" s="74" t="s">
        <v>1256</v>
      </c>
      <c r="EY188" s="73">
        <f t="shared" ca="1" si="1597"/>
        <v>10</v>
      </c>
      <c r="EZ188" s="64"/>
      <c r="FA188" s="74" t="s">
        <v>1318</v>
      </c>
      <c r="FB188" s="73">
        <f t="shared" ca="1" si="1598"/>
        <v>0</v>
      </c>
      <c r="FC188" s="64"/>
      <c r="FD188" s="74" t="s">
        <v>1256</v>
      </c>
      <c r="FE188" s="73">
        <f t="shared" ca="1" si="1599"/>
        <v>10</v>
      </c>
      <c r="FF188" s="64"/>
      <c r="FG188" s="74" t="s">
        <v>1256</v>
      </c>
      <c r="FH188" s="73">
        <f t="shared" ca="1" si="1600"/>
        <v>10</v>
      </c>
      <c r="FI188" s="64"/>
      <c r="FJ188" s="74" t="s">
        <v>1256</v>
      </c>
      <c r="FK188" s="73">
        <f t="shared" ca="1" si="1601"/>
        <v>10</v>
      </c>
      <c r="FL188" s="64"/>
      <c r="FM188" s="74" t="s">
        <v>1256</v>
      </c>
      <c r="FN188" s="73">
        <f t="shared" ca="1" si="1602"/>
        <v>10</v>
      </c>
      <c r="FO188" s="64"/>
      <c r="FP188" s="74" t="s">
        <v>1256</v>
      </c>
      <c r="FQ188" s="73">
        <f t="shared" ca="1" si="1603"/>
        <v>10</v>
      </c>
      <c r="FR188" s="64"/>
      <c r="FS188" s="74" t="s">
        <v>1256</v>
      </c>
      <c r="FT188" s="73">
        <f t="shared" ca="1" si="1604"/>
        <v>10</v>
      </c>
      <c r="FU188" s="64"/>
      <c r="FV188" s="74" t="s">
        <v>1256</v>
      </c>
      <c r="FW188" s="73">
        <f t="shared" ca="1" si="1605"/>
        <v>10</v>
      </c>
      <c r="FX188" s="64"/>
      <c r="FY188" s="74" t="s">
        <v>1256</v>
      </c>
      <c r="FZ188" s="73">
        <f t="shared" ca="1" si="1606"/>
        <v>10</v>
      </c>
      <c r="GA188" s="64"/>
      <c r="GB188" s="74" t="s">
        <v>1256</v>
      </c>
      <c r="GC188" s="73">
        <f t="shared" ca="1" si="1607"/>
        <v>10</v>
      </c>
      <c r="GD188" s="64"/>
      <c r="GE188" s="74" t="s">
        <v>1256</v>
      </c>
      <c r="GF188" s="73">
        <f t="shared" ca="1" si="1608"/>
        <v>10</v>
      </c>
      <c r="GG188" s="64"/>
      <c r="GH188" s="74" t="s">
        <v>80</v>
      </c>
      <c r="GI188" s="73">
        <f t="shared" ca="1" si="1609"/>
        <v>0</v>
      </c>
      <c r="GJ188" s="64"/>
      <c r="GK188" s="74" t="s">
        <v>1256</v>
      </c>
      <c r="GL188" s="73">
        <f t="shared" ca="1" si="1610"/>
        <v>10</v>
      </c>
      <c r="GM188" s="64"/>
      <c r="GN188" s="74"/>
      <c r="GO188" s="73">
        <f t="shared" ca="1" si="1611"/>
        <v>0</v>
      </c>
      <c r="GP188" s="64"/>
      <c r="GQ188" s="74"/>
      <c r="GR188" s="73">
        <f t="shared" ca="1" si="1612"/>
        <v>0</v>
      </c>
      <c r="GS188" s="64"/>
      <c r="GT188" s="74"/>
      <c r="GU188" s="73">
        <f t="shared" ca="1" si="1613"/>
        <v>0</v>
      </c>
      <c r="GV188" s="64"/>
      <c r="GW188" s="74"/>
      <c r="GX188" s="73">
        <f t="shared" ca="1" si="1614"/>
        <v>0</v>
      </c>
      <c r="GY188" s="64"/>
      <c r="GZ188" s="74"/>
      <c r="HA188" s="73">
        <f t="shared" ca="1" si="1615"/>
        <v>0</v>
      </c>
      <c r="HB188" s="64"/>
      <c r="HC188" s="74"/>
      <c r="HD188" s="73">
        <f t="shared" ca="1" si="1616"/>
        <v>0</v>
      </c>
      <c r="HE188" s="64"/>
      <c r="HF188" s="74"/>
      <c r="HG188" s="73">
        <f t="shared" ca="1" si="1617"/>
        <v>0</v>
      </c>
      <c r="HH188" s="64"/>
      <c r="HI188" s="74"/>
      <c r="HJ188" s="73">
        <f t="shared" ca="1" si="1618"/>
        <v>0</v>
      </c>
      <c r="HK188" s="64"/>
      <c r="HL188" s="74"/>
      <c r="HM188" s="73">
        <f t="shared" ca="1" si="1619"/>
        <v>0</v>
      </c>
      <c r="HN188" s="64"/>
      <c r="HO188" s="74"/>
      <c r="HP188" s="73">
        <f t="shared" ca="1" si="1620"/>
        <v>0</v>
      </c>
      <c r="HQ188" s="64"/>
      <c r="HR188" s="74"/>
      <c r="HS188" s="73">
        <f t="shared" ca="1" si="1621"/>
        <v>0</v>
      </c>
      <c r="HT188" s="64"/>
      <c r="HU188" s="74"/>
      <c r="HV188" s="73">
        <f t="shared" ca="1" si="1622"/>
        <v>0</v>
      </c>
      <c r="HW188" s="64"/>
      <c r="HX188" s="74"/>
      <c r="HY188" s="73">
        <f t="shared" ca="1" si="1623"/>
        <v>0</v>
      </c>
      <c r="HZ188" s="64"/>
      <c r="IA188" s="74"/>
      <c r="IB188" s="73">
        <f t="shared" ca="1" si="1624"/>
        <v>0</v>
      </c>
      <c r="IC188" s="64"/>
      <c r="ID188" s="74"/>
      <c r="IE188" s="73">
        <f t="shared" ca="1" si="1625"/>
        <v>0</v>
      </c>
      <c r="IF188" s="64"/>
      <c r="IG188" s="74"/>
      <c r="IH188" s="73">
        <f t="shared" ca="1" si="1626"/>
        <v>0</v>
      </c>
      <c r="II188" s="64"/>
      <c r="IJ188" s="74"/>
      <c r="IK188" s="73">
        <f t="shared" ca="1" si="1627"/>
        <v>0</v>
      </c>
      <c r="IL188" s="64"/>
      <c r="IM188" s="74"/>
      <c r="IN188" s="73">
        <f t="shared" ca="1" si="1628"/>
        <v>0</v>
      </c>
      <c r="IO188" s="64"/>
      <c r="IP188" s="74"/>
      <c r="IQ188" s="73">
        <f t="shared" ca="1" si="1629"/>
        <v>0</v>
      </c>
      <c r="IR188" s="64"/>
      <c r="IS188" s="74"/>
      <c r="IT188" s="73">
        <f t="shared" ca="1" si="1630"/>
        <v>0</v>
      </c>
      <c r="IU188" s="64"/>
      <c r="IV188" s="74"/>
      <c r="IW188" s="73">
        <f t="shared" ca="1" si="1631"/>
        <v>0</v>
      </c>
      <c r="IX188" s="64"/>
      <c r="IY188" s="74"/>
      <c r="IZ188" s="73">
        <f t="shared" ca="1" si="1632"/>
        <v>0</v>
      </c>
      <c r="JA188" s="64"/>
      <c r="JB188" s="74"/>
      <c r="JC188" s="73">
        <f t="shared" ca="1" si="1633"/>
        <v>0</v>
      </c>
      <c r="JD188" s="64"/>
      <c r="JE188" s="74"/>
      <c r="JF188" s="73">
        <f t="shared" ca="1" si="1634"/>
        <v>0</v>
      </c>
      <c r="JG188" s="64"/>
      <c r="JH188" s="74"/>
      <c r="JI188" s="73">
        <f t="shared" ca="1" si="1635"/>
        <v>0</v>
      </c>
      <c r="JJ188" s="64"/>
      <c r="JK188" s="74"/>
      <c r="JL188" s="73">
        <f t="shared" ca="1" si="1636"/>
        <v>0</v>
      </c>
      <c r="JM188" s="64"/>
      <c r="JN188" s="74"/>
      <c r="JO188" s="73">
        <f t="shared" ca="1" si="1637"/>
        <v>0</v>
      </c>
      <c r="JP188" s="64"/>
      <c r="JQ188" s="74"/>
      <c r="JR188" s="73">
        <f t="shared" ca="1" si="1638"/>
        <v>0</v>
      </c>
      <c r="JS188" s="64"/>
      <c r="JT188" s="74"/>
      <c r="JU188" s="73">
        <f t="shared" ca="1" si="1639"/>
        <v>0</v>
      </c>
      <c r="JV188" s="64"/>
      <c r="JW188" s="74"/>
      <c r="JX188" s="73">
        <f t="shared" ca="1" si="1640"/>
        <v>0</v>
      </c>
      <c r="JY188" s="64"/>
      <c r="JZ188" s="74"/>
      <c r="KA188" s="73">
        <f t="shared" ca="1" si="1641"/>
        <v>0</v>
      </c>
      <c r="KB188" s="64"/>
      <c r="KC188" s="74"/>
      <c r="KD188" s="73">
        <f t="shared" ca="1" si="1642"/>
        <v>0</v>
      </c>
      <c r="KE188" s="64"/>
      <c r="KF188" s="74"/>
      <c r="KG188" s="73">
        <f t="shared" ca="1" si="1643"/>
        <v>0</v>
      </c>
      <c r="KH188" s="64"/>
      <c r="KI188" s="74"/>
      <c r="KJ188" s="73">
        <f t="shared" ca="1" si="1644"/>
        <v>0</v>
      </c>
      <c r="KK188" s="64"/>
      <c r="KL188" s="74"/>
      <c r="KM188" s="73">
        <f t="shared" ca="1" si="1645"/>
        <v>0</v>
      </c>
      <c r="KN188" s="64"/>
      <c r="KO188" s="74"/>
      <c r="KP188" s="73">
        <f t="shared" ca="1" si="1646"/>
        <v>0</v>
      </c>
      <c r="KQ188" s="64"/>
      <c r="KR188" s="74"/>
      <c r="KS188" s="73">
        <f t="shared" ca="1" si="1647"/>
        <v>0</v>
      </c>
      <c r="KT188" s="64"/>
      <c r="KU188" s="74"/>
      <c r="KV188" s="73">
        <f t="shared" ca="1" si="1648"/>
        <v>0</v>
      </c>
      <c r="KW188" s="64"/>
      <c r="KX188" s="74"/>
      <c r="KY188" s="73">
        <f t="shared" ca="1" si="1649"/>
        <v>0</v>
      </c>
      <c r="KZ188" s="64"/>
      <c r="LA188" s="74"/>
      <c r="LB188" s="73">
        <f t="shared" ca="1" si="1650"/>
        <v>0</v>
      </c>
      <c r="LC188" s="64"/>
      <c r="LD188" s="74"/>
      <c r="LE188" s="73">
        <f t="shared" ca="1" si="1651"/>
        <v>0</v>
      </c>
      <c r="LF188" s="64"/>
      <c r="LG188" s="64"/>
    </row>
    <row r="189" spans="1:319">
      <c r="A189" s="25"/>
      <c r="B189" s="25"/>
      <c r="C189" s="25"/>
      <c r="D189" s="25"/>
      <c r="E189" s="25"/>
      <c r="F189" s="407">
        <f t="shared" si="1652"/>
        <v>10</v>
      </c>
      <c r="G189" s="407">
        <f ca="1">VLOOKUP(H189,Equipos!$Q$1:$R$25,2,0)</f>
        <v>20</v>
      </c>
      <c r="H189" s="446" t="str">
        <f>Idiomas!$D$260</f>
        <v>Round of 32</v>
      </c>
      <c r="I189" s="50"/>
      <c r="J189" s="845"/>
      <c r="K189" s="56" t="str">
        <f>Idiomas!$D$199&amp;"-"&amp;ROWS($L$182:L189)</f>
        <v>8-Finalist-8</v>
      </c>
      <c r="L189" s="53"/>
      <c r="M189" s="55" t="str">
        <f ca="1">WORLDCUP!AA127</f>
        <v>Switzerland</v>
      </c>
      <c r="N189" s="25"/>
      <c r="O189" s="25"/>
      <c r="P189" s="25"/>
      <c r="Q189" s="25"/>
      <c r="R189" s="110"/>
      <c r="S189" s="74" t="s">
        <v>290</v>
      </c>
      <c r="T189" s="73">
        <f t="shared" ca="1" si="1552"/>
        <v>10</v>
      </c>
      <c r="U189" s="64"/>
      <c r="V189" s="74" t="s">
        <v>290</v>
      </c>
      <c r="W189" s="73">
        <f t="shared" ca="1" si="1553"/>
        <v>10</v>
      </c>
      <c r="X189" s="64"/>
      <c r="Y189" s="74" t="s">
        <v>290</v>
      </c>
      <c r="Z189" s="73">
        <f t="shared" ca="1" si="1554"/>
        <v>10</v>
      </c>
      <c r="AA189" s="64"/>
      <c r="AB189" s="74" t="s">
        <v>290</v>
      </c>
      <c r="AC189" s="73">
        <f t="shared" ca="1" si="1555"/>
        <v>10</v>
      </c>
      <c r="AD189" s="64"/>
      <c r="AE189" s="74" t="s">
        <v>290</v>
      </c>
      <c r="AF189" s="73">
        <f t="shared" ca="1" si="1556"/>
        <v>10</v>
      </c>
      <c r="AG189" s="64"/>
      <c r="AH189" s="74" t="s">
        <v>80</v>
      </c>
      <c r="AI189" s="73">
        <f t="shared" ca="1" si="1557"/>
        <v>0</v>
      </c>
      <c r="AJ189" s="64"/>
      <c r="AK189" s="74" t="s">
        <v>1276</v>
      </c>
      <c r="AL189" s="73">
        <f t="shared" ca="1" si="1558"/>
        <v>10</v>
      </c>
      <c r="AM189" s="64"/>
      <c r="AN189" s="74" t="s">
        <v>1276</v>
      </c>
      <c r="AO189" s="73">
        <f t="shared" ca="1" si="1559"/>
        <v>10</v>
      </c>
      <c r="AP189" s="64"/>
      <c r="AQ189" s="74" t="s">
        <v>1842</v>
      </c>
      <c r="AR189" s="73">
        <f t="shared" ca="1" si="1560"/>
        <v>0</v>
      </c>
      <c r="AS189" s="64"/>
      <c r="AT189" s="74" t="s">
        <v>290</v>
      </c>
      <c r="AU189" s="73">
        <f t="shared" ca="1" si="1561"/>
        <v>10</v>
      </c>
      <c r="AV189" s="64"/>
      <c r="AW189" s="74" t="s">
        <v>1276</v>
      </c>
      <c r="AX189" s="73">
        <f t="shared" ca="1" si="1562"/>
        <v>10</v>
      </c>
      <c r="AY189" s="64"/>
      <c r="AZ189" s="74" t="s">
        <v>290</v>
      </c>
      <c r="BA189" s="73">
        <f t="shared" ca="1" si="1563"/>
        <v>10</v>
      </c>
      <c r="BB189" s="64"/>
      <c r="BC189" s="74" t="s">
        <v>290</v>
      </c>
      <c r="BD189" s="73">
        <f t="shared" ca="1" si="1564"/>
        <v>10</v>
      </c>
      <c r="BE189" s="64"/>
      <c r="BF189" s="74" t="s">
        <v>1284</v>
      </c>
      <c r="BG189" s="73">
        <f t="shared" ca="1" si="1565"/>
        <v>0</v>
      </c>
      <c r="BH189" s="64"/>
      <c r="BI189" s="74" t="s">
        <v>290</v>
      </c>
      <c r="BJ189" s="73">
        <f t="shared" ca="1" si="1566"/>
        <v>10</v>
      </c>
      <c r="BK189" s="64"/>
      <c r="BL189" s="74" t="s">
        <v>290</v>
      </c>
      <c r="BM189" s="73">
        <f t="shared" ca="1" si="1567"/>
        <v>10</v>
      </c>
      <c r="BN189" s="64"/>
      <c r="BO189" s="74" t="s">
        <v>290</v>
      </c>
      <c r="BP189" s="73">
        <f t="shared" ca="1" si="1568"/>
        <v>10</v>
      </c>
      <c r="BQ189" s="64"/>
      <c r="BR189" s="74" t="s">
        <v>290</v>
      </c>
      <c r="BS189" s="73">
        <f t="shared" ca="1" si="1569"/>
        <v>10</v>
      </c>
      <c r="BT189" s="64"/>
      <c r="BU189" s="74" t="s">
        <v>290</v>
      </c>
      <c r="BV189" s="73">
        <f t="shared" ca="1" si="1570"/>
        <v>10</v>
      </c>
      <c r="BW189" s="64"/>
      <c r="BX189" s="74" t="s">
        <v>1276</v>
      </c>
      <c r="BY189" s="73">
        <f t="shared" ca="1" si="1571"/>
        <v>10</v>
      </c>
      <c r="BZ189" s="64"/>
      <c r="CA189" s="74" t="s">
        <v>290</v>
      </c>
      <c r="CB189" s="73">
        <f t="shared" ca="1" si="1572"/>
        <v>10</v>
      </c>
      <c r="CC189" s="64"/>
      <c r="CD189" s="74" t="s">
        <v>290</v>
      </c>
      <c r="CE189" s="73">
        <f t="shared" ca="1" si="1573"/>
        <v>10</v>
      </c>
      <c r="CF189" s="64"/>
      <c r="CG189" s="74" t="s">
        <v>1276</v>
      </c>
      <c r="CH189" s="73">
        <f t="shared" ca="1" si="1574"/>
        <v>10</v>
      </c>
      <c r="CI189" s="64"/>
      <c r="CJ189" s="74" t="s">
        <v>1641</v>
      </c>
      <c r="CK189" s="73">
        <f t="shared" ca="1" si="1575"/>
        <v>0</v>
      </c>
      <c r="CL189" s="64"/>
      <c r="CM189" s="74" t="s">
        <v>290</v>
      </c>
      <c r="CN189" s="73">
        <f t="shared" ca="1" si="1576"/>
        <v>10</v>
      </c>
      <c r="CO189" s="64"/>
      <c r="CP189" s="74" t="s">
        <v>290</v>
      </c>
      <c r="CQ189" s="73">
        <f t="shared" ca="1" si="1577"/>
        <v>10</v>
      </c>
      <c r="CR189" s="64"/>
      <c r="CS189" s="74" t="s">
        <v>290</v>
      </c>
      <c r="CT189" s="73">
        <f t="shared" ca="1" si="1578"/>
        <v>10</v>
      </c>
      <c r="CU189" s="64"/>
      <c r="CV189" s="74" t="s">
        <v>1276</v>
      </c>
      <c r="CW189" s="73">
        <f t="shared" ca="1" si="1579"/>
        <v>10</v>
      </c>
      <c r="CX189" s="64"/>
      <c r="CY189" s="74" t="s">
        <v>1637</v>
      </c>
      <c r="CZ189" s="73">
        <f t="shared" ca="1" si="1580"/>
        <v>0</v>
      </c>
      <c r="DA189" s="64"/>
      <c r="DB189" s="74" t="s">
        <v>290</v>
      </c>
      <c r="DC189" s="73">
        <f t="shared" ca="1" si="1581"/>
        <v>10</v>
      </c>
      <c r="DD189" s="64"/>
      <c r="DE189" s="74" t="s">
        <v>290</v>
      </c>
      <c r="DF189" s="73">
        <f t="shared" ca="1" si="1582"/>
        <v>10</v>
      </c>
      <c r="DG189" s="64"/>
      <c r="DH189" s="74" t="s">
        <v>80</v>
      </c>
      <c r="DI189" s="73">
        <f t="shared" ca="1" si="1583"/>
        <v>0</v>
      </c>
      <c r="DJ189" s="64"/>
      <c r="DK189" s="74" t="s">
        <v>290</v>
      </c>
      <c r="DL189" s="73">
        <f t="shared" ca="1" si="1584"/>
        <v>10</v>
      </c>
      <c r="DM189" s="64"/>
      <c r="DN189" s="74" t="s">
        <v>290</v>
      </c>
      <c r="DO189" s="73">
        <f t="shared" ca="1" si="1585"/>
        <v>10</v>
      </c>
      <c r="DP189" s="64"/>
      <c r="DQ189" s="74" t="s">
        <v>290</v>
      </c>
      <c r="DR189" s="73">
        <f t="shared" ca="1" si="1586"/>
        <v>10</v>
      </c>
      <c r="DS189" s="64"/>
      <c r="DT189" s="74" t="s">
        <v>290</v>
      </c>
      <c r="DU189" s="73">
        <f t="shared" ca="1" si="1587"/>
        <v>10</v>
      </c>
      <c r="DV189" s="64"/>
      <c r="DW189" s="74" t="s">
        <v>290</v>
      </c>
      <c r="DX189" s="73">
        <f t="shared" ca="1" si="1588"/>
        <v>10</v>
      </c>
      <c r="DY189" s="64"/>
      <c r="DZ189" s="74" t="s">
        <v>290</v>
      </c>
      <c r="EA189" s="73">
        <f t="shared" ca="1" si="1589"/>
        <v>10</v>
      </c>
      <c r="EB189" s="64"/>
      <c r="EC189" s="74" t="s">
        <v>290</v>
      </c>
      <c r="ED189" s="73">
        <f t="shared" ca="1" si="1590"/>
        <v>10</v>
      </c>
      <c r="EE189" s="64"/>
      <c r="EF189" s="74" t="s">
        <v>1282</v>
      </c>
      <c r="EG189" s="73">
        <f t="shared" ca="1" si="1591"/>
        <v>0</v>
      </c>
      <c r="EH189" s="64"/>
      <c r="EI189" s="74" t="s">
        <v>290</v>
      </c>
      <c r="EJ189" s="73">
        <f t="shared" ca="1" si="1592"/>
        <v>10</v>
      </c>
      <c r="EK189" s="64"/>
      <c r="EL189" s="74" t="s">
        <v>290</v>
      </c>
      <c r="EM189" s="73">
        <f t="shared" ca="1" si="1593"/>
        <v>10</v>
      </c>
      <c r="EN189" s="64"/>
      <c r="EO189" s="74" t="s">
        <v>290</v>
      </c>
      <c r="EP189" s="73">
        <f t="shared" ca="1" si="1594"/>
        <v>10</v>
      </c>
      <c r="EQ189" s="64"/>
      <c r="ER189" s="74" t="s">
        <v>290</v>
      </c>
      <c r="ES189" s="73">
        <f t="shared" ca="1" si="1595"/>
        <v>10</v>
      </c>
      <c r="ET189" s="64"/>
      <c r="EU189" s="74" t="s">
        <v>1276</v>
      </c>
      <c r="EV189" s="73">
        <f t="shared" ca="1" si="1596"/>
        <v>10</v>
      </c>
      <c r="EW189" s="64"/>
      <c r="EX189" s="74" t="s">
        <v>290</v>
      </c>
      <c r="EY189" s="73">
        <f t="shared" ca="1" si="1597"/>
        <v>10</v>
      </c>
      <c r="EZ189" s="64"/>
      <c r="FA189" s="74" t="s">
        <v>1276</v>
      </c>
      <c r="FB189" s="73">
        <f t="shared" ca="1" si="1598"/>
        <v>10</v>
      </c>
      <c r="FC189" s="64"/>
      <c r="FD189" s="74" t="s">
        <v>1282</v>
      </c>
      <c r="FE189" s="73">
        <f t="shared" ca="1" si="1599"/>
        <v>0</v>
      </c>
      <c r="FF189" s="64"/>
      <c r="FG189" s="74" t="s">
        <v>1276</v>
      </c>
      <c r="FH189" s="73">
        <f t="shared" ca="1" si="1600"/>
        <v>10</v>
      </c>
      <c r="FI189" s="64"/>
      <c r="FJ189" s="74" t="s">
        <v>290</v>
      </c>
      <c r="FK189" s="73">
        <f t="shared" ca="1" si="1601"/>
        <v>10</v>
      </c>
      <c r="FL189" s="64"/>
      <c r="FM189" s="74" t="s">
        <v>290</v>
      </c>
      <c r="FN189" s="73">
        <f t="shared" ca="1" si="1602"/>
        <v>10</v>
      </c>
      <c r="FO189" s="64"/>
      <c r="FP189" s="74" t="s">
        <v>290</v>
      </c>
      <c r="FQ189" s="73">
        <f t="shared" ca="1" si="1603"/>
        <v>10</v>
      </c>
      <c r="FR189" s="64"/>
      <c r="FS189" s="74" t="s">
        <v>290</v>
      </c>
      <c r="FT189" s="73">
        <f t="shared" ca="1" si="1604"/>
        <v>10</v>
      </c>
      <c r="FU189" s="64"/>
      <c r="FV189" s="74" t="s">
        <v>1276</v>
      </c>
      <c r="FW189" s="73">
        <f t="shared" ca="1" si="1605"/>
        <v>10</v>
      </c>
      <c r="FX189" s="64"/>
      <c r="FY189" s="74" t="s">
        <v>80</v>
      </c>
      <c r="FZ189" s="73">
        <f t="shared" ca="1" si="1606"/>
        <v>0</v>
      </c>
      <c r="GA189" s="64"/>
      <c r="GB189" s="74" t="s">
        <v>80</v>
      </c>
      <c r="GC189" s="73">
        <f t="shared" ca="1" si="1607"/>
        <v>0</v>
      </c>
      <c r="GD189" s="64"/>
      <c r="GE189" s="74" t="s">
        <v>290</v>
      </c>
      <c r="GF189" s="73">
        <f t="shared" ca="1" si="1608"/>
        <v>10</v>
      </c>
      <c r="GG189" s="64"/>
      <c r="GH189" s="74" t="s">
        <v>290</v>
      </c>
      <c r="GI189" s="73">
        <f t="shared" ca="1" si="1609"/>
        <v>10</v>
      </c>
      <c r="GJ189" s="64"/>
      <c r="GK189" s="74" t="s">
        <v>290</v>
      </c>
      <c r="GL189" s="73">
        <f t="shared" ca="1" si="1610"/>
        <v>10</v>
      </c>
      <c r="GM189" s="64"/>
      <c r="GN189" s="74"/>
      <c r="GO189" s="73">
        <f t="shared" ca="1" si="1611"/>
        <v>0</v>
      </c>
      <c r="GP189" s="64"/>
      <c r="GQ189" s="74"/>
      <c r="GR189" s="73">
        <f t="shared" ca="1" si="1612"/>
        <v>0</v>
      </c>
      <c r="GS189" s="64"/>
      <c r="GT189" s="74"/>
      <c r="GU189" s="73">
        <f t="shared" ca="1" si="1613"/>
        <v>0</v>
      </c>
      <c r="GV189" s="64"/>
      <c r="GW189" s="74"/>
      <c r="GX189" s="73">
        <f t="shared" ca="1" si="1614"/>
        <v>0</v>
      </c>
      <c r="GY189" s="64"/>
      <c r="GZ189" s="74"/>
      <c r="HA189" s="73">
        <f t="shared" ca="1" si="1615"/>
        <v>0</v>
      </c>
      <c r="HB189" s="64"/>
      <c r="HC189" s="74"/>
      <c r="HD189" s="73">
        <f t="shared" ca="1" si="1616"/>
        <v>0</v>
      </c>
      <c r="HE189" s="64"/>
      <c r="HF189" s="74"/>
      <c r="HG189" s="73">
        <f t="shared" ca="1" si="1617"/>
        <v>0</v>
      </c>
      <c r="HH189" s="64"/>
      <c r="HI189" s="74"/>
      <c r="HJ189" s="73">
        <f t="shared" ca="1" si="1618"/>
        <v>0</v>
      </c>
      <c r="HK189" s="64"/>
      <c r="HL189" s="74"/>
      <c r="HM189" s="73">
        <f t="shared" ca="1" si="1619"/>
        <v>0</v>
      </c>
      <c r="HN189" s="64"/>
      <c r="HO189" s="74"/>
      <c r="HP189" s="73">
        <f t="shared" ca="1" si="1620"/>
        <v>0</v>
      </c>
      <c r="HQ189" s="64"/>
      <c r="HR189" s="74"/>
      <c r="HS189" s="73">
        <f t="shared" ca="1" si="1621"/>
        <v>0</v>
      </c>
      <c r="HT189" s="64"/>
      <c r="HU189" s="74"/>
      <c r="HV189" s="73">
        <f t="shared" ca="1" si="1622"/>
        <v>0</v>
      </c>
      <c r="HW189" s="64"/>
      <c r="HX189" s="74"/>
      <c r="HY189" s="73">
        <f t="shared" ca="1" si="1623"/>
        <v>0</v>
      </c>
      <c r="HZ189" s="64"/>
      <c r="IA189" s="74"/>
      <c r="IB189" s="73">
        <f t="shared" ca="1" si="1624"/>
        <v>0</v>
      </c>
      <c r="IC189" s="64"/>
      <c r="ID189" s="74"/>
      <c r="IE189" s="73">
        <f t="shared" ca="1" si="1625"/>
        <v>0</v>
      </c>
      <c r="IF189" s="64"/>
      <c r="IG189" s="74"/>
      <c r="IH189" s="73">
        <f t="shared" ca="1" si="1626"/>
        <v>0</v>
      </c>
      <c r="II189" s="64"/>
      <c r="IJ189" s="74"/>
      <c r="IK189" s="73">
        <f t="shared" ca="1" si="1627"/>
        <v>0</v>
      </c>
      <c r="IL189" s="64"/>
      <c r="IM189" s="74"/>
      <c r="IN189" s="73">
        <f t="shared" ca="1" si="1628"/>
        <v>0</v>
      </c>
      <c r="IO189" s="64"/>
      <c r="IP189" s="74"/>
      <c r="IQ189" s="73">
        <f t="shared" ca="1" si="1629"/>
        <v>0</v>
      </c>
      <c r="IR189" s="64"/>
      <c r="IS189" s="74"/>
      <c r="IT189" s="73">
        <f t="shared" ca="1" si="1630"/>
        <v>0</v>
      </c>
      <c r="IU189" s="64"/>
      <c r="IV189" s="74"/>
      <c r="IW189" s="73">
        <f t="shared" ca="1" si="1631"/>
        <v>0</v>
      </c>
      <c r="IX189" s="64"/>
      <c r="IY189" s="74"/>
      <c r="IZ189" s="73">
        <f t="shared" ca="1" si="1632"/>
        <v>0</v>
      </c>
      <c r="JA189" s="64"/>
      <c r="JB189" s="74"/>
      <c r="JC189" s="73">
        <f t="shared" ca="1" si="1633"/>
        <v>0</v>
      </c>
      <c r="JD189" s="64"/>
      <c r="JE189" s="74"/>
      <c r="JF189" s="73">
        <f t="shared" ca="1" si="1634"/>
        <v>0</v>
      </c>
      <c r="JG189" s="64"/>
      <c r="JH189" s="74"/>
      <c r="JI189" s="73">
        <f t="shared" ca="1" si="1635"/>
        <v>0</v>
      </c>
      <c r="JJ189" s="64"/>
      <c r="JK189" s="74"/>
      <c r="JL189" s="73">
        <f t="shared" ca="1" si="1636"/>
        <v>0</v>
      </c>
      <c r="JM189" s="64"/>
      <c r="JN189" s="74"/>
      <c r="JO189" s="73">
        <f t="shared" ca="1" si="1637"/>
        <v>0</v>
      </c>
      <c r="JP189" s="64"/>
      <c r="JQ189" s="74"/>
      <c r="JR189" s="73">
        <f t="shared" ca="1" si="1638"/>
        <v>0</v>
      </c>
      <c r="JS189" s="64"/>
      <c r="JT189" s="74"/>
      <c r="JU189" s="73">
        <f t="shared" ca="1" si="1639"/>
        <v>0</v>
      </c>
      <c r="JV189" s="64"/>
      <c r="JW189" s="74"/>
      <c r="JX189" s="73">
        <f t="shared" ca="1" si="1640"/>
        <v>0</v>
      </c>
      <c r="JY189" s="64"/>
      <c r="JZ189" s="74"/>
      <c r="KA189" s="73">
        <f t="shared" ca="1" si="1641"/>
        <v>0</v>
      </c>
      <c r="KB189" s="64"/>
      <c r="KC189" s="74"/>
      <c r="KD189" s="73">
        <f t="shared" ca="1" si="1642"/>
        <v>0</v>
      </c>
      <c r="KE189" s="64"/>
      <c r="KF189" s="74"/>
      <c r="KG189" s="73">
        <f t="shared" ca="1" si="1643"/>
        <v>0</v>
      </c>
      <c r="KH189" s="64"/>
      <c r="KI189" s="74"/>
      <c r="KJ189" s="73">
        <f t="shared" ca="1" si="1644"/>
        <v>0</v>
      </c>
      <c r="KK189" s="64"/>
      <c r="KL189" s="74"/>
      <c r="KM189" s="73">
        <f t="shared" ca="1" si="1645"/>
        <v>0</v>
      </c>
      <c r="KN189" s="64"/>
      <c r="KO189" s="74"/>
      <c r="KP189" s="73">
        <f t="shared" ca="1" si="1646"/>
        <v>0</v>
      </c>
      <c r="KQ189" s="64"/>
      <c r="KR189" s="74"/>
      <c r="KS189" s="73">
        <f t="shared" ca="1" si="1647"/>
        <v>0</v>
      </c>
      <c r="KT189" s="64"/>
      <c r="KU189" s="74"/>
      <c r="KV189" s="73">
        <f t="shared" ca="1" si="1648"/>
        <v>0</v>
      </c>
      <c r="KW189" s="64"/>
      <c r="KX189" s="74"/>
      <c r="KY189" s="73">
        <f t="shared" ca="1" si="1649"/>
        <v>0</v>
      </c>
      <c r="KZ189" s="64"/>
      <c r="LA189" s="74"/>
      <c r="LB189" s="73">
        <f t="shared" ca="1" si="1650"/>
        <v>0</v>
      </c>
      <c r="LC189" s="64"/>
      <c r="LD189" s="74"/>
      <c r="LE189" s="73">
        <f t="shared" ca="1" si="1651"/>
        <v>0</v>
      </c>
      <c r="LF189" s="64"/>
      <c r="LG189" s="64"/>
    </row>
    <row r="190" spans="1:319">
      <c r="A190" s="25"/>
      <c r="B190" s="25"/>
      <c r="C190" s="25"/>
      <c r="D190" s="25"/>
      <c r="E190" s="25"/>
      <c r="F190" s="407">
        <f t="shared" si="1652"/>
        <v>10</v>
      </c>
      <c r="G190" s="407">
        <f ca="1">VLOOKUP(H190,Equipos!$Q$1:$R$25,2,0)</f>
        <v>20</v>
      </c>
      <c r="H190" s="446" t="str">
        <f>Idiomas!$D$260</f>
        <v>Round of 32</v>
      </c>
      <c r="I190" s="50"/>
      <c r="J190" s="845"/>
      <c r="K190" s="56" t="str">
        <f>Idiomas!$D$199&amp;"-"&amp;ROWS($L$182:L190)</f>
        <v>8-Finalist-9</v>
      </c>
      <c r="L190" s="53"/>
      <c r="M190" s="55" t="str">
        <f ca="1">WORLDCUP!AF120</f>
        <v>Morocco</v>
      </c>
      <c r="N190" s="25"/>
      <c r="O190" s="25"/>
      <c r="P190" s="25"/>
      <c r="Q190" s="25"/>
      <c r="R190" s="110"/>
      <c r="S190" s="74" t="s">
        <v>298</v>
      </c>
      <c r="T190" s="73">
        <f t="shared" ca="1" si="1552"/>
        <v>0</v>
      </c>
      <c r="U190" s="64"/>
      <c r="V190" s="74" t="s">
        <v>291</v>
      </c>
      <c r="W190" s="73">
        <f t="shared" ca="1" si="1553"/>
        <v>0</v>
      </c>
      <c r="X190" s="64"/>
      <c r="Y190" s="74" t="s">
        <v>291</v>
      </c>
      <c r="Z190" s="73">
        <f t="shared" ca="1" si="1554"/>
        <v>0</v>
      </c>
      <c r="AA190" s="64"/>
      <c r="AB190" s="74" t="s">
        <v>291</v>
      </c>
      <c r="AC190" s="73">
        <f t="shared" ca="1" si="1555"/>
        <v>0</v>
      </c>
      <c r="AD190" s="64"/>
      <c r="AE190" s="74" t="s">
        <v>291</v>
      </c>
      <c r="AF190" s="73">
        <f t="shared" ca="1" si="1556"/>
        <v>0</v>
      </c>
      <c r="AG190" s="64"/>
      <c r="AH190" s="74" t="s">
        <v>291</v>
      </c>
      <c r="AI190" s="73">
        <f t="shared" ca="1" si="1557"/>
        <v>0</v>
      </c>
      <c r="AJ190" s="64"/>
      <c r="AK190" s="74" t="s">
        <v>291</v>
      </c>
      <c r="AL190" s="73">
        <f t="shared" ca="1" si="1558"/>
        <v>0</v>
      </c>
      <c r="AM190" s="64"/>
      <c r="AN190" s="74" t="s">
        <v>1284</v>
      </c>
      <c r="AO190" s="73">
        <f t="shared" ca="1" si="1559"/>
        <v>0</v>
      </c>
      <c r="AP190" s="64"/>
      <c r="AQ190" s="74" t="s">
        <v>291</v>
      </c>
      <c r="AR190" s="73">
        <f t="shared" ca="1" si="1560"/>
        <v>0</v>
      </c>
      <c r="AS190" s="64"/>
      <c r="AT190" s="74" t="s">
        <v>291</v>
      </c>
      <c r="AU190" s="73">
        <f t="shared" ca="1" si="1561"/>
        <v>0</v>
      </c>
      <c r="AV190" s="64"/>
      <c r="AW190" s="74" t="s">
        <v>1326</v>
      </c>
      <c r="AX190" s="73">
        <f t="shared" ca="1" si="1562"/>
        <v>10</v>
      </c>
      <c r="AY190" s="64"/>
      <c r="AZ190" s="74" t="s">
        <v>291</v>
      </c>
      <c r="BA190" s="73">
        <f t="shared" ca="1" si="1563"/>
        <v>0</v>
      </c>
      <c r="BB190" s="64"/>
      <c r="BC190" s="74" t="s">
        <v>1284</v>
      </c>
      <c r="BD190" s="73">
        <f t="shared" ca="1" si="1564"/>
        <v>0</v>
      </c>
      <c r="BE190" s="64"/>
      <c r="BF190" s="74" t="s">
        <v>291</v>
      </c>
      <c r="BG190" s="73">
        <f t="shared" ca="1" si="1565"/>
        <v>0</v>
      </c>
      <c r="BH190" s="64"/>
      <c r="BI190" s="74" t="s">
        <v>291</v>
      </c>
      <c r="BJ190" s="73">
        <f t="shared" ca="1" si="1566"/>
        <v>0</v>
      </c>
      <c r="BK190" s="64"/>
      <c r="BL190" s="74" t="s">
        <v>291</v>
      </c>
      <c r="BM190" s="73">
        <f t="shared" ca="1" si="1567"/>
        <v>0</v>
      </c>
      <c r="BN190" s="64"/>
      <c r="BO190" s="74" t="s">
        <v>291</v>
      </c>
      <c r="BP190" s="73">
        <f t="shared" ca="1" si="1568"/>
        <v>0</v>
      </c>
      <c r="BQ190" s="64"/>
      <c r="BR190" s="74" t="s">
        <v>291</v>
      </c>
      <c r="BS190" s="73">
        <f t="shared" ca="1" si="1569"/>
        <v>0</v>
      </c>
      <c r="BT190" s="64"/>
      <c r="BU190" s="74" t="s">
        <v>291</v>
      </c>
      <c r="BV190" s="73">
        <f t="shared" ca="1" si="1570"/>
        <v>0</v>
      </c>
      <c r="BW190" s="64"/>
      <c r="BX190" s="74" t="s">
        <v>291</v>
      </c>
      <c r="BY190" s="73">
        <f t="shared" ca="1" si="1571"/>
        <v>0</v>
      </c>
      <c r="BZ190" s="64"/>
      <c r="CA190" s="74" t="s">
        <v>1326</v>
      </c>
      <c r="CB190" s="73">
        <f t="shared" ca="1" si="1572"/>
        <v>10</v>
      </c>
      <c r="CC190" s="64"/>
      <c r="CD190" s="74" t="s">
        <v>291</v>
      </c>
      <c r="CE190" s="73">
        <f t="shared" ca="1" si="1573"/>
        <v>0</v>
      </c>
      <c r="CF190" s="64"/>
      <c r="CG190" s="74" t="s">
        <v>291</v>
      </c>
      <c r="CH190" s="73">
        <f t="shared" ca="1" si="1574"/>
        <v>0</v>
      </c>
      <c r="CI190" s="64"/>
      <c r="CJ190" s="74" t="s">
        <v>291</v>
      </c>
      <c r="CK190" s="73">
        <f t="shared" ca="1" si="1575"/>
        <v>0</v>
      </c>
      <c r="CL190" s="64"/>
      <c r="CM190" s="74" t="s">
        <v>1326</v>
      </c>
      <c r="CN190" s="73">
        <f t="shared" ca="1" si="1576"/>
        <v>10</v>
      </c>
      <c r="CO190" s="64"/>
      <c r="CP190" s="74" t="s">
        <v>291</v>
      </c>
      <c r="CQ190" s="73">
        <f t="shared" ca="1" si="1577"/>
        <v>0</v>
      </c>
      <c r="CR190" s="64"/>
      <c r="CS190" s="74" t="s">
        <v>1284</v>
      </c>
      <c r="CT190" s="73">
        <f t="shared" ca="1" si="1578"/>
        <v>0</v>
      </c>
      <c r="CU190" s="64"/>
      <c r="CV190" s="74" t="s">
        <v>291</v>
      </c>
      <c r="CW190" s="73">
        <f t="shared" ca="1" si="1579"/>
        <v>0</v>
      </c>
      <c r="CX190" s="64"/>
      <c r="CY190" s="74" t="s">
        <v>291</v>
      </c>
      <c r="CZ190" s="73">
        <f t="shared" ca="1" si="1580"/>
        <v>0</v>
      </c>
      <c r="DA190" s="64"/>
      <c r="DB190" s="74" t="s">
        <v>291</v>
      </c>
      <c r="DC190" s="73">
        <f t="shared" ca="1" si="1581"/>
        <v>0</v>
      </c>
      <c r="DD190" s="64"/>
      <c r="DE190" s="74" t="s">
        <v>291</v>
      </c>
      <c r="DF190" s="73">
        <f t="shared" ca="1" si="1582"/>
        <v>0</v>
      </c>
      <c r="DG190" s="64"/>
      <c r="DH190" s="74" t="s">
        <v>1284</v>
      </c>
      <c r="DI190" s="73">
        <f t="shared" ca="1" si="1583"/>
        <v>0</v>
      </c>
      <c r="DJ190" s="64"/>
      <c r="DK190" s="74" t="s">
        <v>291</v>
      </c>
      <c r="DL190" s="73">
        <f t="shared" ca="1" si="1584"/>
        <v>0</v>
      </c>
      <c r="DM190" s="64"/>
      <c r="DN190" s="74" t="s">
        <v>291</v>
      </c>
      <c r="DO190" s="73">
        <f t="shared" ca="1" si="1585"/>
        <v>0</v>
      </c>
      <c r="DP190" s="64"/>
      <c r="DQ190" s="74" t="s">
        <v>291</v>
      </c>
      <c r="DR190" s="73">
        <f t="shared" ca="1" si="1586"/>
        <v>0</v>
      </c>
      <c r="DS190" s="64"/>
      <c r="DT190" s="74" t="s">
        <v>291</v>
      </c>
      <c r="DU190" s="73">
        <f t="shared" ca="1" si="1587"/>
        <v>0</v>
      </c>
      <c r="DV190" s="64"/>
      <c r="DW190" s="74" t="s">
        <v>291</v>
      </c>
      <c r="DX190" s="73">
        <f t="shared" ca="1" si="1588"/>
        <v>0</v>
      </c>
      <c r="DY190" s="64"/>
      <c r="DZ190" s="74" t="s">
        <v>291</v>
      </c>
      <c r="EA190" s="73">
        <f t="shared" ca="1" si="1589"/>
        <v>0</v>
      </c>
      <c r="EB190" s="64"/>
      <c r="EC190" s="74" t="s">
        <v>291</v>
      </c>
      <c r="ED190" s="73">
        <f t="shared" ca="1" si="1590"/>
        <v>0</v>
      </c>
      <c r="EE190" s="64"/>
      <c r="EF190" s="74" t="s">
        <v>291</v>
      </c>
      <c r="EG190" s="73">
        <f t="shared" ca="1" si="1591"/>
        <v>0</v>
      </c>
      <c r="EH190" s="64"/>
      <c r="EI190" s="74" t="s">
        <v>291</v>
      </c>
      <c r="EJ190" s="73">
        <f t="shared" ca="1" si="1592"/>
        <v>0</v>
      </c>
      <c r="EK190" s="64"/>
      <c r="EL190" s="74" t="s">
        <v>1326</v>
      </c>
      <c r="EM190" s="73">
        <f t="shared" ca="1" si="1593"/>
        <v>10</v>
      </c>
      <c r="EN190" s="64"/>
      <c r="EO190" s="74" t="s">
        <v>291</v>
      </c>
      <c r="EP190" s="73">
        <f t="shared" ca="1" si="1594"/>
        <v>0</v>
      </c>
      <c r="EQ190" s="64"/>
      <c r="ER190" s="74" t="s">
        <v>291</v>
      </c>
      <c r="ES190" s="73">
        <f t="shared" ca="1" si="1595"/>
        <v>0</v>
      </c>
      <c r="ET190" s="64"/>
      <c r="EU190" s="74" t="s">
        <v>1326</v>
      </c>
      <c r="EV190" s="73">
        <f t="shared" ca="1" si="1596"/>
        <v>10</v>
      </c>
      <c r="EW190" s="64"/>
      <c r="EX190" s="74" t="s">
        <v>291</v>
      </c>
      <c r="EY190" s="73">
        <f t="shared" ca="1" si="1597"/>
        <v>0</v>
      </c>
      <c r="EZ190" s="64"/>
      <c r="FA190" s="74" t="s">
        <v>291</v>
      </c>
      <c r="FB190" s="73">
        <f t="shared" ca="1" si="1598"/>
        <v>0</v>
      </c>
      <c r="FC190" s="64"/>
      <c r="FD190" s="74" t="s">
        <v>291</v>
      </c>
      <c r="FE190" s="73">
        <f t="shared" ca="1" si="1599"/>
        <v>0</v>
      </c>
      <c r="FF190" s="64"/>
      <c r="FG190" s="74" t="s">
        <v>291</v>
      </c>
      <c r="FH190" s="73">
        <f t="shared" ca="1" si="1600"/>
        <v>0</v>
      </c>
      <c r="FI190" s="64"/>
      <c r="FJ190" s="74" t="s">
        <v>291</v>
      </c>
      <c r="FK190" s="73">
        <f t="shared" ca="1" si="1601"/>
        <v>0</v>
      </c>
      <c r="FL190" s="64"/>
      <c r="FM190" s="74" t="s">
        <v>291</v>
      </c>
      <c r="FN190" s="73">
        <f t="shared" ca="1" si="1602"/>
        <v>0</v>
      </c>
      <c r="FO190" s="64"/>
      <c r="FP190" s="74" t="s">
        <v>291</v>
      </c>
      <c r="FQ190" s="73">
        <f t="shared" ca="1" si="1603"/>
        <v>0</v>
      </c>
      <c r="FR190" s="64"/>
      <c r="FS190" s="74" t="s">
        <v>291</v>
      </c>
      <c r="FT190" s="73">
        <f t="shared" ca="1" si="1604"/>
        <v>0</v>
      </c>
      <c r="FU190" s="64"/>
      <c r="FV190" s="74" t="s">
        <v>291</v>
      </c>
      <c r="FW190" s="73">
        <f t="shared" ca="1" si="1605"/>
        <v>0</v>
      </c>
      <c r="FX190" s="64"/>
      <c r="FY190" s="74" t="s">
        <v>291</v>
      </c>
      <c r="FZ190" s="73">
        <f t="shared" ca="1" si="1606"/>
        <v>0</v>
      </c>
      <c r="GA190" s="64"/>
      <c r="GB190" s="74" t="s">
        <v>291</v>
      </c>
      <c r="GC190" s="73">
        <f t="shared" ca="1" si="1607"/>
        <v>0</v>
      </c>
      <c r="GD190" s="64"/>
      <c r="GE190" s="74" t="s">
        <v>291</v>
      </c>
      <c r="GF190" s="73">
        <f t="shared" ca="1" si="1608"/>
        <v>0</v>
      </c>
      <c r="GG190" s="64"/>
      <c r="GH190" s="74" t="s">
        <v>291</v>
      </c>
      <c r="GI190" s="73">
        <f t="shared" ca="1" si="1609"/>
        <v>0</v>
      </c>
      <c r="GJ190" s="64"/>
      <c r="GK190" s="74" t="s">
        <v>291</v>
      </c>
      <c r="GL190" s="73">
        <f t="shared" ca="1" si="1610"/>
        <v>0</v>
      </c>
      <c r="GM190" s="64"/>
      <c r="GN190" s="74"/>
      <c r="GO190" s="73">
        <f t="shared" ca="1" si="1611"/>
        <v>0</v>
      </c>
      <c r="GP190" s="64"/>
      <c r="GQ190" s="74"/>
      <c r="GR190" s="73">
        <f t="shared" ca="1" si="1612"/>
        <v>0</v>
      </c>
      <c r="GS190" s="64"/>
      <c r="GT190" s="74"/>
      <c r="GU190" s="73">
        <f t="shared" ca="1" si="1613"/>
        <v>0</v>
      </c>
      <c r="GV190" s="64"/>
      <c r="GW190" s="74"/>
      <c r="GX190" s="73">
        <f t="shared" ca="1" si="1614"/>
        <v>0</v>
      </c>
      <c r="GY190" s="64"/>
      <c r="GZ190" s="74"/>
      <c r="HA190" s="73">
        <f t="shared" ca="1" si="1615"/>
        <v>0</v>
      </c>
      <c r="HB190" s="64"/>
      <c r="HC190" s="74"/>
      <c r="HD190" s="73">
        <f t="shared" ca="1" si="1616"/>
        <v>0</v>
      </c>
      <c r="HE190" s="64"/>
      <c r="HF190" s="74"/>
      <c r="HG190" s="73">
        <f t="shared" ca="1" si="1617"/>
        <v>0</v>
      </c>
      <c r="HH190" s="64"/>
      <c r="HI190" s="74"/>
      <c r="HJ190" s="73">
        <f t="shared" ca="1" si="1618"/>
        <v>0</v>
      </c>
      <c r="HK190" s="64"/>
      <c r="HL190" s="74"/>
      <c r="HM190" s="73">
        <f t="shared" ca="1" si="1619"/>
        <v>0</v>
      </c>
      <c r="HN190" s="64"/>
      <c r="HO190" s="74"/>
      <c r="HP190" s="73">
        <f t="shared" ca="1" si="1620"/>
        <v>0</v>
      </c>
      <c r="HQ190" s="64"/>
      <c r="HR190" s="74"/>
      <c r="HS190" s="73">
        <f t="shared" ca="1" si="1621"/>
        <v>0</v>
      </c>
      <c r="HT190" s="64"/>
      <c r="HU190" s="74"/>
      <c r="HV190" s="73">
        <f t="shared" ca="1" si="1622"/>
        <v>0</v>
      </c>
      <c r="HW190" s="64"/>
      <c r="HX190" s="74"/>
      <c r="HY190" s="73">
        <f t="shared" ca="1" si="1623"/>
        <v>0</v>
      </c>
      <c r="HZ190" s="64"/>
      <c r="IA190" s="74"/>
      <c r="IB190" s="73">
        <f t="shared" ca="1" si="1624"/>
        <v>0</v>
      </c>
      <c r="IC190" s="64"/>
      <c r="ID190" s="74"/>
      <c r="IE190" s="73">
        <f t="shared" ca="1" si="1625"/>
        <v>0</v>
      </c>
      <c r="IF190" s="64"/>
      <c r="IG190" s="74"/>
      <c r="IH190" s="73">
        <f t="shared" ca="1" si="1626"/>
        <v>0</v>
      </c>
      <c r="II190" s="64"/>
      <c r="IJ190" s="74"/>
      <c r="IK190" s="73">
        <f t="shared" ca="1" si="1627"/>
        <v>0</v>
      </c>
      <c r="IL190" s="64"/>
      <c r="IM190" s="74"/>
      <c r="IN190" s="73">
        <f t="shared" ca="1" si="1628"/>
        <v>0</v>
      </c>
      <c r="IO190" s="64"/>
      <c r="IP190" s="74"/>
      <c r="IQ190" s="73">
        <f t="shared" ca="1" si="1629"/>
        <v>0</v>
      </c>
      <c r="IR190" s="64"/>
      <c r="IS190" s="74"/>
      <c r="IT190" s="73">
        <f t="shared" ca="1" si="1630"/>
        <v>0</v>
      </c>
      <c r="IU190" s="64"/>
      <c r="IV190" s="74"/>
      <c r="IW190" s="73">
        <f t="shared" ca="1" si="1631"/>
        <v>0</v>
      </c>
      <c r="IX190" s="64"/>
      <c r="IY190" s="74"/>
      <c r="IZ190" s="73">
        <f t="shared" ca="1" si="1632"/>
        <v>0</v>
      </c>
      <c r="JA190" s="64"/>
      <c r="JB190" s="74"/>
      <c r="JC190" s="73">
        <f t="shared" ca="1" si="1633"/>
        <v>0</v>
      </c>
      <c r="JD190" s="64"/>
      <c r="JE190" s="74"/>
      <c r="JF190" s="73">
        <f t="shared" ca="1" si="1634"/>
        <v>0</v>
      </c>
      <c r="JG190" s="64"/>
      <c r="JH190" s="74"/>
      <c r="JI190" s="73">
        <f t="shared" ca="1" si="1635"/>
        <v>0</v>
      </c>
      <c r="JJ190" s="64"/>
      <c r="JK190" s="74"/>
      <c r="JL190" s="73">
        <f t="shared" ca="1" si="1636"/>
        <v>0</v>
      </c>
      <c r="JM190" s="64"/>
      <c r="JN190" s="74"/>
      <c r="JO190" s="73">
        <f t="shared" ca="1" si="1637"/>
        <v>0</v>
      </c>
      <c r="JP190" s="64"/>
      <c r="JQ190" s="74"/>
      <c r="JR190" s="73">
        <f t="shared" ca="1" si="1638"/>
        <v>0</v>
      </c>
      <c r="JS190" s="64"/>
      <c r="JT190" s="74"/>
      <c r="JU190" s="73">
        <f t="shared" ca="1" si="1639"/>
        <v>0</v>
      </c>
      <c r="JV190" s="64"/>
      <c r="JW190" s="74"/>
      <c r="JX190" s="73">
        <f t="shared" ca="1" si="1640"/>
        <v>0</v>
      </c>
      <c r="JY190" s="64"/>
      <c r="JZ190" s="74"/>
      <c r="KA190" s="73">
        <f t="shared" ca="1" si="1641"/>
        <v>0</v>
      </c>
      <c r="KB190" s="64"/>
      <c r="KC190" s="74"/>
      <c r="KD190" s="73">
        <f t="shared" ca="1" si="1642"/>
        <v>0</v>
      </c>
      <c r="KE190" s="64"/>
      <c r="KF190" s="74"/>
      <c r="KG190" s="73">
        <f t="shared" ca="1" si="1643"/>
        <v>0</v>
      </c>
      <c r="KH190" s="64"/>
      <c r="KI190" s="74"/>
      <c r="KJ190" s="73">
        <f t="shared" ca="1" si="1644"/>
        <v>0</v>
      </c>
      <c r="KK190" s="64"/>
      <c r="KL190" s="74"/>
      <c r="KM190" s="73">
        <f t="shared" ca="1" si="1645"/>
        <v>0</v>
      </c>
      <c r="KN190" s="64"/>
      <c r="KO190" s="74"/>
      <c r="KP190" s="73">
        <f t="shared" ca="1" si="1646"/>
        <v>0</v>
      </c>
      <c r="KQ190" s="64"/>
      <c r="KR190" s="74"/>
      <c r="KS190" s="73">
        <f t="shared" ca="1" si="1647"/>
        <v>0</v>
      </c>
      <c r="KT190" s="64"/>
      <c r="KU190" s="74"/>
      <c r="KV190" s="73">
        <f t="shared" ca="1" si="1648"/>
        <v>0</v>
      </c>
      <c r="KW190" s="64"/>
      <c r="KX190" s="74"/>
      <c r="KY190" s="73">
        <f t="shared" ca="1" si="1649"/>
        <v>0</v>
      </c>
      <c r="KZ190" s="64"/>
      <c r="LA190" s="74"/>
      <c r="LB190" s="73">
        <f t="shared" ca="1" si="1650"/>
        <v>0</v>
      </c>
      <c r="LC190" s="64"/>
      <c r="LD190" s="74"/>
      <c r="LE190" s="73">
        <f t="shared" ca="1" si="1651"/>
        <v>0</v>
      </c>
      <c r="LF190" s="64"/>
      <c r="LG190" s="64"/>
    </row>
    <row r="191" spans="1:319">
      <c r="A191" s="25"/>
      <c r="B191" s="25"/>
      <c r="C191" s="25"/>
      <c r="D191" s="25"/>
      <c r="E191" s="25"/>
      <c r="F191" s="407">
        <f t="shared" si="1652"/>
        <v>10</v>
      </c>
      <c r="G191" s="407">
        <f ca="1">VLOOKUP(H191,Equipos!$Q$1:$R$25,2,0)</f>
        <v>20</v>
      </c>
      <c r="H191" s="446" t="str">
        <f>Idiomas!$D$260</f>
        <v>Round of 32</v>
      </c>
      <c r="I191" s="50"/>
      <c r="J191" s="845"/>
      <c r="K191" s="56" t="str">
        <f>Idiomas!$D$199&amp;"-"&amp;ROWS($L$182:L191)</f>
        <v>8-Finalist-10</v>
      </c>
      <c r="L191" s="53"/>
      <c r="M191" s="55" t="str">
        <f ca="1">WORLDCUP!AF121</f>
        <v>France</v>
      </c>
      <c r="N191" s="25"/>
      <c r="O191" s="25"/>
      <c r="P191" s="25"/>
      <c r="Q191" s="25"/>
      <c r="R191" s="110"/>
      <c r="S191" s="74" t="s">
        <v>1634</v>
      </c>
      <c r="T191" s="73">
        <f t="shared" ca="1" si="1552"/>
        <v>0</v>
      </c>
      <c r="U191" s="64"/>
      <c r="V191" s="74" t="s">
        <v>294</v>
      </c>
      <c r="W191" s="73">
        <f t="shared" ca="1" si="1553"/>
        <v>10</v>
      </c>
      <c r="X191" s="64"/>
      <c r="Y191" s="74" t="s">
        <v>1282</v>
      </c>
      <c r="Z191" s="73">
        <f t="shared" ca="1" si="1554"/>
        <v>0</v>
      </c>
      <c r="AA191" s="64"/>
      <c r="AB191" s="74" t="s">
        <v>294</v>
      </c>
      <c r="AC191" s="73">
        <f t="shared" ca="1" si="1555"/>
        <v>10</v>
      </c>
      <c r="AD191" s="64"/>
      <c r="AE191" s="74" t="s">
        <v>294</v>
      </c>
      <c r="AF191" s="73">
        <f t="shared" ca="1" si="1556"/>
        <v>10</v>
      </c>
      <c r="AG191" s="64"/>
      <c r="AH191" s="74" t="s">
        <v>294</v>
      </c>
      <c r="AI191" s="73">
        <f t="shared" ca="1" si="1557"/>
        <v>10</v>
      </c>
      <c r="AJ191" s="64"/>
      <c r="AK191" s="74" t="s">
        <v>294</v>
      </c>
      <c r="AL191" s="73">
        <f t="shared" ca="1" si="1558"/>
        <v>10</v>
      </c>
      <c r="AM191" s="64"/>
      <c r="AN191" s="74" t="s">
        <v>294</v>
      </c>
      <c r="AO191" s="73">
        <f t="shared" ca="1" si="1559"/>
        <v>10</v>
      </c>
      <c r="AP191" s="64"/>
      <c r="AQ191" s="74" t="s">
        <v>294</v>
      </c>
      <c r="AR191" s="73">
        <f t="shared" ca="1" si="1560"/>
        <v>10</v>
      </c>
      <c r="AS191" s="64"/>
      <c r="AT191" s="74" t="s">
        <v>294</v>
      </c>
      <c r="AU191" s="73">
        <f t="shared" ca="1" si="1561"/>
        <v>10</v>
      </c>
      <c r="AV191" s="64"/>
      <c r="AW191" s="74" t="s">
        <v>294</v>
      </c>
      <c r="AX191" s="73">
        <f t="shared" ca="1" si="1562"/>
        <v>10</v>
      </c>
      <c r="AY191" s="64"/>
      <c r="AZ191" s="74" t="s">
        <v>294</v>
      </c>
      <c r="BA191" s="73">
        <f t="shared" ca="1" si="1563"/>
        <v>10</v>
      </c>
      <c r="BB191" s="64"/>
      <c r="BC191" s="74" t="s">
        <v>294</v>
      </c>
      <c r="BD191" s="73">
        <f t="shared" ca="1" si="1564"/>
        <v>10</v>
      </c>
      <c r="BE191" s="64"/>
      <c r="BF191" s="74" t="s">
        <v>294</v>
      </c>
      <c r="BG191" s="73">
        <f t="shared" ca="1" si="1565"/>
        <v>10</v>
      </c>
      <c r="BH191" s="64"/>
      <c r="BI191" s="74" t="s">
        <v>299</v>
      </c>
      <c r="BJ191" s="73">
        <f t="shared" ca="1" si="1566"/>
        <v>10</v>
      </c>
      <c r="BK191" s="64"/>
      <c r="BL191" s="74" t="s">
        <v>294</v>
      </c>
      <c r="BM191" s="73">
        <f t="shared" ca="1" si="1567"/>
        <v>10</v>
      </c>
      <c r="BN191" s="64"/>
      <c r="BO191" s="74" t="s">
        <v>294</v>
      </c>
      <c r="BP191" s="73">
        <f t="shared" ca="1" si="1568"/>
        <v>10</v>
      </c>
      <c r="BQ191" s="64"/>
      <c r="BR191" s="74" t="s">
        <v>294</v>
      </c>
      <c r="BS191" s="73">
        <f t="shared" ca="1" si="1569"/>
        <v>10</v>
      </c>
      <c r="BT191" s="64"/>
      <c r="BU191" s="74" t="s">
        <v>294</v>
      </c>
      <c r="BV191" s="73">
        <f t="shared" ca="1" si="1570"/>
        <v>10</v>
      </c>
      <c r="BW191" s="64"/>
      <c r="BX191" s="74" t="s">
        <v>294</v>
      </c>
      <c r="BY191" s="73">
        <f t="shared" ca="1" si="1571"/>
        <v>10</v>
      </c>
      <c r="BZ191" s="64"/>
      <c r="CA191" s="74" t="s">
        <v>294</v>
      </c>
      <c r="CB191" s="73">
        <f t="shared" ca="1" si="1572"/>
        <v>10</v>
      </c>
      <c r="CC191" s="64"/>
      <c r="CD191" s="74" t="s">
        <v>294</v>
      </c>
      <c r="CE191" s="73">
        <f t="shared" ca="1" si="1573"/>
        <v>10</v>
      </c>
      <c r="CF191" s="64"/>
      <c r="CG191" s="74" t="s">
        <v>294</v>
      </c>
      <c r="CH191" s="73">
        <f t="shared" ca="1" si="1574"/>
        <v>10</v>
      </c>
      <c r="CI191" s="64"/>
      <c r="CJ191" s="74" t="s">
        <v>294</v>
      </c>
      <c r="CK191" s="73">
        <f t="shared" ca="1" si="1575"/>
        <v>10</v>
      </c>
      <c r="CL191" s="64"/>
      <c r="CM191" s="74" t="s">
        <v>294</v>
      </c>
      <c r="CN191" s="73">
        <f t="shared" ca="1" si="1576"/>
        <v>10</v>
      </c>
      <c r="CO191" s="64"/>
      <c r="CP191" s="74" t="s">
        <v>294</v>
      </c>
      <c r="CQ191" s="73">
        <f t="shared" ca="1" si="1577"/>
        <v>10</v>
      </c>
      <c r="CR191" s="64"/>
      <c r="CS191" s="74" t="s">
        <v>299</v>
      </c>
      <c r="CT191" s="73">
        <f t="shared" ca="1" si="1578"/>
        <v>10</v>
      </c>
      <c r="CU191" s="64"/>
      <c r="CV191" s="74" t="s">
        <v>294</v>
      </c>
      <c r="CW191" s="73">
        <f t="shared" ca="1" si="1579"/>
        <v>10</v>
      </c>
      <c r="CX191" s="64"/>
      <c r="CY191" s="74" t="s">
        <v>294</v>
      </c>
      <c r="CZ191" s="73">
        <f t="shared" ca="1" si="1580"/>
        <v>10</v>
      </c>
      <c r="DA191" s="64"/>
      <c r="DB191" s="74" t="s">
        <v>294</v>
      </c>
      <c r="DC191" s="73">
        <f t="shared" ca="1" si="1581"/>
        <v>10</v>
      </c>
      <c r="DD191" s="64"/>
      <c r="DE191" s="74" t="s">
        <v>294</v>
      </c>
      <c r="DF191" s="73">
        <f t="shared" ca="1" si="1582"/>
        <v>10</v>
      </c>
      <c r="DG191" s="64"/>
      <c r="DH191" s="74" t="s">
        <v>294</v>
      </c>
      <c r="DI191" s="73">
        <f t="shared" ca="1" si="1583"/>
        <v>10</v>
      </c>
      <c r="DJ191" s="64"/>
      <c r="DK191" s="74" t="s">
        <v>294</v>
      </c>
      <c r="DL191" s="73">
        <f t="shared" ca="1" si="1584"/>
        <v>10</v>
      </c>
      <c r="DM191" s="64"/>
      <c r="DN191" s="74" t="s">
        <v>1834</v>
      </c>
      <c r="DO191" s="73">
        <f t="shared" ca="1" si="1585"/>
        <v>0</v>
      </c>
      <c r="DP191" s="64"/>
      <c r="DQ191" s="74" t="s">
        <v>294</v>
      </c>
      <c r="DR191" s="73">
        <f t="shared" ca="1" si="1586"/>
        <v>10</v>
      </c>
      <c r="DS191" s="64"/>
      <c r="DT191" s="74" t="s">
        <v>294</v>
      </c>
      <c r="DU191" s="73">
        <f t="shared" ca="1" si="1587"/>
        <v>10</v>
      </c>
      <c r="DV191" s="64"/>
      <c r="DW191" s="74" t="s">
        <v>294</v>
      </c>
      <c r="DX191" s="73">
        <f t="shared" ca="1" si="1588"/>
        <v>10</v>
      </c>
      <c r="DY191" s="64"/>
      <c r="DZ191" s="74" t="s">
        <v>294</v>
      </c>
      <c r="EA191" s="73">
        <f t="shared" ca="1" si="1589"/>
        <v>10</v>
      </c>
      <c r="EB191" s="64"/>
      <c r="EC191" s="74" t="s">
        <v>294</v>
      </c>
      <c r="ED191" s="73">
        <f t="shared" ca="1" si="1590"/>
        <v>10</v>
      </c>
      <c r="EE191" s="64"/>
      <c r="EF191" s="74" t="s">
        <v>294</v>
      </c>
      <c r="EG191" s="73">
        <f t="shared" ca="1" si="1591"/>
        <v>10</v>
      </c>
      <c r="EH191" s="64"/>
      <c r="EI191" s="74" t="s">
        <v>294</v>
      </c>
      <c r="EJ191" s="73">
        <f t="shared" ca="1" si="1592"/>
        <v>10</v>
      </c>
      <c r="EK191" s="64"/>
      <c r="EL191" s="74" t="s">
        <v>294</v>
      </c>
      <c r="EM191" s="73">
        <f t="shared" ca="1" si="1593"/>
        <v>10</v>
      </c>
      <c r="EN191" s="64"/>
      <c r="EO191" s="74" t="s">
        <v>294</v>
      </c>
      <c r="EP191" s="73">
        <f t="shared" ca="1" si="1594"/>
        <v>10</v>
      </c>
      <c r="EQ191" s="64"/>
      <c r="ER191" s="74" t="s">
        <v>294</v>
      </c>
      <c r="ES191" s="73">
        <f t="shared" ca="1" si="1595"/>
        <v>10</v>
      </c>
      <c r="ET191" s="64"/>
      <c r="EU191" s="74" t="s">
        <v>294</v>
      </c>
      <c r="EV191" s="73">
        <f t="shared" ca="1" si="1596"/>
        <v>10</v>
      </c>
      <c r="EW191" s="64"/>
      <c r="EX191" s="74" t="s">
        <v>294</v>
      </c>
      <c r="EY191" s="73">
        <f t="shared" ca="1" si="1597"/>
        <v>10</v>
      </c>
      <c r="EZ191" s="64"/>
      <c r="FA191" s="74" t="s">
        <v>294</v>
      </c>
      <c r="FB191" s="73">
        <f t="shared" ca="1" si="1598"/>
        <v>10</v>
      </c>
      <c r="FC191" s="64"/>
      <c r="FD191" s="74" t="s">
        <v>294</v>
      </c>
      <c r="FE191" s="73">
        <f t="shared" ca="1" si="1599"/>
        <v>10</v>
      </c>
      <c r="FF191" s="64"/>
      <c r="FG191" s="74" t="s">
        <v>294</v>
      </c>
      <c r="FH191" s="73">
        <f t="shared" ca="1" si="1600"/>
        <v>10</v>
      </c>
      <c r="FI191" s="64"/>
      <c r="FJ191" s="74" t="s">
        <v>294</v>
      </c>
      <c r="FK191" s="73">
        <f t="shared" ca="1" si="1601"/>
        <v>10</v>
      </c>
      <c r="FL191" s="64"/>
      <c r="FM191" s="74" t="s">
        <v>294</v>
      </c>
      <c r="FN191" s="73">
        <f t="shared" ca="1" si="1602"/>
        <v>10</v>
      </c>
      <c r="FO191" s="64"/>
      <c r="FP191" s="74" t="s">
        <v>294</v>
      </c>
      <c r="FQ191" s="73">
        <f t="shared" ca="1" si="1603"/>
        <v>10</v>
      </c>
      <c r="FR191" s="64"/>
      <c r="FS191" s="74" t="s">
        <v>294</v>
      </c>
      <c r="FT191" s="73">
        <f t="shared" ca="1" si="1604"/>
        <v>10</v>
      </c>
      <c r="FU191" s="64"/>
      <c r="FV191" s="74" t="s">
        <v>294</v>
      </c>
      <c r="FW191" s="73">
        <f t="shared" ca="1" si="1605"/>
        <v>10</v>
      </c>
      <c r="FX191" s="64"/>
      <c r="FY191" s="74" t="s">
        <v>294</v>
      </c>
      <c r="FZ191" s="73">
        <f t="shared" ca="1" si="1606"/>
        <v>10</v>
      </c>
      <c r="GA191" s="64"/>
      <c r="GB191" s="74" t="s">
        <v>294</v>
      </c>
      <c r="GC191" s="73">
        <f t="shared" ca="1" si="1607"/>
        <v>10</v>
      </c>
      <c r="GD191" s="64"/>
      <c r="GE191" s="74" t="s">
        <v>294</v>
      </c>
      <c r="GF191" s="73">
        <f t="shared" ca="1" si="1608"/>
        <v>10</v>
      </c>
      <c r="GG191" s="64"/>
      <c r="GH191" s="74" t="s">
        <v>294</v>
      </c>
      <c r="GI191" s="73">
        <f t="shared" ca="1" si="1609"/>
        <v>10</v>
      </c>
      <c r="GJ191" s="64"/>
      <c r="GK191" s="74" t="s">
        <v>294</v>
      </c>
      <c r="GL191" s="73">
        <f t="shared" ca="1" si="1610"/>
        <v>10</v>
      </c>
      <c r="GM191" s="64"/>
      <c r="GN191" s="74"/>
      <c r="GO191" s="73">
        <f t="shared" ca="1" si="1611"/>
        <v>0</v>
      </c>
      <c r="GP191" s="64"/>
      <c r="GQ191" s="74"/>
      <c r="GR191" s="73">
        <f t="shared" ca="1" si="1612"/>
        <v>0</v>
      </c>
      <c r="GS191" s="64"/>
      <c r="GT191" s="74"/>
      <c r="GU191" s="73">
        <f t="shared" ca="1" si="1613"/>
        <v>0</v>
      </c>
      <c r="GV191" s="64"/>
      <c r="GW191" s="74"/>
      <c r="GX191" s="73">
        <f t="shared" ca="1" si="1614"/>
        <v>0</v>
      </c>
      <c r="GY191" s="64"/>
      <c r="GZ191" s="74"/>
      <c r="HA191" s="73">
        <f t="shared" ca="1" si="1615"/>
        <v>0</v>
      </c>
      <c r="HB191" s="64"/>
      <c r="HC191" s="74"/>
      <c r="HD191" s="73">
        <f t="shared" ca="1" si="1616"/>
        <v>0</v>
      </c>
      <c r="HE191" s="64"/>
      <c r="HF191" s="74"/>
      <c r="HG191" s="73">
        <f t="shared" ca="1" si="1617"/>
        <v>0</v>
      </c>
      <c r="HH191" s="64"/>
      <c r="HI191" s="74"/>
      <c r="HJ191" s="73">
        <f t="shared" ca="1" si="1618"/>
        <v>0</v>
      </c>
      <c r="HK191" s="64"/>
      <c r="HL191" s="74"/>
      <c r="HM191" s="73">
        <f t="shared" ca="1" si="1619"/>
        <v>0</v>
      </c>
      <c r="HN191" s="64"/>
      <c r="HO191" s="74"/>
      <c r="HP191" s="73">
        <f t="shared" ca="1" si="1620"/>
        <v>0</v>
      </c>
      <c r="HQ191" s="64"/>
      <c r="HR191" s="74"/>
      <c r="HS191" s="73">
        <f t="shared" ca="1" si="1621"/>
        <v>0</v>
      </c>
      <c r="HT191" s="64"/>
      <c r="HU191" s="74"/>
      <c r="HV191" s="73">
        <f t="shared" ca="1" si="1622"/>
        <v>0</v>
      </c>
      <c r="HW191" s="64"/>
      <c r="HX191" s="74"/>
      <c r="HY191" s="73">
        <f t="shared" ca="1" si="1623"/>
        <v>0</v>
      </c>
      <c r="HZ191" s="64"/>
      <c r="IA191" s="74"/>
      <c r="IB191" s="73">
        <f t="shared" ca="1" si="1624"/>
        <v>0</v>
      </c>
      <c r="IC191" s="64"/>
      <c r="ID191" s="74"/>
      <c r="IE191" s="73">
        <f t="shared" ca="1" si="1625"/>
        <v>0</v>
      </c>
      <c r="IF191" s="64"/>
      <c r="IG191" s="74"/>
      <c r="IH191" s="73">
        <f t="shared" ca="1" si="1626"/>
        <v>0</v>
      </c>
      <c r="II191" s="64"/>
      <c r="IJ191" s="74"/>
      <c r="IK191" s="73">
        <f t="shared" ca="1" si="1627"/>
        <v>0</v>
      </c>
      <c r="IL191" s="64"/>
      <c r="IM191" s="74"/>
      <c r="IN191" s="73">
        <f t="shared" ca="1" si="1628"/>
        <v>0</v>
      </c>
      <c r="IO191" s="64"/>
      <c r="IP191" s="74"/>
      <c r="IQ191" s="73">
        <f t="shared" ca="1" si="1629"/>
        <v>0</v>
      </c>
      <c r="IR191" s="64"/>
      <c r="IS191" s="74"/>
      <c r="IT191" s="73">
        <f t="shared" ca="1" si="1630"/>
        <v>0</v>
      </c>
      <c r="IU191" s="64"/>
      <c r="IV191" s="74"/>
      <c r="IW191" s="73">
        <f t="shared" ca="1" si="1631"/>
        <v>0</v>
      </c>
      <c r="IX191" s="64"/>
      <c r="IY191" s="74"/>
      <c r="IZ191" s="73">
        <f t="shared" ca="1" si="1632"/>
        <v>0</v>
      </c>
      <c r="JA191" s="64"/>
      <c r="JB191" s="74"/>
      <c r="JC191" s="73">
        <f t="shared" ca="1" si="1633"/>
        <v>0</v>
      </c>
      <c r="JD191" s="64"/>
      <c r="JE191" s="74"/>
      <c r="JF191" s="73">
        <f t="shared" ca="1" si="1634"/>
        <v>0</v>
      </c>
      <c r="JG191" s="64"/>
      <c r="JH191" s="74"/>
      <c r="JI191" s="73">
        <f t="shared" ca="1" si="1635"/>
        <v>0</v>
      </c>
      <c r="JJ191" s="64"/>
      <c r="JK191" s="74"/>
      <c r="JL191" s="73">
        <f t="shared" ca="1" si="1636"/>
        <v>0</v>
      </c>
      <c r="JM191" s="64"/>
      <c r="JN191" s="74"/>
      <c r="JO191" s="73">
        <f t="shared" ca="1" si="1637"/>
        <v>0</v>
      </c>
      <c r="JP191" s="64"/>
      <c r="JQ191" s="74"/>
      <c r="JR191" s="73">
        <f t="shared" ca="1" si="1638"/>
        <v>0</v>
      </c>
      <c r="JS191" s="64"/>
      <c r="JT191" s="74"/>
      <c r="JU191" s="73">
        <f t="shared" ca="1" si="1639"/>
        <v>0</v>
      </c>
      <c r="JV191" s="64"/>
      <c r="JW191" s="74"/>
      <c r="JX191" s="73">
        <f t="shared" ca="1" si="1640"/>
        <v>0</v>
      </c>
      <c r="JY191" s="64"/>
      <c r="JZ191" s="74"/>
      <c r="KA191" s="73">
        <f t="shared" ca="1" si="1641"/>
        <v>0</v>
      </c>
      <c r="KB191" s="64"/>
      <c r="KC191" s="74"/>
      <c r="KD191" s="73">
        <f t="shared" ca="1" si="1642"/>
        <v>0</v>
      </c>
      <c r="KE191" s="64"/>
      <c r="KF191" s="74"/>
      <c r="KG191" s="73">
        <f t="shared" ca="1" si="1643"/>
        <v>0</v>
      </c>
      <c r="KH191" s="64"/>
      <c r="KI191" s="74"/>
      <c r="KJ191" s="73">
        <f t="shared" ca="1" si="1644"/>
        <v>0</v>
      </c>
      <c r="KK191" s="64"/>
      <c r="KL191" s="74"/>
      <c r="KM191" s="73">
        <f t="shared" ca="1" si="1645"/>
        <v>0</v>
      </c>
      <c r="KN191" s="64"/>
      <c r="KO191" s="74"/>
      <c r="KP191" s="73">
        <f t="shared" ca="1" si="1646"/>
        <v>0</v>
      </c>
      <c r="KQ191" s="64"/>
      <c r="KR191" s="74"/>
      <c r="KS191" s="73">
        <f t="shared" ca="1" si="1647"/>
        <v>0</v>
      </c>
      <c r="KT191" s="64"/>
      <c r="KU191" s="74"/>
      <c r="KV191" s="73">
        <f t="shared" ca="1" si="1648"/>
        <v>0</v>
      </c>
      <c r="KW191" s="64"/>
      <c r="KX191" s="74"/>
      <c r="KY191" s="73">
        <f t="shared" ca="1" si="1649"/>
        <v>0</v>
      </c>
      <c r="KZ191" s="64"/>
      <c r="LA191" s="74"/>
      <c r="LB191" s="73">
        <f t="shared" ca="1" si="1650"/>
        <v>0</v>
      </c>
      <c r="LC191" s="64"/>
      <c r="LD191" s="74"/>
      <c r="LE191" s="73">
        <f t="shared" ca="1" si="1651"/>
        <v>0</v>
      </c>
      <c r="LF191" s="64"/>
      <c r="LG191" s="64"/>
    </row>
    <row r="192" spans="1:319">
      <c r="A192" s="25"/>
      <c r="B192" s="25"/>
      <c r="C192" s="25"/>
      <c r="D192" s="25"/>
      <c r="E192" s="25"/>
      <c r="F192" s="407">
        <f t="shared" si="1652"/>
        <v>10</v>
      </c>
      <c r="G192" s="407">
        <f ca="1">VLOOKUP(H192,Equipos!$Q$1:$R$25,2,0)</f>
        <v>20</v>
      </c>
      <c r="H192" s="446" t="str">
        <f>Idiomas!$D$260</f>
        <v>Round of 32</v>
      </c>
      <c r="I192" s="50"/>
      <c r="J192" s="845"/>
      <c r="K192" s="56" t="str">
        <f>Idiomas!$D$199&amp;"-"&amp;ROWS($L$182:L192)</f>
        <v>8-Finalist-11</v>
      </c>
      <c r="L192" s="53"/>
      <c r="M192" s="55" t="str">
        <f ca="1">WORLDCUP!AF122</f>
        <v>Norway</v>
      </c>
      <c r="N192" s="25"/>
      <c r="O192" s="25"/>
      <c r="P192" s="25"/>
      <c r="Q192" s="25"/>
      <c r="R192" s="110"/>
      <c r="S192" s="74" t="s">
        <v>294</v>
      </c>
      <c r="T192" s="73">
        <f t="shared" ca="1" si="1552"/>
        <v>10</v>
      </c>
      <c r="U192" s="64"/>
      <c r="V192" s="74" t="s">
        <v>299</v>
      </c>
      <c r="W192" s="73">
        <f t="shared" ca="1" si="1553"/>
        <v>10</v>
      </c>
      <c r="X192" s="64"/>
      <c r="Y192" s="74" t="s">
        <v>1261</v>
      </c>
      <c r="Z192" s="73">
        <f t="shared" ca="1" si="1554"/>
        <v>0</v>
      </c>
      <c r="AA192" s="64"/>
      <c r="AB192" s="74" t="s">
        <v>299</v>
      </c>
      <c r="AC192" s="73">
        <f t="shared" ca="1" si="1555"/>
        <v>10</v>
      </c>
      <c r="AD192" s="64"/>
      <c r="AE192" s="74" t="s">
        <v>299</v>
      </c>
      <c r="AF192" s="73">
        <f t="shared" ca="1" si="1556"/>
        <v>10</v>
      </c>
      <c r="AG192" s="64"/>
      <c r="AH192" s="74" t="s">
        <v>1261</v>
      </c>
      <c r="AI192" s="73">
        <f t="shared" ca="1" si="1557"/>
        <v>0</v>
      </c>
      <c r="AJ192" s="64"/>
      <c r="AK192" s="74" t="s">
        <v>299</v>
      </c>
      <c r="AL192" s="73">
        <f t="shared" ca="1" si="1558"/>
        <v>10</v>
      </c>
      <c r="AM192" s="64"/>
      <c r="AN192" s="74" t="s">
        <v>1634</v>
      </c>
      <c r="AO192" s="73">
        <f t="shared" ca="1" si="1559"/>
        <v>0</v>
      </c>
      <c r="AP192" s="64"/>
      <c r="AQ192" s="74" t="s">
        <v>1634</v>
      </c>
      <c r="AR192" s="73">
        <f t="shared" ca="1" si="1560"/>
        <v>0</v>
      </c>
      <c r="AS192" s="64"/>
      <c r="AT192" s="74" t="s">
        <v>299</v>
      </c>
      <c r="AU192" s="73">
        <f t="shared" ca="1" si="1561"/>
        <v>10</v>
      </c>
      <c r="AV192" s="64"/>
      <c r="AW192" s="74" t="s">
        <v>1634</v>
      </c>
      <c r="AX192" s="73">
        <f t="shared" ca="1" si="1562"/>
        <v>0</v>
      </c>
      <c r="AY192" s="64"/>
      <c r="AZ192" s="74" t="s">
        <v>299</v>
      </c>
      <c r="BA192" s="73">
        <f t="shared" ca="1" si="1563"/>
        <v>10</v>
      </c>
      <c r="BB192" s="64"/>
      <c r="BC192" s="74" t="s">
        <v>299</v>
      </c>
      <c r="BD192" s="73">
        <f t="shared" ca="1" si="1564"/>
        <v>10</v>
      </c>
      <c r="BE192" s="64"/>
      <c r="BF192" s="74" t="s">
        <v>299</v>
      </c>
      <c r="BG192" s="73">
        <f t="shared" ca="1" si="1565"/>
        <v>10</v>
      </c>
      <c r="BH192" s="64"/>
      <c r="BI192" s="74" t="s">
        <v>294</v>
      </c>
      <c r="BJ192" s="73">
        <f t="shared" ca="1" si="1566"/>
        <v>10</v>
      </c>
      <c r="BK192" s="64"/>
      <c r="BL192" s="74" t="s">
        <v>299</v>
      </c>
      <c r="BM192" s="73">
        <f t="shared" ca="1" si="1567"/>
        <v>10</v>
      </c>
      <c r="BN192" s="64"/>
      <c r="BO192" s="74" t="s">
        <v>1261</v>
      </c>
      <c r="BP192" s="73">
        <f t="shared" ca="1" si="1568"/>
        <v>0</v>
      </c>
      <c r="BQ192" s="64"/>
      <c r="BR192" s="74" t="s">
        <v>299</v>
      </c>
      <c r="BS192" s="73">
        <f t="shared" ca="1" si="1569"/>
        <v>10</v>
      </c>
      <c r="BT192" s="64"/>
      <c r="BU192" s="74" t="s">
        <v>299</v>
      </c>
      <c r="BV192" s="73">
        <f t="shared" ca="1" si="1570"/>
        <v>10</v>
      </c>
      <c r="BW192" s="64"/>
      <c r="BX192" s="74" t="s">
        <v>1634</v>
      </c>
      <c r="BY192" s="73">
        <f t="shared" ca="1" si="1571"/>
        <v>0</v>
      </c>
      <c r="BZ192" s="64"/>
      <c r="CA192" s="74" t="s">
        <v>1641</v>
      </c>
      <c r="CB192" s="73">
        <f t="shared" ca="1" si="1572"/>
        <v>0</v>
      </c>
      <c r="CC192" s="64"/>
      <c r="CD192" s="74" t="s">
        <v>299</v>
      </c>
      <c r="CE192" s="73">
        <f t="shared" ca="1" si="1573"/>
        <v>10</v>
      </c>
      <c r="CF192" s="64"/>
      <c r="CG192" s="74" t="s">
        <v>299</v>
      </c>
      <c r="CH192" s="73">
        <f t="shared" ca="1" si="1574"/>
        <v>10</v>
      </c>
      <c r="CI192" s="64"/>
      <c r="CJ192" s="74" t="s">
        <v>297</v>
      </c>
      <c r="CK192" s="73">
        <f t="shared" ca="1" si="1575"/>
        <v>0</v>
      </c>
      <c r="CL192" s="64"/>
      <c r="CM192" s="74" t="s">
        <v>299</v>
      </c>
      <c r="CN192" s="73">
        <f t="shared" ca="1" si="1576"/>
        <v>10</v>
      </c>
      <c r="CO192" s="64"/>
      <c r="CP192" s="74" t="s">
        <v>299</v>
      </c>
      <c r="CQ192" s="73">
        <f t="shared" ca="1" si="1577"/>
        <v>10</v>
      </c>
      <c r="CR192" s="64"/>
      <c r="CS192" s="74" t="s">
        <v>1641</v>
      </c>
      <c r="CT192" s="73">
        <f t="shared" ca="1" si="1578"/>
        <v>0</v>
      </c>
      <c r="CU192" s="64"/>
      <c r="CV192" s="74" t="s">
        <v>1634</v>
      </c>
      <c r="CW192" s="73">
        <f t="shared" ca="1" si="1579"/>
        <v>0</v>
      </c>
      <c r="CX192" s="64"/>
      <c r="CY192" s="74" t="s">
        <v>297</v>
      </c>
      <c r="CZ192" s="73">
        <f t="shared" ca="1" si="1580"/>
        <v>0</v>
      </c>
      <c r="DA192" s="64"/>
      <c r="DB192" s="74" t="s">
        <v>1641</v>
      </c>
      <c r="DC192" s="73">
        <f t="shared" ca="1" si="1581"/>
        <v>0</v>
      </c>
      <c r="DD192" s="64"/>
      <c r="DE192" s="74" t="s">
        <v>299</v>
      </c>
      <c r="DF192" s="73">
        <f t="shared" ca="1" si="1582"/>
        <v>10</v>
      </c>
      <c r="DG192" s="64"/>
      <c r="DH192" s="74" t="s">
        <v>299</v>
      </c>
      <c r="DI192" s="73">
        <f t="shared" ca="1" si="1583"/>
        <v>10</v>
      </c>
      <c r="DJ192" s="64"/>
      <c r="DK192" s="74" t="s">
        <v>299</v>
      </c>
      <c r="DL192" s="73">
        <f t="shared" ca="1" si="1584"/>
        <v>10</v>
      </c>
      <c r="DM192" s="64"/>
      <c r="DN192" s="74" t="s">
        <v>294</v>
      </c>
      <c r="DO192" s="73">
        <f t="shared" ca="1" si="1585"/>
        <v>10</v>
      </c>
      <c r="DP192" s="64"/>
      <c r="DQ192" s="74" t="s">
        <v>299</v>
      </c>
      <c r="DR192" s="73">
        <f t="shared" ca="1" si="1586"/>
        <v>10</v>
      </c>
      <c r="DS192" s="64"/>
      <c r="DT192" s="74" t="s">
        <v>299</v>
      </c>
      <c r="DU192" s="73">
        <f t="shared" ca="1" si="1587"/>
        <v>10</v>
      </c>
      <c r="DV192" s="64"/>
      <c r="DW192" s="74" t="s">
        <v>1261</v>
      </c>
      <c r="DX192" s="73">
        <f t="shared" ca="1" si="1588"/>
        <v>0</v>
      </c>
      <c r="DY192" s="64"/>
      <c r="DZ192" s="74" t="s">
        <v>299</v>
      </c>
      <c r="EA192" s="73">
        <f t="shared" ca="1" si="1589"/>
        <v>10</v>
      </c>
      <c r="EB192" s="64"/>
      <c r="EC192" s="74" t="s">
        <v>299</v>
      </c>
      <c r="ED192" s="73">
        <f t="shared" ca="1" si="1590"/>
        <v>10</v>
      </c>
      <c r="EE192" s="64"/>
      <c r="EF192" s="74" t="s">
        <v>1641</v>
      </c>
      <c r="EG192" s="73">
        <f t="shared" ca="1" si="1591"/>
        <v>0</v>
      </c>
      <c r="EH192" s="64"/>
      <c r="EI192" s="74" t="s">
        <v>1261</v>
      </c>
      <c r="EJ192" s="73">
        <f t="shared" ca="1" si="1592"/>
        <v>0</v>
      </c>
      <c r="EK192" s="64"/>
      <c r="EL192" s="74" t="s">
        <v>1261</v>
      </c>
      <c r="EM192" s="73">
        <f t="shared" ca="1" si="1593"/>
        <v>0</v>
      </c>
      <c r="EN192" s="64"/>
      <c r="EO192" s="74" t="s">
        <v>1261</v>
      </c>
      <c r="EP192" s="73">
        <f t="shared" ca="1" si="1594"/>
        <v>0</v>
      </c>
      <c r="EQ192" s="64"/>
      <c r="ER192" s="74" t="s">
        <v>1634</v>
      </c>
      <c r="ES192" s="73">
        <f t="shared" ca="1" si="1595"/>
        <v>0</v>
      </c>
      <c r="ET192" s="64"/>
      <c r="EU192" s="74" t="s">
        <v>1634</v>
      </c>
      <c r="EV192" s="73">
        <f t="shared" ca="1" si="1596"/>
        <v>0</v>
      </c>
      <c r="EW192" s="64"/>
      <c r="EX192" s="74" t="s">
        <v>299</v>
      </c>
      <c r="EY192" s="73">
        <f t="shared" ca="1" si="1597"/>
        <v>10</v>
      </c>
      <c r="EZ192" s="64"/>
      <c r="FA192" s="74" t="s">
        <v>1261</v>
      </c>
      <c r="FB192" s="73">
        <f t="shared" ca="1" si="1598"/>
        <v>0</v>
      </c>
      <c r="FC192" s="64"/>
      <c r="FD192" s="74" t="s">
        <v>299</v>
      </c>
      <c r="FE192" s="73">
        <f t="shared" ca="1" si="1599"/>
        <v>10</v>
      </c>
      <c r="FF192" s="64"/>
      <c r="FG192" s="74" t="s">
        <v>297</v>
      </c>
      <c r="FH192" s="73">
        <f t="shared" ca="1" si="1600"/>
        <v>0</v>
      </c>
      <c r="FI192" s="64"/>
      <c r="FJ192" s="74" t="s">
        <v>1634</v>
      </c>
      <c r="FK192" s="73">
        <f t="shared" ca="1" si="1601"/>
        <v>0</v>
      </c>
      <c r="FL192" s="64"/>
      <c r="FM192" s="74" t="s">
        <v>1261</v>
      </c>
      <c r="FN192" s="73">
        <f t="shared" ca="1" si="1602"/>
        <v>0</v>
      </c>
      <c r="FO192" s="64"/>
      <c r="FP192" s="74" t="s">
        <v>299</v>
      </c>
      <c r="FQ192" s="73">
        <f t="shared" ca="1" si="1603"/>
        <v>10</v>
      </c>
      <c r="FR192" s="64"/>
      <c r="FS192" s="74" t="s">
        <v>1634</v>
      </c>
      <c r="FT192" s="73">
        <f t="shared" ca="1" si="1604"/>
        <v>0</v>
      </c>
      <c r="FU192" s="64"/>
      <c r="FV192" s="74" t="s">
        <v>299</v>
      </c>
      <c r="FW192" s="73">
        <f t="shared" ca="1" si="1605"/>
        <v>10</v>
      </c>
      <c r="FX192" s="64"/>
      <c r="FY192" s="74" t="s">
        <v>1261</v>
      </c>
      <c r="FZ192" s="73">
        <f t="shared" ca="1" si="1606"/>
        <v>0</v>
      </c>
      <c r="GA192" s="64"/>
      <c r="GB192" s="74" t="s">
        <v>1261</v>
      </c>
      <c r="GC192" s="73">
        <f t="shared" ca="1" si="1607"/>
        <v>0</v>
      </c>
      <c r="GD192" s="64"/>
      <c r="GE192" s="74" t="s">
        <v>1261</v>
      </c>
      <c r="GF192" s="73">
        <f t="shared" ca="1" si="1608"/>
        <v>0</v>
      </c>
      <c r="GG192" s="64"/>
      <c r="GH192" s="74" t="s">
        <v>299</v>
      </c>
      <c r="GI192" s="73">
        <f t="shared" ca="1" si="1609"/>
        <v>10</v>
      </c>
      <c r="GJ192" s="64"/>
      <c r="GK192" s="74" t="s">
        <v>299</v>
      </c>
      <c r="GL192" s="73">
        <f t="shared" ca="1" si="1610"/>
        <v>10</v>
      </c>
      <c r="GM192" s="64"/>
      <c r="GN192" s="74"/>
      <c r="GO192" s="73">
        <f t="shared" ca="1" si="1611"/>
        <v>0</v>
      </c>
      <c r="GP192" s="64"/>
      <c r="GQ192" s="74"/>
      <c r="GR192" s="73">
        <f t="shared" ca="1" si="1612"/>
        <v>0</v>
      </c>
      <c r="GS192" s="64"/>
      <c r="GT192" s="74"/>
      <c r="GU192" s="73">
        <f t="shared" ca="1" si="1613"/>
        <v>0</v>
      </c>
      <c r="GV192" s="64"/>
      <c r="GW192" s="74"/>
      <c r="GX192" s="73">
        <f t="shared" ca="1" si="1614"/>
        <v>0</v>
      </c>
      <c r="GY192" s="64"/>
      <c r="GZ192" s="74"/>
      <c r="HA192" s="73">
        <f t="shared" ca="1" si="1615"/>
        <v>0</v>
      </c>
      <c r="HB192" s="64"/>
      <c r="HC192" s="74"/>
      <c r="HD192" s="73">
        <f t="shared" ca="1" si="1616"/>
        <v>0</v>
      </c>
      <c r="HE192" s="64"/>
      <c r="HF192" s="74"/>
      <c r="HG192" s="73">
        <f t="shared" ca="1" si="1617"/>
        <v>0</v>
      </c>
      <c r="HH192" s="64"/>
      <c r="HI192" s="74"/>
      <c r="HJ192" s="73">
        <f t="shared" ca="1" si="1618"/>
        <v>0</v>
      </c>
      <c r="HK192" s="64"/>
      <c r="HL192" s="74"/>
      <c r="HM192" s="73">
        <f t="shared" ca="1" si="1619"/>
        <v>0</v>
      </c>
      <c r="HN192" s="64"/>
      <c r="HO192" s="74"/>
      <c r="HP192" s="73">
        <f t="shared" ca="1" si="1620"/>
        <v>0</v>
      </c>
      <c r="HQ192" s="64"/>
      <c r="HR192" s="74"/>
      <c r="HS192" s="73">
        <f t="shared" ca="1" si="1621"/>
        <v>0</v>
      </c>
      <c r="HT192" s="64"/>
      <c r="HU192" s="74"/>
      <c r="HV192" s="73">
        <f t="shared" ca="1" si="1622"/>
        <v>0</v>
      </c>
      <c r="HW192" s="64"/>
      <c r="HX192" s="74"/>
      <c r="HY192" s="73">
        <f t="shared" ca="1" si="1623"/>
        <v>0</v>
      </c>
      <c r="HZ192" s="64"/>
      <c r="IA192" s="74"/>
      <c r="IB192" s="73">
        <f t="shared" ca="1" si="1624"/>
        <v>0</v>
      </c>
      <c r="IC192" s="64"/>
      <c r="ID192" s="74"/>
      <c r="IE192" s="73">
        <f t="shared" ca="1" si="1625"/>
        <v>0</v>
      </c>
      <c r="IF192" s="64"/>
      <c r="IG192" s="74"/>
      <c r="IH192" s="73">
        <f t="shared" ca="1" si="1626"/>
        <v>0</v>
      </c>
      <c r="II192" s="64"/>
      <c r="IJ192" s="74"/>
      <c r="IK192" s="73">
        <f t="shared" ca="1" si="1627"/>
        <v>0</v>
      </c>
      <c r="IL192" s="64"/>
      <c r="IM192" s="74"/>
      <c r="IN192" s="73">
        <f t="shared" ca="1" si="1628"/>
        <v>0</v>
      </c>
      <c r="IO192" s="64"/>
      <c r="IP192" s="74"/>
      <c r="IQ192" s="73">
        <f t="shared" ca="1" si="1629"/>
        <v>0</v>
      </c>
      <c r="IR192" s="64"/>
      <c r="IS192" s="74"/>
      <c r="IT192" s="73">
        <f t="shared" ca="1" si="1630"/>
        <v>0</v>
      </c>
      <c r="IU192" s="64"/>
      <c r="IV192" s="74"/>
      <c r="IW192" s="73">
        <f t="shared" ca="1" si="1631"/>
        <v>0</v>
      </c>
      <c r="IX192" s="64"/>
      <c r="IY192" s="74"/>
      <c r="IZ192" s="73">
        <f t="shared" ca="1" si="1632"/>
        <v>0</v>
      </c>
      <c r="JA192" s="64"/>
      <c r="JB192" s="74"/>
      <c r="JC192" s="73">
        <f t="shared" ca="1" si="1633"/>
        <v>0</v>
      </c>
      <c r="JD192" s="64"/>
      <c r="JE192" s="74"/>
      <c r="JF192" s="73">
        <f t="shared" ca="1" si="1634"/>
        <v>0</v>
      </c>
      <c r="JG192" s="64"/>
      <c r="JH192" s="74"/>
      <c r="JI192" s="73">
        <f t="shared" ca="1" si="1635"/>
        <v>0</v>
      </c>
      <c r="JJ192" s="64"/>
      <c r="JK192" s="74"/>
      <c r="JL192" s="73">
        <f t="shared" ca="1" si="1636"/>
        <v>0</v>
      </c>
      <c r="JM192" s="64"/>
      <c r="JN192" s="74"/>
      <c r="JO192" s="73">
        <f t="shared" ca="1" si="1637"/>
        <v>0</v>
      </c>
      <c r="JP192" s="64"/>
      <c r="JQ192" s="74"/>
      <c r="JR192" s="73">
        <f t="shared" ca="1" si="1638"/>
        <v>0</v>
      </c>
      <c r="JS192" s="64"/>
      <c r="JT192" s="74"/>
      <c r="JU192" s="73">
        <f t="shared" ca="1" si="1639"/>
        <v>0</v>
      </c>
      <c r="JV192" s="64"/>
      <c r="JW192" s="74"/>
      <c r="JX192" s="73">
        <f t="shared" ca="1" si="1640"/>
        <v>0</v>
      </c>
      <c r="JY192" s="64"/>
      <c r="JZ192" s="74"/>
      <c r="KA192" s="73">
        <f t="shared" ca="1" si="1641"/>
        <v>0</v>
      </c>
      <c r="KB192" s="64"/>
      <c r="KC192" s="74"/>
      <c r="KD192" s="73">
        <f t="shared" ca="1" si="1642"/>
        <v>0</v>
      </c>
      <c r="KE192" s="64"/>
      <c r="KF192" s="74"/>
      <c r="KG192" s="73">
        <f t="shared" ca="1" si="1643"/>
        <v>0</v>
      </c>
      <c r="KH192" s="64"/>
      <c r="KI192" s="74"/>
      <c r="KJ192" s="73">
        <f t="shared" ca="1" si="1644"/>
        <v>0</v>
      </c>
      <c r="KK192" s="64"/>
      <c r="KL192" s="74"/>
      <c r="KM192" s="73">
        <f t="shared" ca="1" si="1645"/>
        <v>0</v>
      </c>
      <c r="KN192" s="64"/>
      <c r="KO192" s="74"/>
      <c r="KP192" s="73">
        <f t="shared" ca="1" si="1646"/>
        <v>0</v>
      </c>
      <c r="KQ192" s="64"/>
      <c r="KR192" s="74"/>
      <c r="KS192" s="73">
        <f t="shared" ca="1" si="1647"/>
        <v>0</v>
      </c>
      <c r="KT192" s="64"/>
      <c r="KU192" s="74"/>
      <c r="KV192" s="73">
        <f t="shared" ca="1" si="1648"/>
        <v>0</v>
      </c>
      <c r="KW192" s="64"/>
      <c r="KX192" s="74"/>
      <c r="KY192" s="73">
        <f t="shared" ca="1" si="1649"/>
        <v>0</v>
      </c>
      <c r="KZ192" s="64"/>
      <c r="LA192" s="74"/>
      <c r="LB192" s="73">
        <f t="shared" ca="1" si="1650"/>
        <v>0</v>
      </c>
      <c r="LC192" s="64"/>
      <c r="LD192" s="74"/>
      <c r="LE192" s="73">
        <f t="shared" ca="1" si="1651"/>
        <v>0</v>
      </c>
      <c r="LF192" s="64"/>
      <c r="LG192" s="64"/>
    </row>
    <row r="193" spans="1:319">
      <c r="A193" s="25"/>
      <c r="B193" s="25"/>
      <c r="C193" s="25"/>
      <c r="D193" s="25"/>
      <c r="E193" s="25"/>
      <c r="F193" s="407">
        <f t="shared" si="1652"/>
        <v>10</v>
      </c>
      <c r="G193" s="407">
        <f ca="1">VLOOKUP(H193,Equipos!$Q$1:$R$25,2,0)</f>
        <v>20</v>
      </c>
      <c r="H193" s="446" t="str">
        <f>Idiomas!$D$260</f>
        <v>Round of 32</v>
      </c>
      <c r="I193" s="50"/>
      <c r="J193" s="845"/>
      <c r="K193" s="56" t="str">
        <f>Idiomas!$D$199&amp;"-"&amp;ROWS($L$182:L193)</f>
        <v>8-Finalist-12</v>
      </c>
      <c r="L193" s="53"/>
      <c r="M193" s="55" t="str">
        <f ca="1">WORLDCUP!AF123</f>
        <v>England</v>
      </c>
      <c r="N193" s="25"/>
      <c r="O193" s="25"/>
      <c r="P193" s="25"/>
      <c r="Q193" s="25"/>
      <c r="R193" s="110"/>
      <c r="S193" s="74" t="s">
        <v>292</v>
      </c>
      <c r="T193" s="73">
        <f t="shared" ca="1" si="1552"/>
        <v>10</v>
      </c>
      <c r="U193" s="64"/>
      <c r="V193" s="74" t="s">
        <v>296</v>
      </c>
      <c r="W193" s="73">
        <f t="shared" ca="1" si="1553"/>
        <v>0</v>
      </c>
      <c r="X193" s="64"/>
      <c r="Y193" s="74" t="s">
        <v>292</v>
      </c>
      <c r="Z193" s="73">
        <f t="shared" ca="1" si="1554"/>
        <v>10</v>
      </c>
      <c r="AA193" s="64"/>
      <c r="AB193" s="74" t="s">
        <v>292</v>
      </c>
      <c r="AC193" s="73">
        <f t="shared" ca="1" si="1555"/>
        <v>10</v>
      </c>
      <c r="AD193" s="64"/>
      <c r="AE193" s="74" t="s">
        <v>292</v>
      </c>
      <c r="AF193" s="73">
        <f t="shared" ca="1" si="1556"/>
        <v>10</v>
      </c>
      <c r="AG193" s="64"/>
      <c r="AH193" s="74" t="s">
        <v>292</v>
      </c>
      <c r="AI193" s="73">
        <f t="shared" ca="1" si="1557"/>
        <v>10</v>
      </c>
      <c r="AJ193" s="64"/>
      <c r="AK193" s="74" t="s">
        <v>292</v>
      </c>
      <c r="AL193" s="73">
        <f t="shared" ca="1" si="1558"/>
        <v>10</v>
      </c>
      <c r="AM193" s="64"/>
      <c r="AN193" s="74" t="s">
        <v>1840</v>
      </c>
      <c r="AO193" s="73">
        <f t="shared" ca="1" si="1559"/>
        <v>0</v>
      </c>
      <c r="AP193" s="64"/>
      <c r="AQ193" s="74" t="s">
        <v>296</v>
      </c>
      <c r="AR193" s="73">
        <f t="shared" ca="1" si="1560"/>
        <v>0</v>
      </c>
      <c r="AS193" s="64"/>
      <c r="AT193" s="74" t="s">
        <v>1727</v>
      </c>
      <c r="AU193" s="73">
        <f t="shared" ca="1" si="1561"/>
        <v>0</v>
      </c>
      <c r="AV193" s="64"/>
      <c r="AW193" s="74" t="s">
        <v>292</v>
      </c>
      <c r="AX193" s="73">
        <f t="shared" ca="1" si="1562"/>
        <v>10</v>
      </c>
      <c r="AY193" s="64"/>
      <c r="AZ193" s="74" t="s">
        <v>292</v>
      </c>
      <c r="BA193" s="73">
        <f t="shared" ca="1" si="1563"/>
        <v>10</v>
      </c>
      <c r="BB193" s="64"/>
      <c r="BC193" s="74" t="s">
        <v>292</v>
      </c>
      <c r="BD193" s="73">
        <f t="shared" ca="1" si="1564"/>
        <v>10</v>
      </c>
      <c r="BE193" s="64"/>
      <c r="BF193" s="74" t="s">
        <v>292</v>
      </c>
      <c r="BG193" s="73">
        <f t="shared" ca="1" si="1565"/>
        <v>10</v>
      </c>
      <c r="BH193" s="64"/>
      <c r="BI193" s="74" t="s">
        <v>292</v>
      </c>
      <c r="BJ193" s="73">
        <f t="shared" ca="1" si="1566"/>
        <v>10</v>
      </c>
      <c r="BK193" s="64"/>
      <c r="BL193" s="74" t="s">
        <v>292</v>
      </c>
      <c r="BM193" s="73">
        <f t="shared" ca="1" si="1567"/>
        <v>10</v>
      </c>
      <c r="BN193" s="64"/>
      <c r="BO193" s="74" t="s">
        <v>292</v>
      </c>
      <c r="BP193" s="73">
        <f t="shared" ca="1" si="1568"/>
        <v>10</v>
      </c>
      <c r="BQ193" s="64"/>
      <c r="BR193" s="74" t="s">
        <v>292</v>
      </c>
      <c r="BS193" s="73">
        <f t="shared" ca="1" si="1569"/>
        <v>10</v>
      </c>
      <c r="BT193" s="64"/>
      <c r="BU193" s="74" t="s">
        <v>292</v>
      </c>
      <c r="BV193" s="73">
        <f t="shared" ca="1" si="1570"/>
        <v>10</v>
      </c>
      <c r="BW193" s="64"/>
      <c r="BX193" s="74" t="s">
        <v>292</v>
      </c>
      <c r="BY193" s="73">
        <f t="shared" ca="1" si="1571"/>
        <v>10</v>
      </c>
      <c r="BZ193" s="64"/>
      <c r="CA193" s="74" t="s">
        <v>292</v>
      </c>
      <c r="CB193" s="73">
        <f t="shared" ca="1" si="1572"/>
        <v>10</v>
      </c>
      <c r="CC193" s="64"/>
      <c r="CD193" s="74" t="s">
        <v>296</v>
      </c>
      <c r="CE193" s="73">
        <f t="shared" ca="1" si="1573"/>
        <v>0</v>
      </c>
      <c r="CF193" s="64"/>
      <c r="CG193" s="74" t="s">
        <v>292</v>
      </c>
      <c r="CH193" s="73">
        <f t="shared" ca="1" si="1574"/>
        <v>10</v>
      </c>
      <c r="CI193" s="64"/>
      <c r="CJ193" s="74" t="s">
        <v>292</v>
      </c>
      <c r="CK193" s="73">
        <f t="shared" ca="1" si="1575"/>
        <v>10</v>
      </c>
      <c r="CL193" s="64"/>
      <c r="CM193" s="74" t="s">
        <v>292</v>
      </c>
      <c r="CN193" s="73">
        <f t="shared" ca="1" si="1576"/>
        <v>10</v>
      </c>
      <c r="CO193" s="64"/>
      <c r="CP193" s="74" t="s">
        <v>292</v>
      </c>
      <c r="CQ193" s="73">
        <f t="shared" ca="1" si="1577"/>
        <v>10</v>
      </c>
      <c r="CR193" s="64"/>
      <c r="CS193" s="74" t="s">
        <v>292</v>
      </c>
      <c r="CT193" s="73">
        <f t="shared" ca="1" si="1578"/>
        <v>10</v>
      </c>
      <c r="CU193" s="64"/>
      <c r="CV193" s="74" t="s">
        <v>296</v>
      </c>
      <c r="CW193" s="73">
        <f t="shared" ca="1" si="1579"/>
        <v>0</v>
      </c>
      <c r="CX193" s="64"/>
      <c r="CY193" s="74" t="s">
        <v>292</v>
      </c>
      <c r="CZ193" s="73">
        <f t="shared" ca="1" si="1580"/>
        <v>10</v>
      </c>
      <c r="DA193" s="64"/>
      <c r="DB193" s="74" t="s">
        <v>292</v>
      </c>
      <c r="DC193" s="73">
        <f t="shared" ca="1" si="1581"/>
        <v>10</v>
      </c>
      <c r="DD193" s="64"/>
      <c r="DE193" s="74" t="s">
        <v>292</v>
      </c>
      <c r="DF193" s="73">
        <f t="shared" ca="1" si="1582"/>
        <v>10</v>
      </c>
      <c r="DG193" s="64"/>
      <c r="DH193" s="74" t="s">
        <v>292</v>
      </c>
      <c r="DI193" s="73">
        <f t="shared" ca="1" si="1583"/>
        <v>10</v>
      </c>
      <c r="DJ193" s="64"/>
      <c r="DK193" s="74" t="s">
        <v>292</v>
      </c>
      <c r="DL193" s="73">
        <f t="shared" ca="1" si="1584"/>
        <v>10</v>
      </c>
      <c r="DM193" s="64"/>
      <c r="DN193" s="74" t="s">
        <v>292</v>
      </c>
      <c r="DO193" s="73">
        <f t="shared" ca="1" si="1585"/>
        <v>10</v>
      </c>
      <c r="DP193" s="64"/>
      <c r="DQ193" s="74" t="s">
        <v>292</v>
      </c>
      <c r="DR193" s="73">
        <f t="shared" ca="1" si="1586"/>
        <v>10</v>
      </c>
      <c r="DS193" s="64"/>
      <c r="DT193" s="74" t="s">
        <v>292</v>
      </c>
      <c r="DU193" s="73">
        <f t="shared" ca="1" si="1587"/>
        <v>10</v>
      </c>
      <c r="DV193" s="64"/>
      <c r="DW193" s="74" t="s">
        <v>292</v>
      </c>
      <c r="DX193" s="73">
        <f t="shared" ca="1" si="1588"/>
        <v>10</v>
      </c>
      <c r="DY193" s="64"/>
      <c r="DZ193" s="74" t="s">
        <v>292</v>
      </c>
      <c r="EA193" s="73">
        <f t="shared" ca="1" si="1589"/>
        <v>10</v>
      </c>
      <c r="EB193" s="64"/>
      <c r="EC193" s="74" t="s">
        <v>292</v>
      </c>
      <c r="ED193" s="73">
        <f t="shared" ca="1" si="1590"/>
        <v>10</v>
      </c>
      <c r="EE193" s="64"/>
      <c r="EF193" s="74" t="s">
        <v>292</v>
      </c>
      <c r="EG193" s="73">
        <f t="shared" ca="1" si="1591"/>
        <v>10</v>
      </c>
      <c r="EH193" s="64"/>
      <c r="EI193" s="74" t="s">
        <v>292</v>
      </c>
      <c r="EJ193" s="73">
        <f t="shared" ca="1" si="1592"/>
        <v>10</v>
      </c>
      <c r="EK193" s="64"/>
      <c r="EL193" s="74" t="s">
        <v>292</v>
      </c>
      <c r="EM193" s="73">
        <f t="shared" ca="1" si="1593"/>
        <v>10</v>
      </c>
      <c r="EN193" s="64"/>
      <c r="EO193" s="74" t="s">
        <v>292</v>
      </c>
      <c r="EP193" s="73">
        <f t="shared" ca="1" si="1594"/>
        <v>10</v>
      </c>
      <c r="EQ193" s="64"/>
      <c r="ER193" s="74" t="s">
        <v>292</v>
      </c>
      <c r="ES193" s="73">
        <f t="shared" ca="1" si="1595"/>
        <v>10</v>
      </c>
      <c r="ET193" s="64"/>
      <c r="EU193" s="74" t="s">
        <v>292</v>
      </c>
      <c r="EV193" s="73">
        <f t="shared" ca="1" si="1596"/>
        <v>10</v>
      </c>
      <c r="EW193" s="64"/>
      <c r="EX193" s="74" t="s">
        <v>292</v>
      </c>
      <c r="EY193" s="73">
        <f t="shared" ca="1" si="1597"/>
        <v>10</v>
      </c>
      <c r="EZ193" s="64"/>
      <c r="FA193" s="74" t="s">
        <v>292</v>
      </c>
      <c r="FB193" s="73">
        <f t="shared" ca="1" si="1598"/>
        <v>10</v>
      </c>
      <c r="FC193" s="64"/>
      <c r="FD193" s="74" t="s">
        <v>292</v>
      </c>
      <c r="FE193" s="73">
        <f t="shared" ca="1" si="1599"/>
        <v>10</v>
      </c>
      <c r="FF193" s="64"/>
      <c r="FG193" s="74" t="s">
        <v>292</v>
      </c>
      <c r="FH193" s="73">
        <f t="shared" ca="1" si="1600"/>
        <v>10</v>
      </c>
      <c r="FI193" s="64"/>
      <c r="FJ193" s="74" t="s">
        <v>292</v>
      </c>
      <c r="FK193" s="73">
        <f t="shared" ca="1" si="1601"/>
        <v>10</v>
      </c>
      <c r="FL193" s="64"/>
      <c r="FM193" s="74" t="s">
        <v>292</v>
      </c>
      <c r="FN193" s="73">
        <f t="shared" ca="1" si="1602"/>
        <v>10</v>
      </c>
      <c r="FO193" s="64"/>
      <c r="FP193" s="74" t="s">
        <v>292</v>
      </c>
      <c r="FQ193" s="73">
        <f t="shared" ca="1" si="1603"/>
        <v>10</v>
      </c>
      <c r="FR193" s="64"/>
      <c r="FS193" s="74" t="s">
        <v>292</v>
      </c>
      <c r="FT193" s="73">
        <f t="shared" ca="1" si="1604"/>
        <v>10</v>
      </c>
      <c r="FU193" s="64"/>
      <c r="FV193" s="74" t="s">
        <v>292</v>
      </c>
      <c r="FW193" s="73">
        <f t="shared" ca="1" si="1605"/>
        <v>10</v>
      </c>
      <c r="FX193" s="64"/>
      <c r="FY193" s="74" t="s">
        <v>292</v>
      </c>
      <c r="FZ193" s="73">
        <f t="shared" ca="1" si="1606"/>
        <v>10</v>
      </c>
      <c r="GA193" s="64"/>
      <c r="GB193" s="74" t="s">
        <v>1634</v>
      </c>
      <c r="GC193" s="73">
        <f t="shared" ca="1" si="1607"/>
        <v>0</v>
      </c>
      <c r="GD193" s="64"/>
      <c r="GE193" s="74" t="s">
        <v>292</v>
      </c>
      <c r="GF193" s="73">
        <f t="shared" ca="1" si="1608"/>
        <v>10</v>
      </c>
      <c r="GG193" s="64"/>
      <c r="GH193" s="74" t="s">
        <v>296</v>
      </c>
      <c r="GI193" s="73">
        <f t="shared" ca="1" si="1609"/>
        <v>0</v>
      </c>
      <c r="GJ193" s="64"/>
      <c r="GK193" s="74" t="s">
        <v>292</v>
      </c>
      <c r="GL193" s="73">
        <f t="shared" ca="1" si="1610"/>
        <v>10</v>
      </c>
      <c r="GM193" s="64"/>
      <c r="GN193" s="74"/>
      <c r="GO193" s="73">
        <f t="shared" ca="1" si="1611"/>
        <v>0</v>
      </c>
      <c r="GP193" s="64"/>
      <c r="GQ193" s="74"/>
      <c r="GR193" s="73">
        <f t="shared" ca="1" si="1612"/>
        <v>0</v>
      </c>
      <c r="GS193" s="64"/>
      <c r="GT193" s="74"/>
      <c r="GU193" s="73">
        <f t="shared" ca="1" si="1613"/>
        <v>0</v>
      </c>
      <c r="GV193" s="64"/>
      <c r="GW193" s="74"/>
      <c r="GX193" s="73">
        <f t="shared" ca="1" si="1614"/>
        <v>0</v>
      </c>
      <c r="GY193" s="64"/>
      <c r="GZ193" s="74"/>
      <c r="HA193" s="73">
        <f t="shared" ca="1" si="1615"/>
        <v>0</v>
      </c>
      <c r="HB193" s="64"/>
      <c r="HC193" s="74"/>
      <c r="HD193" s="73">
        <f t="shared" ca="1" si="1616"/>
        <v>0</v>
      </c>
      <c r="HE193" s="64"/>
      <c r="HF193" s="74"/>
      <c r="HG193" s="73">
        <f t="shared" ca="1" si="1617"/>
        <v>0</v>
      </c>
      <c r="HH193" s="64"/>
      <c r="HI193" s="74"/>
      <c r="HJ193" s="73">
        <f t="shared" ca="1" si="1618"/>
        <v>0</v>
      </c>
      <c r="HK193" s="64"/>
      <c r="HL193" s="74"/>
      <c r="HM193" s="73">
        <f t="shared" ca="1" si="1619"/>
        <v>0</v>
      </c>
      <c r="HN193" s="64"/>
      <c r="HO193" s="74"/>
      <c r="HP193" s="73">
        <f t="shared" ca="1" si="1620"/>
        <v>0</v>
      </c>
      <c r="HQ193" s="64"/>
      <c r="HR193" s="74"/>
      <c r="HS193" s="73">
        <f t="shared" ca="1" si="1621"/>
        <v>0</v>
      </c>
      <c r="HT193" s="64"/>
      <c r="HU193" s="74"/>
      <c r="HV193" s="73">
        <f t="shared" ca="1" si="1622"/>
        <v>0</v>
      </c>
      <c r="HW193" s="64"/>
      <c r="HX193" s="74"/>
      <c r="HY193" s="73">
        <f t="shared" ca="1" si="1623"/>
        <v>0</v>
      </c>
      <c r="HZ193" s="64"/>
      <c r="IA193" s="74"/>
      <c r="IB193" s="73">
        <f t="shared" ca="1" si="1624"/>
        <v>0</v>
      </c>
      <c r="IC193" s="64"/>
      <c r="ID193" s="74"/>
      <c r="IE193" s="73">
        <f t="shared" ca="1" si="1625"/>
        <v>0</v>
      </c>
      <c r="IF193" s="64"/>
      <c r="IG193" s="74"/>
      <c r="IH193" s="73">
        <f t="shared" ca="1" si="1626"/>
        <v>0</v>
      </c>
      <c r="II193" s="64"/>
      <c r="IJ193" s="74"/>
      <c r="IK193" s="73">
        <f t="shared" ca="1" si="1627"/>
        <v>0</v>
      </c>
      <c r="IL193" s="64"/>
      <c r="IM193" s="74"/>
      <c r="IN193" s="73">
        <f t="shared" ca="1" si="1628"/>
        <v>0</v>
      </c>
      <c r="IO193" s="64"/>
      <c r="IP193" s="74"/>
      <c r="IQ193" s="73">
        <f t="shared" ca="1" si="1629"/>
        <v>0</v>
      </c>
      <c r="IR193" s="64"/>
      <c r="IS193" s="74"/>
      <c r="IT193" s="73">
        <f t="shared" ca="1" si="1630"/>
        <v>0</v>
      </c>
      <c r="IU193" s="64"/>
      <c r="IV193" s="74"/>
      <c r="IW193" s="73">
        <f t="shared" ca="1" si="1631"/>
        <v>0</v>
      </c>
      <c r="IX193" s="64"/>
      <c r="IY193" s="74"/>
      <c r="IZ193" s="73">
        <f t="shared" ca="1" si="1632"/>
        <v>0</v>
      </c>
      <c r="JA193" s="64"/>
      <c r="JB193" s="74"/>
      <c r="JC193" s="73">
        <f t="shared" ca="1" si="1633"/>
        <v>0</v>
      </c>
      <c r="JD193" s="64"/>
      <c r="JE193" s="74"/>
      <c r="JF193" s="73">
        <f t="shared" ca="1" si="1634"/>
        <v>0</v>
      </c>
      <c r="JG193" s="64"/>
      <c r="JH193" s="74"/>
      <c r="JI193" s="73">
        <f t="shared" ca="1" si="1635"/>
        <v>0</v>
      </c>
      <c r="JJ193" s="64"/>
      <c r="JK193" s="74"/>
      <c r="JL193" s="73">
        <f t="shared" ca="1" si="1636"/>
        <v>0</v>
      </c>
      <c r="JM193" s="64"/>
      <c r="JN193" s="74"/>
      <c r="JO193" s="73">
        <f t="shared" ca="1" si="1637"/>
        <v>0</v>
      </c>
      <c r="JP193" s="64"/>
      <c r="JQ193" s="74"/>
      <c r="JR193" s="73">
        <f t="shared" ca="1" si="1638"/>
        <v>0</v>
      </c>
      <c r="JS193" s="64"/>
      <c r="JT193" s="74"/>
      <c r="JU193" s="73">
        <f t="shared" ca="1" si="1639"/>
        <v>0</v>
      </c>
      <c r="JV193" s="64"/>
      <c r="JW193" s="74"/>
      <c r="JX193" s="73">
        <f t="shared" ca="1" si="1640"/>
        <v>0</v>
      </c>
      <c r="JY193" s="64"/>
      <c r="JZ193" s="74"/>
      <c r="KA193" s="73">
        <f t="shared" ca="1" si="1641"/>
        <v>0</v>
      </c>
      <c r="KB193" s="64"/>
      <c r="KC193" s="74"/>
      <c r="KD193" s="73">
        <f t="shared" ca="1" si="1642"/>
        <v>0</v>
      </c>
      <c r="KE193" s="64"/>
      <c r="KF193" s="74"/>
      <c r="KG193" s="73">
        <f t="shared" ca="1" si="1643"/>
        <v>0</v>
      </c>
      <c r="KH193" s="64"/>
      <c r="KI193" s="74"/>
      <c r="KJ193" s="73">
        <f t="shared" ca="1" si="1644"/>
        <v>0</v>
      </c>
      <c r="KK193" s="64"/>
      <c r="KL193" s="74"/>
      <c r="KM193" s="73">
        <f t="shared" ca="1" si="1645"/>
        <v>0</v>
      </c>
      <c r="KN193" s="64"/>
      <c r="KO193" s="74"/>
      <c r="KP193" s="73">
        <f t="shared" ca="1" si="1646"/>
        <v>0</v>
      </c>
      <c r="KQ193" s="64"/>
      <c r="KR193" s="74"/>
      <c r="KS193" s="73">
        <f t="shared" ca="1" si="1647"/>
        <v>0</v>
      </c>
      <c r="KT193" s="64"/>
      <c r="KU193" s="74"/>
      <c r="KV193" s="73">
        <f t="shared" ca="1" si="1648"/>
        <v>0</v>
      </c>
      <c r="KW193" s="64"/>
      <c r="KX193" s="74"/>
      <c r="KY193" s="73">
        <f t="shared" ca="1" si="1649"/>
        <v>0</v>
      </c>
      <c r="KZ193" s="64"/>
      <c r="LA193" s="74"/>
      <c r="LB193" s="73">
        <f t="shared" ca="1" si="1650"/>
        <v>0</v>
      </c>
      <c r="LC193" s="64"/>
      <c r="LD193" s="74"/>
      <c r="LE193" s="73">
        <f t="shared" ca="1" si="1651"/>
        <v>0</v>
      </c>
      <c r="LF193" s="64"/>
      <c r="LG193" s="64"/>
    </row>
    <row r="194" spans="1:319">
      <c r="A194" s="25"/>
      <c r="B194" s="25"/>
      <c r="C194" s="25"/>
      <c r="D194" s="25"/>
      <c r="E194" s="25"/>
      <c r="F194" s="407">
        <f t="shared" si="1652"/>
        <v>10</v>
      </c>
      <c r="G194" s="407">
        <f ca="1">VLOOKUP(H194,Equipos!$Q$1:$R$25,2,0)</f>
        <v>20</v>
      </c>
      <c r="H194" s="446" t="str">
        <f>Idiomas!$D$260</f>
        <v>Round of 32</v>
      </c>
      <c r="I194" s="50"/>
      <c r="J194" s="845"/>
      <c r="K194" s="56" t="str">
        <f>Idiomas!$D$199&amp;"-"&amp;ROWS($L$182:L194)</f>
        <v>8-Finalist-13</v>
      </c>
      <c r="L194" s="53"/>
      <c r="M194" s="55" t="str">
        <f ca="1">WORLDCUP!AF124</f>
        <v>Spain</v>
      </c>
      <c r="N194" s="25"/>
      <c r="O194" s="25"/>
      <c r="P194" s="25"/>
      <c r="Q194" s="25"/>
      <c r="R194" s="110"/>
      <c r="S194" s="74" t="s">
        <v>295</v>
      </c>
      <c r="T194" s="73">
        <f t="shared" ca="1" si="1552"/>
        <v>10</v>
      </c>
      <c r="U194" s="64"/>
      <c r="V194" s="74" t="s">
        <v>295</v>
      </c>
      <c r="W194" s="73">
        <f t="shared" ca="1" si="1553"/>
        <v>10</v>
      </c>
      <c r="X194" s="64"/>
      <c r="Y194" s="74" t="s">
        <v>80</v>
      </c>
      <c r="Z194" s="73">
        <f t="shared" ca="1" si="1554"/>
        <v>0</v>
      </c>
      <c r="AA194" s="64"/>
      <c r="AB194" s="74" t="s">
        <v>295</v>
      </c>
      <c r="AC194" s="73">
        <f t="shared" ca="1" si="1555"/>
        <v>10</v>
      </c>
      <c r="AD194" s="64"/>
      <c r="AE194" s="74" t="s">
        <v>295</v>
      </c>
      <c r="AF194" s="73">
        <f t="shared" ca="1" si="1556"/>
        <v>10</v>
      </c>
      <c r="AG194" s="64"/>
      <c r="AH194" s="74" t="s">
        <v>295</v>
      </c>
      <c r="AI194" s="73">
        <f t="shared" ca="1" si="1557"/>
        <v>10</v>
      </c>
      <c r="AJ194" s="64"/>
      <c r="AK194" s="74" t="s">
        <v>295</v>
      </c>
      <c r="AL194" s="73">
        <f t="shared" ca="1" si="1558"/>
        <v>10</v>
      </c>
      <c r="AM194" s="64"/>
      <c r="AN194" s="74" t="s">
        <v>1318</v>
      </c>
      <c r="AO194" s="73">
        <f t="shared" ca="1" si="1559"/>
        <v>0</v>
      </c>
      <c r="AP194" s="64"/>
      <c r="AQ194" s="74" t="s">
        <v>295</v>
      </c>
      <c r="AR194" s="73">
        <f t="shared" ca="1" si="1560"/>
        <v>10</v>
      </c>
      <c r="AS194" s="64"/>
      <c r="AT194" s="74" t="s">
        <v>295</v>
      </c>
      <c r="AU194" s="73">
        <f t="shared" ca="1" si="1561"/>
        <v>10</v>
      </c>
      <c r="AV194" s="64"/>
      <c r="AW194" s="74" t="s">
        <v>295</v>
      </c>
      <c r="AX194" s="73">
        <f t="shared" ca="1" si="1562"/>
        <v>10</v>
      </c>
      <c r="AY194" s="64"/>
      <c r="AZ194" s="74" t="s">
        <v>295</v>
      </c>
      <c r="BA194" s="73">
        <f t="shared" ca="1" si="1563"/>
        <v>10</v>
      </c>
      <c r="BB194" s="64"/>
      <c r="BC194" s="74" t="s">
        <v>295</v>
      </c>
      <c r="BD194" s="73">
        <f t="shared" ca="1" si="1564"/>
        <v>10</v>
      </c>
      <c r="BE194" s="64"/>
      <c r="BF194" s="74" t="s">
        <v>295</v>
      </c>
      <c r="BG194" s="73">
        <f t="shared" ca="1" si="1565"/>
        <v>10</v>
      </c>
      <c r="BH194" s="64"/>
      <c r="BI194" s="74" t="s">
        <v>295</v>
      </c>
      <c r="BJ194" s="73">
        <f t="shared" ca="1" si="1566"/>
        <v>10</v>
      </c>
      <c r="BK194" s="64"/>
      <c r="BL194" s="74" t="s">
        <v>295</v>
      </c>
      <c r="BM194" s="73">
        <f t="shared" ca="1" si="1567"/>
        <v>10</v>
      </c>
      <c r="BN194" s="64"/>
      <c r="BO194" s="74" t="s">
        <v>295</v>
      </c>
      <c r="BP194" s="73">
        <f t="shared" ca="1" si="1568"/>
        <v>10</v>
      </c>
      <c r="BQ194" s="64"/>
      <c r="BR194" s="74" t="s">
        <v>295</v>
      </c>
      <c r="BS194" s="73">
        <f t="shared" ca="1" si="1569"/>
        <v>10</v>
      </c>
      <c r="BT194" s="64"/>
      <c r="BU194" s="74" t="s">
        <v>295</v>
      </c>
      <c r="BV194" s="73">
        <f t="shared" ca="1" si="1570"/>
        <v>10</v>
      </c>
      <c r="BW194" s="64"/>
      <c r="BX194" s="74" t="s">
        <v>295</v>
      </c>
      <c r="BY194" s="73">
        <f t="shared" ca="1" si="1571"/>
        <v>10</v>
      </c>
      <c r="BZ194" s="64"/>
      <c r="CA194" s="74" t="s">
        <v>295</v>
      </c>
      <c r="CB194" s="73">
        <f t="shared" ca="1" si="1572"/>
        <v>10</v>
      </c>
      <c r="CC194" s="64"/>
      <c r="CD194" s="74" t="s">
        <v>295</v>
      </c>
      <c r="CE194" s="73">
        <f t="shared" ca="1" si="1573"/>
        <v>10</v>
      </c>
      <c r="CF194" s="64"/>
      <c r="CG194" s="74" t="s">
        <v>295</v>
      </c>
      <c r="CH194" s="73">
        <f t="shared" ca="1" si="1574"/>
        <v>10</v>
      </c>
      <c r="CI194" s="64"/>
      <c r="CJ194" s="74" t="s">
        <v>295</v>
      </c>
      <c r="CK194" s="73">
        <f t="shared" ca="1" si="1575"/>
        <v>10</v>
      </c>
      <c r="CL194" s="64"/>
      <c r="CM194" s="74" t="s">
        <v>295</v>
      </c>
      <c r="CN194" s="73">
        <f t="shared" ca="1" si="1576"/>
        <v>10</v>
      </c>
      <c r="CO194" s="64"/>
      <c r="CP194" s="74" t="s">
        <v>295</v>
      </c>
      <c r="CQ194" s="73">
        <f t="shared" ca="1" si="1577"/>
        <v>10</v>
      </c>
      <c r="CR194" s="64"/>
      <c r="CS194" s="74" t="s">
        <v>295</v>
      </c>
      <c r="CT194" s="73">
        <f t="shared" ca="1" si="1578"/>
        <v>10</v>
      </c>
      <c r="CU194" s="64"/>
      <c r="CV194" s="74" t="s">
        <v>295</v>
      </c>
      <c r="CW194" s="73">
        <f t="shared" ca="1" si="1579"/>
        <v>10</v>
      </c>
      <c r="CX194" s="64"/>
      <c r="CY194" s="74" t="s">
        <v>1256</v>
      </c>
      <c r="CZ194" s="73">
        <f t="shared" ca="1" si="1580"/>
        <v>10</v>
      </c>
      <c r="DA194" s="64"/>
      <c r="DB194" s="74" t="s">
        <v>295</v>
      </c>
      <c r="DC194" s="73">
        <f t="shared" ca="1" si="1581"/>
        <v>10</v>
      </c>
      <c r="DD194" s="64"/>
      <c r="DE194" s="74" t="s">
        <v>295</v>
      </c>
      <c r="DF194" s="73">
        <f t="shared" ca="1" si="1582"/>
        <v>10</v>
      </c>
      <c r="DG194" s="64"/>
      <c r="DH194" s="74" t="s">
        <v>295</v>
      </c>
      <c r="DI194" s="73">
        <f t="shared" ca="1" si="1583"/>
        <v>10</v>
      </c>
      <c r="DJ194" s="64"/>
      <c r="DK194" s="74" t="s">
        <v>295</v>
      </c>
      <c r="DL194" s="73">
        <f t="shared" ca="1" si="1584"/>
        <v>10</v>
      </c>
      <c r="DM194" s="64"/>
      <c r="DN194" s="74" t="s">
        <v>295</v>
      </c>
      <c r="DO194" s="73">
        <f t="shared" ca="1" si="1585"/>
        <v>10</v>
      </c>
      <c r="DP194" s="64"/>
      <c r="DQ194" s="74" t="s">
        <v>295</v>
      </c>
      <c r="DR194" s="73">
        <f t="shared" ca="1" si="1586"/>
        <v>10</v>
      </c>
      <c r="DS194" s="64"/>
      <c r="DT194" s="74" t="s">
        <v>295</v>
      </c>
      <c r="DU194" s="73">
        <f t="shared" ca="1" si="1587"/>
        <v>10</v>
      </c>
      <c r="DV194" s="64"/>
      <c r="DW194" s="74" t="s">
        <v>295</v>
      </c>
      <c r="DX194" s="73">
        <f t="shared" ca="1" si="1588"/>
        <v>10</v>
      </c>
      <c r="DY194" s="64"/>
      <c r="DZ194" s="74" t="s">
        <v>295</v>
      </c>
      <c r="EA194" s="73">
        <f t="shared" ca="1" si="1589"/>
        <v>10</v>
      </c>
      <c r="EB194" s="64"/>
      <c r="EC194" s="74" t="s">
        <v>295</v>
      </c>
      <c r="ED194" s="73">
        <f t="shared" ca="1" si="1590"/>
        <v>10</v>
      </c>
      <c r="EE194" s="64"/>
      <c r="EF194" s="74" t="s">
        <v>295</v>
      </c>
      <c r="EG194" s="73">
        <f t="shared" ca="1" si="1591"/>
        <v>10</v>
      </c>
      <c r="EH194" s="64"/>
      <c r="EI194" s="74" t="s">
        <v>295</v>
      </c>
      <c r="EJ194" s="73">
        <f t="shared" ca="1" si="1592"/>
        <v>10</v>
      </c>
      <c r="EK194" s="64"/>
      <c r="EL194" s="74" t="s">
        <v>295</v>
      </c>
      <c r="EM194" s="73">
        <f t="shared" ca="1" si="1593"/>
        <v>10</v>
      </c>
      <c r="EN194" s="64"/>
      <c r="EO194" s="74" t="s">
        <v>295</v>
      </c>
      <c r="EP194" s="73">
        <f t="shared" ca="1" si="1594"/>
        <v>10</v>
      </c>
      <c r="EQ194" s="64"/>
      <c r="ER194" s="74" t="s">
        <v>295</v>
      </c>
      <c r="ES194" s="73">
        <f t="shared" ca="1" si="1595"/>
        <v>10</v>
      </c>
      <c r="ET194" s="64"/>
      <c r="EU194" s="74" t="s">
        <v>295</v>
      </c>
      <c r="EV194" s="73">
        <f t="shared" ca="1" si="1596"/>
        <v>10</v>
      </c>
      <c r="EW194" s="64"/>
      <c r="EX194" s="74" t="s">
        <v>295</v>
      </c>
      <c r="EY194" s="73">
        <f t="shared" ca="1" si="1597"/>
        <v>10</v>
      </c>
      <c r="EZ194" s="64"/>
      <c r="FA194" s="74" t="s">
        <v>295</v>
      </c>
      <c r="FB194" s="73">
        <f t="shared" ca="1" si="1598"/>
        <v>10</v>
      </c>
      <c r="FC194" s="64"/>
      <c r="FD194" s="74" t="s">
        <v>295</v>
      </c>
      <c r="FE194" s="73">
        <f t="shared" ca="1" si="1599"/>
        <v>10</v>
      </c>
      <c r="FF194" s="64"/>
      <c r="FG194" s="74" t="s">
        <v>295</v>
      </c>
      <c r="FH194" s="73">
        <f t="shared" ca="1" si="1600"/>
        <v>10</v>
      </c>
      <c r="FI194" s="64"/>
      <c r="FJ194" s="74" t="s">
        <v>295</v>
      </c>
      <c r="FK194" s="73">
        <f t="shared" ca="1" si="1601"/>
        <v>10</v>
      </c>
      <c r="FL194" s="64"/>
      <c r="FM194" s="74" t="s">
        <v>295</v>
      </c>
      <c r="FN194" s="73">
        <f t="shared" ca="1" si="1602"/>
        <v>10</v>
      </c>
      <c r="FO194" s="64"/>
      <c r="FP194" s="74" t="s">
        <v>295</v>
      </c>
      <c r="FQ194" s="73">
        <f t="shared" ca="1" si="1603"/>
        <v>10</v>
      </c>
      <c r="FR194" s="64"/>
      <c r="FS194" s="74" t="s">
        <v>295</v>
      </c>
      <c r="FT194" s="73">
        <f t="shared" ca="1" si="1604"/>
        <v>10</v>
      </c>
      <c r="FU194" s="64"/>
      <c r="FV194" s="74" t="s">
        <v>295</v>
      </c>
      <c r="FW194" s="73">
        <f t="shared" ca="1" si="1605"/>
        <v>10</v>
      </c>
      <c r="FX194" s="64"/>
      <c r="FY194" s="74" t="s">
        <v>295</v>
      </c>
      <c r="FZ194" s="73">
        <f t="shared" ca="1" si="1606"/>
        <v>10</v>
      </c>
      <c r="GA194" s="64"/>
      <c r="GB194" s="74" t="s">
        <v>295</v>
      </c>
      <c r="GC194" s="73">
        <f t="shared" ca="1" si="1607"/>
        <v>10</v>
      </c>
      <c r="GD194" s="64"/>
      <c r="GE194" s="74" t="s">
        <v>295</v>
      </c>
      <c r="GF194" s="73">
        <f t="shared" ca="1" si="1608"/>
        <v>10</v>
      </c>
      <c r="GG194" s="64"/>
      <c r="GH194" s="74" t="s">
        <v>295</v>
      </c>
      <c r="GI194" s="73">
        <f t="shared" ca="1" si="1609"/>
        <v>10</v>
      </c>
      <c r="GJ194" s="64"/>
      <c r="GK194" s="74" t="s">
        <v>295</v>
      </c>
      <c r="GL194" s="73">
        <f t="shared" ca="1" si="1610"/>
        <v>10</v>
      </c>
      <c r="GM194" s="64"/>
      <c r="GN194" s="74"/>
      <c r="GO194" s="73">
        <f t="shared" ca="1" si="1611"/>
        <v>0</v>
      </c>
      <c r="GP194" s="64"/>
      <c r="GQ194" s="74"/>
      <c r="GR194" s="73">
        <f t="shared" ca="1" si="1612"/>
        <v>0</v>
      </c>
      <c r="GS194" s="64"/>
      <c r="GT194" s="74"/>
      <c r="GU194" s="73">
        <f t="shared" ca="1" si="1613"/>
        <v>0</v>
      </c>
      <c r="GV194" s="64"/>
      <c r="GW194" s="74"/>
      <c r="GX194" s="73">
        <f t="shared" ca="1" si="1614"/>
        <v>0</v>
      </c>
      <c r="GY194" s="64"/>
      <c r="GZ194" s="74"/>
      <c r="HA194" s="73">
        <f t="shared" ca="1" si="1615"/>
        <v>0</v>
      </c>
      <c r="HB194" s="64"/>
      <c r="HC194" s="74"/>
      <c r="HD194" s="73">
        <f t="shared" ca="1" si="1616"/>
        <v>0</v>
      </c>
      <c r="HE194" s="64"/>
      <c r="HF194" s="74"/>
      <c r="HG194" s="73">
        <f t="shared" ca="1" si="1617"/>
        <v>0</v>
      </c>
      <c r="HH194" s="64"/>
      <c r="HI194" s="74"/>
      <c r="HJ194" s="73">
        <f t="shared" ca="1" si="1618"/>
        <v>0</v>
      </c>
      <c r="HK194" s="64"/>
      <c r="HL194" s="74"/>
      <c r="HM194" s="73">
        <f t="shared" ca="1" si="1619"/>
        <v>0</v>
      </c>
      <c r="HN194" s="64"/>
      <c r="HO194" s="74"/>
      <c r="HP194" s="73">
        <f t="shared" ca="1" si="1620"/>
        <v>0</v>
      </c>
      <c r="HQ194" s="64"/>
      <c r="HR194" s="74"/>
      <c r="HS194" s="73">
        <f t="shared" ca="1" si="1621"/>
        <v>0</v>
      </c>
      <c r="HT194" s="64"/>
      <c r="HU194" s="74"/>
      <c r="HV194" s="73">
        <f t="shared" ca="1" si="1622"/>
        <v>0</v>
      </c>
      <c r="HW194" s="64"/>
      <c r="HX194" s="74"/>
      <c r="HY194" s="73">
        <f t="shared" ca="1" si="1623"/>
        <v>0</v>
      </c>
      <c r="HZ194" s="64"/>
      <c r="IA194" s="74"/>
      <c r="IB194" s="73">
        <f t="shared" ca="1" si="1624"/>
        <v>0</v>
      </c>
      <c r="IC194" s="64"/>
      <c r="ID194" s="74"/>
      <c r="IE194" s="73">
        <f t="shared" ca="1" si="1625"/>
        <v>0</v>
      </c>
      <c r="IF194" s="64"/>
      <c r="IG194" s="74"/>
      <c r="IH194" s="73">
        <f t="shared" ca="1" si="1626"/>
        <v>0</v>
      </c>
      <c r="II194" s="64"/>
      <c r="IJ194" s="74"/>
      <c r="IK194" s="73">
        <f t="shared" ca="1" si="1627"/>
        <v>0</v>
      </c>
      <c r="IL194" s="64"/>
      <c r="IM194" s="74"/>
      <c r="IN194" s="73">
        <f t="shared" ca="1" si="1628"/>
        <v>0</v>
      </c>
      <c r="IO194" s="64"/>
      <c r="IP194" s="74"/>
      <c r="IQ194" s="73">
        <f t="shared" ca="1" si="1629"/>
        <v>0</v>
      </c>
      <c r="IR194" s="64"/>
      <c r="IS194" s="74"/>
      <c r="IT194" s="73">
        <f t="shared" ca="1" si="1630"/>
        <v>0</v>
      </c>
      <c r="IU194" s="64"/>
      <c r="IV194" s="74"/>
      <c r="IW194" s="73">
        <f t="shared" ca="1" si="1631"/>
        <v>0</v>
      </c>
      <c r="IX194" s="64"/>
      <c r="IY194" s="74"/>
      <c r="IZ194" s="73">
        <f t="shared" ca="1" si="1632"/>
        <v>0</v>
      </c>
      <c r="JA194" s="64"/>
      <c r="JB194" s="74"/>
      <c r="JC194" s="73">
        <f t="shared" ca="1" si="1633"/>
        <v>0</v>
      </c>
      <c r="JD194" s="64"/>
      <c r="JE194" s="74"/>
      <c r="JF194" s="73">
        <f t="shared" ca="1" si="1634"/>
        <v>0</v>
      </c>
      <c r="JG194" s="64"/>
      <c r="JH194" s="74"/>
      <c r="JI194" s="73">
        <f t="shared" ca="1" si="1635"/>
        <v>0</v>
      </c>
      <c r="JJ194" s="64"/>
      <c r="JK194" s="74"/>
      <c r="JL194" s="73">
        <f t="shared" ca="1" si="1636"/>
        <v>0</v>
      </c>
      <c r="JM194" s="64"/>
      <c r="JN194" s="74"/>
      <c r="JO194" s="73">
        <f t="shared" ca="1" si="1637"/>
        <v>0</v>
      </c>
      <c r="JP194" s="64"/>
      <c r="JQ194" s="74"/>
      <c r="JR194" s="73">
        <f t="shared" ca="1" si="1638"/>
        <v>0</v>
      </c>
      <c r="JS194" s="64"/>
      <c r="JT194" s="74"/>
      <c r="JU194" s="73">
        <f t="shared" ca="1" si="1639"/>
        <v>0</v>
      </c>
      <c r="JV194" s="64"/>
      <c r="JW194" s="74"/>
      <c r="JX194" s="73">
        <f t="shared" ca="1" si="1640"/>
        <v>0</v>
      </c>
      <c r="JY194" s="64"/>
      <c r="JZ194" s="74"/>
      <c r="KA194" s="73">
        <f t="shared" ca="1" si="1641"/>
        <v>0</v>
      </c>
      <c r="KB194" s="64"/>
      <c r="KC194" s="74"/>
      <c r="KD194" s="73">
        <f t="shared" ca="1" si="1642"/>
        <v>0</v>
      </c>
      <c r="KE194" s="64"/>
      <c r="KF194" s="74"/>
      <c r="KG194" s="73">
        <f t="shared" ca="1" si="1643"/>
        <v>0</v>
      </c>
      <c r="KH194" s="64"/>
      <c r="KI194" s="74"/>
      <c r="KJ194" s="73">
        <f t="shared" ca="1" si="1644"/>
        <v>0</v>
      </c>
      <c r="KK194" s="64"/>
      <c r="KL194" s="74"/>
      <c r="KM194" s="73">
        <f t="shared" ca="1" si="1645"/>
        <v>0</v>
      </c>
      <c r="KN194" s="64"/>
      <c r="KO194" s="74"/>
      <c r="KP194" s="73">
        <f t="shared" ca="1" si="1646"/>
        <v>0</v>
      </c>
      <c r="KQ194" s="64"/>
      <c r="KR194" s="74"/>
      <c r="KS194" s="73">
        <f t="shared" ca="1" si="1647"/>
        <v>0</v>
      </c>
      <c r="KT194" s="64"/>
      <c r="KU194" s="74"/>
      <c r="KV194" s="73">
        <f t="shared" ca="1" si="1648"/>
        <v>0</v>
      </c>
      <c r="KW194" s="64"/>
      <c r="KX194" s="74"/>
      <c r="KY194" s="73">
        <f t="shared" ca="1" si="1649"/>
        <v>0</v>
      </c>
      <c r="KZ194" s="64"/>
      <c r="LA194" s="74"/>
      <c r="LB194" s="73">
        <f t="shared" ca="1" si="1650"/>
        <v>0</v>
      </c>
      <c r="LC194" s="64"/>
      <c r="LD194" s="74"/>
      <c r="LE194" s="73">
        <f t="shared" ca="1" si="1651"/>
        <v>0</v>
      </c>
      <c r="LF194" s="64"/>
      <c r="LG194" s="64"/>
    </row>
    <row r="195" spans="1:319">
      <c r="A195" s="25"/>
      <c r="B195" s="25"/>
      <c r="C195" s="25"/>
      <c r="D195" s="25"/>
      <c r="E195" s="25"/>
      <c r="F195" s="407">
        <f t="shared" si="1652"/>
        <v>10</v>
      </c>
      <c r="G195" s="407">
        <f ca="1">VLOOKUP(H195,Equipos!$Q$1:$R$25,2,0)</f>
        <v>20</v>
      </c>
      <c r="H195" s="446" t="str">
        <f>Idiomas!$D$260</f>
        <v>Round of 32</v>
      </c>
      <c r="I195" s="50"/>
      <c r="J195" s="845"/>
      <c r="K195" s="56" t="str">
        <f>Idiomas!$D$199&amp;"-"&amp;ROWS($L$182:L195)</f>
        <v>8-Finalist-14</v>
      </c>
      <c r="L195" s="53"/>
      <c r="M195" s="55" t="str">
        <f ca="1">WORLDCUP!AF125</f>
        <v>Belgium</v>
      </c>
      <c r="N195" s="25"/>
      <c r="O195" s="25"/>
      <c r="P195" s="25"/>
      <c r="Q195" s="25"/>
      <c r="R195" s="110"/>
      <c r="S195" s="74" t="s">
        <v>1290</v>
      </c>
      <c r="T195" s="73">
        <f t="shared" ca="1" si="1552"/>
        <v>0</v>
      </c>
      <c r="U195" s="64"/>
      <c r="V195" s="74" t="s">
        <v>293</v>
      </c>
      <c r="W195" s="73">
        <f t="shared" ca="1" si="1553"/>
        <v>10</v>
      </c>
      <c r="X195" s="64"/>
      <c r="Y195" s="74" t="s">
        <v>293</v>
      </c>
      <c r="Z195" s="73">
        <f t="shared" ca="1" si="1554"/>
        <v>10</v>
      </c>
      <c r="AA195" s="64"/>
      <c r="AB195" s="74" t="s">
        <v>293</v>
      </c>
      <c r="AC195" s="73">
        <f t="shared" ca="1" si="1555"/>
        <v>10</v>
      </c>
      <c r="AD195" s="64"/>
      <c r="AE195" s="74" t="s">
        <v>293</v>
      </c>
      <c r="AF195" s="73">
        <f t="shared" ca="1" si="1556"/>
        <v>10</v>
      </c>
      <c r="AG195" s="64"/>
      <c r="AH195" s="74" t="s">
        <v>293</v>
      </c>
      <c r="AI195" s="73">
        <f t="shared" ca="1" si="1557"/>
        <v>10</v>
      </c>
      <c r="AJ195" s="64"/>
      <c r="AK195" s="74" t="s">
        <v>293</v>
      </c>
      <c r="AL195" s="73">
        <f t="shared" ca="1" si="1558"/>
        <v>10</v>
      </c>
      <c r="AM195" s="64"/>
      <c r="AN195" s="74" t="s">
        <v>1282</v>
      </c>
      <c r="AO195" s="73">
        <f t="shared" ca="1" si="1559"/>
        <v>0</v>
      </c>
      <c r="AP195" s="64"/>
      <c r="AQ195" s="74" t="s">
        <v>293</v>
      </c>
      <c r="AR195" s="73">
        <f t="shared" ca="1" si="1560"/>
        <v>10</v>
      </c>
      <c r="AS195" s="64"/>
      <c r="AT195" s="74" t="s">
        <v>293</v>
      </c>
      <c r="AU195" s="73">
        <f t="shared" ca="1" si="1561"/>
        <v>10</v>
      </c>
      <c r="AV195" s="64"/>
      <c r="AW195" s="74" t="s">
        <v>293</v>
      </c>
      <c r="AX195" s="73">
        <f t="shared" ca="1" si="1562"/>
        <v>10</v>
      </c>
      <c r="AY195" s="64"/>
      <c r="AZ195" s="74" t="s">
        <v>293</v>
      </c>
      <c r="BA195" s="73">
        <f t="shared" ca="1" si="1563"/>
        <v>10</v>
      </c>
      <c r="BB195" s="64"/>
      <c r="BC195" s="74" t="s">
        <v>293</v>
      </c>
      <c r="BD195" s="73">
        <f t="shared" ca="1" si="1564"/>
        <v>10</v>
      </c>
      <c r="BE195" s="64"/>
      <c r="BF195" s="74" t="s">
        <v>293</v>
      </c>
      <c r="BG195" s="73">
        <f t="shared" ca="1" si="1565"/>
        <v>10</v>
      </c>
      <c r="BH195" s="64"/>
      <c r="BI195" s="74" t="s">
        <v>1553</v>
      </c>
      <c r="BJ195" s="73">
        <f t="shared" ca="1" si="1566"/>
        <v>10</v>
      </c>
      <c r="BK195" s="64"/>
      <c r="BL195" s="74" t="s">
        <v>293</v>
      </c>
      <c r="BM195" s="73">
        <f t="shared" ca="1" si="1567"/>
        <v>10</v>
      </c>
      <c r="BN195" s="64"/>
      <c r="BO195" s="74" t="s">
        <v>1553</v>
      </c>
      <c r="BP195" s="73">
        <f t="shared" ca="1" si="1568"/>
        <v>10</v>
      </c>
      <c r="BQ195" s="64"/>
      <c r="BR195" s="74" t="s">
        <v>1278</v>
      </c>
      <c r="BS195" s="73">
        <f t="shared" ca="1" si="1569"/>
        <v>0</v>
      </c>
      <c r="BT195" s="64"/>
      <c r="BU195" s="74" t="s">
        <v>293</v>
      </c>
      <c r="BV195" s="73">
        <f t="shared" ca="1" si="1570"/>
        <v>10</v>
      </c>
      <c r="BW195" s="64"/>
      <c r="BX195" s="74" t="s">
        <v>293</v>
      </c>
      <c r="BY195" s="73">
        <f t="shared" ca="1" si="1571"/>
        <v>10</v>
      </c>
      <c r="BZ195" s="64"/>
      <c r="CA195" s="74" t="s">
        <v>293</v>
      </c>
      <c r="CB195" s="73">
        <f t="shared" ca="1" si="1572"/>
        <v>10</v>
      </c>
      <c r="CC195" s="64"/>
      <c r="CD195" s="74" t="s">
        <v>1844</v>
      </c>
      <c r="CE195" s="73">
        <f t="shared" ca="1" si="1573"/>
        <v>0</v>
      </c>
      <c r="CF195" s="64"/>
      <c r="CG195" s="74" t="s">
        <v>293</v>
      </c>
      <c r="CH195" s="73">
        <f t="shared" ca="1" si="1574"/>
        <v>10</v>
      </c>
      <c r="CI195" s="64"/>
      <c r="CJ195" s="74" t="s">
        <v>1635</v>
      </c>
      <c r="CK195" s="73">
        <f t="shared" ca="1" si="1575"/>
        <v>0</v>
      </c>
      <c r="CL195" s="64"/>
      <c r="CM195" s="74" t="s">
        <v>293</v>
      </c>
      <c r="CN195" s="73">
        <f t="shared" ca="1" si="1576"/>
        <v>10</v>
      </c>
      <c r="CO195" s="64"/>
      <c r="CP195" s="74" t="s">
        <v>293</v>
      </c>
      <c r="CQ195" s="73">
        <f t="shared" ca="1" si="1577"/>
        <v>10</v>
      </c>
      <c r="CR195" s="64"/>
      <c r="CS195" s="74" t="s">
        <v>1553</v>
      </c>
      <c r="CT195" s="73">
        <f t="shared" ca="1" si="1578"/>
        <v>10</v>
      </c>
      <c r="CU195" s="64"/>
      <c r="CV195" s="74" t="s">
        <v>293</v>
      </c>
      <c r="CW195" s="73">
        <f t="shared" ca="1" si="1579"/>
        <v>10</v>
      </c>
      <c r="CX195" s="64"/>
      <c r="CY195" s="74" t="s">
        <v>1278</v>
      </c>
      <c r="CZ195" s="73">
        <f t="shared" ca="1" si="1580"/>
        <v>0</v>
      </c>
      <c r="DA195" s="64"/>
      <c r="DB195" s="74" t="s">
        <v>293</v>
      </c>
      <c r="DC195" s="73">
        <f t="shared" ca="1" si="1581"/>
        <v>10</v>
      </c>
      <c r="DD195" s="64"/>
      <c r="DE195" s="74" t="s">
        <v>293</v>
      </c>
      <c r="DF195" s="73">
        <f t="shared" ca="1" si="1582"/>
        <v>10</v>
      </c>
      <c r="DG195" s="64"/>
      <c r="DH195" s="74" t="s">
        <v>293</v>
      </c>
      <c r="DI195" s="73">
        <f t="shared" ca="1" si="1583"/>
        <v>10</v>
      </c>
      <c r="DJ195" s="64"/>
      <c r="DK195" s="74" t="s">
        <v>293</v>
      </c>
      <c r="DL195" s="73">
        <f t="shared" ca="1" si="1584"/>
        <v>10</v>
      </c>
      <c r="DM195" s="64"/>
      <c r="DN195" s="74" t="s">
        <v>293</v>
      </c>
      <c r="DO195" s="73">
        <f t="shared" ca="1" si="1585"/>
        <v>10</v>
      </c>
      <c r="DP195" s="64"/>
      <c r="DQ195" s="74" t="s">
        <v>293</v>
      </c>
      <c r="DR195" s="73">
        <f t="shared" ca="1" si="1586"/>
        <v>10</v>
      </c>
      <c r="DS195" s="64"/>
      <c r="DT195" s="74" t="s">
        <v>293</v>
      </c>
      <c r="DU195" s="73">
        <f t="shared" ca="1" si="1587"/>
        <v>10</v>
      </c>
      <c r="DV195" s="64"/>
      <c r="DW195" s="74" t="s">
        <v>293</v>
      </c>
      <c r="DX195" s="73">
        <f t="shared" ca="1" si="1588"/>
        <v>10</v>
      </c>
      <c r="DY195" s="64"/>
      <c r="DZ195" s="74" t="s">
        <v>293</v>
      </c>
      <c r="EA195" s="73">
        <f t="shared" ca="1" si="1589"/>
        <v>10</v>
      </c>
      <c r="EB195" s="64"/>
      <c r="EC195" s="74" t="s">
        <v>293</v>
      </c>
      <c r="ED195" s="73">
        <f t="shared" ca="1" si="1590"/>
        <v>10</v>
      </c>
      <c r="EE195" s="64"/>
      <c r="EF195" s="74" t="s">
        <v>1553</v>
      </c>
      <c r="EG195" s="73">
        <f t="shared" ca="1" si="1591"/>
        <v>10</v>
      </c>
      <c r="EH195" s="64"/>
      <c r="EI195" s="74" t="s">
        <v>293</v>
      </c>
      <c r="EJ195" s="73">
        <f t="shared" ca="1" si="1592"/>
        <v>10</v>
      </c>
      <c r="EK195" s="64"/>
      <c r="EL195" s="74" t="s">
        <v>293</v>
      </c>
      <c r="EM195" s="73">
        <f t="shared" ca="1" si="1593"/>
        <v>10</v>
      </c>
      <c r="EN195" s="64"/>
      <c r="EO195" s="74" t="s">
        <v>293</v>
      </c>
      <c r="EP195" s="73">
        <f t="shared" ca="1" si="1594"/>
        <v>10</v>
      </c>
      <c r="EQ195" s="64"/>
      <c r="ER195" s="74" t="s">
        <v>293</v>
      </c>
      <c r="ES195" s="73">
        <f t="shared" ca="1" si="1595"/>
        <v>10</v>
      </c>
      <c r="ET195" s="64"/>
      <c r="EU195" s="74" t="s">
        <v>293</v>
      </c>
      <c r="EV195" s="73">
        <f t="shared" ca="1" si="1596"/>
        <v>10</v>
      </c>
      <c r="EW195" s="64"/>
      <c r="EX195" s="74" t="s">
        <v>293</v>
      </c>
      <c r="EY195" s="73">
        <f t="shared" ca="1" si="1597"/>
        <v>10</v>
      </c>
      <c r="EZ195" s="64"/>
      <c r="FA195" s="74" t="s">
        <v>1278</v>
      </c>
      <c r="FB195" s="73">
        <f t="shared" ca="1" si="1598"/>
        <v>0</v>
      </c>
      <c r="FC195" s="64"/>
      <c r="FD195" s="74" t="s">
        <v>293</v>
      </c>
      <c r="FE195" s="73">
        <f t="shared" ca="1" si="1599"/>
        <v>10</v>
      </c>
      <c r="FF195" s="64"/>
      <c r="FG195" s="74" t="s">
        <v>293</v>
      </c>
      <c r="FH195" s="73">
        <f t="shared" ca="1" si="1600"/>
        <v>10</v>
      </c>
      <c r="FI195" s="64"/>
      <c r="FJ195" s="74" t="s">
        <v>293</v>
      </c>
      <c r="FK195" s="73">
        <f t="shared" ca="1" si="1601"/>
        <v>10</v>
      </c>
      <c r="FL195" s="64"/>
      <c r="FM195" s="74" t="s">
        <v>293</v>
      </c>
      <c r="FN195" s="73">
        <f t="shared" ca="1" si="1602"/>
        <v>10</v>
      </c>
      <c r="FO195" s="64"/>
      <c r="FP195" s="74" t="s">
        <v>293</v>
      </c>
      <c r="FQ195" s="73">
        <f t="shared" ca="1" si="1603"/>
        <v>10</v>
      </c>
      <c r="FR195" s="64"/>
      <c r="FS195" s="74" t="s">
        <v>293</v>
      </c>
      <c r="FT195" s="73">
        <f t="shared" ca="1" si="1604"/>
        <v>10</v>
      </c>
      <c r="FU195" s="64"/>
      <c r="FV195" s="74" t="s">
        <v>293</v>
      </c>
      <c r="FW195" s="73">
        <f t="shared" ca="1" si="1605"/>
        <v>10</v>
      </c>
      <c r="FX195" s="64"/>
      <c r="FY195" s="74" t="s">
        <v>293</v>
      </c>
      <c r="FZ195" s="73">
        <f t="shared" ca="1" si="1606"/>
        <v>10</v>
      </c>
      <c r="GA195" s="64"/>
      <c r="GB195" s="74" t="s">
        <v>293</v>
      </c>
      <c r="GC195" s="73">
        <f t="shared" ca="1" si="1607"/>
        <v>10</v>
      </c>
      <c r="GD195" s="64"/>
      <c r="GE195" s="74" t="s">
        <v>293</v>
      </c>
      <c r="GF195" s="73">
        <f t="shared" ca="1" si="1608"/>
        <v>10</v>
      </c>
      <c r="GG195" s="64"/>
      <c r="GH195" s="74" t="s">
        <v>293</v>
      </c>
      <c r="GI195" s="73">
        <f t="shared" ca="1" si="1609"/>
        <v>10</v>
      </c>
      <c r="GJ195" s="64"/>
      <c r="GK195" s="74" t="s">
        <v>1635</v>
      </c>
      <c r="GL195" s="73">
        <f t="shared" ca="1" si="1610"/>
        <v>0</v>
      </c>
      <c r="GM195" s="64"/>
      <c r="GN195" s="74"/>
      <c r="GO195" s="73">
        <f t="shared" ca="1" si="1611"/>
        <v>0</v>
      </c>
      <c r="GP195" s="64"/>
      <c r="GQ195" s="74"/>
      <c r="GR195" s="73">
        <f t="shared" ca="1" si="1612"/>
        <v>0</v>
      </c>
      <c r="GS195" s="64"/>
      <c r="GT195" s="74"/>
      <c r="GU195" s="73">
        <f t="shared" ca="1" si="1613"/>
        <v>0</v>
      </c>
      <c r="GV195" s="64"/>
      <c r="GW195" s="74"/>
      <c r="GX195" s="73">
        <f t="shared" ca="1" si="1614"/>
        <v>0</v>
      </c>
      <c r="GY195" s="64"/>
      <c r="GZ195" s="74"/>
      <c r="HA195" s="73">
        <f t="shared" ca="1" si="1615"/>
        <v>0</v>
      </c>
      <c r="HB195" s="64"/>
      <c r="HC195" s="74"/>
      <c r="HD195" s="73">
        <f t="shared" ca="1" si="1616"/>
        <v>0</v>
      </c>
      <c r="HE195" s="64"/>
      <c r="HF195" s="74"/>
      <c r="HG195" s="73">
        <f t="shared" ca="1" si="1617"/>
        <v>0</v>
      </c>
      <c r="HH195" s="64"/>
      <c r="HI195" s="74"/>
      <c r="HJ195" s="73">
        <f t="shared" ca="1" si="1618"/>
        <v>0</v>
      </c>
      <c r="HK195" s="64"/>
      <c r="HL195" s="74"/>
      <c r="HM195" s="73">
        <f t="shared" ca="1" si="1619"/>
        <v>0</v>
      </c>
      <c r="HN195" s="64"/>
      <c r="HO195" s="74"/>
      <c r="HP195" s="73">
        <f t="shared" ca="1" si="1620"/>
        <v>0</v>
      </c>
      <c r="HQ195" s="64"/>
      <c r="HR195" s="74"/>
      <c r="HS195" s="73">
        <f t="shared" ca="1" si="1621"/>
        <v>0</v>
      </c>
      <c r="HT195" s="64"/>
      <c r="HU195" s="74"/>
      <c r="HV195" s="73">
        <f t="shared" ca="1" si="1622"/>
        <v>0</v>
      </c>
      <c r="HW195" s="64"/>
      <c r="HX195" s="74"/>
      <c r="HY195" s="73">
        <f t="shared" ca="1" si="1623"/>
        <v>0</v>
      </c>
      <c r="HZ195" s="64"/>
      <c r="IA195" s="74"/>
      <c r="IB195" s="73">
        <f t="shared" ca="1" si="1624"/>
        <v>0</v>
      </c>
      <c r="IC195" s="64"/>
      <c r="ID195" s="74"/>
      <c r="IE195" s="73">
        <f t="shared" ca="1" si="1625"/>
        <v>0</v>
      </c>
      <c r="IF195" s="64"/>
      <c r="IG195" s="74"/>
      <c r="IH195" s="73">
        <f t="shared" ca="1" si="1626"/>
        <v>0</v>
      </c>
      <c r="II195" s="64"/>
      <c r="IJ195" s="74"/>
      <c r="IK195" s="73">
        <f t="shared" ca="1" si="1627"/>
        <v>0</v>
      </c>
      <c r="IL195" s="64"/>
      <c r="IM195" s="74"/>
      <c r="IN195" s="73">
        <f t="shared" ca="1" si="1628"/>
        <v>0</v>
      </c>
      <c r="IO195" s="64"/>
      <c r="IP195" s="74"/>
      <c r="IQ195" s="73">
        <f t="shared" ca="1" si="1629"/>
        <v>0</v>
      </c>
      <c r="IR195" s="64"/>
      <c r="IS195" s="74"/>
      <c r="IT195" s="73">
        <f t="shared" ca="1" si="1630"/>
        <v>0</v>
      </c>
      <c r="IU195" s="64"/>
      <c r="IV195" s="74"/>
      <c r="IW195" s="73">
        <f t="shared" ca="1" si="1631"/>
        <v>0</v>
      </c>
      <c r="IX195" s="64"/>
      <c r="IY195" s="74"/>
      <c r="IZ195" s="73">
        <f t="shared" ca="1" si="1632"/>
        <v>0</v>
      </c>
      <c r="JA195" s="64"/>
      <c r="JB195" s="74"/>
      <c r="JC195" s="73">
        <f t="shared" ca="1" si="1633"/>
        <v>0</v>
      </c>
      <c r="JD195" s="64"/>
      <c r="JE195" s="74"/>
      <c r="JF195" s="73">
        <f t="shared" ca="1" si="1634"/>
        <v>0</v>
      </c>
      <c r="JG195" s="64"/>
      <c r="JH195" s="74"/>
      <c r="JI195" s="73">
        <f t="shared" ca="1" si="1635"/>
        <v>0</v>
      </c>
      <c r="JJ195" s="64"/>
      <c r="JK195" s="74"/>
      <c r="JL195" s="73">
        <f t="shared" ca="1" si="1636"/>
        <v>0</v>
      </c>
      <c r="JM195" s="64"/>
      <c r="JN195" s="74"/>
      <c r="JO195" s="73">
        <f t="shared" ca="1" si="1637"/>
        <v>0</v>
      </c>
      <c r="JP195" s="64"/>
      <c r="JQ195" s="74"/>
      <c r="JR195" s="73">
        <f t="shared" ca="1" si="1638"/>
        <v>0</v>
      </c>
      <c r="JS195" s="64"/>
      <c r="JT195" s="74"/>
      <c r="JU195" s="73">
        <f t="shared" ca="1" si="1639"/>
        <v>0</v>
      </c>
      <c r="JV195" s="64"/>
      <c r="JW195" s="74"/>
      <c r="JX195" s="73">
        <f t="shared" ca="1" si="1640"/>
        <v>0</v>
      </c>
      <c r="JY195" s="64"/>
      <c r="JZ195" s="74"/>
      <c r="KA195" s="73">
        <f t="shared" ca="1" si="1641"/>
        <v>0</v>
      </c>
      <c r="KB195" s="64"/>
      <c r="KC195" s="74"/>
      <c r="KD195" s="73">
        <f t="shared" ca="1" si="1642"/>
        <v>0</v>
      </c>
      <c r="KE195" s="64"/>
      <c r="KF195" s="74"/>
      <c r="KG195" s="73">
        <f t="shared" ca="1" si="1643"/>
        <v>0</v>
      </c>
      <c r="KH195" s="64"/>
      <c r="KI195" s="74"/>
      <c r="KJ195" s="73">
        <f t="shared" ca="1" si="1644"/>
        <v>0</v>
      </c>
      <c r="KK195" s="64"/>
      <c r="KL195" s="74"/>
      <c r="KM195" s="73">
        <f t="shared" ca="1" si="1645"/>
        <v>0</v>
      </c>
      <c r="KN195" s="64"/>
      <c r="KO195" s="74"/>
      <c r="KP195" s="73">
        <f t="shared" ca="1" si="1646"/>
        <v>0</v>
      </c>
      <c r="KQ195" s="64"/>
      <c r="KR195" s="74"/>
      <c r="KS195" s="73">
        <f t="shared" ca="1" si="1647"/>
        <v>0</v>
      </c>
      <c r="KT195" s="64"/>
      <c r="KU195" s="74"/>
      <c r="KV195" s="73">
        <f t="shared" ca="1" si="1648"/>
        <v>0</v>
      </c>
      <c r="KW195" s="64"/>
      <c r="KX195" s="74"/>
      <c r="KY195" s="73">
        <f t="shared" ca="1" si="1649"/>
        <v>0</v>
      </c>
      <c r="KZ195" s="64"/>
      <c r="LA195" s="74"/>
      <c r="LB195" s="73">
        <f t="shared" ca="1" si="1650"/>
        <v>0</v>
      </c>
      <c r="LC195" s="64"/>
      <c r="LD195" s="74"/>
      <c r="LE195" s="73">
        <f t="shared" ca="1" si="1651"/>
        <v>0</v>
      </c>
      <c r="LF195" s="64"/>
      <c r="LG195" s="64"/>
    </row>
    <row r="196" spans="1:319">
      <c r="A196" s="25"/>
      <c r="B196" s="25"/>
      <c r="C196" s="25"/>
      <c r="D196" s="25"/>
      <c r="E196" s="25"/>
      <c r="F196" s="407">
        <f t="shared" si="1652"/>
        <v>10</v>
      </c>
      <c r="G196" s="407">
        <f ca="1">VLOOKUP(H196,Equipos!$Q$1:$R$25,2,0)</f>
        <v>20</v>
      </c>
      <c r="H196" s="446" t="str">
        <f>Idiomas!$D$260</f>
        <v>Round of 32</v>
      </c>
      <c r="I196" s="50"/>
      <c r="J196" s="845"/>
      <c r="K196" s="56" t="str">
        <f>Idiomas!$D$199&amp;"-"&amp;ROWS($L$182:L196)</f>
        <v>8-Finalist-15</v>
      </c>
      <c r="L196" s="53"/>
      <c r="M196" s="55" t="str">
        <f ca="1">WORLDCUP!AF126</f>
        <v>Egypt</v>
      </c>
      <c r="N196" s="25"/>
      <c r="O196" s="25"/>
      <c r="P196" s="25"/>
      <c r="Q196" s="25"/>
      <c r="R196" s="110"/>
      <c r="S196" s="74" t="s">
        <v>293</v>
      </c>
      <c r="T196" s="73">
        <f t="shared" ca="1" si="1552"/>
        <v>10</v>
      </c>
      <c r="U196" s="64"/>
      <c r="V196" s="74" t="s">
        <v>1836</v>
      </c>
      <c r="W196" s="73">
        <f t="shared" ca="1" si="1553"/>
        <v>0</v>
      </c>
      <c r="X196" s="64"/>
      <c r="Y196" s="74" t="s">
        <v>1836</v>
      </c>
      <c r="Z196" s="73">
        <f t="shared" ca="1" si="1554"/>
        <v>0</v>
      </c>
      <c r="AA196" s="64"/>
      <c r="AB196" s="74" t="s">
        <v>1836</v>
      </c>
      <c r="AC196" s="73">
        <f t="shared" ca="1" si="1555"/>
        <v>0</v>
      </c>
      <c r="AD196" s="64"/>
      <c r="AE196" s="74" t="s">
        <v>1836</v>
      </c>
      <c r="AF196" s="73">
        <f t="shared" ca="1" si="1556"/>
        <v>0</v>
      </c>
      <c r="AG196" s="64"/>
      <c r="AH196" s="74" t="s">
        <v>498</v>
      </c>
      <c r="AI196" s="73">
        <f t="shared" ca="1" si="1557"/>
        <v>10</v>
      </c>
      <c r="AJ196" s="64"/>
      <c r="AK196" s="74" t="s">
        <v>1257</v>
      </c>
      <c r="AL196" s="73">
        <f t="shared" ca="1" si="1558"/>
        <v>0</v>
      </c>
      <c r="AM196" s="64"/>
      <c r="AN196" s="74" t="s">
        <v>498</v>
      </c>
      <c r="AO196" s="73">
        <f t="shared" ca="1" si="1559"/>
        <v>10</v>
      </c>
      <c r="AP196" s="64"/>
      <c r="AQ196" s="74" t="s">
        <v>1836</v>
      </c>
      <c r="AR196" s="73">
        <f t="shared" ca="1" si="1560"/>
        <v>0</v>
      </c>
      <c r="AS196" s="64"/>
      <c r="AT196" s="74" t="s">
        <v>1290</v>
      </c>
      <c r="AU196" s="73">
        <f t="shared" ca="1" si="1561"/>
        <v>0</v>
      </c>
      <c r="AV196" s="64"/>
      <c r="AW196" s="74" t="s">
        <v>498</v>
      </c>
      <c r="AX196" s="73">
        <f t="shared" ca="1" si="1562"/>
        <v>10</v>
      </c>
      <c r="AY196" s="64"/>
      <c r="AZ196" s="74" t="s">
        <v>1553</v>
      </c>
      <c r="BA196" s="73">
        <f t="shared" ca="1" si="1563"/>
        <v>10</v>
      </c>
      <c r="BB196" s="64"/>
      <c r="BC196" s="74" t="s">
        <v>1836</v>
      </c>
      <c r="BD196" s="73">
        <f t="shared" ca="1" si="1564"/>
        <v>0</v>
      </c>
      <c r="BE196" s="64"/>
      <c r="BF196" s="74" t="s">
        <v>1836</v>
      </c>
      <c r="BG196" s="73">
        <f t="shared" ca="1" si="1565"/>
        <v>0</v>
      </c>
      <c r="BH196" s="64"/>
      <c r="BI196" s="74" t="s">
        <v>293</v>
      </c>
      <c r="BJ196" s="73">
        <f t="shared" ca="1" si="1566"/>
        <v>10</v>
      </c>
      <c r="BK196" s="64"/>
      <c r="BL196" s="74" t="s">
        <v>1836</v>
      </c>
      <c r="BM196" s="73">
        <f t="shared" ca="1" si="1567"/>
        <v>0</v>
      </c>
      <c r="BN196" s="64"/>
      <c r="BO196" s="74" t="s">
        <v>1836</v>
      </c>
      <c r="BP196" s="73">
        <f t="shared" ca="1" si="1568"/>
        <v>0</v>
      </c>
      <c r="BQ196" s="64"/>
      <c r="BR196" s="74" t="s">
        <v>293</v>
      </c>
      <c r="BS196" s="73">
        <f t="shared" ca="1" si="1569"/>
        <v>10</v>
      </c>
      <c r="BT196" s="64"/>
      <c r="BU196" s="74" t="s">
        <v>498</v>
      </c>
      <c r="BV196" s="73">
        <f t="shared" ca="1" si="1570"/>
        <v>10</v>
      </c>
      <c r="BW196" s="64"/>
      <c r="BX196" s="74" t="s">
        <v>1836</v>
      </c>
      <c r="BY196" s="73">
        <f t="shared" ca="1" si="1571"/>
        <v>0</v>
      </c>
      <c r="BZ196" s="64"/>
      <c r="CA196" s="74" t="s">
        <v>1319</v>
      </c>
      <c r="CB196" s="73">
        <f t="shared" ca="1" si="1572"/>
        <v>10</v>
      </c>
      <c r="CC196" s="64"/>
      <c r="CD196" s="74" t="s">
        <v>498</v>
      </c>
      <c r="CE196" s="73">
        <f t="shared" ca="1" si="1573"/>
        <v>10</v>
      </c>
      <c r="CF196" s="64"/>
      <c r="CG196" s="74" t="s">
        <v>1836</v>
      </c>
      <c r="CH196" s="73">
        <f t="shared" ca="1" si="1574"/>
        <v>0</v>
      </c>
      <c r="CI196" s="64"/>
      <c r="CJ196" s="74" t="s">
        <v>1836</v>
      </c>
      <c r="CK196" s="73">
        <f t="shared" ca="1" si="1575"/>
        <v>0</v>
      </c>
      <c r="CL196" s="64"/>
      <c r="CM196" s="74" t="s">
        <v>1553</v>
      </c>
      <c r="CN196" s="73">
        <f t="shared" ca="1" si="1576"/>
        <v>10</v>
      </c>
      <c r="CO196" s="64"/>
      <c r="CP196" s="74" t="s">
        <v>1836</v>
      </c>
      <c r="CQ196" s="73">
        <f t="shared" ca="1" si="1577"/>
        <v>0</v>
      </c>
      <c r="CR196" s="64"/>
      <c r="CS196" s="74" t="s">
        <v>293</v>
      </c>
      <c r="CT196" s="73">
        <f t="shared" ca="1" si="1578"/>
        <v>10</v>
      </c>
      <c r="CU196" s="64"/>
      <c r="CV196" s="74" t="s">
        <v>498</v>
      </c>
      <c r="CW196" s="73">
        <f t="shared" ca="1" si="1579"/>
        <v>10</v>
      </c>
      <c r="CX196" s="64"/>
      <c r="CY196" s="74" t="s">
        <v>1836</v>
      </c>
      <c r="CZ196" s="73">
        <f t="shared" ca="1" si="1580"/>
        <v>0</v>
      </c>
      <c r="DA196" s="64"/>
      <c r="DB196" s="74" t="s">
        <v>1319</v>
      </c>
      <c r="DC196" s="73">
        <f t="shared" ca="1" si="1581"/>
        <v>10</v>
      </c>
      <c r="DD196" s="64"/>
      <c r="DE196" s="74" t="s">
        <v>1836</v>
      </c>
      <c r="DF196" s="73">
        <f t="shared" ca="1" si="1582"/>
        <v>0</v>
      </c>
      <c r="DG196" s="64"/>
      <c r="DH196" s="74" t="s">
        <v>1290</v>
      </c>
      <c r="DI196" s="73">
        <f t="shared" ca="1" si="1583"/>
        <v>0</v>
      </c>
      <c r="DJ196" s="64"/>
      <c r="DK196" s="74" t="s">
        <v>1553</v>
      </c>
      <c r="DL196" s="73">
        <f t="shared" ca="1" si="1584"/>
        <v>10</v>
      </c>
      <c r="DM196" s="64"/>
      <c r="DN196" s="74" t="s">
        <v>1836</v>
      </c>
      <c r="DO196" s="73">
        <f t="shared" ca="1" si="1585"/>
        <v>0</v>
      </c>
      <c r="DP196" s="64"/>
      <c r="DQ196" s="74" t="s">
        <v>498</v>
      </c>
      <c r="DR196" s="73">
        <f t="shared" ca="1" si="1586"/>
        <v>10</v>
      </c>
      <c r="DS196" s="64"/>
      <c r="DT196" s="74" t="s">
        <v>498</v>
      </c>
      <c r="DU196" s="73">
        <f t="shared" ca="1" si="1587"/>
        <v>10</v>
      </c>
      <c r="DV196" s="64"/>
      <c r="DW196" s="74" t="s">
        <v>1836</v>
      </c>
      <c r="DX196" s="73">
        <f t="shared" ca="1" si="1588"/>
        <v>0</v>
      </c>
      <c r="DY196" s="64"/>
      <c r="DZ196" s="74" t="s">
        <v>1836</v>
      </c>
      <c r="EA196" s="73">
        <f t="shared" ca="1" si="1589"/>
        <v>0</v>
      </c>
      <c r="EB196" s="64"/>
      <c r="EC196" s="74" t="s">
        <v>1836</v>
      </c>
      <c r="ED196" s="73">
        <f t="shared" ca="1" si="1590"/>
        <v>0</v>
      </c>
      <c r="EE196" s="64"/>
      <c r="EF196" s="74" t="s">
        <v>1836</v>
      </c>
      <c r="EG196" s="73">
        <f t="shared" ca="1" si="1591"/>
        <v>0</v>
      </c>
      <c r="EH196" s="64"/>
      <c r="EI196" s="74" t="s">
        <v>498</v>
      </c>
      <c r="EJ196" s="73">
        <f t="shared" ca="1" si="1592"/>
        <v>10</v>
      </c>
      <c r="EK196" s="64"/>
      <c r="EL196" s="74" t="s">
        <v>498</v>
      </c>
      <c r="EM196" s="73">
        <f t="shared" ca="1" si="1593"/>
        <v>10</v>
      </c>
      <c r="EN196" s="64"/>
      <c r="EO196" s="74" t="s">
        <v>1836</v>
      </c>
      <c r="EP196" s="73">
        <f t="shared" ca="1" si="1594"/>
        <v>0</v>
      </c>
      <c r="EQ196" s="64"/>
      <c r="ER196" s="74" t="s">
        <v>1836</v>
      </c>
      <c r="ES196" s="73">
        <f t="shared" ca="1" si="1595"/>
        <v>0</v>
      </c>
      <c r="ET196" s="64"/>
      <c r="EU196" s="74" t="s">
        <v>1836</v>
      </c>
      <c r="EV196" s="73">
        <f t="shared" ca="1" si="1596"/>
        <v>0</v>
      </c>
      <c r="EW196" s="64"/>
      <c r="EX196" s="74" t="s">
        <v>498</v>
      </c>
      <c r="EY196" s="73">
        <f t="shared" ca="1" si="1597"/>
        <v>10</v>
      </c>
      <c r="EZ196" s="64"/>
      <c r="FA196" s="74" t="s">
        <v>1836</v>
      </c>
      <c r="FB196" s="73">
        <f t="shared" ca="1" si="1598"/>
        <v>0</v>
      </c>
      <c r="FC196" s="64"/>
      <c r="FD196" s="74" t="s">
        <v>1836</v>
      </c>
      <c r="FE196" s="73">
        <f t="shared" ca="1" si="1599"/>
        <v>0</v>
      </c>
      <c r="FF196" s="64"/>
      <c r="FG196" s="74" t="s">
        <v>1553</v>
      </c>
      <c r="FH196" s="73">
        <f t="shared" ca="1" si="1600"/>
        <v>10</v>
      </c>
      <c r="FI196" s="64"/>
      <c r="FJ196" s="74" t="s">
        <v>498</v>
      </c>
      <c r="FK196" s="73">
        <f t="shared" ca="1" si="1601"/>
        <v>10</v>
      </c>
      <c r="FL196" s="64"/>
      <c r="FM196" s="74" t="s">
        <v>1282</v>
      </c>
      <c r="FN196" s="73">
        <f t="shared" ca="1" si="1602"/>
        <v>0</v>
      </c>
      <c r="FO196" s="64"/>
      <c r="FP196" s="74" t="s">
        <v>498</v>
      </c>
      <c r="FQ196" s="73">
        <f t="shared" ca="1" si="1603"/>
        <v>10</v>
      </c>
      <c r="FR196" s="64"/>
      <c r="FS196" s="74" t="s">
        <v>498</v>
      </c>
      <c r="FT196" s="73">
        <f t="shared" ca="1" si="1604"/>
        <v>10</v>
      </c>
      <c r="FU196" s="64"/>
      <c r="FV196" s="74" t="s">
        <v>498</v>
      </c>
      <c r="FW196" s="73">
        <f t="shared" ca="1" si="1605"/>
        <v>10</v>
      </c>
      <c r="FX196" s="64"/>
      <c r="FY196" s="74" t="s">
        <v>1282</v>
      </c>
      <c r="FZ196" s="73">
        <f t="shared" ca="1" si="1606"/>
        <v>0</v>
      </c>
      <c r="GA196" s="64"/>
      <c r="GB196" s="74" t="s">
        <v>1553</v>
      </c>
      <c r="GC196" s="73">
        <f t="shared" ca="1" si="1607"/>
        <v>10</v>
      </c>
      <c r="GD196" s="64"/>
      <c r="GE196" s="74" t="s">
        <v>1836</v>
      </c>
      <c r="GF196" s="73">
        <f t="shared" ca="1" si="1608"/>
        <v>0</v>
      </c>
      <c r="GG196" s="64"/>
      <c r="GH196" s="74" t="s">
        <v>1836</v>
      </c>
      <c r="GI196" s="73">
        <f t="shared" ca="1" si="1609"/>
        <v>0</v>
      </c>
      <c r="GJ196" s="64"/>
      <c r="GK196" s="74" t="s">
        <v>1553</v>
      </c>
      <c r="GL196" s="73">
        <f t="shared" ca="1" si="1610"/>
        <v>10</v>
      </c>
      <c r="GM196" s="64"/>
      <c r="GN196" s="74"/>
      <c r="GO196" s="73">
        <f t="shared" ca="1" si="1611"/>
        <v>0</v>
      </c>
      <c r="GP196" s="64"/>
      <c r="GQ196" s="74"/>
      <c r="GR196" s="73">
        <f t="shared" ca="1" si="1612"/>
        <v>0</v>
      </c>
      <c r="GS196" s="64"/>
      <c r="GT196" s="74"/>
      <c r="GU196" s="73">
        <f t="shared" ca="1" si="1613"/>
        <v>0</v>
      </c>
      <c r="GV196" s="64"/>
      <c r="GW196" s="74"/>
      <c r="GX196" s="73">
        <f t="shared" ca="1" si="1614"/>
        <v>0</v>
      </c>
      <c r="GY196" s="64"/>
      <c r="GZ196" s="74"/>
      <c r="HA196" s="73">
        <f t="shared" ca="1" si="1615"/>
        <v>0</v>
      </c>
      <c r="HB196" s="64"/>
      <c r="HC196" s="74"/>
      <c r="HD196" s="73">
        <f t="shared" ca="1" si="1616"/>
        <v>0</v>
      </c>
      <c r="HE196" s="64"/>
      <c r="HF196" s="74"/>
      <c r="HG196" s="73">
        <f t="shared" ca="1" si="1617"/>
        <v>0</v>
      </c>
      <c r="HH196" s="64"/>
      <c r="HI196" s="74"/>
      <c r="HJ196" s="73">
        <f t="shared" ca="1" si="1618"/>
        <v>0</v>
      </c>
      <c r="HK196" s="64"/>
      <c r="HL196" s="74"/>
      <c r="HM196" s="73">
        <f t="shared" ca="1" si="1619"/>
        <v>0</v>
      </c>
      <c r="HN196" s="64"/>
      <c r="HO196" s="74"/>
      <c r="HP196" s="73">
        <f t="shared" ca="1" si="1620"/>
        <v>0</v>
      </c>
      <c r="HQ196" s="64"/>
      <c r="HR196" s="74"/>
      <c r="HS196" s="73">
        <f t="shared" ca="1" si="1621"/>
        <v>0</v>
      </c>
      <c r="HT196" s="64"/>
      <c r="HU196" s="74"/>
      <c r="HV196" s="73">
        <f t="shared" ca="1" si="1622"/>
        <v>0</v>
      </c>
      <c r="HW196" s="64"/>
      <c r="HX196" s="74"/>
      <c r="HY196" s="73">
        <f t="shared" ca="1" si="1623"/>
        <v>0</v>
      </c>
      <c r="HZ196" s="64"/>
      <c r="IA196" s="74"/>
      <c r="IB196" s="73">
        <f t="shared" ca="1" si="1624"/>
        <v>0</v>
      </c>
      <c r="IC196" s="64"/>
      <c r="ID196" s="74"/>
      <c r="IE196" s="73">
        <f t="shared" ca="1" si="1625"/>
        <v>0</v>
      </c>
      <c r="IF196" s="64"/>
      <c r="IG196" s="74"/>
      <c r="IH196" s="73">
        <f t="shared" ca="1" si="1626"/>
        <v>0</v>
      </c>
      <c r="II196" s="64"/>
      <c r="IJ196" s="74"/>
      <c r="IK196" s="73">
        <f t="shared" ca="1" si="1627"/>
        <v>0</v>
      </c>
      <c r="IL196" s="64"/>
      <c r="IM196" s="74"/>
      <c r="IN196" s="73">
        <f t="shared" ca="1" si="1628"/>
        <v>0</v>
      </c>
      <c r="IO196" s="64"/>
      <c r="IP196" s="74"/>
      <c r="IQ196" s="73">
        <f t="shared" ca="1" si="1629"/>
        <v>0</v>
      </c>
      <c r="IR196" s="64"/>
      <c r="IS196" s="74"/>
      <c r="IT196" s="73">
        <f t="shared" ca="1" si="1630"/>
        <v>0</v>
      </c>
      <c r="IU196" s="64"/>
      <c r="IV196" s="74"/>
      <c r="IW196" s="73">
        <f t="shared" ca="1" si="1631"/>
        <v>0</v>
      </c>
      <c r="IX196" s="64"/>
      <c r="IY196" s="74"/>
      <c r="IZ196" s="73">
        <f t="shared" ca="1" si="1632"/>
        <v>0</v>
      </c>
      <c r="JA196" s="64"/>
      <c r="JB196" s="74"/>
      <c r="JC196" s="73">
        <f t="shared" ca="1" si="1633"/>
        <v>0</v>
      </c>
      <c r="JD196" s="64"/>
      <c r="JE196" s="74"/>
      <c r="JF196" s="73">
        <f t="shared" ca="1" si="1634"/>
        <v>0</v>
      </c>
      <c r="JG196" s="64"/>
      <c r="JH196" s="74"/>
      <c r="JI196" s="73">
        <f t="shared" ca="1" si="1635"/>
        <v>0</v>
      </c>
      <c r="JJ196" s="64"/>
      <c r="JK196" s="74"/>
      <c r="JL196" s="73">
        <f t="shared" ca="1" si="1636"/>
        <v>0</v>
      </c>
      <c r="JM196" s="64"/>
      <c r="JN196" s="74"/>
      <c r="JO196" s="73">
        <f t="shared" ca="1" si="1637"/>
        <v>0</v>
      </c>
      <c r="JP196" s="64"/>
      <c r="JQ196" s="74"/>
      <c r="JR196" s="73">
        <f t="shared" ca="1" si="1638"/>
        <v>0</v>
      </c>
      <c r="JS196" s="64"/>
      <c r="JT196" s="74"/>
      <c r="JU196" s="73">
        <f t="shared" ca="1" si="1639"/>
        <v>0</v>
      </c>
      <c r="JV196" s="64"/>
      <c r="JW196" s="74"/>
      <c r="JX196" s="73">
        <f t="shared" ca="1" si="1640"/>
        <v>0</v>
      </c>
      <c r="JY196" s="64"/>
      <c r="JZ196" s="74"/>
      <c r="KA196" s="73">
        <f t="shared" ca="1" si="1641"/>
        <v>0</v>
      </c>
      <c r="KB196" s="64"/>
      <c r="KC196" s="74"/>
      <c r="KD196" s="73">
        <f t="shared" ca="1" si="1642"/>
        <v>0</v>
      </c>
      <c r="KE196" s="64"/>
      <c r="KF196" s="74"/>
      <c r="KG196" s="73">
        <f t="shared" ca="1" si="1643"/>
        <v>0</v>
      </c>
      <c r="KH196" s="64"/>
      <c r="KI196" s="74"/>
      <c r="KJ196" s="73">
        <f t="shared" ca="1" si="1644"/>
        <v>0</v>
      </c>
      <c r="KK196" s="64"/>
      <c r="KL196" s="74"/>
      <c r="KM196" s="73">
        <f t="shared" ca="1" si="1645"/>
        <v>0</v>
      </c>
      <c r="KN196" s="64"/>
      <c r="KO196" s="74"/>
      <c r="KP196" s="73">
        <f t="shared" ca="1" si="1646"/>
        <v>0</v>
      </c>
      <c r="KQ196" s="64"/>
      <c r="KR196" s="74"/>
      <c r="KS196" s="73">
        <f t="shared" ca="1" si="1647"/>
        <v>0</v>
      </c>
      <c r="KT196" s="64"/>
      <c r="KU196" s="74"/>
      <c r="KV196" s="73">
        <f t="shared" ca="1" si="1648"/>
        <v>0</v>
      </c>
      <c r="KW196" s="64"/>
      <c r="KX196" s="74"/>
      <c r="KY196" s="73">
        <f t="shared" ca="1" si="1649"/>
        <v>0</v>
      </c>
      <c r="KZ196" s="64"/>
      <c r="LA196" s="74"/>
      <c r="LB196" s="73">
        <f t="shared" ca="1" si="1650"/>
        <v>0</v>
      </c>
      <c r="LC196" s="64"/>
      <c r="LD196" s="74"/>
      <c r="LE196" s="73">
        <f t="shared" ca="1" si="1651"/>
        <v>0</v>
      </c>
      <c r="LF196" s="64"/>
      <c r="LG196" s="64"/>
    </row>
    <row r="197" spans="1:319">
      <c r="A197" s="25"/>
      <c r="B197" s="25"/>
      <c r="C197" s="25"/>
      <c r="D197" s="25"/>
      <c r="E197" s="25"/>
      <c r="F197" s="407">
        <f t="shared" si="1652"/>
        <v>10</v>
      </c>
      <c r="G197" s="407">
        <f ca="1">VLOOKUP(H197,Equipos!$Q$1:$R$25,2,0)</f>
        <v>20</v>
      </c>
      <c r="H197" s="446" t="str">
        <f>Idiomas!$D$260</f>
        <v>Round of 32</v>
      </c>
      <c r="I197" s="50"/>
      <c r="J197" s="845"/>
      <c r="K197" s="115" t="str">
        <f>Idiomas!$D$199&amp;"-"&amp;ROWS($L$182:L197)</f>
        <v>8-Finalist-16</v>
      </c>
      <c r="L197" s="115"/>
      <c r="M197" s="116" t="str">
        <f ca="1">WORLDCUP!AF127</f>
        <v>Colombia</v>
      </c>
      <c r="N197" s="25"/>
      <c r="O197" s="25"/>
      <c r="P197" s="25"/>
      <c r="Q197" s="25"/>
      <c r="R197" s="110"/>
      <c r="S197" s="80" t="s">
        <v>1731</v>
      </c>
      <c r="T197" s="81">
        <f t="shared" ca="1" si="1552"/>
        <v>0</v>
      </c>
      <c r="U197" s="64"/>
      <c r="V197" s="80" t="s">
        <v>1551</v>
      </c>
      <c r="W197" s="81">
        <f t="shared" ca="1" si="1553"/>
        <v>0</v>
      </c>
      <c r="X197" s="64"/>
      <c r="Y197" s="80" t="s">
        <v>79</v>
      </c>
      <c r="Z197" s="81">
        <f t="shared" ca="1" si="1554"/>
        <v>10</v>
      </c>
      <c r="AA197" s="64"/>
      <c r="AB197" s="80" t="s">
        <v>79</v>
      </c>
      <c r="AC197" s="81">
        <f t="shared" ca="1" si="1555"/>
        <v>10</v>
      </c>
      <c r="AD197" s="64"/>
      <c r="AE197" s="80" t="s">
        <v>79</v>
      </c>
      <c r="AF197" s="81">
        <f t="shared" ca="1" si="1556"/>
        <v>10</v>
      </c>
      <c r="AG197" s="64"/>
      <c r="AH197" s="80" t="s">
        <v>79</v>
      </c>
      <c r="AI197" s="81">
        <f t="shared" ca="1" si="1557"/>
        <v>10</v>
      </c>
      <c r="AJ197" s="64"/>
      <c r="AK197" s="80" t="s">
        <v>79</v>
      </c>
      <c r="AL197" s="81">
        <f t="shared" ca="1" si="1558"/>
        <v>10</v>
      </c>
      <c r="AM197" s="64"/>
      <c r="AN197" s="80" t="s">
        <v>1320</v>
      </c>
      <c r="AO197" s="81">
        <f t="shared" ca="1" si="1559"/>
        <v>10</v>
      </c>
      <c r="AP197" s="64"/>
      <c r="AQ197" s="80" t="s">
        <v>79</v>
      </c>
      <c r="AR197" s="81">
        <f t="shared" ca="1" si="1560"/>
        <v>10</v>
      </c>
      <c r="AS197" s="64"/>
      <c r="AT197" s="80" t="s">
        <v>292</v>
      </c>
      <c r="AU197" s="81">
        <f t="shared" ca="1" si="1561"/>
        <v>10</v>
      </c>
      <c r="AV197" s="64"/>
      <c r="AW197" s="80" t="s">
        <v>79</v>
      </c>
      <c r="AX197" s="81">
        <f t="shared" ca="1" si="1562"/>
        <v>10</v>
      </c>
      <c r="AY197" s="64"/>
      <c r="AZ197" s="80" t="s">
        <v>79</v>
      </c>
      <c r="BA197" s="81">
        <f t="shared" ca="1" si="1563"/>
        <v>10</v>
      </c>
      <c r="BB197" s="64"/>
      <c r="BC197" s="80" t="s">
        <v>79</v>
      </c>
      <c r="BD197" s="81">
        <f t="shared" ca="1" si="1564"/>
        <v>10</v>
      </c>
      <c r="BE197" s="64"/>
      <c r="BF197" s="80" t="s">
        <v>79</v>
      </c>
      <c r="BG197" s="81">
        <f t="shared" ca="1" si="1565"/>
        <v>10</v>
      </c>
      <c r="BH197" s="64"/>
      <c r="BI197" s="80" t="s">
        <v>79</v>
      </c>
      <c r="BJ197" s="81">
        <f t="shared" ca="1" si="1566"/>
        <v>10</v>
      </c>
      <c r="BK197" s="64"/>
      <c r="BL197" s="80" t="s">
        <v>79</v>
      </c>
      <c r="BM197" s="81">
        <f t="shared" ca="1" si="1567"/>
        <v>10</v>
      </c>
      <c r="BN197" s="64"/>
      <c r="BO197" s="80" t="s">
        <v>1320</v>
      </c>
      <c r="BP197" s="81">
        <f t="shared" ca="1" si="1568"/>
        <v>10</v>
      </c>
      <c r="BQ197" s="64"/>
      <c r="BR197" s="80" t="s">
        <v>79</v>
      </c>
      <c r="BS197" s="81">
        <f t="shared" ca="1" si="1569"/>
        <v>10</v>
      </c>
      <c r="BT197" s="64"/>
      <c r="BU197" s="80" t="s">
        <v>79</v>
      </c>
      <c r="BV197" s="81">
        <f t="shared" ca="1" si="1570"/>
        <v>10</v>
      </c>
      <c r="BW197" s="64"/>
      <c r="BX197" s="80" t="s">
        <v>79</v>
      </c>
      <c r="BY197" s="81">
        <f t="shared" ca="1" si="1571"/>
        <v>10</v>
      </c>
      <c r="BZ197" s="64"/>
      <c r="CA197" s="80" t="s">
        <v>79</v>
      </c>
      <c r="CB197" s="81">
        <f t="shared" ca="1" si="1572"/>
        <v>10</v>
      </c>
      <c r="CC197" s="64"/>
      <c r="CD197" s="80" t="s">
        <v>79</v>
      </c>
      <c r="CE197" s="81">
        <f t="shared" ca="1" si="1573"/>
        <v>10</v>
      </c>
      <c r="CF197" s="64"/>
      <c r="CG197" s="80" t="s">
        <v>79</v>
      </c>
      <c r="CH197" s="81">
        <f t="shared" ca="1" si="1574"/>
        <v>10</v>
      </c>
      <c r="CI197" s="64"/>
      <c r="CJ197" s="80" t="s">
        <v>79</v>
      </c>
      <c r="CK197" s="81">
        <f t="shared" ca="1" si="1575"/>
        <v>10</v>
      </c>
      <c r="CL197" s="64"/>
      <c r="CM197" s="80" t="s">
        <v>79</v>
      </c>
      <c r="CN197" s="81">
        <f t="shared" ca="1" si="1576"/>
        <v>10</v>
      </c>
      <c r="CO197" s="64"/>
      <c r="CP197" s="80" t="s">
        <v>79</v>
      </c>
      <c r="CQ197" s="81">
        <f t="shared" ca="1" si="1577"/>
        <v>10</v>
      </c>
      <c r="CR197" s="64"/>
      <c r="CS197" s="80" t="s">
        <v>79</v>
      </c>
      <c r="CT197" s="81">
        <f t="shared" ca="1" si="1578"/>
        <v>10</v>
      </c>
      <c r="CU197" s="64"/>
      <c r="CV197" s="80" t="s">
        <v>79</v>
      </c>
      <c r="CW197" s="81">
        <f t="shared" ca="1" si="1579"/>
        <v>10</v>
      </c>
      <c r="CX197" s="64"/>
      <c r="CY197" s="80" t="s">
        <v>79</v>
      </c>
      <c r="CZ197" s="81">
        <f t="shared" ca="1" si="1580"/>
        <v>10</v>
      </c>
      <c r="DA197" s="64"/>
      <c r="DB197" s="80" t="s">
        <v>79</v>
      </c>
      <c r="DC197" s="81">
        <f t="shared" ca="1" si="1581"/>
        <v>10</v>
      </c>
      <c r="DD197" s="64"/>
      <c r="DE197" s="80" t="s">
        <v>79</v>
      </c>
      <c r="DF197" s="81">
        <f t="shared" ca="1" si="1582"/>
        <v>10</v>
      </c>
      <c r="DG197" s="64"/>
      <c r="DH197" s="80" t="s">
        <v>79</v>
      </c>
      <c r="DI197" s="81">
        <f t="shared" ca="1" si="1583"/>
        <v>10</v>
      </c>
      <c r="DJ197" s="64"/>
      <c r="DK197" s="80" t="s">
        <v>79</v>
      </c>
      <c r="DL197" s="81">
        <f t="shared" ca="1" si="1584"/>
        <v>10</v>
      </c>
      <c r="DM197" s="64"/>
      <c r="DN197" s="80" t="s">
        <v>79</v>
      </c>
      <c r="DO197" s="81">
        <f t="shared" ca="1" si="1585"/>
        <v>10</v>
      </c>
      <c r="DP197" s="64"/>
      <c r="DQ197" s="80" t="s">
        <v>79</v>
      </c>
      <c r="DR197" s="81">
        <f t="shared" ca="1" si="1586"/>
        <v>10</v>
      </c>
      <c r="DS197" s="64"/>
      <c r="DT197" s="80" t="s">
        <v>79</v>
      </c>
      <c r="DU197" s="81">
        <f t="shared" ca="1" si="1587"/>
        <v>10</v>
      </c>
      <c r="DV197" s="64"/>
      <c r="DW197" s="80" t="s">
        <v>79</v>
      </c>
      <c r="DX197" s="81">
        <f t="shared" ca="1" si="1588"/>
        <v>10</v>
      </c>
      <c r="DY197" s="64"/>
      <c r="DZ197" s="80" t="s">
        <v>79</v>
      </c>
      <c r="EA197" s="81">
        <f t="shared" ca="1" si="1589"/>
        <v>10</v>
      </c>
      <c r="EB197" s="64"/>
      <c r="EC197" s="80" t="s">
        <v>79</v>
      </c>
      <c r="ED197" s="81">
        <f t="shared" ca="1" si="1590"/>
        <v>10</v>
      </c>
      <c r="EE197" s="64"/>
      <c r="EF197" s="80" t="s">
        <v>79</v>
      </c>
      <c r="EG197" s="81">
        <f t="shared" ca="1" si="1591"/>
        <v>10</v>
      </c>
      <c r="EH197" s="64"/>
      <c r="EI197" s="80" t="s">
        <v>79</v>
      </c>
      <c r="EJ197" s="81">
        <f t="shared" ca="1" si="1592"/>
        <v>10</v>
      </c>
      <c r="EK197" s="64"/>
      <c r="EL197" s="80" t="s">
        <v>79</v>
      </c>
      <c r="EM197" s="81">
        <f t="shared" ca="1" si="1593"/>
        <v>10</v>
      </c>
      <c r="EN197" s="64"/>
      <c r="EO197" s="80" t="s">
        <v>79</v>
      </c>
      <c r="EP197" s="81">
        <f t="shared" ca="1" si="1594"/>
        <v>10</v>
      </c>
      <c r="EQ197" s="64"/>
      <c r="ER197" s="80" t="s">
        <v>79</v>
      </c>
      <c r="ES197" s="81">
        <f t="shared" ca="1" si="1595"/>
        <v>10</v>
      </c>
      <c r="ET197" s="64"/>
      <c r="EU197" s="80" t="s">
        <v>299</v>
      </c>
      <c r="EV197" s="81">
        <f t="shared" ca="1" si="1596"/>
        <v>10</v>
      </c>
      <c r="EW197" s="64"/>
      <c r="EX197" s="80" t="s">
        <v>79</v>
      </c>
      <c r="EY197" s="81">
        <f t="shared" ca="1" si="1597"/>
        <v>10</v>
      </c>
      <c r="EZ197" s="64"/>
      <c r="FA197" s="80" t="s">
        <v>79</v>
      </c>
      <c r="FB197" s="81">
        <f t="shared" ca="1" si="1598"/>
        <v>10</v>
      </c>
      <c r="FC197" s="64"/>
      <c r="FD197" s="80" t="s">
        <v>1551</v>
      </c>
      <c r="FE197" s="81">
        <f t="shared" ca="1" si="1599"/>
        <v>0</v>
      </c>
      <c r="FF197" s="64"/>
      <c r="FG197" s="80" t="s">
        <v>79</v>
      </c>
      <c r="FH197" s="81">
        <f t="shared" ca="1" si="1600"/>
        <v>10</v>
      </c>
      <c r="FI197" s="64"/>
      <c r="FJ197" s="80" t="s">
        <v>79</v>
      </c>
      <c r="FK197" s="81">
        <f t="shared" ca="1" si="1601"/>
        <v>10</v>
      </c>
      <c r="FL197" s="64"/>
      <c r="FM197" s="80" t="s">
        <v>79</v>
      </c>
      <c r="FN197" s="81">
        <f t="shared" ca="1" si="1602"/>
        <v>10</v>
      </c>
      <c r="FO197" s="64"/>
      <c r="FP197" s="80" t="s">
        <v>79</v>
      </c>
      <c r="FQ197" s="81">
        <f t="shared" ca="1" si="1603"/>
        <v>10</v>
      </c>
      <c r="FR197" s="64"/>
      <c r="FS197" s="80" t="s">
        <v>79</v>
      </c>
      <c r="FT197" s="81">
        <f t="shared" ca="1" si="1604"/>
        <v>10</v>
      </c>
      <c r="FU197" s="64"/>
      <c r="FV197" s="80" t="s">
        <v>79</v>
      </c>
      <c r="FW197" s="81">
        <f t="shared" ca="1" si="1605"/>
        <v>10</v>
      </c>
      <c r="FX197" s="64"/>
      <c r="FY197" s="80" t="s">
        <v>79</v>
      </c>
      <c r="FZ197" s="81">
        <f t="shared" ca="1" si="1606"/>
        <v>10</v>
      </c>
      <c r="GA197" s="64"/>
      <c r="GB197" s="80" t="s">
        <v>1320</v>
      </c>
      <c r="GC197" s="81">
        <f t="shared" ca="1" si="1607"/>
        <v>10</v>
      </c>
      <c r="GD197" s="64"/>
      <c r="GE197" s="80" t="s">
        <v>79</v>
      </c>
      <c r="GF197" s="81">
        <f t="shared" ca="1" si="1608"/>
        <v>10</v>
      </c>
      <c r="GG197" s="64"/>
      <c r="GH197" s="80" t="s">
        <v>79</v>
      </c>
      <c r="GI197" s="81">
        <f t="shared" ca="1" si="1609"/>
        <v>10</v>
      </c>
      <c r="GJ197" s="64"/>
      <c r="GK197" s="80" t="s">
        <v>79</v>
      </c>
      <c r="GL197" s="81">
        <f t="shared" ca="1" si="1610"/>
        <v>10</v>
      </c>
      <c r="GM197" s="64"/>
      <c r="GN197" s="80"/>
      <c r="GO197" s="81">
        <f t="shared" ca="1" si="1611"/>
        <v>0</v>
      </c>
      <c r="GP197" s="64"/>
      <c r="GQ197" s="80"/>
      <c r="GR197" s="81">
        <f t="shared" ca="1" si="1612"/>
        <v>0</v>
      </c>
      <c r="GS197" s="64"/>
      <c r="GT197" s="80"/>
      <c r="GU197" s="81">
        <f t="shared" ca="1" si="1613"/>
        <v>0</v>
      </c>
      <c r="GV197" s="64"/>
      <c r="GW197" s="80"/>
      <c r="GX197" s="81">
        <f t="shared" ca="1" si="1614"/>
        <v>0</v>
      </c>
      <c r="GY197" s="64"/>
      <c r="GZ197" s="80"/>
      <c r="HA197" s="81">
        <f t="shared" ca="1" si="1615"/>
        <v>0</v>
      </c>
      <c r="HB197" s="64"/>
      <c r="HC197" s="80"/>
      <c r="HD197" s="81">
        <f t="shared" ca="1" si="1616"/>
        <v>0</v>
      </c>
      <c r="HE197" s="64"/>
      <c r="HF197" s="80"/>
      <c r="HG197" s="81">
        <f t="shared" ca="1" si="1617"/>
        <v>0</v>
      </c>
      <c r="HH197" s="64"/>
      <c r="HI197" s="80"/>
      <c r="HJ197" s="81">
        <f t="shared" ca="1" si="1618"/>
        <v>0</v>
      </c>
      <c r="HK197" s="64"/>
      <c r="HL197" s="80"/>
      <c r="HM197" s="81">
        <f t="shared" ca="1" si="1619"/>
        <v>0</v>
      </c>
      <c r="HN197" s="64"/>
      <c r="HO197" s="80"/>
      <c r="HP197" s="81">
        <f t="shared" ca="1" si="1620"/>
        <v>0</v>
      </c>
      <c r="HQ197" s="64"/>
      <c r="HR197" s="80"/>
      <c r="HS197" s="81">
        <f t="shared" ca="1" si="1621"/>
        <v>0</v>
      </c>
      <c r="HT197" s="64"/>
      <c r="HU197" s="80"/>
      <c r="HV197" s="81">
        <f t="shared" ca="1" si="1622"/>
        <v>0</v>
      </c>
      <c r="HW197" s="64"/>
      <c r="HX197" s="80"/>
      <c r="HY197" s="81">
        <f t="shared" ca="1" si="1623"/>
        <v>0</v>
      </c>
      <c r="HZ197" s="64"/>
      <c r="IA197" s="80"/>
      <c r="IB197" s="81">
        <f t="shared" ca="1" si="1624"/>
        <v>0</v>
      </c>
      <c r="IC197" s="64"/>
      <c r="ID197" s="80"/>
      <c r="IE197" s="81">
        <f t="shared" ca="1" si="1625"/>
        <v>0</v>
      </c>
      <c r="IF197" s="64"/>
      <c r="IG197" s="80"/>
      <c r="IH197" s="81">
        <f t="shared" ca="1" si="1626"/>
        <v>0</v>
      </c>
      <c r="II197" s="64"/>
      <c r="IJ197" s="80"/>
      <c r="IK197" s="81">
        <f t="shared" ca="1" si="1627"/>
        <v>0</v>
      </c>
      <c r="IL197" s="64"/>
      <c r="IM197" s="80"/>
      <c r="IN197" s="81">
        <f t="shared" ca="1" si="1628"/>
        <v>0</v>
      </c>
      <c r="IO197" s="64"/>
      <c r="IP197" s="80"/>
      <c r="IQ197" s="81">
        <f t="shared" ca="1" si="1629"/>
        <v>0</v>
      </c>
      <c r="IR197" s="64"/>
      <c r="IS197" s="80"/>
      <c r="IT197" s="81">
        <f t="shared" ca="1" si="1630"/>
        <v>0</v>
      </c>
      <c r="IU197" s="64"/>
      <c r="IV197" s="80"/>
      <c r="IW197" s="81">
        <f t="shared" ca="1" si="1631"/>
        <v>0</v>
      </c>
      <c r="IX197" s="64"/>
      <c r="IY197" s="80"/>
      <c r="IZ197" s="81">
        <f t="shared" ca="1" si="1632"/>
        <v>0</v>
      </c>
      <c r="JA197" s="64"/>
      <c r="JB197" s="80"/>
      <c r="JC197" s="81">
        <f t="shared" ca="1" si="1633"/>
        <v>0</v>
      </c>
      <c r="JD197" s="64"/>
      <c r="JE197" s="80"/>
      <c r="JF197" s="81">
        <f t="shared" ca="1" si="1634"/>
        <v>0</v>
      </c>
      <c r="JG197" s="64"/>
      <c r="JH197" s="80"/>
      <c r="JI197" s="81">
        <f t="shared" ca="1" si="1635"/>
        <v>0</v>
      </c>
      <c r="JJ197" s="64"/>
      <c r="JK197" s="80"/>
      <c r="JL197" s="81">
        <f t="shared" ca="1" si="1636"/>
        <v>0</v>
      </c>
      <c r="JM197" s="64"/>
      <c r="JN197" s="80"/>
      <c r="JO197" s="81">
        <f t="shared" ca="1" si="1637"/>
        <v>0</v>
      </c>
      <c r="JP197" s="64"/>
      <c r="JQ197" s="80"/>
      <c r="JR197" s="81">
        <f t="shared" ca="1" si="1638"/>
        <v>0</v>
      </c>
      <c r="JS197" s="64"/>
      <c r="JT197" s="80"/>
      <c r="JU197" s="81">
        <f t="shared" ca="1" si="1639"/>
        <v>0</v>
      </c>
      <c r="JV197" s="64"/>
      <c r="JW197" s="80"/>
      <c r="JX197" s="81">
        <f t="shared" ca="1" si="1640"/>
        <v>0</v>
      </c>
      <c r="JY197" s="64"/>
      <c r="JZ197" s="80"/>
      <c r="KA197" s="81">
        <f t="shared" ca="1" si="1641"/>
        <v>0</v>
      </c>
      <c r="KB197" s="64"/>
      <c r="KC197" s="80"/>
      <c r="KD197" s="81">
        <f t="shared" ca="1" si="1642"/>
        <v>0</v>
      </c>
      <c r="KE197" s="64"/>
      <c r="KF197" s="80"/>
      <c r="KG197" s="81">
        <f t="shared" ca="1" si="1643"/>
        <v>0</v>
      </c>
      <c r="KH197" s="64"/>
      <c r="KI197" s="80"/>
      <c r="KJ197" s="81">
        <f t="shared" ca="1" si="1644"/>
        <v>0</v>
      </c>
      <c r="KK197" s="64"/>
      <c r="KL197" s="80"/>
      <c r="KM197" s="81">
        <f t="shared" ca="1" si="1645"/>
        <v>0</v>
      </c>
      <c r="KN197" s="64"/>
      <c r="KO197" s="80"/>
      <c r="KP197" s="81">
        <f t="shared" ca="1" si="1646"/>
        <v>0</v>
      </c>
      <c r="KQ197" s="64"/>
      <c r="KR197" s="80"/>
      <c r="KS197" s="81">
        <f t="shared" ca="1" si="1647"/>
        <v>0</v>
      </c>
      <c r="KT197" s="64"/>
      <c r="KU197" s="80"/>
      <c r="KV197" s="81">
        <f t="shared" ca="1" si="1648"/>
        <v>0</v>
      </c>
      <c r="KW197" s="64"/>
      <c r="KX197" s="80"/>
      <c r="KY197" s="81">
        <f t="shared" ca="1" si="1649"/>
        <v>0</v>
      </c>
      <c r="KZ197" s="64"/>
      <c r="LA197" s="80"/>
      <c r="LB197" s="81">
        <f t="shared" ca="1" si="1650"/>
        <v>0</v>
      </c>
      <c r="LC197" s="64"/>
      <c r="LD197" s="80"/>
      <c r="LE197" s="81">
        <f t="shared" ca="1" si="1651"/>
        <v>0</v>
      </c>
      <c r="LF197" s="64"/>
      <c r="LG197" s="64"/>
    </row>
    <row r="198" spans="1:319">
      <c r="A198" s="25"/>
      <c r="B198" s="25"/>
      <c r="C198" s="25"/>
      <c r="D198" s="25"/>
      <c r="E198" s="25"/>
      <c r="F198" s="407"/>
      <c r="G198" s="407"/>
      <c r="H198" s="65"/>
      <c r="I198" s="50"/>
      <c r="J198" s="94"/>
      <c r="K198" s="434" t="str">
        <f>Idiomas!D459</f>
        <v>R16 Teams</v>
      </c>
      <c r="L198" s="435"/>
      <c r="M198" s="434" t="str">
        <f ca="1">"Max: "&amp;$D$19*COUNT(T182:T197)</f>
        <v>Max: 160</v>
      </c>
      <c r="N198" s="25"/>
      <c r="O198" s="25"/>
      <c r="P198" s="25"/>
      <c r="Q198" s="25"/>
      <c r="R198" s="49"/>
      <c r="S198" s="84"/>
      <c r="T198" s="71">
        <f ca="1">SUM(T182:T197)</f>
        <v>80</v>
      </c>
      <c r="U198" s="65"/>
      <c r="V198" s="84"/>
      <c r="W198" s="71">
        <f t="shared" ref="W198" ca="1" si="1653">SUM(W182:W197)</f>
        <v>100</v>
      </c>
      <c r="X198" s="65"/>
      <c r="Y198" s="84"/>
      <c r="Z198" s="71">
        <f t="shared" ref="Z198" ca="1" si="1654">SUM(Z182:Z197)</f>
        <v>90</v>
      </c>
      <c r="AA198" s="65"/>
      <c r="AB198" s="84"/>
      <c r="AC198" s="71">
        <f t="shared" ref="AC198" ca="1" si="1655">SUM(AC182:AC197)</f>
        <v>120</v>
      </c>
      <c r="AD198" s="65"/>
      <c r="AE198" s="84"/>
      <c r="AF198" s="71">
        <f t="shared" ref="AF198" ca="1" si="1656">SUM(AF182:AF197)</f>
        <v>120</v>
      </c>
      <c r="AG198" s="65"/>
      <c r="AH198" s="84"/>
      <c r="AI198" s="71">
        <f t="shared" ref="AI198" ca="1" si="1657">SUM(AI182:AI197)</f>
        <v>90</v>
      </c>
      <c r="AJ198" s="65"/>
      <c r="AK198" s="84"/>
      <c r="AL198" s="71">
        <f t="shared" ref="AL198" ca="1" si="1658">SUM(AL182:AL197)</f>
        <v>110</v>
      </c>
      <c r="AM198" s="65"/>
      <c r="AN198" s="84"/>
      <c r="AO198" s="71">
        <f t="shared" ref="AO198" ca="1" si="1659">SUM(AO182:AO197)</f>
        <v>80</v>
      </c>
      <c r="AP198" s="65"/>
      <c r="AQ198" s="84"/>
      <c r="AR198" s="71">
        <f t="shared" ref="AR198" ca="1" si="1660">SUM(AR182:AR197)</f>
        <v>90</v>
      </c>
      <c r="AS198" s="65"/>
      <c r="AT198" s="84"/>
      <c r="AU198" s="71">
        <f t="shared" ref="AU198" ca="1" si="1661">SUM(AU182:AU197)</f>
        <v>90</v>
      </c>
      <c r="AV198" s="65"/>
      <c r="AW198" s="84"/>
      <c r="AX198" s="71">
        <f t="shared" ref="AX198" ca="1" si="1662">SUM(AX182:AX197)</f>
        <v>110</v>
      </c>
      <c r="AY198" s="65"/>
      <c r="AZ198" s="84"/>
      <c r="BA198" s="71">
        <f t="shared" ref="BA198" ca="1" si="1663">SUM(BA182:BA197)</f>
        <v>110</v>
      </c>
      <c r="BB198" s="65"/>
      <c r="BC198" s="84"/>
      <c r="BD198" s="71">
        <f t="shared" ref="BD198" ca="1" si="1664">SUM(BD182:BD197)</f>
        <v>100</v>
      </c>
      <c r="BE198" s="65"/>
      <c r="BF198" s="84"/>
      <c r="BG198" s="71">
        <f t="shared" ref="BG198" ca="1" si="1665">SUM(BG182:BG197)</f>
        <v>100</v>
      </c>
      <c r="BH198" s="65"/>
      <c r="BI198" s="84"/>
      <c r="BJ198" s="71">
        <f t="shared" ref="BJ198" ca="1" si="1666">SUM(BJ182:BJ197)</f>
        <v>110</v>
      </c>
      <c r="BK198" s="65"/>
      <c r="BL198" s="84"/>
      <c r="BM198" s="71">
        <f t="shared" ref="BM198" ca="1" si="1667">SUM(BM182:BM197)</f>
        <v>110</v>
      </c>
      <c r="BN198" s="65"/>
      <c r="BO198" s="84"/>
      <c r="BP198" s="71">
        <f t="shared" ref="BP198" ca="1" si="1668">SUM(BP182:BP197)</f>
        <v>110</v>
      </c>
      <c r="BQ198" s="65"/>
      <c r="BR198" s="84"/>
      <c r="BS198" s="71">
        <f t="shared" ref="BS198" ca="1" si="1669">SUM(BS182:BS197)</f>
        <v>100</v>
      </c>
      <c r="BT198" s="65"/>
      <c r="BU198" s="84"/>
      <c r="BV198" s="71">
        <f t="shared" ref="BV198" ca="1" si="1670">SUM(BV182:BV197)</f>
        <v>120</v>
      </c>
      <c r="BW198" s="65"/>
      <c r="BX198" s="84"/>
      <c r="BY198" s="71">
        <f t="shared" ref="BY198" ca="1" si="1671">SUM(BY182:BY197)</f>
        <v>110</v>
      </c>
      <c r="BZ198" s="65"/>
      <c r="CA198" s="84"/>
      <c r="CB198" s="71">
        <f t="shared" ref="CB198" ca="1" si="1672">SUM(CB182:CB197)</f>
        <v>110</v>
      </c>
      <c r="CC198" s="65"/>
      <c r="CD198" s="84"/>
      <c r="CE198" s="71">
        <f t="shared" ref="CE198" ca="1" si="1673">SUM(CE182:CE197)</f>
        <v>100</v>
      </c>
      <c r="CF198" s="65"/>
      <c r="CG198" s="84"/>
      <c r="CH198" s="71">
        <f t="shared" ref="CH198" ca="1" si="1674">SUM(CH182:CH197)</f>
        <v>130</v>
      </c>
      <c r="CI198" s="65"/>
      <c r="CJ198" s="84"/>
      <c r="CK198" s="71">
        <f t="shared" ref="CK198" ca="1" si="1675">SUM(CK182:CK197)</f>
        <v>100</v>
      </c>
      <c r="CL198" s="65"/>
      <c r="CM198" s="84"/>
      <c r="CN198" s="71">
        <f t="shared" ref="CN198" ca="1" si="1676">SUM(CN182:CN197)</f>
        <v>120</v>
      </c>
      <c r="CO198" s="65"/>
      <c r="CP198" s="84"/>
      <c r="CQ198" s="71">
        <f t="shared" ref="CQ198" ca="1" si="1677">SUM(CQ182:CQ197)</f>
        <v>110</v>
      </c>
      <c r="CR198" s="65"/>
      <c r="CS198" s="84"/>
      <c r="CT198" s="71">
        <f t="shared" ref="CT198" ca="1" si="1678">SUM(CT182:CT197)</f>
        <v>90</v>
      </c>
      <c r="CU198" s="65"/>
      <c r="CV198" s="84"/>
      <c r="CW198" s="71">
        <f t="shared" ref="CW198" ca="1" si="1679">SUM(CW182:CW197)</f>
        <v>110</v>
      </c>
      <c r="CX198" s="65"/>
      <c r="CY198" s="84"/>
      <c r="CZ198" s="71">
        <f t="shared" ref="CZ198" ca="1" si="1680">SUM(CZ182:CZ197)</f>
        <v>70</v>
      </c>
      <c r="DA198" s="65"/>
      <c r="DB198" s="84"/>
      <c r="DC198" s="71">
        <f t="shared" ref="DC198" ca="1" si="1681">SUM(DC182:DC197)</f>
        <v>100</v>
      </c>
      <c r="DD198" s="65"/>
      <c r="DE198" s="84"/>
      <c r="DF198" s="71">
        <f t="shared" ref="DF198" ca="1" si="1682">SUM(DF182:DF197)</f>
        <v>110</v>
      </c>
      <c r="DG198" s="65"/>
      <c r="DH198" s="84"/>
      <c r="DI198" s="71">
        <f t="shared" ref="DI198" ca="1" si="1683">SUM(DI182:DI197)</f>
        <v>100</v>
      </c>
      <c r="DJ198" s="65"/>
      <c r="DK198" s="84"/>
      <c r="DL198" s="71">
        <f t="shared" ref="DL198" ca="1" si="1684">SUM(DL182:DL197)</f>
        <v>130</v>
      </c>
      <c r="DM198" s="65"/>
      <c r="DN198" s="84"/>
      <c r="DO198" s="71">
        <f t="shared" ref="DO198" ca="1" si="1685">SUM(DO182:DO197)</f>
        <v>80</v>
      </c>
      <c r="DP198" s="65"/>
      <c r="DQ198" s="84"/>
      <c r="DR198" s="71">
        <f t="shared" ref="DR198" ca="1" si="1686">SUM(DR182:DR197)</f>
        <v>110</v>
      </c>
      <c r="DS198" s="65"/>
      <c r="DT198" s="84"/>
      <c r="DU198" s="71">
        <f t="shared" ref="DU198" ca="1" si="1687">SUM(DU182:DU197)</f>
        <v>110</v>
      </c>
      <c r="DV198" s="65"/>
      <c r="DW198" s="84"/>
      <c r="DX198" s="71">
        <f t="shared" ref="DX198" ca="1" si="1688">SUM(DX182:DX197)</f>
        <v>110</v>
      </c>
      <c r="DY198" s="65"/>
      <c r="DZ198" s="84"/>
      <c r="EA198" s="71">
        <f t="shared" ref="EA198" ca="1" si="1689">SUM(EA182:EA197)</f>
        <v>110</v>
      </c>
      <c r="EB198" s="65"/>
      <c r="EC198" s="84"/>
      <c r="ED198" s="71">
        <f t="shared" ref="ED198" ca="1" si="1690">SUM(ED182:ED197)</f>
        <v>110</v>
      </c>
      <c r="EE198" s="65"/>
      <c r="EF198" s="84"/>
      <c r="EG198" s="71">
        <f t="shared" ref="EG198" ca="1" si="1691">SUM(EG182:EG197)</f>
        <v>80</v>
      </c>
      <c r="EH198" s="65"/>
      <c r="EI198" s="84"/>
      <c r="EJ198" s="71">
        <f t="shared" ref="EJ198" ca="1" si="1692">SUM(EJ182:EJ197)</f>
        <v>110</v>
      </c>
      <c r="EK198" s="65"/>
      <c r="EL198" s="84"/>
      <c r="EM198" s="71">
        <f t="shared" ref="EM198" ca="1" si="1693">SUM(EM182:EM197)</f>
        <v>120</v>
      </c>
      <c r="EN198" s="65"/>
      <c r="EO198" s="84"/>
      <c r="EP198" s="71">
        <f t="shared" ref="EP198" ca="1" si="1694">SUM(EP182:EP197)</f>
        <v>120</v>
      </c>
      <c r="EQ198" s="65"/>
      <c r="ER198" s="84"/>
      <c r="ES198" s="71">
        <f t="shared" ref="ES198" ca="1" si="1695">SUM(ES182:ES197)</f>
        <v>110</v>
      </c>
      <c r="ET198" s="65"/>
      <c r="EU198" s="84"/>
      <c r="EV198" s="71">
        <f t="shared" ref="EV198" ca="1" si="1696">SUM(EV182:EV197)</f>
        <v>110</v>
      </c>
      <c r="EW198" s="65"/>
      <c r="EX198" s="84"/>
      <c r="EY198" s="71">
        <f t="shared" ref="EY198" ca="1" si="1697">SUM(EY182:EY197)</f>
        <v>110</v>
      </c>
      <c r="EZ198" s="65"/>
      <c r="FA198" s="84"/>
      <c r="FB198" s="71">
        <f t="shared" ref="FB198" ca="1" si="1698">SUM(FB182:FB197)</f>
        <v>60</v>
      </c>
      <c r="FC198" s="65"/>
      <c r="FD198" s="84"/>
      <c r="FE198" s="71">
        <f t="shared" ref="FE198" ca="1" si="1699">SUM(FE182:FE197)</f>
        <v>100</v>
      </c>
      <c r="FF198" s="65"/>
      <c r="FG198" s="84"/>
      <c r="FH198" s="71">
        <f t="shared" ref="FH198" ca="1" si="1700">SUM(FH182:FH197)</f>
        <v>110</v>
      </c>
      <c r="FI198" s="65"/>
      <c r="FJ198" s="84"/>
      <c r="FK198" s="71">
        <f t="shared" ref="FK198" ca="1" si="1701">SUM(FK182:FK197)</f>
        <v>110</v>
      </c>
      <c r="FL198" s="65"/>
      <c r="FM198" s="84"/>
      <c r="FN198" s="71">
        <f t="shared" ref="FN198" ca="1" si="1702">SUM(FN182:FN197)</f>
        <v>90</v>
      </c>
      <c r="FO198" s="65"/>
      <c r="FP198" s="84"/>
      <c r="FQ198" s="71">
        <f t="shared" ref="FQ198" ca="1" si="1703">SUM(FQ182:FQ197)</f>
        <v>110</v>
      </c>
      <c r="FR198" s="65"/>
      <c r="FS198" s="84"/>
      <c r="FT198" s="71">
        <f t="shared" ref="FT198" ca="1" si="1704">SUM(FT182:FT197)</f>
        <v>100</v>
      </c>
      <c r="FU198" s="65"/>
      <c r="FV198" s="84"/>
      <c r="FW198" s="71">
        <f t="shared" ref="FW198" ca="1" si="1705">SUM(FW182:FW197)</f>
        <v>120</v>
      </c>
      <c r="FX198" s="65"/>
      <c r="FY198" s="84"/>
      <c r="FZ198" s="71">
        <f t="shared" ref="FZ198" ca="1" si="1706">SUM(FZ182:FZ197)</f>
        <v>100</v>
      </c>
      <c r="GA198" s="65"/>
      <c r="GB198" s="84"/>
      <c r="GC198" s="71">
        <f t="shared" ref="GC198" ca="1" si="1707">SUM(GC182:GC197)</f>
        <v>80</v>
      </c>
      <c r="GD198" s="65"/>
      <c r="GE198" s="84"/>
      <c r="GF198" s="71">
        <f t="shared" ref="GF198" ca="1" si="1708">SUM(GF182:GF197)</f>
        <v>110</v>
      </c>
      <c r="GG198" s="65"/>
      <c r="GH198" s="84"/>
      <c r="GI198" s="71">
        <f t="shared" ref="GI198" ca="1" si="1709">SUM(GI182:GI197)</f>
        <v>100</v>
      </c>
      <c r="GJ198" s="65"/>
      <c r="GK198" s="84"/>
      <c r="GL198" s="71">
        <f t="shared" ref="GL198" ca="1" si="1710">SUM(GL182:GL197)</f>
        <v>100</v>
      </c>
      <c r="GM198" s="65"/>
      <c r="GN198" s="84"/>
      <c r="GO198" s="71">
        <f t="shared" ref="GO198" ca="1" si="1711">SUM(GO182:GO197)</f>
        <v>0</v>
      </c>
      <c r="GP198" s="65"/>
      <c r="GQ198" s="84"/>
      <c r="GR198" s="71">
        <f t="shared" ref="GR198" ca="1" si="1712">SUM(GR182:GR197)</f>
        <v>0</v>
      </c>
      <c r="GS198" s="65"/>
      <c r="GT198" s="84"/>
      <c r="GU198" s="71">
        <f t="shared" ref="GU198" ca="1" si="1713">SUM(GU182:GU197)</f>
        <v>0</v>
      </c>
      <c r="GV198" s="65"/>
      <c r="GW198" s="84"/>
      <c r="GX198" s="71">
        <f t="shared" ref="GX198" ca="1" si="1714">SUM(GX182:GX197)</f>
        <v>0</v>
      </c>
      <c r="GY198" s="65"/>
      <c r="GZ198" s="84"/>
      <c r="HA198" s="71">
        <f t="shared" ref="HA198" ca="1" si="1715">SUM(HA182:HA197)</f>
        <v>0</v>
      </c>
      <c r="HB198" s="65"/>
      <c r="HC198" s="84"/>
      <c r="HD198" s="71">
        <f t="shared" ref="HD198" ca="1" si="1716">SUM(HD182:HD197)</f>
        <v>0</v>
      </c>
      <c r="HE198" s="65"/>
      <c r="HF198" s="84"/>
      <c r="HG198" s="71">
        <f t="shared" ref="HG198" ca="1" si="1717">SUM(HG182:HG197)</f>
        <v>0</v>
      </c>
      <c r="HH198" s="65"/>
      <c r="HI198" s="84"/>
      <c r="HJ198" s="71">
        <f t="shared" ref="HJ198" ca="1" si="1718">SUM(HJ182:HJ197)</f>
        <v>0</v>
      </c>
      <c r="HK198" s="65"/>
      <c r="HL198" s="84"/>
      <c r="HM198" s="71">
        <f t="shared" ref="HM198" ca="1" si="1719">SUM(HM182:HM197)</f>
        <v>0</v>
      </c>
      <c r="HN198" s="65"/>
      <c r="HO198" s="84"/>
      <c r="HP198" s="71">
        <f t="shared" ref="HP198" ca="1" si="1720">SUM(HP182:HP197)</f>
        <v>0</v>
      </c>
      <c r="HQ198" s="65"/>
      <c r="HR198" s="84"/>
      <c r="HS198" s="71">
        <f t="shared" ref="HS198" ca="1" si="1721">SUM(HS182:HS197)</f>
        <v>0</v>
      </c>
      <c r="HT198" s="65"/>
      <c r="HU198" s="84"/>
      <c r="HV198" s="71">
        <f t="shared" ref="HV198" ca="1" si="1722">SUM(HV182:HV197)</f>
        <v>0</v>
      </c>
      <c r="HW198" s="65"/>
      <c r="HX198" s="84"/>
      <c r="HY198" s="71">
        <f t="shared" ref="HY198" ca="1" si="1723">SUM(HY182:HY197)</f>
        <v>0</v>
      </c>
      <c r="HZ198" s="65"/>
      <c r="IA198" s="84"/>
      <c r="IB198" s="71">
        <f t="shared" ref="IB198" ca="1" si="1724">SUM(IB182:IB197)</f>
        <v>0</v>
      </c>
      <c r="IC198" s="65"/>
      <c r="ID198" s="84"/>
      <c r="IE198" s="71">
        <f t="shared" ref="IE198" ca="1" si="1725">SUM(IE182:IE197)</f>
        <v>0</v>
      </c>
      <c r="IF198" s="65"/>
      <c r="IG198" s="84"/>
      <c r="IH198" s="71">
        <f t="shared" ref="IH198" ca="1" si="1726">SUM(IH182:IH197)</f>
        <v>0</v>
      </c>
      <c r="II198" s="65"/>
      <c r="IJ198" s="84"/>
      <c r="IK198" s="71">
        <f t="shared" ref="IK198" ca="1" si="1727">SUM(IK182:IK197)</f>
        <v>0</v>
      </c>
      <c r="IL198" s="65"/>
      <c r="IM198" s="84"/>
      <c r="IN198" s="71">
        <f t="shared" ref="IN198" ca="1" si="1728">SUM(IN182:IN197)</f>
        <v>0</v>
      </c>
      <c r="IO198" s="65"/>
      <c r="IP198" s="84"/>
      <c r="IQ198" s="71">
        <f t="shared" ref="IQ198" ca="1" si="1729">SUM(IQ182:IQ197)</f>
        <v>0</v>
      </c>
      <c r="IR198" s="65"/>
      <c r="IS198" s="84"/>
      <c r="IT198" s="71">
        <f t="shared" ref="IT198" ca="1" si="1730">SUM(IT182:IT197)</f>
        <v>0</v>
      </c>
      <c r="IU198" s="65"/>
      <c r="IV198" s="84"/>
      <c r="IW198" s="71">
        <f t="shared" ref="IW198" ca="1" si="1731">SUM(IW182:IW197)</f>
        <v>0</v>
      </c>
      <c r="IX198" s="65"/>
      <c r="IY198" s="84"/>
      <c r="IZ198" s="71">
        <f t="shared" ref="IZ198" ca="1" si="1732">SUM(IZ182:IZ197)</f>
        <v>0</v>
      </c>
      <c r="JA198" s="65"/>
      <c r="JB198" s="84"/>
      <c r="JC198" s="71">
        <f t="shared" ref="JC198" ca="1" si="1733">SUM(JC182:JC197)</f>
        <v>0</v>
      </c>
      <c r="JD198" s="65"/>
      <c r="JE198" s="84"/>
      <c r="JF198" s="71">
        <f t="shared" ref="JF198" ca="1" si="1734">SUM(JF182:JF197)</f>
        <v>0</v>
      </c>
      <c r="JG198" s="65"/>
      <c r="JH198" s="84"/>
      <c r="JI198" s="71">
        <f t="shared" ref="JI198" ca="1" si="1735">SUM(JI182:JI197)</f>
        <v>0</v>
      </c>
      <c r="JJ198" s="65"/>
      <c r="JK198" s="84"/>
      <c r="JL198" s="71">
        <f t="shared" ref="JL198" ca="1" si="1736">SUM(JL182:JL197)</f>
        <v>0</v>
      </c>
      <c r="JM198" s="65"/>
      <c r="JN198" s="84"/>
      <c r="JO198" s="71">
        <f t="shared" ref="JO198" ca="1" si="1737">SUM(JO182:JO197)</f>
        <v>0</v>
      </c>
      <c r="JP198" s="65"/>
      <c r="JQ198" s="84"/>
      <c r="JR198" s="71">
        <f t="shared" ref="JR198" ca="1" si="1738">SUM(JR182:JR197)</f>
        <v>0</v>
      </c>
      <c r="JS198" s="65"/>
      <c r="JT198" s="84"/>
      <c r="JU198" s="71">
        <f t="shared" ref="JU198" ca="1" si="1739">SUM(JU182:JU197)</f>
        <v>0</v>
      </c>
      <c r="JV198" s="65"/>
      <c r="JW198" s="84"/>
      <c r="JX198" s="71">
        <f t="shared" ref="JX198" ca="1" si="1740">SUM(JX182:JX197)</f>
        <v>0</v>
      </c>
      <c r="JY198" s="65"/>
      <c r="JZ198" s="84"/>
      <c r="KA198" s="71">
        <f t="shared" ref="KA198" ca="1" si="1741">SUM(KA182:KA197)</f>
        <v>0</v>
      </c>
      <c r="KB198" s="65"/>
      <c r="KC198" s="84"/>
      <c r="KD198" s="71">
        <f t="shared" ref="KD198" ca="1" si="1742">SUM(KD182:KD197)</f>
        <v>0</v>
      </c>
      <c r="KE198" s="65"/>
      <c r="KF198" s="84"/>
      <c r="KG198" s="71">
        <f t="shared" ref="KG198" ca="1" si="1743">SUM(KG182:KG197)</f>
        <v>0</v>
      </c>
      <c r="KH198" s="65"/>
      <c r="KI198" s="84"/>
      <c r="KJ198" s="71">
        <f t="shared" ref="KJ198" ca="1" si="1744">SUM(KJ182:KJ197)</f>
        <v>0</v>
      </c>
      <c r="KK198" s="65"/>
      <c r="KL198" s="84"/>
      <c r="KM198" s="71">
        <f t="shared" ref="KM198" ca="1" si="1745">SUM(KM182:KM197)</f>
        <v>0</v>
      </c>
      <c r="KN198" s="65"/>
      <c r="KO198" s="84"/>
      <c r="KP198" s="71">
        <f t="shared" ref="KP198" ca="1" si="1746">SUM(KP182:KP197)</f>
        <v>0</v>
      </c>
      <c r="KQ198" s="65"/>
      <c r="KR198" s="84"/>
      <c r="KS198" s="71">
        <f t="shared" ref="KS198" ca="1" si="1747">SUM(KS182:KS197)</f>
        <v>0</v>
      </c>
      <c r="KT198" s="65"/>
      <c r="KU198" s="84"/>
      <c r="KV198" s="71">
        <f t="shared" ref="KV198" ca="1" si="1748">SUM(KV182:KV197)</f>
        <v>0</v>
      </c>
      <c r="KW198" s="65"/>
      <c r="KX198" s="84"/>
      <c r="KY198" s="71">
        <f t="shared" ref="KY198" ca="1" si="1749">SUM(KY182:KY197)</f>
        <v>0</v>
      </c>
      <c r="KZ198" s="65"/>
      <c r="LA198" s="84"/>
      <c r="LB198" s="71">
        <f t="shared" ref="LB198" ca="1" si="1750">SUM(LB182:LB197)</f>
        <v>0</v>
      </c>
      <c r="LC198" s="65"/>
      <c r="LD198" s="84"/>
      <c r="LE198" s="71">
        <f t="shared" ref="LE198" ca="1" si="1751">SUM(LE182:LE197)</f>
        <v>0</v>
      </c>
      <c r="LF198" s="65"/>
      <c r="LG198" s="65"/>
    </row>
    <row r="199" spans="1:319">
      <c r="A199" s="25"/>
      <c r="B199" s="25"/>
      <c r="C199" s="25"/>
      <c r="D199" s="25"/>
      <c r="E199" s="25"/>
      <c r="F199" s="407"/>
      <c r="G199" s="407"/>
      <c r="H199" s="65"/>
      <c r="I199" s="52" t="s">
        <v>1578</v>
      </c>
      <c r="J199" s="94"/>
      <c r="K199" s="113" t="str">
        <f>Idiomas!D140</f>
        <v>ROUND OF 16</v>
      </c>
      <c r="L199" s="50"/>
      <c r="M199" s="71"/>
      <c r="N199" s="25"/>
      <c r="O199" s="25"/>
      <c r="P199" s="25"/>
      <c r="Q199" s="25"/>
      <c r="R199" s="49"/>
      <c r="S199" s="84"/>
      <c r="T199" s="71"/>
      <c r="U199" s="65"/>
      <c r="V199" s="84"/>
      <c r="W199" s="71"/>
      <c r="X199" s="65"/>
      <c r="Y199" s="84"/>
      <c r="Z199" s="71"/>
      <c r="AA199" s="65"/>
      <c r="AB199" s="84"/>
      <c r="AC199" s="71"/>
      <c r="AD199" s="65"/>
      <c r="AE199" s="84"/>
      <c r="AF199" s="71"/>
      <c r="AG199" s="65"/>
      <c r="AH199" s="84"/>
      <c r="AI199" s="71"/>
      <c r="AJ199" s="65"/>
      <c r="AK199" s="84"/>
      <c r="AL199" s="71"/>
      <c r="AM199" s="65"/>
      <c r="AN199" s="84"/>
      <c r="AO199" s="71"/>
      <c r="AP199" s="65"/>
      <c r="AQ199" s="84"/>
      <c r="AR199" s="71"/>
      <c r="AS199" s="65"/>
      <c r="AT199" s="84"/>
      <c r="AU199" s="71"/>
      <c r="AV199" s="65"/>
      <c r="AW199" s="84"/>
      <c r="AX199" s="71"/>
      <c r="AY199" s="65"/>
      <c r="AZ199" s="84"/>
      <c r="BA199" s="71"/>
      <c r="BB199" s="65"/>
      <c r="BC199" s="84"/>
      <c r="BD199" s="71"/>
      <c r="BE199" s="65"/>
      <c r="BF199" s="84"/>
      <c r="BG199" s="71"/>
      <c r="BH199" s="65"/>
      <c r="BI199" s="84"/>
      <c r="BJ199" s="71"/>
      <c r="BK199" s="65"/>
      <c r="BL199" s="84"/>
      <c r="BM199" s="71"/>
      <c r="BN199" s="65"/>
      <c r="BO199" s="84"/>
      <c r="BP199" s="71"/>
      <c r="BQ199" s="65"/>
      <c r="BR199" s="84"/>
      <c r="BS199" s="71"/>
      <c r="BT199" s="65"/>
      <c r="BU199" s="84"/>
      <c r="BV199" s="71"/>
      <c r="BW199" s="65"/>
      <c r="BX199" s="84"/>
      <c r="BY199" s="71"/>
      <c r="BZ199" s="65"/>
      <c r="CA199" s="84"/>
      <c r="CB199" s="71"/>
      <c r="CC199" s="65"/>
      <c r="CD199" s="84"/>
      <c r="CE199" s="71"/>
      <c r="CF199" s="65"/>
      <c r="CG199" s="84"/>
      <c r="CH199" s="71"/>
      <c r="CI199" s="65"/>
      <c r="CJ199" s="84"/>
      <c r="CK199" s="71"/>
      <c r="CL199" s="65"/>
      <c r="CM199" s="84"/>
      <c r="CN199" s="71"/>
      <c r="CO199" s="65"/>
      <c r="CP199" s="84"/>
      <c r="CQ199" s="71"/>
      <c r="CR199" s="65"/>
      <c r="CS199" s="84"/>
      <c r="CT199" s="71"/>
      <c r="CU199" s="65"/>
      <c r="CV199" s="84"/>
      <c r="CW199" s="71"/>
      <c r="CX199" s="65"/>
      <c r="CY199" s="84"/>
      <c r="CZ199" s="71"/>
      <c r="DA199" s="65"/>
      <c r="DB199" s="84"/>
      <c r="DC199" s="71"/>
      <c r="DD199" s="65"/>
      <c r="DE199" s="84"/>
      <c r="DF199" s="71"/>
      <c r="DG199" s="65"/>
      <c r="DH199" s="84"/>
      <c r="DI199" s="71"/>
      <c r="DJ199" s="65"/>
      <c r="DK199" s="84"/>
      <c r="DL199" s="71"/>
      <c r="DM199" s="65"/>
      <c r="DN199" s="84"/>
      <c r="DO199" s="71"/>
      <c r="DP199" s="65"/>
      <c r="DQ199" s="84"/>
      <c r="DR199" s="71"/>
      <c r="DS199" s="65"/>
      <c r="DT199" s="84"/>
      <c r="DU199" s="71"/>
      <c r="DV199" s="65"/>
      <c r="DW199" s="84"/>
      <c r="DX199" s="71"/>
      <c r="DY199" s="65"/>
      <c r="DZ199" s="84"/>
      <c r="EA199" s="71"/>
      <c r="EB199" s="65"/>
      <c r="EC199" s="84"/>
      <c r="ED199" s="71"/>
      <c r="EE199" s="65"/>
      <c r="EF199" s="84"/>
      <c r="EG199" s="71"/>
      <c r="EH199" s="65"/>
      <c r="EI199" s="84"/>
      <c r="EJ199" s="71"/>
      <c r="EK199" s="65"/>
      <c r="EL199" s="84"/>
      <c r="EM199" s="71"/>
      <c r="EN199" s="65"/>
      <c r="EO199" s="84"/>
      <c r="EP199" s="71"/>
      <c r="EQ199" s="65"/>
      <c r="ER199" s="84"/>
      <c r="ES199" s="71"/>
      <c r="ET199" s="65"/>
      <c r="EU199" s="84"/>
      <c r="EV199" s="71"/>
      <c r="EW199" s="65"/>
      <c r="EX199" s="84"/>
      <c r="EY199" s="71"/>
      <c r="EZ199" s="65"/>
      <c r="FA199" s="84"/>
      <c r="FB199" s="71"/>
      <c r="FC199" s="65"/>
      <c r="FD199" s="84"/>
      <c r="FE199" s="71"/>
      <c r="FF199" s="65"/>
      <c r="FG199" s="84"/>
      <c r="FH199" s="71"/>
      <c r="FI199" s="65"/>
      <c r="FJ199" s="84"/>
      <c r="FK199" s="71"/>
      <c r="FL199" s="65"/>
      <c r="FM199" s="84"/>
      <c r="FN199" s="71"/>
      <c r="FO199" s="65"/>
      <c r="FP199" s="84"/>
      <c r="FQ199" s="71"/>
      <c r="FR199" s="65"/>
      <c r="FS199" s="84"/>
      <c r="FT199" s="71"/>
      <c r="FU199" s="65"/>
      <c r="FV199" s="84"/>
      <c r="FW199" s="71"/>
      <c r="FX199" s="65"/>
      <c r="FY199" s="84"/>
      <c r="FZ199" s="71"/>
      <c r="GA199" s="65"/>
      <c r="GB199" s="84"/>
      <c r="GC199" s="71"/>
      <c r="GD199" s="65"/>
      <c r="GE199" s="84"/>
      <c r="GF199" s="71"/>
      <c r="GG199" s="65"/>
      <c r="GH199" s="84"/>
      <c r="GI199" s="71"/>
      <c r="GJ199" s="65"/>
      <c r="GK199" s="84"/>
      <c r="GL199" s="71"/>
      <c r="GM199" s="65"/>
      <c r="GN199" s="84"/>
      <c r="GO199" s="71"/>
      <c r="GP199" s="65"/>
      <c r="GQ199" s="84"/>
      <c r="GR199" s="71"/>
      <c r="GS199" s="65"/>
      <c r="GT199" s="84"/>
      <c r="GU199" s="71"/>
      <c r="GV199" s="65"/>
      <c r="GW199" s="84"/>
      <c r="GX199" s="71"/>
      <c r="GY199" s="65"/>
      <c r="GZ199" s="84"/>
      <c r="HA199" s="71"/>
      <c r="HB199" s="65"/>
      <c r="HC199" s="84"/>
      <c r="HD199" s="71"/>
      <c r="HE199" s="65"/>
      <c r="HF199" s="84"/>
      <c r="HG199" s="71"/>
      <c r="HH199" s="65"/>
      <c r="HI199" s="84"/>
      <c r="HJ199" s="71"/>
      <c r="HK199" s="65"/>
      <c r="HL199" s="84"/>
      <c r="HM199" s="71"/>
      <c r="HN199" s="65"/>
      <c r="HO199" s="84"/>
      <c r="HP199" s="71"/>
      <c r="HQ199" s="65"/>
      <c r="HR199" s="84"/>
      <c r="HS199" s="71"/>
      <c r="HT199" s="65"/>
      <c r="HU199" s="84"/>
      <c r="HV199" s="71"/>
      <c r="HW199" s="65"/>
      <c r="HX199" s="84"/>
      <c r="HY199" s="71"/>
      <c r="HZ199" s="65"/>
      <c r="IA199" s="84"/>
      <c r="IB199" s="71"/>
      <c r="IC199" s="65"/>
      <c r="ID199" s="84"/>
      <c r="IE199" s="71"/>
      <c r="IF199" s="65"/>
      <c r="IG199" s="84"/>
      <c r="IH199" s="71"/>
      <c r="II199" s="65"/>
      <c r="IJ199" s="84"/>
      <c r="IK199" s="71"/>
      <c r="IL199" s="65"/>
      <c r="IM199" s="84"/>
      <c r="IN199" s="71"/>
      <c r="IO199" s="65"/>
      <c r="IP199" s="84"/>
      <c r="IQ199" s="71"/>
      <c r="IR199" s="65"/>
      <c r="IS199" s="84"/>
      <c r="IT199" s="71"/>
      <c r="IU199" s="65"/>
      <c r="IV199" s="84"/>
      <c r="IW199" s="71"/>
      <c r="IX199" s="65"/>
      <c r="IY199" s="84"/>
      <c r="IZ199" s="71"/>
      <c r="JA199" s="65"/>
      <c r="JB199" s="84"/>
      <c r="JC199" s="71"/>
      <c r="JD199" s="65"/>
      <c r="JE199" s="84"/>
      <c r="JF199" s="71"/>
      <c r="JG199" s="65"/>
      <c r="JH199" s="84"/>
      <c r="JI199" s="71"/>
      <c r="JJ199" s="65"/>
      <c r="JK199" s="84"/>
      <c r="JL199" s="71"/>
      <c r="JM199" s="65"/>
      <c r="JN199" s="84"/>
      <c r="JO199" s="71"/>
      <c r="JP199" s="65"/>
      <c r="JQ199" s="84"/>
      <c r="JR199" s="71"/>
      <c r="JS199" s="65"/>
      <c r="JT199" s="84"/>
      <c r="JU199" s="71"/>
      <c r="JV199" s="65"/>
      <c r="JW199" s="84"/>
      <c r="JX199" s="71"/>
      <c r="JY199" s="65"/>
      <c r="JZ199" s="84"/>
      <c r="KA199" s="71"/>
      <c r="KB199" s="65"/>
      <c r="KC199" s="84"/>
      <c r="KD199" s="71"/>
      <c r="KE199" s="65"/>
      <c r="KF199" s="84"/>
      <c r="KG199" s="71"/>
      <c r="KH199" s="65"/>
      <c r="KI199" s="84"/>
      <c r="KJ199" s="71"/>
      <c r="KK199" s="65"/>
      <c r="KL199" s="84"/>
      <c r="KM199" s="71"/>
      <c r="KN199" s="65"/>
      <c r="KO199" s="84"/>
      <c r="KP199" s="71"/>
      <c r="KQ199" s="65"/>
      <c r="KR199" s="84"/>
      <c r="KS199" s="71"/>
      <c r="KT199" s="65"/>
      <c r="KU199" s="84"/>
      <c r="KV199" s="71"/>
      <c r="KW199" s="65"/>
      <c r="KX199" s="84"/>
      <c r="KY199" s="71"/>
      <c r="KZ199" s="65"/>
      <c r="LA199" s="84"/>
      <c r="LB199" s="71"/>
      <c r="LC199" s="65"/>
      <c r="LD199" s="84"/>
      <c r="LE199" s="71"/>
      <c r="LF199" s="65"/>
      <c r="LG199" s="65"/>
    </row>
    <row r="200" spans="1:319">
      <c r="A200" s="25">
        <f>WORLDCUP!AD120</f>
        <v>3</v>
      </c>
      <c r="B200" s="25">
        <f>WORLDCUP!AC120</f>
        <v>0</v>
      </c>
      <c r="C200" s="25" t="str">
        <f ca="1">CONCATENATE(WORLDCUP!AF120,"-",WORLDCUP!AA120)</f>
        <v>Morocco-Canada</v>
      </c>
      <c r="D200" s="25">
        <f>IF(WORLDCUP!AC120&gt;WORLDCUP!AD120,2,IF(WORLDCUP!AC120&lt;WORLDCUP!AD120,1,IF(AND(WORLDCUP!AC120=WORLDCUP!AD120,WORLDCUP!AC120&lt;&gt;"",WORLDCUP!AD120&lt;&gt;""),0,"PD")))</f>
        <v>1</v>
      </c>
      <c r="E200" s="25" t="str">
        <f>IF(OR(WORLDCUP!AD120="",WORLDCUP!AC120=""),"-",A200&amp;"-"&amp;B200)</f>
        <v>3-0</v>
      </c>
      <c r="F200" s="407">
        <f>SUM($D$20:$D$22)*I200</f>
        <v>20</v>
      </c>
      <c r="G200" s="407">
        <f ca="1">VLOOKUP(H200,Equipos!$Q$1:$R$25,2,0)</f>
        <v>21</v>
      </c>
      <c r="H200" s="65" t="str">
        <f>Idiomas!$D$261</f>
        <v>Round Of 16</v>
      </c>
      <c r="I200" s="43">
        <v>1</v>
      </c>
      <c r="J200" s="845" t="s">
        <v>88</v>
      </c>
      <c r="K200" s="53" t="str">
        <f ca="1">CONCATENATE(WORLDCUP!AA120,"-",WORLDCUP!AF120)</f>
        <v>Canada-Morocco</v>
      </c>
      <c r="L200" s="53">
        <f>IF(OR(WORLDCUP!AC120="",WORLDCUP!AD120=""),"PD",IF(WORLDCUP!AC120&gt;WORLDCUP!AD120,1,IF(WORLDCUP!AC120&lt;WORLDCUP!AD120,2,0)))</f>
        <v>2</v>
      </c>
      <c r="M200" s="55" t="str">
        <f t="shared" ref="M200:M207" si="1752">IF(L200="PD","-",N200&amp;"-"&amp;O200)</f>
        <v>0-3</v>
      </c>
      <c r="N200" s="25">
        <f>WORLDCUP!AC120</f>
        <v>0</v>
      </c>
      <c r="O200" s="25">
        <f>WORLDCUP!AD120</f>
        <v>3</v>
      </c>
      <c r="P200" s="25">
        <f t="shared" ref="P200:P207" si="1753">+N200-O200</f>
        <v>-3</v>
      </c>
      <c r="Q200" s="25">
        <f t="shared" ref="Q200:Q207" si="1754">+A200-B200</f>
        <v>3</v>
      </c>
      <c r="R200" s="110"/>
      <c r="S200" s="66" t="s">
        <v>1978</v>
      </c>
      <c r="T200" s="85">
        <f ca="1">IFERROR(IF(COUNTIF($K$200:$K$207,LEFT(S200,FIND("·",S200)-1))&gt;0,IF(INDEX($L$200:$L$207,MATCH(LEFT(S200,FIND("·",S200)-1),$K$200:$K$207,0))=IFERROR(VALUE(MID(S200,FIND("·",S200)+1,1)),0),($D$20+(INDEX($M$200:$M$207,MATCH(LEFT(S200,FIND("·",S200)-1),$K$200:$K$207,0))=MID(S200,FIND("|",S200)+1,10))*$D$22+MAX(0,IF($D$50=1,$D$21*(1-(ABS(INDEX($P$200:$P$207,MATCH(LEFT(S200,FIND("·",S200)-1),$K$200:$K$207,0))-(VALUE(MID(S200,FIND("|",S200)+1,FIND("-",S200,FIND("|",S200))-FIND("|",S200)-1))-VALUE(MID(S200,FIND("-",S200,FIND("|",S200))+1,10)))))*$D$50),$D$21*(1-(IF(INDEX($L$200:$L$207,MATCH(LEFT(S200,FIND("·",S200)-1),$K$200:$K$207,0))=0,ABS(INDEX($N$200:$N$207,MATCH(LEFT(S200,FIND("·",S200)-1),$K$200:$K$207,0))-VALUE(MID(S200,FIND("|",S200)+1,FIND("-",S200,FIND("|",S200))-FIND("|",S200)-1))),ABS(INDEX($P$200:$P$207,MATCH(LEFT(S200,FIND("·",S200)-1),$K$200:$K$207,0))-(VALUE(MID(S200,FIND("|",S200)+1,FIND("-",S200,FIND("|",S200))-FIND("|",S200)-1))-VALUE(MID(S200,FIND("-",S200,FIND("|",S200))+1,10)))))*$D$50)))))*INDEX($I$200:$I$207,MATCH(LEFT(S200,FIND("·",S200)-1),$K$200:$K$207,0)),0),0),0)+IFERROR(IF(COUNTIF($C$200:$C$207,LEFT(S200,FIND("·",S200)-1))&gt;0,IF(INDEX($D$200:$D$207,MATCH(LEFT(S200,FIND("·",S200)-1),$C$200:$C$207,0))=IFERROR(VALUE(MID(S200,FIND("·",S200)+1,1)),0),($D$20+(INDEX($E$200:$E$207,MATCH(LEFT(S200,FIND("·",S200)-1),$C$200:$C$207,0))=MID(S200,FIND("|",S200)+1,10))*$D$22+MAX(0,IF($D$50=1,$D$21*(1-(ABS(INDEX($Q$200:$Q$207,MATCH(LEFT(S200,FIND("·",S200)-1),$C$200:$C$207,0))-(VALUE(MID(S200,FIND("|",S200)+1,FIND("-",S200,FIND("|",S200))-FIND("|",S200)-1))-VALUE(MID(S200,FIND("-",S200,FIND("|",S200))+1,10)))))*$D$50),$D$21*(1-(IF(INDEX($D$200:$D$207,MATCH(LEFT(S200,FIND("·",S200)-1),$C$200:$C$207,0))=0,ABS(INDEX($A$200:$A$207,MATCH(LEFT(S200,FIND("·",S200)-1),$C$200:$C$207,0))-VALUE(MID(S200,FIND("|",S200)+1,FIND("-",S200,FIND("|",S200))-FIND("|",S200)-1))),ABS(INDEX($Q$200:$Q$207,MATCH(LEFT(S200,FIND("·",S200)-1),$C$200:$C$207,0))-(VALUE(MID(S200,FIND("|",S200)+1,FIND("-",S200,FIND("|",S200))-FIND("|",S200)-1))-VALUE(MID(S200,FIND("-",S200,FIND("|",S200))+1,10)))))*$D$50)))))*INDEX($I$200:$I$207,MATCH(LEFT(S200,FIND("·",S200)-1),$C$200:$C$207,0)),0),0),0)</f>
        <v>0</v>
      </c>
      <c r="U200" s="110"/>
      <c r="V200" s="66" t="s">
        <v>2017</v>
      </c>
      <c r="W200" s="85">
        <f t="shared" ref="W200:CH207" ca="1" si="1755">IFERROR(IF(COUNTIF($K$200:$K$207,LEFT(V200,FIND("·",V200)-1))&gt;0,IF(INDEX($L$200:$L$207,MATCH(LEFT(V200,FIND("·",V200)-1),$K$200:$K$207,0))=IFERROR(VALUE(MID(V200,FIND("·",V200)+1,1)),0),($D$20+(INDEX($M$200:$M$207,MATCH(LEFT(V200,FIND("·",V200)-1),$K$200:$K$207,0))=MID(V200,FIND("|",V200)+1,10))*$D$22+MAX(0,IF($D$50=1,$D$21*(1-(ABS(INDEX($P$200:$P$207,MATCH(LEFT(V200,FIND("·",V200)-1),$K$200:$K$207,0))-(VALUE(MID(V200,FIND("|",V200)+1,FIND("-",V200,FIND("|",V200))-FIND("|",V200)-1))-VALUE(MID(V200,FIND("-",V200,FIND("|",V200))+1,10)))))*$D$50),$D$21*(1-(IF(INDEX($L$200:$L$207,MATCH(LEFT(V200,FIND("·",V200)-1),$K$200:$K$207,0))=0,ABS(INDEX($N$200:$N$207,MATCH(LEFT(V200,FIND("·",V200)-1),$K$200:$K$207,0))-VALUE(MID(V200,FIND("|",V200)+1,FIND("-",V200,FIND("|",V200))-FIND("|",V200)-1))),ABS(INDEX($P$200:$P$207,MATCH(LEFT(V200,FIND("·",V200)-1),$K$200:$K$207,0))-(VALUE(MID(V200,FIND("|",V200)+1,FIND("-",V200,FIND("|",V200))-FIND("|",V200)-1))-VALUE(MID(V200,FIND("-",V200,FIND("|",V200))+1,10)))))*$D$50)))))*INDEX($I$200:$I$207,MATCH(LEFT(V200,FIND("·",V200)-1),$K$200:$K$207,0)),0),0),0)+IFERROR(IF(COUNTIF($C$200:$C$207,LEFT(V200,FIND("·",V200)-1))&gt;0,IF(INDEX($D$200:$D$207,MATCH(LEFT(V200,FIND("·",V200)-1),$C$200:$C$207,0))=IFERROR(VALUE(MID(V200,FIND("·",V200)+1,1)),0),($D$20+(INDEX($E$200:$E$207,MATCH(LEFT(V200,FIND("·",V200)-1),$C$200:$C$207,0))=MID(V200,FIND("|",V200)+1,10))*$D$22+MAX(0,IF($D$50=1,$D$21*(1-(ABS(INDEX($Q$200:$Q$207,MATCH(LEFT(V200,FIND("·",V200)-1),$C$200:$C$207,0))-(VALUE(MID(V200,FIND("|",V200)+1,FIND("-",V200,FIND("|",V200))-FIND("|",V200)-1))-VALUE(MID(V200,FIND("-",V200,FIND("|",V200))+1,10)))))*$D$50),$D$21*(1-(IF(INDEX($D$200:$D$207,MATCH(LEFT(V200,FIND("·",V200)-1),$C$200:$C$207,0))=0,ABS(INDEX($A$200:$A$207,MATCH(LEFT(V200,FIND("·",V200)-1),$C$200:$C$207,0))-VALUE(MID(V200,FIND("|",V200)+1,FIND("-",V200,FIND("|",V200))-FIND("|",V200)-1))),ABS(INDEX($Q$200:$Q$207,MATCH(LEFT(V200,FIND("·",V200)-1),$C$200:$C$207,0))-(VALUE(MID(V200,FIND("|",V200)+1,FIND("-",V200,FIND("|",V200))-FIND("|",V200)-1))-VALUE(MID(V200,FIND("-",V200,FIND("|",V200))+1,10)))))*$D$50)))))*INDEX($I$200:$I$207,MATCH(LEFT(V200,FIND("·",V200)-1),$C$200:$C$207,0)),0),0),0)</f>
        <v>0</v>
      </c>
      <c r="X200" s="110"/>
      <c r="Y200" s="66" t="s">
        <v>2052</v>
      </c>
      <c r="Z200" s="85">
        <f t="shared" ref="Z200" ca="1" si="1756">IFERROR(IF(COUNTIF($K$200:$K$207,LEFT(Y200,FIND("·",Y200)-1))&gt;0,IF(INDEX($L$200:$L$207,MATCH(LEFT(Y200,FIND("·",Y200)-1),$K$200:$K$207,0))=IFERROR(VALUE(MID(Y200,FIND("·",Y200)+1,1)),0),($D$20+(INDEX($M$200:$M$207,MATCH(LEFT(Y200,FIND("·",Y200)-1),$K$200:$K$207,0))=MID(Y200,FIND("|",Y200)+1,10))*$D$22+MAX(0,IF($D$50=1,$D$21*(1-(ABS(INDEX($P$200:$P$207,MATCH(LEFT(Y200,FIND("·",Y200)-1),$K$200:$K$207,0))-(VALUE(MID(Y200,FIND("|",Y200)+1,FIND("-",Y200,FIND("|",Y200))-FIND("|",Y200)-1))-VALUE(MID(Y200,FIND("-",Y200,FIND("|",Y200))+1,10)))))*$D$50),$D$21*(1-(IF(INDEX($L$200:$L$207,MATCH(LEFT(Y200,FIND("·",Y200)-1),$K$200:$K$207,0))=0,ABS(INDEX($N$200:$N$207,MATCH(LEFT(Y200,FIND("·",Y200)-1),$K$200:$K$207,0))-VALUE(MID(Y200,FIND("|",Y200)+1,FIND("-",Y200,FIND("|",Y200))-FIND("|",Y200)-1))),ABS(INDEX($P$200:$P$207,MATCH(LEFT(Y200,FIND("·",Y200)-1),$K$200:$K$207,0))-(VALUE(MID(Y200,FIND("|",Y200)+1,FIND("-",Y200,FIND("|",Y200))-FIND("|",Y200)-1))-VALUE(MID(Y200,FIND("-",Y200,FIND("|",Y200))+1,10)))))*$D$50)))))*INDEX($I$200:$I$207,MATCH(LEFT(Y200,FIND("·",Y200)-1),$K$200:$K$207,0)),0),0),0)+IFERROR(IF(COUNTIF($C$200:$C$207,LEFT(Y200,FIND("·",Y200)-1))&gt;0,IF(INDEX($D$200:$D$207,MATCH(LEFT(Y200,FIND("·",Y200)-1),$C$200:$C$207,0))=IFERROR(VALUE(MID(Y200,FIND("·",Y200)+1,1)),0),($D$20+(INDEX($E$200:$E$207,MATCH(LEFT(Y200,FIND("·",Y200)-1),$C$200:$C$207,0))=MID(Y200,FIND("|",Y200)+1,10))*$D$22+MAX(0,IF($D$50=1,$D$21*(1-(ABS(INDEX($Q$200:$Q$207,MATCH(LEFT(Y200,FIND("·",Y200)-1),$C$200:$C$207,0))-(VALUE(MID(Y200,FIND("|",Y200)+1,FIND("-",Y200,FIND("|",Y200))-FIND("|",Y200)-1))-VALUE(MID(Y200,FIND("-",Y200,FIND("|",Y200))+1,10)))))*$D$50),$D$21*(1-(IF(INDEX($D$200:$D$207,MATCH(LEFT(Y200,FIND("·",Y200)-1),$C$200:$C$207,0))=0,ABS(INDEX($A$200:$A$207,MATCH(LEFT(Y200,FIND("·",Y200)-1),$C$200:$C$207,0))-VALUE(MID(Y200,FIND("|",Y200)+1,FIND("-",Y200,FIND("|",Y200))-FIND("|",Y200)-1))),ABS(INDEX($Q$200:$Q$207,MATCH(LEFT(Y200,FIND("·",Y200)-1),$C$200:$C$207,0))-(VALUE(MID(Y200,FIND("|",Y200)+1,FIND("-",Y200,FIND("|",Y200))-FIND("|",Y200)-1))-VALUE(MID(Y200,FIND("-",Y200,FIND("|",Y200))+1,10)))))*$D$50)))))*INDEX($I$200:$I$207,MATCH(LEFT(Y200,FIND("·",Y200)-1),$C$200:$C$207,0)),0),0),0)</f>
        <v>0</v>
      </c>
      <c r="AA200" s="110"/>
      <c r="AB200" s="66" t="s">
        <v>2085</v>
      </c>
      <c r="AC200" s="85">
        <f t="shared" ref="AC200" ca="1" si="1757">IFERROR(IF(COUNTIF($K$200:$K$207,LEFT(AB200,FIND("·",AB200)-1))&gt;0,IF(INDEX($L$200:$L$207,MATCH(LEFT(AB200,FIND("·",AB200)-1),$K$200:$K$207,0))=IFERROR(VALUE(MID(AB200,FIND("·",AB200)+1,1)),0),($D$20+(INDEX($M$200:$M$207,MATCH(LEFT(AB200,FIND("·",AB200)-1),$K$200:$K$207,0))=MID(AB200,FIND("|",AB200)+1,10))*$D$22+MAX(0,IF($D$50=1,$D$21*(1-(ABS(INDEX($P$200:$P$207,MATCH(LEFT(AB200,FIND("·",AB200)-1),$K$200:$K$207,0))-(VALUE(MID(AB200,FIND("|",AB200)+1,FIND("-",AB200,FIND("|",AB200))-FIND("|",AB200)-1))-VALUE(MID(AB200,FIND("-",AB200,FIND("|",AB200))+1,10)))))*$D$50),$D$21*(1-(IF(INDEX($L$200:$L$207,MATCH(LEFT(AB200,FIND("·",AB200)-1),$K$200:$K$207,0))=0,ABS(INDEX($N$200:$N$207,MATCH(LEFT(AB200,FIND("·",AB200)-1),$K$200:$K$207,0))-VALUE(MID(AB200,FIND("|",AB200)+1,FIND("-",AB200,FIND("|",AB200))-FIND("|",AB200)-1))),ABS(INDEX($P$200:$P$207,MATCH(LEFT(AB200,FIND("·",AB200)-1),$K$200:$K$207,0))-(VALUE(MID(AB200,FIND("|",AB200)+1,FIND("-",AB200,FIND("|",AB200))-FIND("|",AB200)-1))-VALUE(MID(AB200,FIND("-",AB200,FIND("|",AB200))+1,10)))))*$D$50)))))*INDEX($I$200:$I$207,MATCH(LEFT(AB200,FIND("·",AB200)-1),$K$200:$K$207,0)),0),0),0)+IFERROR(IF(COUNTIF($C$200:$C$207,LEFT(AB200,FIND("·",AB200)-1))&gt;0,IF(INDEX($D$200:$D$207,MATCH(LEFT(AB200,FIND("·",AB200)-1),$C$200:$C$207,0))=IFERROR(VALUE(MID(AB200,FIND("·",AB200)+1,1)),0),($D$20+(INDEX($E$200:$E$207,MATCH(LEFT(AB200,FIND("·",AB200)-1),$C$200:$C$207,0))=MID(AB200,FIND("|",AB200)+1,10))*$D$22+MAX(0,IF($D$50=1,$D$21*(1-(ABS(INDEX($Q$200:$Q$207,MATCH(LEFT(AB200,FIND("·",AB200)-1),$C$200:$C$207,0))-(VALUE(MID(AB200,FIND("|",AB200)+1,FIND("-",AB200,FIND("|",AB200))-FIND("|",AB200)-1))-VALUE(MID(AB200,FIND("-",AB200,FIND("|",AB200))+1,10)))))*$D$50),$D$21*(1-(IF(INDEX($D$200:$D$207,MATCH(LEFT(AB200,FIND("·",AB200)-1),$C$200:$C$207,0))=0,ABS(INDEX($A$200:$A$207,MATCH(LEFT(AB200,FIND("·",AB200)-1),$C$200:$C$207,0))-VALUE(MID(AB200,FIND("|",AB200)+1,FIND("-",AB200,FIND("|",AB200))-FIND("|",AB200)-1))),ABS(INDEX($Q$200:$Q$207,MATCH(LEFT(AB200,FIND("·",AB200)-1),$C$200:$C$207,0))-(VALUE(MID(AB200,FIND("|",AB200)+1,FIND("-",AB200,FIND("|",AB200))-FIND("|",AB200)-1))-VALUE(MID(AB200,FIND("-",AB200,FIND("|",AB200))+1,10)))))*$D$50)))))*INDEX($I$200:$I$207,MATCH(LEFT(AB200,FIND("·",AB200)-1),$C$200:$C$207,0)),0),0),0)</f>
        <v>0</v>
      </c>
      <c r="AD200" s="110"/>
      <c r="AE200" s="66" t="s">
        <v>2085</v>
      </c>
      <c r="AF200" s="85">
        <f t="shared" ref="AF200" ca="1" si="1758">IFERROR(IF(COUNTIF($K$200:$K$207,LEFT(AE200,FIND("·",AE200)-1))&gt;0,IF(INDEX($L$200:$L$207,MATCH(LEFT(AE200,FIND("·",AE200)-1),$K$200:$K$207,0))=IFERROR(VALUE(MID(AE200,FIND("·",AE200)+1,1)),0),($D$20+(INDEX($M$200:$M$207,MATCH(LEFT(AE200,FIND("·",AE200)-1),$K$200:$K$207,0))=MID(AE200,FIND("|",AE200)+1,10))*$D$22+MAX(0,IF($D$50=1,$D$21*(1-(ABS(INDEX($P$200:$P$207,MATCH(LEFT(AE200,FIND("·",AE200)-1),$K$200:$K$207,0))-(VALUE(MID(AE200,FIND("|",AE200)+1,FIND("-",AE200,FIND("|",AE200))-FIND("|",AE200)-1))-VALUE(MID(AE200,FIND("-",AE200,FIND("|",AE200))+1,10)))))*$D$50),$D$21*(1-(IF(INDEX($L$200:$L$207,MATCH(LEFT(AE200,FIND("·",AE200)-1),$K$200:$K$207,0))=0,ABS(INDEX($N$200:$N$207,MATCH(LEFT(AE200,FIND("·",AE200)-1),$K$200:$K$207,0))-VALUE(MID(AE200,FIND("|",AE200)+1,FIND("-",AE200,FIND("|",AE200))-FIND("|",AE200)-1))),ABS(INDEX($P$200:$P$207,MATCH(LEFT(AE200,FIND("·",AE200)-1),$K$200:$K$207,0))-(VALUE(MID(AE200,FIND("|",AE200)+1,FIND("-",AE200,FIND("|",AE200))-FIND("|",AE200)-1))-VALUE(MID(AE200,FIND("-",AE200,FIND("|",AE200))+1,10)))))*$D$50)))))*INDEX($I$200:$I$207,MATCH(LEFT(AE200,FIND("·",AE200)-1),$K$200:$K$207,0)),0),0),0)+IFERROR(IF(COUNTIF($C$200:$C$207,LEFT(AE200,FIND("·",AE200)-1))&gt;0,IF(INDEX($D$200:$D$207,MATCH(LEFT(AE200,FIND("·",AE200)-1),$C$200:$C$207,0))=IFERROR(VALUE(MID(AE200,FIND("·",AE200)+1,1)),0),($D$20+(INDEX($E$200:$E$207,MATCH(LEFT(AE200,FIND("·",AE200)-1),$C$200:$C$207,0))=MID(AE200,FIND("|",AE200)+1,10))*$D$22+MAX(0,IF($D$50=1,$D$21*(1-(ABS(INDEX($Q$200:$Q$207,MATCH(LEFT(AE200,FIND("·",AE200)-1),$C$200:$C$207,0))-(VALUE(MID(AE200,FIND("|",AE200)+1,FIND("-",AE200,FIND("|",AE200))-FIND("|",AE200)-1))-VALUE(MID(AE200,FIND("-",AE200,FIND("|",AE200))+1,10)))))*$D$50),$D$21*(1-(IF(INDEX($D$200:$D$207,MATCH(LEFT(AE200,FIND("·",AE200)-1),$C$200:$C$207,0))=0,ABS(INDEX($A$200:$A$207,MATCH(LEFT(AE200,FIND("·",AE200)-1),$C$200:$C$207,0))-VALUE(MID(AE200,FIND("|",AE200)+1,FIND("-",AE200,FIND("|",AE200))-FIND("|",AE200)-1))),ABS(INDEX($Q$200:$Q$207,MATCH(LEFT(AE200,FIND("·",AE200)-1),$C$200:$C$207,0))-(VALUE(MID(AE200,FIND("|",AE200)+1,FIND("-",AE200,FIND("|",AE200))-FIND("|",AE200)-1))-VALUE(MID(AE200,FIND("-",AE200,FIND("|",AE200))+1,10)))))*$D$50)))))*INDEX($I$200:$I$207,MATCH(LEFT(AE200,FIND("·",AE200)-1),$C$200:$C$207,0)),0),0),0)</f>
        <v>0</v>
      </c>
      <c r="AG200" s="110"/>
      <c r="AH200" s="66" t="s">
        <v>2148</v>
      </c>
      <c r="AI200" s="85">
        <f t="shared" ref="AI200" ca="1" si="1759">IFERROR(IF(COUNTIF($K$200:$K$207,LEFT(AH200,FIND("·",AH200)-1))&gt;0,IF(INDEX($L$200:$L$207,MATCH(LEFT(AH200,FIND("·",AH200)-1),$K$200:$K$207,0))=IFERROR(VALUE(MID(AH200,FIND("·",AH200)+1,1)),0),($D$20+(INDEX($M$200:$M$207,MATCH(LEFT(AH200,FIND("·",AH200)-1),$K$200:$K$207,0))=MID(AH200,FIND("|",AH200)+1,10))*$D$22+MAX(0,IF($D$50=1,$D$21*(1-(ABS(INDEX($P$200:$P$207,MATCH(LEFT(AH200,FIND("·",AH200)-1),$K$200:$K$207,0))-(VALUE(MID(AH200,FIND("|",AH200)+1,FIND("-",AH200,FIND("|",AH200))-FIND("|",AH200)-1))-VALUE(MID(AH200,FIND("-",AH200,FIND("|",AH200))+1,10)))))*$D$50),$D$21*(1-(IF(INDEX($L$200:$L$207,MATCH(LEFT(AH200,FIND("·",AH200)-1),$K$200:$K$207,0))=0,ABS(INDEX($N$200:$N$207,MATCH(LEFT(AH200,FIND("·",AH200)-1),$K$200:$K$207,0))-VALUE(MID(AH200,FIND("|",AH200)+1,FIND("-",AH200,FIND("|",AH200))-FIND("|",AH200)-1))),ABS(INDEX($P$200:$P$207,MATCH(LEFT(AH200,FIND("·",AH200)-1),$K$200:$K$207,0))-(VALUE(MID(AH200,FIND("|",AH200)+1,FIND("-",AH200,FIND("|",AH200))-FIND("|",AH200)-1))-VALUE(MID(AH200,FIND("-",AH200,FIND("|",AH200))+1,10)))))*$D$50)))))*INDEX($I$200:$I$207,MATCH(LEFT(AH200,FIND("·",AH200)-1),$K$200:$K$207,0)),0),0),0)+IFERROR(IF(COUNTIF($C$200:$C$207,LEFT(AH200,FIND("·",AH200)-1))&gt;0,IF(INDEX($D$200:$D$207,MATCH(LEFT(AH200,FIND("·",AH200)-1),$C$200:$C$207,0))=IFERROR(VALUE(MID(AH200,FIND("·",AH200)+1,1)),0),($D$20+(INDEX($E$200:$E$207,MATCH(LEFT(AH200,FIND("·",AH200)-1),$C$200:$C$207,0))=MID(AH200,FIND("|",AH200)+1,10))*$D$22+MAX(0,IF($D$50=1,$D$21*(1-(ABS(INDEX($Q$200:$Q$207,MATCH(LEFT(AH200,FIND("·",AH200)-1),$C$200:$C$207,0))-(VALUE(MID(AH200,FIND("|",AH200)+1,FIND("-",AH200,FIND("|",AH200))-FIND("|",AH200)-1))-VALUE(MID(AH200,FIND("-",AH200,FIND("|",AH200))+1,10)))))*$D$50),$D$21*(1-(IF(INDEX($D$200:$D$207,MATCH(LEFT(AH200,FIND("·",AH200)-1),$C$200:$C$207,0))=0,ABS(INDEX($A$200:$A$207,MATCH(LEFT(AH200,FIND("·",AH200)-1),$C$200:$C$207,0))-VALUE(MID(AH200,FIND("|",AH200)+1,FIND("-",AH200,FIND("|",AH200))-FIND("|",AH200)-1))),ABS(INDEX($Q$200:$Q$207,MATCH(LEFT(AH200,FIND("·",AH200)-1),$C$200:$C$207,0))-(VALUE(MID(AH200,FIND("|",AH200)+1,FIND("-",AH200,FIND("|",AH200))-FIND("|",AH200)-1))-VALUE(MID(AH200,FIND("-",AH200,FIND("|",AH200))+1,10)))))*$D$50)))))*INDEX($I$200:$I$207,MATCH(LEFT(AH200,FIND("·",AH200)-1),$C$200:$C$207,0)),0),0),0)</f>
        <v>0</v>
      </c>
      <c r="AJ200" s="110"/>
      <c r="AK200" s="66" t="s">
        <v>2176</v>
      </c>
      <c r="AL200" s="85">
        <f t="shared" ref="AL200" ca="1" si="1760">IFERROR(IF(COUNTIF($K$200:$K$207,LEFT(AK200,FIND("·",AK200)-1))&gt;0,IF(INDEX($L$200:$L$207,MATCH(LEFT(AK200,FIND("·",AK200)-1),$K$200:$K$207,0))=IFERROR(VALUE(MID(AK200,FIND("·",AK200)+1,1)),0),($D$20+(INDEX($M$200:$M$207,MATCH(LEFT(AK200,FIND("·",AK200)-1),$K$200:$K$207,0))=MID(AK200,FIND("|",AK200)+1,10))*$D$22+MAX(0,IF($D$50=1,$D$21*(1-(ABS(INDEX($P$200:$P$207,MATCH(LEFT(AK200,FIND("·",AK200)-1),$K$200:$K$207,0))-(VALUE(MID(AK200,FIND("|",AK200)+1,FIND("-",AK200,FIND("|",AK200))-FIND("|",AK200)-1))-VALUE(MID(AK200,FIND("-",AK200,FIND("|",AK200))+1,10)))))*$D$50),$D$21*(1-(IF(INDEX($L$200:$L$207,MATCH(LEFT(AK200,FIND("·",AK200)-1),$K$200:$K$207,0))=0,ABS(INDEX($N$200:$N$207,MATCH(LEFT(AK200,FIND("·",AK200)-1),$K$200:$K$207,0))-VALUE(MID(AK200,FIND("|",AK200)+1,FIND("-",AK200,FIND("|",AK200))-FIND("|",AK200)-1))),ABS(INDEX($P$200:$P$207,MATCH(LEFT(AK200,FIND("·",AK200)-1),$K$200:$K$207,0))-(VALUE(MID(AK200,FIND("|",AK200)+1,FIND("-",AK200,FIND("|",AK200))-FIND("|",AK200)-1))-VALUE(MID(AK200,FIND("-",AK200,FIND("|",AK200))+1,10)))))*$D$50)))))*INDEX($I$200:$I$207,MATCH(LEFT(AK200,FIND("·",AK200)-1),$K$200:$K$207,0)),0),0),0)+IFERROR(IF(COUNTIF($C$200:$C$207,LEFT(AK200,FIND("·",AK200)-1))&gt;0,IF(INDEX($D$200:$D$207,MATCH(LEFT(AK200,FIND("·",AK200)-1),$C$200:$C$207,0))=IFERROR(VALUE(MID(AK200,FIND("·",AK200)+1,1)),0),($D$20+(INDEX($E$200:$E$207,MATCH(LEFT(AK200,FIND("·",AK200)-1),$C$200:$C$207,0))=MID(AK200,FIND("|",AK200)+1,10))*$D$22+MAX(0,IF($D$50=1,$D$21*(1-(ABS(INDEX($Q$200:$Q$207,MATCH(LEFT(AK200,FIND("·",AK200)-1),$C$200:$C$207,0))-(VALUE(MID(AK200,FIND("|",AK200)+1,FIND("-",AK200,FIND("|",AK200))-FIND("|",AK200)-1))-VALUE(MID(AK200,FIND("-",AK200,FIND("|",AK200))+1,10)))))*$D$50),$D$21*(1-(IF(INDEX($D$200:$D$207,MATCH(LEFT(AK200,FIND("·",AK200)-1),$C$200:$C$207,0))=0,ABS(INDEX($A$200:$A$207,MATCH(LEFT(AK200,FIND("·",AK200)-1),$C$200:$C$207,0))-VALUE(MID(AK200,FIND("|",AK200)+1,FIND("-",AK200,FIND("|",AK200))-FIND("|",AK200)-1))),ABS(INDEX($Q$200:$Q$207,MATCH(LEFT(AK200,FIND("·",AK200)-1),$C$200:$C$207,0))-(VALUE(MID(AK200,FIND("|",AK200)+1,FIND("-",AK200,FIND("|",AK200))-FIND("|",AK200)-1))-VALUE(MID(AK200,FIND("-",AK200,FIND("|",AK200))+1,10)))))*$D$50)))))*INDEX($I$200:$I$207,MATCH(LEFT(AK200,FIND("·",AK200)-1),$C$200:$C$207,0)),0),0),0)</f>
        <v>0</v>
      </c>
      <c r="AM200" s="110"/>
      <c r="AN200" s="66" t="s">
        <v>2204</v>
      </c>
      <c r="AO200" s="85">
        <f t="shared" ref="AO200" ca="1" si="1761">IFERROR(IF(COUNTIF($K$200:$K$207,LEFT(AN200,FIND("·",AN200)-1))&gt;0,IF(INDEX($L$200:$L$207,MATCH(LEFT(AN200,FIND("·",AN200)-1),$K$200:$K$207,0))=IFERROR(VALUE(MID(AN200,FIND("·",AN200)+1,1)),0),($D$20+(INDEX($M$200:$M$207,MATCH(LEFT(AN200,FIND("·",AN200)-1),$K$200:$K$207,0))=MID(AN200,FIND("|",AN200)+1,10))*$D$22+MAX(0,IF($D$50=1,$D$21*(1-(ABS(INDEX($P$200:$P$207,MATCH(LEFT(AN200,FIND("·",AN200)-1),$K$200:$K$207,0))-(VALUE(MID(AN200,FIND("|",AN200)+1,FIND("-",AN200,FIND("|",AN200))-FIND("|",AN200)-1))-VALUE(MID(AN200,FIND("-",AN200,FIND("|",AN200))+1,10)))))*$D$50),$D$21*(1-(IF(INDEX($L$200:$L$207,MATCH(LEFT(AN200,FIND("·",AN200)-1),$K$200:$K$207,0))=0,ABS(INDEX($N$200:$N$207,MATCH(LEFT(AN200,FIND("·",AN200)-1),$K$200:$K$207,0))-VALUE(MID(AN200,FIND("|",AN200)+1,FIND("-",AN200,FIND("|",AN200))-FIND("|",AN200)-1))),ABS(INDEX($P$200:$P$207,MATCH(LEFT(AN200,FIND("·",AN200)-1),$K$200:$K$207,0))-(VALUE(MID(AN200,FIND("|",AN200)+1,FIND("-",AN200,FIND("|",AN200))-FIND("|",AN200)-1))-VALUE(MID(AN200,FIND("-",AN200,FIND("|",AN200))+1,10)))))*$D$50)))))*INDEX($I$200:$I$207,MATCH(LEFT(AN200,FIND("·",AN200)-1),$K$200:$K$207,0)),0),0),0)+IFERROR(IF(COUNTIF($C$200:$C$207,LEFT(AN200,FIND("·",AN200)-1))&gt;0,IF(INDEX($D$200:$D$207,MATCH(LEFT(AN200,FIND("·",AN200)-1),$C$200:$C$207,0))=IFERROR(VALUE(MID(AN200,FIND("·",AN200)+1,1)),0),($D$20+(INDEX($E$200:$E$207,MATCH(LEFT(AN200,FIND("·",AN200)-1),$C$200:$C$207,0))=MID(AN200,FIND("|",AN200)+1,10))*$D$22+MAX(0,IF($D$50=1,$D$21*(1-(ABS(INDEX($Q$200:$Q$207,MATCH(LEFT(AN200,FIND("·",AN200)-1),$C$200:$C$207,0))-(VALUE(MID(AN200,FIND("|",AN200)+1,FIND("-",AN200,FIND("|",AN200))-FIND("|",AN200)-1))-VALUE(MID(AN200,FIND("-",AN200,FIND("|",AN200))+1,10)))))*$D$50),$D$21*(1-(IF(INDEX($D$200:$D$207,MATCH(LEFT(AN200,FIND("·",AN200)-1),$C$200:$C$207,0))=0,ABS(INDEX($A$200:$A$207,MATCH(LEFT(AN200,FIND("·",AN200)-1),$C$200:$C$207,0))-VALUE(MID(AN200,FIND("|",AN200)+1,FIND("-",AN200,FIND("|",AN200))-FIND("|",AN200)-1))),ABS(INDEX($Q$200:$Q$207,MATCH(LEFT(AN200,FIND("·",AN200)-1),$C$200:$C$207,0))-(VALUE(MID(AN200,FIND("|",AN200)+1,FIND("-",AN200,FIND("|",AN200))-FIND("|",AN200)-1))-VALUE(MID(AN200,FIND("-",AN200,FIND("|",AN200))+1,10)))))*$D$50)))))*INDEX($I$200:$I$207,MATCH(LEFT(AN200,FIND("·",AN200)-1),$C$200:$C$207,0)),0),0),0)</f>
        <v>0</v>
      </c>
      <c r="AP200" s="110"/>
      <c r="AQ200" s="66" t="s">
        <v>2236</v>
      </c>
      <c r="AR200" s="85">
        <f t="shared" ref="AR200" ca="1" si="1762">IFERROR(IF(COUNTIF($K$200:$K$207,LEFT(AQ200,FIND("·",AQ200)-1))&gt;0,IF(INDEX($L$200:$L$207,MATCH(LEFT(AQ200,FIND("·",AQ200)-1),$K$200:$K$207,0))=IFERROR(VALUE(MID(AQ200,FIND("·",AQ200)+1,1)),0),($D$20+(INDEX($M$200:$M$207,MATCH(LEFT(AQ200,FIND("·",AQ200)-1),$K$200:$K$207,0))=MID(AQ200,FIND("|",AQ200)+1,10))*$D$22+MAX(0,IF($D$50=1,$D$21*(1-(ABS(INDEX($P$200:$P$207,MATCH(LEFT(AQ200,FIND("·",AQ200)-1),$K$200:$K$207,0))-(VALUE(MID(AQ200,FIND("|",AQ200)+1,FIND("-",AQ200,FIND("|",AQ200))-FIND("|",AQ200)-1))-VALUE(MID(AQ200,FIND("-",AQ200,FIND("|",AQ200))+1,10)))))*$D$50),$D$21*(1-(IF(INDEX($L$200:$L$207,MATCH(LEFT(AQ200,FIND("·",AQ200)-1),$K$200:$K$207,0))=0,ABS(INDEX($N$200:$N$207,MATCH(LEFT(AQ200,FIND("·",AQ200)-1),$K$200:$K$207,0))-VALUE(MID(AQ200,FIND("|",AQ200)+1,FIND("-",AQ200,FIND("|",AQ200))-FIND("|",AQ200)-1))),ABS(INDEX($P$200:$P$207,MATCH(LEFT(AQ200,FIND("·",AQ200)-1),$K$200:$K$207,0))-(VALUE(MID(AQ200,FIND("|",AQ200)+1,FIND("-",AQ200,FIND("|",AQ200))-FIND("|",AQ200)-1))-VALUE(MID(AQ200,FIND("-",AQ200,FIND("|",AQ200))+1,10)))))*$D$50)))))*INDEX($I$200:$I$207,MATCH(LEFT(AQ200,FIND("·",AQ200)-1),$K$200:$K$207,0)),0),0),0)+IFERROR(IF(COUNTIF($C$200:$C$207,LEFT(AQ200,FIND("·",AQ200)-1))&gt;0,IF(INDEX($D$200:$D$207,MATCH(LEFT(AQ200,FIND("·",AQ200)-1),$C$200:$C$207,0))=IFERROR(VALUE(MID(AQ200,FIND("·",AQ200)+1,1)),0),($D$20+(INDEX($E$200:$E$207,MATCH(LEFT(AQ200,FIND("·",AQ200)-1),$C$200:$C$207,0))=MID(AQ200,FIND("|",AQ200)+1,10))*$D$22+MAX(0,IF($D$50=1,$D$21*(1-(ABS(INDEX($Q$200:$Q$207,MATCH(LEFT(AQ200,FIND("·",AQ200)-1),$C$200:$C$207,0))-(VALUE(MID(AQ200,FIND("|",AQ200)+1,FIND("-",AQ200,FIND("|",AQ200))-FIND("|",AQ200)-1))-VALUE(MID(AQ200,FIND("-",AQ200,FIND("|",AQ200))+1,10)))))*$D$50),$D$21*(1-(IF(INDEX($D$200:$D$207,MATCH(LEFT(AQ200,FIND("·",AQ200)-1),$C$200:$C$207,0))=0,ABS(INDEX($A$200:$A$207,MATCH(LEFT(AQ200,FIND("·",AQ200)-1),$C$200:$C$207,0))-VALUE(MID(AQ200,FIND("|",AQ200)+1,FIND("-",AQ200,FIND("|",AQ200))-FIND("|",AQ200)-1))),ABS(INDEX($Q$200:$Q$207,MATCH(LEFT(AQ200,FIND("·",AQ200)-1),$C$200:$C$207,0))-(VALUE(MID(AQ200,FIND("|",AQ200)+1,FIND("-",AQ200,FIND("|",AQ200))-FIND("|",AQ200)-1))-VALUE(MID(AQ200,FIND("-",AQ200,FIND("|",AQ200))+1,10)))))*$D$50)))))*INDEX($I$200:$I$207,MATCH(LEFT(AQ200,FIND("·",AQ200)-1),$C$200:$C$207,0)),0),0),0)</f>
        <v>0</v>
      </c>
      <c r="AS200" s="110"/>
      <c r="AT200" s="66" t="s">
        <v>2265</v>
      </c>
      <c r="AU200" s="85">
        <f t="shared" ref="AU200" ca="1" si="1763">IFERROR(IF(COUNTIF($K$200:$K$207,LEFT(AT200,FIND("·",AT200)-1))&gt;0,IF(INDEX($L$200:$L$207,MATCH(LEFT(AT200,FIND("·",AT200)-1),$K$200:$K$207,0))=IFERROR(VALUE(MID(AT200,FIND("·",AT200)+1,1)),0),($D$20+(INDEX($M$200:$M$207,MATCH(LEFT(AT200,FIND("·",AT200)-1),$K$200:$K$207,0))=MID(AT200,FIND("|",AT200)+1,10))*$D$22+MAX(0,IF($D$50=1,$D$21*(1-(ABS(INDEX($P$200:$P$207,MATCH(LEFT(AT200,FIND("·",AT200)-1),$K$200:$K$207,0))-(VALUE(MID(AT200,FIND("|",AT200)+1,FIND("-",AT200,FIND("|",AT200))-FIND("|",AT200)-1))-VALUE(MID(AT200,FIND("-",AT200,FIND("|",AT200))+1,10)))))*$D$50),$D$21*(1-(IF(INDEX($L$200:$L$207,MATCH(LEFT(AT200,FIND("·",AT200)-1),$K$200:$K$207,0))=0,ABS(INDEX($N$200:$N$207,MATCH(LEFT(AT200,FIND("·",AT200)-1),$K$200:$K$207,0))-VALUE(MID(AT200,FIND("|",AT200)+1,FIND("-",AT200,FIND("|",AT200))-FIND("|",AT200)-1))),ABS(INDEX($P$200:$P$207,MATCH(LEFT(AT200,FIND("·",AT200)-1),$K$200:$K$207,0))-(VALUE(MID(AT200,FIND("|",AT200)+1,FIND("-",AT200,FIND("|",AT200))-FIND("|",AT200)-1))-VALUE(MID(AT200,FIND("-",AT200,FIND("|",AT200))+1,10)))))*$D$50)))))*INDEX($I$200:$I$207,MATCH(LEFT(AT200,FIND("·",AT200)-1),$K$200:$K$207,0)),0),0),0)+IFERROR(IF(COUNTIF($C$200:$C$207,LEFT(AT200,FIND("·",AT200)-1))&gt;0,IF(INDEX($D$200:$D$207,MATCH(LEFT(AT200,FIND("·",AT200)-1),$C$200:$C$207,0))=IFERROR(VALUE(MID(AT200,FIND("·",AT200)+1,1)),0),($D$20+(INDEX($E$200:$E$207,MATCH(LEFT(AT200,FIND("·",AT200)-1),$C$200:$C$207,0))=MID(AT200,FIND("|",AT200)+1,10))*$D$22+MAX(0,IF($D$50=1,$D$21*(1-(ABS(INDEX($Q$200:$Q$207,MATCH(LEFT(AT200,FIND("·",AT200)-1),$C$200:$C$207,0))-(VALUE(MID(AT200,FIND("|",AT200)+1,FIND("-",AT200,FIND("|",AT200))-FIND("|",AT200)-1))-VALUE(MID(AT200,FIND("-",AT200,FIND("|",AT200))+1,10)))))*$D$50),$D$21*(1-(IF(INDEX($D$200:$D$207,MATCH(LEFT(AT200,FIND("·",AT200)-1),$C$200:$C$207,0))=0,ABS(INDEX($A$200:$A$207,MATCH(LEFT(AT200,FIND("·",AT200)-1),$C$200:$C$207,0))-VALUE(MID(AT200,FIND("|",AT200)+1,FIND("-",AT200,FIND("|",AT200))-FIND("|",AT200)-1))),ABS(INDEX($Q$200:$Q$207,MATCH(LEFT(AT200,FIND("·",AT200)-1),$C$200:$C$207,0))-(VALUE(MID(AT200,FIND("|",AT200)+1,FIND("-",AT200,FIND("|",AT200))-FIND("|",AT200)-1))-VALUE(MID(AT200,FIND("-",AT200,FIND("|",AT200))+1,10)))))*$D$50)))))*INDEX($I$200:$I$207,MATCH(LEFT(AT200,FIND("·",AT200)-1),$C$200:$C$207,0)),0),0),0)</f>
        <v>0</v>
      </c>
      <c r="AV200" s="110"/>
      <c r="AW200" s="66" t="s">
        <v>2291</v>
      </c>
      <c r="AX200" s="85">
        <f t="shared" ref="AX200" ca="1" si="1764">IFERROR(IF(COUNTIF($K$200:$K$207,LEFT(AW200,FIND("·",AW200)-1))&gt;0,IF(INDEX($L$200:$L$207,MATCH(LEFT(AW200,FIND("·",AW200)-1),$K$200:$K$207,0))=IFERROR(VALUE(MID(AW200,FIND("·",AW200)+1,1)),0),($D$20+(INDEX($M$200:$M$207,MATCH(LEFT(AW200,FIND("·",AW200)-1),$K$200:$K$207,0))=MID(AW200,FIND("|",AW200)+1,10))*$D$22+MAX(0,IF($D$50=1,$D$21*(1-(ABS(INDEX($P$200:$P$207,MATCH(LEFT(AW200,FIND("·",AW200)-1),$K$200:$K$207,0))-(VALUE(MID(AW200,FIND("|",AW200)+1,FIND("-",AW200,FIND("|",AW200))-FIND("|",AW200)-1))-VALUE(MID(AW200,FIND("-",AW200,FIND("|",AW200))+1,10)))))*$D$50),$D$21*(1-(IF(INDEX($L$200:$L$207,MATCH(LEFT(AW200,FIND("·",AW200)-1),$K$200:$K$207,0))=0,ABS(INDEX($N$200:$N$207,MATCH(LEFT(AW200,FIND("·",AW200)-1),$K$200:$K$207,0))-VALUE(MID(AW200,FIND("|",AW200)+1,FIND("-",AW200,FIND("|",AW200))-FIND("|",AW200)-1))),ABS(INDEX($P$200:$P$207,MATCH(LEFT(AW200,FIND("·",AW200)-1),$K$200:$K$207,0))-(VALUE(MID(AW200,FIND("|",AW200)+1,FIND("-",AW200,FIND("|",AW200))-FIND("|",AW200)-1))-VALUE(MID(AW200,FIND("-",AW200,FIND("|",AW200))+1,10)))))*$D$50)))))*INDEX($I$200:$I$207,MATCH(LEFT(AW200,FIND("·",AW200)-1),$K$200:$K$207,0)),0),0),0)+IFERROR(IF(COUNTIF($C$200:$C$207,LEFT(AW200,FIND("·",AW200)-1))&gt;0,IF(INDEX($D$200:$D$207,MATCH(LEFT(AW200,FIND("·",AW200)-1),$C$200:$C$207,0))=IFERROR(VALUE(MID(AW200,FIND("·",AW200)+1,1)),0),($D$20+(INDEX($E$200:$E$207,MATCH(LEFT(AW200,FIND("·",AW200)-1),$C$200:$C$207,0))=MID(AW200,FIND("|",AW200)+1,10))*$D$22+MAX(0,IF($D$50=1,$D$21*(1-(ABS(INDEX($Q$200:$Q$207,MATCH(LEFT(AW200,FIND("·",AW200)-1),$C$200:$C$207,0))-(VALUE(MID(AW200,FIND("|",AW200)+1,FIND("-",AW200,FIND("|",AW200))-FIND("|",AW200)-1))-VALUE(MID(AW200,FIND("-",AW200,FIND("|",AW200))+1,10)))))*$D$50),$D$21*(1-(IF(INDEX($D$200:$D$207,MATCH(LEFT(AW200,FIND("·",AW200)-1),$C$200:$C$207,0))=0,ABS(INDEX($A$200:$A$207,MATCH(LEFT(AW200,FIND("·",AW200)-1),$C$200:$C$207,0))-VALUE(MID(AW200,FIND("|",AW200)+1,FIND("-",AW200,FIND("|",AW200))-FIND("|",AW200)-1))),ABS(INDEX($Q$200:$Q$207,MATCH(LEFT(AW200,FIND("·",AW200)-1),$C$200:$C$207,0))-(VALUE(MID(AW200,FIND("|",AW200)+1,FIND("-",AW200,FIND("|",AW200))-FIND("|",AW200)-1))-VALUE(MID(AW200,FIND("-",AW200,FIND("|",AW200))+1,10)))))*$D$50)))))*INDEX($I$200:$I$207,MATCH(LEFT(AW200,FIND("·",AW200)-1),$C$200:$C$207,0)),0),0),0)</f>
        <v>0</v>
      </c>
      <c r="AY200" s="110"/>
      <c r="AZ200" s="66" t="s">
        <v>2314</v>
      </c>
      <c r="BA200" s="85">
        <f t="shared" ref="BA200" ca="1" si="1765">IFERROR(IF(COUNTIF($K$200:$K$207,LEFT(AZ200,FIND("·",AZ200)-1))&gt;0,IF(INDEX($L$200:$L$207,MATCH(LEFT(AZ200,FIND("·",AZ200)-1),$K$200:$K$207,0))=IFERROR(VALUE(MID(AZ200,FIND("·",AZ200)+1,1)),0),($D$20+(INDEX($M$200:$M$207,MATCH(LEFT(AZ200,FIND("·",AZ200)-1),$K$200:$K$207,0))=MID(AZ200,FIND("|",AZ200)+1,10))*$D$22+MAX(0,IF($D$50=1,$D$21*(1-(ABS(INDEX($P$200:$P$207,MATCH(LEFT(AZ200,FIND("·",AZ200)-1),$K$200:$K$207,0))-(VALUE(MID(AZ200,FIND("|",AZ200)+1,FIND("-",AZ200,FIND("|",AZ200))-FIND("|",AZ200)-1))-VALUE(MID(AZ200,FIND("-",AZ200,FIND("|",AZ200))+1,10)))))*$D$50),$D$21*(1-(IF(INDEX($L$200:$L$207,MATCH(LEFT(AZ200,FIND("·",AZ200)-1),$K$200:$K$207,0))=0,ABS(INDEX($N$200:$N$207,MATCH(LEFT(AZ200,FIND("·",AZ200)-1),$K$200:$K$207,0))-VALUE(MID(AZ200,FIND("|",AZ200)+1,FIND("-",AZ200,FIND("|",AZ200))-FIND("|",AZ200)-1))),ABS(INDEX($P$200:$P$207,MATCH(LEFT(AZ200,FIND("·",AZ200)-1),$K$200:$K$207,0))-(VALUE(MID(AZ200,FIND("|",AZ200)+1,FIND("-",AZ200,FIND("|",AZ200))-FIND("|",AZ200)-1))-VALUE(MID(AZ200,FIND("-",AZ200,FIND("|",AZ200))+1,10)))))*$D$50)))))*INDEX($I$200:$I$207,MATCH(LEFT(AZ200,FIND("·",AZ200)-1),$K$200:$K$207,0)),0),0),0)+IFERROR(IF(COUNTIF($C$200:$C$207,LEFT(AZ200,FIND("·",AZ200)-1))&gt;0,IF(INDEX($D$200:$D$207,MATCH(LEFT(AZ200,FIND("·",AZ200)-1),$C$200:$C$207,0))=IFERROR(VALUE(MID(AZ200,FIND("·",AZ200)+1,1)),0),($D$20+(INDEX($E$200:$E$207,MATCH(LEFT(AZ200,FIND("·",AZ200)-1),$C$200:$C$207,0))=MID(AZ200,FIND("|",AZ200)+1,10))*$D$22+MAX(0,IF($D$50=1,$D$21*(1-(ABS(INDEX($Q$200:$Q$207,MATCH(LEFT(AZ200,FIND("·",AZ200)-1),$C$200:$C$207,0))-(VALUE(MID(AZ200,FIND("|",AZ200)+1,FIND("-",AZ200,FIND("|",AZ200))-FIND("|",AZ200)-1))-VALUE(MID(AZ200,FIND("-",AZ200,FIND("|",AZ200))+1,10)))))*$D$50),$D$21*(1-(IF(INDEX($D$200:$D$207,MATCH(LEFT(AZ200,FIND("·",AZ200)-1),$C$200:$C$207,0))=0,ABS(INDEX($A$200:$A$207,MATCH(LEFT(AZ200,FIND("·",AZ200)-1),$C$200:$C$207,0))-VALUE(MID(AZ200,FIND("|",AZ200)+1,FIND("-",AZ200,FIND("|",AZ200))-FIND("|",AZ200)-1))),ABS(INDEX($Q$200:$Q$207,MATCH(LEFT(AZ200,FIND("·",AZ200)-1),$C$200:$C$207,0))-(VALUE(MID(AZ200,FIND("|",AZ200)+1,FIND("-",AZ200,FIND("|",AZ200))-FIND("|",AZ200)-1))-VALUE(MID(AZ200,FIND("-",AZ200,FIND("|",AZ200))+1,10)))))*$D$50)))))*INDEX($I$200:$I$207,MATCH(LEFT(AZ200,FIND("·",AZ200)-1),$C$200:$C$207,0)),0),0),0)</f>
        <v>0</v>
      </c>
      <c r="BB200" s="110"/>
      <c r="BC200" s="66" t="s">
        <v>2334</v>
      </c>
      <c r="BD200" s="85">
        <f t="shared" ref="BD200" ca="1" si="1766">IFERROR(IF(COUNTIF($K$200:$K$207,LEFT(BC200,FIND("·",BC200)-1))&gt;0,IF(INDEX($L$200:$L$207,MATCH(LEFT(BC200,FIND("·",BC200)-1),$K$200:$K$207,0))=IFERROR(VALUE(MID(BC200,FIND("·",BC200)+1,1)),0),($D$20+(INDEX($M$200:$M$207,MATCH(LEFT(BC200,FIND("·",BC200)-1),$K$200:$K$207,0))=MID(BC200,FIND("|",BC200)+1,10))*$D$22+MAX(0,IF($D$50=1,$D$21*(1-(ABS(INDEX($P$200:$P$207,MATCH(LEFT(BC200,FIND("·",BC200)-1),$K$200:$K$207,0))-(VALUE(MID(BC200,FIND("|",BC200)+1,FIND("-",BC200,FIND("|",BC200))-FIND("|",BC200)-1))-VALUE(MID(BC200,FIND("-",BC200,FIND("|",BC200))+1,10)))))*$D$50),$D$21*(1-(IF(INDEX($L$200:$L$207,MATCH(LEFT(BC200,FIND("·",BC200)-1),$K$200:$K$207,0))=0,ABS(INDEX($N$200:$N$207,MATCH(LEFT(BC200,FIND("·",BC200)-1),$K$200:$K$207,0))-VALUE(MID(BC200,FIND("|",BC200)+1,FIND("-",BC200,FIND("|",BC200))-FIND("|",BC200)-1))),ABS(INDEX($P$200:$P$207,MATCH(LEFT(BC200,FIND("·",BC200)-1),$K$200:$K$207,0))-(VALUE(MID(BC200,FIND("|",BC200)+1,FIND("-",BC200,FIND("|",BC200))-FIND("|",BC200)-1))-VALUE(MID(BC200,FIND("-",BC200,FIND("|",BC200))+1,10)))))*$D$50)))))*INDEX($I$200:$I$207,MATCH(LEFT(BC200,FIND("·",BC200)-1),$K$200:$K$207,0)),0),0),0)+IFERROR(IF(COUNTIF($C$200:$C$207,LEFT(BC200,FIND("·",BC200)-1))&gt;0,IF(INDEX($D$200:$D$207,MATCH(LEFT(BC200,FIND("·",BC200)-1),$C$200:$C$207,0))=IFERROR(VALUE(MID(BC200,FIND("·",BC200)+1,1)),0),($D$20+(INDEX($E$200:$E$207,MATCH(LEFT(BC200,FIND("·",BC200)-1),$C$200:$C$207,0))=MID(BC200,FIND("|",BC200)+1,10))*$D$22+MAX(0,IF($D$50=1,$D$21*(1-(ABS(INDEX($Q$200:$Q$207,MATCH(LEFT(BC200,FIND("·",BC200)-1),$C$200:$C$207,0))-(VALUE(MID(BC200,FIND("|",BC200)+1,FIND("-",BC200,FIND("|",BC200))-FIND("|",BC200)-1))-VALUE(MID(BC200,FIND("-",BC200,FIND("|",BC200))+1,10)))))*$D$50),$D$21*(1-(IF(INDEX($D$200:$D$207,MATCH(LEFT(BC200,FIND("·",BC200)-1),$C$200:$C$207,0))=0,ABS(INDEX($A$200:$A$207,MATCH(LEFT(BC200,FIND("·",BC200)-1),$C$200:$C$207,0))-VALUE(MID(BC200,FIND("|",BC200)+1,FIND("-",BC200,FIND("|",BC200))-FIND("|",BC200)-1))),ABS(INDEX($Q$200:$Q$207,MATCH(LEFT(BC200,FIND("·",BC200)-1),$C$200:$C$207,0))-(VALUE(MID(BC200,FIND("|",BC200)+1,FIND("-",BC200,FIND("|",BC200))-FIND("|",BC200)-1))-VALUE(MID(BC200,FIND("-",BC200,FIND("|",BC200))+1,10)))))*$D$50)))))*INDEX($I$200:$I$207,MATCH(LEFT(BC200,FIND("·",BC200)-1),$C$200:$C$207,0)),0),0),0)</f>
        <v>0</v>
      </c>
      <c r="BE200" s="110"/>
      <c r="BF200" s="66" t="s">
        <v>2357</v>
      </c>
      <c r="BG200" s="85">
        <f t="shared" ref="BG200" ca="1" si="1767">IFERROR(IF(COUNTIF($K$200:$K$207,LEFT(BF200,FIND("·",BF200)-1))&gt;0,IF(INDEX($L$200:$L$207,MATCH(LEFT(BF200,FIND("·",BF200)-1),$K$200:$K$207,0))=IFERROR(VALUE(MID(BF200,FIND("·",BF200)+1,1)),0),($D$20+(INDEX($M$200:$M$207,MATCH(LEFT(BF200,FIND("·",BF200)-1),$K$200:$K$207,0))=MID(BF200,FIND("|",BF200)+1,10))*$D$22+MAX(0,IF($D$50=1,$D$21*(1-(ABS(INDEX($P$200:$P$207,MATCH(LEFT(BF200,FIND("·",BF200)-1),$K$200:$K$207,0))-(VALUE(MID(BF200,FIND("|",BF200)+1,FIND("-",BF200,FIND("|",BF200))-FIND("|",BF200)-1))-VALUE(MID(BF200,FIND("-",BF200,FIND("|",BF200))+1,10)))))*$D$50),$D$21*(1-(IF(INDEX($L$200:$L$207,MATCH(LEFT(BF200,FIND("·",BF200)-1),$K$200:$K$207,0))=0,ABS(INDEX($N$200:$N$207,MATCH(LEFT(BF200,FIND("·",BF200)-1),$K$200:$K$207,0))-VALUE(MID(BF200,FIND("|",BF200)+1,FIND("-",BF200,FIND("|",BF200))-FIND("|",BF200)-1))),ABS(INDEX($P$200:$P$207,MATCH(LEFT(BF200,FIND("·",BF200)-1),$K$200:$K$207,0))-(VALUE(MID(BF200,FIND("|",BF200)+1,FIND("-",BF200,FIND("|",BF200))-FIND("|",BF200)-1))-VALUE(MID(BF200,FIND("-",BF200,FIND("|",BF200))+1,10)))))*$D$50)))))*INDEX($I$200:$I$207,MATCH(LEFT(BF200,FIND("·",BF200)-1),$K$200:$K$207,0)),0),0),0)+IFERROR(IF(COUNTIF($C$200:$C$207,LEFT(BF200,FIND("·",BF200)-1))&gt;0,IF(INDEX($D$200:$D$207,MATCH(LEFT(BF200,FIND("·",BF200)-1),$C$200:$C$207,0))=IFERROR(VALUE(MID(BF200,FIND("·",BF200)+1,1)),0),($D$20+(INDEX($E$200:$E$207,MATCH(LEFT(BF200,FIND("·",BF200)-1),$C$200:$C$207,0))=MID(BF200,FIND("|",BF200)+1,10))*$D$22+MAX(0,IF($D$50=1,$D$21*(1-(ABS(INDEX($Q$200:$Q$207,MATCH(LEFT(BF200,FIND("·",BF200)-1),$C$200:$C$207,0))-(VALUE(MID(BF200,FIND("|",BF200)+1,FIND("-",BF200,FIND("|",BF200))-FIND("|",BF200)-1))-VALUE(MID(BF200,FIND("-",BF200,FIND("|",BF200))+1,10)))))*$D$50),$D$21*(1-(IF(INDEX($D$200:$D$207,MATCH(LEFT(BF200,FIND("·",BF200)-1),$C$200:$C$207,0))=0,ABS(INDEX($A$200:$A$207,MATCH(LEFT(BF200,FIND("·",BF200)-1),$C$200:$C$207,0))-VALUE(MID(BF200,FIND("|",BF200)+1,FIND("-",BF200,FIND("|",BF200))-FIND("|",BF200)-1))),ABS(INDEX($Q$200:$Q$207,MATCH(LEFT(BF200,FIND("·",BF200)-1),$C$200:$C$207,0))-(VALUE(MID(BF200,FIND("|",BF200)+1,FIND("-",BF200,FIND("|",BF200))-FIND("|",BF200)-1))-VALUE(MID(BF200,FIND("-",BF200,FIND("|",BF200))+1,10)))))*$D$50)))))*INDEX($I$200:$I$207,MATCH(LEFT(BF200,FIND("·",BF200)-1),$C$200:$C$207,0)),0),0),0)</f>
        <v>0</v>
      </c>
      <c r="BH200" s="110"/>
      <c r="BI200" s="66" t="s">
        <v>2384</v>
      </c>
      <c r="BJ200" s="85">
        <f t="shared" ref="BJ200" ca="1" si="1768">IFERROR(IF(COUNTIF($K$200:$K$207,LEFT(BI200,FIND("·",BI200)-1))&gt;0,IF(INDEX($L$200:$L$207,MATCH(LEFT(BI200,FIND("·",BI200)-1),$K$200:$K$207,0))=IFERROR(VALUE(MID(BI200,FIND("·",BI200)+1,1)),0),($D$20+(INDEX($M$200:$M$207,MATCH(LEFT(BI200,FIND("·",BI200)-1),$K$200:$K$207,0))=MID(BI200,FIND("|",BI200)+1,10))*$D$22+MAX(0,IF($D$50=1,$D$21*(1-(ABS(INDEX($P$200:$P$207,MATCH(LEFT(BI200,FIND("·",BI200)-1),$K$200:$K$207,0))-(VALUE(MID(BI200,FIND("|",BI200)+1,FIND("-",BI200,FIND("|",BI200))-FIND("|",BI200)-1))-VALUE(MID(BI200,FIND("-",BI200,FIND("|",BI200))+1,10)))))*$D$50),$D$21*(1-(IF(INDEX($L$200:$L$207,MATCH(LEFT(BI200,FIND("·",BI200)-1),$K$200:$K$207,0))=0,ABS(INDEX($N$200:$N$207,MATCH(LEFT(BI200,FIND("·",BI200)-1),$K$200:$K$207,0))-VALUE(MID(BI200,FIND("|",BI200)+1,FIND("-",BI200,FIND("|",BI200))-FIND("|",BI200)-1))),ABS(INDEX($P$200:$P$207,MATCH(LEFT(BI200,FIND("·",BI200)-1),$K$200:$K$207,0))-(VALUE(MID(BI200,FIND("|",BI200)+1,FIND("-",BI200,FIND("|",BI200))-FIND("|",BI200)-1))-VALUE(MID(BI200,FIND("-",BI200,FIND("|",BI200))+1,10)))))*$D$50)))))*INDEX($I$200:$I$207,MATCH(LEFT(BI200,FIND("·",BI200)-1),$K$200:$K$207,0)),0),0),0)+IFERROR(IF(COUNTIF($C$200:$C$207,LEFT(BI200,FIND("·",BI200)-1))&gt;0,IF(INDEX($D$200:$D$207,MATCH(LEFT(BI200,FIND("·",BI200)-1),$C$200:$C$207,0))=IFERROR(VALUE(MID(BI200,FIND("·",BI200)+1,1)),0),($D$20+(INDEX($E$200:$E$207,MATCH(LEFT(BI200,FIND("·",BI200)-1),$C$200:$C$207,0))=MID(BI200,FIND("|",BI200)+1,10))*$D$22+MAX(0,IF($D$50=1,$D$21*(1-(ABS(INDEX($Q$200:$Q$207,MATCH(LEFT(BI200,FIND("·",BI200)-1),$C$200:$C$207,0))-(VALUE(MID(BI200,FIND("|",BI200)+1,FIND("-",BI200,FIND("|",BI200))-FIND("|",BI200)-1))-VALUE(MID(BI200,FIND("-",BI200,FIND("|",BI200))+1,10)))))*$D$50),$D$21*(1-(IF(INDEX($D$200:$D$207,MATCH(LEFT(BI200,FIND("·",BI200)-1),$C$200:$C$207,0))=0,ABS(INDEX($A$200:$A$207,MATCH(LEFT(BI200,FIND("·",BI200)-1),$C$200:$C$207,0))-VALUE(MID(BI200,FIND("|",BI200)+1,FIND("-",BI200,FIND("|",BI200))-FIND("|",BI200)-1))),ABS(INDEX($Q$200:$Q$207,MATCH(LEFT(BI200,FIND("·",BI200)-1),$C$200:$C$207,0))-(VALUE(MID(BI200,FIND("|",BI200)+1,FIND("-",BI200,FIND("|",BI200))-FIND("|",BI200)-1))-VALUE(MID(BI200,FIND("-",BI200,FIND("|",BI200))+1,10)))))*$D$50)))))*INDEX($I$200:$I$207,MATCH(LEFT(BI200,FIND("·",BI200)-1),$C$200:$C$207,0)),0),0),0)</f>
        <v>0</v>
      </c>
      <c r="BK200" s="110"/>
      <c r="BL200" s="66" t="s">
        <v>2412</v>
      </c>
      <c r="BM200" s="85">
        <f t="shared" ref="BM200" ca="1" si="1769">IFERROR(IF(COUNTIF($K$200:$K$207,LEFT(BL200,FIND("·",BL200)-1))&gt;0,IF(INDEX($L$200:$L$207,MATCH(LEFT(BL200,FIND("·",BL200)-1),$K$200:$K$207,0))=IFERROR(VALUE(MID(BL200,FIND("·",BL200)+1,1)),0),($D$20+(INDEX($M$200:$M$207,MATCH(LEFT(BL200,FIND("·",BL200)-1),$K$200:$K$207,0))=MID(BL200,FIND("|",BL200)+1,10))*$D$22+MAX(0,IF($D$50=1,$D$21*(1-(ABS(INDEX($P$200:$P$207,MATCH(LEFT(BL200,FIND("·",BL200)-1),$K$200:$K$207,0))-(VALUE(MID(BL200,FIND("|",BL200)+1,FIND("-",BL200,FIND("|",BL200))-FIND("|",BL200)-1))-VALUE(MID(BL200,FIND("-",BL200,FIND("|",BL200))+1,10)))))*$D$50),$D$21*(1-(IF(INDEX($L$200:$L$207,MATCH(LEFT(BL200,FIND("·",BL200)-1),$K$200:$K$207,0))=0,ABS(INDEX($N$200:$N$207,MATCH(LEFT(BL200,FIND("·",BL200)-1),$K$200:$K$207,0))-VALUE(MID(BL200,FIND("|",BL200)+1,FIND("-",BL200,FIND("|",BL200))-FIND("|",BL200)-1))),ABS(INDEX($P$200:$P$207,MATCH(LEFT(BL200,FIND("·",BL200)-1),$K$200:$K$207,0))-(VALUE(MID(BL200,FIND("|",BL200)+1,FIND("-",BL200,FIND("|",BL200))-FIND("|",BL200)-1))-VALUE(MID(BL200,FIND("-",BL200,FIND("|",BL200))+1,10)))))*$D$50)))))*INDEX($I$200:$I$207,MATCH(LEFT(BL200,FIND("·",BL200)-1),$K$200:$K$207,0)),0),0),0)+IFERROR(IF(COUNTIF($C$200:$C$207,LEFT(BL200,FIND("·",BL200)-1))&gt;0,IF(INDEX($D$200:$D$207,MATCH(LEFT(BL200,FIND("·",BL200)-1),$C$200:$C$207,0))=IFERROR(VALUE(MID(BL200,FIND("·",BL200)+1,1)),0),($D$20+(INDEX($E$200:$E$207,MATCH(LEFT(BL200,FIND("·",BL200)-1),$C$200:$C$207,0))=MID(BL200,FIND("|",BL200)+1,10))*$D$22+MAX(0,IF($D$50=1,$D$21*(1-(ABS(INDEX($Q$200:$Q$207,MATCH(LEFT(BL200,FIND("·",BL200)-1),$C$200:$C$207,0))-(VALUE(MID(BL200,FIND("|",BL200)+1,FIND("-",BL200,FIND("|",BL200))-FIND("|",BL200)-1))-VALUE(MID(BL200,FIND("-",BL200,FIND("|",BL200))+1,10)))))*$D$50),$D$21*(1-(IF(INDEX($D$200:$D$207,MATCH(LEFT(BL200,FIND("·",BL200)-1),$C$200:$C$207,0))=0,ABS(INDEX($A$200:$A$207,MATCH(LEFT(BL200,FIND("·",BL200)-1),$C$200:$C$207,0))-VALUE(MID(BL200,FIND("|",BL200)+1,FIND("-",BL200,FIND("|",BL200))-FIND("|",BL200)-1))),ABS(INDEX($Q$200:$Q$207,MATCH(LEFT(BL200,FIND("·",BL200)-1),$C$200:$C$207,0))-(VALUE(MID(BL200,FIND("|",BL200)+1,FIND("-",BL200,FIND("|",BL200))-FIND("|",BL200)-1))-VALUE(MID(BL200,FIND("-",BL200,FIND("|",BL200))+1,10)))))*$D$50)))))*INDEX($I$200:$I$207,MATCH(LEFT(BL200,FIND("·",BL200)-1),$C$200:$C$207,0)),0),0),0)</f>
        <v>0</v>
      </c>
      <c r="BN200" s="110"/>
      <c r="BO200" s="66" t="s">
        <v>2431</v>
      </c>
      <c r="BP200" s="85">
        <f t="shared" ref="BP200" ca="1" si="1770">IFERROR(IF(COUNTIF($K$200:$K$207,LEFT(BO200,FIND("·",BO200)-1))&gt;0,IF(INDEX($L$200:$L$207,MATCH(LEFT(BO200,FIND("·",BO200)-1),$K$200:$K$207,0))=IFERROR(VALUE(MID(BO200,FIND("·",BO200)+1,1)),0),($D$20+(INDEX($M$200:$M$207,MATCH(LEFT(BO200,FIND("·",BO200)-1),$K$200:$K$207,0))=MID(BO200,FIND("|",BO200)+1,10))*$D$22+MAX(0,IF($D$50=1,$D$21*(1-(ABS(INDEX($P$200:$P$207,MATCH(LEFT(BO200,FIND("·",BO200)-1),$K$200:$K$207,0))-(VALUE(MID(BO200,FIND("|",BO200)+1,FIND("-",BO200,FIND("|",BO200))-FIND("|",BO200)-1))-VALUE(MID(BO200,FIND("-",BO200,FIND("|",BO200))+1,10)))))*$D$50),$D$21*(1-(IF(INDEX($L$200:$L$207,MATCH(LEFT(BO200,FIND("·",BO200)-1),$K$200:$K$207,0))=0,ABS(INDEX($N$200:$N$207,MATCH(LEFT(BO200,FIND("·",BO200)-1),$K$200:$K$207,0))-VALUE(MID(BO200,FIND("|",BO200)+1,FIND("-",BO200,FIND("|",BO200))-FIND("|",BO200)-1))),ABS(INDEX($P$200:$P$207,MATCH(LEFT(BO200,FIND("·",BO200)-1),$K$200:$K$207,0))-(VALUE(MID(BO200,FIND("|",BO200)+1,FIND("-",BO200,FIND("|",BO200))-FIND("|",BO200)-1))-VALUE(MID(BO200,FIND("-",BO200,FIND("|",BO200))+1,10)))))*$D$50)))))*INDEX($I$200:$I$207,MATCH(LEFT(BO200,FIND("·",BO200)-1),$K$200:$K$207,0)),0),0),0)+IFERROR(IF(COUNTIF($C$200:$C$207,LEFT(BO200,FIND("·",BO200)-1))&gt;0,IF(INDEX($D$200:$D$207,MATCH(LEFT(BO200,FIND("·",BO200)-1),$C$200:$C$207,0))=IFERROR(VALUE(MID(BO200,FIND("·",BO200)+1,1)),0),($D$20+(INDEX($E$200:$E$207,MATCH(LEFT(BO200,FIND("·",BO200)-1),$C$200:$C$207,0))=MID(BO200,FIND("|",BO200)+1,10))*$D$22+MAX(0,IF($D$50=1,$D$21*(1-(ABS(INDEX($Q$200:$Q$207,MATCH(LEFT(BO200,FIND("·",BO200)-1),$C$200:$C$207,0))-(VALUE(MID(BO200,FIND("|",BO200)+1,FIND("-",BO200,FIND("|",BO200))-FIND("|",BO200)-1))-VALUE(MID(BO200,FIND("-",BO200,FIND("|",BO200))+1,10)))))*$D$50),$D$21*(1-(IF(INDEX($D$200:$D$207,MATCH(LEFT(BO200,FIND("·",BO200)-1),$C$200:$C$207,0))=0,ABS(INDEX($A$200:$A$207,MATCH(LEFT(BO200,FIND("·",BO200)-1),$C$200:$C$207,0))-VALUE(MID(BO200,FIND("|",BO200)+1,FIND("-",BO200,FIND("|",BO200))-FIND("|",BO200)-1))),ABS(INDEX($Q$200:$Q$207,MATCH(LEFT(BO200,FIND("·",BO200)-1),$C$200:$C$207,0))-(VALUE(MID(BO200,FIND("|",BO200)+1,FIND("-",BO200,FIND("|",BO200))-FIND("|",BO200)-1))-VALUE(MID(BO200,FIND("-",BO200,FIND("|",BO200))+1,10)))))*$D$50)))))*INDEX($I$200:$I$207,MATCH(LEFT(BO200,FIND("·",BO200)-1),$C$200:$C$207,0)),0),0),0)</f>
        <v>0</v>
      </c>
      <c r="BQ200" s="110"/>
      <c r="BR200" s="66" t="s">
        <v>2384</v>
      </c>
      <c r="BS200" s="85">
        <f t="shared" ref="BS200" ca="1" si="1771">IFERROR(IF(COUNTIF($K$200:$K$207,LEFT(BR200,FIND("·",BR200)-1))&gt;0,IF(INDEX($L$200:$L$207,MATCH(LEFT(BR200,FIND("·",BR200)-1),$K$200:$K$207,0))=IFERROR(VALUE(MID(BR200,FIND("·",BR200)+1,1)),0),($D$20+(INDEX($M$200:$M$207,MATCH(LEFT(BR200,FIND("·",BR200)-1),$K$200:$K$207,0))=MID(BR200,FIND("|",BR200)+1,10))*$D$22+MAX(0,IF($D$50=1,$D$21*(1-(ABS(INDEX($P$200:$P$207,MATCH(LEFT(BR200,FIND("·",BR200)-1),$K$200:$K$207,0))-(VALUE(MID(BR200,FIND("|",BR200)+1,FIND("-",BR200,FIND("|",BR200))-FIND("|",BR200)-1))-VALUE(MID(BR200,FIND("-",BR200,FIND("|",BR200))+1,10)))))*$D$50),$D$21*(1-(IF(INDEX($L$200:$L$207,MATCH(LEFT(BR200,FIND("·",BR200)-1),$K$200:$K$207,0))=0,ABS(INDEX($N$200:$N$207,MATCH(LEFT(BR200,FIND("·",BR200)-1),$K$200:$K$207,0))-VALUE(MID(BR200,FIND("|",BR200)+1,FIND("-",BR200,FIND("|",BR200))-FIND("|",BR200)-1))),ABS(INDEX($P$200:$P$207,MATCH(LEFT(BR200,FIND("·",BR200)-1),$K$200:$K$207,0))-(VALUE(MID(BR200,FIND("|",BR200)+1,FIND("-",BR200,FIND("|",BR200))-FIND("|",BR200)-1))-VALUE(MID(BR200,FIND("-",BR200,FIND("|",BR200))+1,10)))))*$D$50)))))*INDEX($I$200:$I$207,MATCH(LEFT(BR200,FIND("·",BR200)-1),$K$200:$K$207,0)),0),0),0)+IFERROR(IF(COUNTIF($C$200:$C$207,LEFT(BR200,FIND("·",BR200)-1))&gt;0,IF(INDEX($D$200:$D$207,MATCH(LEFT(BR200,FIND("·",BR200)-1),$C$200:$C$207,0))=IFERROR(VALUE(MID(BR200,FIND("·",BR200)+1,1)),0),($D$20+(INDEX($E$200:$E$207,MATCH(LEFT(BR200,FIND("·",BR200)-1),$C$200:$C$207,0))=MID(BR200,FIND("|",BR200)+1,10))*$D$22+MAX(0,IF($D$50=1,$D$21*(1-(ABS(INDEX($Q$200:$Q$207,MATCH(LEFT(BR200,FIND("·",BR200)-1),$C$200:$C$207,0))-(VALUE(MID(BR200,FIND("|",BR200)+1,FIND("-",BR200,FIND("|",BR200))-FIND("|",BR200)-1))-VALUE(MID(BR200,FIND("-",BR200,FIND("|",BR200))+1,10)))))*$D$50),$D$21*(1-(IF(INDEX($D$200:$D$207,MATCH(LEFT(BR200,FIND("·",BR200)-1),$C$200:$C$207,0))=0,ABS(INDEX($A$200:$A$207,MATCH(LEFT(BR200,FIND("·",BR200)-1),$C$200:$C$207,0))-VALUE(MID(BR200,FIND("|",BR200)+1,FIND("-",BR200,FIND("|",BR200))-FIND("|",BR200)-1))),ABS(INDEX($Q$200:$Q$207,MATCH(LEFT(BR200,FIND("·",BR200)-1),$C$200:$C$207,0))-(VALUE(MID(BR200,FIND("|",BR200)+1,FIND("-",BR200,FIND("|",BR200))-FIND("|",BR200)-1))-VALUE(MID(BR200,FIND("-",BR200,FIND("|",BR200))+1,10)))))*$D$50)))))*INDEX($I$200:$I$207,MATCH(LEFT(BR200,FIND("·",BR200)-1),$C$200:$C$207,0)),0),0),0)</f>
        <v>0</v>
      </c>
      <c r="BT200" s="110"/>
      <c r="BU200" s="66" t="s">
        <v>2314</v>
      </c>
      <c r="BV200" s="85">
        <f t="shared" ref="BV200" ca="1" si="1772">IFERROR(IF(COUNTIF($K$200:$K$207,LEFT(BU200,FIND("·",BU200)-1))&gt;0,IF(INDEX($L$200:$L$207,MATCH(LEFT(BU200,FIND("·",BU200)-1),$K$200:$K$207,0))=IFERROR(VALUE(MID(BU200,FIND("·",BU200)+1,1)),0),($D$20+(INDEX($M$200:$M$207,MATCH(LEFT(BU200,FIND("·",BU200)-1),$K$200:$K$207,0))=MID(BU200,FIND("|",BU200)+1,10))*$D$22+MAX(0,IF($D$50=1,$D$21*(1-(ABS(INDEX($P$200:$P$207,MATCH(LEFT(BU200,FIND("·",BU200)-1),$K$200:$K$207,0))-(VALUE(MID(BU200,FIND("|",BU200)+1,FIND("-",BU200,FIND("|",BU200))-FIND("|",BU200)-1))-VALUE(MID(BU200,FIND("-",BU200,FIND("|",BU200))+1,10)))))*$D$50),$D$21*(1-(IF(INDEX($L$200:$L$207,MATCH(LEFT(BU200,FIND("·",BU200)-1),$K$200:$K$207,0))=0,ABS(INDEX($N$200:$N$207,MATCH(LEFT(BU200,FIND("·",BU200)-1),$K$200:$K$207,0))-VALUE(MID(BU200,FIND("|",BU200)+1,FIND("-",BU200,FIND("|",BU200))-FIND("|",BU200)-1))),ABS(INDEX($P$200:$P$207,MATCH(LEFT(BU200,FIND("·",BU200)-1),$K$200:$K$207,0))-(VALUE(MID(BU200,FIND("|",BU200)+1,FIND("-",BU200,FIND("|",BU200))-FIND("|",BU200)-1))-VALUE(MID(BU200,FIND("-",BU200,FIND("|",BU200))+1,10)))))*$D$50)))))*INDEX($I$200:$I$207,MATCH(LEFT(BU200,FIND("·",BU200)-1),$K$200:$K$207,0)),0),0),0)+IFERROR(IF(COUNTIF($C$200:$C$207,LEFT(BU200,FIND("·",BU200)-1))&gt;0,IF(INDEX($D$200:$D$207,MATCH(LEFT(BU200,FIND("·",BU200)-1),$C$200:$C$207,0))=IFERROR(VALUE(MID(BU200,FIND("·",BU200)+1,1)),0),($D$20+(INDEX($E$200:$E$207,MATCH(LEFT(BU200,FIND("·",BU200)-1),$C$200:$C$207,0))=MID(BU200,FIND("|",BU200)+1,10))*$D$22+MAX(0,IF($D$50=1,$D$21*(1-(ABS(INDEX($Q$200:$Q$207,MATCH(LEFT(BU200,FIND("·",BU200)-1),$C$200:$C$207,0))-(VALUE(MID(BU200,FIND("|",BU200)+1,FIND("-",BU200,FIND("|",BU200))-FIND("|",BU200)-1))-VALUE(MID(BU200,FIND("-",BU200,FIND("|",BU200))+1,10)))))*$D$50),$D$21*(1-(IF(INDEX($D$200:$D$207,MATCH(LEFT(BU200,FIND("·",BU200)-1),$C$200:$C$207,0))=0,ABS(INDEX($A$200:$A$207,MATCH(LEFT(BU200,FIND("·",BU200)-1),$C$200:$C$207,0))-VALUE(MID(BU200,FIND("|",BU200)+1,FIND("-",BU200,FIND("|",BU200))-FIND("|",BU200)-1))),ABS(INDEX($Q$200:$Q$207,MATCH(LEFT(BU200,FIND("·",BU200)-1),$C$200:$C$207,0))-(VALUE(MID(BU200,FIND("|",BU200)+1,FIND("-",BU200,FIND("|",BU200))-FIND("|",BU200)-1))-VALUE(MID(BU200,FIND("-",BU200,FIND("|",BU200))+1,10)))))*$D$50)))))*INDEX($I$200:$I$207,MATCH(LEFT(BU200,FIND("·",BU200)-1),$C$200:$C$207,0)),0),0),0)</f>
        <v>0</v>
      </c>
      <c r="BW200" s="110"/>
      <c r="BX200" s="66" t="s">
        <v>2176</v>
      </c>
      <c r="BY200" s="85">
        <f t="shared" ref="BY200" ca="1" si="1773">IFERROR(IF(COUNTIF($K$200:$K$207,LEFT(BX200,FIND("·",BX200)-1))&gt;0,IF(INDEX($L$200:$L$207,MATCH(LEFT(BX200,FIND("·",BX200)-1),$K$200:$K$207,0))=IFERROR(VALUE(MID(BX200,FIND("·",BX200)+1,1)),0),($D$20+(INDEX($M$200:$M$207,MATCH(LEFT(BX200,FIND("·",BX200)-1),$K$200:$K$207,0))=MID(BX200,FIND("|",BX200)+1,10))*$D$22+MAX(0,IF($D$50=1,$D$21*(1-(ABS(INDEX($P$200:$P$207,MATCH(LEFT(BX200,FIND("·",BX200)-1),$K$200:$K$207,0))-(VALUE(MID(BX200,FIND("|",BX200)+1,FIND("-",BX200,FIND("|",BX200))-FIND("|",BX200)-1))-VALUE(MID(BX200,FIND("-",BX200,FIND("|",BX200))+1,10)))))*$D$50),$D$21*(1-(IF(INDEX($L$200:$L$207,MATCH(LEFT(BX200,FIND("·",BX200)-1),$K$200:$K$207,0))=0,ABS(INDEX($N$200:$N$207,MATCH(LEFT(BX200,FIND("·",BX200)-1),$K$200:$K$207,0))-VALUE(MID(BX200,FIND("|",BX200)+1,FIND("-",BX200,FIND("|",BX200))-FIND("|",BX200)-1))),ABS(INDEX($P$200:$P$207,MATCH(LEFT(BX200,FIND("·",BX200)-1),$K$200:$K$207,0))-(VALUE(MID(BX200,FIND("|",BX200)+1,FIND("-",BX200,FIND("|",BX200))-FIND("|",BX200)-1))-VALUE(MID(BX200,FIND("-",BX200,FIND("|",BX200))+1,10)))))*$D$50)))))*INDEX($I$200:$I$207,MATCH(LEFT(BX200,FIND("·",BX200)-1),$K$200:$K$207,0)),0),0),0)+IFERROR(IF(COUNTIF($C$200:$C$207,LEFT(BX200,FIND("·",BX200)-1))&gt;0,IF(INDEX($D$200:$D$207,MATCH(LEFT(BX200,FIND("·",BX200)-1),$C$200:$C$207,0))=IFERROR(VALUE(MID(BX200,FIND("·",BX200)+1,1)),0),($D$20+(INDEX($E$200:$E$207,MATCH(LEFT(BX200,FIND("·",BX200)-1),$C$200:$C$207,0))=MID(BX200,FIND("|",BX200)+1,10))*$D$22+MAX(0,IF($D$50=1,$D$21*(1-(ABS(INDEX($Q$200:$Q$207,MATCH(LEFT(BX200,FIND("·",BX200)-1),$C$200:$C$207,0))-(VALUE(MID(BX200,FIND("|",BX200)+1,FIND("-",BX200,FIND("|",BX200))-FIND("|",BX200)-1))-VALUE(MID(BX200,FIND("-",BX200,FIND("|",BX200))+1,10)))))*$D$50),$D$21*(1-(IF(INDEX($D$200:$D$207,MATCH(LEFT(BX200,FIND("·",BX200)-1),$C$200:$C$207,0))=0,ABS(INDEX($A$200:$A$207,MATCH(LEFT(BX200,FIND("·",BX200)-1),$C$200:$C$207,0))-VALUE(MID(BX200,FIND("|",BX200)+1,FIND("-",BX200,FIND("|",BX200))-FIND("|",BX200)-1))),ABS(INDEX($Q$200:$Q$207,MATCH(LEFT(BX200,FIND("·",BX200)-1),$C$200:$C$207,0))-(VALUE(MID(BX200,FIND("|",BX200)+1,FIND("-",BX200,FIND("|",BX200))-FIND("|",BX200)-1))-VALUE(MID(BX200,FIND("-",BX200,FIND("|",BX200))+1,10)))))*$D$50)))))*INDEX($I$200:$I$207,MATCH(LEFT(BX200,FIND("·",BX200)-1),$C$200:$C$207,0)),0),0),0)</f>
        <v>0</v>
      </c>
      <c r="BZ200" s="110"/>
      <c r="CA200" s="66" t="s">
        <v>2502</v>
      </c>
      <c r="CB200" s="85">
        <f t="shared" ref="CB200" ca="1" si="1774">IFERROR(IF(COUNTIF($K$200:$K$207,LEFT(CA200,FIND("·",CA200)-1))&gt;0,IF(INDEX($L$200:$L$207,MATCH(LEFT(CA200,FIND("·",CA200)-1),$K$200:$K$207,0))=IFERROR(VALUE(MID(CA200,FIND("·",CA200)+1,1)),0),($D$20+(INDEX($M$200:$M$207,MATCH(LEFT(CA200,FIND("·",CA200)-1),$K$200:$K$207,0))=MID(CA200,FIND("|",CA200)+1,10))*$D$22+MAX(0,IF($D$50=1,$D$21*(1-(ABS(INDEX($P$200:$P$207,MATCH(LEFT(CA200,FIND("·",CA200)-1),$K$200:$K$207,0))-(VALUE(MID(CA200,FIND("|",CA200)+1,FIND("-",CA200,FIND("|",CA200))-FIND("|",CA200)-1))-VALUE(MID(CA200,FIND("-",CA200,FIND("|",CA200))+1,10)))))*$D$50),$D$21*(1-(IF(INDEX($L$200:$L$207,MATCH(LEFT(CA200,FIND("·",CA200)-1),$K$200:$K$207,0))=0,ABS(INDEX($N$200:$N$207,MATCH(LEFT(CA200,FIND("·",CA200)-1),$K$200:$K$207,0))-VALUE(MID(CA200,FIND("|",CA200)+1,FIND("-",CA200,FIND("|",CA200))-FIND("|",CA200)-1))),ABS(INDEX($P$200:$P$207,MATCH(LEFT(CA200,FIND("·",CA200)-1),$K$200:$K$207,0))-(VALUE(MID(CA200,FIND("|",CA200)+1,FIND("-",CA200,FIND("|",CA200))-FIND("|",CA200)-1))-VALUE(MID(CA200,FIND("-",CA200,FIND("|",CA200))+1,10)))))*$D$50)))))*INDEX($I$200:$I$207,MATCH(LEFT(CA200,FIND("·",CA200)-1),$K$200:$K$207,0)),0),0),0)+IFERROR(IF(COUNTIF($C$200:$C$207,LEFT(CA200,FIND("·",CA200)-1))&gt;0,IF(INDEX($D$200:$D$207,MATCH(LEFT(CA200,FIND("·",CA200)-1),$C$200:$C$207,0))=IFERROR(VALUE(MID(CA200,FIND("·",CA200)+1,1)),0),($D$20+(INDEX($E$200:$E$207,MATCH(LEFT(CA200,FIND("·",CA200)-1),$C$200:$C$207,0))=MID(CA200,FIND("|",CA200)+1,10))*$D$22+MAX(0,IF($D$50=1,$D$21*(1-(ABS(INDEX($Q$200:$Q$207,MATCH(LEFT(CA200,FIND("·",CA200)-1),$C$200:$C$207,0))-(VALUE(MID(CA200,FIND("|",CA200)+1,FIND("-",CA200,FIND("|",CA200))-FIND("|",CA200)-1))-VALUE(MID(CA200,FIND("-",CA200,FIND("|",CA200))+1,10)))))*$D$50),$D$21*(1-(IF(INDEX($D$200:$D$207,MATCH(LEFT(CA200,FIND("·",CA200)-1),$C$200:$C$207,0))=0,ABS(INDEX($A$200:$A$207,MATCH(LEFT(CA200,FIND("·",CA200)-1),$C$200:$C$207,0))-VALUE(MID(CA200,FIND("|",CA200)+1,FIND("-",CA200,FIND("|",CA200))-FIND("|",CA200)-1))),ABS(INDEX($Q$200:$Q$207,MATCH(LEFT(CA200,FIND("·",CA200)-1),$C$200:$C$207,0))-(VALUE(MID(CA200,FIND("|",CA200)+1,FIND("-",CA200,FIND("|",CA200))-FIND("|",CA200)-1))-VALUE(MID(CA200,FIND("-",CA200,FIND("|",CA200))+1,10)))))*$D$50)))))*INDEX($I$200:$I$207,MATCH(LEFT(CA200,FIND("·",CA200)-1),$C$200:$C$207,0)),0),0),0)</f>
        <v>0</v>
      </c>
      <c r="CC200" s="110"/>
      <c r="CD200" s="66" t="s">
        <v>2357</v>
      </c>
      <c r="CE200" s="85">
        <f t="shared" ref="CE200" ca="1" si="1775">IFERROR(IF(COUNTIF($K$200:$K$207,LEFT(CD200,FIND("·",CD200)-1))&gt;0,IF(INDEX($L$200:$L$207,MATCH(LEFT(CD200,FIND("·",CD200)-1),$K$200:$K$207,0))=IFERROR(VALUE(MID(CD200,FIND("·",CD200)+1,1)),0),($D$20+(INDEX($M$200:$M$207,MATCH(LEFT(CD200,FIND("·",CD200)-1),$K$200:$K$207,0))=MID(CD200,FIND("|",CD200)+1,10))*$D$22+MAX(0,IF($D$50=1,$D$21*(1-(ABS(INDEX($P$200:$P$207,MATCH(LEFT(CD200,FIND("·",CD200)-1),$K$200:$K$207,0))-(VALUE(MID(CD200,FIND("|",CD200)+1,FIND("-",CD200,FIND("|",CD200))-FIND("|",CD200)-1))-VALUE(MID(CD200,FIND("-",CD200,FIND("|",CD200))+1,10)))))*$D$50),$D$21*(1-(IF(INDEX($L$200:$L$207,MATCH(LEFT(CD200,FIND("·",CD200)-1),$K$200:$K$207,0))=0,ABS(INDEX($N$200:$N$207,MATCH(LEFT(CD200,FIND("·",CD200)-1),$K$200:$K$207,0))-VALUE(MID(CD200,FIND("|",CD200)+1,FIND("-",CD200,FIND("|",CD200))-FIND("|",CD200)-1))),ABS(INDEX($P$200:$P$207,MATCH(LEFT(CD200,FIND("·",CD200)-1),$K$200:$K$207,0))-(VALUE(MID(CD200,FIND("|",CD200)+1,FIND("-",CD200,FIND("|",CD200))-FIND("|",CD200)-1))-VALUE(MID(CD200,FIND("-",CD200,FIND("|",CD200))+1,10)))))*$D$50)))))*INDEX($I$200:$I$207,MATCH(LEFT(CD200,FIND("·",CD200)-1),$K$200:$K$207,0)),0),0),0)+IFERROR(IF(COUNTIF($C$200:$C$207,LEFT(CD200,FIND("·",CD200)-1))&gt;0,IF(INDEX($D$200:$D$207,MATCH(LEFT(CD200,FIND("·",CD200)-1),$C$200:$C$207,0))=IFERROR(VALUE(MID(CD200,FIND("·",CD200)+1,1)),0),($D$20+(INDEX($E$200:$E$207,MATCH(LEFT(CD200,FIND("·",CD200)-1),$C$200:$C$207,0))=MID(CD200,FIND("|",CD200)+1,10))*$D$22+MAX(0,IF($D$50=1,$D$21*(1-(ABS(INDEX($Q$200:$Q$207,MATCH(LEFT(CD200,FIND("·",CD200)-1),$C$200:$C$207,0))-(VALUE(MID(CD200,FIND("|",CD200)+1,FIND("-",CD200,FIND("|",CD200))-FIND("|",CD200)-1))-VALUE(MID(CD200,FIND("-",CD200,FIND("|",CD200))+1,10)))))*$D$50),$D$21*(1-(IF(INDEX($D$200:$D$207,MATCH(LEFT(CD200,FIND("·",CD200)-1),$C$200:$C$207,0))=0,ABS(INDEX($A$200:$A$207,MATCH(LEFT(CD200,FIND("·",CD200)-1),$C$200:$C$207,0))-VALUE(MID(CD200,FIND("|",CD200)+1,FIND("-",CD200,FIND("|",CD200))-FIND("|",CD200)-1))),ABS(INDEX($Q$200:$Q$207,MATCH(LEFT(CD200,FIND("·",CD200)-1),$C$200:$C$207,0))-(VALUE(MID(CD200,FIND("|",CD200)+1,FIND("-",CD200,FIND("|",CD200))-FIND("|",CD200)-1))-VALUE(MID(CD200,FIND("-",CD200,FIND("|",CD200))+1,10)))))*$D$50)))))*INDEX($I$200:$I$207,MATCH(LEFT(CD200,FIND("·",CD200)-1),$C$200:$C$207,0)),0),0),0)</f>
        <v>0</v>
      </c>
      <c r="CF200" s="110"/>
      <c r="CG200" s="66" t="s">
        <v>2538</v>
      </c>
      <c r="CH200" s="85">
        <f t="shared" ref="CH200" ca="1" si="1776">IFERROR(IF(COUNTIF($K$200:$K$207,LEFT(CG200,FIND("·",CG200)-1))&gt;0,IF(INDEX($L$200:$L$207,MATCH(LEFT(CG200,FIND("·",CG200)-1),$K$200:$K$207,0))=IFERROR(VALUE(MID(CG200,FIND("·",CG200)+1,1)),0),($D$20+(INDEX($M$200:$M$207,MATCH(LEFT(CG200,FIND("·",CG200)-1),$K$200:$K$207,0))=MID(CG200,FIND("|",CG200)+1,10))*$D$22+MAX(0,IF($D$50=1,$D$21*(1-(ABS(INDEX($P$200:$P$207,MATCH(LEFT(CG200,FIND("·",CG200)-1),$K$200:$K$207,0))-(VALUE(MID(CG200,FIND("|",CG200)+1,FIND("-",CG200,FIND("|",CG200))-FIND("|",CG200)-1))-VALUE(MID(CG200,FIND("-",CG200,FIND("|",CG200))+1,10)))))*$D$50),$D$21*(1-(IF(INDEX($L$200:$L$207,MATCH(LEFT(CG200,FIND("·",CG200)-1),$K$200:$K$207,0))=0,ABS(INDEX($N$200:$N$207,MATCH(LEFT(CG200,FIND("·",CG200)-1),$K$200:$K$207,0))-VALUE(MID(CG200,FIND("|",CG200)+1,FIND("-",CG200,FIND("|",CG200))-FIND("|",CG200)-1))),ABS(INDEX($P$200:$P$207,MATCH(LEFT(CG200,FIND("·",CG200)-1),$K$200:$K$207,0))-(VALUE(MID(CG200,FIND("|",CG200)+1,FIND("-",CG200,FIND("|",CG200))-FIND("|",CG200)-1))-VALUE(MID(CG200,FIND("-",CG200,FIND("|",CG200))+1,10)))))*$D$50)))))*INDEX($I$200:$I$207,MATCH(LEFT(CG200,FIND("·",CG200)-1),$K$200:$K$207,0)),0),0),0)+IFERROR(IF(COUNTIF($C$200:$C$207,LEFT(CG200,FIND("·",CG200)-1))&gt;0,IF(INDEX($D$200:$D$207,MATCH(LEFT(CG200,FIND("·",CG200)-1),$C$200:$C$207,0))=IFERROR(VALUE(MID(CG200,FIND("·",CG200)+1,1)),0),($D$20+(INDEX($E$200:$E$207,MATCH(LEFT(CG200,FIND("·",CG200)-1),$C$200:$C$207,0))=MID(CG200,FIND("|",CG200)+1,10))*$D$22+MAX(0,IF($D$50=1,$D$21*(1-(ABS(INDEX($Q$200:$Q$207,MATCH(LEFT(CG200,FIND("·",CG200)-1),$C$200:$C$207,0))-(VALUE(MID(CG200,FIND("|",CG200)+1,FIND("-",CG200,FIND("|",CG200))-FIND("|",CG200)-1))-VALUE(MID(CG200,FIND("-",CG200,FIND("|",CG200))+1,10)))))*$D$50),$D$21*(1-(IF(INDEX($D$200:$D$207,MATCH(LEFT(CG200,FIND("·",CG200)-1),$C$200:$C$207,0))=0,ABS(INDEX($A$200:$A$207,MATCH(LEFT(CG200,FIND("·",CG200)-1),$C$200:$C$207,0))-VALUE(MID(CG200,FIND("|",CG200)+1,FIND("-",CG200,FIND("|",CG200))-FIND("|",CG200)-1))),ABS(INDEX($Q$200:$Q$207,MATCH(LEFT(CG200,FIND("·",CG200)-1),$C$200:$C$207,0))-(VALUE(MID(CG200,FIND("|",CG200)+1,FIND("-",CG200,FIND("|",CG200))-FIND("|",CG200)-1))-VALUE(MID(CG200,FIND("-",CG200,FIND("|",CG200))+1,10)))))*$D$50)))))*INDEX($I$200:$I$207,MATCH(LEFT(CG200,FIND("·",CG200)-1),$C$200:$C$207,0)),0),0),0)</f>
        <v>0</v>
      </c>
      <c r="CI200" s="110"/>
      <c r="CJ200" s="66" t="s">
        <v>2412</v>
      </c>
      <c r="CK200" s="85">
        <f t="shared" ref="CK200:EV207" ca="1" si="1777">IFERROR(IF(COUNTIF($K$200:$K$207,LEFT(CJ200,FIND("·",CJ200)-1))&gt;0,IF(INDEX($L$200:$L$207,MATCH(LEFT(CJ200,FIND("·",CJ200)-1),$K$200:$K$207,0))=IFERROR(VALUE(MID(CJ200,FIND("·",CJ200)+1,1)),0),($D$20+(INDEX($M$200:$M$207,MATCH(LEFT(CJ200,FIND("·",CJ200)-1),$K$200:$K$207,0))=MID(CJ200,FIND("|",CJ200)+1,10))*$D$22+MAX(0,IF($D$50=1,$D$21*(1-(ABS(INDEX($P$200:$P$207,MATCH(LEFT(CJ200,FIND("·",CJ200)-1),$K$200:$K$207,0))-(VALUE(MID(CJ200,FIND("|",CJ200)+1,FIND("-",CJ200,FIND("|",CJ200))-FIND("|",CJ200)-1))-VALUE(MID(CJ200,FIND("-",CJ200,FIND("|",CJ200))+1,10)))))*$D$50),$D$21*(1-(IF(INDEX($L$200:$L$207,MATCH(LEFT(CJ200,FIND("·",CJ200)-1),$K$200:$K$207,0))=0,ABS(INDEX($N$200:$N$207,MATCH(LEFT(CJ200,FIND("·",CJ200)-1),$K$200:$K$207,0))-VALUE(MID(CJ200,FIND("|",CJ200)+1,FIND("-",CJ200,FIND("|",CJ200))-FIND("|",CJ200)-1))),ABS(INDEX($P$200:$P$207,MATCH(LEFT(CJ200,FIND("·",CJ200)-1),$K$200:$K$207,0))-(VALUE(MID(CJ200,FIND("|",CJ200)+1,FIND("-",CJ200,FIND("|",CJ200))-FIND("|",CJ200)-1))-VALUE(MID(CJ200,FIND("-",CJ200,FIND("|",CJ200))+1,10)))))*$D$50)))))*INDEX($I$200:$I$207,MATCH(LEFT(CJ200,FIND("·",CJ200)-1),$K$200:$K$207,0)),0),0),0)+IFERROR(IF(COUNTIF($C$200:$C$207,LEFT(CJ200,FIND("·",CJ200)-1))&gt;0,IF(INDEX($D$200:$D$207,MATCH(LEFT(CJ200,FIND("·",CJ200)-1),$C$200:$C$207,0))=IFERROR(VALUE(MID(CJ200,FIND("·",CJ200)+1,1)),0),($D$20+(INDEX($E$200:$E$207,MATCH(LEFT(CJ200,FIND("·",CJ200)-1),$C$200:$C$207,0))=MID(CJ200,FIND("|",CJ200)+1,10))*$D$22+MAX(0,IF($D$50=1,$D$21*(1-(ABS(INDEX($Q$200:$Q$207,MATCH(LEFT(CJ200,FIND("·",CJ200)-1),$C$200:$C$207,0))-(VALUE(MID(CJ200,FIND("|",CJ200)+1,FIND("-",CJ200,FIND("|",CJ200))-FIND("|",CJ200)-1))-VALUE(MID(CJ200,FIND("-",CJ200,FIND("|",CJ200))+1,10)))))*$D$50),$D$21*(1-(IF(INDEX($D$200:$D$207,MATCH(LEFT(CJ200,FIND("·",CJ200)-1),$C$200:$C$207,0))=0,ABS(INDEX($A$200:$A$207,MATCH(LEFT(CJ200,FIND("·",CJ200)-1),$C$200:$C$207,0))-VALUE(MID(CJ200,FIND("|",CJ200)+1,FIND("-",CJ200,FIND("|",CJ200))-FIND("|",CJ200)-1))),ABS(INDEX($Q$200:$Q$207,MATCH(LEFT(CJ200,FIND("·",CJ200)-1),$C$200:$C$207,0))-(VALUE(MID(CJ200,FIND("|",CJ200)+1,FIND("-",CJ200,FIND("|",CJ200))-FIND("|",CJ200)-1))-VALUE(MID(CJ200,FIND("-",CJ200,FIND("|",CJ200))+1,10)))))*$D$50)))))*INDEX($I$200:$I$207,MATCH(LEFT(CJ200,FIND("·",CJ200)-1),$C$200:$C$207,0)),0),0),0)</f>
        <v>0</v>
      </c>
      <c r="CL200" s="110"/>
      <c r="CM200" s="66" t="s">
        <v>2581</v>
      </c>
      <c r="CN200" s="85">
        <f t="shared" ref="CN200" ca="1" si="1778">IFERROR(IF(COUNTIF($K$200:$K$207,LEFT(CM200,FIND("·",CM200)-1))&gt;0,IF(INDEX($L$200:$L$207,MATCH(LEFT(CM200,FIND("·",CM200)-1),$K$200:$K$207,0))=IFERROR(VALUE(MID(CM200,FIND("·",CM200)+1,1)),0),($D$20+(INDEX($M$200:$M$207,MATCH(LEFT(CM200,FIND("·",CM200)-1),$K$200:$K$207,0))=MID(CM200,FIND("|",CM200)+1,10))*$D$22+MAX(0,IF($D$50=1,$D$21*(1-(ABS(INDEX($P$200:$P$207,MATCH(LEFT(CM200,FIND("·",CM200)-1),$K$200:$K$207,0))-(VALUE(MID(CM200,FIND("|",CM200)+1,FIND("-",CM200,FIND("|",CM200))-FIND("|",CM200)-1))-VALUE(MID(CM200,FIND("-",CM200,FIND("|",CM200))+1,10)))))*$D$50),$D$21*(1-(IF(INDEX($L$200:$L$207,MATCH(LEFT(CM200,FIND("·",CM200)-1),$K$200:$K$207,0))=0,ABS(INDEX($N$200:$N$207,MATCH(LEFT(CM200,FIND("·",CM200)-1),$K$200:$K$207,0))-VALUE(MID(CM200,FIND("|",CM200)+1,FIND("-",CM200,FIND("|",CM200))-FIND("|",CM200)-1))),ABS(INDEX($P$200:$P$207,MATCH(LEFT(CM200,FIND("·",CM200)-1),$K$200:$K$207,0))-(VALUE(MID(CM200,FIND("|",CM200)+1,FIND("-",CM200,FIND("|",CM200))-FIND("|",CM200)-1))-VALUE(MID(CM200,FIND("-",CM200,FIND("|",CM200))+1,10)))))*$D$50)))))*INDEX($I$200:$I$207,MATCH(LEFT(CM200,FIND("·",CM200)-1),$K$200:$K$207,0)),0),0),0)+IFERROR(IF(COUNTIF($C$200:$C$207,LEFT(CM200,FIND("·",CM200)-1))&gt;0,IF(INDEX($D$200:$D$207,MATCH(LEFT(CM200,FIND("·",CM200)-1),$C$200:$C$207,0))=IFERROR(VALUE(MID(CM200,FIND("·",CM200)+1,1)),0),($D$20+(INDEX($E$200:$E$207,MATCH(LEFT(CM200,FIND("·",CM200)-1),$C$200:$C$207,0))=MID(CM200,FIND("|",CM200)+1,10))*$D$22+MAX(0,IF($D$50=1,$D$21*(1-(ABS(INDEX($Q$200:$Q$207,MATCH(LEFT(CM200,FIND("·",CM200)-1),$C$200:$C$207,0))-(VALUE(MID(CM200,FIND("|",CM200)+1,FIND("-",CM200,FIND("|",CM200))-FIND("|",CM200)-1))-VALUE(MID(CM200,FIND("-",CM200,FIND("|",CM200))+1,10)))))*$D$50),$D$21*(1-(IF(INDEX($D$200:$D$207,MATCH(LEFT(CM200,FIND("·",CM200)-1),$C$200:$C$207,0))=0,ABS(INDEX($A$200:$A$207,MATCH(LEFT(CM200,FIND("·",CM200)-1),$C$200:$C$207,0))-VALUE(MID(CM200,FIND("|",CM200)+1,FIND("-",CM200,FIND("|",CM200))-FIND("|",CM200)-1))),ABS(INDEX($Q$200:$Q$207,MATCH(LEFT(CM200,FIND("·",CM200)-1),$C$200:$C$207,0))-(VALUE(MID(CM200,FIND("|",CM200)+1,FIND("-",CM200,FIND("|",CM200))-FIND("|",CM200)-1))-VALUE(MID(CM200,FIND("-",CM200,FIND("|",CM200))+1,10)))))*$D$50)))))*INDEX($I$200:$I$207,MATCH(LEFT(CM200,FIND("·",CM200)-1),$C$200:$C$207,0)),0),0),0)</f>
        <v>0</v>
      </c>
      <c r="CO200" s="110"/>
      <c r="CP200" s="66" t="s">
        <v>2593</v>
      </c>
      <c r="CQ200" s="85">
        <f t="shared" ref="CQ200" ca="1" si="1779">IFERROR(IF(COUNTIF($K$200:$K$207,LEFT(CP200,FIND("·",CP200)-1))&gt;0,IF(INDEX($L$200:$L$207,MATCH(LEFT(CP200,FIND("·",CP200)-1),$K$200:$K$207,0))=IFERROR(VALUE(MID(CP200,FIND("·",CP200)+1,1)),0),($D$20+(INDEX($M$200:$M$207,MATCH(LEFT(CP200,FIND("·",CP200)-1),$K$200:$K$207,0))=MID(CP200,FIND("|",CP200)+1,10))*$D$22+MAX(0,IF($D$50=1,$D$21*(1-(ABS(INDEX($P$200:$P$207,MATCH(LEFT(CP200,FIND("·",CP200)-1),$K$200:$K$207,0))-(VALUE(MID(CP200,FIND("|",CP200)+1,FIND("-",CP200,FIND("|",CP200))-FIND("|",CP200)-1))-VALUE(MID(CP200,FIND("-",CP200,FIND("|",CP200))+1,10)))))*$D$50),$D$21*(1-(IF(INDEX($L$200:$L$207,MATCH(LEFT(CP200,FIND("·",CP200)-1),$K$200:$K$207,0))=0,ABS(INDEX($N$200:$N$207,MATCH(LEFT(CP200,FIND("·",CP200)-1),$K$200:$K$207,0))-VALUE(MID(CP200,FIND("|",CP200)+1,FIND("-",CP200,FIND("|",CP200))-FIND("|",CP200)-1))),ABS(INDEX($P$200:$P$207,MATCH(LEFT(CP200,FIND("·",CP200)-1),$K$200:$K$207,0))-(VALUE(MID(CP200,FIND("|",CP200)+1,FIND("-",CP200,FIND("|",CP200))-FIND("|",CP200)-1))-VALUE(MID(CP200,FIND("-",CP200,FIND("|",CP200))+1,10)))))*$D$50)))))*INDEX($I$200:$I$207,MATCH(LEFT(CP200,FIND("·",CP200)-1),$K$200:$K$207,0)),0),0),0)+IFERROR(IF(COUNTIF($C$200:$C$207,LEFT(CP200,FIND("·",CP200)-1))&gt;0,IF(INDEX($D$200:$D$207,MATCH(LEFT(CP200,FIND("·",CP200)-1),$C$200:$C$207,0))=IFERROR(VALUE(MID(CP200,FIND("·",CP200)+1,1)),0),($D$20+(INDEX($E$200:$E$207,MATCH(LEFT(CP200,FIND("·",CP200)-1),$C$200:$C$207,0))=MID(CP200,FIND("|",CP200)+1,10))*$D$22+MAX(0,IF($D$50=1,$D$21*(1-(ABS(INDEX($Q$200:$Q$207,MATCH(LEFT(CP200,FIND("·",CP200)-1),$C$200:$C$207,0))-(VALUE(MID(CP200,FIND("|",CP200)+1,FIND("-",CP200,FIND("|",CP200))-FIND("|",CP200)-1))-VALUE(MID(CP200,FIND("-",CP200,FIND("|",CP200))+1,10)))))*$D$50),$D$21*(1-(IF(INDEX($D$200:$D$207,MATCH(LEFT(CP200,FIND("·",CP200)-1),$C$200:$C$207,0))=0,ABS(INDEX($A$200:$A$207,MATCH(LEFT(CP200,FIND("·",CP200)-1),$C$200:$C$207,0))-VALUE(MID(CP200,FIND("|",CP200)+1,FIND("-",CP200,FIND("|",CP200))-FIND("|",CP200)-1))),ABS(INDEX($Q$200:$Q$207,MATCH(LEFT(CP200,FIND("·",CP200)-1),$C$200:$C$207,0))-(VALUE(MID(CP200,FIND("|",CP200)+1,FIND("-",CP200,FIND("|",CP200))-FIND("|",CP200)-1))-VALUE(MID(CP200,FIND("-",CP200,FIND("|",CP200))+1,10)))))*$D$50)))))*INDEX($I$200:$I$207,MATCH(LEFT(CP200,FIND("·",CP200)-1),$C$200:$C$207,0)),0),0),0)</f>
        <v>0</v>
      </c>
      <c r="CR200" s="110"/>
      <c r="CS200" s="66" t="s">
        <v>2622</v>
      </c>
      <c r="CT200" s="85">
        <f t="shared" ref="CT200" ca="1" si="1780">IFERROR(IF(COUNTIF($K$200:$K$207,LEFT(CS200,FIND("·",CS200)-1))&gt;0,IF(INDEX($L$200:$L$207,MATCH(LEFT(CS200,FIND("·",CS200)-1),$K$200:$K$207,0))=IFERROR(VALUE(MID(CS200,FIND("·",CS200)+1,1)),0),($D$20+(INDEX($M$200:$M$207,MATCH(LEFT(CS200,FIND("·",CS200)-1),$K$200:$K$207,0))=MID(CS200,FIND("|",CS200)+1,10))*$D$22+MAX(0,IF($D$50=1,$D$21*(1-(ABS(INDEX($P$200:$P$207,MATCH(LEFT(CS200,FIND("·",CS200)-1),$K$200:$K$207,0))-(VALUE(MID(CS200,FIND("|",CS200)+1,FIND("-",CS200,FIND("|",CS200))-FIND("|",CS200)-1))-VALUE(MID(CS200,FIND("-",CS200,FIND("|",CS200))+1,10)))))*$D$50),$D$21*(1-(IF(INDEX($L$200:$L$207,MATCH(LEFT(CS200,FIND("·",CS200)-1),$K$200:$K$207,0))=0,ABS(INDEX($N$200:$N$207,MATCH(LEFT(CS200,FIND("·",CS200)-1),$K$200:$K$207,0))-VALUE(MID(CS200,FIND("|",CS200)+1,FIND("-",CS200,FIND("|",CS200))-FIND("|",CS200)-1))),ABS(INDEX($P$200:$P$207,MATCH(LEFT(CS200,FIND("·",CS200)-1),$K$200:$K$207,0))-(VALUE(MID(CS200,FIND("|",CS200)+1,FIND("-",CS200,FIND("|",CS200))-FIND("|",CS200)-1))-VALUE(MID(CS200,FIND("-",CS200,FIND("|",CS200))+1,10)))))*$D$50)))))*INDEX($I$200:$I$207,MATCH(LEFT(CS200,FIND("·",CS200)-1),$K$200:$K$207,0)),0),0),0)+IFERROR(IF(COUNTIF($C$200:$C$207,LEFT(CS200,FIND("·",CS200)-1))&gt;0,IF(INDEX($D$200:$D$207,MATCH(LEFT(CS200,FIND("·",CS200)-1),$C$200:$C$207,0))=IFERROR(VALUE(MID(CS200,FIND("·",CS200)+1,1)),0),($D$20+(INDEX($E$200:$E$207,MATCH(LEFT(CS200,FIND("·",CS200)-1),$C$200:$C$207,0))=MID(CS200,FIND("|",CS200)+1,10))*$D$22+MAX(0,IF($D$50=1,$D$21*(1-(ABS(INDEX($Q$200:$Q$207,MATCH(LEFT(CS200,FIND("·",CS200)-1),$C$200:$C$207,0))-(VALUE(MID(CS200,FIND("|",CS200)+1,FIND("-",CS200,FIND("|",CS200))-FIND("|",CS200)-1))-VALUE(MID(CS200,FIND("-",CS200,FIND("|",CS200))+1,10)))))*$D$50),$D$21*(1-(IF(INDEX($D$200:$D$207,MATCH(LEFT(CS200,FIND("·",CS200)-1),$C$200:$C$207,0))=0,ABS(INDEX($A$200:$A$207,MATCH(LEFT(CS200,FIND("·",CS200)-1),$C$200:$C$207,0))-VALUE(MID(CS200,FIND("|",CS200)+1,FIND("-",CS200,FIND("|",CS200))-FIND("|",CS200)-1))),ABS(INDEX($Q$200:$Q$207,MATCH(LEFT(CS200,FIND("·",CS200)-1),$C$200:$C$207,0))-(VALUE(MID(CS200,FIND("|",CS200)+1,FIND("-",CS200,FIND("|",CS200))-FIND("|",CS200)-1))-VALUE(MID(CS200,FIND("-",CS200,FIND("|",CS200))+1,10)))))*$D$50)))))*INDEX($I$200:$I$207,MATCH(LEFT(CS200,FIND("·",CS200)-1),$C$200:$C$207,0)),0),0),0)</f>
        <v>0</v>
      </c>
      <c r="CU200" s="110"/>
      <c r="CV200" s="66" t="s">
        <v>2052</v>
      </c>
      <c r="CW200" s="85">
        <f t="shared" ref="CW200" ca="1" si="1781">IFERROR(IF(COUNTIF($K$200:$K$207,LEFT(CV200,FIND("·",CV200)-1))&gt;0,IF(INDEX($L$200:$L$207,MATCH(LEFT(CV200,FIND("·",CV200)-1),$K$200:$K$207,0))=IFERROR(VALUE(MID(CV200,FIND("·",CV200)+1,1)),0),($D$20+(INDEX($M$200:$M$207,MATCH(LEFT(CV200,FIND("·",CV200)-1),$K$200:$K$207,0))=MID(CV200,FIND("|",CV200)+1,10))*$D$22+MAX(0,IF($D$50=1,$D$21*(1-(ABS(INDEX($P$200:$P$207,MATCH(LEFT(CV200,FIND("·",CV200)-1),$K$200:$K$207,0))-(VALUE(MID(CV200,FIND("|",CV200)+1,FIND("-",CV200,FIND("|",CV200))-FIND("|",CV200)-1))-VALUE(MID(CV200,FIND("-",CV200,FIND("|",CV200))+1,10)))))*$D$50),$D$21*(1-(IF(INDEX($L$200:$L$207,MATCH(LEFT(CV200,FIND("·",CV200)-1),$K$200:$K$207,0))=0,ABS(INDEX($N$200:$N$207,MATCH(LEFT(CV200,FIND("·",CV200)-1),$K$200:$K$207,0))-VALUE(MID(CV200,FIND("|",CV200)+1,FIND("-",CV200,FIND("|",CV200))-FIND("|",CV200)-1))),ABS(INDEX($P$200:$P$207,MATCH(LEFT(CV200,FIND("·",CV200)-1),$K$200:$K$207,0))-(VALUE(MID(CV200,FIND("|",CV200)+1,FIND("-",CV200,FIND("|",CV200))-FIND("|",CV200)-1))-VALUE(MID(CV200,FIND("-",CV200,FIND("|",CV200))+1,10)))))*$D$50)))))*INDEX($I$200:$I$207,MATCH(LEFT(CV200,FIND("·",CV200)-1),$K$200:$K$207,0)),0),0),0)+IFERROR(IF(COUNTIF($C$200:$C$207,LEFT(CV200,FIND("·",CV200)-1))&gt;0,IF(INDEX($D$200:$D$207,MATCH(LEFT(CV200,FIND("·",CV200)-1),$C$200:$C$207,0))=IFERROR(VALUE(MID(CV200,FIND("·",CV200)+1,1)),0),($D$20+(INDEX($E$200:$E$207,MATCH(LEFT(CV200,FIND("·",CV200)-1),$C$200:$C$207,0))=MID(CV200,FIND("|",CV200)+1,10))*$D$22+MAX(0,IF($D$50=1,$D$21*(1-(ABS(INDEX($Q$200:$Q$207,MATCH(LEFT(CV200,FIND("·",CV200)-1),$C$200:$C$207,0))-(VALUE(MID(CV200,FIND("|",CV200)+1,FIND("-",CV200,FIND("|",CV200))-FIND("|",CV200)-1))-VALUE(MID(CV200,FIND("-",CV200,FIND("|",CV200))+1,10)))))*$D$50),$D$21*(1-(IF(INDEX($D$200:$D$207,MATCH(LEFT(CV200,FIND("·",CV200)-1),$C$200:$C$207,0))=0,ABS(INDEX($A$200:$A$207,MATCH(LEFT(CV200,FIND("·",CV200)-1),$C$200:$C$207,0))-VALUE(MID(CV200,FIND("|",CV200)+1,FIND("-",CV200,FIND("|",CV200))-FIND("|",CV200)-1))),ABS(INDEX($Q$200:$Q$207,MATCH(LEFT(CV200,FIND("·",CV200)-1),$C$200:$C$207,0))-(VALUE(MID(CV200,FIND("|",CV200)+1,FIND("-",CV200,FIND("|",CV200))-FIND("|",CV200)-1))-VALUE(MID(CV200,FIND("-",CV200,FIND("|",CV200))+1,10)))))*$D$50)))))*INDEX($I$200:$I$207,MATCH(LEFT(CV200,FIND("·",CV200)-1),$C$200:$C$207,0)),0),0),0)</f>
        <v>0</v>
      </c>
      <c r="CX200" s="110"/>
      <c r="CY200" s="66" t="s">
        <v>2675</v>
      </c>
      <c r="CZ200" s="85">
        <f t="shared" ref="CZ200" ca="1" si="1782">IFERROR(IF(COUNTIF($K$200:$K$207,LEFT(CY200,FIND("·",CY200)-1))&gt;0,IF(INDEX($L$200:$L$207,MATCH(LEFT(CY200,FIND("·",CY200)-1),$K$200:$K$207,0))=IFERROR(VALUE(MID(CY200,FIND("·",CY200)+1,1)),0),($D$20+(INDEX($M$200:$M$207,MATCH(LEFT(CY200,FIND("·",CY200)-1),$K$200:$K$207,0))=MID(CY200,FIND("|",CY200)+1,10))*$D$22+MAX(0,IF($D$50=1,$D$21*(1-(ABS(INDEX($P$200:$P$207,MATCH(LEFT(CY200,FIND("·",CY200)-1),$K$200:$K$207,0))-(VALUE(MID(CY200,FIND("|",CY200)+1,FIND("-",CY200,FIND("|",CY200))-FIND("|",CY200)-1))-VALUE(MID(CY200,FIND("-",CY200,FIND("|",CY200))+1,10)))))*$D$50),$D$21*(1-(IF(INDEX($L$200:$L$207,MATCH(LEFT(CY200,FIND("·",CY200)-1),$K$200:$K$207,0))=0,ABS(INDEX($N$200:$N$207,MATCH(LEFT(CY200,FIND("·",CY200)-1),$K$200:$K$207,0))-VALUE(MID(CY200,FIND("|",CY200)+1,FIND("-",CY200,FIND("|",CY200))-FIND("|",CY200)-1))),ABS(INDEX($P$200:$P$207,MATCH(LEFT(CY200,FIND("·",CY200)-1),$K$200:$K$207,0))-(VALUE(MID(CY200,FIND("|",CY200)+1,FIND("-",CY200,FIND("|",CY200))-FIND("|",CY200)-1))-VALUE(MID(CY200,FIND("-",CY200,FIND("|",CY200))+1,10)))))*$D$50)))))*INDEX($I$200:$I$207,MATCH(LEFT(CY200,FIND("·",CY200)-1),$K$200:$K$207,0)),0),0),0)+IFERROR(IF(COUNTIF($C$200:$C$207,LEFT(CY200,FIND("·",CY200)-1))&gt;0,IF(INDEX($D$200:$D$207,MATCH(LEFT(CY200,FIND("·",CY200)-1),$C$200:$C$207,0))=IFERROR(VALUE(MID(CY200,FIND("·",CY200)+1,1)),0),($D$20+(INDEX($E$200:$E$207,MATCH(LEFT(CY200,FIND("·",CY200)-1),$C$200:$C$207,0))=MID(CY200,FIND("|",CY200)+1,10))*$D$22+MAX(0,IF($D$50=1,$D$21*(1-(ABS(INDEX($Q$200:$Q$207,MATCH(LEFT(CY200,FIND("·",CY200)-1),$C$200:$C$207,0))-(VALUE(MID(CY200,FIND("|",CY200)+1,FIND("-",CY200,FIND("|",CY200))-FIND("|",CY200)-1))-VALUE(MID(CY200,FIND("-",CY200,FIND("|",CY200))+1,10)))))*$D$50),$D$21*(1-(IF(INDEX($D$200:$D$207,MATCH(LEFT(CY200,FIND("·",CY200)-1),$C$200:$C$207,0))=0,ABS(INDEX($A$200:$A$207,MATCH(LEFT(CY200,FIND("·",CY200)-1),$C$200:$C$207,0))-VALUE(MID(CY200,FIND("|",CY200)+1,FIND("-",CY200,FIND("|",CY200))-FIND("|",CY200)-1))),ABS(INDEX($Q$200:$Q$207,MATCH(LEFT(CY200,FIND("·",CY200)-1),$C$200:$C$207,0))-(VALUE(MID(CY200,FIND("|",CY200)+1,FIND("-",CY200,FIND("|",CY200))-FIND("|",CY200)-1))-VALUE(MID(CY200,FIND("-",CY200,FIND("|",CY200))+1,10)))))*$D$50)))))*INDEX($I$200:$I$207,MATCH(LEFT(CY200,FIND("·",CY200)-1),$C$200:$C$207,0)),0),0),0)</f>
        <v>0</v>
      </c>
      <c r="DA200" s="110"/>
      <c r="DB200" s="66" t="s">
        <v>2314</v>
      </c>
      <c r="DC200" s="85">
        <f t="shared" ref="DC200" ca="1" si="1783">IFERROR(IF(COUNTIF($K$200:$K$207,LEFT(DB200,FIND("·",DB200)-1))&gt;0,IF(INDEX($L$200:$L$207,MATCH(LEFT(DB200,FIND("·",DB200)-1),$K$200:$K$207,0))=IFERROR(VALUE(MID(DB200,FIND("·",DB200)+1,1)),0),($D$20+(INDEX($M$200:$M$207,MATCH(LEFT(DB200,FIND("·",DB200)-1),$K$200:$K$207,0))=MID(DB200,FIND("|",DB200)+1,10))*$D$22+MAX(0,IF($D$50=1,$D$21*(1-(ABS(INDEX($P$200:$P$207,MATCH(LEFT(DB200,FIND("·",DB200)-1),$K$200:$K$207,0))-(VALUE(MID(DB200,FIND("|",DB200)+1,FIND("-",DB200,FIND("|",DB200))-FIND("|",DB200)-1))-VALUE(MID(DB200,FIND("-",DB200,FIND("|",DB200))+1,10)))))*$D$50),$D$21*(1-(IF(INDEX($L$200:$L$207,MATCH(LEFT(DB200,FIND("·",DB200)-1),$K$200:$K$207,0))=0,ABS(INDEX($N$200:$N$207,MATCH(LEFT(DB200,FIND("·",DB200)-1),$K$200:$K$207,0))-VALUE(MID(DB200,FIND("|",DB200)+1,FIND("-",DB200,FIND("|",DB200))-FIND("|",DB200)-1))),ABS(INDEX($P$200:$P$207,MATCH(LEFT(DB200,FIND("·",DB200)-1),$K$200:$K$207,0))-(VALUE(MID(DB200,FIND("|",DB200)+1,FIND("-",DB200,FIND("|",DB200))-FIND("|",DB200)-1))-VALUE(MID(DB200,FIND("-",DB200,FIND("|",DB200))+1,10)))))*$D$50)))))*INDEX($I$200:$I$207,MATCH(LEFT(DB200,FIND("·",DB200)-1),$K$200:$K$207,0)),0),0),0)+IFERROR(IF(COUNTIF($C$200:$C$207,LEFT(DB200,FIND("·",DB200)-1))&gt;0,IF(INDEX($D$200:$D$207,MATCH(LEFT(DB200,FIND("·",DB200)-1),$C$200:$C$207,0))=IFERROR(VALUE(MID(DB200,FIND("·",DB200)+1,1)),0),($D$20+(INDEX($E$200:$E$207,MATCH(LEFT(DB200,FIND("·",DB200)-1),$C$200:$C$207,0))=MID(DB200,FIND("|",DB200)+1,10))*$D$22+MAX(0,IF($D$50=1,$D$21*(1-(ABS(INDEX($Q$200:$Q$207,MATCH(LEFT(DB200,FIND("·",DB200)-1),$C$200:$C$207,0))-(VALUE(MID(DB200,FIND("|",DB200)+1,FIND("-",DB200,FIND("|",DB200))-FIND("|",DB200)-1))-VALUE(MID(DB200,FIND("-",DB200,FIND("|",DB200))+1,10)))))*$D$50),$D$21*(1-(IF(INDEX($D$200:$D$207,MATCH(LEFT(DB200,FIND("·",DB200)-1),$C$200:$C$207,0))=0,ABS(INDEX($A$200:$A$207,MATCH(LEFT(DB200,FIND("·",DB200)-1),$C$200:$C$207,0))-VALUE(MID(DB200,FIND("|",DB200)+1,FIND("-",DB200,FIND("|",DB200))-FIND("|",DB200)-1))),ABS(INDEX($Q$200:$Q$207,MATCH(LEFT(DB200,FIND("·",DB200)-1),$C$200:$C$207,0))-(VALUE(MID(DB200,FIND("|",DB200)+1,FIND("-",DB200,FIND("|",DB200))-FIND("|",DB200)-1))-VALUE(MID(DB200,FIND("-",DB200,FIND("|",DB200))+1,10)))))*$D$50)))))*INDEX($I$200:$I$207,MATCH(LEFT(DB200,FIND("·",DB200)-1),$C$200:$C$207,0)),0),0),0)</f>
        <v>0</v>
      </c>
      <c r="DD200" s="110"/>
      <c r="DE200" s="66" t="s">
        <v>2431</v>
      </c>
      <c r="DF200" s="85">
        <f t="shared" ref="DF200" ca="1" si="1784">IFERROR(IF(COUNTIF($K$200:$K$207,LEFT(DE200,FIND("·",DE200)-1))&gt;0,IF(INDEX($L$200:$L$207,MATCH(LEFT(DE200,FIND("·",DE200)-1),$K$200:$K$207,0))=IFERROR(VALUE(MID(DE200,FIND("·",DE200)+1,1)),0),($D$20+(INDEX($M$200:$M$207,MATCH(LEFT(DE200,FIND("·",DE200)-1),$K$200:$K$207,0))=MID(DE200,FIND("|",DE200)+1,10))*$D$22+MAX(0,IF($D$50=1,$D$21*(1-(ABS(INDEX($P$200:$P$207,MATCH(LEFT(DE200,FIND("·",DE200)-1),$K$200:$K$207,0))-(VALUE(MID(DE200,FIND("|",DE200)+1,FIND("-",DE200,FIND("|",DE200))-FIND("|",DE200)-1))-VALUE(MID(DE200,FIND("-",DE200,FIND("|",DE200))+1,10)))))*$D$50),$D$21*(1-(IF(INDEX($L$200:$L$207,MATCH(LEFT(DE200,FIND("·",DE200)-1),$K$200:$K$207,0))=0,ABS(INDEX($N$200:$N$207,MATCH(LEFT(DE200,FIND("·",DE200)-1),$K$200:$K$207,0))-VALUE(MID(DE200,FIND("|",DE200)+1,FIND("-",DE200,FIND("|",DE200))-FIND("|",DE200)-1))),ABS(INDEX($P$200:$P$207,MATCH(LEFT(DE200,FIND("·",DE200)-1),$K$200:$K$207,0))-(VALUE(MID(DE200,FIND("|",DE200)+1,FIND("-",DE200,FIND("|",DE200))-FIND("|",DE200)-1))-VALUE(MID(DE200,FIND("-",DE200,FIND("|",DE200))+1,10)))))*$D$50)))))*INDEX($I$200:$I$207,MATCH(LEFT(DE200,FIND("·",DE200)-1),$K$200:$K$207,0)),0),0),0)+IFERROR(IF(COUNTIF($C$200:$C$207,LEFT(DE200,FIND("·",DE200)-1))&gt;0,IF(INDEX($D$200:$D$207,MATCH(LEFT(DE200,FIND("·",DE200)-1),$C$200:$C$207,0))=IFERROR(VALUE(MID(DE200,FIND("·",DE200)+1,1)),0),($D$20+(INDEX($E$200:$E$207,MATCH(LEFT(DE200,FIND("·",DE200)-1),$C$200:$C$207,0))=MID(DE200,FIND("|",DE200)+1,10))*$D$22+MAX(0,IF($D$50=1,$D$21*(1-(ABS(INDEX($Q$200:$Q$207,MATCH(LEFT(DE200,FIND("·",DE200)-1),$C$200:$C$207,0))-(VALUE(MID(DE200,FIND("|",DE200)+1,FIND("-",DE200,FIND("|",DE200))-FIND("|",DE200)-1))-VALUE(MID(DE200,FIND("-",DE200,FIND("|",DE200))+1,10)))))*$D$50),$D$21*(1-(IF(INDEX($D$200:$D$207,MATCH(LEFT(DE200,FIND("·",DE200)-1),$C$200:$C$207,0))=0,ABS(INDEX($A$200:$A$207,MATCH(LEFT(DE200,FIND("·",DE200)-1),$C$200:$C$207,0))-VALUE(MID(DE200,FIND("|",DE200)+1,FIND("-",DE200,FIND("|",DE200))-FIND("|",DE200)-1))),ABS(INDEX($Q$200:$Q$207,MATCH(LEFT(DE200,FIND("·",DE200)-1),$C$200:$C$207,0))-(VALUE(MID(DE200,FIND("|",DE200)+1,FIND("-",DE200,FIND("|",DE200))-FIND("|",DE200)-1))-VALUE(MID(DE200,FIND("-",DE200,FIND("|",DE200))+1,10)))))*$D$50)))))*INDEX($I$200:$I$207,MATCH(LEFT(DE200,FIND("·",DE200)-1),$C$200:$C$207,0)),0),0),0)</f>
        <v>0</v>
      </c>
      <c r="DG200" s="110"/>
      <c r="DH200" s="66" t="s">
        <v>2734</v>
      </c>
      <c r="DI200" s="85">
        <f t="shared" ref="DI200" ca="1" si="1785">IFERROR(IF(COUNTIF($K$200:$K$207,LEFT(DH200,FIND("·",DH200)-1))&gt;0,IF(INDEX($L$200:$L$207,MATCH(LEFT(DH200,FIND("·",DH200)-1),$K$200:$K$207,0))=IFERROR(VALUE(MID(DH200,FIND("·",DH200)+1,1)),0),($D$20+(INDEX($M$200:$M$207,MATCH(LEFT(DH200,FIND("·",DH200)-1),$K$200:$K$207,0))=MID(DH200,FIND("|",DH200)+1,10))*$D$22+MAX(0,IF($D$50=1,$D$21*(1-(ABS(INDEX($P$200:$P$207,MATCH(LEFT(DH200,FIND("·",DH200)-1),$K$200:$K$207,0))-(VALUE(MID(DH200,FIND("|",DH200)+1,FIND("-",DH200,FIND("|",DH200))-FIND("|",DH200)-1))-VALUE(MID(DH200,FIND("-",DH200,FIND("|",DH200))+1,10)))))*$D$50),$D$21*(1-(IF(INDEX($L$200:$L$207,MATCH(LEFT(DH200,FIND("·",DH200)-1),$K$200:$K$207,0))=0,ABS(INDEX($N$200:$N$207,MATCH(LEFT(DH200,FIND("·",DH200)-1),$K$200:$K$207,0))-VALUE(MID(DH200,FIND("|",DH200)+1,FIND("-",DH200,FIND("|",DH200))-FIND("|",DH200)-1))),ABS(INDEX($P$200:$P$207,MATCH(LEFT(DH200,FIND("·",DH200)-1),$K$200:$K$207,0))-(VALUE(MID(DH200,FIND("|",DH200)+1,FIND("-",DH200,FIND("|",DH200))-FIND("|",DH200)-1))-VALUE(MID(DH200,FIND("-",DH200,FIND("|",DH200))+1,10)))))*$D$50)))))*INDEX($I$200:$I$207,MATCH(LEFT(DH200,FIND("·",DH200)-1),$K$200:$K$207,0)),0),0),0)+IFERROR(IF(COUNTIF($C$200:$C$207,LEFT(DH200,FIND("·",DH200)-1))&gt;0,IF(INDEX($D$200:$D$207,MATCH(LEFT(DH200,FIND("·",DH200)-1),$C$200:$C$207,0))=IFERROR(VALUE(MID(DH200,FIND("·",DH200)+1,1)),0),($D$20+(INDEX($E$200:$E$207,MATCH(LEFT(DH200,FIND("·",DH200)-1),$C$200:$C$207,0))=MID(DH200,FIND("|",DH200)+1,10))*$D$22+MAX(0,IF($D$50=1,$D$21*(1-(ABS(INDEX($Q$200:$Q$207,MATCH(LEFT(DH200,FIND("·",DH200)-1),$C$200:$C$207,0))-(VALUE(MID(DH200,FIND("|",DH200)+1,FIND("-",DH200,FIND("|",DH200))-FIND("|",DH200)-1))-VALUE(MID(DH200,FIND("-",DH200,FIND("|",DH200))+1,10)))))*$D$50),$D$21*(1-(IF(INDEX($D$200:$D$207,MATCH(LEFT(DH200,FIND("·",DH200)-1),$C$200:$C$207,0))=0,ABS(INDEX($A$200:$A$207,MATCH(LEFT(DH200,FIND("·",DH200)-1),$C$200:$C$207,0))-VALUE(MID(DH200,FIND("|",DH200)+1,FIND("-",DH200,FIND("|",DH200))-FIND("|",DH200)-1))),ABS(INDEX($Q$200:$Q$207,MATCH(LEFT(DH200,FIND("·",DH200)-1),$C$200:$C$207,0))-(VALUE(MID(DH200,FIND("|",DH200)+1,FIND("-",DH200,FIND("|",DH200))-FIND("|",DH200)-1))-VALUE(MID(DH200,FIND("-",DH200,FIND("|",DH200))+1,10)))))*$D$50)))))*INDEX($I$200:$I$207,MATCH(LEFT(DH200,FIND("·",DH200)-1),$C$200:$C$207,0)),0),0),0)</f>
        <v>0</v>
      </c>
      <c r="DJ200" s="110"/>
      <c r="DK200" s="66" t="s">
        <v>2412</v>
      </c>
      <c r="DL200" s="85">
        <f t="shared" ref="DL200" ca="1" si="1786">IFERROR(IF(COUNTIF($K$200:$K$207,LEFT(DK200,FIND("·",DK200)-1))&gt;0,IF(INDEX($L$200:$L$207,MATCH(LEFT(DK200,FIND("·",DK200)-1),$K$200:$K$207,0))=IFERROR(VALUE(MID(DK200,FIND("·",DK200)+1,1)),0),($D$20+(INDEX($M$200:$M$207,MATCH(LEFT(DK200,FIND("·",DK200)-1),$K$200:$K$207,0))=MID(DK200,FIND("|",DK200)+1,10))*$D$22+MAX(0,IF($D$50=1,$D$21*(1-(ABS(INDEX($P$200:$P$207,MATCH(LEFT(DK200,FIND("·",DK200)-1),$K$200:$K$207,0))-(VALUE(MID(DK200,FIND("|",DK200)+1,FIND("-",DK200,FIND("|",DK200))-FIND("|",DK200)-1))-VALUE(MID(DK200,FIND("-",DK200,FIND("|",DK200))+1,10)))))*$D$50),$D$21*(1-(IF(INDEX($L$200:$L$207,MATCH(LEFT(DK200,FIND("·",DK200)-1),$K$200:$K$207,0))=0,ABS(INDEX($N$200:$N$207,MATCH(LEFT(DK200,FIND("·",DK200)-1),$K$200:$K$207,0))-VALUE(MID(DK200,FIND("|",DK200)+1,FIND("-",DK200,FIND("|",DK200))-FIND("|",DK200)-1))),ABS(INDEX($P$200:$P$207,MATCH(LEFT(DK200,FIND("·",DK200)-1),$K$200:$K$207,0))-(VALUE(MID(DK200,FIND("|",DK200)+1,FIND("-",DK200,FIND("|",DK200))-FIND("|",DK200)-1))-VALUE(MID(DK200,FIND("-",DK200,FIND("|",DK200))+1,10)))))*$D$50)))))*INDEX($I$200:$I$207,MATCH(LEFT(DK200,FIND("·",DK200)-1),$K$200:$K$207,0)),0),0),0)+IFERROR(IF(COUNTIF($C$200:$C$207,LEFT(DK200,FIND("·",DK200)-1))&gt;0,IF(INDEX($D$200:$D$207,MATCH(LEFT(DK200,FIND("·",DK200)-1),$C$200:$C$207,0))=IFERROR(VALUE(MID(DK200,FIND("·",DK200)+1,1)),0),($D$20+(INDEX($E$200:$E$207,MATCH(LEFT(DK200,FIND("·",DK200)-1),$C$200:$C$207,0))=MID(DK200,FIND("|",DK200)+1,10))*$D$22+MAX(0,IF($D$50=1,$D$21*(1-(ABS(INDEX($Q$200:$Q$207,MATCH(LEFT(DK200,FIND("·",DK200)-1),$C$200:$C$207,0))-(VALUE(MID(DK200,FIND("|",DK200)+1,FIND("-",DK200,FIND("|",DK200))-FIND("|",DK200)-1))-VALUE(MID(DK200,FIND("-",DK200,FIND("|",DK200))+1,10)))))*$D$50),$D$21*(1-(IF(INDEX($D$200:$D$207,MATCH(LEFT(DK200,FIND("·",DK200)-1),$C$200:$C$207,0))=0,ABS(INDEX($A$200:$A$207,MATCH(LEFT(DK200,FIND("·",DK200)-1),$C$200:$C$207,0))-VALUE(MID(DK200,FIND("|",DK200)+1,FIND("-",DK200,FIND("|",DK200))-FIND("|",DK200)-1))),ABS(INDEX($Q$200:$Q$207,MATCH(LEFT(DK200,FIND("·",DK200)-1),$C$200:$C$207,0))-(VALUE(MID(DK200,FIND("|",DK200)+1,FIND("-",DK200,FIND("|",DK200))-FIND("|",DK200)-1))-VALUE(MID(DK200,FIND("-",DK200,FIND("|",DK200))+1,10)))))*$D$50)))))*INDEX($I$200:$I$207,MATCH(LEFT(DK200,FIND("·",DK200)-1),$C$200:$C$207,0)),0),0),0)</f>
        <v>0</v>
      </c>
      <c r="DM200" s="110"/>
      <c r="DN200" s="66" t="s">
        <v>2314</v>
      </c>
      <c r="DO200" s="85">
        <f t="shared" ref="DO200" ca="1" si="1787">IFERROR(IF(COUNTIF($K$200:$K$207,LEFT(DN200,FIND("·",DN200)-1))&gt;0,IF(INDEX($L$200:$L$207,MATCH(LEFT(DN200,FIND("·",DN200)-1),$K$200:$K$207,0))=IFERROR(VALUE(MID(DN200,FIND("·",DN200)+1,1)),0),($D$20+(INDEX($M$200:$M$207,MATCH(LEFT(DN200,FIND("·",DN200)-1),$K$200:$K$207,0))=MID(DN200,FIND("|",DN200)+1,10))*$D$22+MAX(0,IF($D$50=1,$D$21*(1-(ABS(INDEX($P$200:$P$207,MATCH(LEFT(DN200,FIND("·",DN200)-1),$K$200:$K$207,0))-(VALUE(MID(DN200,FIND("|",DN200)+1,FIND("-",DN200,FIND("|",DN200))-FIND("|",DN200)-1))-VALUE(MID(DN200,FIND("-",DN200,FIND("|",DN200))+1,10)))))*$D$50),$D$21*(1-(IF(INDEX($L$200:$L$207,MATCH(LEFT(DN200,FIND("·",DN200)-1),$K$200:$K$207,0))=0,ABS(INDEX($N$200:$N$207,MATCH(LEFT(DN200,FIND("·",DN200)-1),$K$200:$K$207,0))-VALUE(MID(DN200,FIND("|",DN200)+1,FIND("-",DN200,FIND("|",DN200))-FIND("|",DN200)-1))),ABS(INDEX($P$200:$P$207,MATCH(LEFT(DN200,FIND("·",DN200)-1),$K$200:$K$207,0))-(VALUE(MID(DN200,FIND("|",DN200)+1,FIND("-",DN200,FIND("|",DN200))-FIND("|",DN200)-1))-VALUE(MID(DN200,FIND("-",DN200,FIND("|",DN200))+1,10)))))*$D$50)))))*INDEX($I$200:$I$207,MATCH(LEFT(DN200,FIND("·",DN200)-1),$K$200:$K$207,0)),0),0),0)+IFERROR(IF(COUNTIF($C$200:$C$207,LEFT(DN200,FIND("·",DN200)-1))&gt;0,IF(INDEX($D$200:$D$207,MATCH(LEFT(DN200,FIND("·",DN200)-1),$C$200:$C$207,0))=IFERROR(VALUE(MID(DN200,FIND("·",DN200)+1,1)),0),($D$20+(INDEX($E$200:$E$207,MATCH(LEFT(DN200,FIND("·",DN200)-1),$C$200:$C$207,0))=MID(DN200,FIND("|",DN200)+1,10))*$D$22+MAX(0,IF($D$50=1,$D$21*(1-(ABS(INDEX($Q$200:$Q$207,MATCH(LEFT(DN200,FIND("·",DN200)-1),$C$200:$C$207,0))-(VALUE(MID(DN200,FIND("|",DN200)+1,FIND("-",DN200,FIND("|",DN200))-FIND("|",DN200)-1))-VALUE(MID(DN200,FIND("-",DN200,FIND("|",DN200))+1,10)))))*$D$50),$D$21*(1-(IF(INDEX($D$200:$D$207,MATCH(LEFT(DN200,FIND("·",DN200)-1),$C$200:$C$207,0))=0,ABS(INDEX($A$200:$A$207,MATCH(LEFT(DN200,FIND("·",DN200)-1),$C$200:$C$207,0))-VALUE(MID(DN200,FIND("|",DN200)+1,FIND("-",DN200,FIND("|",DN200))-FIND("|",DN200)-1))),ABS(INDEX($Q$200:$Q$207,MATCH(LEFT(DN200,FIND("·",DN200)-1),$C$200:$C$207,0))-(VALUE(MID(DN200,FIND("|",DN200)+1,FIND("-",DN200,FIND("|",DN200))-FIND("|",DN200)-1))-VALUE(MID(DN200,FIND("-",DN200,FIND("|",DN200))+1,10)))))*$D$50)))))*INDEX($I$200:$I$207,MATCH(LEFT(DN200,FIND("·",DN200)-1),$C$200:$C$207,0)),0),0),0)</f>
        <v>0</v>
      </c>
      <c r="DP200" s="110"/>
      <c r="DQ200" s="66" t="s">
        <v>2593</v>
      </c>
      <c r="DR200" s="85">
        <f t="shared" ref="DR200" ca="1" si="1788">IFERROR(IF(COUNTIF($K$200:$K$207,LEFT(DQ200,FIND("·",DQ200)-1))&gt;0,IF(INDEX($L$200:$L$207,MATCH(LEFT(DQ200,FIND("·",DQ200)-1),$K$200:$K$207,0))=IFERROR(VALUE(MID(DQ200,FIND("·",DQ200)+1,1)),0),($D$20+(INDEX($M$200:$M$207,MATCH(LEFT(DQ200,FIND("·",DQ200)-1),$K$200:$K$207,0))=MID(DQ200,FIND("|",DQ200)+1,10))*$D$22+MAX(0,IF($D$50=1,$D$21*(1-(ABS(INDEX($P$200:$P$207,MATCH(LEFT(DQ200,FIND("·",DQ200)-1),$K$200:$K$207,0))-(VALUE(MID(DQ200,FIND("|",DQ200)+1,FIND("-",DQ200,FIND("|",DQ200))-FIND("|",DQ200)-1))-VALUE(MID(DQ200,FIND("-",DQ200,FIND("|",DQ200))+1,10)))))*$D$50),$D$21*(1-(IF(INDEX($L$200:$L$207,MATCH(LEFT(DQ200,FIND("·",DQ200)-1),$K$200:$K$207,0))=0,ABS(INDEX($N$200:$N$207,MATCH(LEFT(DQ200,FIND("·",DQ200)-1),$K$200:$K$207,0))-VALUE(MID(DQ200,FIND("|",DQ200)+1,FIND("-",DQ200,FIND("|",DQ200))-FIND("|",DQ200)-1))),ABS(INDEX($P$200:$P$207,MATCH(LEFT(DQ200,FIND("·",DQ200)-1),$K$200:$K$207,0))-(VALUE(MID(DQ200,FIND("|",DQ200)+1,FIND("-",DQ200,FIND("|",DQ200))-FIND("|",DQ200)-1))-VALUE(MID(DQ200,FIND("-",DQ200,FIND("|",DQ200))+1,10)))))*$D$50)))))*INDEX($I$200:$I$207,MATCH(LEFT(DQ200,FIND("·",DQ200)-1),$K$200:$K$207,0)),0),0),0)+IFERROR(IF(COUNTIF($C$200:$C$207,LEFT(DQ200,FIND("·",DQ200)-1))&gt;0,IF(INDEX($D$200:$D$207,MATCH(LEFT(DQ200,FIND("·",DQ200)-1),$C$200:$C$207,0))=IFERROR(VALUE(MID(DQ200,FIND("·",DQ200)+1,1)),0),($D$20+(INDEX($E$200:$E$207,MATCH(LEFT(DQ200,FIND("·",DQ200)-1),$C$200:$C$207,0))=MID(DQ200,FIND("|",DQ200)+1,10))*$D$22+MAX(0,IF($D$50=1,$D$21*(1-(ABS(INDEX($Q$200:$Q$207,MATCH(LEFT(DQ200,FIND("·",DQ200)-1),$C$200:$C$207,0))-(VALUE(MID(DQ200,FIND("|",DQ200)+1,FIND("-",DQ200,FIND("|",DQ200))-FIND("|",DQ200)-1))-VALUE(MID(DQ200,FIND("-",DQ200,FIND("|",DQ200))+1,10)))))*$D$50),$D$21*(1-(IF(INDEX($D$200:$D$207,MATCH(LEFT(DQ200,FIND("·",DQ200)-1),$C$200:$C$207,0))=0,ABS(INDEX($A$200:$A$207,MATCH(LEFT(DQ200,FIND("·",DQ200)-1),$C$200:$C$207,0))-VALUE(MID(DQ200,FIND("|",DQ200)+1,FIND("-",DQ200,FIND("|",DQ200))-FIND("|",DQ200)-1))),ABS(INDEX($Q$200:$Q$207,MATCH(LEFT(DQ200,FIND("·",DQ200)-1),$C$200:$C$207,0))-(VALUE(MID(DQ200,FIND("|",DQ200)+1,FIND("-",DQ200,FIND("|",DQ200))-FIND("|",DQ200)-1))-VALUE(MID(DQ200,FIND("-",DQ200,FIND("|",DQ200))+1,10)))))*$D$50)))))*INDEX($I$200:$I$207,MATCH(LEFT(DQ200,FIND("·",DQ200)-1),$C$200:$C$207,0)),0),0),0)</f>
        <v>0</v>
      </c>
      <c r="DS200" s="110"/>
      <c r="DT200" s="66" t="s">
        <v>2052</v>
      </c>
      <c r="DU200" s="85">
        <f t="shared" ref="DU200" ca="1" si="1789">IFERROR(IF(COUNTIF($K$200:$K$207,LEFT(DT200,FIND("·",DT200)-1))&gt;0,IF(INDEX($L$200:$L$207,MATCH(LEFT(DT200,FIND("·",DT200)-1),$K$200:$K$207,0))=IFERROR(VALUE(MID(DT200,FIND("·",DT200)+1,1)),0),($D$20+(INDEX($M$200:$M$207,MATCH(LEFT(DT200,FIND("·",DT200)-1),$K$200:$K$207,0))=MID(DT200,FIND("|",DT200)+1,10))*$D$22+MAX(0,IF($D$50=1,$D$21*(1-(ABS(INDEX($P$200:$P$207,MATCH(LEFT(DT200,FIND("·",DT200)-1),$K$200:$K$207,0))-(VALUE(MID(DT200,FIND("|",DT200)+1,FIND("-",DT200,FIND("|",DT200))-FIND("|",DT200)-1))-VALUE(MID(DT200,FIND("-",DT200,FIND("|",DT200))+1,10)))))*$D$50),$D$21*(1-(IF(INDEX($L$200:$L$207,MATCH(LEFT(DT200,FIND("·",DT200)-1),$K$200:$K$207,0))=0,ABS(INDEX($N$200:$N$207,MATCH(LEFT(DT200,FIND("·",DT200)-1),$K$200:$K$207,0))-VALUE(MID(DT200,FIND("|",DT200)+1,FIND("-",DT200,FIND("|",DT200))-FIND("|",DT200)-1))),ABS(INDEX($P$200:$P$207,MATCH(LEFT(DT200,FIND("·",DT200)-1),$K$200:$K$207,0))-(VALUE(MID(DT200,FIND("|",DT200)+1,FIND("-",DT200,FIND("|",DT200))-FIND("|",DT200)-1))-VALUE(MID(DT200,FIND("-",DT200,FIND("|",DT200))+1,10)))))*$D$50)))))*INDEX($I$200:$I$207,MATCH(LEFT(DT200,FIND("·",DT200)-1),$K$200:$K$207,0)),0),0),0)+IFERROR(IF(COUNTIF($C$200:$C$207,LEFT(DT200,FIND("·",DT200)-1))&gt;0,IF(INDEX($D$200:$D$207,MATCH(LEFT(DT200,FIND("·",DT200)-1),$C$200:$C$207,0))=IFERROR(VALUE(MID(DT200,FIND("·",DT200)+1,1)),0),($D$20+(INDEX($E$200:$E$207,MATCH(LEFT(DT200,FIND("·",DT200)-1),$C$200:$C$207,0))=MID(DT200,FIND("|",DT200)+1,10))*$D$22+MAX(0,IF($D$50=1,$D$21*(1-(ABS(INDEX($Q$200:$Q$207,MATCH(LEFT(DT200,FIND("·",DT200)-1),$C$200:$C$207,0))-(VALUE(MID(DT200,FIND("|",DT200)+1,FIND("-",DT200,FIND("|",DT200))-FIND("|",DT200)-1))-VALUE(MID(DT200,FIND("-",DT200,FIND("|",DT200))+1,10)))))*$D$50),$D$21*(1-(IF(INDEX($D$200:$D$207,MATCH(LEFT(DT200,FIND("·",DT200)-1),$C$200:$C$207,0))=0,ABS(INDEX($A$200:$A$207,MATCH(LEFT(DT200,FIND("·",DT200)-1),$C$200:$C$207,0))-VALUE(MID(DT200,FIND("|",DT200)+1,FIND("-",DT200,FIND("|",DT200))-FIND("|",DT200)-1))),ABS(INDEX($Q$200:$Q$207,MATCH(LEFT(DT200,FIND("·",DT200)-1),$C$200:$C$207,0))-(VALUE(MID(DT200,FIND("|",DT200)+1,FIND("-",DT200,FIND("|",DT200))-FIND("|",DT200)-1))-VALUE(MID(DT200,FIND("-",DT200,FIND("|",DT200))+1,10)))))*$D$50)))))*INDEX($I$200:$I$207,MATCH(LEFT(DT200,FIND("·",DT200)-1),$C$200:$C$207,0)),0),0),0)</f>
        <v>0</v>
      </c>
      <c r="DV200" s="110"/>
      <c r="DW200" s="66" t="s">
        <v>2809</v>
      </c>
      <c r="DX200" s="85">
        <f t="shared" ref="DX200" ca="1" si="1790">IFERROR(IF(COUNTIF($K$200:$K$207,LEFT(DW200,FIND("·",DW200)-1))&gt;0,IF(INDEX($L$200:$L$207,MATCH(LEFT(DW200,FIND("·",DW200)-1),$K$200:$K$207,0))=IFERROR(VALUE(MID(DW200,FIND("·",DW200)+1,1)),0),($D$20+(INDEX($M$200:$M$207,MATCH(LEFT(DW200,FIND("·",DW200)-1),$K$200:$K$207,0))=MID(DW200,FIND("|",DW200)+1,10))*$D$22+MAX(0,IF($D$50=1,$D$21*(1-(ABS(INDEX($P$200:$P$207,MATCH(LEFT(DW200,FIND("·",DW200)-1),$K$200:$K$207,0))-(VALUE(MID(DW200,FIND("|",DW200)+1,FIND("-",DW200,FIND("|",DW200))-FIND("|",DW200)-1))-VALUE(MID(DW200,FIND("-",DW200,FIND("|",DW200))+1,10)))))*$D$50),$D$21*(1-(IF(INDEX($L$200:$L$207,MATCH(LEFT(DW200,FIND("·",DW200)-1),$K$200:$K$207,0))=0,ABS(INDEX($N$200:$N$207,MATCH(LEFT(DW200,FIND("·",DW200)-1),$K$200:$K$207,0))-VALUE(MID(DW200,FIND("|",DW200)+1,FIND("-",DW200,FIND("|",DW200))-FIND("|",DW200)-1))),ABS(INDEX($P$200:$P$207,MATCH(LEFT(DW200,FIND("·",DW200)-1),$K$200:$K$207,0))-(VALUE(MID(DW200,FIND("|",DW200)+1,FIND("-",DW200,FIND("|",DW200))-FIND("|",DW200)-1))-VALUE(MID(DW200,FIND("-",DW200,FIND("|",DW200))+1,10)))))*$D$50)))))*INDEX($I$200:$I$207,MATCH(LEFT(DW200,FIND("·",DW200)-1),$K$200:$K$207,0)),0),0),0)+IFERROR(IF(COUNTIF($C$200:$C$207,LEFT(DW200,FIND("·",DW200)-1))&gt;0,IF(INDEX($D$200:$D$207,MATCH(LEFT(DW200,FIND("·",DW200)-1),$C$200:$C$207,0))=IFERROR(VALUE(MID(DW200,FIND("·",DW200)+1,1)),0),($D$20+(INDEX($E$200:$E$207,MATCH(LEFT(DW200,FIND("·",DW200)-1),$C$200:$C$207,0))=MID(DW200,FIND("|",DW200)+1,10))*$D$22+MAX(0,IF($D$50=1,$D$21*(1-(ABS(INDEX($Q$200:$Q$207,MATCH(LEFT(DW200,FIND("·",DW200)-1),$C$200:$C$207,0))-(VALUE(MID(DW200,FIND("|",DW200)+1,FIND("-",DW200,FIND("|",DW200))-FIND("|",DW200)-1))-VALUE(MID(DW200,FIND("-",DW200,FIND("|",DW200))+1,10)))))*$D$50),$D$21*(1-(IF(INDEX($D$200:$D$207,MATCH(LEFT(DW200,FIND("·",DW200)-1),$C$200:$C$207,0))=0,ABS(INDEX($A$200:$A$207,MATCH(LEFT(DW200,FIND("·",DW200)-1),$C$200:$C$207,0))-VALUE(MID(DW200,FIND("|",DW200)+1,FIND("-",DW200,FIND("|",DW200))-FIND("|",DW200)-1))),ABS(INDEX($Q$200:$Q$207,MATCH(LEFT(DW200,FIND("·",DW200)-1),$C$200:$C$207,0))-(VALUE(MID(DW200,FIND("|",DW200)+1,FIND("-",DW200,FIND("|",DW200))-FIND("|",DW200)-1))-VALUE(MID(DW200,FIND("-",DW200,FIND("|",DW200))+1,10)))))*$D$50)))))*INDEX($I$200:$I$207,MATCH(LEFT(DW200,FIND("·",DW200)-1),$C$200:$C$207,0)),0),0),0)</f>
        <v>0</v>
      </c>
      <c r="DY200" s="110"/>
      <c r="DZ200" s="66" t="s">
        <v>2809</v>
      </c>
      <c r="EA200" s="85">
        <f t="shared" ref="EA200" ca="1" si="1791">IFERROR(IF(COUNTIF($K$200:$K$207,LEFT(DZ200,FIND("·",DZ200)-1))&gt;0,IF(INDEX($L$200:$L$207,MATCH(LEFT(DZ200,FIND("·",DZ200)-1),$K$200:$K$207,0))=IFERROR(VALUE(MID(DZ200,FIND("·",DZ200)+1,1)),0),($D$20+(INDEX($M$200:$M$207,MATCH(LEFT(DZ200,FIND("·",DZ200)-1),$K$200:$K$207,0))=MID(DZ200,FIND("|",DZ200)+1,10))*$D$22+MAX(0,IF($D$50=1,$D$21*(1-(ABS(INDEX($P$200:$P$207,MATCH(LEFT(DZ200,FIND("·",DZ200)-1),$K$200:$K$207,0))-(VALUE(MID(DZ200,FIND("|",DZ200)+1,FIND("-",DZ200,FIND("|",DZ200))-FIND("|",DZ200)-1))-VALUE(MID(DZ200,FIND("-",DZ200,FIND("|",DZ200))+1,10)))))*$D$50),$D$21*(1-(IF(INDEX($L$200:$L$207,MATCH(LEFT(DZ200,FIND("·",DZ200)-1),$K$200:$K$207,0))=0,ABS(INDEX($N$200:$N$207,MATCH(LEFT(DZ200,FIND("·",DZ200)-1),$K$200:$K$207,0))-VALUE(MID(DZ200,FIND("|",DZ200)+1,FIND("-",DZ200,FIND("|",DZ200))-FIND("|",DZ200)-1))),ABS(INDEX($P$200:$P$207,MATCH(LEFT(DZ200,FIND("·",DZ200)-1),$K$200:$K$207,0))-(VALUE(MID(DZ200,FIND("|",DZ200)+1,FIND("-",DZ200,FIND("|",DZ200))-FIND("|",DZ200)-1))-VALUE(MID(DZ200,FIND("-",DZ200,FIND("|",DZ200))+1,10)))))*$D$50)))))*INDEX($I$200:$I$207,MATCH(LEFT(DZ200,FIND("·",DZ200)-1),$K$200:$K$207,0)),0),0),0)+IFERROR(IF(COUNTIF($C$200:$C$207,LEFT(DZ200,FIND("·",DZ200)-1))&gt;0,IF(INDEX($D$200:$D$207,MATCH(LEFT(DZ200,FIND("·",DZ200)-1),$C$200:$C$207,0))=IFERROR(VALUE(MID(DZ200,FIND("·",DZ200)+1,1)),0),($D$20+(INDEX($E$200:$E$207,MATCH(LEFT(DZ200,FIND("·",DZ200)-1),$C$200:$C$207,0))=MID(DZ200,FIND("|",DZ200)+1,10))*$D$22+MAX(0,IF($D$50=1,$D$21*(1-(ABS(INDEX($Q$200:$Q$207,MATCH(LEFT(DZ200,FIND("·",DZ200)-1),$C$200:$C$207,0))-(VALUE(MID(DZ200,FIND("|",DZ200)+1,FIND("-",DZ200,FIND("|",DZ200))-FIND("|",DZ200)-1))-VALUE(MID(DZ200,FIND("-",DZ200,FIND("|",DZ200))+1,10)))))*$D$50),$D$21*(1-(IF(INDEX($D$200:$D$207,MATCH(LEFT(DZ200,FIND("·",DZ200)-1),$C$200:$C$207,0))=0,ABS(INDEX($A$200:$A$207,MATCH(LEFT(DZ200,FIND("·",DZ200)-1),$C$200:$C$207,0))-VALUE(MID(DZ200,FIND("|",DZ200)+1,FIND("-",DZ200,FIND("|",DZ200))-FIND("|",DZ200)-1))),ABS(INDEX($Q$200:$Q$207,MATCH(LEFT(DZ200,FIND("·",DZ200)-1),$C$200:$C$207,0))-(VALUE(MID(DZ200,FIND("|",DZ200)+1,FIND("-",DZ200,FIND("|",DZ200))-FIND("|",DZ200)-1))-VALUE(MID(DZ200,FIND("-",DZ200,FIND("|",DZ200))+1,10)))))*$D$50)))))*INDEX($I$200:$I$207,MATCH(LEFT(DZ200,FIND("·",DZ200)-1),$C$200:$C$207,0)),0),0),0)</f>
        <v>0</v>
      </c>
      <c r="EB200" s="110"/>
      <c r="EC200" s="66" t="s">
        <v>2412</v>
      </c>
      <c r="ED200" s="85">
        <f t="shared" ref="ED200" ca="1" si="1792">IFERROR(IF(COUNTIF($K$200:$K$207,LEFT(EC200,FIND("·",EC200)-1))&gt;0,IF(INDEX($L$200:$L$207,MATCH(LEFT(EC200,FIND("·",EC200)-1),$K$200:$K$207,0))=IFERROR(VALUE(MID(EC200,FIND("·",EC200)+1,1)),0),($D$20+(INDEX($M$200:$M$207,MATCH(LEFT(EC200,FIND("·",EC200)-1),$K$200:$K$207,0))=MID(EC200,FIND("|",EC200)+1,10))*$D$22+MAX(0,IF($D$50=1,$D$21*(1-(ABS(INDEX($P$200:$P$207,MATCH(LEFT(EC200,FIND("·",EC200)-1),$K$200:$K$207,0))-(VALUE(MID(EC200,FIND("|",EC200)+1,FIND("-",EC200,FIND("|",EC200))-FIND("|",EC200)-1))-VALUE(MID(EC200,FIND("-",EC200,FIND("|",EC200))+1,10)))))*$D$50),$D$21*(1-(IF(INDEX($L$200:$L$207,MATCH(LEFT(EC200,FIND("·",EC200)-1),$K$200:$K$207,0))=0,ABS(INDEX($N$200:$N$207,MATCH(LEFT(EC200,FIND("·",EC200)-1),$K$200:$K$207,0))-VALUE(MID(EC200,FIND("|",EC200)+1,FIND("-",EC200,FIND("|",EC200))-FIND("|",EC200)-1))),ABS(INDEX($P$200:$P$207,MATCH(LEFT(EC200,FIND("·",EC200)-1),$K$200:$K$207,0))-(VALUE(MID(EC200,FIND("|",EC200)+1,FIND("-",EC200,FIND("|",EC200))-FIND("|",EC200)-1))-VALUE(MID(EC200,FIND("-",EC200,FIND("|",EC200))+1,10)))))*$D$50)))))*INDEX($I$200:$I$207,MATCH(LEFT(EC200,FIND("·",EC200)-1),$K$200:$K$207,0)),0),0),0)+IFERROR(IF(COUNTIF($C$200:$C$207,LEFT(EC200,FIND("·",EC200)-1))&gt;0,IF(INDEX($D$200:$D$207,MATCH(LEFT(EC200,FIND("·",EC200)-1),$C$200:$C$207,0))=IFERROR(VALUE(MID(EC200,FIND("·",EC200)+1,1)),0),($D$20+(INDEX($E$200:$E$207,MATCH(LEFT(EC200,FIND("·",EC200)-1),$C$200:$C$207,0))=MID(EC200,FIND("|",EC200)+1,10))*$D$22+MAX(0,IF($D$50=1,$D$21*(1-(ABS(INDEX($Q$200:$Q$207,MATCH(LEFT(EC200,FIND("·",EC200)-1),$C$200:$C$207,0))-(VALUE(MID(EC200,FIND("|",EC200)+1,FIND("-",EC200,FIND("|",EC200))-FIND("|",EC200)-1))-VALUE(MID(EC200,FIND("-",EC200,FIND("|",EC200))+1,10)))))*$D$50),$D$21*(1-(IF(INDEX($D$200:$D$207,MATCH(LEFT(EC200,FIND("·",EC200)-1),$C$200:$C$207,0))=0,ABS(INDEX($A$200:$A$207,MATCH(LEFT(EC200,FIND("·",EC200)-1),$C$200:$C$207,0))-VALUE(MID(EC200,FIND("|",EC200)+1,FIND("-",EC200,FIND("|",EC200))-FIND("|",EC200)-1))),ABS(INDEX($Q$200:$Q$207,MATCH(LEFT(EC200,FIND("·",EC200)-1),$C$200:$C$207,0))-(VALUE(MID(EC200,FIND("|",EC200)+1,FIND("-",EC200,FIND("|",EC200))-FIND("|",EC200)-1))-VALUE(MID(EC200,FIND("-",EC200,FIND("|",EC200))+1,10)))))*$D$50)))))*INDEX($I$200:$I$207,MATCH(LEFT(EC200,FIND("·",EC200)-1),$C$200:$C$207,0)),0),0),0)</f>
        <v>0</v>
      </c>
      <c r="EE200" s="110"/>
      <c r="EF200" s="66" t="s">
        <v>2841</v>
      </c>
      <c r="EG200" s="85">
        <f t="shared" ref="EG200" ca="1" si="1793">IFERROR(IF(COUNTIF($K$200:$K$207,LEFT(EF200,FIND("·",EF200)-1))&gt;0,IF(INDEX($L$200:$L$207,MATCH(LEFT(EF200,FIND("·",EF200)-1),$K$200:$K$207,0))=IFERROR(VALUE(MID(EF200,FIND("·",EF200)+1,1)),0),($D$20+(INDEX($M$200:$M$207,MATCH(LEFT(EF200,FIND("·",EF200)-1),$K$200:$K$207,0))=MID(EF200,FIND("|",EF200)+1,10))*$D$22+MAX(0,IF($D$50=1,$D$21*(1-(ABS(INDEX($P$200:$P$207,MATCH(LEFT(EF200,FIND("·",EF200)-1),$K$200:$K$207,0))-(VALUE(MID(EF200,FIND("|",EF200)+1,FIND("-",EF200,FIND("|",EF200))-FIND("|",EF200)-1))-VALUE(MID(EF200,FIND("-",EF200,FIND("|",EF200))+1,10)))))*$D$50),$D$21*(1-(IF(INDEX($L$200:$L$207,MATCH(LEFT(EF200,FIND("·",EF200)-1),$K$200:$K$207,0))=0,ABS(INDEX($N$200:$N$207,MATCH(LEFT(EF200,FIND("·",EF200)-1),$K$200:$K$207,0))-VALUE(MID(EF200,FIND("|",EF200)+1,FIND("-",EF200,FIND("|",EF200))-FIND("|",EF200)-1))),ABS(INDEX($P$200:$P$207,MATCH(LEFT(EF200,FIND("·",EF200)-1),$K$200:$K$207,0))-(VALUE(MID(EF200,FIND("|",EF200)+1,FIND("-",EF200,FIND("|",EF200))-FIND("|",EF200)-1))-VALUE(MID(EF200,FIND("-",EF200,FIND("|",EF200))+1,10)))))*$D$50)))))*INDEX($I$200:$I$207,MATCH(LEFT(EF200,FIND("·",EF200)-1),$K$200:$K$207,0)),0),0),0)+IFERROR(IF(COUNTIF($C$200:$C$207,LEFT(EF200,FIND("·",EF200)-1))&gt;0,IF(INDEX($D$200:$D$207,MATCH(LEFT(EF200,FIND("·",EF200)-1),$C$200:$C$207,0))=IFERROR(VALUE(MID(EF200,FIND("·",EF200)+1,1)),0),($D$20+(INDEX($E$200:$E$207,MATCH(LEFT(EF200,FIND("·",EF200)-1),$C$200:$C$207,0))=MID(EF200,FIND("|",EF200)+1,10))*$D$22+MAX(0,IF($D$50=1,$D$21*(1-(ABS(INDEX($Q$200:$Q$207,MATCH(LEFT(EF200,FIND("·",EF200)-1),$C$200:$C$207,0))-(VALUE(MID(EF200,FIND("|",EF200)+1,FIND("-",EF200,FIND("|",EF200))-FIND("|",EF200)-1))-VALUE(MID(EF200,FIND("-",EF200,FIND("|",EF200))+1,10)))))*$D$50),$D$21*(1-(IF(INDEX($D$200:$D$207,MATCH(LEFT(EF200,FIND("·",EF200)-1),$C$200:$C$207,0))=0,ABS(INDEX($A$200:$A$207,MATCH(LEFT(EF200,FIND("·",EF200)-1),$C$200:$C$207,0))-VALUE(MID(EF200,FIND("|",EF200)+1,FIND("-",EF200,FIND("|",EF200))-FIND("|",EF200)-1))),ABS(INDEX($Q$200:$Q$207,MATCH(LEFT(EF200,FIND("·",EF200)-1),$C$200:$C$207,0))-(VALUE(MID(EF200,FIND("|",EF200)+1,FIND("-",EF200,FIND("|",EF200))-FIND("|",EF200)-1))-VALUE(MID(EF200,FIND("-",EF200,FIND("|",EF200))+1,10)))))*$D$50)))))*INDEX($I$200:$I$207,MATCH(LEFT(EF200,FIND("·",EF200)-1),$C$200:$C$207,0)),0),0),0)</f>
        <v>0</v>
      </c>
      <c r="EH200" s="110"/>
      <c r="EI200" s="66" t="s">
        <v>2085</v>
      </c>
      <c r="EJ200" s="85">
        <f t="shared" ref="EJ200" ca="1" si="1794">IFERROR(IF(COUNTIF($K$200:$K$207,LEFT(EI200,FIND("·",EI200)-1))&gt;0,IF(INDEX($L$200:$L$207,MATCH(LEFT(EI200,FIND("·",EI200)-1),$K$200:$K$207,0))=IFERROR(VALUE(MID(EI200,FIND("·",EI200)+1,1)),0),($D$20+(INDEX($M$200:$M$207,MATCH(LEFT(EI200,FIND("·",EI200)-1),$K$200:$K$207,0))=MID(EI200,FIND("|",EI200)+1,10))*$D$22+MAX(0,IF($D$50=1,$D$21*(1-(ABS(INDEX($P$200:$P$207,MATCH(LEFT(EI200,FIND("·",EI200)-1),$K$200:$K$207,0))-(VALUE(MID(EI200,FIND("|",EI200)+1,FIND("-",EI200,FIND("|",EI200))-FIND("|",EI200)-1))-VALUE(MID(EI200,FIND("-",EI200,FIND("|",EI200))+1,10)))))*$D$50),$D$21*(1-(IF(INDEX($L$200:$L$207,MATCH(LEFT(EI200,FIND("·",EI200)-1),$K$200:$K$207,0))=0,ABS(INDEX($N$200:$N$207,MATCH(LEFT(EI200,FIND("·",EI200)-1),$K$200:$K$207,0))-VALUE(MID(EI200,FIND("|",EI200)+1,FIND("-",EI200,FIND("|",EI200))-FIND("|",EI200)-1))),ABS(INDEX($P$200:$P$207,MATCH(LEFT(EI200,FIND("·",EI200)-1),$K$200:$K$207,0))-(VALUE(MID(EI200,FIND("|",EI200)+1,FIND("-",EI200,FIND("|",EI200))-FIND("|",EI200)-1))-VALUE(MID(EI200,FIND("-",EI200,FIND("|",EI200))+1,10)))))*$D$50)))))*INDEX($I$200:$I$207,MATCH(LEFT(EI200,FIND("·",EI200)-1),$K$200:$K$207,0)),0),0),0)+IFERROR(IF(COUNTIF($C$200:$C$207,LEFT(EI200,FIND("·",EI200)-1))&gt;0,IF(INDEX($D$200:$D$207,MATCH(LEFT(EI200,FIND("·",EI200)-1),$C$200:$C$207,0))=IFERROR(VALUE(MID(EI200,FIND("·",EI200)+1,1)),0),($D$20+(INDEX($E$200:$E$207,MATCH(LEFT(EI200,FIND("·",EI200)-1),$C$200:$C$207,0))=MID(EI200,FIND("|",EI200)+1,10))*$D$22+MAX(0,IF($D$50=1,$D$21*(1-(ABS(INDEX($Q$200:$Q$207,MATCH(LEFT(EI200,FIND("·",EI200)-1),$C$200:$C$207,0))-(VALUE(MID(EI200,FIND("|",EI200)+1,FIND("-",EI200,FIND("|",EI200))-FIND("|",EI200)-1))-VALUE(MID(EI200,FIND("-",EI200,FIND("|",EI200))+1,10)))))*$D$50),$D$21*(1-(IF(INDEX($D$200:$D$207,MATCH(LEFT(EI200,FIND("·",EI200)-1),$C$200:$C$207,0))=0,ABS(INDEX($A$200:$A$207,MATCH(LEFT(EI200,FIND("·",EI200)-1),$C$200:$C$207,0))-VALUE(MID(EI200,FIND("|",EI200)+1,FIND("-",EI200,FIND("|",EI200))-FIND("|",EI200)-1))),ABS(INDEX($Q$200:$Q$207,MATCH(LEFT(EI200,FIND("·",EI200)-1),$C$200:$C$207,0))-(VALUE(MID(EI200,FIND("|",EI200)+1,FIND("-",EI200,FIND("|",EI200))-FIND("|",EI200)-1))-VALUE(MID(EI200,FIND("-",EI200,FIND("|",EI200))+1,10)))))*$D$50)))))*INDEX($I$200:$I$207,MATCH(LEFT(EI200,FIND("·",EI200)-1),$C$200:$C$207,0)),0),0),0)</f>
        <v>0</v>
      </c>
      <c r="EK200" s="110"/>
      <c r="EL200" s="66" t="s">
        <v>2866</v>
      </c>
      <c r="EM200" s="85">
        <f t="shared" ref="EM200" ca="1" si="1795">IFERROR(IF(COUNTIF($K$200:$K$207,LEFT(EL200,FIND("·",EL200)-1))&gt;0,IF(INDEX($L$200:$L$207,MATCH(LEFT(EL200,FIND("·",EL200)-1),$K$200:$K$207,0))=IFERROR(VALUE(MID(EL200,FIND("·",EL200)+1,1)),0),($D$20+(INDEX($M$200:$M$207,MATCH(LEFT(EL200,FIND("·",EL200)-1),$K$200:$K$207,0))=MID(EL200,FIND("|",EL200)+1,10))*$D$22+MAX(0,IF($D$50=1,$D$21*(1-(ABS(INDEX($P$200:$P$207,MATCH(LEFT(EL200,FIND("·",EL200)-1),$K$200:$K$207,0))-(VALUE(MID(EL200,FIND("|",EL200)+1,FIND("-",EL200,FIND("|",EL200))-FIND("|",EL200)-1))-VALUE(MID(EL200,FIND("-",EL200,FIND("|",EL200))+1,10)))))*$D$50),$D$21*(1-(IF(INDEX($L$200:$L$207,MATCH(LEFT(EL200,FIND("·",EL200)-1),$K$200:$K$207,0))=0,ABS(INDEX($N$200:$N$207,MATCH(LEFT(EL200,FIND("·",EL200)-1),$K$200:$K$207,0))-VALUE(MID(EL200,FIND("|",EL200)+1,FIND("-",EL200,FIND("|",EL200))-FIND("|",EL200)-1))),ABS(INDEX($P$200:$P$207,MATCH(LEFT(EL200,FIND("·",EL200)-1),$K$200:$K$207,0))-(VALUE(MID(EL200,FIND("|",EL200)+1,FIND("-",EL200,FIND("|",EL200))-FIND("|",EL200)-1))-VALUE(MID(EL200,FIND("-",EL200,FIND("|",EL200))+1,10)))))*$D$50)))))*INDEX($I$200:$I$207,MATCH(LEFT(EL200,FIND("·",EL200)-1),$K$200:$K$207,0)),0),0),0)+IFERROR(IF(COUNTIF($C$200:$C$207,LEFT(EL200,FIND("·",EL200)-1))&gt;0,IF(INDEX($D$200:$D$207,MATCH(LEFT(EL200,FIND("·",EL200)-1),$C$200:$C$207,0))=IFERROR(VALUE(MID(EL200,FIND("·",EL200)+1,1)),0),($D$20+(INDEX($E$200:$E$207,MATCH(LEFT(EL200,FIND("·",EL200)-1),$C$200:$C$207,0))=MID(EL200,FIND("|",EL200)+1,10))*$D$22+MAX(0,IF($D$50=1,$D$21*(1-(ABS(INDEX($Q$200:$Q$207,MATCH(LEFT(EL200,FIND("·",EL200)-1),$C$200:$C$207,0))-(VALUE(MID(EL200,FIND("|",EL200)+1,FIND("-",EL200,FIND("|",EL200))-FIND("|",EL200)-1))-VALUE(MID(EL200,FIND("-",EL200,FIND("|",EL200))+1,10)))))*$D$50),$D$21*(1-(IF(INDEX($D$200:$D$207,MATCH(LEFT(EL200,FIND("·",EL200)-1),$C$200:$C$207,0))=0,ABS(INDEX($A$200:$A$207,MATCH(LEFT(EL200,FIND("·",EL200)-1),$C$200:$C$207,0))-VALUE(MID(EL200,FIND("|",EL200)+1,FIND("-",EL200,FIND("|",EL200))-FIND("|",EL200)-1))),ABS(INDEX($Q$200:$Q$207,MATCH(LEFT(EL200,FIND("·",EL200)-1),$C$200:$C$207,0))-(VALUE(MID(EL200,FIND("|",EL200)+1,FIND("-",EL200,FIND("|",EL200))-FIND("|",EL200)-1))-VALUE(MID(EL200,FIND("-",EL200,FIND("|",EL200))+1,10)))))*$D$50)))))*INDEX($I$200:$I$207,MATCH(LEFT(EL200,FIND("·",EL200)-1),$C$200:$C$207,0)),0),0),0)</f>
        <v>10</v>
      </c>
      <c r="EN200" s="110"/>
      <c r="EO200" s="66" t="s">
        <v>2085</v>
      </c>
      <c r="EP200" s="85">
        <f t="shared" ref="EP200" ca="1" si="1796">IFERROR(IF(COUNTIF($K$200:$K$207,LEFT(EO200,FIND("·",EO200)-1))&gt;0,IF(INDEX($L$200:$L$207,MATCH(LEFT(EO200,FIND("·",EO200)-1),$K$200:$K$207,0))=IFERROR(VALUE(MID(EO200,FIND("·",EO200)+1,1)),0),($D$20+(INDEX($M$200:$M$207,MATCH(LEFT(EO200,FIND("·",EO200)-1),$K$200:$K$207,0))=MID(EO200,FIND("|",EO200)+1,10))*$D$22+MAX(0,IF($D$50=1,$D$21*(1-(ABS(INDEX($P$200:$P$207,MATCH(LEFT(EO200,FIND("·",EO200)-1),$K$200:$K$207,0))-(VALUE(MID(EO200,FIND("|",EO200)+1,FIND("-",EO200,FIND("|",EO200))-FIND("|",EO200)-1))-VALUE(MID(EO200,FIND("-",EO200,FIND("|",EO200))+1,10)))))*$D$50),$D$21*(1-(IF(INDEX($L$200:$L$207,MATCH(LEFT(EO200,FIND("·",EO200)-1),$K$200:$K$207,0))=0,ABS(INDEX($N$200:$N$207,MATCH(LEFT(EO200,FIND("·",EO200)-1),$K$200:$K$207,0))-VALUE(MID(EO200,FIND("|",EO200)+1,FIND("-",EO200,FIND("|",EO200))-FIND("|",EO200)-1))),ABS(INDEX($P$200:$P$207,MATCH(LEFT(EO200,FIND("·",EO200)-1),$K$200:$K$207,0))-(VALUE(MID(EO200,FIND("|",EO200)+1,FIND("-",EO200,FIND("|",EO200))-FIND("|",EO200)-1))-VALUE(MID(EO200,FIND("-",EO200,FIND("|",EO200))+1,10)))))*$D$50)))))*INDEX($I$200:$I$207,MATCH(LEFT(EO200,FIND("·",EO200)-1),$K$200:$K$207,0)),0),0),0)+IFERROR(IF(COUNTIF($C$200:$C$207,LEFT(EO200,FIND("·",EO200)-1))&gt;0,IF(INDEX($D$200:$D$207,MATCH(LEFT(EO200,FIND("·",EO200)-1),$C$200:$C$207,0))=IFERROR(VALUE(MID(EO200,FIND("·",EO200)+1,1)),0),($D$20+(INDEX($E$200:$E$207,MATCH(LEFT(EO200,FIND("·",EO200)-1),$C$200:$C$207,0))=MID(EO200,FIND("|",EO200)+1,10))*$D$22+MAX(0,IF($D$50=1,$D$21*(1-(ABS(INDEX($Q$200:$Q$207,MATCH(LEFT(EO200,FIND("·",EO200)-1),$C$200:$C$207,0))-(VALUE(MID(EO200,FIND("|",EO200)+1,FIND("-",EO200,FIND("|",EO200))-FIND("|",EO200)-1))-VALUE(MID(EO200,FIND("-",EO200,FIND("|",EO200))+1,10)))))*$D$50),$D$21*(1-(IF(INDEX($D$200:$D$207,MATCH(LEFT(EO200,FIND("·",EO200)-1),$C$200:$C$207,0))=0,ABS(INDEX($A$200:$A$207,MATCH(LEFT(EO200,FIND("·",EO200)-1),$C$200:$C$207,0))-VALUE(MID(EO200,FIND("|",EO200)+1,FIND("-",EO200,FIND("|",EO200))-FIND("|",EO200)-1))),ABS(INDEX($Q$200:$Q$207,MATCH(LEFT(EO200,FIND("·",EO200)-1),$C$200:$C$207,0))-(VALUE(MID(EO200,FIND("|",EO200)+1,FIND("-",EO200,FIND("|",EO200))-FIND("|",EO200)-1))-VALUE(MID(EO200,FIND("-",EO200,FIND("|",EO200))+1,10)))))*$D$50)))))*INDEX($I$200:$I$207,MATCH(LEFT(EO200,FIND("·",EO200)-1),$C$200:$C$207,0)),0),0),0)</f>
        <v>0</v>
      </c>
      <c r="EQ200" s="110"/>
      <c r="ER200" s="66" t="s">
        <v>2412</v>
      </c>
      <c r="ES200" s="85">
        <f t="shared" ref="ES200" ca="1" si="1797">IFERROR(IF(COUNTIF($K$200:$K$207,LEFT(ER200,FIND("·",ER200)-1))&gt;0,IF(INDEX($L$200:$L$207,MATCH(LEFT(ER200,FIND("·",ER200)-1),$K$200:$K$207,0))=IFERROR(VALUE(MID(ER200,FIND("·",ER200)+1,1)),0),($D$20+(INDEX($M$200:$M$207,MATCH(LEFT(ER200,FIND("·",ER200)-1),$K$200:$K$207,0))=MID(ER200,FIND("|",ER200)+1,10))*$D$22+MAX(0,IF($D$50=1,$D$21*(1-(ABS(INDEX($P$200:$P$207,MATCH(LEFT(ER200,FIND("·",ER200)-1),$K$200:$K$207,0))-(VALUE(MID(ER200,FIND("|",ER200)+1,FIND("-",ER200,FIND("|",ER200))-FIND("|",ER200)-1))-VALUE(MID(ER200,FIND("-",ER200,FIND("|",ER200))+1,10)))))*$D$50),$D$21*(1-(IF(INDEX($L$200:$L$207,MATCH(LEFT(ER200,FIND("·",ER200)-1),$K$200:$K$207,0))=0,ABS(INDEX($N$200:$N$207,MATCH(LEFT(ER200,FIND("·",ER200)-1),$K$200:$K$207,0))-VALUE(MID(ER200,FIND("|",ER200)+1,FIND("-",ER200,FIND("|",ER200))-FIND("|",ER200)-1))),ABS(INDEX($P$200:$P$207,MATCH(LEFT(ER200,FIND("·",ER200)-1),$K$200:$K$207,0))-(VALUE(MID(ER200,FIND("|",ER200)+1,FIND("-",ER200,FIND("|",ER200))-FIND("|",ER200)-1))-VALUE(MID(ER200,FIND("-",ER200,FIND("|",ER200))+1,10)))))*$D$50)))))*INDEX($I$200:$I$207,MATCH(LEFT(ER200,FIND("·",ER200)-1),$K$200:$K$207,0)),0),0),0)+IFERROR(IF(COUNTIF($C$200:$C$207,LEFT(ER200,FIND("·",ER200)-1))&gt;0,IF(INDEX($D$200:$D$207,MATCH(LEFT(ER200,FIND("·",ER200)-1),$C$200:$C$207,0))=IFERROR(VALUE(MID(ER200,FIND("·",ER200)+1,1)),0),($D$20+(INDEX($E$200:$E$207,MATCH(LEFT(ER200,FIND("·",ER200)-1),$C$200:$C$207,0))=MID(ER200,FIND("|",ER200)+1,10))*$D$22+MAX(0,IF($D$50=1,$D$21*(1-(ABS(INDEX($Q$200:$Q$207,MATCH(LEFT(ER200,FIND("·",ER200)-1),$C$200:$C$207,0))-(VALUE(MID(ER200,FIND("|",ER200)+1,FIND("-",ER200,FIND("|",ER200))-FIND("|",ER200)-1))-VALUE(MID(ER200,FIND("-",ER200,FIND("|",ER200))+1,10)))))*$D$50),$D$21*(1-(IF(INDEX($D$200:$D$207,MATCH(LEFT(ER200,FIND("·",ER200)-1),$C$200:$C$207,0))=0,ABS(INDEX($A$200:$A$207,MATCH(LEFT(ER200,FIND("·",ER200)-1),$C$200:$C$207,0))-VALUE(MID(ER200,FIND("|",ER200)+1,FIND("-",ER200,FIND("|",ER200))-FIND("|",ER200)-1))),ABS(INDEX($Q$200:$Q$207,MATCH(LEFT(ER200,FIND("·",ER200)-1),$C$200:$C$207,0))-(VALUE(MID(ER200,FIND("|",ER200)+1,FIND("-",ER200,FIND("|",ER200))-FIND("|",ER200)-1))-VALUE(MID(ER200,FIND("-",ER200,FIND("|",ER200))+1,10)))))*$D$50)))))*INDEX($I$200:$I$207,MATCH(LEFT(ER200,FIND("·",ER200)-1),$C$200:$C$207,0)),0),0),0)</f>
        <v>0</v>
      </c>
      <c r="ET200" s="110"/>
      <c r="EU200" s="66" t="s">
        <v>2906</v>
      </c>
      <c r="EV200" s="85">
        <f t="shared" ref="EV200" ca="1" si="1798">IFERROR(IF(COUNTIF($K$200:$K$207,LEFT(EU200,FIND("·",EU200)-1))&gt;0,IF(INDEX($L$200:$L$207,MATCH(LEFT(EU200,FIND("·",EU200)-1),$K$200:$K$207,0))=IFERROR(VALUE(MID(EU200,FIND("·",EU200)+1,1)),0),($D$20+(INDEX($M$200:$M$207,MATCH(LEFT(EU200,FIND("·",EU200)-1),$K$200:$K$207,0))=MID(EU200,FIND("|",EU200)+1,10))*$D$22+MAX(0,IF($D$50=1,$D$21*(1-(ABS(INDEX($P$200:$P$207,MATCH(LEFT(EU200,FIND("·",EU200)-1),$K$200:$K$207,0))-(VALUE(MID(EU200,FIND("|",EU200)+1,FIND("-",EU200,FIND("|",EU200))-FIND("|",EU200)-1))-VALUE(MID(EU200,FIND("-",EU200,FIND("|",EU200))+1,10)))))*$D$50),$D$21*(1-(IF(INDEX($L$200:$L$207,MATCH(LEFT(EU200,FIND("·",EU200)-1),$K$200:$K$207,0))=0,ABS(INDEX($N$200:$N$207,MATCH(LEFT(EU200,FIND("·",EU200)-1),$K$200:$K$207,0))-VALUE(MID(EU200,FIND("|",EU200)+1,FIND("-",EU200,FIND("|",EU200))-FIND("|",EU200)-1))),ABS(INDEX($P$200:$P$207,MATCH(LEFT(EU200,FIND("·",EU200)-1),$K$200:$K$207,0))-(VALUE(MID(EU200,FIND("|",EU200)+1,FIND("-",EU200,FIND("|",EU200))-FIND("|",EU200)-1))-VALUE(MID(EU200,FIND("-",EU200,FIND("|",EU200))+1,10)))))*$D$50)))))*INDEX($I$200:$I$207,MATCH(LEFT(EU200,FIND("·",EU200)-1),$K$200:$K$207,0)),0),0),0)+IFERROR(IF(COUNTIF($C$200:$C$207,LEFT(EU200,FIND("·",EU200)-1))&gt;0,IF(INDEX($D$200:$D$207,MATCH(LEFT(EU200,FIND("·",EU200)-1),$C$200:$C$207,0))=IFERROR(VALUE(MID(EU200,FIND("·",EU200)+1,1)),0),($D$20+(INDEX($E$200:$E$207,MATCH(LEFT(EU200,FIND("·",EU200)-1),$C$200:$C$207,0))=MID(EU200,FIND("|",EU200)+1,10))*$D$22+MAX(0,IF($D$50=1,$D$21*(1-(ABS(INDEX($Q$200:$Q$207,MATCH(LEFT(EU200,FIND("·",EU200)-1),$C$200:$C$207,0))-(VALUE(MID(EU200,FIND("|",EU200)+1,FIND("-",EU200,FIND("|",EU200))-FIND("|",EU200)-1))-VALUE(MID(EU200,FIND("-",EU200,FIND("|",EU200))+1,10)))))*$D$50),$D$21*(1-(IF(INDEX($D$200:$D$207,MATCH(LEFT(EU200,FIND("·",EU200)-1),$C$200:$C$207,0))=0,ABS(INDEX($A$200:$A$207,MATCH(LEFT(EU200,FIND("·",EU200)-1),$C$200:$C$207,0))-VALUE(MID(EU200,FIND("|",EU200)+1,FIND("-",EU200,FIND("|",EU200))-FIND("|",EU200)-1))),ABS(INDEX($Q$200:$Q$207,MATCH(LEFT(EU200,FIND("·",EU200)-1),$C$200:$C$207,0))-(VALUE(MID(EU200,FIND("|",EU200)+1,FIND("-",EU200,FIND("|",EU200))-FIND("|",EU200)-1))-VALUE(MID(EU200,FIND("-",EU200,FIND("|",EU200))+1,10)))))*$D$50)))))*INDEX($I$200:$I$207,MATCH(LEFT(EU200,FIND("·",EU200)-1),$C$200:$C$207,0)),0),0),0)</f>
        <v>0</v>
      </c>
      <c r="EW200" s="110"/>
      <c r="EX200" s="66" t="s">
        <v>2593</v>
      </c>
      <c r="EY200" s="85">
        <f t="shared" ref="EY200:HJ207" ca="1" si="1799">IFERROR(IF(COUNTIF($K$200:$K$207,LEFT(EX200,FIND("·",EX200)-1))&gt;0,IF(INDEX($L$200:$L$207,MATCH(LEFT(EX200,FIND("·",EX200)-1),$K$200:$K$207,0))=IFERROR(VALUE(MID(EX200,FIND("·",EX200)+1,1)),0),($D$20+(INDEX($M$200:$M$207,MATCH(LEFT(EX200,FIND("·",EX200)-1),$K$200:$K$207,0))=MID(EX200,FIND("|",EX200)+1,10))*$D$22+MAX(0,IF($D$50=1,$D$21*(1-(ABS(INDEX($P$200:$P$207,MATCH(LEFT(EX200,FIND("·",EX200)-1),$K$200:$K$207,0))-(VALUE(MID(EX200,FIND("|",EX200)+1,FIND("-",EX200,FIND("|",EX200))-FIND("|",EX200)-1))-VALUE(MID(EX200,FIND("-",EX200,FIND("|",EX200))+1,10)))))*$D$50),$D$21*(1-(IF(INDEX($L$200:$L$207,MATCH(LEFT(EX200,FIND("·",EX200)-1),$K$200:$K$207,0))=0,ABS(INDEX($N$200:$N$207,MATCH(LEFT(EX200,FIND("·",EX200)-1),$K$200:$K$207,0))-VALUE(MID(EX200,FIND("|",EX200)+1,FIND("-",EX200,FIND("|",EX200))-FIND("|",EX200)-1))),ABS(INDEX($P$200:$P$207,MATCH(LEFT(EX200,FIND("·",EX200)-1),$K$200:$K$207,0))-(VALUE(MID(EX200,FIND("|",EX200)+1,FIND("-",EX200,FIND("|",EX200))-FIND("|",EX200)-1))-VALUE(MID(EX200,FIND("-",EX200,FIND("|",EX200))+1,10)))))*$D$50)))))*INDEX($I$200:$I$207,MATCH(LEFT(EX200,FIND("·",EX200)-1),$K$200:$K$207,0)),0),0),0)+IFERROR(IF(COUNTIF($C$200:$C$207,LEFT(EX200,FIND("·",EX200)-1))&gt;0,IF(INDEX($D$200:$D$207,MATCH(LEFT(EX200,FIND("·",EX200)-1),$C$200:$C$207,0))=IFERROR(VALUE(MID(EX200,FIND("·",EX200)+1,1)),0),($D$20+(INDEX($E$200:$E$207,MATCH(LEFT(EX200,FIND("·",EX200)-1),$C$200:$C$207,0))=MID(EX200,FIND("|",EX200)+1,10))*$D$22+MAX(0,IF($D$50=1,$D$21*(1-(ABS(INDEX($Q$200:$Q$207,MATCH(LEFT(EX200,FIND("·",EX200)-1),$C$200:$C$207,0))-(VALUE(MID(EX200,FIND("|",EX200)+1,FIND("-",EX200,FIND("|",EX200))-FIND("|",EX200)-1))-VALUE(MID(EX200,FIND("-",EX200,FIND("|",EX200))+1,10)))))*$D$50),$D$21*(1-(IF(INDEX($D$200:$D$207,MATCH(LEFT(EX200,FIND("·",EX200)-1),$C$200:$C$207,0))=0,ABS(INDEX($A$200:$A$207,MATCH(LEFT(EX200,FIND("·",EX200)-1),$C$200:$C$207,0))-VALUE(MID(EX200,FIND("|",EX200)+1,FIND("-",EX200,FIND("|",EX200))-FIND("|",EX200)-1))),ABS(INDEX($Q$200:$Q$207,MATCH(LEFT(EX200,FIND("·",EX200)-1),$C$200:$C$207,0))-(VALUE(MID(EX200,FIND("|",EX200)+1,FIND("-",EX200,FIND("|",EX200))-FIND("|",EX200)-1))-VALUE(MID(EX200,FIND("-",EX200,FIND("|",EX200))+1,10)))))*$D$50)))))*INDEX($I$200:$I$207,MATCH(LEFT(EX200,FIND("·",EX200)-1),$C$200:$C$207,0)),0),0),0)</f>
        <v>0</v>
      </c>
      <c r="EZ200" s="110"/>
      <c r="FA200" s="66" t="s">
        <v>2052</v>
      </c>
      <c r="FB200" s="85">
        <f t="shared" ref="FB200" ca="1" si="1800">IFERROR(IF(COUNTIF($K$200:$K$207,LEFT(FA200,FIND("·",FA200)-1))&gt;0,IF(INDEX($L$200:$L$207,MATCH(LEFT(FA200,FIND("·",FA200)-1),$K$200:$K$207,0))=IFERROR(VALUE(MID(FA200,FIND("·",FA200)+1,1)),0),($D$20+(INDEX($M$200:$M$207,MATCH(LEFT(FA200,FIND("·",FA200)-1),$K$200:$K$207,0))=MID(FA200,FIND("|",FA200)+1,10))*$D$22+MAX(0,IF($D$50=1,$D$21*(1-(ABS(INDEX($P$200:$P$207,MATCH(LEFT(FA200,FIND("·",FA200)-1),$K$200:$K$207,0))-(VALUE(MID(FA200,FIND("|",FA200)+1,FIND("-",FA200,FIND("|",FA200))-FIND("|",FA200)-1))-VALUE(MID(FA200,FIND("-",FA200,FIND("|",FA200))+1,10)))))*$D$50),$D$21*(1-(IF(INDEX($L$200:$L$207,MATCH(LEFT(FA200,FIND("·",FA200)-1),$K$200:$K$207,0))=0,ABS(INDEX($N$200:$N$207,MATCH(LEFT(FA200,FIND("·",FA200)-1),$K$200:$K$207,0))-VALUE(MID(FA200,FIND("|",FA200)+1,FIND("-",FA200,FIND("|",FA200))-FIND("|",FA200)-1))),ABS(INDEX($P$200:$P$207,MATCH(LEFT(FA200,FIND("·",FA200)-1),$K$200:$K$207,0))-(VALUE(MID(FA200,FIND("|",FA200)+1,FIND("-",FA200,FIND("|",FA200))-FIND("|",FA200)-1))-VALUE(MID(FA200,FIND("-",FA200,FIND("|",FA200))+1,10)))))*$D$50)))))*INDEX($I$200:$I$207,MATCH(LEFT(FA200,FIND("·",FA200)-1),$K$200:$K$207,0)),0),0),0)+IFERROR(IF(COUNTIF($C$200:$C$207,LEFT(FA200,FIND("·",FA200)-1))&gt;0,IF(INDEX($D$200:$D$207,MATCH(LEFT(FA200,FIND("·",FA200)-1),$C$200:$C$207,0))=IFERROR(VALUE(MID(FA200,FIND("·",FA200)+1,1)),0),($D$20+(INDEX($E$200:$E$207,MATCH(LEFT(FA200,FIND("·",FA200)-1),$C$200:$C$207,0))=MID(FA200,FIND("|",FA200)+1,10))*$D$22+MAX(0,IF($D$50=1,$D$21*(1-(ABS(INDEX($Q$200:$Q$207,MATCH(LEFT(FA200,FIND("·",FA200)-1),$C$200:$C$207,0))-(VALUE(MID(FA200,FIND("|",FA200)+1,FIND("-",FA200,FIND("|",FA200))-FIND("|",FA200)-1))-VALUE(MID(FA200,FIND("-",FA200,FIND("|",FA200))+1,10)))))*$D$50),$D$21*(1-(IF(INDEX($D$200:$D$207,MATCH(LEFT(FA200,FIND("·",FA200)-1),$C$200:$C$207,0))=0,ABS(INDEX($A$200:$A$207,MATCH(LEFT(FA200,FIND("·",FA200)-1),$C$200:$C$207,0))-VALUE(MID(FA200,FIND("|",FA200)+1,FIND("-",FA200,FIND("|",FA200))-FIND("|",FA200)-1))),ABS(INDEX($Q$200:$Q$207,MATCH(LEFT(FA200,FIND("·",FA200)-1),$C$200:$C$207,0))-(VALUE(MID(FA200,FIND("|",FA200)+1,FIND("-",FA200,FIND("|",FA200))-FIND("|",FA200)-1))-VALUE(MID(FA200,FIND("-",FA200,FIND("|",FA200))+1,10)))))*$D$50)))))*INDEX($I$200:$I$207,MATCH(LEFT(FA200,FIND("·",FA200)-1),$C$200:$C$207,0)),0),0),0)</f>
        <v>0</v>
      </c>
      <c r="FC200" s="110"/>
      <c r="FD200" s="66" t="s">
        <v>2148</v>
      </c>
      <c r="FE200" s="85">
        <f t="shared" ref="FE200" ca="1" si="1801">IFERROR(IF(COUNTIF($K$200:$K$207,LEFT(FD200,FIND("·",FD200)-1))&gt;0,IF(INDEX($L$200:$L$207,MATCH(LEFT(FD200,FIND("·",FD200)-1),$K$200:$K$207,0))=IFERROR(VALUE(MID(FD200,FIND("·",FD200)+1,1)),0),($D$20+(INDEX($M$200:$M$207,MATCH(LEFT(FD200,FIND("·",FD200)-1),$K$200:$K$207,0))=MID(FD200,FIND("|",FD200)+1,10))*$D$22+MAX(0,IF($D$50=1,$D$21*(1-(ABS(INDEX($P$200:$P$207,MATCH(LEFT(FD200,FIND("·",FD200)-1),$K$200:$K$207,0))-(VALUE(MID(FD200,FIND("|",FD200)+1,FIND("-",FD200,FIND("|",FD200))-FIND("|",FD200)-1))-VALUE(MID(FD200,FIND("-",FD200,FIND("|",FD200))+1,10)))))*$D$50),$D$21*(1-(IF(INDEX($L$200:$L$207,MATCH(LEFT(FD200,FIND("·",FD200)-1),$K$200:$K$207,0))=0,ABS(INDEX($N$200:$N$207,MATCH(LEFT(FD200,FIND("·",FD200)-1),$K$200:$K$207,0))-VALUE(MID(FD200,FIND("|",FD200)+1,FIND("-",FD200,FIND("|",FD200))-FIND("|",FD200)-1))),ABS(INDEX($P$200:$P$207,MATCH(LEFT(FD200,FIND("·",FD200)-1),$K$200:$K$207,0))-(VALUE(MID(FD200,FIND("|",FD200)+1,FIND("-",FD200,FIND("|",FD200))-FIND("|",FD200)-1))-VALUE(MID(FD200,FIND("-",FD200,FIND("|",FD200))+1,10)))))*$D$50)))))*INDEX($I$200:$I$207,MATCH(LEFT(FD200,FIND("·",FD200)-1),$K$200:$K$207,0)),0),0),0)+IFERROR(IF(COUNTIF($C$200:$C$207,LEFT(FD200,FIND("·",FD200)-1))&gt;0,IF(INDEX($D$200:$D$207,MATCH(LEFT(FD200,FIND("·",FD200)-1),$C$200:$C$207,0))=IFERROR(VALUE(MID(FD200,FIND("·",FD200)+1,1)),0),($D$20+(INDEX($E$200:$E$207,MATCH(LEFT(FD200,FIND("·",FD200)-1),$C$200:$C$207,0))=MID(FD200,FIND("|",FD200)+1,10))*$D$22+MAX(0,IF($D$50=1,$D$21*(1-(ABS(INDEX($Q$200:$Q$207,MATCH(LEFT(FD200,FIND("·",FD200)-1),$C$200:$C$207,0))-(VALUE(MID(FD200,FIND("|",FD200)+1,FIND("-",FD200,FIND("|",FD200))-FIND("|",FD200)-1))-VALUE(MID(FD200,FIND("-",FD200,FIND("|",FD200))+1,10)))))*$D$50),$D$21*(1-(IF(INDEX($D$200:$D$207,MATCH(LEFT(FD200,FIND("·",FD200)-1),$C$200:$C$207,0))=0,ABS(INDEX($A$200:$A$207,MATCH(LEFT(FD200,FIND("·",FD200)-1),$C$200:$C$207,0))-VALUE(MID(FD200,FIND("|",FD200)+1,FIND("-",FD200,FIND("|",FD200))-FIND("|",FD200)-1))),ABS(INDEX($Q$200:$Q$207,MATCH(LEFT(FD200,FIND("·",FD200)-1),$C$200:$C$207,0))-(VALUE(MID(FD200,FIND("|",FD200)+1,FIND("-",FD200,FIND("|",FD200))-FIND("|",FD200)-1))-VALUE(MID(FD200,FIND("-",FD200,FIND("|",FD200))+1,10)))))*$D$50)))))*INDEX($I$200:$I$207,MATCH(LEFT(FD200,FIND("·",FD200)-1),$C$200:$C$207,0)),0),0),0)</f>
        <v>0</v>
      </c>
      <c r="FF200" s="110"/>
      <c r="FG200" s="66" t="s">
        <v>2265</v>
      </c>
      <c r="FH200" s="85">
        <f t="shared" ref="FH200" ca="1" si="1802">IFERROR(IF(COUNTIF($K$200:$K$207,LEFT(FG200,FIND("·",FG200)-1))&gt;0,IF(INDEX($L$200:$L$207,MATCH(LEFT(FG200,FIND("·",FG200)-1),$K$200:$K$207,0))=IFERROR(VALUE(MID(FG200,FIND("·",FG200)+1,1)),0),($D$20+(INDEX($M$200:$M$207,MATCH(LEFT(FG200,FIND("·",FG200)-1),$K$200:$K$207,0))=MID(FG200,FIND("|",FG200)+1,10))*$D$22+MAX(0,IF($D$50=1,$D$21*(1-(ABS(INDEX($P$200:$P$207,MATCH(LEFT(FG200,FIND("·",FG200)-1),$K$200:$K$207,0))-(VALUE(MID(FG200,FIND("|",FG200)+1,FIND("-",FG200,FIND("|",FG200))-FIND("|",FG200)-1))-VALUE(MID(FG200,FIND("-",FG200,FIND("|",FG200))+1,10)))))*$D$50),$D$21*(1-(IF(INDEX($L$200:$L$207,MATCH(LEFT(FG200,FIND("·",FG200)-1),$K$200:$K$207,0))=0,ABS(INDEX($N$200:$N$207,MATCH(LEFT(FG200,FIND("·",FG200)-1),$K$200:$K$207,0))-VALUE(MID(FG200,FIND("|",FG200)+1,FIND("-",FG200,FIND("|",FG200))-FIND("|",FG200)-1))),ABS(INDEX($P$200:$P$207,MATCH(LEFT(FG200,FIND("·",FG200)-1),$K$200:$K$207,0))-(VALUE(MID(FG200,FIND("|",FG200)+1,FIND("-",FG200,FIND("|",FG200))-FIND("|",FG200)-1))-VALUE(MID(FG200,FIND("-",FG200,FIND("|",FG200))+1,10)))))*$D$50)))))*INDEX($I$200:$I$207,MATCH(LEFT(FG200,FIND("·",FG200)-1),$K$200:$K$207,0)),0),0),0)+IFERROR(IF(COUNTIF($C$200:$C$207,LEFT(FG200,FIND("·",FG200)-1))&gt;0,IF(INDEX($D$200:$D$207,MATCH(LEFT(FG200,FIND("·",FG200)-1),$C$200:$C$207,0))=IFERROR(VALUE(MID(FG200,FIND("·",FG200)+1,1)),0),($D$20+(INDEX($E$200:$E$207,MATCH(LEFT(FG200,FIND("·",FG200)-1),$C$200:$C$207,0))=MID(FG200,FIND("|",FG200)+1,10))*$D$22+MAX(0,IF($D$50=1,$D$21*(1-(ABS(INDEX($Q$200:$Q$207,MATCH(LEFT(FG200,FIND("·",FG200)-1),$C$200:$C$207,0))-(VALUE(MID(FG200,FIND("|",FG200)+1,FIND("-",FG200,FIND("|",FG200))-FIND("|",FG200)-1))-VALUE(MID(FG200,FIND("-",FG200,FIND("|",FG200))+1,10)))))*$D$50),$D$21*(1-(IF(INDEX($D$200:$D$207,MATCH(LEFT(FG200,FIND("·",FG200)-1),$C$200:$C$207,0))=0,ABS(INDEX($A$200:$A$207,MATCH(LEFT(FG200,FIND("·",FG200)-1),$C$200:$C$207,0))-VALUE(MID(FG200,FIND("|",FG200)+1,FIND("-",FG200,FIND("|",FG200))-FIND("|",FG200)-1))),ABS(INDEX($Q$200:$Q$207,MATCH(LEFT(FG200,FIND("·",FG200)-1),$C$200:$C$207,0))-(VALUE(MID(FG200,FIND("|",FG200)+1,FIND("-",FG200,FIND("|",FG200))-FIND("|",FG200)-1))-VALUE(MID(FG200,FIND("-",FG200,FIND("|",FG200))+1,10)))))*$D$50)))))*INDEX($I$200:$I$207,MATCH(LEFT(FG200,FIND("·",FG200)-1),$C$200:$C$207,0)),0),0),0)</f>
        <v>0</v>
      </c>
      <c r="FI200" s="110"/>
      <c r="FJ200" s="66" t="s">
        <v>2052</v>
      </c>
      <c r="FK200" s="85">
        <f t="shared" ref="FK200" ca="1" si="1803">IFERROR(IF(COUNTIF($K$200:$K$207,LEFT(FJ200,FIND("·",FJ200)-1))&gt;0,IF(INDEX($L$200:$L$207,MATCH(LEFT(FJ200,FIND("·",FJ200)-1),$K$200:$K$207,0))=IFERROR(VALUE(MID(FJ200,FIND("·",FJ200)+1,1)),0),($D$20+(INDEX($M$200:$M$207,MATCH(LEFT(FJ200,FIND("·",FJ200)-1),$K$200:$K$207,0))=MID(FJ200,FIND("|",FJ200)+1,10))*$D$22+MAX(0,IF($D$50=1,$D$21*(1-(ABS(INDEX($P$200:$P$207,MATCH(LEFT(FJ200,FIND("·",FJ200)-1),$K$200:$K$207,0))-(VALUE(MID(FJ200,FIND("|",FJ200)+1,FIND("-",FJ200,FIND("|",FJ200))-FIND("|",FJ200)-1))-VALUE(MID(FJ200,FIND("-",FJ200,FIND("|",FJ200))+1,10)))))*$D$50),$D$21*(1-(IF(INDEX($L$200:$L$207,MATCH(LEFT(FJ200,FIND("·",FJ200)-1),$K$200:$K$207,0))=0,ABS(INDEX($N$200:$N$207,MATCH(LEFT(FJ200,FIND("·",FJ200)-1),$K$200:$K$207,0))-VALUE(MID(FJ200,FIND("|",FJ200)+1,FIND("-",FJ200,FIND("|",FJ200))-FIND("|",FJ200)-1))),ABS(INDEX($P$200:$P$207,MATCH(LEFT(FJ200,FIND("·",FJ200)-1),$K$200:$K$207,0))-(VALUE(MID(FJ200,FIND("|",FJ200)+1,FIND("-",FJ200,FIND("|",FJ200))-FIND("|",FJ200)-1))-VALUE(MID(FJ200,FIND("-",FJ200,FIND("|",FJ200))+1,10)))))*$D$50)))))*INDEX($I$200:$I$207,MATCH(LEFT(FJ200,FIND("·",FJ200)-1),$K$200:$K$207,0)),0),0),0)+IFERROR(IF(COUNTIF($C$200:$C$207,LEFT(FJ200,FIND("·",FJ200)-1))&gt;0,IF(INDEX($D$200:$D$207,MATCH(LEFT(FJ200,FIND("·",FJ200)-1),$C$200:$C$207,0))=IFERROR(VALUE(MID(FJ200,FIND("·",FJ200)+1,1)),0),($D$20+(INDEX($E$200:$E$207,MATCH(LEFT(FJ200,FIND("·",FJ200)-1),$C$200:$C$207,0))=MID(FJ200,FIND("|",FJ200)+1,10))*$D$22+MAX(0,IF($D$50=1,$D$21*(1-(ABS(INDEX($Q$200:$Q$207,MATCH(LEFT(FJ200,FIND("·",FJ200)-1),$C$200:$C$207,0))-(VALUE(MID(FJ200,FIND("|",FJ200)+1,FIND("-",FJ200,FIND("|",FJ200))-FIND("|",FJ200)-1))-VALUE(MID(FJ200,FIND("-",FJ200,FIND("|",FJ200))+1,10)))))*$D$50),$D$21*(1-(IF(INDEX($D$200:$D$207,MATCH(LEFT(FJ200,FIND("·",FJ200)-1),$C$200:$C$207,0))=0,ABS(INDEX($A$200:$A$207,MATCH(LEFT(FJ200,FIND("·",FJ200)-1),$C$200:$C$207,0))-VALUE(MID(FJ200,FIND("|",FJ200)+1,FIND("-",FJ200,FIND("|",FJ200))-FIND("|",FJ200)-1))),ABS(INDEX($Q$200:$Q$207,MATCH(LEFT(FJ200,FIND("·",FJ200)-1),$C$200:$C$207,0))-(VALUE(MID(FJ200,FIND("|",FJ200)+1,FIND("-",FJ200,FIND("|",FJ200))-FIND("|",FJ200)-1))-VALUE(MID(FJ200,FIND("-",FJ200,FIND("|",FJ200))+1,10)))))*$D$50)))))*INDEX($I$200:$I$207,MATCH(LEFT(FJ200,FIND("·",FJ200)-1),$C$200:$C$207,0)),0),0),0)</f>
        <v>0</v>
      </c>
      <c r="FL200" s="110"/>
      <c r="FM200" s="66" t="s">
        <v>2314</v>
      </c>
      <c r="FN200" s="85">
        <f t="shared" ref="FN200" ca="1" si="1804">IFERROR(IF(COUNTIF($K$200:$K$207,LEFT(FM200,FIND("·",FM200)-1))&gt;0,IF(INDEX($L$200:$L$207,MATCH(LEFT(FM200,FIND("·",FM200)-1),$K$200:$K$207,0))=IFERROR(VALUE(MID(FM200,FIND("·",FM200)+1,1)),0),($D$20+(INDEX($M$200:$M$207,MATCH(LEFT(FM200,FIND("·",FM200)-1),$K$200:$K$207,0))=MID(FM200,FIND("|",FM200)+1,10))*$D$22+MAX(0,IF($D$50=1,$D$21*(1-(ABS(INDEX($P$200:$P$207,MATCH(LEFT(FM200,FIND("·",FM200)-1),$K$200:$K$207,0))-(VALUE(MID(FM200,FIND("|",FM200)+1,FIND("-",FM200,FIND("|",FM200))-FIND("|",FM200)-1))-VALUE(MID(FM200,FIND("-",FM200,FIND("|",FM200))+1,10)))))*$D$50),$D$21*(1-(IF(INDEX($L$200:$L$207,MATCH(LEFT(FM200,FIND("·",FM200)-1),$K$200:$K$207,0))=0,ABS(INDEX($N$200:$N$207,MATCH(LEFT(FM200,FIND("·",FM200)-1),$K$200:$K$207,0))-VALUE(MID(FM200,FIND("|",FM200)+1,FIND("-",FM200,FIND("|",FM200))-FIND("|",FM200)-1))),ABS(INDEX($P$200:$P$207,MATCH(LEFT(FM200,FIND("·",FM200)-1),$K$200:$K$207,0))-(VALUE(MID(FM200,FIND("|",FM200)+1,FIND("-",FM200,FIND("|",FM200))-FIND("|",FM200)-1))-VALUE(MID(FM200,FIND("-",FM200,FIND("|",FM200))+1,10)))))*$D$50)))))*INDEX($I$200:$I$207,MATCH(LEFT(FM200,FIND("·",FM200)-1),$K$200:$K$207,0)),0),0),0)+IFERROR(IF(COUNTIF($C$200:$C$207,LEFT(FM200,FIND("·",FM200)-1))&gt;0,IF(INDEX($D$200:$D$207,MATCH(LEFT(FM200,FIND("·",FM200)-1),$C$200:$C$207,0))=IFERROR(VALUE(MID(FM200,FIND("·",FM200)+1,1)),0),($D$20+(INDEX($E$200:$E$207,MATCH(LEFT(FM200,FIND("·",FM200)-1),$C$200:$C$207,0))=MID(FM200,FIND("|",FM200)+1,10))*$D$22+MAX(0,IF($D$50=1,$D$21*(1-(ABS(INDEX($Q$200:$Q$207,MATCH(LEFT(FM200,FIND("·",FM200)-1),$C$200:$C$207,0))-(VALUE(MID(FM200,FIND("|",FM200)+1,FIND("-",FM200,FIND("|",FM200))-FIND("|",FM200)-1))-VALUE(MID(FM200,FIND("-",FM200,FIND("|",FM200))+1,10)))))*$D$50),$D$21*(1-(IF(INDEX($D$200:$D$207,MATCH(LEFT(FM200,FIND("·",FM200)-1),$C$200:$C$207,0))=0,ABS(INDEX($A$200:$A$207,MATCH(LEFT(FM200,FIND("·",FM200)-1),$C$200:$C$207,0))-VALUE(MID(FM200,FIND("|",FM200)+1,FIND("-",FM200,FIND("|",FM200))-FIND("|",FM200)-1))),ABS(INDEX($Q$200:$Q$207,MATCH(LEFT(FM200,FIND("·",FM200)-1),$C$200:$C$207,0))-(VALUE(MID(FM200,FIND("|",FM200)+1,FIND("-",FM200,FIND("|",FM200))-FIND("|",FM200)-1))-VALUE(MID(FM200,FIND("-",FM200,FIND("|",FM200))+1,10)))))*$D$50)))))*INDEX($I$200:$I$207,MATCH(LEFT(FM200,FIND("·",FM200)-1),$C$200:$C$207,0)),0),0),0)</f>
        <v>0</v>
      </c>
      <c r="FO200" s="110"/>
      <c r="FP200" s="66" t="s">
        <v>2314</v>
      </c>
      <c r="FQ200" s="85">
        <f t="shared" ref="FQ200" ca="1" si="1805">IFERROR(IF(COUNTIF($K$200:$K$207,LEFT(FP200,FIND("·",FP200)-1))&gt;0,IF(INDEX($L$200:$L$207,MATCH(LEFT(FP200,FIND("·",FP200)-1),$K$200:$K$207,0))=IFERROR(VALUE(MID(FP200,FIND("·",FP200)+1,1)),0),($D$20+(INDEX($M$200:$M$207,MATCH(LEFT(FP200,FIND("·",FP200)-1),$K$200:$K$207,0))=MID(FP200,FIND("|",FP200)+1,10))*$D$22+MAX(0,IF($D$50=1,$D$21*(1-(ABS(INDEX($P$200:$P$207,MATCH(LEFT(FP200,FIND("·",FP200)-1),$K$200:$K$207,0))-(VALUE(MID(FP200,FIND("|",FP200)+1,FIND("-",FP200,FIND("|",FP200))-FIND("|",FP200)-1))-VALUE(MID(FP200,FIND("-",FP200,FIND("|",FP200))+1,10)))))*$D$50),$D$21*(1-(IF(INDEX($L$200:$L$207,MATCH(LEFT(FP200,FIND("·",FP200)-1),$K$200:$K$207,0))=0,ABS(INDEX($N$200:$N$207,MATCH(LEFT(FP200,FIND("·",FP200)-1),$K$200:$K$207,0))-VALUE(MID(FP200,FIND("|",FP200)+1,FIND("-",FP200,FIND("|",FP200))-FIND("|",FP200)-1))),ABS(INDEX($P$200:$P$207,MATCH(LEFT(FP200,FIND("·",FP200)-1),$K$200:$K$207,0))-(VALUE(MID(FP200,FIND("|",FP200)+1,FIND("-",FP200,FIND("|",FP200))-FIND("|",FP200)-1))-VALUE(MID(FP200,FIND("-",FP200,FIND("|",FP200))+1,10)))))*$D$50)))))*INDEX($I$200:$I$207,MATCH(LEFT(FP200,FIND("·",FP200)-1),$K$200:$K$207,0)),0),0),0)+IFERROR(IF(COUNTIF($C$200:$C$207,LEFT(FP200,FIND("·",FP200)-1))&gt;0,IF(INDEX($D$200:$D$207,MATCH(LEFT(FP200,FIND("·",FP200)-1),$C$200:$C$207,0))=IFERROR(VALUE(MID(FP200,FIND("·",FP200)+1,1)),0),($D$20+(INDEX($E$200:$E$207,MATCH(LEFT(FP200,FIND("·",FP200)-1),$C$200:$C$207,0))=MID(FP200,FIND("|",FP200)+1,10))*$D$22+MAX(0,IF($D$50=1,$D$21*(1-(ABS(INDEX($Q$200:$Q$207,MATCH(LEFT(FP200,FIND("·",FP200)-1),$C$200:$C$207,0))-(VALUE(MID(FP200,FIND("|",FP200)+1,FIND("-",FP200,FIND("|",FP200))-FIND("|",FP200)-1))-VALUE(MID(FP200,FIND("-",FP200,FIND("|",FP200))+1,10)))))*$D$50),$D$21*(1-(IF(INDEX($D$200:$D$207,MATCH(LEFT(FP200,FIND("·",FP200)-1),$C$200:$C$207,0))=0,ABS(INDEX($A$200:$A$207,MATCH(LEFT(FP200,FIND("·",FP200)-1),$C$200:$C$207,0))-VALUE(MID(FP200,FIND("|",FP200)+1,FIND("-",FP200,FIND("|",FP200))-FIND("|",FP200)-1))),ABS(INDEX($Q$200:$Q$207,MATCH(LEFT(FP200,FIND("·",FP200)-1),$C$200:$C$207,0))-(VALUE(MID(FP200,FIND("|",FP200)+1,FIND("-",FP200,FIND("|",FP200))-FIND("|",FP200)-1))-VALUE(MID(FP200,FIND("-",FP200,FIND("|",FP200))+1,10)))))*$D$50)))))*INDEX($I$200:$I$207,MATCH(LEFT(FP200,FIND("·",FP200)-1),$C$200:$C$207,0)),0),0),0)</f>
        <v>0</v>
      </c>
      <c r="FR200" s="110"/>
      <c r="FS200" s="66" t="s">
        <v>2052</v>
      </c>
      <c r="FT200" s="85">
        <f t="shared" ref="FT200" ca="1" si="1806">IFERROR(IF(COUNTIF($K$200:$K$207,LEFT(FS200,FIND("·",FS200)-1))&gt;0,IF(INDEX($L$200:$L$207,MATCH(LEFT(FS200,FIND("·",FS200)-1),$K$200:$K$207,0))=IFERROR(VALUE(MID(FS200,FIND("·",FS200)+1,1)),0),($D$20+(INDEX($M$200:$M$207,MATCH(LEFT(FS200,FIND("·",FS200)-1),$K$200:$K$207,0))=MID(FS200,FIND("|",FS200)+1,10))*$D$22+MAX(0,IF($D$50=1,$D$21*(1-(ABS(INDEX($P$200:$P$207,MATCH(LEFT(FS200,FIND("·",FS200)-1),$K$200:$K$207,0))-(VALUE(MID(FS200,FIND("|",FS200)+1,FIND("-",FS200,FIND("|",FS200))-FIND("|",FS200)-1))-VALUE(MID(FS200,FIND("-",FS200,FIND("|",FS200))+1,10)))))*$D$50),$D$21*(1-(IF(INDEX($L$200:$L$207,MATCH(LEFT(FS200,FIND("·",FS200)-1),$K$200:$K$207,0))=0,ABS(INDEX($N$200:$N$207,MATCH(LEFT(FS200,FIND("·",FS200)-1),$K$200:$K$207,0))-VALUE(MID(FS200,FIND("|",FS200)+1,FIND("-",FS200,FIND("|",FS200))-FIND("|",FS200)-1))),ABS(INDEX($P$200:$P$207,MATCH(LEFT(FS200,FIND("·",FS200)-1),$K$200:$K$207,0))-(VALUE(MID(FS200,FIND("|",FS200)+1,FIND("-",FS200,FIND("|",FS200))-FIND("|",FS200)-1))-VALUE(MID(FS200,FIND("-",FS200,FIND("|",FS200))+1,10)))))*$D$50)))))*INDEX($I$200:$I$207,MATCH(LEFT(FS200,FIND("·",FS200)-1),$K$200:$K$207,0)),0),0),0)+IFERROR(IF(COUNTIF($C$200:$C$207,LEFT(FS200,FIND("·",FS200)-1))&gt;0,IF(INDEX($D$200:$D$207,MATCH(LEFT(FS200,FIND("·",FS200)-1),$C$200:$C$207,0))=IFERROR(VALUE(MID(FS200,FIND("·",FS200)+1,1)),0),($D$20+(INDEX($E$200:$E$207,MATCH(LEFT(FS200,FIND("·",FS200)-1),$C$200:$C$207,0))=MID(FS200,FIND("|",FS200)+1,10))*$D$22+MAX(0,IF($D$50=1,$D$21*(1-(ABS(INDEX($Q$200:$Q$207,MATCH(LEFT(FS200,FIND("·",FS200)-1),$C$200:$C$207,0))-(VALUE(MID(FS200,FIND("|",FS200)+1,FIND("-",FS200,FIND("|",FS200))-FIND("|",FS200)-1))-VALUE(MID(FS200,FIND("-",FS200,FIND("|",FS200))+1,10)))))*$D$50),$D$21*(1-(IF(INDEX($D$200:$D$207,MATCH(LEFT(FS200,FIND("·",FS200)-1),$C$200:$C$207,0))=0,ABS(INDEX($A$200:$A$207,MATCH(LEFT(FS200,FIND("·",FS200)-1),$C$200:$C$207,0))-VALUE(MID(FS200,FIND("|",FS200)+1,FIND("-",FS200,FIND("|",FS200))-FIND("|",FS200)-1))),ABS(INDEX($Q$200:$Q$207,MATCH(LEFT(FS200,FIND("·",FS200)-1),$C$200:$C$207,0))-(VALUE(MID(FS200,FIND("|",FS200)+1,FIND("-",FS200,FIND("|",FS200))-FIND("|",FS200)-1))-VALUE(MID(FS200,FIND("-",FS200,FIND("|",FS200))+1,10)))))*$D$50)))))*INDEX($I$200:$I$207,MATCH(LEFT(FS200,FIND("·",FS200)-1),$C$200:$C$207,0)),0),0),0)</f>
        <v>0</v>
      </c>
      <c r="FU200" s="110"/>
      <c r="FV200" s="66" t="s">
        <v>2593</v>
      </c>
      <c r="FW200" s="85">
        <f t="shared" ref="FW200" ca="1" si="1807">IFERROR(IF(COUNTIF($K$200:$K$207,LEFT(FV200,FIND("·",FV200)-1))&gt;0,IF(INDEX($L$200:$L$207,MATCH(LEFT(FV200,FIND("·",FV200)-1),$K$200:$K$207,0))=IFERROR(VALUE(MID(FV200,FIND("·",FV200)+1,1)),0),($D$20+(INDEX($M$200:$M$207,MATCH(LEFT(FV200,FIND("·",FV200)-1),$K$200:$K$207,0))=MID(FV200,FIND("|",FV200)+1,10))*$D$22+MAX(0,IF($D$50=1,$D$21*(1-(ABS(INDEX($P$200:$P$207,MATCH(LEFT(FV200,FIND("·",FV200)-1),$K$200:$K$207,0))-(VALUE(MID(FV200,FIND("|",FV200)+1,FIND("-",FV200,FIND("|",FV200))-FIND("|",FV200)-1))-VALUE(MID(FV200,FIND("-",FV200,FIND("|",FV200))+1,10)))))*$D$50),$D$21*(1-(IF(INDEX($L$200:$L$207,MATCH(LEFT(FV200,FIND("·",FV200)-1),$K$200:$K$207,0))=0,ABS(INDEX($N$200:$N$207,MATCH(LEFT(FV200,FIND("·",FV200)-1),$K$200:$K$207,0))-VALUE(MID(FV200,FIND("|",FV200)+1,FIND("-",FV200,FIND("|",FV200))-FIND("|",FV200)-1))),ABS(INDEX($P$200:$P$207,MATCH(LEFT(FV200,FIND("·",FV200)-1),$K$200:$K$207,0))-(VALUE(MID(FV200,FIND("|",FV200)+1,FIND("-",FV200,FIND("|",FV200))-FIND("|",FV200)-1))-VALUE(MID(FV200,FIND("-",FV200,FIND("|",FV200))+1,10)))))*$D$50)))))*INDEX($I$200:$I$207,MATCH(LEFT(FV200,FIND("·",FV200)-1),$K$200:$K$207,0)),0),0),0)+IFERROR(IF(COUNTIF($C$200:$C$207,LEFT(FV200,FIND("·",FV200)-1))&gt;0,IF(INDEX($D$200:$D$207,MATCH(LEFT(FV200,FIND("·",FV200)-1),$C$200:$C$207,0))=IFERROR(VALUE(MID(FV200,FIND("·",FV200)+1,1)),0),($D$20+(INDEX($E$200:$E$207,MATCH(LEFT(FV200,FIND("·",FV200)-1),$C$200:$C$207,0))=MID(FV200,FIND("|",FV200)+1,10))*$D$22+MAX(0,IF($D$50=1,$D$21*(1-(ABS(INDEX($Q$200:$Q$207,MATCH(LEFT(FV200,FIND("·",FV200)-1),$C$200:$C$207,0))-(VALUE(MID(FV200,FIND("|",FV200)+1,FIND("-",FV200,FIND("|",FV200))-FIND("|",FV200)-1))-VALUE(MID(FV200,FIND("-",FV200,FIND("|",FV200))+1,10)))))*$D$50),$D$21*(1-(IF(INDEX($D$200:$D$207,MATCH(LEFT(FV200,FIND("·",FV200)-1),$C$200:$C$207,0))=0,ABS(INDEX($A$200:$A$207,MATCH(LEFT(FV200,FIND("·",FV200)-1),$C$200:$C$207,0))-VALUE(MID(FV200,FIND("|",FV200)+1,FIND("-",FV200,FIND("|",FV200))-FIND("|",FV200)-1))),ABS(INDEX($Q$200:$Q$207,MATCH(LEFT(FV200,FIND("·",FV200)-1),$C$200:$C$207,0))-(VALUE(MID(FV200,FIND("|",FV200)+1,FIND("-",FV200,FIND("|",FV200))-FIND("|",FV200)-1))-VALUE(MID(FV200,FIND("-",FV200,FIND("|",FV200))+1,10)))))*$D$50)))))*INDEX($I$200:$I$207,MATCH(LEFT(FV200,FIND("·",FV200)-1),$C$200:$C$207,0)),0),0),0)</f>
        <v>0</v>
      </c>
      <c r="FX200" s="110"/>
      <c r="FY200" s="66" t="s">
        <v>3008</v>
      </c>
      <c r="FZ200" s="85">
        <f t="shared" ref="FZ200" ca="1" si="1808">IFERROR(IF(COUNTIF($K$200:$K$207,LEFT(FY200,FIND("·",FY200)-1))&gt;0,IF(INDEX($L$200:$L$207,MATCH(LEFT(FY200,FIND("·",FY200)-1),$K$200:$K$207,0))=IFERROR(VALUE(MID(FY200,FIND("·",FY200)+1,1)),0),($D$20+(INDEX($M$200:$M$207,MATCH(LEFT(FY200,FIND("·",FY200)-1),$K$200:$K$207,0))=MID(FY200,FIND("|",FY200)+1,10))*$D$22+MAX(0,IF($D$50=1,$D$21*(1-(ABS(INDEX($P$200:$P$207,MATCH(LEFT(FY200,FIND("·",FY200)-1),$K$200:$K$207,0))-(VALUE(MID(FY200,FIND("|",FY200)+1,FIND("-",FY200,FIND("|",FY200))-FIND("|",FY200)-1))-VALUE(MID(FY200,FIND("-",FY200,FIND("|",FY200))+1,10)))))*$D$50),$D$21*(1-(IF(INDEX($L$200:$L$207,MATCH(LEFT(FY200,FIND("·",FY200)-1),$K$200:$K$207,0))=0,ABS(INDEX($N$200:$N$207,MATCH(LEFT(FY200,FIND("·",FY200)-1),$K$200:$K$207,0))-VALUE(MID(FY200,FIND("|",FY200)+1,FIND("-",FY200,FIND("|",FY200))-FIND("|",FY200)-1))),ABS(INDEX($P$200:$P$207,MATCH(LEFT(FY200,FIND("·",FY200)-1),$K$200:$K$207,0))-(VALUE(MID(FY200,FIND("|",FY200)+1,FIND("-",FY200,FIND("|",FY200))-FIND("|",FY200)-1))-VALUE(MID(FY200,FIND("-",FY200,FIND("|",FY200))+1,10)))))*$D$50)))))*INDEX($I$200:$I$207,MATCH(LEFT(FY200,FIND("·",FY200)-1),$K$200:$K$207,0)),0),0),0)+IFERROR(IF(COUNTIF($C$200:$C$207,LEFT(FY200,FIND("·",FY200)-1))&gt;0,IF(INDEX($D$200:$D$207,MATCH(LEFT(FY200,FIND("·",FY200)-1),$C$200:$C$207,0))=IFERROR(VALUE(MID(FY200,FIND("·",FY200)+1,1)),0),($D$20+(INDEX($E$200:$E$207,MATCH(LEFT(FY200,FIND("·",FY200)-1),$C$200:$C$207,0))=MID(FY200,FIND("|",FY200)+1,10))*$D$22+MAX(0,IF($D$50=1,$D$21*(1-(ABS(INDEX($Q$200:$Q$207,MATCH(LEFT(FY200,FIND("·",FY200)-1),$C$200:$C$207,0))-(VALUE(MID(FY200,FIND("|",FY200)+1,FIND("-",FY200,FIND("|",FY200))-FIND("|",FY200)-1))-VALUE(MID(FY200,FIND("-",FY200,FIND("|",FY200))+1,10)))))*$D$50),$D$21*(1-(IF(INDEX($D$200:$D$207,MATCH(LEFT(FY200,FIND("·",FY200)-1),$C$200:$C$207,0))=0,ABS(INDEX($A$200:$A$207,MATCH(LEFT(FY200,FIND("·",FY200)-1),$C$200:$C$207,0))-VALUE(MID(FY200,FIND("|",FY200)+1,FIND("-",FY200,FIND("|",FY200))-FIND("|",FY200)-1))),ABS(INDEX($Q$200:$Q$207,MATCH(LEFT(FY200,FIND("·",FY200)-1),$C$200:$C$207,0))-(VALUE(MID(FY200,FIND("|",FY200)+1,FIND("-",FY200,FIND("|",FY200))-FIND("|",FY200)-1))-VALUE(MID(FY200,FIND("-",FY200,FIND("|",FY200))+1,10)))))*$D$50)))))*INDEX($I$200:$I$207,MATCH(LEFT(FY200,FIND("·",FY200)-1),$C$200:$C$207,0)),0),0),0)</f>
        <v>0</v>
      </c>
      <c r="GA200" s="110"/>
      <c r="GB200" s="66" t="s">
        <v>2236</v>
      </c>
      <c r="GC200" s="85">
        <f t="shared" ref="GC200" ca="1" si="1809">IFERROR(IF(COUNTIF($K$200:$K$207,LEFT(GB200,FIND("·",GB200)-1))&gt;0,IF(INDEX($L$200:$L$207,MATCH(LEFT(GB200,FIND("·",GB200)-1),$K$200:$K$207,0))=IFERROR(VALUE(MID(GB200,FIND("·",GB200)+1,1)),0),($D$20+(INDEX($M$200:$M$207,MATCH(LEFT(GB200,FIND("·",GB200)-1),$K$200:$K$207,0))=MID(GB200,FIND("|",GB200)+1,10))*$D$22+MAX(0,IF($D$50=1,$D$21*(1-(ABS(INDEX($P$200:$P$207,MATCH(LEFT(GB200,FIND("·",GB200)-1),$K$200:$K$207,0))-(VALUE(MID(GB200,FIND("|",GB200)+1,FIND("-",GB200,FIND("|",GB200))-FIND("|",GB200)-1))-VALUE(MID(GB200,FIND("-",GB200,FIND("|",GB200))+1,10)))))*$D$50),$D$21*(1-(IF(INDEX($L$200:$L$207,MATCH(LEFT(GB200,FIND("·",GB200)-1),$K$200:$K$207,0))=0,ABS(INDEX($N$200:$N$207,MATCH(LEFT(GB200,FIND("·",GB200)-1),$K$200:$K$207,0))-VALUE(MID(GB200,FIND("|",GB200)+1,FIND("-",GB200,FIND("|",GB200))-FIND("|",GB200)-1))),ABS(INDEX($P$200:$P$207,MATCH(LEFT(GB200,FIND("·",GB200)-1),$K$200:$K$207,0))-(VALUE(MID(GB200,FIND("|",GB200)+1,FIND("-",GB200,FIND("|",GB200))-FIND("|",GB200)-1))-VALUE(MID(GB200,FIND("-",GB200,FIND("|",GB200))+1,10)))))*$D$50)))))*INDEX($I$200:$I$207,MATCH(LEFT(GB200,FIND("·",GB200)-1),$K$200:$K$207,0)),0),0),0)+IFERROR(IF(COUNTIF($C$200:$C$207,LEFT(GB200,FIND("·",GB200)-1))&gt;0,IF(INDEX($D$200:$D$207,MATCH(LEFT(GB200,FIND("·",GB200)-1),$C$200:$C$207,0))=IFERROR(VALUE(MID(GB200,FIND("·",GB200)+1,1)),0),($D$20+(INDEX($E$200:$E$207,MATCH(LEFT(GB200,FIND("·",GB200)-1),$C$200:$C$207,0))=MID(GB200,FIND("|",GB200)+1,10))*$D$22+MAX(0,IF($D$50=1,$D$21*(1-(ABS(INDEX($Q$200:$Q$207,MATCH(LEFT(GB200,FIND("·",GB200)-1),$C$200:$C$207,0))-(VALUE(MID(GB200,FIND("|",GB200)+1,FIND("-",GB200,FIND("|",GB200))-FIND("|",GB200)-1))-VALUE(MID(GB200,FIND("-",GB200,FIND("|",GB200))+1,10)))))*$D$50),$D$21*(1-(IF(INDEX($D$200:$D$207,MATCH(LEFT(GB200,FIND("·",GB200)-1),$C$200:$C$207,0))=0,ABS(INDEX($A$200:$A$207,MATCH(LEFT(GB200,FIND("·",GB200)-1),$C$200:$C$207,0))-VALUE(MID(GB200,FIND("|",GB200)+1,FIND("-",GB200,FIND("|",GB200))-FIND("|",GB200)-1))),ABS(INDEX($Q$200:$Q$207,MATCH(LEFT(GB200,FIND("·",GB200)-1),$C$200:$C$207,0))-(VALUE(MID(GB200,FIND("|",GB200)+1,FIND("-",GB200,FIND("|",GB200))-FIND("|",GB200)-1))-VALUE(MID(GB200,FIND("-",GB200,FIND("|",GB200))+1,10)))))*$D$50)))))*INDEX($I$200:$I$207,MATCH(LEFT(GB200,FIND("·",GB200)-1),$C$200:$C$207,0)),0),0),0)</f>
        <v>0</v>
      </c>
      <c r="GD200" s="110"/>
      <c r="GE200" s="66" t="s">
        <v>2052</v>
      </c>
      <c r="GF200" s="85">
        <f t="shared" ref="GF200" ca="1" si="1810">IFERROR(IF(COUNTIF($K$200:$K$207,LEFT(GE200,FIND("·",GE200)-1))&gt;0,IF(INDEX($L$200:$L$207,MATCH(LEFT(GE200,FIND("·",GE200)-1),$K$200:$K$207,0))=IFERROR(VALUE(MID(GE200,FIND("·",GE200)+1,1)),0),($D$20+(INDEX($M$200:$M$207,MATCH(LEFT(GE200,FIND("·",GE200)-1),$K$200:$K$207,0))=MID(GE200,FIND("|",GE200)+1,10))*$D$22+MAX(0,IF($D$50=1,$D$21*(1-(ABS(INDEX($P$200:$P$207,MATCH(LEFT(GE200,FIND("·",GE200)-1),$K$200:$K$207,0))-(VALUE(MID(GE200,FIND("|",GE200)+1,FIND("-",GE200,FIND("|",GE200))-FIND("|",GE200)-1))-VALUE(MID(GE200,FIND("-",GE200,FIND("|",GE200))+1,10)))))*$D$50),$D$21*(1-(IF(INDEX($L$200:$L$207,MATCH(LEFT(GE200,FIND("·",GE200)-1),$K$200:$K$207,0))=0,ABS(INDEX($N$200:$N$207,MATCH(LEFT(GE200,FIND("·",GE200)-1),$K$200:$K$207,0))-VALUE(MID(GE200,FIND("|",GE200)+1,FIND("-",GE200,FIND("|",GE200))-FIND("|",GE200)-1))),ABS(INDEX($P$200:$P$207,MATCH(LEFT(GE200,FIND("·",GE200)-1),$K$200:$K$207,0))-(VALUE(MID(GE200,FIND("|",GE200)+1,FIND("-",GE200,FIND("|",GE200))-FIND("|",GE200)-1))-VALUE(MID(GE200,FIND("-",GE200,FIND("|",GE200))+1,10)))))*$D$50)))))*INDEX($I$200:$I$207,MATCH(LEFT(GE200,FIND("·",GE200)-1),$K$200:$K$207,0)),0),0),0)+IFERROR(IF(COUNTIF($C$200:$C$207,LEFT(GE200,FIND("·",GE200)-1))&gt;0,IF(INDEX($D$200:$D$207,MATCH(LEFT(GE200,FIND("·",GE200)-1),$C$200:$C$207,0))=IFERROR(VALUE(MID(GE200,FIND("·",GE200)+1,1)),0),($D$20+(INDEX($E$200:$E$207,MATCH(LEFT(GE200,FIND("·",GE200)-1),$C$200:$C$207,0))=MID(GE200,FIND("|",GE200)+1,10))*$D$22+MAX(0,IF($D$50=1,$D$21*(1-(ABS(INDEX($Q$200:$Q$207,MATCH(LEFT(GE200,FIND("·",GE200)-1),$C$200:$C$207,0))-(VALUE(MID(GE200,FIND("|",GE200)+1,FIND("-",GE200,FIND("|",GE200))-FIND("|",GE200)-1))-VALUE(MID(GE200,FIND("-",GE200,FIND("|",GE200))+1,10)))))*$D$50),$D$21*(1-(IF(INDEX($D$200:$D$207,MATCH(LEFT(GE200,FIND("·",GE200)-1),$C$200:$C$207,0))=0,ABS(INDEX($A$200:$A$207,MATCH(LEFT(GE200,FIND("·",GE200)-1),$C$200:$C$207,0))-VALUE(MID(GE200,FIND("|",GE200)+1,FIND("-",GE200,FIND("|",GE200))-FIND("|",GE200)-1))),ABS(INDEX($Q$200:$Q$207,MATCH(LEFT(GE200,FIND("·",GE200)-1),$C$200:$C$207,0))-(VALUE(MID(GE200,FIND("|",GE200)+1,FIND("-",GE200,FIND("|",GE200))-FIND("|",GE200)-1))-VALUE(MID(GE200,FIND("-",GE200,FIND("|",GE200))+1,10)))))*$D$50)))))*INDEX($I$200:$I$207,MATCH(LEFT(GE200,FIND("·",GE200)-1),$C$200:$C$207,0)),0),0),0)</f>
        <v>0</v>
      </c>
      <c r="GG200" s="110"/>
      <c r="GH200" s="66" t="s">
        <v>2809</v>
      </c>
      <c r="GI200" s="85">
        <f t="shared" ref="GI200" ca="1" si="1811">IFERROR(IF(COUNTIF($K$200:$K$207,LEFT(GH200,FIND("·",GH200)-1))&gt;0,IF(INDEX($L$200:$L$207,MATCH(LEFT(GH200,FIND("·",GH200)-1),$K$200:$K$207,0))=IFERROR(VALUE(MID(GH200,FIND("·",GH200)+1,1)),0),($D$20+(INDEX($M$200:$M$207,MATCH(LEFT(GH200,FIND("·",GH200)-1),$K$200:$K$207,0))=MID(GH200,FIND("|",GH200)+1,10))*$D$22+MAX(0,IF($D$50=1,$D$21*(1-(ABS(INDEX($P$200:$P$207,MATCH(LEFT(GH200,FIND("·",GH200)-1),$K$200:$K$207,0))-(VALUE(MID(GH200,FIND("|",GH200)+1,FIND("-",GH200,FIND("|",GH200))-FIND("|",GH200)-1))-VALUE(MID(GH200,FIND("-",GH200,FIND("|",GH200))+1,10)))))*$D$50),$D$21*(1-(IF(INDEX($L$200:$L$207,MATCH(LEFT(GH200,FIND("·",GH200)-1),$K$200:$K$207,0))=0,ABS(INDEX($N$200:$N$207,MATCH(LEFT(GH200,FIND("·",GH200)-1),$K$200:$K$207,0))-VALUE(MID(GH200,FIND("|",GH200)+1,FIND("-",GH200,FIND("|",GH200))-FIND("|",GH200)-1))),ABS(INDEX($P$200:$P$207,MATCH(LEFT(GH200,FIND("·",GH200)-1),$K$200:$K$207,0))-(VALUE(MID(GH200,FIND("|",GH200)+1,FIND("-",GH200,FIND("|",GH200))-FIND("|",GH200)-1))-VALUE(MID(GH200,FIND("-",GH200,FIND("|",GH200))+1,10)))))*$D$50)))))*INDEX($I$200:$I$207,MATCH(LEFT(GH200,FIND("·",GH200)-1),$K$200:$K$207,0)),0),0),0)+IFERROR(IF(COUNTIF($C$200:$C$207,LEFT(GH200,FIND("·",GH200)-1))&gt;0,IF(INDEX($D$200:$D$207,MATCH(LEFT(GH200,FIND("·",GH200)-1),$C$200:$C$207,0))=IFERROR(VALUE(MID(GH200,FIND("·",GH200)+1,1)),0),($D$20+(INDEX($E$200:$E$207,MATCH(LEFT(GH200,FIND("·",GH200)-1),$C$200:$C$207,0))=MID(GH200,FIND("|",GH200)+1,10))*$D$22+MAX(0,IF($D$50=1,$D$21*(1-(ABS(INDEX($Q$200:$Q$207,MATCH(LEFT(GH200,FIND("·",GH200)-1),$C$200:$C$207,0))-(VALUE(MID(GH200,FIND("|",GH200)+1,FIND("-",GH200,FIND("|",GH200))-FIND("|",GH200)-1))-VALUE(MID(GH200,FIND("-",GH200,FIND("|",GH200))+1,10)))))*$D$50),$D$21*(1-(IF(INDEX($D$200:$D$207,MATCH(LEFT(GH200,FIND("·",GH200)-1),$C$200:$C$207,0))=0,ABS(INDEX($A$200:$A$207,MATCH(LEFT(GH200,FIND("·",GH200)-1),$C$200:$C$207,0))-VALUE(MID(GH200,FIND("|",GH200)+1,FIND("-",GH200,FIND("|",GH200))-FIND("|",GH200)-1))),ABS(INDEX($Q$200:$Q$207,MATCH(LEFT(GH200,FIND("·",GH200)-1),$C$200:$C$207,0))-(VALUE(MID(GH200,FIND("|",GH200)+1,FIND("-",GH200,FIND("|",GH200))-FIND("|",GH200)-1))-VALUE(MID(GH200,FIND("-",GH200,FIND("|",GH200))+1,10)))))*$D$50)))))*INDEX($I$200:$I$207,MATCH(LEFT(GH200,FIND("·",GH200)-1),$C$200:$C$207,0)),0),0),0)</f>
        <v>0</v>
      </c>
      <c r="GJ200" s="110"/>
      <c r="GK200" s="66" t="s">
        <v>2265</v>
      </c>
      <c r="GL200" s="85">
        <f t="shared" ref="GL200" ca="1" si="1812">IFERROR(IF(COUNTIF($K$200:$K$207,LEFT(GK200,FIND("·",GK200)-1))&gt;0,IF(INDEX($L$200:$L$207,MATCH(LEFT(GK200,FIND("·",GK200)-1),$K$200:$K$207,0))=IFERROR(VALUE(MID(GK200,FIND("·",GK200)+1,1)),0),($D$20+(INDEX($M$200:$M$207,MATCH(LEFT(GK200,FIND("·",GK200)-1),$K$200:$K$207,0))=MID(GK200,FIND("|",GK200)+1,10))*$D$22+MAX(0,IF($D$50=1,$D$21*(1-(ABS(INDEX($P$200:$P$207,MATCH(LEFT(GK200,FIND("·",GK200)-1),$K$200:$K$207,0))-(VALUE(MID(GK200,FIND("|",GK200)+1,FIND("-",GK200,FIND("|",GK200))-FIND("|",GK200)-1))-VALUE(MID(GK200,FIND("-",GK200,FIND("|",GK200))+1,10)))))*$D$50),$D$21*(1-(IF(INDEX($L$200:$L$207,MATCH(LEFT(GK200,FIND("·",GK200)-1),$K$200:$K$207,0))=0,ABS(INDEX($N$200:$N$207,MATCH(LEFT(GK200,FIND("·",GK200)-1),$K$200:$K$207,0))-VALUE(MID(GK200,FIND("|",GK200)+1,FIND("-",GK200,FIND("|",GK200))-FIND("|",GK200)-1))),ABS(INDEX($P$200:$P$207,MATCH(LEFT(GK200,FIND("·",GK200)-1),$K$200:$K$207,0))-(VALUE(MID(GK200,FIND("|",GK200)+1,FIND("-",GK200,FIND("|",GK200))-FIND("|",GK200)-1))-VALUE(MID(GK200,FIND("-",GK200,FIND("|",GK200))+1,10)))))*$D$50)))))*INDEX($I$200:$I$207,MATCH(LEFT(GK200,FIND("·",GK200)-1),$K$200:$K$207,0)),0),0),0)+IFERROR(IF(COUNTIF($C$200:$C$207,LEFT(GK200,FIND("·",GK200)-1))&gt;0,IF(INDEX($D$200:$D$207,MATCH(LEFT(GK200,FIND("·",GK200)-1),$C$200:$C$207,0))=IFERROR(VALUE(MID(GK200,FIND("·",GK200)+1,1)),0),($D$20+(INDEX($E$200:$E$207,MATCH(LEFT(GK200,FIND("·",GK200)-1),$C$200:$C$207,0))=MID(GK200,FIND("|",GK200)+1,10))*$D$22+MAX(0,IF($D$50=1,$D$21*(1-(ABS(INDEX($Q$200:$Q$207,MATCH(LEFT(GK200,FIND("·",GK200)-1),$C$200:$C$207,0))-(VALUE(MID(GK200,FIND("|",GK200)+1,FIND("-",GK200,FIND("|",GK200))-FIND("|",GK200)-1))-VALUE(MID(GK200,FIND("-",GK200,FIND("|",GK200))+1,10)))))*$D$50),$D$21*(1-(IF(INDEX($D$200:$D$207,MATCH(LEFT(GK200,FIND("·",GK200)-1),$C$200:$C$207,0))=0,ABS(INDEX($A$200:$A$207,MATCH(LEFT(GK200,FIND("·",GK200)-1),$C$200:$C$207,0))-VALUE(MID(GK200,FIND("|",GK200)+1,FIND("-",GK200,FIND("|",GK200))-FIND("|",GK200)-1))),ABS(INDEX($Q$200:$Q$207,MATCH(LEFT(GK200,FIND("·",GK200)-1),$C$200:$C$207,0))-(VALUE(MID(GK200,FIND("|",GK200)+1,FIND("-",GK200,FIND("|",GK200))-FIND("|",GK200)-1))-VALUE(MID(GK200,FIND("-",GK200,FIND("|",GK200))+1,10)))))*$D$50)))))*INDEX($I$200:$I$207,MATCH(LEFT(GK200,FIND("·",GK200)-1),$C$200:$C$207,0)),0),0),0)</f>
        <v>0</v>
      </c>
      <c r="GM200" s="110"/>
      <c r="GN200" s="66" t="str">
        <f>Idiomas!$D$368</f>
        <v>Paste Values Round of 16'</v>
      </c>
      <c r="GO200" s="85">
        <f t="shared" ref="GO200" ca="1" si="1813">IFERROR(IF(COUNTIF($K$200:$K$207,LEFT(GN200,FIND("·",GN200)-1))&gt;0,IF(INDEX($L$200:$L$207,MATCH(LEFT(GN200,FIND("·",GN200)-1),$K$200:$K$207,0))=IFERROR(VALUE(MID(GN200,FIND("·",GN200)+1,1)),0),($D$20+(INDEX($M$200:$M$207,MATCH(LEFT(GN200,FIND("·",GN200)-1),$K$200:$K$207,0))=MID(GN200,FIND("|",GN200)+1,10))*$D$22+MAX(0,IF($D$50=1,$D$21*(1-(ABS(INDEX($P$200:$P$207,MATCH(LEFT(GN200,FIND("·",GN200)-1),$K$200:$K$207,0))-(VALUE(MID(GN200,FIND("|",GN200)+1,FIND("-",GN200,FIND("|",GN200))-FIND("|",GN200)-1))-VALUE(MID(GN200,FIND("-",GN200,FIND("|",GN200))+1,10)))))*$D$50),$D$21*(1-(IF(INDEX($L$200:$L$207,MATCH(LEFT(GN200,FIND("·",GN200)-1),$K$200:$K$207,0))=0,ABS(INDEX($N$200:$N$207,MATCH(LEFT(GN200,FIND("·",GN200)-1),$K$200:$K$207,0))-VALUE(MID(GN200,FIND("|",GN200)+1,FIND("-",GN200,FIND("|",GN200))-FIND("|",GN200)-1))),ABS(INDEX($P$200:$P$207,MATCH(LEFT(GN200,FIND("·",GN200)-1),$K$200:$K$207,0))-(VALUE(MID(GN200,FIND("|",GN200)+1,FIND("-",GN200,FIND("|",GN200))-FIND("|",GN200)-1))-VALUE(MID(GN200,FIND("-",GN200,FIND("|",GN200))+1,10)))))*$D$50)))))*INDEX($I$200:$I$207,MATCH(LEFT(GN200,FIND("·",GN200)-1),$K$200:$K$207,0)),0),0),0)+IFERROR(IF(COUNTIF($C$200:$C$207,LEFT(GN200,FIND("·",GN200)-1))&gt;0,IF(INDEX($D$200:$D$207,MATCH(LEFT(GN200,FIND("·",GN200)-1),$C$200:$C$207,0))=IFERROR(VALUE(MID(GN200,FIND("·",GN200)+1,1)),0),($D$20+(INDEX($E$200:$E$207,MATCH(LEFT(GN200,FIND("·",GN200)-1),$C$200:$C$207,0))=MID(GN200,FIND("|",GN200)+1,10))*$D$22+MAX(0,IF($D$50=1,$D$21*(1-(ABS(INDEX($Q$200:$Q$207,MATCH(LEFT(GN200,FIND("·",GN200)-1),$C$200:$C$207,0))-(VALUE(MID(GN200,FIND("|",GN200)+1,FIND("-",GN200,FIND("|",GN200))-FIND("|",GN200)-1))-VALUE(MID(GN200,FIND("-",GN200,FIND("|",GN200))+1,10)))))*$D$50),$D$21*(1-(IF(INDEX($D$200:$D$207,MATCH(LEFT(GN200,FIND("·",GN200)-1),$C$200:$C$207,0))=0,ABS(INDEX($A$200:$A$207,MATCH(LEFT(GN200,FIND("·",GN200)-1),$C$200:$C$207,0))-VALUE(MID(GN200,FIND("|",GN200)+1,FIND("-",GN200,FIND("|",GN200))-FIND("|",GN200)-1))),ABS(INDEX($Q$200:$Q$207,MATCH(LEFT(GN200,FIND("·",GN200)-1),$C$200:$C$207,0))-(VALUE(MID(GN200,FIND("|",GN200)+1,FIND("-",GN200,FIND("|",GN200))-FIND("|",GN200)-1))-VALUE(MID(GN200,FIND("-",GN200,FIND("|",GN200))+1,10)))))*$D$50)))))*INDEX($I$200:$I$207,MATCH(LEFT(GN200,FIND("·",GN200)-1),$C$200:$C$207,0)),0),0),0)</f>
        <v>0</v>
      </c>
      <c r="GP200" s="110"/>
      <c r="GQ200" s="66" t="str">
        <f>Idiomas!$D$368</f>
        <v>Paste Values Round of 16'</v>
      </c>
      <c r="GR200" s="85">
        <f t="shared" ref="GR200" ca="1" si="1814">IFERROR(IF(COUNTIF($K$200:$K$207,LEFT(GQ200,FIND("·",GQ200)-1))&gt;0,IF(INDEX($L$200:$L$207,MATCH(LEFT(GQ200,FIND("·",GQ200)-1),$K$200:$K$207,0))=IFERROR(VALUE(MID(GQ200,FIND("·",GQ200)+1,1)),0),($D$20+(INDEX($M$200:$M$207,MATCH(LEFT(GQ200,FIND("·",GQ200)-1),$K$200:$K$207,0))=MID(GQ200,FIND("|",GQ200)+1,10))*$D$22+MAX(0,IF($D$50=1,$D$21*(1-(ABS(INDEX($P$200:$P$207,MATCH(LEFT(GQ200,FIND("·",GQ200)-1),$K$200:$K$207,0))-(VALUE(MID(GQ200,FIND("|",GQ200)+1,FIND("-",GQ200,FIND("|",GQ200))-FIND("|",GQ200)-1))-VALUE(MID(GQ200,FIND("-",GQ200,FIND("|",GQ200))+1,10)))))*$D$50),$D$21*(1-(IF(INDEX($L$200:$L$207,MATCH(LEFT(GQ200,FIND("·",GQ200)-1),$K$200:$K$207,0))=0,ABS(INDEX($N$200:$N$207,MATCH(LEFT(GQ200,FIND("·",GQ200)-1),$K$200:$K$207,0))-VALUE(MID(GQ200,FIND("|",GQ200)+1,FIND("-",GQ200,FIND("|",GQ200))-FIND("|",GQ200)-1))),ABS(INDEX($P$200:$P$207,MATCH(LEFT(GQ200,FIND("·",GQ200)-1),$K$200:$K$207,0))-(VALUE(MID(GQ200,FIND("|",GQ200)+1,FIND("-",GQ200,FIND("|",GQ200))-FIND("|",GQ200)-1))-VALUE(MID(GQ200,FIND("-",GQ200,FIND("|",GQ200))+1,10)))))*$D$50)))))*INDEX($I$200:$I$207,MATCH(LEFT(GQ200,FIND("·",GQ200)-1),$K$200:$K$207,0)),0),0),0)+IFERROR(IF(COUNTIF($C$200:$C$207,LEFT(GQ200,FIND("·",GQ200)-1))&gt;0,IF(INDEX($D$200:$D$207,MATCH(LEFT(GQ200,FIND("·",GQ200)-1),$C$200:$C$207,0))=IFERROR(VALUE(MID(GQ200,FIND("·",GQ200)+1,1)),0),($D$20+(INDEX($E$200:$E$207,MATCH(LEFT(GQ200,FIND("·",GQ200)-1),$C$200:$C$207,0))=MID(GQ200,FIND("|",GQ200)+1,10))*$D$22+MAX(0,IF($D$50=1,$D$21*(1-(ABS(INDEX($Q$200:$Q$207,MATCH(LEFT(GQ200,FIND("·",GQ200)-1),$C$200:$C$207,0))-(VALUE(MID(GQ200,FIND("|",GQ200)+1,FIND("-",GQ200,FIND("|",GQ200))-FIND("|",GQ200)-1))-VALUE(MID(GQ200,FIND("-",GQ200,FIND("|",GQ200))+1,10)))))*$D$50),$D$21*(1-(IF(INDEX($D$200:$D$207,MATCH(LEFT(GQ200,FIND("·",GQ200)-1),$C$200:$C$207,0))=0,ABS(INDEX($A$200:$A$207,MATCH(LEFT(GQ200,FIND("·",GQ200)-1),$C$200:$C$207,0))-VALUE(MID(GQ200,FIND("|",GQ200)+1,FIND("-",GQ200,FIND("|",GQ200))-FIND("|",GQ200)-1))),ABS(INDEX($Q$200:$Q$207,MATCH(LEFT(GQ200,FIND("·",GQ200)-1),$C$200:$C$207,0))-(VALUE(MID(GQ200,FIND("|",GQ200)+1,FIND("-",GQ200,FIND("|",GQ200))-FIND("|",GQ200)-1))-VALUE(MID(GQ200,FIND("-",GQ200,FIND("|",GQ200))+1,10)))))*$D$50)))))*INDEX($I$200:$I$207,MATCH(LEFT(GQ200,FIND("·",GQ200)-1),$C$200:$C$207,0)),0),0),0)</f>
        <v>0</v>
      </c>
      <c r="GS200" s="110"/>
      <c r="GT200" s="66" t="str">
        <f>Idiomas!$D$368</f>
        <v>Paste Values Round of 16'</v>
      </c>
      <c r="GU200" s="85">
        <f t="shared" ref="GU200" ca="1" si="1815">IFERROR(IF(COUNTIF($K$200:$K$207,LEFT(GT200,FIND("·",GT200)-1))&gt;0,IF(INDEX($L$200:$L$207,MATCH(LEFT(GT200,FIND("·",GT200)-1),$K$200:$K$207,0))=IFERROR(VALUE(MID(GT200,FIND("·",GT200)+1,1)),0),($D$20+(INDEX($M$200:$M$207,MATCH(LEFT(GT200,FIND("·",GT200)-1),$K$200:$K$207,0))=MID(GT200,FIND("|",GT200)+1,10))*$D$22+MAX(0,IF($D$50=1,$D$21*(1-(ABS(INDEX($P$200:$P$207,MATCH(LEFT(GT200,FIND("·",GT200)-1),$K$200:$K$207,0))-(VALUE(MID(GT200,FIND("|",GT200)+1,FIND("-",GT200,FIND("|",GT200))-FIND("|",GT200)-1))-VALUE(MID(GT200,FIND("-",GT200,FIND("|",GT200))+1,10)))))*$D$50),$D$21*(1-(IF(INDEX($L$200:$L$207,MATCH(LEFT(GT200,FIND("·",GT200)-1),$K$200:$K$207,0))=0,ABS(INDEX($N$200:$N$207,MATCH(LEFT(GT200,FIND("·",GT200)-1),$K$200:$K$207,0))-VALUE(MID(GT200,FIND("|",GT200)+1,FIND("-",GT200,FIND("|",GT200))-FIND("|",GT200)-1))),ABS(INDEX($P$200:$P$207,MATCH(LEFT(GT200,FIND("·",GT200)-1),$K$200:$K$207,0))-(VALUE(MID(GT200,FIND("|",GT200)+1,FIND("-",GT200,FIND("|",GT200))-FIND("|",GT200)-1))-VALUE(MID(GT200,FIND("-",GT200,FIND("|",GT200))+1,10)))))*$D$50)))))*INDEX($I$200:$I$207,MATCH(LEFT(GT200,FIND("·",GT200)-1),$K$200:$K$207,0)),0),0),0)+IFERROR(IF(COUNTIF($C$200:$C$207,LEFT(GT200,FIND("·",GT200)-1))&gt;0,IF(INDEX($D$200:$D$207,MATCH(LEFT(GT200,FIND("·",GT200)-1),$C$200:$C$207,0))=IFERROR(VALUE(MID(GT200,FIND("·",GT200)+1,1)),0),($D$20+(INDEX($E$200:$E$207,MATCH(LEFT(GT200,FIND("·",GT200)-1),$C$200:$C$207,0))=MID(GT200,FIND("|",GT200)+1,10))*$D$22+MAX(0,IF($D$50=1,$D$21*(1-(ABS(INDEX($Q$200:$Q$207,MATCH(LEFT(GT200,FIND("·",GT200)-1),$C$200:$C$207,0))-(VALUE(MID(GT200,FIND("|",GT200)+1,FIND("-",GT200,FIND("|",GT200))-FIND("|",GT200)-1))-VALUE(MID(GT200,FIND("-",GT200,FIND("|",GT200))+1,10)))))*$D$50),$D$21*(1-(IF(INDEX($D$200:$D$207,MATCH(LEFT(GT200,FIND("·",GT200)-1),$C$200:$C$207,0))=0,ABS(INDEX($A$200:$A$207,MATCH(LEFT(GT200,FIND("·",GT200)-1),$C$200:$C$207,0))-VALUE(MID(GT200,FIND("|",GT200)+1,FIND("-",GT200,FIND("|",GT200))-FIND("|",GT200)-1))),ABS(INDEX($Q$200:$Q$207,MATCH(LEFT(GT200,FIND("·",GT200)-1),$C$200:$C$207,0))-(VALUE(MID(GT200,FIND("|",GT200)+1,FIND("-",GT200,FIND("|",GT200))-FIND("|",GT200)-1))-VALUE(MID(GT200,FIND("-",GT200,FIND("|",GT200))+1,10)))))*$D$50)))))*INDEX($I$200:$I$207,MATCH(LEFT(GT200,FIND("·",GT200)-1),$C$200:$C$207,0)),0),0),0)</f>
        <v>0</v>
      </c>
      <c r="GV200" s="110"/>
      <c r="GW200" s="66" t="str">
        <f>Idiomas!$D$368</f>
        <v>Paste Values Round of 16'</v>
      </c>
      <c r="GX200" s="85">
        <f t="shared" ref="GX200" ca="1" si="1816">IFERROR(IF(COUNTIF($K$200:$K$207,LEFT(GW200,FIND("·",GW200)-1))&gt;0,IF(INDEX($L$200:$L$207,MATCH(LEFT(GW200,FIND("·",GW200)-1),$K$200:$K$207,0))=IFERROR(VALUE(MID(GW200,FIND("·",GW200)+1,1)),0),($D$20+(INDEX($M$200:$M$207,MATCH(LEFT(GW200,FIND("·",GW200)-1),$K$200:$K$207,0))=MID(GW200,FIND("|",GW200)+1,10))*$D$22+MAX(0,IF($D$50=1,$D$21*(1-(ABS(INDEX($P$200:$P$207,MATCH(LEFT(GW200,FIND("·",GW200)-1),$K$200:$K$207,0))-(VALUE(MID(GW200,FIND("|",GW200)+1,FIND("-",GW200,FIND("|",GW200))-FIND("|",GW200)-1))-VALUE(MID(GW200,FIND("-",GW200,FIND("|",GW200))+1,10)))))*$D$50),$D$21*(1-(IF(INDEX($L$200:$L$207,MATCH(LEFT(GW200,FIND("·",GW200)-1),$K$200:$K$207,0))=0,ABS(INDEX($N$200:$N$207,MATCH(LEFT(GW200,FIND("·",GW200)-1),$K$200:$K$207,0))-VALUE(MID(GW200,FIND("|",GW200)+1,FIND("-",GW200,FIND("|",GW200))-FIND("|",GW200)-1))),ABS(INDEX($P$200:$P$207,MATCH(LEFT(GW200,FIND("·",GW200)-1),$K$200:$K$207,0))-(VALUE(MID(GW200,FIND("|",GW200)+1,FIND("-",GW200,FIND("|",GW200))-FIND("|",GW200)-1))-VALUE(MID(GW200,FIND("-",GW200,FIND("|",GW200))+1,10)))))*$D$50)))))*INDEX($I$200:$I$207,MATCH(LEFT(GW200,FIND("·",GW200)-1),$K$200:$K$207,0)),0),0),0)+IFERROR(IF(COUNTIF($C$200:$C$207,LEFT(GW200,FIND("·",GW200)-1))&gt;0,IF(INDEX($D$200:$D$207,MATCH(LEFT(GW200,FIND("·",GW200)-1),$C$200:$C$207,0))=IFERROR(VALUE(MID(GW200,FIND("·",GW200)+1,1)),0),($D$20+(INDEX($E$200:$E$207,MATCH(LEFT(GW200,FIND("·",GW200)-1),$C$200:$C$207,0))=MID(GW200,FIND("|",GW200)+1,10))*$D$22+MAX(0,IF($D$50=1,$D$21*(1-(ABS(INDEX($Q$200:$Q$207,MATCH(LEFT(GW200,FIND("·",GW200)-1),$C$200:$C$207,0))-(VALUE(MID(GW200,FIND("|",GW200)+1,FIND("-",GW200,FIND("|",GW200))-FIND("|",GW200)-1))-VALUE(MID(GW200,FIND("-",GW200,FIND("|",GW200))+1,10)))))*$D$50),$D$21*(1-(IF(INDEX($D$200:$D$207,MATCH(LEFT(GW200,FIND("·",GW200)-1),$C$200:$C$207,0))=0,ABS(INDEX($A$200:$A$207,MATCH(LEFT(GW200,FIND("·",GW200)-1),$C$200:$C$207,0))-VALUE(MID(GW200,FIND("|",GW200)+1,FIND("-",GW200,FIND("|",GW200))-FIND("|",GW200)-1))),ABS(INDEX($Q$200:$Q$207,MATCH(LEFT(GW200,FIND("·",GW200)-1),$C$200:$C$207,0))-(VALUE(MID(GW200,FIND("|",GW200)+1,FIND("-",GW200,FIND("|",GW200))-FIND("|",GW200)-1))-VALUE(MID(GW200,FIND("-",GW200,FIND("|",GW200))+1,10)))))*$D$50)))))*INDEX($I$200:$I$207,MATCH(LEFT(GW200,FIND("·",GW200)-1),$C$200:$C$207,0)),0),0),0)</f>
        <v>0</v>
      </c>
      <c r="GY200" s="110"/>
      <c r="GZ200" s="66" t="str">
        <f>Idiomas!$D$368</f>
        <v>Paste Values Round of 16'</v>
      </c>
      <c r="HA200" s="85">
        <f t="shared" ref="HA200" ca="1" si="1817">IFERROR(IF(COUNTIF($K$200:$K$207,LEFT(GZ200,FIND("·",GZ200)-1))&gt;0,IF(INDEX($L$200:$L$207,MATCH(LEFT(GZ200,FIND("·",GZ200)-1),$K$200:$K$207,0))=IFERROR(VALUE(MID(GZ200,FIND("·",GZ200)+1,1)),0),($D$20+(INDEX($M$200:$M$207,MATCH(LEFT(GZ200,FIND("·",GZ200)-1),$K$200:$K$207,0))=MID(GZ200,FIND("|",GZ200)+1,10))*$D$22+MAX(0,IF($D$50=1,$D$21*(1-(ABS(INDEX($P$200:$P$207,MATCH(LEFT(GZ200,FIND("·",GZ200)-1),$K$200:$K$207,0))-(VALUE(MID(GZ200,FIND("|",GZ200)+1,FIND("-",GZ200,FIND("|",GZ200))-FIND("|",GZ200)-1))-VALUE(MID(GZ200,FIND("-",GZ200,FIND("|",GZ200))+1,10)))))*$D$50),$D$21*(1-(IF(INDEX($L$200:$L$207,MATCH(LEFT(GZ200,FIND("·",GZ200)-1),$K$200:$K$207,0))=0,ABS(INDEX($N$200:$N$207,MATCH(LEFT(GZ200,FIND("·",GZ200)-1),$K$200:$K$207,0))-VALUE(MID(GZ200,FIND("|",GZ200)+1,FIND("-",GZ200,FIND("|",GZ200))-FIND("|",GZ200)-1))),ABS(INDEX($P$200:$P$207,MATCH(LEFT(GZ200,FIND("·",GZ200)-1),$K$200:$K$207,0))-(VALUE(MID(GZ200,FIND("|",GZ200)+1,FIND("-",GZ200,FIND("|",GZ200))-FIND("|",GZ200)-1))-VALUE(MID(GZ200,FIND("-",GZ200,FIND("|",GZ200))+1,10)))))*$D$50)))))*INDEX($I$200:$I$207,MATCH(LEFT(GZ200,FIND("·",GZ200)-1),$K$200:$K$207,0)),0),0),0)+IFERROR(IF(COUNTIF($C$200:$C$207,LEFT(GZ200,FIND("·",GZ200)-1))&gt;0,IF(INDEX($D$200:$D$207,MATCH(LEFT(GZ200,FIND("·",GZ200)-1),$C$200:$C$207,0))=IFERROR(VALUE(MID(GZ200,FIND("·",GZ200)+1,1)),0),($D$20+(INDEX($E$200:$E$207,MATCH(LEFT(GZ200,FIND("·",GZ200)-1),$C$200:$C$207,0))=MID(GZ200,FIND("|",GZ200)+1,10))*$D$22+MAX(0,IF($D$50=1,$D$21*(1-(ABS(INDEX($Q$200:$Q$207,MATCH(LEFT(GZ200,FIND("·",GZ200)-1),$C$200:$C$207,0))-(VALUE(MID(GZ200,FIND("|",GZ200)+1,FIND("-",GZ200,FIND("|",GZ200))-FIND("|",GZ200)-1))-VALUE(MID(GZ200,FIND("-",GZ200,FIND("|",GZ200))+1,10)))))*$D$50),$D$21*(1-(IF(INDEX($D$200:$D$207,MATCH(LEFT(GZ200,FIND("·",GZ200)-1),$C$200:$C$207,0))=0,ABS(INDEX($A$200:$A$207,MATCH(LEFT(GZ200,FIND("·",GZ200)-1),$C$200:$C$207,0))-VALUE(MID(GZ200,FIND("|",GZ200)+1,FIND("-",GZ200,FIND("|",GZ200))-FIND("|",GZ200)-1))),ABS(INDEX($Q$200:$Q$207,MATCH(LEFT(GZ200,FIND("·",GZ200)-1),$C$200:$C$207,0))-(VALUE(MID(GZ200,FIND("|",GZ200)+1,FIND("-",GZ200,FIND("|",GZ200))-FIND("|",GZ200)-1))-VALUE(MID(GZ200,FIND("-",GZ200,FIND("|",GZ200))+1,10)))))*$D$50)))))*INDEX($I$200:$I$207,MATCH(LEFT(GZ200,FIND("·",GZ200)-1),$C$200:$C$207,0)),0),0),0)</f>
        <v>0</v>
      </c>
      <c r="HB200" s="110"/>
      <c r="HC200" s="66" t="str">
        <f>Idiomas!$D$368</f>
        <v>Paste Values Round of 16'</v>
      </c>
      <c r="HD200" s="85">
        <f t="shared" ref="HD200" ca="1" si="1818">IFERROR(IF(COUNTIF($K$200:$K$207,LEFT(HC200,FIND("·",HC200)-1))&gt;0,IF(INDEX($L$200:$L$207,MATCH(LEFT(HC200,FIND("·",HC200)-1),$K$200:$K$207,0))=IFERROR(VALUE(MID(HC200,FIND("·",HC200)+1,1)),0),($D$20+(INDEX($M$200:$M$207,MATCH(LEFT(HC200,FIND("·",HC200)-1),$K$200:$K$207,0))=MID(HC200,FIND("|",HC200)+1,10))*$D$22+MAX(0,IF($D$50=1,$D$21*(1-(ABS(INDEX($P$200:$P$207,MATCH(LEFT(HC200,FIND("·",HC200)-1),$K$200:$K$207,0))-(VALUE(MID(HC200,FIND("|",HC200)+1,FIND("-",HC200,FIND("|",HC200))-FIND("|",HC200)-1))-VALUE(MID(HC200,FIND("-",HC200,FIND("|",HC200))+1,10)))))*$D$50),$D$21*(1-(IF(INDEX($L$200:$L$207,MATCH(LEFT(HC200,FIND("·",HC200)-1),$K$200:$K$207,0))=0,ABS(INDEX($N$200:$N$207,MATCH(LEFT(HC200,FIND("·",HC200)-1),$K$200:$K$207,0))-VALUE(MID(HC200,FIND("|",HC200)+1,FIND("-",HC200,FIND("|",HC200))-FIND("|",HC200)-1))),ABS(INDEX($P$200:$P$207,MATCH(LEFT(HC200,FIND("·",HC200)-1),$K$200:$K$207,0))-(VALUE(MID(HC200,FIND("|",HC200)+1,FIND("-",HC200,FIND("|",HC200))-FIND("|",HC200)-1))-VALUE(MID(HC200,FIND("-",HC200,FIND("|",HC200))+1,10)))))*$D$50)))))*INDEX($I$200:$I$207,MATCH(LEFT(HC200,FIND("·",HC200)-1),$K$200:$K$207,0)),0),0),0)+IFERROR(IF(COUNTIF($C$200:$C$207,LEFT(HC200,FIND("·",HC200)-1))&gt;0,IF(INDEX($D$200:$D$207,MATCH(LEFT(HC200,FIND("·",HC200)-1),$C$200:$C$207,0))=IFERROR(VALUE(MID(HC200,FIND("·",HC200)+1,1)),0),($D$20+(INDEX($E$200:$E$207,MATCH(LEFT(HC200,FIND("·",HC200)-1),$C$200:$C$207,0))=MID(HC200,FIND("|",HC200)+1,10))*$D$22+MAX(0,IF($D$50=1,$D$21*(1-(ABS(INDEX($Q$200:$Q$207,MATCH(LEFT(HC200,FIND("·",HC200)-1),$C$200:$C$207,0))-(VALUE(MID(HC200,FIND("|",HC200)+1,FIND("-",HC200,FIND("|",HC200))-FIND("|",HC200)-1))-VALUE(MID(HC200,FIND("-",HC200,FIND("|",HC200))+1,10)))))*$D$50),$D$21*(1-(IF(INDEX($D$200:$D$207,MATCH(LEFT(HC200,FIND("·",HC200)-1),$C$200:$C$207,0))=0,ABS(INDEX($A$200:$A$207,MATCH(LEFT(HC200,FIND("·",HC200)-1),$C$200:$C$207,0))-VALUE(MID(HC200,FIND("|",HC200)+1,FIND("-",HC200,FIND("|",HC200))-FIND("|",HC200)-1))),ABS(INDEX($Q$200:$Q$207,MATCH(LEFT(HC200,FIND("·",HC200)-1),$C$200:$C$207,0))-(VALUE(MID(HC200,FIND("|",HC200)+1,FIND("-",HC200,FIND("|",HC200))-FIND("|",HC200)-1))-VALUE(MID(HC200,FIND("-",HC200,FIND("|",HC200))+1,10)))))*$D$50)))))*INDEX($I$200:$I$207,MATCH(LEFT(HC200,FIND("·",HC200)-1),$C$200:$C$207,0)),0),0),0)</f>
        <v>0</v>
      </c>
      <c r="HE200" s="110"/>
      <c r="HF200" s="66" t="str">
        <f>Idiomas!$D$368</f>
        <v>Paste Values Round of 16'</v>
      </c>
      <c r="HG200" s="85">
        <f t="shared" ref="HG200" ca="1" si="1819">IFERROR(IF(COUNTIF($K$200:$K$207,LEFT(HF200,FIND("·",HF200)-1))&gt;0,IF(INDEX($L$200:$L$207,MATCH(LEFT(HF200,FIND("·",HF200)-1),$K$200:$K$207,0))=IFERROR(VALUE(MID(HF200,FIND("·",HF200)+1,1)),0),($D$20+(INDEX($M$200:$M$207,MATCH(LEFT(HF200,FIND("·",HF200)-1),$K$200:$K$207,0))=MID(HF200,FIND("|",HF200)+1,10))*$D$22+MAX(0,IF($D$50=1,$D$21*(1-(ABS(INDEX($P$200:$P$207,MATCH(LEFT(HF200,FIND("·",HF200)-1),$K$200:$K$207,0))-(VALUE(MID(HF200,FIND("|",HF200)+1,FIND("-",HF200,FIND("|",HF200))-FIND("|",HF200)-1))-VALUE(MID(HF200,FIND("-",HF200,FIND("|",HF200))+1,10)))))*$D$50),$D$21*(1-(IF(INDEX($L$200:$L$207,MATCH(LEFT(HF200,FIND("·",HF200)-1),$K$200:$K$207,0))=0,ABS(INDEX($N$200:$N$207,MATCH(LEFT(HF200,FIND("·",HF200)-1),$K$200:$K$207,0))-VALUE(MID(HF200,FIND("|",HF200)+1,FIND("-",HF200,FIND("|",HF200))-FIND("|",HF200)-1))),ABS(INDEX($P$200:$P$207,MATCH(LEFT(HF200,FIND("·",HF200)-1),$K$200:$K$207,0))-(VALUE(MID(HF200,FIND("|",HF200)+1,FIND("-",HF200,FIND("|",HF200))-FIND("|",HF200)-1))-VALUE(MID(HF200,FIND("-",HF200,FIND("|",HF200))+1,10)))))*$D$50)))))*INDEX($I$200:$I$207,MATCH(LEFT(HF200,FIND("·",HF200)-1),$K$200:$K$207,0)),0),0),0)+IFERROR(IF(COUNTIF($C$200:$C$207,LEFT(HF200,FIND("·",HF200)-1))&gt;0,IF(INDEX($D$200:$D$207,MATCH(LEFT(HF200,FIND("·",HF200)-1),$C$200:$C$207,0))=IFERROR(VALUE(MID(HF200,FIND("·",HF200)+1,1)),0),($D$20+(INDEX($E$200:$E$207,MATCH(LEFT(HF200,FIND("·",HF200)-1),$C$200:$C$207,0))=MID(HF200,FIND("|",HF200)+1,10))*$D$22+MAX(0,IF($D$50=1,$D$21*(1-(ABS(INDEX($Q$200:$Q$207,MATCH(LEFT(HF200,FIND("·",HF200)-1),$C$200:$C$207,0))-(VALUE(MID(HF200,FIND("|",HF200)+1,FIND("-",HF200,FIND("|",HF200))-FIND("|",HF200)-1))-VALUE(MID(HF200,FIND("-",HF200,FIND("|",HF200))+1,10)))))*$D$50),$D$21*(1-(IF(INDEX($D$200:$D$207,MATCH(LEFT(HF200,FIND("·",HF200)-1),$C$200:$C$207,0))=0,ABS(INDEX($A$200:$A$207,MATCH(LEFT(HF200,FIND("·",HF200)-1),$C$200:$C$207,0))-VALUE(MID(HF200,FIND("|",HF200)+1,FIND("-",HF200,FIND("|",HF200))-FIND("|",HF200)-1))),ABS(INDEX($Q$200:$Q$207,MATCH(LEFT(HF200,FIND("·",HF200)-1),$C$200:$C$207,0))-(VALUE(MID(HF200,FIND("|",HF200)+1,FIND("-",HF200,FIND("|",HF200))-FIND("|",HF200)-1))-VALUE(MID(HF200,FIND("-",HF200,FIND("|",HF200))+1,10)))))*$D$50)))))*INDEX($I$200:$I$207,MATCH(LEFT(HF200,FIND("·",HF200)-1),$C$200:$C$207,0)),0),0),0)</f>
        <v>0</v>
      </c>
      <c r="HH200" s="110"/>
      <c r="HI200" s="66" t="str">
        <f>Idiomas!$D$368</f>
        <v>Paste Values Round of 16'</v>
      </c>
      <c r="HJ200" s="85">
        <f t="shared" ref="HJ200" ca="1" si="1820">IFERROR(IF(COUNTIF($K$200:$K$207,LEFT(HI200,FIND("·",HI200)-1))&gt;0,IF(INDEX($L$200:$L$207,MATCH(LEFT(HI200,FIND("·",HI200)-1),$K$200:$K$207,0))=IFERROR(VALUE(MID(HI200,FIND("·",HI200)+1,1)),0),($D$20+(INDEX($M$200:$M$207,MATCH(LEFT(HI200,FIND("·",HI200)-1),$K$200:$K$207,0))=MID(HI200,FIND("|",HI200)+1,10))*$D$22+MAX(0,IF($D$50=1,$D$21*(1-(ABS(INDEX($P$200:$P$207,MATCH(LEFT(HI200,FIND("·",HI200)-1),$K$200:$K$207,0))-(VALUE(MID(HI200,FIND("|",HI200)+1,FIND("-",HI200,FIND("|",HI200))-FIND("|",HI200)-1))-VALUE(MID(HI200,FIND("-",HI200,FIND("|",HI200))+1,10)))))*$D$50),$D$21*(1-(IF(INDEX($L$200:$L$207,MATCH(LEFT(HI200,FIND("·",HI200)-1),$K$200:$K$207,0))=0,ABS(INDEX($N$200:$N$207,MATCH(LEFT(HI200,FIND("·",HI200)-1),$K$200:$K$207,0))-VALUE(MID(HI200,FIND("|",HI200)+1,FIND("-",HI200,FIND("|",HI200))-FIND("|",HI200)-1))),ABS(INDEX($P$200:$P$207,MATCH(LEFT(HI200,FIND("·",HI200)-1),$K$200:$K$207,0))-(VALUE(MID(HI200,FIND("|",HI200)+1,FIND("-",HI200,FIND("|",HI200))-FIND("|",HI200)-1))-VALUE(MID(HI200,FIND("-",HI200,FIND("|",HI200))+1,10)))))*$D$50)))))*INDEX($I$200:$I$207,MATCH(LEFT(HI200,FIND("·",HI200)-1),$K$200:$K$207,0)),0),0),0)+IFERROR(IF(COUNTIF($C$200:$C$207,LEFT(HI200,FIND("·",HI200)-1))&gt;0,IF(INDEX($D$200:$D$207,MATCH(LEFT(HI200,FIND("·",HI200)-1),$C$200:$C$207,0))=IFERROR(VALUE(MID(HI200,FIND("·",HI200)+1,1)),0),($D$20+(INDEX($E$200:$E$207,MATCH(LEFT(HI200,FIND("·",HI200)-1),$C$200:$C$207,0))=MID(HI200,FIND("|",HI200)+1,10))*$D$22+MAX(0,IF($D$50=1,$D$21*(1-(ABS(INDEX($Q$200:$Q$207,MATCH(LEFT(HI200,FIND("·",HI200)-1),$C$200:$C$207,0))-(VALUE(MID(HI200,FIND("|",HI200)+1,FIND("-",HI200,FIND("|",HI200))-FIND("|",HI200)-1))-VALUE(MID(HI200,FIND("-",HI200,FIND("|",HI200))+1,10)))))*$D$50),$D$21*(1-(IF(INDEX($D$200:$D$207,MATCH(LEFT(HI200,FIND("·",HI200)-1),$C$200:$C$207,0))=0,ABS(INDEX($A$200:$A$207,MATCH(LEFT(HI200,FIND("·",HI200)-1),$C$200:$C$207,0))-VALUE(MID(HI200,FIND("|",HI200)+1,FIND("-",HI200,FIND("|",HI200))-FIND("|",HI200)-1))),ABS(INDEX($Q$200:$Q$207,MATCH(LEFT(HI200,FIND("·",HI200)-1),$C$200:$C$207,0))-(VALUE(MID(HI200,FIND("|",HI200)+1,FIND("-",HI200,FIND("|",HI200))-FIND("|",HI200)-1))-VALUE(MID(HI200,FIND("-",HI200,FIND("|",HI200))+1,10)))))*$D$50)))))*INDEX($I$200:$I$207,MATCH(LEFT(HI200,FIND("·",HI200)-1),$C$200:$C$207,0)),0),0),0)</f>
        <v>0</v>
      </c>
      <c r="HK200" s="110"/>
      <c r="HL200" s="66" t="str">
        <f>Idiomas!$D$368</f>
        <v>Paste Values Round of 16'</v>
      </c>
      <c r="HM200" s="85">
        <f t="shared" ref="HM200:JX207" ca="1" si="1821">IFERROR(IF(COUNTIF($K$200:$K$207,LEFT(HL200,FIND("·",HL200)-1))&gt;0,IF(INDEX($L$200:$L$207,MATCH(LEFT(HL200,FIND("·",HL200)-1),$K$200:$K$207,0))=IFERROR(VALUE(MID(HL200,FIND("·",HL200)+1,1)),0),($D$20+(INDEX($M$200:$M$207,MATCH(LEFT(HL200,FIND("·",HL200)-1),$K$200:$K$207,0))=MID(HL200,FIND("|",HL200)+1,10))*$D$22+MAX(0,IF($D$50=1,$D$21*(1-(ABS(INDEX($P$200:$P$207,MATCH(LEFT(HL200,FIND("·",HL200)-1),$K$200:$K$207,0))-(VALUE(MID(HL200,FIND("|",HL200)+1,FIND("-",HL200,FIND("|",HL200))-FIND("|",HL200)-1))-VALUE(MID(HL200,FIND("-",HL200,FIND("|",HL200))+1,10)))))*$D$50),$D$21*(1-(IF(INDEX($L$200:$L$207,MATCH(LEFT(HL200,FIND("·",HL200)-1),$K$200:$K$207,0))=0,ABS(INDEX($N$200:$N$207,MATCH(LEFT(HL200,FIND("·",HL200)-1),$K$200:$K$207,0))-VALUE(MID(HL200,FIND("|",HL200)+1,FIND("-",HL200,FIND("|",HL200))-FIND("|",HL200)-1))),ABS(INDEX($P$200:$P$207,MATCH(LEFT(HL200,FIND("·",HL200)-1),$K$200:$K$207,0))-(VALUE(MID(HL200,FIND("|",HL200)+1,FIND("-",HL200,FIND("|",HL200))-FIND("|",HL200)-1))-VALUE(MID(HL200,FIND("-",HL200,FIND("|",HL200))+1,10)))))*$D$50)))))*INDEX($I$200:$I$207,MATCH(LEFT(HL200,FIND("·",HL200)-1),$K$200:$K$207,0)),0),0),0)+IFERROR(IF(COUNTIF($C$200:$C$207,LEFT(HL200,FIND("·",HL200)-1))&gt;0,IF(INDEX($D$200:$D$207,MATCH(LEFT(HL200,FIND("·",HL200)-1),$C$200:$C$207,0))=IFERROR(VALUE(MID(HL200,FIND("·",HL200)+1,1)),0),($D$20+(INDEX($E$200:$E$207,MATCH(LEFT(HL200,FIND("·",HL200)-1),$C$200:$C$207,0))=MID(HL200,FIND("|",HL200)+1,10))*$D$22+MAX(0,IF($D$50=1,$D$21*(1-(ABS(INDEX($Q$200:$Q$207,MATCH(LEFT(HL200,FIND("·",HL200)-1),$C$200:$C$207,0))-(VALUE(MID(HL200,FIND("|",HL200)+1,FIND("-",HL200,FIND("|",HL200))-FIND("|",HL200)-1))-VALUE(MID(HL200,FIND("-",HL200,FIND("|",HL200))+1,10)))))*$D$50),$D$21*(1-(IF(INDEX($D$200:$D$207,MATCH(LEFT(HL200,FIND("·",HL200)-1),$C$200:$C$207,0))=0,ABS(INDEX($A$200:$A$207,MATCH(LEFT(HL200,FIND("·",HL200)-1),$C$200:$C$207,0))-VALUE(MID(HL200,FIND("|",HL200)+1,FIND("-",HL200,FIND("|",HL200))-FIND("|",HL200)-1))),ABS(INDEX($Q$200:$Q$207,MATCH(LEFT(HL200,FIND("·",HL200)-1),$C$200:$C$207,0))-(VALUE(MID(HL200,FIND("|",HL200)+1,FIND("-",HL200,FIND("|",HL200))-FIND("|",HL200)-1))-VALUE(MID(HL200,FIND("-",HL200,FIND("|",HL200))+1,10)))))*$D$50)))))*INDEX($I$200:$I$207,MATCH(LEFT(HL200,FIND("·",HL200)-1),$C$200:$C$207,0)),0),0),0)</f>
        <v>0</v>
      </c>
      <c r="HN200" s="110"/>
      <c r="HO200" s="66" t="str">
        <f>Idiomas!$D$368</f>
        <v>Paste Values Round of 16'</v>
      </c>
      <c r="HP200" s="85">
        <f t="shared" ref="HP200" ca="1" si="1822">IFERROR(IF(COUNTIF($K$200:$K$207,LEFT(HO200,FIND("·",HO200)-1))&gt;0,IF(INDEX($L$200:$L$207,MATCH(LEFT(HO200,FIND("·",HO200)-1),$K$200:$K$207,0))=IFERROR(VALUE(MID(HO200,FIND("·",HO200)+1,1)),0),($D$20+(INDEX($M$200:$M$207,MATCH(LEFT(HO200,FIND("·",HO200)-1),$K$200:$K$207,0))=MID(HO200,FIND("|",HO200)+1,10))*$D$22+MAX(0,IF($D$50=1,$D$21*(1-(ABS(INDEX($P$200:$P$207,MATCH(LEFT(HO200,FIND("·",HO200)-1),$K$200:$K$207,0))-(VALUE(MID(HO200,FIND("|",HO200)+1,FIND("-",HO200,FIND("|",HO200))-FIND("|",HO200)-1))-VALUE(MID(HO200,FIND("-",HO200,FIND("|",HO200))+1,10)))))*$D$50),$D$21*(1-(IF(INDEX($L$200:$L$207,MATCH(LEFT(HO200,FIND("·",HO200)-1),$K$200:$K$207,0))=0,ABS(INDEX($N$200:$N$207,MATCH(LEFT(HO200,FIND("·",HO200)-1),$K$200:$K$207,0))-VALUE(MID(HO200,FIND("|",HO200)+1,FIND("-",HO200,FIND("|",HO200))-FIND("|",HO200)-1))),ABS(INDEX($P$200:$P$207,MATCH(LEFT(HO200,FIND("·",HO200)-1),$K$200:$K$207,0))-(VALUE(MID(HO200,FIND("|",HO200)+1,FIND("-",HO200,FIND("|",HO200))-FIND("|",HO200)-1))-VALUE(MID(HO200,FIND("-",HO200,FIND("|",HO200))+1,10)))))*$D$50)))))*INDEX($I$200:$I$207,MATCH(LEFT(HO200,FIND("·",HO200)-1),$K$200:$K$207,0)),0),0),0)+IFERROR(IF(COUNTIF($C$200:$C$207,LEFT(HO200,FIND("·",HO200)-1))&gt;0,IF(INDEX($D$200:$D$207,MATCH(LEFT(HO200,FIND("·",HO200)-1),$C$200:$C$207,0))=IFERROR(VALUE(MID(HO200,FIND("·",HO200)+1,1)),0),($D$20+(INDEX($E$200:$E$207,MATCH(LEFT(HO200,FIND("·",HO200)-1),$C$200:$C$207,0))=MID(HO200,FIND("|",HO200)+1,10))*$D$22+MAX(0,IF($D$50=1,$D$21*(1-(ABS(INDEX($Q$200:$Q$207,MATCH(LEFT(HO200,FIND("·",HO200)-1),$C$200:$C$207,0))-(VALUE(MID(HO200,FIND("|",HO200)+1,FIND("-",HO200,FIND("|",HO200))-FIND("|",HO200)-1))-VALUE(MID(HO200,FIND("-",HO200,FIND("|",HO200))+1,10)))))*$D$50),$D$21*(1-(IF(INDEX($D$200:$D$207,MATCH(LEFT(HO200,FIND("·",HO200)-1),$C$200:$C$207,0))=0,ABS(INDEX($A$200:$A$207,MATCH(LEFT(HO200,FIND("·",HO200)-1),$C$200:$C$207,0))-VALUE(MID(HO200,FIND("|",HO200)+1,FIND("-",HO200,FIND("|",HO200))-FIND("|",HO200)-1))),ABS(INDEX($Q$200:$Q$207,MATCH(LEFT(HO200,FIND("·",HO200)-1),$C$200:$C$207,0))-(VALUE(MID(HO200,FIND("|",HO200)+1,FIND("-",HO200,FIND("|",HO200))-FIND("|",HO200)-1))-VALUE(MID(HO200,FIND("-",HO200,FIND("|",HO200))+1,10)))))*$D$50)))))*INDEX($I$200:$I$207,MATCH(LEFT(HO200,FIND("·",HO200)-1),$C$200:$C$207,0)),0),0),0)</f>
        <v>0</v>
      </c>
      <c r="HQ200" s="110"/>
      <c r="HR200" s="66" t="str">
        <f>Idiomas!$D$368</f>
        <v>Paste Values Round of 16'</v>
      </c>
      <c r="HS200" s="85">
        <f t="shared" ref="HS200" ca="1" si="1823">IFERROR(IF(COUNTIF($K$200:$K$207,LEFT(HR200,FIND("·",HR200)-1))&gt;0,IF(INDEX($L$200:$L$207,MATCH(LEFT(HR200,FIND("·",HR200)-1),$K$200:$K$207,0))=IFERROR(VALUE(MID(HR200,FIND("·",HR200)+1,1)),0),($D$20+(INDEX($M$200:$M$207,MATCH(LEFT(HR200,FIND("·",HR200)-1),$K$200:$K$207,0))=MID(HR200,FIND("|",HR200)+1,10))*$D$22+MAX(0,IF($D$50=1,$D$21*(1-(ABS(INDEX($P$200:$P$207,MATCH(LEFT(HR200,FIND("·",HR200)-1),$K$200:$K$207,0))-(VALUE(MID(HR200,FIND("|",HR200)+1,FIND("-",HR200,FIND("|",HR200))-FIND("|",HR200)-1))-VALUE(MID(HR200,FIND("-",HR200,FIND("|",HR200))+1,10)))))*$D$50),$D$21*(1-(IF(INDEX($L$200:$L$207,MATCH(LEFT(HR200,FIND("·",HR200)-1),$K$200:$K$207,0))=0,ABS(INDEX($N$200:$N$207,MATCH(LEFT(HR200,FIND("·",HR200)-1),$K$200:$K$207,0))-VALUE(MID(HR200,FIND("|",HR200)+1,FIND("-",HR200,FIND("|",HR200))-FIND("|",HR200)-1))),ABS(INDEX($P$200:$P$207,MATCH(LEFT(HR200,FIND("·",HR200)-1),$K$200:$K$207,0))-(VALUE(MID(HR200,FIND("|",HR200)+1,FIND("-",HR200,FIND("|",HR200))-FIND("|",HR200)-1))-VALUE(MID(HR200,FIND("-",HR200,FIND("|",HR200))+1,10)))))*$D$50)))))*INDEX($I$200:$I$207,MATCH(LEFT(HR200,FIND("·",HR200)-1),$K$200:$K$207,0)),0),0),0)+IFERROR(IF(COUNTIF($C$200:$C$207,LEFT(HR200,FIND("·",HR200)-1))&gt;0,IF(INDEX($D$200:$D$207,MATCH(LEFT(HR200,FIND("·",HR200)-1),$C$200:$C$207,0))=IFERROR(VALUE(MID(HR200,FIND("·",HR200)+1,1)),0),($D$20+(INDEX($E$200:$E$207,MATCH(LEFT(HR200,FIND("·",HR200)-1),$C$200:$C$207,0))=MID(HR200,FIND("|",HR200)+1,10))*$D$22+MAX(0,IF($D$50=1,$D$21*(1-(ABS(INDEX($Q$200:$Q$207,MATCH(LEFT(HR200,FIND("·",HR200)-1),$C$200:$C$207,0))-(VALUE(MID(HR200,FIND("|",HR200)+1,FIND("-",HR200,FIND("|",HR200))-FIND("|",HR200)-1))-VALUE(MID(HR200,FIND("-",HR200,FIND("|",HR200))+1,10)))))*$D$50),$D$21*(1-(IF(INDEX($D$200:$D$207,MATCH(LEFT(HR200,FIND("·",HR200)-1),$C$200:$C$207,0))=0,ABS(INDEX($A$200:$A$207,MATCH(LEFT(HR200,FIND("·",HR200)-1),$C$200:$C$207,0))-VALUE(MID(HR200,FIND("|",HR200)+1,FIND("-",HR200,FIND("|",HR200))-FIND("|",HR200)-1))),ABS(INDEX($Q$200:$Q$207,MATCH(LEFT(HR200,FIND("·",HR200)-1),$C$200:$C$207,0))-(VALUE(MID(HR200,FIND("|",HR200)+1,FIND("-",HR200,FIND("|",HR200))-FIND("|",HR200)-1))-VALUE(MID(HR200,FIND("-",HR200,FIND("|",HR200))+1,10)))))*$D$50)))))*INDEX($I$200:$I$207,MATCH(LEFT(HR200,FIND("·",HR200)-1),$C$200:$C$207,0)),0),0),0)</f>
        <v>0</v>
      </c>
      <c r="HT200" s="110"/>
      <c r="HU200" s="66" t="str">
        <f>Idiomas!$D$368</f>
        <v>Paste Values Round of 16'</v>
      </c>
      <c r="HV200" s="85">
        <f t="shared" ref="HV200" ca="1" si="1824">IFERROR(IF(COUNTIF($K$200:$K$207,LEFT(HU200,FIND("·",HU200)-1))&gt;0,IF(INDEX($L$200:$L$207,MATCH(LEFT(HU200,FIND("·",HU200)-1),$K$200:$K$207,0))=IFERROR(VALUE(MID(HU200,FIND("·",HU200)+1,1)),0),($D$20+(INDEX($M$200:$M$207,MATCH(LEFT(HU200,FIND("·",HU200)-1),$K$200:$K$207,0))=MID(HU200,FIND("|",HU200)+1,10))*$D$22+MAX(0,IF($D$50=1,$D$21*(1-(ABS(INDEX($P$200:$P$207,MATCH(LEFT(HU200,FIND("·",HU200)-1),$K$200:$K$207,0))-(VALUE(MID(HU200,FIND("|",HU200)+1,FIND("-",HU200,FIND("|",HU200))-FIND("|",HU200)-1))-VALUE(MID(HU200,FIND("-",HU200,FIND("|",HU200))+1,10)))))*$D$50),$D$21*(1-(IF(INDEX($L$200:$L$207,MATCH(LEFT(HU200,FIND("·",HU200)-1),$K$200:$K$207,0))=0,ABS(INDEX($N$200:$N$207,MATCH(LEFT(HU200,FIND("·",HU200)-1),$K$200:$K$207,0))-VALUE(MID(HU200,FIND("|",HU200)+1,FIND("-",HU200,FIND("|",HU200))-FIND("|",HU200)-1))),ABS(INDEX($P$200:$P$207,MATCH(LEFT(HU200,FIND("·",HU200)-1),$K$200:$K$207,0))-(VALUE(MID(HU200,FIND("|",HU200)+1,FIND("-",HU200,FIND("|",HU200))-FIND("|",HU200)-1))-VALUE(MID(HU200,FIND("-",HU200,FIND("|",HU200))+1,10)))))*$D$50)))))*INDEX($I$200:$I$207,MATCH(LEFT(HU200,FIND("·",HU200)-1),$K$200:$K$207,0)),0),0),0)+IFERROR(IF(COUNTIF($C$200:$C$207,LEFT(HU200,FIND("·",HU200)-1))&gt;0,IF(INDEX($D$200:$D$207,MATCH(LEFT(HU200,FIND("·",HU200)-1),$C$200:$C$207,0))=IFERROR(VALUE(MID(HU200,FIND("·",HU200)+1,1)),0),($D$20+(INDEX($E$200:$E$207,MATCH(LEFT(HU200,FIND("·",HU200)-1),$C$200:$C$207,0))=MID(HU200,FIND("|",HU200)+1,10))*$D$22+MAX(0,IF($D$50=1,$D$21*(1-(ABS(INDEX($Q$200:$Q$207,MATCH(LEFT(HU200,FIND("·",HU200)-1),$C$200:$C$207,0))-(VALUE(MID(HU200,FIND("|",HU200)+1,FIND("-",HU200,FIND("|",HU200))-FIND("|",HU200)-1))-VALUE(MID(HU200,FIND("-",HU200,FIND("|",HU200))+1,10)))))*$D$50),$D$21*(1-(IF(INDEX($D$200:$D$207,MATCH(LEFT(HU200,FIND("·",HU200)-1),$C$200:$C$207,0))=0,ABS(INDEX($A$200:$A$207,MATCH(LEFT(HU200,FIND("·",HU200)-1),$C$200:$C$207,0))-VALUE(MID(HU200,FIND("|",HU200)+1,FIND("-",HU200,FIND("|",HU200))-FIND("|",HU200)-1))),ABS(INDEX($Q$200:$Q$207,MATCH(LEFT(HU200,FIND("·",HU200)-1),$C$200:$C$207,0))-(VALUE(MID(HU200,FIND("|",HU200)+1,FIND("-",HU200,FIND("|",HU200))-FIND("|",HU200)-1))-VALUE(MID(HU200,FIND("-",HU200,FIND("|",HU200))+1,10)))))*$D$50)))))*INDEX($I$200:$I$207,MATCH(LEFT(HU200,FIND("·",HU200)-1),$C$200:$C$207,0)),0),0),0)</f>
        <v>0</v>
      </c>
      <c r="HW200" s="110"/>
      <c r="HX200" s="66" t="str">
        <f>Idiomas!$D$368</f>
        <v>Paste Values Round of 16'</v>
      </c>
      <c r="HY200" s="85">
        <f t="shared" ref="HY200" ca="1" si="1825">IFERROR(IF(COUNTIF($K$200:$K$207,LEFT(HX200,FIND("·",HX200)-1))&gt;0,IF(INDEX($L$200:$L$207,MATCH(LEFT(HX200,FIND("·",HX200)-1),$K$200:$K$207,0))=IFERROR(VALUE(MID(HX200,FIND("·",HX200)+1,1)),0),($D$20+(INDEX($M$200:$M$207,MATCH(LEFT(HX200,FIND("·",HX200)-1),$K$200:$K$207,0))=MID(HX200,FIND("|",HX200)+1,10))*$D$22+MAX(0,IF($D$50=1,$D$21*(1-(ABS(INDEX($P$200:$P$207,MATCH(LEFT(HX200,FIND("·",HX200)-1),$K$200:$K$207,0))-(VALUE(MID(HX200,FIND("|",HX200)+1,FIND("-",HX200,FIND("|",HX200))-FIND("|",HX200)-1))-VALUE(MID(HX200,FIND("-",HX200,FIND("|",HX200))+1,10)))))*$D$50),$D$21*(1-(IF(INDEX($L$200:$L$207,MATCH(LEFT(HX200,FIND("·",HX200)-1),$K$200:$K$207,0))=0,ABS(INDEX($N$200:$N$207,MATCH(LEFT(HX200,FIND("·",HX200)-1),$K$200:$K$207,0))-VALUE(MID(HX200,FIND("|",HX200)+1,FIND("-",HX200,FIND("|",HX200))-FIND("|",HX200)-1))),ABS(INDEX($P$200:$P$207,MATCH(LEFT(HX200,FIND("·",HX200)-1),$K$200:$K$207,0))-(VALUE(MID(HX200,FIND("|",HX200)+1,FIND("-",HX200,FIND("|",HX200))-FIND("|",HX200)-1))-VALUE(MID(HX200,FIND("-",HX200,FIND("|",HX200))+1,10)))))*$D$50)))))*INDEX($I$200:$I$207,MATCH(LEFT(HX200,FIND("·",HX200)-1),$K$200:$K$207,0)),0),0),0)+IFERROR(IF(COUNTIF($C$200:$C$207,LEFT(HX200,FIND("·",HX200)-1))&gt;0,IF(INDEX($D$200:$D$207,MATCH(LEFT(HX200,FIND("·",HX200)-1),$C$200:$C$207,0))=IFERROR(VALUE(MID(HX200,FIND("·",HX200)+1,1)),0),($D$20+(INDEX($E$200:$E$207,MATCH(LEFT(HX200,FIND("·",HX200)-1),$C$200:$C$207,0))=MID(HX200,FIND("|",HX200)+1,10))*$D$22+MAX(0,IF($D$50=1,$D$21*(1-(ABS(INDEX($Q$200:$Q$207,MATCH(LEFT(HX200,FIND("·",HX200)-1),$C$200:$C$207,0))-(VALUE(MID(HX200,FIND("|",HX200)+1,FIND("-",HX200,FIND("|",HX200))-FIND("|",HX200)-1))-VALUE(MID(HX200,FIND("-",HX200,FIND("|",HX200))+1,10)))))*$D$50),$D$21*(1-(IF(INDEX($D$200:$D$207,MATCH(LEFT(HX200,FIND("·",HX200)-1),$C$200:$C$207,0))=0,ABS(INDEX($A$200:$A$207,MATCH(LEFT(HX200,FIND("·",HX200)-1),$C$200:$C$207,0))-VALUE(MID(HX200,FIND("|",HX200)+1,FIND("-",HX200,FIND("|",HX200))-FIND("|",HX200)-1))),ABS(INDEX($Q$200:$Q$207,MATCH(LEFT(HX200,FIND("·",HX200)-1),$C$200:$C$207,0))-(VALUE(MID(HX200,FIND("|",HX200)+1,FIND("-",HX200,FIND("|",HX200))-FIND("|",HX200)-1))-VALUE(MID(HX200,FIND("-",HX200,FIND("|",HX200))+1,10)))))*$D$50)))))*INDEX($I$200:$I$207,MATCH(LEFT(HX200,FIND("·",HX200)-1),$C$200:$C$207,0)),0),0),0)</f>
        <v>0</v>
      </c>
      <c r="HZ200" s="110"/>
      <c r="IA200" s="66" t="str">
        <f>Idiomas!$D$368</f>
        <v>Paste Values Round of 16'</v>
      </c>
      <c r="IB200" s="85">
        <f t="shared" ref="IB200" ca="1" si="1826">IFERROR(IF(COUNTIF($K$200:$K$207,LEFT(IA200,FIND("·",IA200)-1))&gt;0,IF(INDEX($L$200:$L$207,MATCH(LEFT(IA200,FIND("·",IA200)-1),$K$200:$K$207,0))=IFERROR(VALUE(MID(IA200,FIND("·",IA200)+1,1)),0),($D$20+(INDEX($M$200:$M$207,MATCH(LEFT(IA200,FIND("·",IA200)-1),$K$200:$K$207,0))=MID(IA200,FIND("|",IA200)+1,10))*$D$22+MAX(0,IF($D$50=1,$D$21*(1-(ABS(INDEX($P$200:$P$207,MATCH(LEFT(IA200,FIND("·",IA200)-1),$K$200:$K$207,0))-(VALUE(MID(IA200,FIND("|",IA200)+1,FIND("-",IA200,FIND("|",IA200))-FIND("|",IA200)-1))-VALUE(MID(IA200,FIND("-",IA200,FIND("|",IA200))+1,10)))))*$D$50),$D$21*(1-(IF(INDEX($L$200:$L$207,MATCH(LEFT(IA200,FIND("·",IA200)-1),$K$200:$K$207,0))=0,ABS(INDEX($N$200:$N$207,MATCH(LEFT(IA200,FIND("·",IA200)-1),$K$200:$K$207,0))-VALUE(MID(IA200,FIND("|",IA200)+1,FIND("-",IA200,FIND("|",IA200))-FIND("|",IA200)-1))),ABS(INDEX($P$200:$P$207,MATCH(LEFT(IA200,FIND("·",IA200)-1),$K$200:$K$207,0))-(VALUE(MID(IA200,FIND("|",IA200)+1,FIND("-",IA200,FIND("|",IA200))-FIND("|",IA200)-1))-VALUE(MID(IA200,FIND("-",IA200,FIND("|",IA200))+1,10)))))*$D$50)))))*INDEX($I$200:$I$207,MATCH(LEFT(IA200,FIND("·",IA200)-1),$K$200:$K$207,0)),0),0),0)+IFERROR(IF(COUNTIF($C$200:$C$207,LEFT(IA200,FIND("·",IA200)-1))&gt;0,IF(INDEX($D$200:$D$207,MATCH(LEFT(IA200,FIND("·",IA200)-1),$C$200:$C$207,0))=IFERROR(VALUE(MID(IA200,FIND("·",IA200)+1,1)),0),($D$20+(INDEX($E$200:$E$207,MATCH(LEFT(IA200,FIND("·",IA200)-1),$C$200:$C$207,0))=MID(IA200,FIND("|",IA200)+1,10))*$D$22+MAX(0,IF($D$50=1,$D$21*(1-(ABS(INDEX($Q$200:$Q$207,MATCH(LEFT(IA200,FIND("·",IA200)-1),$C$200:$C$207,0))-(VALUE(MID(IA200,FIND("|",IA200)+1,FIND("-",IA200,FIND("|",IA200))-FIND("|",IA200)-1))-VALUE(MID(IA200,FIND("-",IA200,FIND("|",IA200))+1,10)))))*$D$50),$D$21*(1-(IF(INDEX($D$200:$D$207,MATCH(LEFT(IA200,FIND("·",IA200)-1),$C$200:$C$207,0))=0,ABS(INDEX($A$200:$A$207,MATCH(LEFT(IA200,FIND("·",IA200)-1),$C$200:$C$207,0))-VALUE(MID(IA200,FIND("|",IA200)+1,FIND("-",IA200,FIND("|",IA200))-FIND("|",IA200)-1))),ABS(INDEX($Q$200:$Q$207,MATCH(LEFT(IA200,FIND("·",IA200)-1),$C$200:$C$207,0))-(VALUE(MID(IA200,FIND("|",IA200)+1,FIND("-",IA200,FIND("|",IA200))-FIND("|",IA200)-1))-VALUE(MID(IA200,FIND("-",IA200,FIND("|",IA200))+1,10)))))*$D$50)))))*INDEX($I$200:$I$207,MATCH(LEFT(IA200,FIND("·",IA200)-1),$C$200:$C$207,0)),0),0),0)</f>
        <v>0</v>
      </c>
      <c r="IC200" s="110"/>
      <c r="ID200" s="66" t="str">
        <f>Idiomas!$D$368</f>
        <v>Paste Values Round of 16'</v>
      </c>
      <c r="IE200" s="85">
        <f t="shared" ref="IE200" ca="1" si="1827">IFERROR(IF(COUNTIF($K$200:$K$207,LEFT(ID200,FIND("·",ID200)-1))&gt;0,IF(INDEX($L$200:$L$207,MATCH(LEFT(ID200,FIND("·",ID200)-1),$K$200:$K$207,0))=IFERROR(VALUE(MID(ID200,FIND("·",ID200)+1,1)),0),($D$20+(INDEX($M$200:$M$207,MATCH(LEFT(ID200,FIND("·",ID200)-1),$K$200:$K$207,0))=MID(ID200,FIND("|",ID200)+1,10))*$D$22+MAX(0,IF($D$50=1,$D$21*(1-(ABS(INDEX($P$200:$P$207,MATCH(LEFT(ID200,FIND("·",ID200)-1),$K$200:$K$207,0))-(VALUE(MID(ID200,FIND("|",ID200)+1,FIND("-",ID200,FIND("|",ID200))-FIND("|",ID200)-1))-VALUE(MID(ID200,FIND("-",ID200,FIND("|",ID200))+1,10)))))*$D$50),$D$21*(1-(IF(INDEX($L$200:$L$207,MATCH(LEFT(ID200,FIND("·",ID200)-1),$K$200:$K$207,0))=0,ABS(INDEX($N$200:$N$207,MATCH(LEFT(ID200,FIND("·",ID200)-1),$K$200:$K$207,0))-VALUE(MID(ID200,FIND("|",ID200)+1,FIND("-",ID200,FIND("|",ID200))-FIND("|",ID200)-1))),ABS(INDEX($P$200:$P$207,MATCH(LEFT(ID200,FIND("·",ID200)-1),$K$200:$K$207,0))-(VALUE(MID(ID200,FIND("|",ID200)+1,FIND("-",ID200,FIND("|",ID200))-FIND("|",ID200)-1))-VALUE(MID(ID200,FIND("-",ID200,FIND("|",ID200))+1,10)))))*$D$50)))))*INDEX($I$200:$I$207,MATCH(LEFT(ID200,FIND("·",ID200)-1),$K$200:$K$207,0)),0),0),0)+IFERROR(IF(COUNTIF($C$200:$C$207,LEFT(ID200,FIND("·",ID200)-1))&gt;0,IF(INDEX($D$200:$D$207,MATCH(LEFT(ID200,FIND("·",ID200)-1),$C$200:$C$207,0))=IFERROR(VALUE(MID(ID200,FIND("·",ID200)+1,1)),0),($D$20+(INDEX($E$200:$E$207,MATCH(LEFT(ID200,FIND("·",ID200)-1),$C$200:$C$207,0))=MID(ID200,FIND("|",ID200)+1,10))*$D$22+MAX(0,IF($D$50=1,$D$21*(1-(ABS(INDEX($Q$200:$Q$207,MATCH(LEFT(ID200,FIND("·",ID200)-1),$C$200:$C$207,0))-(VALUE(MID(ID200,FIND("|",ID200)+1,FIND("-",ID200,FIND("|",ID200))-FIND("|",ID200)-1))-VALUE(MID(ID200,FIND("-",ID200,FIND("|",ID200))+1,10)))))*$D$50),$D$21*(1-(IF(INDEX($D$200:$D$207,MATCH(LEFT(ID200,FIND("·",ID200)-1),$C$200:$C$207,0))=0,ABS(INDEX($A$200:$A$207,MATCH(LEFT(ID200,FIND("·",ID200)-1),$C$200:$C$207,0))-VALUE(MID(ID200,FIND("|",ID200)+1,FIND("-",ID200,FIND("|",ID200))-FIND("|",ID200)-1))),ABS(INDEX($Q$200:$Q$207,MATCH(LEFT(ID200,FIND("·",ID200)-1),$C$200:$C$207,0))-(VALUE(MID(ID200,FIND("|",ID200)+1,FIND("-",ID200,FIND("|",ID200))-FIND("|",ID200)-1))-VALUE(MID(ID200,FIND("-",ID200,FIND("|",ID200))+1,10)))))*$D$50)))))*INDEX($I$200:$I$207,MATCH(LEFT(ID200,FIND("·",ID200)-1),$C$200:$C$207,0)),0),0),0)</f>
        <v>0</v>
      </c>
      <c r="IF200" s="110"/>
      <c r="IG200" s="66" t="str">
        <f>Idiomas!$D$368</f>
        <v>Paste Values Round of 16'</v>
      </c>
      <c r="IH200" s="85">
        <f t="shared" ref="IH200" ca="1" si="1828">IFERROR(IF(COUNTIF($K$200:$K$207,LEFT(IG200,FIND("·",IG200)-1))&gt;0,IF(INDEX($L$200:$L$207,MATCH(LEFT(IG200,FIND("·",IG200)-1),$K$200:$K$207,0))=IFERROR(VALUE(MID(IG200,FIND("·",IG200)+1,1)),0),($D$20+(INDEX($M$200:$M$207,MATCH(LEFT(IG200,FIND("·",IG200)-1),$K$200:$K$207,0))=MID(IG200,FIND("|",IG200)+1,10))*$D$22+MAX(0,IF($D$50=1,$D$21*(1-(ABS(INDEX($P$200:$P$207,MATCH(LEFT(IG200,FIND("·",IG200)-1),$K$200:$K$207,0))-(VALUE(MID(IG200,FIND("|",IG200)+1,FIND("-",IG200,FIND("|",IG200))-FIND("|",IG200)-1))-VALUE(MID(IG200,FIND("-",IG200,FIND("|",IG200))+1,10)))))*$D$50),$D$21*(1-(IF(INDEX($L$200:$L$207,MATCH(LEFT(IG200,FIND("·",IG200)-1),$K$200:$K$207,0))=0,ABS(INDEX($N$200:$N$207,MATCH(LEFT(IG200,FIND("·",IG200)-1),$K$200:$K$207,0))-VALUE(MID(IG200,FIND("|",IG200)+1,FIND("-",IG200,FIND("|",IG200))-FIND("|",IG200)-1))),ABS(INDEX($P$200:$P$207,MATCH(LEFT(IG200,FIND("·",IG200)-1),$K$200:$K$207,0))-(VALUE(MID(IG200,FIND("|",IG200)+1,FIND("-",IG200,FIND("|",IG200))-FIND("|",IG200)-1))-VALUE(MID(IG200,FIND("-",IG200,FIND("|",IG200))+1,10)))))*$D$50)))))*INDEX($I$200:$I$207,MATCH(LEFT(IG200,FIND("·",IG200)-1),$K$200:$K$207,0)),0),0),0)+IFERROR(IF(COUNTIF($C$200:$C$207,LEFT(IG200,FIND("·",IG200)-1))&gt;0,IF(INDEX($D$200:$D$207,MATCH(LEFT(IG200,FIND("·",IG200)-1),$C$200:$C$207,0))=IFERROR(VALUE(MID(IG200,FIND("·",IG200)+1,1)),0),($D$20+(INDEX($E$200:$E$207,MATCH(LEFT(IG200,FIND("·",IG200)-1),$C$200:$C$207,0))=MID(IG200,FIND("|",IG200)+1,10))*$D$22+MAX(0,IF($D$50=1,$D$21*(1-(ABS(INDEX($Q$200:$Q$207,MATCH(LEFT(IG200,FIND("·",IG200)-1),$C$200:$C$207,0))-(VALUE(MID(IG200,FIND("|",IG200)+1,FIND("-",IG200,FIND("|",IG200))-FIND("|",IG200)-1))-VALUE(MID(IG200,FIND("-",IG200,FIND("|",IG200))+1,10)))))*$D$50),$D$21*(1-(IF(INDEX($D$200:$D$207,MATCH(LEFT(IG200,FIND("·",IG200)-1),$C$200:$C$207,0))=0,ABS(INDEX($A$200:$A$207,MATCH(LEFT(IG200,FIND("·",IG200)-1),$C$200:$C$207,0))-VALUE(MID(IG200,FIND("|",IG200)+1,FIND("-",IG200,FIND("|",IG200))-FIND("|",IG200)-1))),ABS(INDEX($Q$200:$Q$207,MATCH(LEFT(IG200,FIND("·",IG200)-1),$C$200:$C$207,0))-(VALUE(MID(IG200,FIND("|",IG200)+1,FIND("-",IG200,FIND("|",IG200))-FIND("|",IG200)-1))-VALUE(MID(IG200,FIND("-",IG200,FIND("|",IG200))+1,10)))))*$D$50)))))*INDEX($I$200:$I$207,MATCH(LEFT(IG200,FIND("·",IG200)-1),$C$200:$C$207,0)),0),0),0)</f>
        <v>0</v>
      </c>
      <c r="II200" s="110"/>
      <c r="IJ200" s="66" t="str">
        <f>Idiomas!$D$368</f>
        <v>Paste Values Round of 16'</v>
      </c>
      <c r="IK200" s="85">
        <f t="shared" ref="IK200" ca="1" si="1829">IFERROR(IF(COUNTIF($K$200:$K$207,LEFT(IJ200,FIND("·",IJ200)-1))&gt;0,IF(INDEX($L$200:$L$207,MATCH(LEFT(IJ200,FIND("·",IJ200)-1),$K$200:$K$207,0))=IFERROR(VALUE(MID(IJ200,FIND("·",IJ200)+1,1)),0),($D$20+(INDEX($M$200:$M$207,MATCH(LEFT(IJ200,FIND("·",IJ200)-1),$K$200:$K$207,0))=MID(IJ200,FIND("|",IJ200)+1,10))*$D$22+MAX(0,IF($D$50=1,$D$21*(1-(ABS(INDEX($P$200:$P$207,MATCH(LEFT(IJ200,FIND("·",IJ200)-1),$K$200:$K$207,0))-(VALUE(MID(IJ200,FIND("|",IJ200)+1,FIND("-",IJ200,FIND("|",IJ200))-FIND("|",IJ200)-1))-VALUE(MID(IJ200,FIND("-",IJ200,FIND("|",IJ200))+1,10)))))*$D$50),$D$21*(1-(IF(INDEX($L$200:$L$207,MATCH(LEFT(IJ200,FIND("·",IJ200)-1),$K$200:$K$207,0))=0,ABS(INDEX($N$200:$N$207,MATCH(LEFT(IJ200,FIND("·",IJ200)-1),$K$200:$K$207,0))-VALUE(MID(IJ200,FIND("|",IJ200)+1,FIND("-",IJ200,FIND("|",IJ200))-FIND("|",IJ200)-1))),ABS(INDEX($P$200:$P$207,MATCH(LEFT(IJ200,FIND("·",IJ200)-1),$K$200:$K$207,0))-(VALUE(MID(IJ200,FIND("|",IJ200)+1,FIND("-",IJ200,FIND("|",IJ200))-FIND("|",IJ200)-1))-VALUE(MID(IJ200,FIND("-",IJ200,FIND("|",IJ200))+1,10)))))*$D$50)))))*INDEX($I$200:$I$207,MATCH(LEFT(IJ200,FIND("·",IJ200)-1),$K$200:$K$207,0)),0),0),0)+IFERROR(IF(COUNTIF($C$200:$C$207,LEFT(IJ200,FIND("·",IJ200)-1))&gt;0,IF(INDEX($D$200:$D$207,MATCH(LEFT(IJ200,FIND("·",IJ200)-1),$C$200:$C$207,0))=IFERROR(VALUE(MID(IJ200,FIND("·",IJ200)+1,1)),0),($D$20+(INDEX($E$200:$E$207,MATCH(LEFT(IJ200,FIND("·",IJ200)-1),$C$200:$C$207,0))=MID(IJ200,FIND("|",IJ200)+1,10))*$D$22+MAX(0,IF($D$50=1,$D$21*(1-(ABS(INDEX($Q$200:$Q$207,MATCH(LEFT(IJ200,FIND("·",IJ200)-1),$C$200:$C$207,0))-(VALUE(MID(IJ200,FIND("|",IJ200)+1,FIND("-",IJ200,FIND("|",IJ200))-FIND("|",IJ200)-1))-VALUE(MID(IJ200,FIND("-",IJ200,FIND("|",IJ200))+1,10)))))*$D$50),$D$21*(1-(IF(INDEX($D$200:$D$207,MATCH(LEFT(IJ200,FIND("·",IJ200)-1),$C$200:$C$207,0))=0,ABS(INDEX($A$200:$A$207,MATCH(LEFT(IJ200,FIND("·",IJ200)-1),$C$200:$C$207,0))-VALUE(MID(IJ200,FIND("|",IJ200)+1,FIND("-",IJ200,FIND("|",IJ200))-FIND("|",IJ200)-1))),ABS(INDEX($Q$200:$Q$207,MATCH(LEFT(IJ200,FIND("·",IJ200)-1),$C$200:$C$207,0))-(VALUE(MID(IJ200,FIND("|",IJ200)+1,FIND("-",IJ200,FIND("|",IJ200))-FIND("|",IJ200)-1))-VALUE(MID(IJ200,FIND("-",IJ200,FIND("|",IJ200))+1,10)))))*$D$50)))))*INDEX($I$200:$I$207,MATCH(LEFT(IJ200,FIND("·",IJ200)-1),$C$200:$C$207,0)),0),0),0)</f>
        <v>0</v>
      </c>
      <c r="IL200" s="110"/>
      <c r="IM200" s="66" t="str">
        <f>Idiomas!$D$368</f>
        <v>Paste Values Round of 16'</v>
      </c>
      <c r="IN200" s="85">
        <f t="shared" ref="IN200" ca="1" si="1830">IFERROR(IF(COUNTIF($K$200:$K$207,LEFT(IM200,FIND("·",IM200)-1))&gt;0,IF(INDEX($L$200:$L$207,MATCH(LEFT(IM200,FIND("·",IM200)-1),$K$200:$K$207,0))=IFERROR(VALUE(MID(IM200,FIND("·",IM200)+1,1)),0),($D$20+(INDEX($M$200:$M$207,MATCH(LEFT(IM200,FIND("·",IM200)-1),$K$200:$K$207,0))=MID(IM200,FIND("|",IM200)+1,10))*$D$22+MAX(0,IF($D$50=1,$D$21*(1-(ABS(INDEX($P$200:$P$207,MATCH(LEFT(IM200,FIND("·",IM200)-1),$K$200:$K$207,0))-(VALUE(MID(IM200,FIND("|",IM200)+1,FIND("-",IM200,FIND("|",IM200))-FIND("|",IM200)-1))-VALUE(MID(IM200,FIND("-",IM200,FIND("|",IM200))+1,10)))))*$D$50),$D$21*(1-(IF(INDEX($L$200:$L$207,MATCH(LEFT(IM200,FIND("·",IM200)-1),$K$200:$K$207,0))=0,ABS(INDEX($N$200:$N$207,MATCH(LEFT(IM200,FIND("·",IM200)-1),$K$200:$K$207,0))-VALUE(MID(IM200,FIND("|",IM200)+1,FIND("-",IM200,FIND("|",IM200))-FIND("|",IM200)-1))),ABS(INDEX($P$200:$P$207,MATCH(LEFT(IM200,FIND("·",IM200)-1),$K$200:$K$207,0))-(VALUE(MID(IM200,FIND("|",IM200)+1,FIND("-",IM200,FIND("|",IM200))-FIND("|",IM200)-1))-VALUE(MID(IM200,FIND("-",IM200,FIND("|",IM200))+1,10)))))*$D$50)))))*INDEX($I$200:$I$207,MATCH(LEFT(IM200,FIND("·",IM200)-1),$K$200:$K$207,0)),0),0),0)+IFERROR(IF(COUNTIF($C$200:$C$207,LEFT(IM200,FIND("·",IM200)-1))&gt;0,IF(INDEX($D$200:$D$207,MATCH(LEFT(IM200,FIND("·",IM200)-1),$C$200:$C$207,0))=IFERROR(VALUE(MID(IM200,FIND("·",IM200)+1,1)),0),($D$20+(INDEX($E$200:$E$207,MATCH(LEFT(IM200,FIND("·",IM200)-1),$C$200:$C$207,0))=MID(IM200,FIND("|",IM200)+1,10))*$D$22+MAX(0,IF($D$50=1,$D$21*(1-(ABS(INDEX($Q$200:$Q$207,MATCH(LEFT(IM200,FIND("·",IM200)-1),$C$200:$C$207,0))-(VALUE(MID(IM200,FIND("|",IM200)+1,FIND("-",IM200,FIND("|",IM200))-FIND("|",IM200)-1))-VALUE(MID(IM200,FIND("-",IM200,FIND("|",IM200))+1,10)))))*$D$50),$D$21*(1-(IF(INDEX($D$200:$D$207,MATCH(LEFT(IM200,FIND("·",IM200)-1),$C$200:$C$207,0))=0,ABS(INDEX($A$200:$A$207,MATCH(LEFT(IM200,FIND("·",IM200)-1),$C$200:$C$207,0))-VALUE(MID(IM200,FIND("|",IM200)+1,FIND("-",IM200,FIND("|",IM200))-FIND("|",IM200)-1))),ABS(INDEX($Q$200:$Q$207,MATCH(LEFT(IM200,FIND("·",IM200)-1),$C$200:$C$207,0))-(VALUE(MID(IM200,FIND("|",IM200)+1,FIND("-",IM200,FIND("|",IM200))-FIND("|",IM200)-1))-VALUE(MID(IM200,FIND("-",IM200,FIND("|",IM200))+1,10)))))*$D$50)))))*INDEX($I$200:$I$207,MATCH(LEFT(IM200,FIND("·",IM200)-1),$C$200:$C$207,0)),0),0),0)</f>
        <v>0</v>
      </c>
      <c r="IO200" s="110"/>
      <c r="IP200" s="66" t="str">
        <f>Idiomas!$D$368</f>
        <v>Paste Values Round of 16'</v>
      </c>
      <c r="IQ200" s="85">
        <f t="shared" ref="IQ200" ca="1" si="1831">IFERROR(IF(COUNTIF($K$200:$K$207,LEFT(IP200,FIND("·",IP200)-1))&gt;0,IF(INDEX($L$200:$L$207,MATCH(LEFT(IP200,FIND("·",IP200)-1),$K$200:$K$207,0))=IFERROR(VALUE(MID(IP200,FIND("·",IP200)+1,1)),0),($D$20+(INDEX($M$200:$M$207,MATCH(LEFT(IP200,FIND("·",IP200)-1),$K$200:$K$207,0))=MID(IP200,FIND("|",IP200)+1,10))*$D$22+MAX(0,IF($D$50=1,$D$21*(1-(ABS(INDEX($P$200:$P$207,MATCH(LEFT(IP200,FIND("·",IP200)-1),$K$200:$K$207,0))-(VALUE(MID(IP200,FIND("|",IP200)+1,FIND("-",IP200,FIND("|",IP200))-FIND("|",IP200)-1))-VALUE(MID(IP200,FIND("-",IP200,FIND("|",IP200))+1,10)))))*$D$50),$D$21*(1-(IF(INDEX($L$200:$L$207,MATCH(LEFT(IP200,FIND("·",IP200)-1),$K$200:$K$207,0))=0,ABS(INDEX($N$200:$N$207,MATCH(LEFT(IP200,FIND("·",IP200)-1),$K$200:$K$207,0))-VALUE(MID(IP200,FIND("|",IP200)+1,FIND("-",IP200,FIND("|",IP200))-FIND("|",IP200)-1))),ABS(INDEX($P$200:$P$207,MATCH(LEFT(IP200,FIND("·",IP200)-1),$K$200:$K$207,0))-(VALUE(MID(IP200,FIND("|",IP200)+1,FIND("-",IP200,FIND("|",IP200))-FIND("|",IP200)-1))-VALUE(MID(IP200,FIND("-",IP200,FIND("|",IP200))+1,10)))))*$D$50)))))*INDEX($I$200:$I$207,MATCH(LEFT(IP200,FIND("·",IP200)-1),$K$200:$K$207,0)),0),0),0)+IFERROR(IF(COUNTIF($C$200:$C$207,LEFT(IP200,FIND("·",IP200)-1))&gt;0,IF(INDEX($D$200:$D$207,MATCH(LEFT(IP200,FIND("·",IP200)-1),$C$200:$C$207,0))=IFERROR(VALUE(MID(IP200,FIND("·",IP200)+1,1)),0),($D$20+(INDEX($E$200:$E$207,MATCH(LEFT(IP200,FIND("·",IP200)-1),$C$200:$C$207,0))=MID(IP200,FIND("|",IP200)+1,10))*$D$22+MAX(0,IF($D$50=1,$D$21*(1-(ABS(INDEX($Q$200:$Q$207,MATCH(LEFT(IP200,FIND("·",IP200)-1),$C$200:$C$207,0))-(VALUE(MID(IP200,FIND("|",IP200)+1,FIND("-",IP200,FIND("|",IP200))-FIND("|",IP200)-1))-VALUE(MID(IP200,FIND("-",IP200,FIND("|",IP200))+1,10)))))*$D$50),$D$21*(1-(IF(INDEX($D$200:$D$207,MATCH(LEFT(IP200,FIND("·",IP200)-1),$C$200:$C$207,0))=0,ABS(INDEX($A$200:$A$207,MATCH(LEFT(IP200,FIND("·",IP200)-1),$C$200:$C$207,0))-VALUE(MID(IP200,FIND("|",IP200)+1,FIND("-",IP200,FIND("|",IP200))-FIND("|",IP200)-1))),ABS(INDEX($Q$200:$Q$207,MATCH(LEFT(IP200,FIND("·",IP200)-1),$C$200:$C$207,0))-(VALUE(MID(IP200,FIND("|",IP200)+1,FIND("-",IP200,FIND("|",IP200))-FIND("|",IP200)-1))-VALUE(MID(IP200,FIND("-",IP200,FIND("|",IP200))+1,10)))))*$D$50)))))*INDEX($I$200:$I$207,MATCH(LEFT(IP200,FIND("·",IP200)-1),$C$200:$C$207,0)),0),0),0)</f>
        <v>0</v>
      </c>
      <c r="IR200" s="110"/>
      <c r="IS200" s="66" t="str">
        <f>Idiomas!$D$368</f>
        <v>Paste Values Round of 16'</v>
      </c>
      <c r="IT200" s="85">
        <f t="shared" ref="IT200" ca="1" si="1832">IFERROR(IF(COUNTIF($K$200:$K$207,LEFT(IS200,FIND("·",IS200)-1))&gt;0,IF(INDEX($L$200:$L$207,MATCH(LEFT(IS200,FIND("·",IS200)-1),$K$200:$K$207,0))=IFERROR(VALUE(MID(IS200,FIND("·",IS200)+1,1)),0),($D$20+(INDEX($M$200:$M$207,MATCH(LEFT(IS200,FIND("·",IS200)-1),$K$200:$K$207,0))=MID(IS200,FIND("|",IS200)+1,10))*$D$22+MAX(0,IF($D$50=1,$D$21*(1-(ABS(INDEX($P$200:$P$207,MATCH(LEFT(IS200,FIND("·",IS200)-1),$K$200:$K$207,0))-(VALUE(MID(IS200,FIND("|",IS200)+1,FIND("-",IS200,FIND("|",IS200))-FIND("|",IS200)-1))-VALUE(MID(IS200,FIND("-",IS200,FIND("|",IS200))+1,10)))))*$D$50),$D$21*(1-(IF(INDEX($L$200:$L$207,MATCH(LEFT(IS200,FIND("·",IS200)-1),$K$200:$K$207,0))=0,ABS(INDEX($N$200:$N$207,MATCH(LEFT(IS200,FIND("·",IS200)-1),$K$200:$K$207,0))-VALUE(MID(IS200,FIND("|",IS200)+1,FIND("-",IS200,FIND("|",IS200))-FIND("|",IS200)-1))),ABS(INDEX($P$200:$P$207,MATCH(LEFT(IS200,FIND("·",IS200)-1),$K$200:$K$207,0))-(VALUE(MID(IS200,FIND("|",IS200)+1,FIND("-",IS200,FIND("|",IS200))-FIND("|",IS200)-1))-VALUE(MID(IS200,FIND("-",IS200,FIND("|",IS200))+1,10)))))*$D$50)))))*INDEX($I$200:$I$207,MATCH(LEFT(IS200,FIND("·",IS200)-1),$K$200:$K$207,0)),0),0),0)+IFERROR(IF(COUNTIF($C$200:$C$207,LEFT(IS200,FIND("·",IS200)-1))&gt;0,IF(INDEX($D$200:$D$207,MATCH(LEFT(IS200,FIND("·",IS200)-1),$C$200:$C$207,0))=IFERROR(VALUE(MID(IS200,FIND("·",IS200)+1,1)),0),($D$20+(INDEX($E$200:$E$207,MATCH(LEFT(IS200,FIND("·",IS200)-1),$C$200:$C$207,0))=MID(IS200,FIND("|",IS200)+1,10))*$D$22+MAX(0,IF($D$50=1,$D$21*(1-(ABS(INDEX($Q$200:$Q$207,MATCH(LEFT(IS200,FIND("·",IS200)-1),$C$200:$C$207,0))-(VALUE(MID(IS200,FIND("|",IS200)+1,FIND("-",IS200,FIND("|",IS200))-FIND("|",IS200)-1))-VALUE(MID(IS200,FIND("-",IS200,FIND("|",IS200))+1,10)))))*$D$50),$D$21*(1-(IF(INDEX($D$200:$D$207,MATCH(LEFT(IS200,FIND("·",IS200)-1),$C$200:$C$207,0))=0,ABS(INDEX($A$200:$A$207,MATCH(LEFT(IS200,FIND("·",IS200)-1),$C$200:$C$207,0))-VALUE(MID(IS200,FIND("|",IS200)+1,FIND("-",IS200,FIND("|",IS200))-FIND("|",IS200)-1))),ABS(INDEX($Q$200:$Q$207,MATCH(LEFT(IS200,FIND("·",IS200)-1),$C$200:$C$207,0))-(VALUE(MID(IS200,FIND("|",IS200)+1,FIND("-",IS200,FIND("|",IS200))-FIND("|",IS200)-1))-VALUE(MID(IS200,FIND("-",IS200,FIND("|",IS200))+1,10)))))*$D$50)))))*INDEX($I$200:$I$207,MATCH(LEFT(IS200,FIND("·",IS200)-1),$C$200:$C$207,0)),0),0),0)</f>
        <v>0</v>
      </c>
      <c r="IU200" s="110"/>
      <c r="IV200" s="66" t="str">
        <f>Idiomas!$D$368</f>
        <v>Paste Values Round of 16'</v>
      </c>
      <c r="IW200" s="85">
        <f t="shared" ref="IW200" ca="1" si="1833">IFERROR(IF(COUNTIF($K$200:$K$207,LEFT(IV200,FIND("·",IV200)-1))&gt;0,IF(INDEX($L$200:$L$207,MATCH(LEFT(IV200,FIND("·",IV200)-1),$K$200:$K$207,0))=IFERROR(VALUE(MID(IV200,FIND("·",IV200)+1,1)),0),($D$20+(INDEX($M$200:$M$207,MATCH(LEFT(IV200,FIND("·",IV200)-1),$K$200:$K$207,0))=MID(IV200,FIND("|",IV200)+1,10))*$D$22+MAX(0,IF($D$50=1,$D$21*(1-(ABS(INDEX($P$200:$P$207,MATCH(LEFT(IV200,FIND("·",IV200)-1),$K$200:$K$207,0))-(VALUE(MID(IV200,FIND("|",IV200)+1,FIND("-",IV200,FIND("|",IV200))-FIND("|",IV200)-1))-VALUE(MID(IV200,FIND("-",IV200,FIND("|",IV200))+1,10)))))*$D$50),$D$21*(1-(IF(INDEX($L$200:$L$207,MATCH(LEFT(IV200,FIND("·",IV200)-1),$K$200:$K$207,0))=0,ABS(INDEX($N$200:$N$207,MATCH(LEFT(IV200,FIND("·",IV200)-1),$K$200:$K$207,0))-VALUE(MID(IV200,FIND("|",IV200)+1,FIND("-",IV200,FIND("|",IV200))-FIND("|",IV200)-1))),ABS(INDEX($P$200:$P$207,MATCH(LEFT(IV200,FIND("·",IV200)-1),$K$200:$K$207,0))-(VALUE(MID(IV200,FIND("|",IV200)+1,FIND("-",IV200,FIND("|",IV200))-FIND("|",IV200)-1))-VALUE(MID(IV200,FIND("-",IV200,FIND("|",IV200))+1,10)))))*$D$50)))))*INDEX($I$200:$I$207,MATCH(LEFT(IV200,FIND("·",IV200)-1),$K$200:$K$207,0)),0),0),0)+IFERROR(IF(COUNTIF($C$200:$C$207,LEFT(IV200,FIND("·",IV200)-1))&gt;0,IF(INDEX($D$200:$D$207,MATCH(LEFT(IV200,FIND("·",IV200)-1),$C$200:$C$207,0))=IFERROR(VALUE(MID(IV200,FIND("·",IV200)+1,1)),0),($D$20+(INDEX($E$200:$E$207,MATCH(LEFT(IV200,FIND("·",IV200)-1),$C$200:$C$207,0))=MID(IV200,FIND("|",IV200)+1,10))*$D$22+MAX(0,IF($D$50=1,$D$21*(1-(ABS(INDEX($Q$200:$Q$207,MATCH(LEFT(IV200,FIND("·",IV200)-1),$C$200:$C$207,0))-(VALUE(MID(IV200,FIND("|",IV200)+1,FIND("-",IV200,FIND("|",IV200))-FIND("|",IV200)-1))-VALUE(MID(IV200,FIND("-",IV200,FIND("|",IV200))+1,10)))))*$D$50),$D$21*(1-(IF(INDEX($D$200:$D$207,MATCH(LEFT(IV200,FIND("·",IV200)-1),$C$200:$C$207,0))=0,ABS(INDEX($A$200:$A$207,MATCH(LEFT(IV200,FIND("·",IV200)-1),$C$200:$C$207,0))-VALUE(MID(IV200,FIND("|",IV200)+1,FIND("-",IV200,FIND("|",IV200))-FIND("|",IV200)-1))),ABS(INDEX($Q$200:$Q$207,MATCH(LEFT(IV200,FIND("·",IV200)-1),$C$200:$C$207,0))-(VALUE(MID(IV200,FIND("|",IV200)+1,FIND("-",IV200,FIND("|",IV200))-FIND("|",IV200)-1))-VALUE(MID(IV200,FIND("-",IV200,FIND("|",IV200))+1,10)))))*$D$50)))))*INDEX($I$200:$I$207,MATCH(LEFT(IV200,FIND("·",IV200)-1),$C$200:$C$207,0)),0),0),0)</f>
        <v>0</v>
      </c>
      <c r="IX200" s="110"/>
      <c r="IY200" s="66" t="str">
        <f>Idiomas!$D$368</f>
        <v>Paste Values Round of 16'</v>
      </c>
      <c r="IZ200" s="85">
        <f t="shared" ref="IZ200" ca="1" si="1834">IFERROR(IF(COUNTIF($K$200:$K$207,LEFT(IY200,FIND("·",IY200)-1))&gt;0,IF(INDEX($L$200:$L$207,MATCH(LEFT(IY200,FIND("·",IY200)-1),$K$200:$K$207,0))=IFERROR(VALUE(MID(IY200,FIND("·",IY200)+1,1)),0),($D$20+(INDEX($M$200:$M$207,MATCH(LEFT(IY200,FIND("·",IY200)-1),$K$200:$K$207,0))=MID(IY200,FIND("|",IY200)+1,10))*$D$22+MAX(0,IF($D$50=1,$D$21*(1-(ABS(INDEX($P$200:$P$207,MATCH(LEFT(IY200,FIND("·",IY200)-1),$K$200:$K$207,0))-(VALUE(MID(IY200,FIND("|",IY200)+1,FIND("-",IY200,FIND("|",IY200))-FIND("|",IY200)-1))-VALUE(MID(IY200,FIND("-",IY200,FIND("|",IY200))+1,10)))))*$D$50),$D$21*(1-(IF(INDEX($L$200:$L$207,MATCH(LEFT(IY200,FIND("·",IY200)-1),$K$200:$K$207,0))=0,ABS(INDEX($N$200:$N$207,MATCH(LEFT(IY200,FIND("·",IY200)-1),$K$200:$K$207,0))-VALUE(MID(IY200,FIND("|",IY200)+1,FIND("-",IY200,FIND("|",IY200))-FIND("|",IY200)-1))),ABS(INDEX($P$200:$P$207,MATCH(LEFT(IY200,FIND("·",IY200)-1),$K$200:$K$207,0))-(VALUE(MID(IY200,FIND("|",IY200)+1,FIND("-",IY200,FIND("|",IY200))-FIND("|",IY200)-1))-VALUE(MID(IY200,FIND("-",IY200,FIND("|",IY200))+1,10)))))*$D$50)))))*INDEX($I$200:$I$207,MATCH(LEFT(IY200,FIND("·",IY200)-1),$K$200:$K$207,0)),0),0),0)+IFERROR(IF(COUNTIF($C$200:$C$207,LEFT(IY200,FIND("·",IY200)-1))&gt;0,IF(INDEX($D$200:$D$207,MATCH(LEFT(IY200,FIND("·",IY200)-1),$C$200:$C$207,0))=IFERROR(VALUE(MID(IY200,FIND("·",IY200)+1,1)),0),($D$20+(INDEX($E$200:$E$207,MATCH(LEFT(IY200,FIND("·",IY200)-1),$C$200:$C$207,0))=MID(IY200,FIND("|",IY200)+1,10))*$D$22+MAX(0,IF($D$50=1,$D$21*(1-(ABS(INDEX($Q$200:$Q$207,MATCH(LEFT(IY200,FIND("·",IY200)-1),$C$200:$C$207,0))-(VALUE(MID(IY200,FIND("|",IY200)+1,FIND("-",IY200,FIND("|",IY200))-FIND("|",IY200)-1))-VALUE(MID(IY200,FIND("-",IY200,FIND("|",IY200))+1,10)))))*$D$50),$D$21*(1-(IF(INDEX($D$200:$D$207,MATCH(LEFT(IY200,FIND("·",IY200)-1),$C$200:$C$207,0))=0,ABS(INDEX($A$200:$A$207,MATCH(LEFT(IY200,FIND("·",IY200)-1),$C$200:$C$207,0))-VALUE(MID(IY200,FIND("|",IY200)+1,FIND("-",IY200,FIND("|",IY200))-FIND("|",IY200)-1))),ABS(INDEX($Q$200:$Q$207,MATCH(LEFT(IY200,FIND("·",IY200)-1),$C$200:$C$207,0))-(VALUE(MID(IY200,FIND("|",IY200)+1,FIND("-",IY200,FIND("|",IY200))-FIND("|",IY200)-1))-VALUE(MID(IY200,FIND("-",IY200,FIND("|",IY200))+1,10)))))*$D$50)))))*INDEX($I$200:$I$207,MATCH(LEFT(IY200,FIND("·",IY200)-1),$C$200:$C$207,0)),0),0),0)</f>
        <v>0</v>
      </c>
      <c r="JA200" s="110"/>
      <c r="JB200" s="66" t="str">
        <f>Idiomas!$D$368</f>
        <v>Paste Values Round of 16'</v>
      </c>
      <c r="JC200" s="85">
        <f t="shared" ref="JC200" ca="1" si="1835">IFERROR(IF(COUNTIF($K$200:$K$207,LEFT(JB200,FIND("·",JB200)-1))&gt;0,IF(INDEX($L$200:$L$207,MATCH(LEFT(JB200,FIND("·",JB200)-1),$K$200:$K$207,0))=IFERROR(VALUE(MID(JB200,FIND("·",JB200)+1,1)),0),($D$20+(INDEX($M$200:$M$207,MATCH(LEFT(JB200,FIND("·",JB200)-1),$K$200:$K$207,0))=MID(JB200,FIND("|",JB200)+1,10))*$D$22+MAX(0,IF($D$50=1,$D$21*(1-(ABS(INDEX($P$200:$P$207,MATCH(LEFT(JB200,FIND("·",JB200)-1),$K$200:$K$207,0))-(VALUE(MID(JB200,FIND("|",JB200)+1,FIND("-",JB200,FIND("|",JB200))-FIND("|",JB200)-1))-VALUE(MID(JB200,FIND("-",JB200,FIND("|",JB200))+1,10)))))*$D$50),$D$21*(1-(IF(INDEX($L$200:$L$207,MATCH(LEFT(JB200,FIND("·",JB200)-1),$K$200:$K$207,0))=0,ABS(INDEX($N$200:$N$207,MATCH(LEFT(JB200,FIND("·",JB200)-1),$K$200:$K$207,0))-VALUE(MID(JB200,FIND("|",JB200)+1,FIND("-",JB200,FIND("|",JB200))-FIND("|",JB200)-1))),ABS(INDEX($P$200:$P$207,MATCH(LEFT(JB200,FIND("·",JB200)-1),$K$200:$K$207,0))-(VALUE(MID(JB200,FIND("|",JB200)+1,FIND("-",JB200,FIND("|",JB200))-FIND("|",JB200)-1))-VALUE(MID(JB200,FIND("-",JB200,FIND("|",JB200))+1,10)))))*$D$50)))))*INDEX($I$200:$I$207,MATCH(LEFT(JB200,FIND("·",JB200)-1),$K$200:$K$207,0)),0),0),0)+IFERROR(IF(COUNTIF($C$200:$C$207,LEFT(JB200,FIND("·",JB200)-1))&gt;0,IF(INDEX($D$200:$D$207,MATCH(LEFT(JB200,FIND("·",JB200)-1),$C$200:$C$207,0))=IFERROR(VALUE(MID(JB200,FIND("·",JB200)+1,1)),0),($D$20+(INDEX($E$200:$E$207,MATCH(LEFT(JB200,FIND("·",JB200)-1),$C$200:$C$207,0))=MID(JB200,FIND("|",JB200)+1,10))*$D$22+MAX(0,IF($D$50=1,$D$21*(1-(ABS(INDEX($Q$200:$Q$207,MATCH(LEFT(JB200,FIND("·",JB200)-1),$C$200:$C$207,0))-(VALUE(MID(JB200,FIND("|",JB200)+1,FIND("-",JB200,FIND("|",JB200))-FIND("|",JB200)-1))-VALUE(MID(JB200,FIND("-",JB200,FIND("|",JB200))+1,10)))))*$D$50),$D$21*(1-(IF(INDEX($D$200:$D$207,MATCH(LEFT(JB200,FIND("·",JB200)-1),$C$200:$C$207,0))=0,ABS(INDEX($A$200:$A$207,MATCH(LEFT(JB200,FIND("·",JB200)-1),$C$200:$C$207,0))-VALUE(MID(JB200,FIND("|",JB200)+1,FIND("-",JB200,FIND("|",JB200))-FIND("|",JB200)-1))),ABS(INDEX($Q$200:$Q$207,MATCH(LEFT(JB200,FIND("·",JB200)-1),$C$200:$C$207,0))-(VALUE(MID(JB200,FIND("|",JB200)+1,FIND("-",JB200,FIND("|",JB200))-FIND("|",JB200)-1))-VALUE(MID(JB200,FIND("-",JB200,FIND("|",JB200))+1,10)))))*$D$50)))))*INDEX($I$200:$I$207,MATCH(LEFT(JB200,FIND("·",JB200)-1),$C$200:$C$207,0)),0),0),0)</f>
        <v>0</v>
      </c>
      <c r="JD200" s="110"/>
      <c r="JE200" s="66" t="str">
        <f>Idiomas!$D$368</f>
        <v>Paste Values Round of 16'</v>
      </c>
      <c r="JF200" s="85">
        <f t="shared" ref="JF200" ca="1" si="1836">IFERROR(IF(COUNTIF($K$200:$K$207,LEFT(JE200,FIND("·",JE200)-1))&gt;0,IF(INDEX($L$200:$L$207,MATCH(LEFT(JE200,FIND("·",JE200)-1),$K$200:$K$207,0))=IFERROR(VALUE(MID(JE200,FIND("·",JE200)+1,1)),0),($D$20+(INDEX($M$200:$M$207,MATCH(LEFT(JE200,FIND("·",JE200)-1),$K$200:$K$207,0))=MID(JE200,FIND("|",JE200)+1,10))*$D$22+MAX(0,IF($D$50=1,$D$21*(1-(ABS(INDEX($P$200:$P$207,MATCH(LEFT(JE200,FIND("·",JE200)-1),$K$200:$K$207,0))-(VALUE(MID(JE200,FIND("|",JE200)+1,FIND("-",JE200,FIND("|",JE200))-FIND("|",JE200)-1))-VALUE(MID(JE200,FIND("-",JE200,FIND("|",JE200))+1,10)))))*$D$50),$D$21*(1-(IF(INDEX($L$200:$L$207,MATCH(LEFT(JE200,FIND("·",JE200)-1),$K$200:$K$207,0))=0,ABS(INDEX($N$200:$N$207,MATCH(LEFT(JE200,FIND("·",JE200)-1),$K$200:$K$207,0))-VALUE(MID(JE200,FIND("|",JE200)+1,FIND("-",JE200,FIND("|",JE200))-FIND("|",JE200)-1))),ABS(INDEX($P$200:$P$207,MATCH(LEFT(JE200,FIND("·",JE200)-1),$K$200:$K$207,0))-(VALUE(MID(JE200,FIND("|",JE200)+1,FIND("-",JE200,FIND("|",JE200))-FIND("|",JE200)-1))-VALUE(MID(JE200,FIND("-",JE200,FIND("|",JE200))+1,10)))))*$D$50)))))*INDEX($I$200:$I$207,MATCH(LEFT(JE200,FIND("·",JE200)-1),$K$200:$K$207,0)),0),0),0)+IFERROR(IF(COUNTIF($C$200:$C$207,LEFT(JE200,FIND("·",JE200)-1))&gt;0,IF(INDEX($D$200:$D$207,MATCH(LEFT(JE200,FIND("·",JE200)-1),$C$200:$C$207,0))=IFERROR(VALUE(MID(JE200,FIND("·",JE200)+1,1)),0),($D$20+(INDEX($E$200:$E$207,MATCH(LEFT(JE200,FIND("·",JE200)-1),$C$200:$C$207,0))=MID(JE200,FIND("|",JE200)+1,10))*$D$22+MAX(0,IF($D$50=1,$D$21*(1-(ABS(INDEX($Q$200:$Q$207,MATCH(LEFT(JE200,FIND("·",JE200)-1),$C$200:$C$207,0))-(VALUE(MID(JE200,FIND("|",JE200)+1,FIND("-",JE200,FIND("|",JE200))-FIND("|",JE200)-1))-VALUE(MID(JE200,FIND("-",JE200,FIND("|",JE200))+1,10)))))*$D$50),$D$21*(1-(IF(INDEX($D$200:$D$207,MATCH(LEFT(JE200,FIND("·",JE200)-1),$C$200:$C$207,0))=0,ABS(INDEX($A$200:$A$207,MATCH(LEFT(JE200,FIND("·",JE200)-1),$C$200:$C$207,0))-VALUE(MID(JE200,FIND("|",JE200)+1,FIND("-",JE200,FIND("|",JE200))-FIND("|",JE200)-1))),ABS(INDEX($Q$200:$Q$207,MATCH(LEFT(JE200,FIND("·",JE200)-1),$C$200:$C$207,0))-(VALUE(MID(JE200,FIND("|",JE200)+1,FIND("-",JE200,FIND("|",JE200))-FIND("|",JE200)-1))-VALUE(MID(JE200,FIND("-",JE200,FIND("|",JE200))+1,10)))))*$D$50)))))*INDEX($I$200:$I$207,MATCH(LEFT(JE200,FIND("·",JE200)-1),$C$200:$C$207,0)),0),0),0)</f>
        <v>0</v>
      </c>
      <c r="JG200" s="110"/>
      <c r="JH200" s="66" t="str">
        <f>Idiomas!$D$368</f>
        <v>Paste Values Round of 16'</v>
      </c>
      <c r="JI200" s="85">
        <f t="shared" ref="JI200" ca="1" si="1837">IFERROR(IF(COUNTIF($K$200:$K$207,LEFT(JH200,FIND("·",JH200)-1))&gt;0,IF(INDEX($L$200:$L$207,MATCH(LEFT(JH200,FIND("·",JH200)-1),$K$200:$K$207,0))=IFERROR(VALUE(MID(JH200,FIND("·",JH200)+1,1)),0),($D$20+(INDEX($M$200:$M$207,MATCH(LEFT(JH200,FIND("·",JH200)-1),$K$200:$K$207,0))=MID(JH200,FIND("|",JH200)+1,10))*$D$22+MAX(0,IF($D$50=1,$D$21*(1-(ABS(INDEX($P$200:$P$207,MATCH(LEFT(JH200,FIND("·",JH200)-1),$K$200:$K$207,0))-(VALUE(MID(JH200,FIND("|",JH200)+1,FIND("-",JH200,FIND("|",JH200))-FIND("|",JH200)-1))-VALUE(MID(JH200,FIND("-",JH200,FIND("|",JH200))+1,10)))))*$D$50),$D$21*(1-(IF(INDEX($L$200:$L$207,MATCH(LEFT(JH200,FIND("·",JH200)-1),$K$200:$K$207,0))=0,ABS(INDEX($N$200:$N$207,MATCH(LEFT(JH200,FIND("·",JH200)-1),$K$200:$K$207,0))-VALUE(MID(JH200,FIND("|",JH200)+1,FIND("-",JH200,FIND("|",JH200))-FIND("|",JH200)-1))),ABS(INDEX($P$200:$P$207,MATCH(LEFT(JH200,FIND("·",JH200)-1),$K$200:$K$207,0))-(VALUE(MID(JH200,FIND("|",JH200)+1,FIND("-",JH200,FIND("|",JH200))-FIND("|",JH200)-1))-VALUE(MID(JH200,FIND("-",JH200,FIND("|",JH200))+1,10)))))*$D$50)))))*INDEX($I$200:$I$207,MATCH(LEFT(JH200,FIND("·",JH200)-1),$K$200:$K$207,0)),0),0),0)+IFERROR(IF(COUNTIF($C$200:$C$207,LEFT(JH200,FIND("·",JH200)-1))&gt;0,IF(INDEX($D$200:$D$207,MATCH(LEFT(JH200,FIND("·",JH200)-1),$C$200:$C$207,0))=IFERROR(VALUE(MID(JH200,FIND("·",JH200)+1,1)),0),($D$20+(INDEX($E$200:$E$207,MATCH(LEFT(JH200,FIND("·",JH200)-1),$C$200:$C$207,0))=MID(JH200,FIND("|",JH200)+1,10))*$D$22+MAX(0,IF($D$50=1,$D$21*(1-(ABS(INDEX($Q$200:$Q$207,MATCH(LEFT(JH200,FIND("·",JH200)-1),$C$200:$C$207,0))-(VALUE(MID(JH200,FIND("|",JH200)+1,FIND("-",JH200,FIND("|",JH200))-FIND("|",JH200)-1))-VALUE(MID(JH200,FIND("-",JH200,FIND("|",JH200))+1,10)))))*$D$50),$D$21*(1-(IF(INDEX($D$200:$D$207,MATCH(LEFT(JH200,FIND("·",JH200)-1),$C$200:$C$207,0))=0,ABS(INDEX($A$200:$A$207,MATCH(LEFT(JH200,FIND("·",JH200)-1),$C$200:$C$207,0))-VALUE(MID(JH200,FIND("|",JH200)+1,FIND("-",JH200,FIND("|",JH200))-FIND("|",JH200)-1))),ABS(INDEX($Q$200:$Q$207,MATCH(LEFT(JH200,FIND("·",JH200)-1),$C$200:$C$207,0))-(VALUE(MID(JH200,FIND("|",JH200)+1,FIND("-",JH200,FIND("|",JH200))-FIND("|",JH200)-1))-VALUE(MID(JH200,FIND("-",JH200,FIND("|",JH200))+1,10)))))*$D$50)))))*INDEX($I$200:$I$207,MATCH(LEFT(JH200,FIND("·",JH200)-1),$C$200:$C$207,0)),0),0),0)</f>
        <v>0</v>
      </c>
      <c r="JJ200" s="110"/>
      <c r="JK200" s="66" t="str">
        <f>Idiomas!$D$368</f>
        <v>Paste Values Round of 16'</v>
      </c>
      <c r="JL200" s="85">
        <f t="shared" ref="JL200" ca="1" si="1838">IFERROR(IF(COUNTIF($K$200:$K$207,LEFT(JK200,FIND("·",JK200)-1))&gt;0,IF(INDEX($L$200:$L$207,MATCH(LEFT(JK200,FIND("·",JK200)-1),$K$200:$K$207,0))=IFERROR(VALUE(MID(JK200,FIND("·",JK200)+1,1)),0),($D$20+(INDEX($M$200:$M$207,MATCH(LEFT(JK200,FIND("·",JK200)-1),$K$200:$K$207,0))=MID(JK200,FIND("|",JK200)+1,10))*$D$22+MAX(0,IF($D$50=1,$D$21*(1-(ABS(INDEX($P$200:$P$207,MATCH(LEFT(JK200,FIND("·",JK200)-1),$K$200:$K$207,0))-(VALUE(MID(JK200,FIND("|",JK200)+1,FIND("-",JK200,FIND("|",JK200))-FIND("|",JK200)-1))-VALUE(MID(JK200,FIND("-",JK200,FIND("|",JK200))+1,10)))))*$D$50),$D$21*(1-(IF(INDEX($L$200:$L$207,MATCH(LEFT(JK200,FIND("·",JK200)-1),$K$200:$K$207,0))=0,ABS(INDEX($N$200:$N$207,MATCH(LEFT(JK200,FIND("·",JK200)-1),$K$200:$K$207,0))-VALUE(MID(JK200,FIND("|",JK200)+1,FIND("-",JK200,FIND("|",JK200))-FIND("|",JK200)-1))),ABS(INDEX($P$200:$P$207,MATCH(LEFT(JK200,FIND("·",JK200)-1),$K$200:$K$207,0))-(VALUE(MID(JK200,FIND("|",JK200)+1,FIND("-",JK200,FIND("|",JK200))-FIND("|",JK200)-1))-VALUE(MID(JK200,FIND("-",JK200,FIND("|",JK200))+1,10)))))*$D$50)))))*INDEX($I$200:$I$207,MATCH(LEFT(JK200,FIND("·",JK200)-1),$K$200:$K$207,0)),0),0),0)+IFERROR(IF(COUNTIF($C$200:$C$207,LEFT(JK200,FIND("·",JK200)-1))&gt;0,IF(INDEX($D$200:$D$207,MATCH(LEFT(JK200,FIND("·",JK200)-1),$C$200:$C$207,0))=IFERROR(VALUE(MID(JK200,FIND("·",JK200)+1,1)),0),($D$20+(INDEX($E$200:$E$207,MATCH(LEFT(JK200,FIND("·",JK200)-1),$C$200:$C$207,0))=MID(JK200,FIND("|",JK200)+1,10))*$D$22+MAX(0,IF($D$50=1,$D$21*(1-(ABS(INDEX($Q$200:$Q$207,MATCH(LEFT(JK200,FIND("·",JK200)-1),$C$200:$C$207,0))-(VALUE(MID(JK200,FIND("|",JK200)+1,FIND("-",JK200,FIND("|",JK200))-FIND("|",JK200)-1))-VALUE(MID(JK200,FIND("-",JK200,FIND("|",JK200))+1,10)))))*$D$50),$D$21*(1-(IF(INDEX($D$200:$D$207,MATCH(LEFT(JK200,FIND("·",JK200)-1),$C$200:$C$207,0))=0,ABS(INDEX($A$200:$A$207,MATCH(LEFT(JK200,FIND("·",JK200)-1),$C$200:$C$207,0))-VALUE(MID(JK200,FIND("|",JK200)+1,FIND("-",JK200,FIND("|",JK200))-FIND("|",JK200)-1))),ABS(INDEX($Q$200:$Q$207,MATCH(LEFT(JK200,FIND("·",JK200)-1),$C$200:$C$207,0))-(VALUE(MID(JK200,FIND("|",JK200)+1,FIND("-",JK200,FIND("|",JK200))-FIND("|",JK200)-1))-VALUE(MID(JK200,FIND("-",JK200,FIND("|",JK200))+1,10)))))*$D$50)))))*INDEX($I$200:$I$207,MATCH(LEFT(JK200,FIND("·",JK200)-1),$C$200:$C$207,0)),0),0),0)</f>
        <v>0</v>
      </c>
      <c r="JM200" s="110"/>
      <c r="JN200" s="66" t="str">
        <f>Idiomas!$D$368</f>
        <v>Paste Values Round of 16'</v>
      </c>
      <c r="JO200" s="85">
        <f t="shared" ref="JO200" ca="1" si="1839">IFERROR(IF(COUNTIF($K$200:$K$207,LEFT(JN200,FIND("·",JN200)-1))&gt;0,IF(INDEX($L$200:$L$207,MATCH(LEFT(JN200,FIND("·",JN200)-1),$K$200:$K$207,0))=IFERROR(VALUE(MID(JN200,FIND("·",JN200)+1,1)),0),($D$20+(INDEX($M$200:$M$207,MATCH(LEFT(JN200,FIND("·",JN200)-1),$K$200:$K$207,0))=MID(JN200,FIND("|",JN200)+1,10))*$D$22+MAX(0,IF($D$50=1,$D$21*(1-(ABS(INDEX($P$200:$P$207,MATCH(LEFT(JN200,FIND("·",JN200)-1),$K$200:$K$207,0))-(VALUE(MID(JN200,FIND("|",JN200)+1,FIND("-",JN200,FIND("|",JN200))-FIND("|",JN200)-1))-VALUE(MID(JN200,FIND("-",JN200,FIND("|",JN200))+1,10)))))*$D$50),$D$21*(1-(IF(INDEX($L$200:$L$207,MATCH(LEFT(JN200,FIND("·",JN200)-1),$K$200:$K$207,0))=0,ABS(INDEX($N$200:$N$207,MATCH(LEFT(JN200,FIND("·",JN200)-1),$K$200:$K$207,0))-VALUE(MID(JN200,FIND("|",JN200)+1,FIND("-",JN200,FIND("|",JN200))-FIND("|",JN200)-1))),ABS(INDEX($P$200:$P$207,MATCH(LEFT(JN200,FIND("·",JN200)-1),$K$200:$K$207,0))-(VALUE(MID(JN200,FIND("|",JN200)+1,FIND("-",JN200,FIND("|",JN200))-FIND("|",JN200)-1))-VALUE(MID(JN200,FIND("-",JN200,FIND("|",JN200))+1,10)))))*$D$50)))))*INDEX($I$200:$I$207,MATCH(LEFT(JN200,FIND("·",JN200)-1),$K$200:$K$207,0)),0),0),0)+IFERROR(IF(COUNTIF($C$200:$C$207,LEFT(JN200,FIND("·",JN200)-1))&gt;0,IF(INDEX($D$200:$D$207,MATCH(LEFT(JN200,FIND("·",JN200)-1),$C$200:$C$207,0))=IFERROR(VALUE(MID(JN200,FIND("·",JN200)+1,1)),0),($D$20+(INDEX($E$200:$E$207,MATCH(LEFT(JN200,FIND("·",JN200)-1),$C$200:$C$207,0))=MID(JN200,FIND("|",JN200)+1,10))*$D$22+MAX(0,IF($D$50=1,$D$21*(1-(ABS(INDEX($Q$200:$Q$207,MATCH(LEFT(JN200,FIND("·",JN200)-1),$C$200:$C$207,0))-(VALUE(MID(JN200,FIND("|",JN200)+1,FIND("-",JN200,FIND("|",JN200))-FIND("|",JN200)-1))-VALUE(MID(JN200,FIND("-",JN200,FIND("|",JN200))+1,10)))))*$D$50),$D$21*(1-(IF(INDEX($D$200:$D$207,MATCH(LEFT(JN200,FIND("·",JN200)-1),$C$200:$C$207,0))=0,ABS(INDEX($A$200:$A$207,MATCH(LEFT(JN200,FIND("·",JN200)-1),$C$200:$C$207,0))-VALUE(MID(JN200,FIND("|",JN200)+1,FIND("-",JN200,FIND("|",JN200))-FIND("|",JN200)-1))),ABS(INDEX($Q$200:$Q$207,MATCH(LEFT(JN200,FIND("·",JN200)-1),$C$200:$C$207,0))-(VALUE(MID(JN200,FIND("|",JN200)+1,FIND("-",JN200,FIND("|",JN200))-FIND("|",JN200)-1))-VALUE(MID(JN200,FIND("-",JN200,FIND("|",JN200))+1,10)))))*$D$50)))))*INDEX($I$200:$I$207,MATCH(LEFT(JN200,FIND("·",JN200)-1),$C$200:$C$207,0)),0),0),0)</f>
        <v>0</v>
      </c>
      <c r="JP200" s="110"/>
      <c r="JQ200" s="66" t="str">
        <f>Idiomas!$D$368</f>
        <v>Paste Values Round of 16'</v>
      </c>
      <c r="JR200" s="85">
        <f t="shared" ref="JR200" ca="1" si="1840">IFERROR(IF(COUNTIF($K$200:$K$207,LEFT(JQ200,FIND("·",JQ200)-1))&gt;0,IF(INDEX($L$200:$L$207,MATCH(LEFT(JQ200,FIND("·",JQ200)-1),$K$200:$K$207,0))=IFERROR(VALUE(MID(JQ200,FIND("·",JQ200)+1,1)),0),($D$20+(INDEX($M$200:$M$207,MATCH(LEFT(JQ200,FIND("·",JQ200)-1),$K$200:$K$207,0))=MID(JQ200,FIND("|",JQ200)+1,10))*$D$22+MAX(0,IF($D$50=1,$D$21*(1-(ABS(INDEX($P$200:$P$207,MATCH(LEFT(JQ200,FIND("·",JQ200)-1),$K$200:$K$207,0))-(VALUE(MID(JQ200,FIND("|",JQ200)+1,FIND("-",JQ200,FIND("|",JQ200))-FIND("|",JQ200)-1))-VALUE(MID(JQ200,FIND("-",JQ200,FIND("|",JQ200))+1,10)))))*$D$50),$D$21*(1-(IF(INDEX($L$200:$L$207,MATCH(LEFT(JQ200,FIND("·",JQ200)-1),$K$200:$K$207,0))=0,ABS(INDEX($N$200:$N$207,MATCH(LEFT(JQ200,FIND("·",JQ200)-1),$K$200:$K$207,0))-VALUE(MID(JQ200,FIND("|",JQ200)+1,FIND("-",JQ200,FIND("|",JQ200))-FIND("|",JQ200)-1))),ABS(INDEX($P$200:$P$207,MATCH(LEFT(JQ200,FIND("·",JQ200)-1),$K$200:$K$207,0))-(VALUE(MID(JQ200,FIND("|",JQ200)+1,FIND("-",JQ200,FIND("|",JQ200))-FIND("|",JQ200)-1))-VALUE(MID(JQ200,FIND("-",JQ200,FIND("|",JQ200))+1,10)))))*$D$50)))))*INDEX($I$200:$I$207,MATCH(LEFT(JQ200,FIND("·",JQ200)-1),$K$200:$K$207,0)),0),0),0)+IFERROR(IF(COUNTIF($C$200:$C$207,LEFT(JQ200,FIND("·",JQ200)-1))&gt;0,IF(INDEX($D$200:$D$207,MATCH(LEFT(JQ200,FIND("·",JQ200)-1),$C$200:$C$207,0))=IFERROR(VALUE(MID(JQ200,FIND("·",JQ200)+1,1)),0),($D$20+(INDEX($E$200:$E$207,MATCH(LEFT(JQ200,FIND("·",JQ200)-1),$C$200:$C$207,0))=MID(JQ200,FIND("|",JQ200)+1,10))*$D$22+MAX(0,IF($D$50=1,$D$21*(1-(ABS(INDEX($Q$200:$Q$207,MATCH(LEFT(JQ200,FIND("·",JQ200)-1),$C$200:$C$207,0))-(VALUE(MID(JQ200,FIND("|",JQ200)+1,FIND("-",JQ200,FIND("|",JQ200))-FIND("|",JQ200)-1))-VALUE(MID(JQ200,FIND("-",JQ200,FIND("|",JQ200))+1,10)))))*$D$50),$D$21*(1-(IF(INDEX($D$200:$D$207,MATCH(LEFT(JQ200,FIND("·",JQ200)-1),$C$200:$C$207,0))=0,ABS(INDEX($A$200:$A$207,MATCH(LEFT(JQ200,FIND("·",JQ200)-1),$C$200:$C$207,0))-VALUE(MID(JQ200,FIND("|",JQ200)+1,FIND("-",JQ200,FIND("|",JQ200))-FIND("|",JQ200)-1))),ABS(INDEX($Q$200:$Q$207,MATCH(LEFT(JQ200,FIND("·",JQ200)-1),$C$200:$C$207,0))-(VALUE(MID(JQ200,FIND("|",JQ200)+1,FIND("-",JQ200,FIND("|",JQ200))-FIND("|",JQ200)-1))-VALUE(MID(JQ200,FIND("-",JQ200,FIND("|",JQ200))+1,10)))))*$D$50)))))*INDEX($I$200:$I$207,MATCH(LEFT(JQ200,FIND("·",JQ200)-1),$C$200:$C$207,0)),0),0),0)</f>
        <v>0</v>
      </c>
      <c r="JS200" s="110"/>
      <c r="JT200" s="66" t="str">
        <f>Idiomas!$D$368</f>
        <v>Paste Values Round of 16'</v>
      </c>
      <c r="JU200" s="85">
        <f t="shared" ref="JU200" ca="1" si="1841">IFERROR(IF(COUNTIF($K$200:$K$207,LEFT(JT200,FIND("·",JT200)-1))&gt;0,IF(INDEX($L$200:$L$207,MATCH(LEFT(JT200,FIND("·",JT200)-1),$K$200:$K$207,0))=IFERROR(VALUE(MID(JT200,FIND("·",JT200)+1,1)),0),($D$20+(INDEX($M$200:$M$207,MATCH(LEFT(JT200,FIND("·",JT200)-1),$K$200:$K$207,0))=MID(JT200,FIND("|",JT200)+1,10))*$D$22+MAX(0,IF($D$50=1,$D$21*(1-(ABS(INDEX($P$200:$P$207,MATCH(LEFT(JT200,FIND("·",JT200)-1),$K$200:$K$207,0))-(VALUE(MID(JT200,FIND("|",JT200)+1,FIND("-",JT200,FIND("|",JT200))-FIND("|",JT200)-1))-VALUE(MID(JT200,FIND("-",JT200,FIND("|",JT200))+1,10)))))*$D$50),$D$21*(1-(IF(INDEX($L$200:$L$207,MATCH(LEFT(JT200,FIND("·",JT200)-1),$K$200:$K$207,0))=0,ABS(INDEX($N$200:$N$207,MATCH(LEFT(JT200,FIND("·",JT200)-1),$K$200:$K$207,0))-VALUE(MID(JT200,FIND("|",JT200)+1,FIND("-",JT200,FIND("|",JT200))-FIND("|",JT200)-1))),ABS(INDEX($P$200:$P$207,MATCH(LEFT(JT200,FIND("·",JT200)-1),$K$200:$K$207,0))-(VALUE(MID(JT200,FIND("|",JT200)+1,FIND("-",JT200,FIND("|",JT200))-FIND("|",JT200)-1))-VALUE(MID(JT200,FIND("-",JT200,FIND("|",JT200))+1,10)))))*$D$50)))))*INDEX($I$200:$I$207,MATCH(LEFT(JT200,FIND("·",JT200)-1),$K$200:$K$207,0)),0),0),0)+IFERROR(IF(COUNTIF($C$200:$C$207,LEFT(JT200,FIND("·",JT200)-1))&gt;0,IF(INDEX($D$200:$D$207,MATCH(LEFT(JT200,FIND("·",JT200)-1),$C$200:$C$207,0))=IFERROR(VALUE(MID(JT200,FIND("·",JT200)+1,1)),0),($D$20+(INDEX($E$200:$E$207,MATCH(LEFT(JT200,FIND("·",JT200)-1),$C$200:$C$207,0))=MID(JT200,FIND("|",JT200)+1,10))*$D$22+MAX(0,IF($D$50=1,$D$21*(1-(ABS(INDEX($Q$200:$Q$207,MATCH(LEFT(JT200,FIND("·",JT200)-1),$C$200:$C$207,0))-(VALUE(MID(JT200,FIND("|",JT200)+1,FIND("-",JT200,FIND("|",JT200))-FIND("|",JT200)-1))-VALUE(MID(JT200,FIND("-",JT200,FIND("|",JT200))+1,10)))))*$D$50),$D$21*(1-(IF(INDEX($D$200:$D$207,MATCH(LEFT(JT200,FIND("·",JT200)-1),$C$200:$C$207,0))=0,ABS(INDEX($A$200:$A$207,MATCH(LEFT(JT200,FIND("·",JT200)-1),$C$200:$C$207,0))-VALUE(MID(JT200,FIND("|",JT200)+1,FIND("-",JT200,FIND("|",JT200))-FIND("|",JT200)-1))),ABS(INDEX($Q$200:$Q$207,MATCH(LEFT(JT200,FIND("·",JT200)-1),$C$200:$C$207,0))-(VALUE(MID(JT200,FIND("|",JT200)+1,FIND("-",JT200,FIND("|",JT200))-FIND("|",JT200)-1))-VALUE(MID(JT200,FIND("-",JT200,FIND("|",JT200))+1,10)))))*$D$50)))))*INDEX($I$200:$I$207,MATCH(LEFT(JT200,FIND("·",JT200)-1),$C$200:$C$207,0)),0),0),0)</f>
        <v>0</v>
      </c>
      <c r="JV200" s="110"/>
      <c r="JW200" s="66" t="str">
        <f>Idiomas!$D$368</f>
        <v>Paste Values Round of 16'</v>
      </c>
      <c r="JX200" s="85">
        <f t="shared" ref="JX200" ca="1" si="1842">IFERROR(IF(COUNTIF($K$200:$K$207,LEFT(JW200,FIND("·",JW200)-1))&gt;0,IF(INDEX($L$200:$L$207,MATCH(LEFT(JW200,FIND("·",JW200)-1),$K$200:$K$207,0))=IFERROR(VALUE(MID(JW200,FIND("·",JW200)+1,1)),0),($D$20+(INDEX($M$200:$M$207,MATCH(LEFT(JW200,FIND("·",JW200)-1),$K$200:$K$207,0))=MID(JW200,FIND("|",JW200)+1,10))*$D$22+MAX(0,IF($D$50=1,$D$21*(1-(ABS(INDEX($P$200:$P$207,MATCH(LEFT(JW200,FIND("·",JW200)-1),$K$200:$K$207,0))-(VALUE(MID(JW200,FIND("|",JW200)+1,FIND("-",JW200,FIND("|",JW200))-FIND("|",JW200)-1))-VALUE(MID(JW200,FIND("-",JW200,FIND("|",JW200))+1,10)))))*$D$50),$D$21*(1-(IF(INDEX($L$200:$L$207,MATCH(LEFT(JW200,FIND("·",JW200)-1),$K$200:$K$207,0))=0,ABS(INDEX($N$200:$N$207,MATCH(LEFT(JW200,FIND("·",JW200)-1),$K$200:$K$207,0))-VALUE(MID(JW200,FIND("|",JW200)+1,FIND("-",JW200,FIND("|",JW200))-FIND("|",JW200)-1))),ABS(INDEX($P$200:$P$207,MATCH(LEFT(JW200,FIND("·",JW200)-1),$K$200:$K$207,0))-(VALUE(MID(JW200,FIND("|",JW200)+1,FIND("-",JW200,FIND("|",JW200))-FIND("|",JW200)-1))-VALUE(MID(JW200,FIND("-",JW200,FIND("|",JW200))+1,10)))))*$D$50)))))*INDEX($I$200:$I$207,MATCH(LEFT(JW200,FIND("·",JW200)-1),$K$200:$K$207,0)),0),0),0)+IFERROR(IF(COUNTIF($C$200:$C$207,LEFT(JW200,FIND("·",JW200)-1))&gt;0,IF(INDEX($D$200:$D$207,MATCH(LEFT(JW200,FIND("·",JW200)-1),$C$200:$C$207,0))=IFERROR(VALUE(MID(JW200,FIND("·",JW200)+1,1)),0),($D$20+(INDEX($E$200:$E$207,MATCH(LEFT(JW200,FIND("·",JW200)-1),$C$200:$C$207,0))=MID(JW200,FIND("|",JW200)+1,10))*$D$22+MAX(0,IF($D$50=1,$D$21*(1-(ABS(INDEX($Q$200:$Q$207,MATCH(LEFT(JW200,FIND("·",JW200)-1),$C$200:$C$207,0))-(VALUE(MID(JW200,FIND("|",JW200)+1,FIND("-",JW200,FIND("|",JW200))-FIND("|",JW200)-1))-VALUE(MID(JW200,FIND("-",JW200,FIND("|",JW200))+1,10)))))*$D$50),$D$21*(1-(IF(INDEX($D$200:$D$207,MATCH(LEFT(JW200,FIND("·",JW200)-1),$C$200:$C$207,0))=0,ABS(INDEX($A$200:$A$207,MATCH(LEFT(JW200,FIND("·",JW200)-1),$C$200:$C$207,0))-VALUE(MID(JW200,FIND("|",JW200)+1,FIND("-",JW200,FIND("|",JW200))-FIND("|",JW200)-1))),ABS(INDEX($Q$200:$Q$207,MATCH(LEFT(JW200,FIND("·",JW200)-1),$C$200:$C$207,0))-(VALUE(MID(JW200,FIND("|",JW200)+1,FIND("-",JW200,FIND("|",JW200))-FIND("|",JW200)-1))-VALUE(MID(JW200,FIND("-",JW200,FIND("|",JW200))+1,10)))))*$D$50)))))*INDEX($I$200:$I$207,MATCH(LEFT(JW200,FIND("·",JW200)-1),$C$200:$C$207,0)),0),0),0)</f>
        <v>0</v>
      </c>
      <c r="JY200" s="110"/>
      <c r="JZ200" s="66" t="str">
        <f>Idiomas!$D$368</f>
        <v>Paste Values Round of 16'</v>
      </c>
      <c r="KA200" s="85">
        <f t="shared" ref="KA200:LE207" ca="1" si="1843">IFERROR(IF(COUNTIF($K$200:$K$207,LEFT(JZ200,FIND("·",JZ200)-1))&gt;0,IF(INDEX($L$200:$L$207,MATCH(LEFT(JZ200,FIND("·",JZ200)-1),$K$200:$K$207,0))=IFERROR(VALUE(MID(JZ200,FIND("·",JZ200)+1,1)),0),($D$20+(INDEX($M$200:$M$207,MATCH(LEFT(JZ200,FIND("·",JZ200)-1),$K$200:$K$207,0))=MID(JZ200,FIND("|",JZ200)+1,10))*$D$22+MAX(0,IF($D$50=1,$D$21*(1-(ABS(INDEX($P$200:$P$207,MATCH(LEFT(JZ200,FIND("·",JZ200)-1),$K$200:$K$207,0))-(VALUE(MID(JZ200,FIND("|",JZ200)+1,FIND("-",JZ200,FIND("|",JZ200))-FIND("|",JZ200)-1))-VALUE(MID(JZ200,FIND("-",JZ200,FIND("|",JZ200))+1,10)))))*$D$50),$D$21*(1-(IF(INDEX($L$200:$L$207,MATCH(LEFT(JZ200,FIND("·",JZ200)-1),$K$200:$K$207,0))=0,ABS(INDEX($N$200:$N$207,MATCH(LEFT(JZ200,FIND("·",JZ200)-1),$K$200:$K$207,0))-VALUE(MID(JZ200,FIND("|",JZ200)+1,FIND("-",JZ200,FIND("|",JZ200))-FIND("|",JZ200)-1))),ABS(INDEX($P$200:$P$207,MATCH(LEFT(JZ200,FIND("·",JZ200)-1),$K$200:$K$207,0))-(VALUE(MID(JZ200,FIND("|",JZ200)+1,FIND("-",JZ200,FIND("|",JZ200))-FIND("|",JZ200)-1))-VALUE(MID(JZ200,FIND("-",JZ200,FIND("|",JZ200))+1,10)))))*$D$50)))))*INDEX($I$200:$I$207,MATCH(LEFT(JZ200,FIND("·",JZ200)-1),$K$200:$K$207,0)),0),0),0)+IFERROR(IF(COUNTIF($C$200:$C$207,LEFT(JZ200,FIND("·",JZ200)-1))&gt;0,IF(INDEX($D$200:$D$207,MATCH(LEFT(JZ200,FIND("·",JZ200)-1),$C$200:$C$207,0))=IFERROR(VALUE(MID(JZ200,FIND("·",JZ200)+1,1)),0),($D$20+(INDEX($E$200:$E$207,MATCH(LEFT(JZ200,FIND("·",JZ200)-1),$C$200:$C$207,0))=MID(JZ200,FIND("|",JZ200)+1,10))*$D$22+MAX(0,IF($D$50=1,$D$21*(1-(ABS(INDEX($Q$200:$Q$207,MATCH(LEFT(JZ200,FIND("·",JZ200)-1),$C$200:$C$207,0))-(VALUE(MID(JZ200,FIND("|",JZ200)+1,FIND("-",JZ200,FIND("|",JZ200))-FIND("|",JZ200)-1))-VALUE(MID(JZ200,FIND("-",JZ200,FIND("|",JZ200))+1,10)))))*$D$50),$D$21*(1-(IF(INDEX($D$200:$D$207,MATCH(LEFT(JZ200,FIND("·",JZ200)-1),$C$200:$C$207,0))=0,ABS(INDEX($A$200:$A$207,MATCH(LEFT(JZ200,FIND("·",JZ200)-1),$C$200:$C$207,0))-VALUE(MID(JZ200,FIND("|",JZ200)+1,FIND("-",JZ200,FIND("|",JZ200))-FIND("|",JZ200)-1))),ABS(INDEX($Q$200:$Q$207,MATCH(LEFT(JZ200,FIND("·",JZ200)-1),$C$200:$C$207,0))-(VALUE(MID(JZ200,FIND("|",JZ200)+1,FIND("-",JZ200,FIND("|",JZ200))-FIND("|",JZ200)-1))-VALUE(MID(JZ200,FIND("-",JZ200,FIND("|",JZ200))+1,10)))))*$D$50)))))*INDEX($I$200:$I$207,MATCH(LEFT(JZ200,FIND("·",JZ200)-1),$C$200:$C$207,0)),0),0),0)</f>
        <v>0</v>
      </c>
      <c r="KB200" s="110"/>
      <c r="KC200" s="66" t="str">
        <f>Idiomas!$D$368</f>
        <v>Paste Values Round of 16'</v>
      </c>
      <c r="KD200" s="85">
        <f t="shared" ref="KD200" ca="1" si="1844">IFERROR(IF(COUNTIF($K$200:$K$207,LEFT(KC200,FIND("·",KC200)-1))&gt;0,IF(INDEX($L$200:$L$207,MATCH(LEFT(KC200,FIND("·",KC200)-1),$K$200:$K$207,0))=IFERROR(VALUE(MID(KC200,FIND("·",KC200)+1,1)),0),($D$20+(INDEX($M$200:$M$207,MATCH(LEFT(KC200,FIND("·",KC200)-1),$K$200:$K$207,0))=MID(KC200,FIND("|",KC200)+1,10))*$D$22+MAX(0,IF($D$50=1,$D$21*(1-(ABS(INDEX($P$200:$P$207,MATCH(LEFT(KC200,FIND("·",KC200)-1),$K$200:$K$207,0))-(VALUE(MID(KC200,FIND("|",KC200)+1,FIND("-",KC200,FIND("|",KC200))-FIND("|",KC200)-1))-VALUE(MID(KC200,FIND("-",KC200,FIND("|",KC200))+1,10)))))*$D$50),$D$21*(1-(IF(INDEX($L$200:$L$207,MATCH(LEFT(KC200,FIND("·",KC200)-1),$K$200:$K$207,0))=0,ABS(INDEX($N$200:$N$207,MATCH(LEFT(KC200,FIND("·",KC200)-1),$K$200:$K$207,0))-VALUE(MID(KC200,FIND("|",KC200)+1,FIND("-",KC200,FIND("|",KC200))-FIND("|",KC200)-1))),ABS(INDEX($P$200:$P$207,MATCH(LEFT(KC200,FIND("·",KC200)-1),$K$200:$K$207,0))-(VALUE(MID(KC200,FIND("|",KC200)+1,FIND("-",KC200,FIND("|",KC200))-FIND("|",KC200)-1))-VALUE(MID(KC200,FIND("-",KC200,FIND("|",KC200))+1,10)))))*$D$50)))))*INDEX($I$200:$I$207,MATCH(LEFT(KC200,FIND("·",KC200)-1),$K$200:$K$207,0)),0),0),0)+IFERROR(IF(COUNTIF($C$200:$C$207,LEFT(KC200,FIND("·",KC200)-1))&gt;0,IF(INDEX($D$200:$D$207,MATCH(LEFT(KC200,FIND("·",KC200)-1),$C$200:$C$207,0))=IFERROR(VALUE(MID(KC200,FIND("·",KC200)+1,1)),0),($D$20+(INDEX($E$200:$E$207,MATCH(LEFT(KC200,FIND("·",KC200)-1),$C$200:$C$207,0))=MID(KC200,FIND("|",KC200)+1,10))*$D$22+MAX(0,IF($D$50=1,$D$21*(1-(ABS(INDEX($Q$200:$Q$207,MATCH(LEFT(KC200,FIND("·",KC200)-1),$C$200:$C$207,0))-(VALUE(MID(KC200,FIND("|",KC200)+1,FIND("-",KC200,FIND("|",KC200))-FIND("|",KC200)-1))-VALUE(MID(KC200,FIND("-",KC200,FIND("|",KC200))+1,10)))))*$D$50),$D$21*(1-(IF(INDEX($D$200:$D$207,MATCH(LEFT(KC200,FIND("·",KC200)-1),$C$200:$C$207,0))=0,ABS(INDEX($A$200:$A$207,MATCH(LEFT(KC200,FIND("·",KC200)-1),$C$200:$C$207,0))-VALUE(MID(KC200,FIND("|",KC200)+1,FIND("-",KC200,FIND("|",KC200))-FIND("|",KC200)-1))),ABS(INDEX($Q$200:$Q$207,MATCH(LEFT(KC200,FIND("·",KC200)-1),$C$200:$C$207,0))-(VALUE(MID(KC200,FIND("|",KC200)+1,FIND("-",KC200,FIND("|",KC200))-FIND("|",KC200)-1))-VALUE(MID(KC200,FIND("-",KC200,FIND("|",KC200))+1,10)))))*$D$50)))))*INDEX($I$200:$I$207,MATCH(LEFT(KC200,FIND("·",KC200)-1),$C$200:$C$207,0)),0),0),0)</f>
        <v>0</v>
      </c>
      <c r="KE200" s="110"/>
      <c r="KF200" s="66" t="str">
        <f>Idiomas!$D$368</f>
        <v>Paste Values Round of 16'</v>
      </c>
      <c r="KG200" s="85">
        <f t="shared" ref="KG200" ca="1" si="1845">IFERROR(IF(COUNTIF($K$200:$K$207,LEFT(KF200,FIND("·",KF200)-1))&gt;0,IF(INDEX($L$200:$L$207,MATCH(LEFT(KF200,FIND("·",KF200)-1),$K$200:$K$207,0))=IFERROR(VALUE(MID(KF200,FIND("·",KF200)+1,1)),0),($D$20+(INDEX($M$200:$M$207,MATCH(LEFT(KF200,FIND("·",KF200)-1),$K$200:$K$207,0))=MID(KF200,FIND("|",KF200)+1,10))*$D$22+MAX(0,IF($D$50=1,$D$21*(1-(ABS(INDEX($P$200:$P$207,MATCH(LEFT(KF200,FIND("·",KF200)-1),$K$200:$K$207,0))-(VALUE(MID(KF200,FIND("|",KF200)+1,FIND("-",KF200,FIND("|",KF200))-FIND("|",KF200)-1))-VALUE(MID(KF200,FIND("-",KF200,FIND("|",KF200))+1,10)))))*$D$50),$D$21*(1-(IF(INDEX($L$200:$L$207,MATCH(LEFT(KF200,FIND("·",KF200)-1),$K$200:$K$207,0))=0,ABS(INDEX($N$200:$N$207,MATCH(LEFT(KF200,FIND("·",KF200)-1),$K$200:$K$207,0))-VALUE(MID(KF200,FIND("|",KF200)+1,FIND("-",KF200,FIND("|",KF200))-FIND("|",KF200)-1))),ABS(INDEX($P$200:$P$207,MATCH(LEFT(KF200,FIND("·",KF200)-1),$K$200:$K$207,0))-(VALUE(MID(KF200,FIND("|",KF200)+1,FIND("-",KF200,FIND("|",KF200))-FIND("|",KF200)-1))-VALUE(MID(KF200,FIND("-",KF200,FIND("|",KF200))+1,10)))))*$D$50)))))*INDEX($I$200:$I$207,MATCH(LEFT(KF200,FIND("·",KF200)-1),$K$200:$K$207,0)),0),0),0)+IFERROR(IF(COUNTIF($C$200:$C$207,LEFT(KF200,FIND("·",KF200)-1))&gt;0,IF(INDEX($D$200:$D$207,MATCH(LEFT(KF200,FIND("·",KF200)-1),$C$200:$C$207,0))=IFERROR(VALUE(MID(KF200,FIND("·",KF200)+1,1)),0),($D$20+(INDEX($E$200:$E$207,MATCH(LEFT(KF200,FIND("·",KF200)-1),$C$200:$C$207,0))=MID(KF200,FIND("|",KF200)+1,10))*$D$22+MAX(0,IF($D$50=1,$D$21*(1-(ABS(INDEX($Q$200:$Q$207,MATCH(LEFT(KF200,FIND("·",KF200)-1),$C$200:$C$207,0))-(VALUE(MID(KF200,FIND("|",KF200)+1,FIND("-",KF200,FIND("|",KF200))-FIND("|",KF200)-1))-VALUE(MID(KF200,FIND("-",KF200,FIND("|",KF200))+1,10)))))*$D$50),$D$21*(1-(IF(INDEX($D$200:$D$207,MATCH(LEFT(KF200,FIND("·",KF200)-1),$C$200:$C$207,0))=0,ABS(INDEX($A$200:$A$207,MATCH(LEFT(KF200,FIND("·",KF200)-1),$C$200:$C$207,0))-VALUE(MID(KF200,FIND("|",KF200)+1,FIND("-",KF200,FIND("|",KF200))-FIND("|",KF200)-1))),ABS(INDEX($Q$200:$Q$207,MATCH(LEFT(KF200,FIND("·",KF200)-1),$C$200:$C$207,0))-(VALUE(MID(KF200,FIND("|",KF200)+1,FIND("-",KF200,FIND("|",KF200))-FIND("|",KF200)-1))-VALUE(MID(KF200,FIND("-",KF200,FIND("|",KF200))+1,10)))))*$D$50)))))*INDEX($I$200:$I$207,MATCH(LEFT(KF200,FIND("·",KF200)-1),$C$200:$C$207,0)),0),0),0)</f>
        <v>0</v>
      </c>
      <c r="KH200" s="110"/>
      <c r="KI200" s="66" t="str">
        <f>Idiomas!$D$368</f>
        <v>Paste Values Round of 16'</v>
      </c>
      <c r="KJ200" s="85">
        <f t="shared" ref="KJ200" ca="1" si="1846">IFERROR(IF(COUNTIF($K$200:$K$207,LEFT(KI200,FIND("·",KI200)-1))&gt;0,IF(INDEX($L$200:$L$207,MATCH(LEFT(KI200,FIND("·",KI200)-1),$K$200:$K$207,0))=IFERROR(VALUE(MID(KI200,FIND("·",KI200)+1,1)),0),($D$20+(INDEX($M$200:$M$207,MATCH(LEFT(KI200,FIND("·",KI200)-1),$K$200:$K$207,0))=MID(KI200,FIND("|",KI200)+1,10))*$D$22+MAX(0,IF($D$50=1,$D$21*(1-(ABS(INDEX($P$200:$P$207,MATCH(LEFT(KI200,FIND("·",KI200)-1),$K$200:$K$207,0))-(VALUE(MID(KI200,FIND("|",KI200)+1,FIND("-",KI200,FIND("|",KI200))-FIND("|",KI200)-1))-VALUE(MID(KI200,FIND("-",KI200,FIND("|",KI200))+1,10)))))*$D$50),$D$21*(1-(IF(INDEX($L$200:$L$207,MATCH(LEFT(KI200,FIND("·",KI200)-1),$K$200:$K$207,0))=0,ABS(INDEX($N$200:$N$207,MATCH(LEFT(KI200,FIND("·",KI200)-1),$K$200:$K$207,0))-VALUE(MID(KI200,FIND("|",KI200)+1,FIND("-",KI200,FIND("|",KI200))-FIND("|",KI200)-1))),ABS(INDEX($P$200:$P$207,MATCH(LEFT(KI200,FIND("·",KI200)-1),$K$200:$K$207,0))-(VALUE(MID(KI200,FIND("|",KI200)+1,FIND("-",KI200,FIND("|",KI200))-FIND("|",KI200)-1))-VALUE(MID(KI200,FIND("-",KI200,FIND("|",KI200))+1,10)))))*$D$50)))))*INDEX($I$200:$I$207,MATCH(LEFT(KI200,FIND("·",KI200)-1),$K$200:$K$207,0)),0),0),0)+IFERROR(IF(COUNTIF($C$200:$C$207,LEFT(KI200,FIND("·",KI200)-1))&gt;0,IF(INDEX($D$200:$D$207,MATCH(LEFT(KI200,FIND("·",KI200)-1),$C$200:$C$207,0))=IFERROR(VALUE(MID(KI200,FIND("·",KI200)+1,1)),0),($D$20+(INDEX($E$200:$E$207,MATCH(LEFT(KI200,FIND("·",KI200)-1),$C$200:$C$207,0))=MID(KI200,FIND("|",KI200)+1,10))*$D$22+MAX(0,IF($D$50=1,$D$21*(1-(ABS(INDEX($Q$200:$Q$207,MATCH(LEFT(KI200,FIND("·",KI200)-1),$C$200:$C$207,0))-(VALUE(MID(KI200,FIND("|",KI200)+1,FIND("-",KI200,FIND("|",KI200))-FIND("|",KI200)-1))-VALUE(MID(KI200,FIND("-",KI200,FIND("|",KI200))+1,10)))))*$D$50),$D$21*(1-(IF(INDEX($D$200:$D$207,MATCH(LEFT(KI200,FIND("·",KI200)-1),$C$200:$C$207,0))=0,ABS(INDEX($A$200:$A$207,MATCH(LEFT(KI200,FIND("·",KI200)-1),$C$200:$C$207,0))-VALUE(MID(KI200,FIND("|",KI200)+1,FIND("-",KI200,FIND("|",KI200))-FIND("|",KI200)-1))),ABS(INDEX($Q$200:$Q$207,MATCH(LEFT(KI200,FIND("·",KI200)-1),$C$200:$C$207,0))-(VALUE(MID(KI200,FIND("|",KI200)+1,FIND("-",KI200,FIND("|",KI200))-FIND("|",KI200)-1))-VALUE(MID(KI200,FIND("-",KI200,FIND("|",KI200))+1,10)))))*$D$50)))))*INDEX($I$200:$I$207,MATCH(LEFT(KI200,FIND("·",KI200)-1),$C$200:$C$207,0)),0),0),0)</f>
        <v>0</v>
      </c>
      <c r="KK200" s="110"/>
      <c r="KL200" s="66" t="str">
        <f>Idiomas!$D$368</f>
        <v>Paste Values Round of 16'</v>
      </c>
      <c r="KM200" s="85">
        <f t="shared" ref="KM200" ca="1" si="1847">IFERROR(IF(COUNTIF($K$200:$K$207,LEFT(KL200,FIND("·",KL200)-1))&gt;0,IF(INDEX($L$200:$L$207,MATCH(LEFT(KL200,FIND("·",KL200)-1),$K$200:$K$207,0))=IFERROR(VALUE(MID(KL200,FIND("·",KL200)+1,1)),0),($D$20+(INDEX($M$200:$M$207,MATCH(LEFT(KL200,FIND("·",KL200)-1),$K$200:$K$207,0))=MID(KL200,FIND("|",KL200)+1,10))*$D$22+MAX(0,IF($D$50=1,$D$21*(1-(ABS(INDEX($P$200:$P$207,MATCH(LEFT(KL200,FIND("·",KL200)-1),$K$200:$K$207,0))-(VALUE(MID(KL200,FIND("|",KL200)+1,FIND("-",KL200,FIND("|",KL200))-FIND("|",KL200)-1))-VALUE(MID(KL200,FIND("-",KL200,FIND("|",KL200))+1,10)))))*$D$50),$D$21*(1-(IF(INDEX($L$200:$L$207,MATCH(LEFT(KL200,FIND("·",KL200)-1),$K$200:$K$207,0))=0,ABS(INDEX($N$200:$N$207,MATCH(LEFT(KL200,FIND("·",KL200)-1),$K$200:$K$207,0))-VALUE(MID(KL200,FIND("|",KL200)+1,FIND("-",KL200,FIND("|",KL200))-FIND("|",KL200)-1))),ABS(INDEX($P$200:$P$207,MATCH(LEFT(KL200,FIND("·",KL200)-1),$K$200:$K$207,0))-(VALUE(MID(KL200,FIND("|",KL200)+1,FIND("-",KL200,FIND("|",KL200))-FIND("|",KL200)-1))-VALUE(MID(KL200,FIND("-",KL200,FIND("|",KL200))+1,10)))))*$D$50)))))*INDEX($I$200:$I$207,MATCH(LEFT(KL200,FIND("·",KL200)-1),$K$200:$K$207,0)),0),0),0)+IFERROR(IF(COUNTIF($C$200:$C$207,LEFT(KL200,FIND("·",KL200)-1))&gt;0,IF(INDEX($D$200:$D$207,MATCH(LEFT(KL200,FIND("·",KL200)-1),$C$200:$C$207,0))=IFERROR(VALUE(MID(KL200,FIND("·",KL200)+1,1)),0),($D$20+(INDEX($E$200:$E$207,MATCH(LEFT(KL200,FIND("·",KL200)-1),$C$200:$C$207,0))=MID(KL200,FIND("|",KL200)+1,10))*$D$22+MAX(0,IF($D$50=1,$D$21*(1-(ABS(INDEX($Q$200:$Q$207,MATCH(LEFT(KL200,FIND("·",KL200)-1),$C$200:$C$207,0))-(VALUE(MID(KL200,FIND("|",KL200)+1,FIND("-",KL200,FIND("|",KL200))-FIND("|",KL200)-1))-VALUE(MID(KL200,FIND("-",KL200,FIND("|",KL200))+1,10)))))*$D$50),$D$21*(1-(IF(INDEX($D$200:$D$207,MATCH(LEFT(KL200,FIND("·",KL200)-1),$C$200:$C$207,0))=0,ABS(INDEX($A$200:$A$207,MATCH(LEFT(KL200,FIND("·",KL200)-1),$C$200:$C$207,0))-VALUE(MID(KL200,FIND("|",KL200)+1,FIND("-",KL200,FIND("|",KL200))-FIND("|",KL200)-1))),ABS(INDEX($Q$200:$Q$207,MATCH(LEFT(KL200,FIND("·",KL200)-1),$C$200:$C$207,0))-(VALUE(MID(KL200,FIND("|",KL200)+1,FIND("-",KL200,FIND("|",KL200))-FIND("|",KL200)-1))-VALUE(MID(KL200,FIND("-",KL200,FIND("|",KL200))+1,10)))))*$D$50)))))*INDEX($I$200:$I$207,MATCH(LEFT(KL200,FIND("·",KL200)-1),$C$200:$C$207,0)),0),0),0)</f>
        <v>0</v>
      </c>
      <c r="KN200" s="110"/>
      <c r="KO200" s="66" t="str">
        <f>Idiomas!$D$368</f>
        <v>Paste Values Round of 16'</v>
      </c>
      <c r="KP200" s="85">
        <f t="shared" ref="KP200" ca="1" si="1848">IFERROR(IF(COUNTIF($K$200:$K$207,LEFT(KO200,FIND("·",KO200)-1))&gt;0,IF(INDEX($L$200:$L$207,MATCH(LEFT(KO200,FIND("·",KO200)-1),$K$200:$K$207,0))=IFERROR(VALUE(MID(KO200,FIND("·",KO200)+1,1)),0),($D$20+(INDEX($M$200:$M$207,MATCH(LEFT(KO200,FIND("·",KO200)-1),$K$200:$K$207,0))=MID(KO200,FIND("|",KO200)+1,10))*$D$22+MAX(0,IF($D$50=1,$D$21*(1-(ABS(INDEX($P$200:$P$207,MATCH(LEFT(KO200,FIND("·",KO200)-1),$K$200:$K$207,0))-(VALUE(MID(KO200,FIND("|",KO200)+1,FIND("-",KO200,FIND("|",KO200))-FIND("|",KO200)-1))-VALUE(MID(KO200,FIND("-",KO200,FIND("|",KO200))+1,10)))))*$D$50),$D$21*(1-(IF(INDEX($L$200:$L$207,MATCH(LEFT(KO200,FIND("·",KO200)-1),$K$200:$K$207,0))=0,ABS(INDEX($N$200:$N$207,MATCH(LEFT(KO200,FIND("·",KO200)-1),$K$200:$K$207,0))-VALUE(MID(KO200,FIND("|",KO200)+1,FIND("-",KO200,FIND("|",KO200))-FIND("|",KO200)-1))),ABS(INDEX($P$200:$P$207,MATCH(LEFT(KO200,FIND("·",KO200)-1),$K$200:$K$207,0))-(VALUE(MID(KO200,FIND("|",KO200)+1,FIND("-",KO200,FIND("|",KO200))-FIND("|",KO200)-1))-VALUE(MID(KO200,FIND("-",KO200,FIND("|",KO200))+1,10)))))*$D$50)))))*INDEX($I$200:$I$207,MATCH(LEFT(KO200,FIND("·",KO200)-1),$K$200:$K$207,0)),0),0),0)+IFERROR(IF(COUNTIF($C$200:$C$207,LEFT(KO200,FIND("·",KO200)-1))&gt;0,IF(INDEX($D$200:$D$207,MATCH(LEFT(KO200,FIND("·",KO200)-1),$C$200:$C$207,0))=IFERROR(VALUE(MID(KO200,FIND("·",KO200)+1,1)),0),($D$20+(INDEX($E$200:$E$207,MATCH(LEFT(KO200,FIND("·",KO200)-1),$C$200:$C$207,0))=MID(KO200,FIND("|",KO200)+1,10))*$D$22+MAX(0,IF($D$50=1,$D$21*(1-(ABS(INDEX($Q$200:$Q$207,MATCH(LEFT(KO200,FIND("·",KO200)-1),$C$200:$C$207,0))-(VALUE(MID(KO200,FIND("|",KO200)+1,FIND("-",KO200,FIND("|",KO200))-FIND("|",KO200)-1))-VALUE(MID(KO200,FIND("-",KO200,FIND("|",KO200))+1,10)))))*$D$50),$D$21*(1-(IF(INDEX($D$200:$D$207,MATCH(LEFT(KO200,FIND("·",KO200)-1),$C$200:$C$207,0))=0,ABS(INDEX($A$200:$A$207,MATCH(LEFT(KO200,FIND("·",KO200)-1),$C$200:$C$207,0))-VALUE(MID(KO200,FIND("|",KO200)+1,FIND("-",KO200,FIND("|",KO200))-FIND("|",KO200)-1))),ABS(INDEX($Q$200:$Q$207,MATCH(LEFT(KO200,FIND("·",KO200)-1),$C$200:$C$207,0))-(VALUE(MID(KO200,FIND("|",KO200)+1,FIND("-",KO200,FIND("|",KO200))-FIND("|",KO200)-1))-VALUE(MID(KO200,FIND("-",KO200,FIND("|",KO200))+1,10)))))*$D$50)))))*INDEX($I$200:$I$207,MATCH(LEFT(KO200,FIND("·",KO200)-1),$C$200:$C$207,0)),0),0),0)</f>
        <v>0</v>
      </c>
      <c r="KQ200" s="110"/>
      <c r="KR200" s="66" t="str">
        <f>Idiomas!$D$368</f>
        <v>Paste Values Round of 16'</v>
      </c>
      <c r="KS200" s="85">
        <f t="shared" ref="KS200" ca="1" si="1849">IFERROR(IF(COUNTIF($K$200:$K$207,LEFT(KR200,FIND("·",KR200)-1))&gt;0,IF(INDEX($L$200:$L$207,MATCH(LEFT(KR200,FIND("·",KR200)-1),$K$200:$K$207,0))=IFERROR(VALUE(MID(KR200,FIND("·",KR200)+1,1)),0),($D$20+(INDEX($M$200:$M$207,MATCH(LEFT(KR200,FIND("·",KR200)-1),$K$200:$K$207,0))=MID(KR200,FIND("|",KR200)+1,10))*$D$22+MAX(0,IF($D$50=1,$D$21*(1-(ABS(INDEX($P$200:$P$207,MATCH(LEFT(KR200,FIND("·",KR200)-1),$K$200:$K$207,0))-(VALUE(MID(KR200,FIND("|",KR200)+1,FIND("-",KR200,FIND("|",KR200))-FIND("|",KR200)-1))-VALUE(MID(KR200,FIND("-",KR200,FIND("|",KR200))+1,10)))))*$D$50),$D$21*(1-(IF(INDEX($L$200:$L$207,MATCH(LEFT(KR200,FIND("·",KR200)-1),$K$200:$K$207,0))=0,ABS(INDEX($N$200:$N$207,MATCH(LEFT(KR200,FIND("·",KR200)-1),$K$200:$K$207,0))-VALUE(MID(KR200,FIND("|",KR200)+1,FIND("-",KR200,FIND("|",KR200))-FIND("|",KR200)-1))),ABS(INDEX($P$200:$P$207,MATCH(LEFT(KR200,FIND("·",KR200)-1),$K$200:$K$207,0))-(VALUE(MID(KR200,FIND("|",KR200)+1,FIND("-",KR200,FIND("|",KR200))-FIND("|",KR200)-1))-VALUE(MID(KR200,FIND("-",KR200,FIND("|",KR200))+1,10)))))*$D$50)))))*INDEX($I$200:$I$207,MATCH(LEFT(KR200,FIND("·",KR200)-1),$K$200:$K$207,0)),0),0),0)+IFERROR(IF(COUNTIF($C$200:$C$207,LEFT(KR200,FIND("·",KR200)-1))&gt;0,IF(INDEX($D$200:$D$207,MATCH(LEFT(KR200,FIND("·",KR200)-1),$C$200:$C$207,0))=IFERROR(VALUE(MID(KR200,FIND("·",KR200)+1,1)),0),($D$20+(INDEX($E$200:$E$207,MATCH(LEFT(KR200,FIND("·",KR200)-1),$C$200:$C$207,0))=MID(KR200,FIND("|",KR200)+1,10))*$D$22+MAX(0,IF($D$50=1,$D$21*(1-(ABS(INDEX($Q$200:$Q$207,MATCH(LEFT(KR200,FIND("·",KR200)-1),$C$200:$C$207,0))-(VALUE(MID(KR200,FIND("|",KR200)+1,FIND("-",KR200,FIND("|",KR200))-FIND("|",KR200)-1))-VALUE(MID(KR200,FIND("-",KR200,FIND("|",KR200))+1,10)))))*$D$50),$D$21*(1-(IF(INDEX($D$200:$D$207,MATCH(LEFT(KR200,FIND("·",KR200)-1),$C$200:$C$207,0))=0,ABS(INDEX($A$200:$A$207,MATCH(LEFT(KR200,FIND("·",KR200)-1),$C$200:$C$207,0))-VALUE(MID(KR200,FIND("|",KR200)+1,FIND("-",KR200,FIND("|",KR200))-FIND("|",KR200)-1))),ABS(INDEX($Q$200:$Q$207,MATCH(LEFT(KR200,FIND("·",KR200)-1),$C$200:$C$207,0))-(VALUE(MID(KR200,FIND("|",KR200)+1,FIND("-",KR200,FIND("|",KR200))-FIND("|",KR200)-1))-VALUE(MID(KR200,FIND("-",KR200,FIND("|",KR200))+1,10)))))*$D$50)))))*INDEX($I$200:$I$207,MATCH(LEFT(KR200,FIND("·",KR200)-1),$C$200:$C$207,0)),0),0),0)</f>
        <v>0</v>
      </c>
      <c r="KT200" s="110"/>
      <c r="KU200" s="66" t="str">
        <f>Idiomas!$D$368</f>
        <v>Paste Values Round of 16'</v>
      </c>
      <c r="KV200" s="85">
        <f t="shared" ref="KV200" ca="1" si="1850">IFERROR(IF(COUNTIF($K$200:$K$207,LEFT(KU200,FIND("·",KU200)-1))&gt;0,IF(INDEX($L$200:$L$207,MATCH(LEFT(KU200,FIND("·",KU200)-1),$K$200:$K$207,0))=IFERROR(VALUE(MID(KU200,FIND("·",KU200)+1,1)),0),($D$20+(INDEX($M$200:$M$207,MATCH(LEFT(KU200,FIND("·",KU200)-1),$K$200:$K$207,0))=MID(KU200,FIND("|",KU200)+1,10))*$D$22+MAX(0,IF($D$50=1,$D$21*(1-(ABS(INDEX($P$200:$P$207,MATCH(LEFT(KU200,FIND("·",KU200)-1),$K$200:$K$207,0))-(VALUE(MID(KU200,FIND("|",KU200)+1,FIND("-",KU200,FIND("|",KU200))-FIND("|",KU200)-1))-VALUE(MID(KU200,FIND("-",KU200,FIND("|",KU200))+1,10)))))*$D$50),$D$21*(1-(IF(INDEX($L$200:$L$207,MATCH(LEFT(KU200,FIND("·",KU200)-1),$K$200:$K$207,0))=0,ABS(INDEX($N$200:$N$207,MATCH(LEFT(KU200,FIND("·",KU200)-1),$K$200:$K$207,0))-VALUE(MID(KU200,FIND("|",KU200)+1,FIND("-",KU200,FIND("|",KU200))-FIND("|",KU200)-1))),ABS(INDEX($P$200:$P$207,MATCH(LEFT(KU200,FIND("·",KU200)-1),$K$200:$K$207,0))-(VALUE(MID(KU200,FIND("|",KU200)+1,FIND("-",KU200,FIND("|",KU200))-FIND("|",KU200)-1))-VALUE(MID(KU200,FIND("-",KU200,FIND("|",KU200))+1,10)))))*$D$50)))))*INDEX($I$200:$I$207,MATCH(LEFT(KU200,FIND("·",KU200)-1),$K$200:$K$207,0)),0),0),0)+IFERROR(IF(COUNTIF($C$200:$C$207,LEFT(KU200,FIND("·",KU200)-1))&gt;0,IF(INDEX($D$200:$D$207,MATCH(LEFT(KU200,FIND("·",KU200)-1),$C$200:$C$207,0))=IFERROR(VALUE(MID(KU200,FIND("·",KU200)+1,1)),0),($D$20+(INDEX($E$200:$E$207,MATCH(LEFT(KU200,FIND("·",KU200)-1),$C$200:$C$207,0))=MID(KU200,FIND("|",KU200)+1,10))*$D$22+MAX(0,IF($D$50=1,$D$21*(1-(ABS(INDEX($Q$200:$Q$207,MATCH(LEFT(KU200,FIND("·",KU200)-1),$C$200:$C$207,0))-(VALUE(MID(KU200,FIND("|",KU200)+1,FIND("-",KU200,FIND("|",KU200))-FIND("|",KU200)-1))-VALUE(MID(KU200,FIND("-",KU200,FIND("|",KU200))+1,10)))))*$D$50),$D$21*(1-(IF(INDEX($D$200:$D$207,MATCH(LEFT(KU200,FIND("·",KU200)-1),$C$200:$C$207,0))=0,ABS(INDEX($A$200:$A$207,MATCH(LEFT(KU200,FIND("·",KU200)-1),$C$200:$C$207,0))-VALUE(MID(KU200,FIND("|",KU200)+1,FIND("-",KU200,FIND("|",KU200))-FIND("|",KU200)-1))),ABS(INDEX($Q$200:$Q$207,MATCH(LEFT(KU200,FIND("·",KU200)-1),$C$200:$C$207,0))-(VALUE(MID(KU200,FIND("|",KU200)+1,FIND("-",KU200,FIND("|",KU200))-FIND("|",KU200)-1))-VALUE(MID(KU200,FIND("-",KU200,FIND("|",KU200))+1,10)))))*$D$50)))))*INDEX($I$200:$I$207,MATCH(LEFT(KU200,FIND("·",KU200)-1),$C$200:$C$207,0)),0),0),0)</f>
        <v>0</v>
      </c>
      <c r="KW200" s="110"/>
      <c r="KX200" s="66" t="str">
        <f>Idiomas!$D$368</f>
        <v>Paste Values Round of 16'</v>
      </c>
      <c r="KY200" s="85">
        <f t="shared" ref="KY200" ca="1" si="1851">IFERROR(IF(COUNTIF($K$200:$K$207,LEFT(KX200,FIND("·",KX200)-1))&gt;0,IF(INDEX($L$200:$L$207,MATCH(LEFT(KX200,FIND("·",KX200)-1),$K$200:$K$207,0))=IFERROR(VALUE(MID(KX200,FIND("·",KX200)+1,1)),0),($D$20+(INDEX($M$200:$M$207,MATCH(LEFT(KX200,FIND("·",KX200)-1),$K$200:$K$207,0))=MID(KX200,FIND("|",KX200)+1,10))*$D$22+MAX(0,IF($D$50=1,$D$21*(1-(ABS(INDEX($P$200:$P$207,MATCH(LEFT(KX200,FIND("·",KX200)-1),$K$200:$K$207,0))-(VALUE(MID(KX200,FIND("|",KX200)+1,FIND("-",KX200,FIND("|",KX200))-FIND("|",KX200)-1))-VALUE(MID(KX200,FIND("-",KX200,FIND("|",KX200))+1,10)))))*$D$50),$D$21*(1-(IF(INDEX($L$200:$L$207,MATCH(LEFT(KX200,FIND("·",KX200)-1),$K$200:$K$207,0))=0,ABS(INDEX($N$200:$N$207,MATCH(LEFT(KX200,FIND("·",KX200)-1),$K$200:$K$207,0))-VALUE(MID(KX200,FIND("|",KX200)+1,FIND("-",KX200,FIND("|",KX200))-FIND("|",KX200)-1))),ABS(INDEX($P$200:$P$207,MATCH(LEFT(KX200,FIND("·",KX200)-1),$K$200:$K$207,0))-(VALUE(MID(KX200,FIND("|",KX200)+1,FIND("-",KX200,FIND("|",KX200))-FIND("|",KX200)-1))-VALUE(MID(KX200,FIND("-",KX200,FIND("|",KX200))+1,10)))))*$D$50)))))*INDEX($I$200:$I$207,MATCH(LEFT(KX200,FIND("·",KX200)-1),$K$200:$K$207,0)),0),0),0)+IFERROR(IF(COUNTIF($C$200:$C$207,LEFT(KX200,FIND("·",KX200)-1))&gt;0,IF(INDEX($D$200:$D$207,MATCH(LEFT(KX200,FIND("·",KX200)-1),$C$200:$C$207,0))=IFERROR(VALUE(MID(KX200,FIND("·",KX200)+1,1)),0),($D$20+(INDEX($E$200:$E$207,MATCH(LEFT(KX200,FIND("·",KX200)-1),$C$200:$C$207,0))=MID(KX200,FIND("|",KX200)+1,10))*$D$22+MAX(0,IF($D$50=1,$D$21*(1-(ABS(INDEX($Q$200:$Q$207,MATCH(LEFT(KX200,FIND("·",KX200)-1),$C$200:$C$207,0))-(VALUE(MID(KX200,FIND("|",KX200)+1,FIND("-",KX200,FIND("|",KX200))-FIND("|",KX200)-1))-VALUE(MID(KX200,FIND("-",KX200,FIND("|",KX200))+1,10)))))*$D$50),$D$21*(1-(IF(INDEX($D$200:$D$207,MATCH(LEFT(KX200,FIND("·",KX200)-1),$C$200:$C$207,0))=0,ABS(INDEX($A$200:$A$207,MATCH(LEFT(KX200,FIND("·",KX200)-1),$C$200:$C$207,0))-VALUE(MID(KX200,FIND("|",KX200)+1,FIND("-",KX200,FIND("|",KX200))-FIND("|",KX200)-1))),ABS(INDEX($Q$200:$Q$207,MATCH(LEFT(KX200,FIND("·",KX200)-1),$C$200:$C$207,0))-(VALUE(MID(KX200,FIND("|",KX200)+1,FIND("-",KX200,FIND("|",KX200))-FIND("|",KX200)-1))-VALUE(MID(KX200,FIND("-",KX200,FIND("|",KX200))+1,10)))))*$D$50)))))*INDEX($I$200:$I$207,MATCH(LEFT(KX200,FIND("·",KX200)-1),$C$200:$C$207,0)),0),0),0)</f>
        <v>0</v>
      </c>
      <c r="KZ200" s="110"/>
      <c r="LA200" s="66" t="str">
        <f>Idiomas!$D$368</f>
        <v>Paste Values Round of 16'</v>
      </c>
      <c r="LB200" s="85">
        <f t="shared" ref="LB200" ca="1" si="1852">IFERROR(IF(COUNTIF($K$200:$K$207,LEFT(LA200,FIND("·",LA200)-1))&gt;0,IF(INDEX($L$200:$L$207,MATCH(LEFT(LA200,FIND("·",LA200)-1),$K$200:$K$207,0))=IFERROR(VALUE(MID(LA200,FIND("·",LA200)+1,1)),0),($D$20+(INDEX($M$200:$M$207,MATCH(LEFT(LA200,FIND("·",LA200)-1),$K$200:$K$207,0))=MID(LA200,FIND("|",LA200)+1,10))*$D$22+MAX(0,IF($D$50=1,$D$21*(1-(ABS(INDEX($P$200:$P$207,MATCH(LEFT(LA200,FIND("·",LA200)-1),$K$200:$K$207,0))-(VALUE(MID(LA200,FIND("|",LA200)+1,FIND("-",LA200,FIND("|",LA200))-FIND("|",LA200)-1))-VALUE(MID(LA200,FIND("-",LA200,FIND("|",LA200))+1,10)))))*$D$50),$D$21*(1-(IF(INDEX($L$200:$L$207,MATCH(LEFT(LA200,FIND("·",LA200)-1),$K$200:$K$207,0))=0,ABS(INDEX($N$200:$N$207,MATCH(LEFT(LA200,FIND("·",LA200)-1),$K$200:$K$207,0))-VALUE(MID(LA200,FIND("|",LA200)+1,FIND("-",LA200,FIND("|",LA200))-FIND("|",LA200)-1))),ABS(INDEX($P$200:$P$207,MATCH(LEFT(LA200,FIND("·",LA200)-1),$K$200:$K$207,0))-(VALUE(MID(LA200,FIND("|",LA200)+1,FIND("-",LA200,FIND("|",LA200))-FIND("|",LA200)-1))-VALUE(MID(LA200,FIND("-",LA200,FIND("|",LA200))+1,10)))))*$D$50)))))*INDEX($I$200:$I$207,MATCH(LEFT(LA200,FIND("·",LA200)-1),$K$200:$K$207,0)),0),0),0)+IFERROR(IF(COUNTIF($C$200:$C$207,LEFT(LA200,FIND("·",LA200)-1))&gt;0,IF(INDEX($D$200:$D$207,MATCH(LEFT(LA200,FIND("·",LA200)-1),$C$200:$C$207,0))=IFERROR(VALUE(MID(LA200,FIND("·",LA200)+1,1)),0),($D$20+(INDEX($E$200:$E$207,MATCH(LEFT(LA200,FIND("·",LA200)-1),$C$200:$C$207,0))=MID(LA200,FIND("|",LA200)+1,10))*$D$22+MAX(0,IF($D$50=1,$D$21*(1-(ABS(INDEX($Q$200:$Q$207,MATCH(LEFT(LA200,FIND("·",LA200)-1),$C$200:$C$207,0))-(VALUE(MID(LA200,FIND("|",LA200)+1,FIND("-",LA200,FIND("|",LA200))-FIND("|",LA200)-1))-VALUE(MID(LA200,FIND("-",LA200,FIND("|",LA200))+1,10)))))*$D$50),$D$21*(1-(IF(INDEX($D$200:$D$207,MATCH(LEFT(LA200,FIND("·",LA200)-1),$C$200:$C$207,0))=0,ABS(INDEX($A$200:$A$207,MATCH(LEFT(LA200,FIND("·",LA200)-1),$C$200:$C$207,0))-VALUE(MID(LA200,FIND("|",LA200)+1,FIND("-",LA200,FIND("|",LA200))-FIND("|",LA200)-1))),ABS(INDEX($Q$200:$Q$207,MATCH(LEFT(LA200,FIND("·",LA200)-1),$C$200:$C$207,0))-(VALUE(MID(LA200,FIND("|",LA200)+1,FIND("-",LA200,FIND("|",LA200))-FIND("|",LA200)-1))-VALUE(MID(LA200,FIND("-",LA200,FIND("|",LA200))+1,10)))))*$D$50)))))*INDEX($I$200:$I$207,MATCH(LEFT(LA200,FIND("·",LA200)-1),$C$200:$C$207,0)),0),0),0)</f>
        <v>0</v>
      </c>
      <c r="LC200" s="110"/>
      <c r="LD200" s="66" t="str">
        <f>Idiomas!$D$368</f>
        <v>Paste Values Round of 16'</v>
      </c>
      <c r="LE200" s="85">
        <f t="shared" ref="LE200" ca="1" si="1853">IFERROR(IF(COUNTIF($K$200:$K$207,LEFT(LD200,FIND("·",LD200)-1))&gt;0,IF(INDEX($L$200:$L$207,MATCH(LEFT(LD200,FIND("·",LD200)-1),$K$200:$K$207,0))=IFERROR(VALUE(MID(LD200,FIND("·",LD200)+1,1)),0),($D$20+(INDEX($M$200:$M$207,MATCH(LEFT(LD200,FIND("·",LD200)-1),$K$200:$K$207,0))=MID(LD200,FIND("|",LD200)+1,10))*$D$22+MAX(0,IF($D$50=1,$D$21*(1-(ABS(INDEX($P$200:$P$207,MATCH(LEFT(LD200,FIND("·",LD200)-1),$K$200:$K$207,0))-(VALUE(MID(LD200,FIND("|",LD200)+1,FIND("-",LD200,FIND("|",LD200))-FIND("|",LD200)-1))-VALUE(MID(LD200,FIND("-",LD200,FIND("|",LD200))+1,10)))))*$D$50),$D$21*(1-(IF(INDEX($L$200:$L$207,MATCH(LEFT(LD200,FIND("·",LD200)-1),$K$200:$K$207,0))=0,ABS(INDEX($N$200:$N$207,MATCH(LEFT(LD200,FIND("·",LD200)-1),$K$200:$K$207,0))-VALUE(MID(LD200,FIND("|",LD200)+1,FIND("-",LD200,FIND("|",LD200))-FIND("|",LD200)-1))),ABS(INDEX($P$200:$P$207,MATCH(LEFT(LD200,FIND("·",LD200)-1),$K$200:$K$207,0))-(VALUE(MID(LD200,FIND("|",LD200)+1,FIND("-",LD200,FIND("|",LD200))-FIND("|",LD200)-1))-VALUE(MID(LD200,FIND("-",LD200,FIND("|",LD200))+1,10)))))*$D$50)))))*INDEX($I$200:$I$207,MATCH(LEFT(LD200,FIND("·",LD200)-1),$K$200:$K$207,0)),0),0),0)+IFERROR(IF(COUNTIF($C$200:$C$207,LEFT(LD200,FIND("·",LD200)-1))&gt;0,IF(INDEX($D$200:$D$207,MATCH(LEFT(LD200,FIND("·",LD200)-1),$C$200:$C$207,0))=IFERROR(VALUE(MID(LD200,FIND("·",LD200)+1,1)),0),($D$20+(INDEX($E$200:$E$207,MATCH(LEFT(LD200,FIND("·",LD200)-1),$C$200:$C$207,0))=MID(LD200,FIND("|",LD200)+1,10))*$D$22+MAX(0,IF($D$50=1,$D$21*(1-(ABS(INDEX($Q$200:$Q$207,MATCH(LEFT(LD200,FIND("·",LD200)-1),$C$200:$C$207,0))-(VALUE(MID(LD200,FIND("|",LD200)+1,FIND("-",LD200,FIND("|",LD200))-FIND("|",LD200)-1))-VALUE(MID(LD200,FIND("-",LD200,FIND("|",LD200))+1,10)))))*$D$50),$D$21*(1-(IF(INDEX($D$200:$D$207,MATCH(LEFT(LD200,FIND("·",LD200)-1),$C$200:$C$207,0))=0,ABS(INDEX($A$200:$A$207,MATCH(LEFT(LD200,FIND("·",LD200)-1),$C$200:$C$207,0))-VALUE(MID(LD200,FIND("|",LD200)+1,FIND("-",LD200,FIND("|",LD200))-FIND("|",LD200)-1))),ABS(INDEX($Q$200:$Q$207,MATCH(LEFT(LD200,FIND("·",LD200)-1),$C$200:$C$207,0))-(VALUE(MID(LD200,FIND("|",LD200)+1,FIND("-",LD200,FIND("|",LD200))-FIND("|",LD200)-1))-VALUE(MID(LD200,FIND("-",LD200,FIND("|",LD200))+1,10)))))*$D$50)))))*INDEX($I$200:$I$207,MATCH(LEFT(LD200,FIND("·",LD200)-1),$C$200:$C$207,0)),0),0),0)</f>
        <v>0</v>
      </c>
      <c r="LF200" s="110"/>
      <c r="LG200" s="110"/>
    </row>
    <row r="201" spans="1:319">
      <c r="A201" s="25">
        <f>WORLDCUP!AD121</f>
        <v>1</v>
      </c>
      <c r="B201" s="25">
        <f>WORLDCUP!AC121</f>
        <v>0</v>
      </c>
      <c r="C201" s="25" t="str">
        <f ca="1">CONCATENATE(WORLDCUP!AF121,"-",WORLDCUP!AA121)</f>
        <v>France-Paraguay</v>
      </c>
      <c r="D201" s="25">
        <f>IF(WORLDCUP!AC121&gt;WORLDCUP!AD121,2,IF(WORLDCUP!AC121&lt;WORLDCUP!AD121,1,IF(AND(WORLDCUP!AC121=WORLDCUP!AD121,WORLDCUP!AC121&lt;&gt;"",WORLDCUP!AD121&lt;&gt;""),0,"PD")))</f>
        <v>1</v>
      </c>
      <c r="E201" s="25" t="str">
        <f>IF(OR(WORLDCUP!AD121="",WORLDCUP!AC121=""),"-",A201&amp;"-"&amp;B201)</f>
        <v>1-0</v>
      </c>
      <c r="F201" s="407">
        <f t="shared" ref="F201:F207" si="1854">SUM($D$20:$D$22)*I201</f>
        <v>20</v>
      </c>
      <c r="G201" s="407">
        <f ca="1">VLOOKUP(H201,Equipos!$Q$1:$R$25,2,0)</f>
        <v>21</v>
      </c>
      <c r="H201" s="65" t="str">
        <f>Idiomas!$D$261</f>
        <v>Round Of 16</v>
      </c>
      <c r="I201" s="43">
        <v>1</v>
      </c>
      <c r="J201" s="845"/>
      <c r="K201" s="56" t="str">
        <f ca="1">CONCATENATE(WORLDCUP!AA121,"-",WORLDCUP!AF121)</f>
        <v>Paraguay-France</v>
      </c>
      <c r="L201" s="53">
        <f>IF(OR(WORLDCUP!AC121="",WORLDCUP!AD121=""),"PD",IF(WORLDCUP!AC121&gt;WORLDCUP!AD121,1,IF(WORLDCUP!AC121&lt;WORLDCUP!AD121,2,0)))</f>
        <v>2</v>
      </c>
      <c r="M201" s="55" t="str">
        <f t="shared" si="1752"/>
        <v>0-1</v>
      </c>
      <c r="N201" s="25">
        <f>WORLDCUP!AC121</f>
        <v>0</v>
      </c>
      <c r="O201" s="25">
        <f>WORLDCUP!AD121</f>
        <v>1</v>
      </c>
      <c r="P201" s="25">
        <f t="shared" si="1753"/>
        <v>-1</v>
      </c>
      <c r="Q201" s="25">
        <f t="shared" si="1754"/>
        <v>1</v>
      </c>
      <c r="R201" s="110"/>
      <c r="S201" s="74" t="s">
        <v>1979</v>
      </c>
      <c r="T201" s="73">
        <f t="shared" ref="T201:T207" ca="1" si="1855">IFERROR(IF(COUNTIF($K$200:$K$207,LEFT(S201,FIND("·",S201)-1))&gt;0,IF(INDEX($L$200:$L$207,MATCH(LEFT(S201,FIND("·",S201)-1),$K$200:$K$207,0))=IFERROR(VALUE(MID(S201,FIND("·",S201)+1,1)),0),($D$20+(INDEX($M$200:$M$207,MATCH(LEFT(S201,FIND("·",S201)-1),$K$200:$K$207,0))=MID(S201,FIND("|",S201)+1,10))*$D$22+MAX(0,IF($D$50=1,$D$21*(1-(ABS(INDEX($P$200:$P$207,MATCH(LEFT(S201,FIND("·",S201)-1),$K$200:$K$207,0))-(VALUE(MID(S201,FIND("|",S201)+1,FIND("-",S201,FIND("|",S201))-FIND("|",S201)-1))-VALUE(MID(S201,FIND("-",S201,FIND("|",S201))+1,10)))))*$D$50),$D$21*(1-(IF(INDEX($L$200:$L$207,MATCH(LEFT(S201,FIND("·",S201)-1),$K$200:$K$207,0))=0,ABS(INDEX($N$200:$N$207,MATCH(LEFT(S201,FIND("·",S201)-1),$K$200:$K$207,0))-VALUE(MID(S201,FIND("|",S201)+1,FIND("-",S201,FIND("|",S201))-FIND("|",S201)-1))),ABS(INDEX($P$200:$P$207,MATCH(LEFT(S201,FIND("·",S201)-1),$K$200:$K$207,0))-(VALUE(MID(S201,FIND("|",S201)+1,FIND("-",S201,FIND("|",S201))-FIND("|",S201)-1))-VALUE(MID(S201,FIND("-",S201,FIND("|",S201))+1,10)))))*$D$50)))))*INDEX($I$200:$I$207,MATCH(LEFT(S201,FIND("·",S201)-1),$K$200:$K$207,0)),0),0),0)+IFERROR(IF(COUNTIF($C$200:$C$207,LEFT(S201,FIND("·",S201)-1))&gt;0,IF(INDEX($D$200:$D$207,MATCH(LEFT(S201,FIND("·",S201)-1),$C$200:$C$207,0))=IFERROR(VALUE(MID(S201,FIND("·",S201)+1,1)),0),($D$20+(INDEX($E$200:$E$207,MATCH(LEFT(S201,FIND("·",S201)-1),$C$200:$C$207,0))=MID(S201,FIND("|",S201)+1,10))*$D$22+MAX(0,IF($D$50=1,$D$21*(1-(ABS(INDEX($Q$200:$Q$207,MATCH(LEFT(S201,FIND("·",S201)-1),$C$200:$C$207,0))-(VALUE(MID(S201,FIND("|",S201)+1,FIND("-",S201,FIND("|",S201))-FIND("|",S201)-1))-VALUE(MID(S201,FIND("-",S201,FIND("|",S201))+1,10)))))*$D$50),$D$21*(1-(IF(INDEX($D$200:$D$207,MATCH(LEFT(S201,FIND("·",S201)-1),$C$200:$C$207,0))=0,ABS(INDEX($A$200:$A$207,MATCH(LEFT(S201,FIND("·",S201)-1),$C$200:$C$207,0))-VALUE(MID(S201,FIND("|",S201)+1,FIND("-",S201,FIND("|",S201))-FIND("|",S201)-1))),ABS(INDEX($Q$200:$Q$207,MATCH(LEFT(S201,FIND("·",S201)-1),$C$200:$C$207,0))-(VALUE(MID(S201,FIND("|",S201)+1,FIND("-",S201,FIND("|",S201))-FIND("|",S201)-1))-VALUE(MID(S201,FIND("-",S201,FIND("|",S201))+1,10)))))*$D$50)))))*INDEX($I$200:$I$207,MATCH(LEFT(S201,FIND("·",S201)-1),$C$200:$C$207,0)),0),0),0)</f>
        <v>0</v>
      </c>
      <c r="U201" s="110"/>
      <c r="V201" s="80" t="s">
        <v>2018</v>
      </c>
      <c r="W201" s="73">
        <f t="shared" ca="1" si="1755"/>
        <v>0</v>
      </c>
      <c r="X201" s="110"/>
      <c r="Y201" s="80" t="s">
        <v>2053</v>
      </c>
      <c r="Z201" s="73">
        <f t="shared" ca="1" si="1755"/>
        <v>0</v>
      </c>
      <c r="AA201" s="110"/>
      <c r="AB201" s="80" t="s">
        <v>2086</v>
      </c>
      <c r="AC201" s="73">
        <f t="shared" ca="1" si="1755"/>
        <v>0</v>
      </c>
      <c r="AD201" s="110"/>
      <c r="AE201" s="80" t="s">
        <v>2117</v>
      </c>
      <c r="AF201" s="73">
        <f t="shared" ca="1" si="1755"/>
        <v>0</v>
      </c>
      <c r="AG201" s="110"/>
      <c r="AH201" s="80" t="s">
        <v>2149</v>
      </c>
      <c r="AI201" s="73">
        <f t="shared" ca="1" si="1755"/>
        <v>0</v>
      </c>
      <c r="AJ201" s="110"/>
      <c r="AK201" s="80" t="s">
        <v>2117</v>
      </c>
      <c r="AL201" s="73">
        <f t="shared" ca="1" si="1755"/>
        <v>0</v>
      </c>
      <c r="AM201" s="110"/>
      <c r="AN201" s="80" t="s">
        <v>2205</v>
      </c>
      <c r="AO201" s="73">
        <f t="shared" ca="1" si="1755"/>
        <v>0</v>
      </c>
      <c r="AP201" s="110"/>
      <c r="AQ201" s="80" t="s">
        <v>2117</v>
      </c>
      <c r="AR201" s="73">
        <f t="shared" ca="1" si="1755"/>
        <v>0</v>
      </c>
      <c r="AS201" s="110"/>
      <c r="AT201" s="80" t="s">
        <v>2018</v>
      </c>
      <c r="AU201" s="73">
        <f t="shared" ca="1" si="1755"/>
        <v>0</v>
      </c>
      <c r="AV201" s="110"/>
      <c r="AW201" s="80" t="s">
        <v>2292</v>
      </c>
      <c r="AX201" s="73">
        <f t="shared" ca="1" si="1755"/>
        <v>0</v>
      </c>
      <c r="AY201" s="110"/>
      <c r="AZ201" s="80" t="s">
        <v>2117</v>
      </c>
      <c r="BA201" s="73">
        <f t="shared" ca="1" si="1755"/>
        <v>0</v>
      </c>
      <c r="BB201" s="110"/>
      <c r="BC201" s="80" t="s">
        <v>2117</v>
      </c>
      <c r="BD201" s="73">
        <f t="shared" ca="1" si="1755"/>
        <v>0</v>
      </c>
      <c r="BE201" s="110"/>
      <c r="BF201" s="80" t="s">
        <v>2358</v>
      </c>
      <c r="BG201" s="73">
        <f t="shared" ca="1" si="1755"/>
        <v>0</v>
      </c>
      <c r="BH201" s="110"/>
      <c r="BI201" s="80" t="s">
        <v>2385</v>
      </c>
      <c r="BJ201" s="73">
        <f t="shared" ca="1" si="1755"/>
        <v>0</v>
      </c>
      <c r="BK201" s="110"/>
      <c r="BL201" s="80" t="s">
        <v>2117</v>
      </c>
      <c r="BM201" s="73">
        <f t="shared" ca="1" si="1755"/>
        <v>0</v>
      </c>
      <c r="BN201" s="110"/>
      <c r="BO201" s="80" t="s">
        <v>2086</v>
      </c>
      <c r="BP201" s="73">
        <f t="shared" ca="1" si="1755"/>
        <v>0</v>
      </c>
      <c r="BQ201" s="110"/>
      <c r="BR201" s="80" t="s">
        <v>2454</v>
      </c>
      <c r="BS201" s="73">
        <f t="shared" ca="1" si="1755"/>
        <v>0</v>
      </c>
      <c r="BT201" s="110"/>
      <c r="BU201" s="80" t="s">
        <v>2117</v>
      </c>
      <c r="BV201" s="73">
        <f t="shared" ca="1" si="1755"/>
        <v>0</v>
      </c>
      <c r="BW201" s="110"/>
      <c r="BX201" s="80" t="s">
        <v>2149</v>
      </c>
      <c r="BY201" s="73">
        <f t="shared" ca="1" si="1755"/>
        <v>0</v>
      </c>
      <c r="BZ201" s="110"/>
      <c r="CA201" s="80" t="s">
        <v>2086</v>
      </c>
      <c r="CB201" s="73">
        <f t="shared" ca="1" si="1755"/>
        <v>0</v>
      </c>
      <c r="CC201" s="110"/>
      <c r="CD201" s="80" t="s">
        <v>2520</v>
      </c>
      <c r="CE201" s="73">
        <f t="shared" ca="1" si="1755"/>
        <v>0</v>
      </c>
      <c r="CF201" s="110"/>
      <c r="CG201" s="80" t="s">
        <v>2117</v>
      </c>
      <c r="CH201" s="73">
        <f t="shared" ca="1" si="1755"/>
        <v>0</v>
      </c>
      <c r="CI201" s="110"/>
      <c r="CJ201" s="80" t="s">
        <v>2558</v>
      </c>
      <c r="CK201" s="73">
        <f t="shared" ca="1" si="1777"/>
        <v>0</v>
      </c>
      <c r="CL201" s="110"/>
      <c r="CM201" s="80" t="s">
        <v>2149</v>
      </c>
      <c r="CN201" s="73">
        <f t="shared" ca="1" si="1777"/>
        <v>0</v>
      </c>
      <c r="CO201" s="110"/>
      <c r="CP201" s="80" t="s">
        <v>2149</v>
      </c>
      <c r="CQ201" s="73">
        <f t="shared" ca="1" si="1777"/>
        <v>0</v>
      </c>
      <c r="CR201" s="110"/>
      <c r="CS201" s="80" t="s">
        <v>2385</v>
      </c>
      <c r="CT201" s="73">
        <f t="shared" ca="1" si="1777"/>
        <v>0</v>
      </c>
      <c r="CU201" s="110"/>
      <c r="CV201" s="80" t="s">
        <v>2520</v>
      </c>
      <c r="CW201" s="73">
        <f t="shared" ca="1" si="1777"/>
        <v>0</v>
      </c>
      <c r="CX201" s="110"/>
      <c r="CY201" s="80" t="s">
        <v>2676</v>
      </c>
      <c r="CZ201" s="73">
        <f t="shared" ca="1" si="1777"/>
        <v>0</v>
      </c>
      <c r="DA201" s="110"/>
      <c r="DB201" s="80" t="s">
        <v>2086</v>
      </c>
      <c r="DC201" s="73">
        <f t="shared" ca="1" si="1777"/>
        <v>0</v>
      </c>
      <c r="DD201" s="110"/>
      <c r="DE201" s="80" t="s">
        <v>2117</v>
      </c>
      <c r="DF201" s="73">
        <f t="shared" ca="1" si="1777"/>
        <v>0</v>
      </c>
      <c r="DG201" s="110"/>
      <c r="DH201" s="80" t="s">
        <v>2520</v>
      </c>
      <c r="DI201" s="73">
        <f t="shared" ca="1" si="1777"/>
        <v>0</v>
      </c>
      <c r="DJ201" s="110"/>
      <c r="DK201" s="80" t="s">
        <v>2018</v>
      </c>
      <c r="DL201" s="73">
        <f t="shared" ca="1" si="1777"/>
        <v>0</v>
      </c>
      <c r="DM201" s="110"/>
      <c r="DN201" s="80" t="s">
        <v>2766</v>
      </c>
      <c r="DO201" s="73">
        <f t="shared" ca="1" si="1777"/>
        <v>0</v>
      </c>
      <c r="DP201" s="110"/>
      <c r="DQ201" s="80" t="s">
        <v>2018</v>
      </c>
      <c r="DR201" s="73">
        <f t="shared" ca="1" si="1777"/>
        <v>0</v>
      </c>
      <c r="DS201" s="110"/>
      <c r="DT201" s="80" t="s">
        <v>2117</v>
      </c>
      <c r="DU201" s="73">
        <f t="shared" ca="1" si="1777"/>
        <v>0</v>
      </c>
      <c r="DV201" s="110"/>
      <c r="DW201" s="80" t="s">
        <v>2358</v>
      </c>
      <c r="DX201" s="73">
        <f t="shared" ca="1" si="1777"/>
        <v>0</v>
      </c>
      <c r="DY201" s="110"/>
      <c r="DZ201" s="80" t="s">
        <v>2117</v>
      </c>
      <c r="EA201" s="73">
        <f t="shared" ca="1" si="1777"/>
        <v>0</v>
      </c>
      <c r="EB201" s="110"/>
      <c r="EC201" s="80" t="s">
        <v>2117</v>
      </c>
      <c r="ED201" s="73">
        <f t="shared" ca="1" si="1777"/>
        <v>0</v>
      </c>
      <c r="EE201" s="110"/>
      <c r="EF201" s="80" t="s">
        <v>2149</v>
      </c>
      <c r="EG201" s="73">
        <f t="shared" ca="1" si="1777"/>
        <v>0</v>
      </c>
      <c r="EH201" s="110"/>
      <c r="EI201" s="80" t="s">
        <v>2117</v>
      </c>
      <c r="EJ201" s="73">
        <f t="shared" ca="1" si="1777"/>
        <v>0</v>
      </c>
      <c r="EK201" s="110"/>
      <c r="EL201" s="80" t="s">
        <v>2117</v>
      </c>
      <c r="EM201" s="73">
        <f t="shared" ca="1" si="1777"/>
        <v>0</v>
      </c>
      <c r="EN201" s="110"/>
      <c r="EO201" s="80" t="s">
        <v>2884</v>
      </c>
      <c r="EP201" s="73">
        <f t="shared" ca="1" si="1777"/>
        <v>0</v>
      </c>
      <c r="EQ201" s="110"/>
      <c r="ER201" s="80" t="s">
        <v>2117</v>
      </c>
      <c r="ES201" s="73">
        <f t="shared" ca="1" si="1777"/>
        <v>0</v>
      </c>
      <c r="ET201" s="110"/>
      <c r="EU201" s="80" t="s">
        <v>2117</v>
      </c>
      <c r="EV201" s="73">
        <f t="shared" ca="1" si="1777"/>
        <v>0</v>
      </c>
      <c r="EW201" s="110"/>
      <c r="EX201" s="80" t="s">
        <v>2086</v>
      </c>
      <c r="EY201" s="73">
        <f t="shared" ca="1" si="1799"/>
        <v>0</v>
      </c>
      <c r="EZ201" s="110"/>
      <c r="FA201" s="80" t="s">
        <v>2117</v>
      </c>
      <c r="FB201" s="73">
        <f t="shared" ca="1" si="1799"/>
        <v>0</v>
      </c>
      <c r="FC201" s="110"/>
      <c r="FD201" s="80" t="s">
        <v>2942</v>
      </c>
      <c r="FE201" s="73">
        <f t="shared" ca="1" si="1799"/>
        <v>0</v>
      </c>
      <c r="FF201" s="110"/>
      <c r="FG201" s="80" t="s">
        <v>2956</v>
      </c>
      <c r="FH201" s="73">
        <f t="shared" ca="1" si="1799"/>
        <v>0</v>
      </c>
      <c r="FI201" s="110"/>
      <c r="FJ201" s="80" t="s">
        <v>2117</v>
      </c>
      <c r="FK201" s="73">
        <f t="shared" ca="1" si="1799"/>
        <v>0</v>
      </c>
      <c r="FL201" s="110"/>
      <c r="FM201" s="80" t="s">
        <v>2086</v>
      </c>
      <c r="FN201" s="73">
        <f t="shared" ca="1" si="1799"/>
        <v>0</v>
      </c>
      <c r="FO201" s="110"/>
      <c r="FP201" s="80" t="s">
        <v>2117</v>
      </c>
      <c r="FQ201" s="73">
        <f t="shared" ca="1" si="1799"/>
        <v>0</v>
      </c>
      <c r="FR201" s="110"/>
      <c r="FS201" s="80" t="s">
        <v>2149</v>
      </c>
      <c r="FT201" s="73">
        <f t="shared" ca="1" si="1799"/>
        <v>0</v>
      </c>
      <c r="FU201" s="110"/>
      <c r="FV201" s="80" t="s">
        <v>2018</v>
      </c>
      <c r="FW201" s="73">
        <f t="shared" ca="1" si="1799"/>
        <v>0</v>
      </c>
      <c r="FX201" s="110"/>
      <c r="FY201" s="80" t="s">
        <v>2117</v>
      </c>
      <c r="FZ201" s="73">
        <f t="shared" ca="1" si="1799"/>
        <v>0</v>
      </c>
      <c r="GA201" s="110"/>
      <c r="GB201" s="80" t="s">
        <v>2117</v>
      </c>
      <c r="GC201" s="73">
        <f t="shared" ca="1" si="1799"/>
        <v>0</v>
      </c>
      <c r="GD201" s="110"/>
      <c r="GE201" s="80" t="s">
        <v>2358</v>
      </c>
      <c r="GF201" s="73">
        <f t="shared" ca="1" si="1799"/>
        <v>0</v>
      </c>
      <c r="GG201" s="110"/>
      <c r="GH201" s="80" t="s">
        <v>2018</v>
      </c>
      <c r="GI201" s="73">
        <f t="shared" ca="1" si="1799"/>
        <v>0</v>
      </c>
      <c r="GJ201" s="110"/>
      <c r="GK201" s="80" t="s">
        <v>2358</v>
      </c>
      <c r="GL201" s="73">
        <f t="shared" ca="1" si="1799"/>
        <v>0</v>
      </c>
      <c r="GM201" s="110"/>
      <c r="GN201" s="80"/>
      <c r="GO201" s="73">
        <f t="shared" ca="1" si="1799"/>
        <v>0</v>
      </c>
      <c r="GP201" s="110"/>
      <c r="GQ201" s="80"/>
      <c r="GR201" s="73">
        <f t="shared" ca="1" si="1799"/>
        <v>0</v>
      </c>
      <c r="GS201" s="110"/>
      <c r="GT201" s="80"/>
      <c r="GU201" s="73">
        <f t="shared" ca="1" si="1799"/>
        <v>0</v>
      </c>
      <c r="GV201" s="110"/>
      <c r="GW201" s="80"/>
      <c r="GX201" s="73">
        <f t="shared" ca="1" si="1799"/>
        <v>0</v>
      </c>
      <c r="GY201" s="110"/>
      <c r="GZ201" s="80"/>
      <c r="HA201" s="73">
        <f t="shared" ca="1" si="1799"/>
        <v>0</v>
      </c>
      <c r="HB201" s="110"/>
      <c r="HC201" s="80"/>
      <c r="HD201" s="73">
        <f t="shared" ca="1" si="1799"/>
        <v>0</v>
      </c>
      <c r="HE201" s="110"/>
      <c r="HF201" s="80"/>
      <c r="HG201" s="73">
        <f t="shared" ca="1" si="1799"/>
        <v>0</v>
      </c>
      <c r="HH201" s="110"/>
      <c r="HI201" s="80"/>
      <c r="HJ201" s="73">
        <f t="shared" ca="1" si="1799"/>
        <v>0</v>
      </c>
      <c r="HK201" s="110"/>
      <c r="HL201" s="80"/>
      <c r="HM201" s="73">
        <f t="shared" ca="1" si="1821"/>
        <v>0</v>
      </c>
      <c r="HN201" s="110"/>
      <c r="HO201" s="80"/>
      <c r="HP201" s="73">
        <f t="shared" ca="1" si="1821"/>
        <v>0</v>
      </c>
      <c r="HQ201" s="110"/>
      <c r="HR201" s="80"/>
      <c r="HS201" s="73">
        <f t="shared" ca="1" si="1821"/>
        <v>0</v>
      </c>
      <c r="HT201" s="110"/>
      <c r="HU201" s="80"/>
      <c r="HV201" s="73">
        <f t="shared" ca="1" si="1821"/>
        <v>0</v>
      </c>
      <c r="HW201" s="110"/>
      <c r="HX201" s="80"/>
      <c r="HY201" s="73">
        <f t="shared" ca="1" si="1821"/>
        <v>0</v>
      </c>
      <c r="HZ201" s="110"/>
      <c r="IA201" s="80"/>
      <c r="IB201" s="73">
        <f t="shared" ca="1" si="1821"/>
        <v>0</v>
      </c>
      <c r="IC201" s="110"/>
      <c r="ID201" s="80"/>
      <c r="IE201" s="73">
        <f t="shared" ca="1" si="1821"/>
        <v>0</v>
      </c>
      <c r="IF201" s="110"/>
      <c r="IG201" s="80"/>
      <c r="IH201" s="73">
        <f t="shared" ca="1" si="1821"/>
        <v>0</v>
      </c>
      <c r="II201" s="110"/>
      <c r="IJ201" s="80"/>
      <c r="IK201" s="73">
        <f t="shared" ca="1" si="1821"/>
        <v>0</v>
      </c>
      <c r="IL201" s="110"/>
      <c r="IM201" s="80"/>
      <c r="IN201" s="73">
        <f t="shared" ca="1" si="1821"/>
        <v>0</v>
      </c>
      <c r="IO201" s="110"/>
      <c r="IP201" s="80"/>
      <c r="IQ201" s="73">
        <f t="shared" ca="1" si="1821"/>
        <v>0</v>
      </c>
      <c r="IR201" s="110"/>
      <c r="IS201" s="80"/>
      <c r="IT201" s="73">
        <f t="shared" ca="1" si="1821"/>
        <v>0</v>
      </c>
      <c r="IU201" s="110"/>
      <c r="IV201" s="80"/>
      <c r="IW201" s="73">
        <f t="shared" ca="1" si="1821"/>
        <v>0</v>
      </c>
      <c r="IX201" s="110"/>
      <c r="IY201" s="80"/>
      <c r="IZ201" s="73">
        <f t="shared" ca="1" si="1821"/>
        <v>0</v>
      </c>
      <c r="JA201" s="110"/>
      <c r="JB201" s="80"/>
      <c r="JC201" s="73">
        <f t="shared" ca="1" si="1821"/>
        <v>0</v>
      </c>
      <c r="JD201" s="110"/>
      <c r="JE201" s="80"/>
      <c r="JF201" s="73">
        <f t="shared" ca="1" si="1821"/>
        <v>0</v>
      </c>
      <c r="JG201" s="110"/>
      <c r="JH201" s="80"/>
      <c r="JI201" s="73">
        <f t="shared" ca="1" si="1821"/>
        <v>0</v>
      </c>
      <c r="JJ201" s="110"/>
      <c r="JK201" s="80"/>
      <c r="JL201" s="73">
        <f t="shared" ca="1" si="1821"/>
        <v>0</v>
      </c>
      <c r="JM201" s="110"/>
      <c r="JN201" s="80"/>
      <c r="JO201" s="73">
        <f t="shared" ca="1" si="1821"/>
        <v>0</v>
      </c>
      <c r="JP201" s="110"/>
      <c r="JQ201" s="80"/>
      <c r="JR201" s="73">
        <f t="shared" ca="1" si="1821"/>
        <v>0</v>
      </c>
      <c r="JS201" s="110"/>
      <c r="JT201" s="80"/>
      <c r="JU201" s="73">
        <f t="shared" ca="1" si="1821"/>
        <v>0</v>
      </c>
      <c r="JV201" s="110"/>
      <c r="JW201" s="80"/>
      <c r="JX201" s="73">
        <f t="shared" ca="1" si="1821"/>
        <v>0</v>
      </c>
      <c r="JY201" s="110"/>
      <c r="JZ201" s="80"/>
      <c r="KA201" s="73">
        <f t="shared" ca="1" si="1843"/>
        <v>0</v>
      </c>
      <c r="KB201" s="110"/>
      <c r="KC201" s="80"/>
      <c r="KD201" s="73">
        <f t="shared" ca="1" si="1843"/>
        <v>0</v>
      </c>
      <c r="KE201" s="110"/>
      <c r="KF201" s="80"/>
      <c r="KG201" s="73">
        <f t="shared" ca="1" si="1843"/>
        <v>0</v>
      </c>
      <c r="KH201" s="110"/>
      <c r="KI201" s="80"/>
      <c r="KJ201" s="73">
        <f t="shared" ca="1" si="1843"/>
        <v>0</v>
      </c>
      <c r="KK201" s="110"/>
      <c r="KL201" s="80"/>
      <c r="KM201" s="73">
        <f t="shared" ca="1" si="1843"/>
        <v>0</v>
      </c>
      <c r="KN201" s="110"/>
      <c r="KO201" s="80"/>
      <c r="KP201" s="73">
        <f t="shared" ca="1" si="1843"/>
        <v>0</v>
      </c>
      <c r="KQ201" s="110"/>
      <c r="KR201" s="80"/>
      <c r="KS201" s="73">
        <f t="shared" ca="1" si="1843"/>
        <v>0</v>
      </c>
      <c r="KT201" s="110"/>
      <c r="KU201" s="80"/>
      <c r="KV201" s="73">
        <f t="shared" ca="1" si="1843"/>
        <v>0</v>
      </c>
      <c r="KW201" s="110"/>
      <c r="KX201" s="80"/>
      <c r="KY201" s="73">
        <f t="shared" ca="1" si="1843"/>
        <v>0</v>
      </c>
      <c r="KZ201" s="110"/>
      <c r="LA201" s="80"/>
      <c r="LB201" s="73">
        <f t="shared" ca="1" si="1843"/>
        <v>0</v>
      </c>
      <c r="LC201" s="110"/>
      <c r="LD201" s="80"/>
      <c r="LE201" s="73">
        <f t="shared" ca="1" si="1843"/>
        <v>0</v>
      </c>
      <c r="LF201" s="110"/>
      <c r="LG201" s="110"/>
    </row>
    <row r="202" spans="1:319">
      <c r="A202" s="25">
        <f>WORLDCUP!AD122</f>
        <v>2</v>
      </c>
      <c r="B202" s="25">
        <f>WORLDCUP!AC122</f>
        <v>1</v>
      </c>
      <c r="C202" s="25" t="str">
        <f ca="1">CONCATENATE(WORLDCUP!AF122,"-",WORLDCUP!AA122)</f>
        <v>Norway-Brazil</v>
      </c>
      <c r="D202" s="25">
        <f>IF(WORLDCUP!AC122&gt;WORLDCUP!AD122,2,IF(WORLDCUP!AC122&lt;WORLDCUP!AD122,1,IF(AND(WORLDCUP!AC122=WORLDCUP!AD122,WORLDCUP!AC122&lt;&gt;"",WORLDCUP!AD122&lt;&gt;""),0,"PD")))</f>
        <v>1</v>
      </c>
      <c r="E202" s="25" t="str">
        <f>IF(OR(WORLDCUP!AD122="",WORLDCUP!AC122=""),"-",A202&amp;"-"&amp;B202)</f>
        <v>2-1</v>
      </c>
      <c r="F202" s="407">
        <f t="shared" si="1854"/>
        <v>20</v>
      </c>
      <c r="G202" s="407">
        <f ca="1">VLOOKUP(H202,Equipos!$Q$1:$R$25,2,0)</f>
        <v>21</v>
      </c>
      <c r="H202" s="65" t="str">
        <f>Idiomas!$D$261</f>
        <v>Round Of 16</v>
      </c>
      <c r="I202" s="43">
        <v>1</v>
      </c>
      <c r="J202" s="845"/>
      <c r="K202" s="56" t="str">
        <f ca="1">CONCATENATE(WORLDCUP!AA122,"-",WORLDCUP!AF122)</f>
        <v>Brazil-Norway</v>
      </c>
      <c r="L202" s="53">
        <f>IF(OR(WORLDCUP!AC122="",WORLDCUP!AD122=""),"PD",IF(WORLDCUP!AC122&gt;WORLDCUP!AD122,1,IF(WORLDCUP!AC122&lt;WORLDCUP!AD122,2,0)))</f>
        <v>2</v>
      </c>
      <c r="M202" s="55" t="str">
        <f t="shared" si="1752"/>
        <v>1-2</v>
      </c>
      <c r="N202" s="25">
        <f>WORLDCUP!AC122</f>
        <v>1</v>
      </c>
      <c r="O202" s="25">
        <f>WORLDCUP!AD122</f>
        <v>2</v>
      </c>
      <c r="P202" s="25">
        <f t="shared" si="1753"/>
        <v>-1</v>
      </c>
      <c r="Q202" s="25">
        <f t="shared" si="1754"/>
        <v>1</v>
      </c>
      <c r="R202" s="110"/>
      <c r="S202" s="74" t="s">
        <v>1980</v>
      </c>
      <c r="T202" s="73">
        <f t="shared" ca="1" si="1855"/>
        <v>0</v>
      </c>
      <c r="U202" s="110"/>
      <c r="V202" s="74" t="s">
        <v>2019</v>
      </c>
      <c r="W202" s="73">
        <f t="shared" ca="1" si="1755"/>
        <v>0</v>
      </c>
      <c r="X202" s="110"/>
      <c r="Y202" s="80" t="s">
        <v>2054</v>
      </c>
      <c r="Z202" s="73">
        <f t="shared" ca="1" si="1755"/>
        <v>0</v>
      </c>
      <c r="AA202" s="110"/>
      <c r="AB202" s="80" t="s">
        <v>2087</v>
      </c>
      <c r="AC202" s="73">
        <f t="shared" ca="1" si="1755"/>
        <v>0</v>
      </c>
      <c r="AD202" s="110"/>
      <c r="AE202" s="80" t="s">
        <v>2118</v>
      </c>
      <c r="AF202" s="73">
        <f t="shared" ca="1" si="1755"/>
        <v>0</v>
      </c>
      <c r="AG202" s="110"/>
      <c r="AH202" s="80" t="s">
        <v>2150</v>
      </c>
      <c r="AI202" s="73">
        <f t="shared" ca="1" si="1755"/>
        <v>0</v>
      </c>
      <c r="AJ202" s="110"/>
      <c r="AK202" s="80" t="s">
        <v>2177</v>
      </c>
      <c r="AL202" s="73">
        <f t="shared" ca="1" si="1755"/>
        <v>0</v>
      </c>
      <c r="AM202" s="110"/>
      <c r="AN202" s="80" t="s">
        <v>2206</v>
      </c>
      <c r="AO202" s="73">
        <f t="shared" ca="1" si="1755"/>
        <v>0</v>
      </c>
      <c r="AP202" s="110"/>
      <c r="AQ202" s="80" t="s">
        <v>2237</v>
      </c>
      <c r="AR202" s="73">
        <f t="shared" ca="1" si="1755"/>
        <v>0</v>
      </c>
      <c r="AS202" s="110"/>
      <c r="AT202" s="80" t="s">
        <v>2087</v>
      </c>
      <c r="AU202" s="73">
        <f t="shared" ca="1" si="1755"/>
        <v>0</v>
      </c>
      <c r="AV202" s="110"/>
      <c r="AW202" s="80" t="s">
        <v>2293</v>
      </c>
      <c r="AX202" s="73">
        <f t="shared" ca="1" si="1755"/>
        <v>0</v>
      </c>
      <c r="AY202" s="110"/>
      <c r="AZ202" s="80" t="s">
        <v>2177</v>
      </c>
      <c r="BA202" s="73">
        <f t="shared" ca="1" si="1755"/>
        <v>0</v>
      </c>
      <c r="BB202" s="110"/>
      <c r="BC202" s="80" t="s">
        <v>2335</v>
      </c>
      <c r="BD202" s="73">
        <f t="shared" ca="1" si="1755"/>
        <v>0</v>
      </c>
      <c r="BE202" s="110"/>
      <c r="BF202" s="80" t="s">
        <v>2177</v>
      </c>
      <c r="BG202" s="73">
        <f t="shared" ca="1" si="1755"/>
        <v>0</v>
      </c>
      <c r="BH202" s="110"/>
      <c r="BI202" s="80" t="s">
        <v>2386</v>
      </c>
      <c r="BJ202" s="73">
        <f t="shared" ca="1" si="1755"/>
        <v>0</v>
      </c>
      <c r="BK202" s="110"/>
      <c r="BL202" s="80" t="s">
        <v>2413</v>
      </c>
      <c r="BM202" s="73">
        <f t="shared" ca="1" si="1755"/>
        <v>0</v>
      </c>
      <c r="BN202" s="110"/>
      <c r="BO202" s="80" t="s">
        <v>2432</v>
      </c>
      <c r="BP202" s="73">
        <f t="shared" ca="1" si="1755"/>
        <v>0</v>
      </c>
      <c r="BQ202" s="110"/>
      <c r="BR202" s="80" t="s">
        <v>2455</v>
      </c>
      <c r="BS202" s="73">
        <f t="shared" ca="1" si="1755"/>
        <v>0</v>
      </c>
      <c r="BT202" s="110"/>
      <c r="BU202" s="80" t="s">
        <v>2118</v>
      </c>
      <c r="BV202" s="73">
        <f t="shared" ca="1" si="1755"/>
        <v>0</v>
      </c>
      <c r="BW202" s="110"/>
      <c r="BX202" s="80" t="s">
        <v>2484</v>
      </c>
      <c r="BY202" s="73">
        <f t="shared" ca="1" si="1755"/>
        <v>0</v>
      </c>
      <c r="BZ202" s="110"/>
      <c r="CA202" s="80" t="s">
        <v>2503</v>
      </c>
      <c r="CB202" s="73">
        <f t="shared" ca="1" si="1755"/>
        <v>0</v>
      </c>
      <c r="CC202" s="110"/>
      <c r="CD202" s="80" t="s">
        <v>2177</v>
      </c>
      <c r="CE202" s="73">
        <f t="shared" ca="1" si="1755"/>
        <v>0</v>
      </c>
      <c r="CF202" s="110"/>
      <c r="CG202" s="80" t="s">
        <v>2087</v>
      </c>
      <c r="CH202" s="73">
        <f t="shared" ca="1" si="1755"/>
        <v>0</v>
      </c>
      <c r="CI202" s="110"/>
      <c r="CJ202" s="80" t="s">
        <v>2559</v>
      </c>
      <c r="CK202" s="73">
        <f t="shared" ca="1" si="1777"/>
        <v>0</v>
      </c>
      <c r="CL202" s="110"/>
      <c r="CM202" s="80" t="s">
        <v>2582</v>
      </c>
      <c r="CN202" s="73">
        <f t="shared" ca="1" si="1777"/>
        <v>0</v>
      </c>
      <c r="CO202" s="110"/>
      <c r="CP202" s="80" t="s">
        <v>2594</v>
      </c>
      <c r="CQ202" s="73">
        <f t="shared" ca="1" si="1777"/>
        <v>12</v>
      </c>
      <c r="CR202" s="110"/>
      <c r="CS202" s="80" t="s">
        <v>2623</v>
      </c>
      <c r="CT202" s="73">
        <f t="shared" ca="1" si="1777"/>
        <v>0</v>
      </c>
      <c r="CU202" s="110"/>
      <c r="CV202" s="80" t="s">
        <v>2645</v>
      </c>
      <c r="CW202" s="73">
        <f t="shared" ca="1" si="1777"/>
        <v>0</v>
      </c>
      <c r="CX202" s="110"/>
      <c r="CY202" s="80" t="s">
        <v>2677</v>
      </c>
      <c r="CZ202" s="73">
        <f t="shared" ca="1" si="1777"/>
        <v>0</v>
      </c>
      <c r="DA202" s="110"/>
      <c r="DB202" s="80" t="s">
        <v>2704</v>
      </c>
      <c r="DC202" s="73">
        <f t="shared" ca="1" si="1777"/>
        <v>0</v>
      </c>
      <c r="DD202" s="110"/>
      <c r="DE202" s="80" t="s">
        <v>2118</v>
      </c>
      <c r="DF202" s="73">
        <f t="shared" ca="1" si="1777"/>
        <v>0</v>
      </c>
      <c r="DG202" s="110"/>
      <c r="DH202" s="80" t="s">
        <v>2087</v>
      </c>
      <c r="DI202" s="73">
        <f t="shared" ca="1" si="1777"/>
        <v>0</v>
      </c>
      <c r="DJ202" s="110"/>
      <c r="DK202" s="80" t="s">
        <v>2177</v>
      </c>
      <c r="DL202" s="73">
        <f t="shared" ca="1" si="1777"/>
        <v>0</v>
      </c>
      <c r="DM202" s="110"/>
      <c r="DN202" s="80" t="s">
        <v>2767</v>
      </c>
      <c r="DO202" s="73">
        <f t="shared" ca="1" si="1777"/>
        <v>0</v>
      </c>
      <c r="DP202" s="110"/>
      <c r="DQ202" s="80" t="s">
        <v>2782</v>
      </c>
      <c r="DR202" s="73">
        <f t="shared" ca="1" si="1777"/>
        <v>0</v>
      </c>
      <c r="DS202" s="110"/>
      <c r="DT202" s="80" t="s">
        <v>2796</v>
      </c>
      <c r="DU202" s="73">
        <f t="shared" ca="1" si="1777"/>
        <v>0</v>
      </c>
      <c r="DV202" s="110"/>
      <c r="DW202" s="80" t="s">
        <v>2810</v>
      </c>
      <c r="DX202" s="73">
        <f t="shared" ca="1" si="1777"/>
        <v>0</v>
      </c>
      <c r="DY202" s="110"/>
      <c r="DZ202" s="80" t="s">
        <v>2118</v>
      </c>
      <c r="EA202" s="73">
        <f t="shared" ca="1" si="1777"/>
        <v>0</v>
      </c>
      <c r="EB202" s="110"/>
      <c r="EC202" s="80" t="s">
        <v>2118</v>
      </c>
      <c r="ED202" s="73">
        <f t="shared" ca="1" si="1777"/>
        <v>0</v>
      </c>
      <c r="EE202" s="110"/>
      <c r="EF202" s="80" t="s">
        <v>2842</v>
      </c>
      <c r="EG202" s="73">
        <f t="shared" ca="1" si="1777"/>
        <v>0</v>
      </c>
      <c r="EH202" s="110"/>
      <c r="EI202" s="80" t="s">
        <v>2054</v>
      </c>
      <c r="EJ202" s="73">
        <f t="shared" ca="1" si="1777"/>
        <v>0</v>
      </c>
      <c r="EK202" s="110"/>
      <c r="EL202" s="80" t="s">
        <v>2432</v>
      </c>
      <c r="EM202" s="73">
        <f t="shared" ca="1" si="1777"/>
        <v>0</v>
      </c>
      <c r="EN202" s="110"/>
      <c r="EO202" s="80" t="s">
        <v>2150</v>
      </c>
      <c r="EP202" s="73">
        <f t="shared" ca="1" si="1777"/>
        <v>0</v>
      </c>
      <c r="EQ202" s="110"/>
      <c r="ER202" s="80" t="s">
        <v>2484</v>
      </c>
      <c r="ES202" s="73">
        <f t="shared" ca="1" si="1777"/>
        <v>0</v>
      </c>
      <c r="ET202" s="110"/>
      <c r="EU202" s="80" t="s">
        <v>2907</v>
      </c>
      <c r="EV202" s="73">
        <f t="shared" ca="1" si="1777"/>
        <v>0</v>
      </c>
      <c r="EW202" s="110"/>
      <c r="EX202" s="80" t="s">
        <v>2118</v>
      </c>
      <c r="EY202" s="73">
        <f t="shared" ca="1" si="1799"/>
        <v>0</v>
      </c>
      <c r="EZ202" s="110"/>
      <c r="FA202" s="80" t="s">
        <v>2054</v>
      </c>
      <c r="FB202" s="73">
        <f t="shared" ca="1" si="1799"/>
        <v>0</v>
      </c>
      <c r="FC202" s="110"/>
      <c r="FD202" s="80" t="s">
        <v>2177</v>
      </c>
      <c r="FE202" s="73">
        <f t="shared" ca="1" si="1799"/>
        <v>0</v>
      </c>
      <c r="FF202" s="110"/>
      <c r="FG202" s="80" t="s">
        <v>2957</v>
      </c>
      <c r="FH202" s="73">
        <f t="shared" ca="1" si="1799"/>
        <v>0</v>
      </c>
      <c r="FI202" s="110"/>
      <c r="FJ202" s="80" t="s">
        <v>2968</v>
      </c>
      <c r="FK202" s="73">
        <f t="shared" ca="1" si="1799"/>
        <v>0</v>
      </c>
      <c r="FL202" s="110"/>
      <c r="FM202" s="80" t="s">
        <v>2054</v>
      </c>
      <c r="FN202" s="73">
        <f t="shared" ca="1" si="1799"/>
        <v>0</v>
      </c>
      <c r="FO202" s="110"/>
      <c r="FP202" s="80" t="s">
        <v>2118</v>
      </c>
      <c r="FQ202" s="73">
        <f t="shared" ca="1" si="1799"/>
        <v>0</v>
      </c>
      <c r="FR202" s="110"/>
      <c r="FS202" s="80" t="s">
        <v>2987</v>
      </c>
      <c r="FT202" s="73">
        <f t="shared" ca="1" si="1799"/>
        <v>0</v>
      </c>
      <c r="FU202" s="110"/>
      <c r="FV202" s="80" t="s">
        <v>2996</v>
      </c>
      <c r="FW202" s="73">
        <f t="shared" ca="1" si="1799"/>
        <v>0</v>
      </c>
      <c r="FX202" s="110"/>
      <c r="FY202" s="80" t="s">
        <v>2432</v>
      </c>
      <c r="FZ202" s="73">
        <f t="shared" ca="1" si="1799"/>
        <v>0</v>
      </c>
      <c r="GA202" s="110"/>
      <c r="GB202" s="80" t="s">
        <v>2150</v>
      </c>
      <c r="GC202" s="73">
        <f t="shared" ca="1" si="1799"/>
        <v>0</v>
      </c>
      <c r="GD202" s="110"/>
      <c r="GE202" s="80" t="s">
        <v>2054</v>
      </c>
      <c r="GF202" s="73">
        <f t="shared" ca="1" si="1799"/>
        <v>0</v>
      </c>
      <c r="GG202" s="110"/>
      <c r="GH202" s="80" t="s">
        <v>2087</v>
      </c>
      <c r="GI202" s="73">
        <f t="shared" ca="1" si="1799"/>
        <v>0</v>
      </c>
      <c r="GJ202" s="110"/>
      <c r="GK202" s="80" t="s">
        <v>2118</v>
      </c>
      <c r="GL202" s="73">
        <f t="shared" ca="1" si="1799"/>
        <v>0</v>
      </c>
      <c r="GM202" s="110"/>
      <c r="GN202" s="80"/>
      <c r="GO202" s="73">
        <f t="shared" ca="1" si="1799"/>
        <v>0</v>
      </c>
      <c r="GP202" s="110"/>
      <c r="GQ202" s="80"/>
      <c r="GR202" s="73">
        <f t="shared" ca="1" si="1799"/>
        <v>0</v>
      </c>
      <c r="GS202" s="110"/>
      <c r="GT202" s="80"/>
      <c r="GU202" s="73">
        <f t="shared" ca="1" si="1799"/>
        <v>0</v>
      </c>
      <c r="GV202" s="110"/>
      <c r="GW202" s="80"/>
      <c r="GX202" s="73">
        <f t="shared" ca="1" si="1799"/>
        <v>0</v>
      </c>
      <c r="GY202" s="110"/>
      <c r="GZ202" s="80"/>
      <c r="HA202" s="73">
        <f t="shared" ca="1" si="1799"/>
        <v>0</v>
      </c>
      <c r="HB202" s="110"/>
      <c r="HC202" s="80"/>
      <c r="HD202" s="73">
        <f t="shared" ca="1" si="1799"/>
        <v>0</v>
      </c>
      <c r="HE202" s="110"/>
      <c r="HF202" s="80"/>
      <c r="HG202" s="73">
        <f t="shared" ca="1" si="1799"/>
        <v>0</v>
      </c>
      <c r="HH202" s="110"/>
      <c r="HI202" s="80"/>
      <c r="HJ202" s="73">
        <f t="shared" ca="1" si="1799"/>
        <v>0</v>
      </c>
      <c r="HK202" s="110"/>
      <c r="HL202" s="80"/>
      <c r="HM202" s="73">
        <f t="shared" ca="1" si="1821"/>
        <v>0</v>
      </c>
      <c r="HN202" s="110"/>
      <c r="HO202" s="80"/>
      <c r="HP202" s="73">
        <f t="shared" ca="1" si="1821"/>
        <v>0</v>
      </c>
      <c r="HQ202" s="110"/>
      <c r="HR202" s="80"/>
      <c r="HS202" s="73">
        <f t="shared" ca="1" si="1821"/>
        <v>0</v>
      </c>
      <c r="HT202" s="110"/>
      <c r="HU202" s="80"/>
      <c r="HV202" s="73">
        <f t="shared" ca="1" si="1821"/>
        <v>0</v>
      </c>
      <c r="HW202" s="110"/>
      <c r="HX202" s="80"/>
      <c r="HY202" s="73">
        <f t="shared" ca="1" si="1821"/>
        <v>0</v>
      </c>
      <c r="HZ202" s="110"/>
      <c r="IA202" s="80"/>
      <c r="IB202" s="73">
        <f t="shared" ca="1" si="1821"/>
        <v>0</v>
      </c>
      <c r="IC202" s="110"/>
      <c r="ID202" s="80"/>
      <c r="IE202" s="73">
        <f t="shared" ca="1" si="1821"/>
        <v>0</v>
      </c>
      <c r="IF202" s="110"/>
      <c r="IG202" s="80"/>
      <c r="IH202" s="73">
        <f t="shared" ca="1" si="1821"/>
        <v>0</v>
      </c>
      <c r="II202" s="110"/>
      <c r="IJ202" s="80"/>
      <c r="IK202" s="73">
        <f t="shared" ca="1" si="1821"/>
        <v>0</v>
      </c>
      <c r="IL202" s="110"/>
      <c r="IM202" s="80"/>
      <c r="IN202" s="73">
        <f t="shared" ca="1" si="1821"/>
        <v>0</v>
      </c>
      <c r="IO202" s="110"/>
      <c r="IP202" s="80"/>
      <c r="IQ202" s="73">
        <f t="shared" ca="1" si="1821"/>
        <v>0</v>
      </c>
      <c r="IR202" s="110"/>
      <c r="IS202" s="80"/>
      <c r="IT202" s="73">
        <f t="shared" ca="1" si="1821"/>
        <v>0</v>
      </c>
      <c r="IU202" s="110"/>
      <c r="IV202" s="80"/>
      <c r="IW202" s="73">
        <f t="shared" ca="1" si="1821"/>
        <v>0</v>
      </c>
      <c r="IX202" s="110"/>
      <c r="IY202" s="80"/>
      <c r="IZ202" s="73">
        <f t="shared" ca="1" si="1821"/>
        <v>0</v>
      </c>
      <c r="JA202" s="110"/>
      <c r="JB202" s="80"/>
      <c r="JC202" s="73">
        <f t="shared" ca="1" si="1821"/>
        <v>0</v>
      </c>
      <c r="JD202" s="110"/>
      <c r="JE202" s="80"/>
      <c r="JF202" s="73">
        <f t="shared" ca="1" si="1821"/>
        <v>0</v>
      </c>
      <c r="JG202" s="110"/>
      <c r="JH202" s="80"/>
      <c r="JI202" s="73">
        <f t="shared" ca="1" si="1821"/>
        <v>0</v>
      </c>
      <c r="JJ202" s="110"/>
      <c r="JK202" s="80"/>
      <c r="JL202" s="73">
        <f t="shared" ca="1" si="1821"/>
        <v>0</v>
      </c>
      <c r="JM202" s="110"/>
      <c r="JN202" s="80"/>
      <c r="JO202" s="73">
        <f t="shared" ca="1" si="1821"/>
        <v>0</v>
      </c>
      <c r="JP202" s="110"/>
      <c r="JQ202" s="80"/>
      <c r="JR202" s="73">
        <f t="shared" ca="1" si="1821"/>
        <v>0</v>
      </c>
      <c r="JS202" s="110"/>
      <c r="JT202" s="80"/>
      <c r="JU202" s="73">
        <f t="shared" ca="1" si="1821"/>
        <v>0</v>
      </c>
      <c r="JV202" s="110"/>
      <c r="JW202" s="80"/>
      <c r="JX202" s="73">
        <f t="shared" ca="1" si="1821"/>
        <v>0</v>
      </c>
      <c r="JY202" s="110"/>
      <c r="JZ202" s="80"/>
      <c r="KA202" s="73">
        <f t="shared" ca="1" si="1843"/>
        <v>0</v>
      </c>
      <c r="KB202" s="110"/>
      <c r="KC202" s="80"/>
      <c r="KD202" s="73">
        <f t="shared" ca="1" si="1843"/>
        <v>0</v>
      </c>
      <c r="KE202" s="110"/>
      <c r="KF202" s="80"/>
      <c r="KG202" s="73">
        <f t="shared" ca="1" si="1843"/>
        <v>0</v>
      </c>
      <c r="KH202" s="110"/>
      <c r="KI202" s="80"/>
      <c r="KJ202" s="73">
        <f t="shared" ca="1" si="1843"/>
        <v>0</v>
      </c>
      <c r="KK202" s="110"/>
      <c r="KL202" s="80"/>
      <c r="KM202" s="73">
        <f t="shared" ca="1" si="1843"/>
        <v>0</v>
      </c>
      <c r="KN202" s="110"/>
      <c r="KO202" s="80"/>
      <c r="KP202" s="73">
        <f t="shared" ca="1" si="1843"/>
        <v>0</v>
      </c>
      <c r="KQ202" s="110"/>
      <c r="KR202" s="80"/>
      <c r="KS202" s="73">
        <f t="shared" ca="1" si="1843"/>
        <v>0</v>
      </c>
      <c r="KT202" s="110"/>
      <c r="KU202" s="80"/>
      <c r="KV202" s="73">
        <f t="shared" ca="1" si="1843"/>
        <v>0</v>
      </c>
      <c r="KW202" s="110"/>
      <c r="KX202" s="80"/>
      <c r="KY202" s="73">
        <f t="shared" ca="1" si="1843"/>
        <v>0</v>
      </c>
      <c r="KZ202" s="110"/>
      <c r="LA202" s="80"/>
      <c r="LB202" s="73">
        <f t="shared" ca="1" si="1843"/>
        <v>0</v>
      </c>
      <c r="LC202" s="110"/>
      <c r="LD202" s="80"/>
      <c r="LE202" s="73">
        <f t="shared" ca="1" si="1843"/>
        <v>0</v>
      </c>
      <c r="LF202" s="110"/>
      <c r="LG202" s="110"/>
    </row>
    <row r="203" spans="1:319">
      <c r="A203" s="25">
        <f>WORLDCUP!AD123</f>
        <v>3</v>
      </c>
      <c r="B203" s="25">
        <f>WORLDCUP!AC123</f>
        <v>2</v>
      </c>
      <c r="C203" s="25" t="str">
        <f ca="1">CONCATENATE(WORLDCUP!AF123,"-",WORLDCUP!AA123)</f>
        <v>England-Mexico</v>
      </c>
      <c r="D203" s="25">
        <f>IF(WORLDCUP!AC123&gt;WORLDCUP!AD123,2,IF(WORLDCUP!AC123&lt;WORLDCUP!AD123,1,IF(AND(WORLDCUP!AC123=WORLDCUP!AD123,WORLDCUP!AC123&lt;&gt;"",WORLDCUP!AD123&lt;&gt;""),0,"PD")))</f>
        <v>1</v>
      </c>
      <c r="E203" s="25" t="str">
        <f>IF(OR(WORLDCUP!AD123="",WORLDCUP!AC123=""),"-",A203&amp;"-"&amp;B203)</f>
        <v>3-2</v>
      </c>
      <c r="F203" s="407">
        <f t="shared" si="1854"/>
        <v>20</v>
      </c>
      <c r="G203" s="407">
        <f ca="1">VLOOKUP(H203,Equipos!$Q$1:$R$25,2,0)</f>
        <v>21</v>
      </c>
      <c r="H203" s="65" t="str">
        <f>Idiomas!$D$261</f>
        <v>Round Of 16</v>
      </c>
      <c r="I203" s="43">
        <v>1</v>
      </c>
      <c r="J203" s="845"/>
      <c r="K203" s="56" t="str">
        <f ca="1">CONCATENATE(WORLDCUP!AA123,"-",WORLDCUP!AF123)</f>
        <v>Mexico-England</v>
      </c>
      <c r="L203" s="53">
        <f>IF(OR(WORLDCUP!AC123="",WORLDCUP!AD123=""),"PD",IF(WORLDCUP!AC123&gt;WORLDCUP!AD123,1,IF(WORLDCUP!AC123&lt;WORLDCUP!AD123,2,0)))</f>
        <v>2</v>
      </c>
      <c r="M203" s="55" t="str">
        <f t="shared" si="1752"/>
        <v>2-3</v>
      </c>
      <c r="N203" s="25">
        <f>WORLDCUP!AC123</f>
        <v>2</v>
      </c>
      <c r="O203" s="25">
        <f>WORLDCUP!AD123</f>
        <v>3</v>
      </c>
      <c r="P203" s="25">
        <f t="shared" si="1753"/>
        <v>-1</v>
      </c>
      <c r="Q203" s="25">
        <f t="shared" si="1754"/>
        <v>1</v>
      </c>
      <c r="R203" s="110"/>
      <c r="S203" s="74" t="s">
        <v>1981</v>
      </c>
      <c r="T203" s="73">
        <f t="shared" ca="1" si="1855"/>
        <v>12</v>
      </c>
      <c r="U203" s="110"/>
      <c r="V203" s="74" t="s">
        <v>2020</v>
      </c>
      <c r="W203" s="73">
        <f t="shared" ca="1" si="1755"/>
        <v>0</v>
      </c>
      <c r="X203" s="110"/>
      <c r="Y203" s="80" t="s">
        <v>1981</v>
      </c>
      <c r="Z203" s="73">
        <f t="shared" ca="1" si="1755"/>
        <v>12</v>
      </c>
      <c r="AA203" s="110"/>
      <c r="AB203" s="80" t="s">
        <v>2088</v>
      </c>
      <c r="AC203" s="73">
        <f t="shared" ca="1" si="1755"/>
        <v>0</v>
      </c>
      <c r="AD203" s="110"/>
      <c r="AE203" s="80" t="s">
        <v>2119</v>
      </c>
      <c r="AF203" s="73">
        <f t="shared" ca="1" si="1755"/>
        <v>10</v>
      </c>
      <c r="AG203" s="110"/>
      <c r="AH203" s="80" t="s">
        <v>1981</v>
      </c>
      <c r="AI203" s="73">
        <f t="shared" ca="1" si="1755"/>
        <v>12</v>
      </c>
      <c r="AJ203" s="110"/>
      <c r="AK203" s="80" t="s">
        <v>2178</v>
      </c>
      <c r="AL203" s="73">
        <f t="shared" ca="1" si="1755"/>
        <v>0</v>
      </c>
      <c r="AM203" s="110"/>
      <c r="AN203" s="80" t="s">
        <v>2207</v>
      </c>
      <c r="AO203" s="73">
        <f t="shared" ca="1" si="1755"/>
        <v>0</v>
      </c>
      <c r="AP203" s="110"/>
      <c r="AQ203" s="80" t="s">
        <v>2238</v>
      </c>
      <c r="AR203" s="73">
        <f t="shared" ca="1" si="1755"/>
        <v>0</v>
      </c>
      <c r="AS203" s="110"/>
      <c r="AT203" s="80" t="s">
        <v>2266</v>
      </c>
      <c r="AU203" s="73">
        <f t="shared" ca="1" si="1755"/>
        <v>0</v>
      </c>
      <c r="AV203" s="110"/>
      <c r="AW203" s="80" t="s">
        <v>2294</v>
      </c>
      <c r="AX203" s="73">
        <f t="shared" ca="1" si="1755"/>
        <v>12</v>
      </c>
      <c r="AY203" s="110"/>
      <c r="AZ203" s="80" t="s">
        <v>2119</v>
      </c>
      <c r="BA203" s="73">
        <f t="shared" ca="1" si="1755"/>
        <v>10</v>
      </c>
      <c r="BB203" s="110"/>
      <c r="BC203" s="80" t="s">
        <v>1981</v>
      </c>
      <c r="BD203" s="73">
        <f t="shared" ca="1" si="1755"/>
        <v>12</v>
      </c>
      <c r="BE203" s="110"/>
      <c r="BF203" s="80" t="s">
        <v>2359</v>
      </c>
      <c r="BG203" s="73">
        <f t="shared" ca="1" si="1755"/>
        <v>0</v>
      </c>
      <c r="BH203" s="110"/>
      <c r="BI203" s="80" t="s">
        <v>2387</v>
      </c>
      <c r="BJ203" s="73">
        <f t="shared" ca="1" si="1755"/>
        <v>0</v>
      </c>
      <c r="BK203" s="110"/>
      <c r="BL203" s="80" t="s">
        <v>2414</v>
      </c>
      <c r="BM203" s="73">
        <f t="shared" ca="1" si="1755"/>
        <v>0</v>
      </c>
      <c r="BN203" s="110"/>
      <c r="BO203" s="80" t="s">
        <v>2433</v>
      </c>
      <c r="BP203" s="73">
        <f t="shared" ca="1" si="1755"/>
        <v>10</v>
      </c>
      <c r="BQ203" s="110"/>
      <c r="BR203" s="80" t="s">
        <v>2456</v>
      </c>
      <c r="BS203" s="73">
        <f t="shared" ca="1" si="1755"/>
        <v>0</v>
      </c>
      <c r="BT203" s="110"/>
      <c r="BU203" s="80" t="s">
        <v>2119</v>
      </c>
      <c r="BV203" s="73">
        <f t="shared" ca="1" si="1755"/>
        <v>10</v>
      </c>
      <c r="BW203" s="110"/>
      <c r="BX203" s="80" t="s">
        <v>1981</v>
      </c>
      <c r="BY203" s="73">
        <f t="shared" ca="1" si="1755"/>
        <v>12</v>
      </c>
      <c r="BZ203" s="110"/>
      <c r="CA203" s="80" t="s">
        <v>1981</v>
      </c>
      <c r="CB203" s="73">
        <f t="shared" ca="1" si="1755"/>
        <v>12</v>
      </c>
      <c r="CC203" s="110"/>
      <c r="CD203" s="80" t="s">
        <v>2521</v>
      </c>
      <c r="CE203" s="73">
        <f t="shared" ca="1" si="1755"/>
        <v>0</v>
      </c>
      <c r="CF203" s="110"/>
      <c r="CG203" s="80" t="s">
        <v>2119</v>
      </c>
      <c r="CH203" s="73">
        <f t="shared" ca="1" si="1755"/>
        <v>10</v>
      </c>
      <c r="CI203" s="110"/>
      <c r="CJ203" s="80" t="s">
        <v>2433</v>
      </c>
      <c r="CK203" s="73">
        <f t="shared" ca="1" si="1777"/>
        <v>10</v>
      </c>
      <c r="CL203" s="110"/>
      <c r="CM203" s="80" t="s">
        <v>2583</v>
      </c>
      <c r="CN203" s="73">
        <f t="shared" ca="1" si="1777"/>
        <v>0</v>
      </c>
      <c r="CO203" s="110"/>
      <c r="CP203" s="80" t="s">
        <v>2595</v>
      </c>
      <c r="CQ203" s="73">
        <f t="shared" ca="1" si="1777"/>
        <v>0</v>
      </c>
      <c r="CR203" s="110"/>
      <c r="CS203" s="80" t="s">
        <v>1981</v>
      </c>
      <c r="CT203" s="73">
        <f t="shared" ca="1" si="1777"/>
        <v>12</v>
      </c>
      <c r="CU203" s="110"/>
      <c r="CV203" s="80" t="s">
        <v>2646</v>
      </c>
      <c r="CW203" s="73">
        <f t="shared" ca="1" si="1777"/>
        <v>0</v>
      </c>
      <c r="CX203" s="110"/>
      <c r="CY203" s="80" t="s">
        <v>2678</v>
      </c>
      <c r="CZ203" s="73">
        <f t="shared" ca="1" si="1777"/>
        <v>0</v>
      </c>
      <c r="DA203" s="110"/>
      <c r="DB203" s="80" t="s">
        <v>2119</v>
      </c>
      <c r="DC203" s="73">
        <f t="shared" ca="1" si="1777"/>
        <v>10</v>
      </c>
      <c r="DD203" s="110"/>
      <c r="DE203" s="80" t="s">
        <v>2294</v>
      </c>
      <c r="DF203" s="73">
        <f t="shared" ca="1" si="1777"/>
        <v>12</v>
      </c>
      <c r="DG203" s="110"/>
      <c r="DH203" s="80" t="s">
        <v>2735</v>
      </c>
      <c r="DI203" s="73">
        <f t="shared" ca="1" si="1777"/>
        <v>0</v>
      </c>
      <c r="DJ203" s="110"/>
      <c r="DK203" s="80" t="s">
        <v>2433</v>
      </c>
      <c r="DL203" s="73">
        <f t="shared" ca="1" si="1777"/>
        <v>10</v>
      </c>
      <c r="DM203" s="110"/>
      <c r="DN203" s="80" t="s">
        <v>2583</v>
      </c>
      <c r="DO203" s="73">
        <f t="shared" ca="1" si="1777"/>
        <v>0</v>
      </c>
      <c r="DP203" s="110"/>
      <c r="DQ203" s="80" t="s">
        <v>2433</v>
      </c>
      <c r="DR203" s="73">
        <f t="shared" ca="1" si="1777"/>
        <v>10</v>
      </c>
      <c r="DS203" s="110"/>
      <c r="DT203" s="80" t="s">
        <v>2735</v>
      </c>
      <c r="DU203" s="73">
        <f t="shared" ca="1" si="1777"/>
        <v>0</v>
      </c>
      <c r="DV203" s="110"/>
      <c r="DW203" s="80" t="s">
        <v>2119</v>
      </c>
      <c r="DX203" s="73">
        <f t="shared" ca="1" si="1777"/>
        <v>10</v>
      </c>
      <c r="DY203" s="110"/>
      <c r="DZ203" s="80" t="s">
        <v>2819</v>
      </c>
      <c r="EA203" s="73">
        <f t="shared" ca="1" si="1777"/>
        <v>0</v>
      </c>
      <c r="EB203" s="110"/>
      <c r="EC203" s="80" t="s">
        <v>2823</v>
      </c>
      <c r="ED203" s="73">
        <f t="shared" ca="1" si="1777"/>
        <v>0</v>
      </c>
      <c r="EE203" s="110"/>
      <c r="EF203" s="80" t="s">
        <v>2595</v>
      </c>
      <c r="EG203" s="73">
        <f t="shared" ca="1" si="1777"/>
        <v>0</v>
      </c>
      <c r="EH203" s="110"/>
      <c r="EI203" s="80" t="s">
        <v>2433</v>
      </c>
      <c r="EJ203" s="73">
        <f t="shared" ca="1" si="1777"/>
        <v>10</v>
      </c>
      <c r="EK203" s="110"/>
      <c r="EL203" s="80" t="s">
        <v>1981</v>
      </c>
      <c r="EM203" s="73">
        <f t="shared" ca="1" si="1777"/>
        <v>12</v>
      </c>
      <c r="EN203" s="110"/>
      <c r="EO203" s="80" t="s">
        <v>2885</v>
      </c>
      <c r="EP203" s="73">
        <f t="shared" ca="1" si="1777"/>
        <v>10</v>
      </c>
      <c r="EQ203" s="110"/>
      <c r="ER203" s="80" t="s">
        <v>1981</v>
      </c>
      <c r="ES203" s="73">
        <f t="shared" ca="1" si="1777"/>
        <v>12</v>
      </c>
      <c r="ET203" s="110"/>
      <c r="EU203" s="80" t="s">
        <v>2294</v>
      </c>
      <c r="EV203" s="73">
        <f t="shared" ca="1" si="1777"/>
        <v>12</v>
      </c>
      <c r="EW203" s="110"/>
      <c r="EX203" s="80" t="s">
        <v>1981</v>
      </c>
      <c r="EY203" s="73">
        <f t="shared" ca="1" si="1799"/>
        <v>12</v>
      </c>
      <c r="EZ203" s="110"/>
      <c r="FA203" s="80" t="s">
        <v>2928</v>
      </c>
      <c r="FB203" s="73">
        <f t="shared" ca="1" si="1799"/>
        <v>0</v>
      </c>
      <c r="FC203" s="110"/>
      <c r="FD203" s="80" t="s">
        <v>1981</v>
      </c>
      <c r="FE203" s="73">
        <f t="shared" ca="1" si="1799"/>
        <v>12</v>
      </c>
      <c r="FF203" s="110"/>
      <c r="FG203" s="80" t="s">
        <v>2958</v>
      </c>
      <c r="FH203" s="73">
        <f t="shared" ca="1" si="1799"/>
        <v>0</v>
      </c>
      <c r="FI203" s="110"/>
      <c r="FJ203" s="80" t="s">
        <v>1981</v>
      </c>
      <c r="FK203" s="73">
        <f t="shared" ca="1" si="1799"/>
        <v>12</v>
      </c>
      <c r="FL203" s="110"/>
      <c r="FM203" s="80" t="s">
        <v>1981</v>
      </c>
      <c r="FN203" s="73">
        <f t="shared" ca="1" si="1799"/>
        <v>12</v>
      </c>
      <c r="FO203" s="110"/>
      <c r="FP203" s="80" t="s">
        <v>2119</v>
      </c>
      <c r="FQ203" s="73">
        <f t="shared" ca="1" si="1799"/>
        <v>10</v>
      </c>
      <c r="FR203" s="110"/>
      <c r="FS203" s="80" t="s">
        <v>1981</v>
      </c>
      <c r="FT203" s="73">
        <f t="shared" ca="1" si="1799"/>
        <v>12</v>
      </c>
      <c r="FU203" s="110"/>
      <c r="FV203" s="80" t="s">
        <v>1981</v>
      </c>
      <c r="FW203" s="73">
        <f t="shared" ca="1" si="1799"/>
        <v>12</v>
      </c>
      <c r="FX203" s="110"/>
      <c r="FY203" s="80" t="s">
        <v>2414</v>
      </c>
      <c r="FZ203" s="73">
        <f t="shared" ca="1" si="1799"/>
        <v>0</v>
      </c>
      <c r="GA203" s="110"/>
      <c r="GB203" s="80" t="s">
        <v>3022</v>
      </c>
      <c r="GC203" s="73">
        <f t="shared" ca="1" si="1799"/>
        <v>0</v>
      </c>
      <c r="GD203" s="110"/>
      <c r="GE203" s="80" t="s">
        <v>2119</v>
      </c>
      <c r="GF203" s="73">
        <f t="shared" ca="1" si="1799"/>
        <v>10</v>
      </c>
      <c r="GG203" s="110"/>
      <c r="GH203" s="80" t="s">
        <v>2238</v>
      </c>
      <c r="GI203" s="73">
        <f t="shared" ca="1" si="1799"/>
        <v>0</v>
      </c>
      <c r="GJ203" s="110"/>
      <c r="GK203" s="80" t="s">
        <v>2178</v>
      </c>
      <c r="GL203" s="73">
        <f t="shared" ca="1" si="1799"/>
        <v>0</v>
      </c>
      <c r="GM203" s="110"/>
      <c r="GN203" s="80"/>
      <c r="GO203" s="73">
        <f t="shared" ca="1" si="1799"/>
        <v>0</v>
      </c>
      <c r="GP203" s="110"/>
      <c r="GQ203" s="80"/>
      <c r="GR203" s="73">
        <f t="shared" ca="1" si="1799"/>
        <v>0</v>
      </c>
      <c r="GS203" s="110"/>
      <c r="GT203" s="80"/>
      <c r="GU203" s="73">
        <f t="shared" ca="1" si="1799"/>
        <v>0</v>
      </c>
      <c r="GV203" s="110"/>
      <c r="GW203" s="80"/>
      <c r="GX203" s="73">
        <f t="shared" ca="1" si="1799"/>
        <v>0</v>
      </c>
      <c r="GY203" s="110"/>
      <c r="GZ203" s="80"/>
      <c r="HA203" s="73">
        <f t="shared" ca="1" si="1799"/>
        <v>0</v>
      </c>
      <c r="HB203" s="110"/>
      <c r="HC203" s="80"/>
      <c r="HD203" s="73">
        <f t="shared" ca="1" si="1799"/>
        <v>0</v>
      </c>
      <c r="HE203" s="110"/>
      <c r="HF203" s="80"/>
      <c r="HG203" s="73">
        <f t="shared" ca="1" si="1799"/>
        <v>0</v>
      </c>
      <c r="HH203" s="110"/>
      <c r="HI203" s="80"/>
      <c r="HJ203" s="73">
        <f t="shared" ca="1" si="1799"/>
        <v>0</v>
      </c>
      <c r="HK203" s="110"/>
      <c r="HL203" s="80"/>
      <c r="HM203" s="73">
        <f t="shared" ca="1" si="1821"/>
        <v>0</v>
      </c>
      <c r="HN203" s="110"/>
      <c r="HO203" s="80"/>
      <c r="HP203" s="73">
        <f t="shared" ca="1" si="1821"/>
        <v>0</v>
      </c>
      <c r="HQ203" s="110"/>
      <c r="HR203" s="80"/>
      <c r="HS203" s="73">
        <f t="shared" ca="1" si="1821"/>
        <v>0</v>
      </c>
      <c r="HT203" s="110"/>
      <c r="HU203" s="80"/>
      <c r="HV203" s="73">
        <f t="shared" ca="1" si="1821"/>
        <v>0</v>
      </c>
      <c r="HW203" s="110"/>
      <c r="HX203" s="80"/>
      <c r="HY203" s="73">
        <f t="shared" ca="1" si="1821"/>
        <v>0</v>
      </c>
      <c r="HZ203" s="110"/>
      <c r="IA203" s="80"/>
      <c r="IB203" s="73">
        <f t="shared" ca="1" si="1821"/>
        <v>0</v>
      </c>
      <c r="IC203" s="110"/>
      <c r="ID203" s="80"/>
      <c r="IE203" s="73">
        <f t="shared" ca="1" si="1821"/>
        <v>0</v>
      </c>
      <c r="IF203" s="110"/>
      <c r="IG203" s="80"/>
      <c r="IH203" s="73">
        <f t="shared" ca="1" si="1821"/>
        <v>0</v>
      </c>
      <c r="II203" s="110"/>
      <c r="IJ203" s="80"/>
      <c r="IK203" s="73">
        <f t="shared" ca="1" si="1821"/>
        <v>0</v>
      </c>
      <c r="IL203" s="110"/>
      <c r="IM203" s="80"/>
      <c r="IN203" s="73">
        <f t="shared" ca="1" si="1821"/>
        <v>0</v>
      </c>
      <c r="IO203" s="110"/>
      <c r="IP203" s="80"/>
      <c r="IQ203" s="73">
        <f t="shared" ca="1" si="1821"/>
        <v>0</v>
      </c>
      <c r="IR203" s="110"/>
      <c r="IS203" s="80"/>
      <c r="IT203" s="73">
        <f t="shared" ca="1" si="1821"/>
        <v>0</v>
      </c>
      <c r="IU203" s="110"/>
      <c r="IV203" s="80"/>
      <c r="IW203" s="73">
        <f t="shared" ca="1" si="1821"/>
        <v>0</v>
      </c>
      <c r="IX203" s="110"/>
      <c r="IY203" s="80"/>
      <c r="IZ203" s="73">
        <f t="shared" ca="1" si="1821"/>
        <v>0</v>
      </c>
      <c r="JA203" s="110"/>
      <c r="JB203" s="80"/>
      <c r="JC203" s="73">
        <f t="shared" ca="1" si="1821"/>
        <v>0</v>
      </c>
      <c r="JD203" s="110"/>
      <c r="JE203" s="80"/>
      <c r="JF203" s="73">
        <f t="shared" ca="1" si="1821"/>
        <v>0</v>
      </c>
      <c r="JG203" s="110"/>
      <c r="JH203" s="80"/>
      <c r="JI203" s="73">
        <f t="shared" ca="1" si="1821"/>
        <v>0</v>
      </c>
      <c r="JJ203" s="110"/>
      <c r="JK203" s="80"/>
      <c r="JL203" s="73">
        <f t="shared" ca="1" si="1821"/>
        <v>0</v>
      </c>
      <c r="JM203" s="110"/>
      <c r="JN203" s="80"/>
      <c r="JO203" s="73">
        <f t="shared" ca="1" si="1821"/>
        <v>0</v>
      </c>
      <c r="JP203" s="110"/>
      <c r="JQ203" s="80"/>
      <c r="JR203" s="73">
        <f t="shared" ca="1" si="1821"/>
        <v>0</v>
      </c>
      <c r="JS203" s="110"/>
      <c r="JT203" s="80"/>
      <c r="JU203" s="73">
        <f t="shared" ca="1" si="1821"/>
        <v>0</v>
      </c>
      <c r="JV203" s="110"/>
      <c r="JW203" s="80"/>
      <c r="JX203" s="73">
        <f t="shared" ca="1" si="1821"/>
        <v>0</v>
      </c>
      <c r="JY203" s="110"/>
      <c r="JZ203" s="80"/>
      <c r="KA203" s="73">
        <f t="shared" ca="1" si="1843"/>
        <v>0</v>
      </c>
      <c r="KB203" s="110"/>
      <c r="KC203" s="80"/>
      <c r="KD203" s="73">
        <f t="shared" ca="1" si="1843"/>
        <v>0</v>
      </c>
      <c r="KE203" s="110"/>
      <c r="KF203" s="80"/>
      <c r="KG203" s="73">
        <f t="shared" ca="1" si="1843"/>
        <v>0</v>
      </c>
      <c r="KH203" s="110"/>
      <c r="KI203" s="80"/>
      <c r="KJ203" s="73">
        <f t="shared" ca="1" si="1843"/>
        <v>0</v>
      </c>
      <c r="KK203" s="110"/>
      <c r="KL203" s="80"/>
      <c r="KM203" s="73">
        <f t="shared" ca="1" si="1843"/>
        <v>0</v>
      </c>
      <c r="KN203" s="110"/>
      <c r="KO203" s="80"/>
      <c r="KP203" s="73">
        <f t="shared" ca="1" si="1843"/>
        <v>0</v>
      </c>
      <c r="KQ203" s="110"/>
      <c r="KR203" s="80"/>
      <c r="KS203" s="73">
        <f t="shared" ca="1" si="1843"/>
        <v>0</v>
      </c>
      <c r="KT203" s="110"/>
      <c r="KU203" s="80"/>
      <c r="KV203" s="73">
        <f t="shared" ca="1" si="1843"/>
        <v>0</v>
      </c>
      <c r="KW203" s="110"/>
      <c r="KX203" s="80"/>
      <c r="KY203" s="73">
        <f t="shared" ca="1" si="1843"/>
        <v>0</v>
      </c>
      <c r="KZ203" s="110"/>
      <c r="LA203" s="80"/>
      <c r="LB203" s="73">
        <f t="shared" ca="1" si="1843"/>
        <v>0</v>
      </c>
      <c r="LC203" s="110"/>
      <c r="LD203" s="80"/>
      <c r="LE203" s="73">
        <f t="shared" ca="1" si="1843"/>
        <v>0</v>
      </c>
      <c r="LF203" s="110"/>
      <c r="LG203" s="110"/>
    </row>
    <row r="204" spans="1:319">
      <c r="A204" s="25">
        <f>WORLDCUP!AD124</f>
        <v>1</v>
      </c>
      <c r="B204" s="25">
        <f>WORLDCUP!AC124</f>
        <v>0</v>
      </c>
      <c r="C204" s="25" t="str">
        <f ca="1">CONCATENATE(WORLDCUP!AF124,"-",WORLDCUP!AA124)</f>
        <v>Spain-Portugal</v>
      </c>
      <c r="D204" s="25">
        <f>IF(WORLDCUP!AC124&gt;WORLDCUP!AD124,2,IF(WORLDCUP!AC124&lt;WORLDCUP!AD124,1,IF(AND(WORLDCUP!AC124=WORLDCUP!AD124,WORLDCUP!AC124&lt;&gt;"",WORLDCUP!AD124&lt;&gt;""),0,"PD")))</f>
        <v>1</v>
      </c>
      <c r="E204" s="25" t="str">
        <f>IF(OR(WORLDCUP!AD124="",WORLDCUP!AC124=""),"-",A204&amp;"-"&amp;B204)</f>
        <v>1-0</v>
      </c>
      <c r="F204" s="407">
        <f t="shared" si="1854"/>
        <v>20</v>
      </c>
      <c r="G204" s="407">
        <f ca="1">VLOOKUP(H204,Equipos!$Q$1:$R$25,2,0)</f>
        <v>21</v>
      </c>
      <c r="H204" s="65" t="str">
        <f>Idiomas!$D$261</f>
        <v>Round Of 16</v>
      </c>
      <c r="I204" s="43">
        <v>1</v>
      </c>
      <c r="J204" s="845"/>
      <c r="K204" s="56" t="str">
        <f ca="1">CONCATENATE(WORLDCUP!AA124,"-",WORLDCUP!AF124)</f>
        <v>Portugal-Spain</v>
      </c>
      <c r="L204" s="53">
        <f>IF(OR(WORLDCUP!AC124="",WORLDCUP!AD124=""),"PD",IF(WORLDCUP!AC124&gt;WORLDCUP!AD124,1,IF(WORLDCUP!AC124&lt;WORLDCUP!AD124,2,0)))</f>
        <v>2</v>
      </c>
      <c r="M204" s="55" t="str">
        <f t="shared" si="1752"/>
        <v>0-1</v>
      </c>
      <c r="N204" s="25">
        <f>WORLDCUP!AC124</f>
        <v>0</v>
      </c>
      <c r="O204" s="25">
        <f>WORLDCUP!AD124</f>
        <v>1</v>
      </c>
      <c r="P204" s="25">
        <f t="shared" si="1753"/>
        <v>-1</v>
      </c>
      <c r="Q204" s="25">
        <f t="shared" si="1754"/>
        <v>1</v>
      </c>
      <c r="R204" s="110"/>
      <c r="S204" s="74" t="s">
        <v>1982</v>
      </c>
      <c r="T204" s="73">
        <f t="shared" ca="1" si="1855"/>
        <v>0</v>
      </c>
      <c r="U204" s="110"/>
      <c r="V204" s="74" t="s">
        <v>2021</v>
      </c>
      <c r="W204" s="73">
        <f t="shared" ca="1" si="1755"/>
        <v>12</v>
      </c>
      <c r="X204" s="110"/>
      <c r="Y204" s="80" t="s">
        <v>2055</v>
      </c>
      <c r="Z204" s="73">
        <f t="shared" ca="1" si="1755"/>
        <v>0</v>
      </c>
      <c r="AA204" s="110"/>
      <c r="AB204" s="80" t="s">
        <v>2089</v>
      </c>
      <c r="AC204" s="73">
        <f t="shared" ca="1" si="1755"/>
        <v>0</v>
      </c>
      <c r="AD204" s="110"/>
      <c r="AE204" s="80" t="s">
        <v>2120</v>
      </c>
      <c r="AF204" s="73">
        <f t="shared" ca="1" si="1755"/>
        <v>0</v>
      </c>
      <c r="AG204" s="110"/>
      <c r="AH204" s="80" t="s">
        <v>2151</v>
      </c>
      <c r="AI204" s="73">
        <f t="shared" ca="1" si="1755"/>
        <v>0</v>
      </c>
      <c r="AJ204" s="110"/>
      <c r="AK204" s="80" t="s">
        <v>2151</v>
      </c>
      <c r="AL204" s="73">
        <f t="shared" ca="1" si="1755"/>
        <v>0</v>
      </c>
      <c r="AM204" s="110"/>
      <c r="AN204" s="80" t="s">
        <v>2208</v>
      </c>
      <c r="AO204" s="73">
        <f t="shared" ca="1" si="1755"/>
        <v>0</v>
      </c>
      <c r="AP204" s="110"/>
      <c r="AQ204" s="80" t="s">
        <v>2239</v>
      </c>
      <c r="AR204" s="73">
        <f t="shared" ca="1" si="1755"/>
        <v>0</v>
      </c>
      <c r="AS204" s="110"/>
      <c r="AT204" s="80" t="s">
        <v>2267</v>
      </c>
      <c r="AU204" s="73">
        <f t="shared" ca="1" si="1755"/>
        <v>0</v>
      </c>
      <c r="AV204" s="110"/>
      <c r="AW204" s="80" t="s">
        <v>2295</v>
      </c>
      <c r="AX204" s="73">
        <f t="shared" ca="1" si="1755"/>
        <v>0</v>
      </c>
      <c r="AY204" s="110"/>
      <c r="AZ204" s="80" t="s">
        <v>2315</v>
      </c>
      <c r="BA204" s="73">
        <f t="shared" ca="1" si="1755"/>
        <v>0</v>
      </c>
      <c r="BB204" s="110"/>
      <c r="BC204" s="80" t="s">
        <v>2336</v>
      </c>
      <c r="BD204" s="73">
        <f t="shared" ca="1" si="1755"/>
        <v>0</v>
      </c>
      <c r="BE204" s="110"/>
      <c r="BF204" s="80" t="s">
        <v>2360</v>
      </c>
      <c r="BG204" s="73">
        <f t="shared" ca="1" si="1755"/>
        <v>0</v>
      </c>
      <c r="BH204" s="110"/>
      <c r="BI204" s="80" t="s">
        <v>2388</v>
      </c>
      <c r="BJ204" s="73">
        <f t="shared" ca="1" si="1755"/>
        <v>0</v>
      </c>
      <c r="BK204" s="110"/>
      <c r="BL204" s="80" t="s">
        <v>2120</v>
      </c>
      <c r="BM204" s="73">
        <f t="shared" ca="1" si="1755"/>
        <v>0</v>
      </c>
      <c r="BN204" s="110"/>
      <c r="BO204" s="80" t="s">
        <v>2434</v>
      </c>
      <c r="BP204" s="73">
        <f t="shared" ca="1" si="1755"/>
        <v>12</v>
      </c>
      <c r="BQ204" s="110"/>
      <c r="BR204" s="80" t="s">
        <v>2315</v>
      </c>
      <c r="BS204" s="73">
        <f t="shared" ca="1" si="1755"/>
        <v>0</v>
      </c>
      <c r="BT204" s="110"/>
      <c r="BU204" s="80" t="s">
        <v>2089</v>
      </c>
      <c r="BV204" s="73">
        <f t="shared" ca="1" si="1755"/>
        <v>0</v>
      </c>
      <c r="BW204" s="110"/>
      <c r="BX204" s="80" t="s">
        <v>2120</v>
      </c>
      <c r="BY204" s="73">
        <f t="shared" ca="1" si="1755"/>
        <v>0</v>
      </c>
      <c r="BZ204" s="110"/>
      <c r="CA204" s="80" t="s">
        <v>2151</v>
      </c>
      <c r="CB204" s="73">
        <f t="shared" ca="1" si="1755"/>
        <v>0</v>
      </c>
      <c r="CC204" s="110"/>
      <c r="CD204" s="80" t="s">
        <v>2522</v>
      </c>
      <c r="CE204" s="73">
        <f t="shared" ca="1" si="1755"/>
        <v>0</v>
      </c>
      <c r="CF204" s="110"/>
      <c r="CG204" s="80" t="s">
        <v>2089</v>
      </c>
      <c r="CH204" s="73">
        <f t="shared" ca="1" si="1755"/>
        <v>0</v>
      </c>
      <c r="CI204" s="110"/>
      <c r="CJ204" s="80" t="s">
        <v>2336</v>
      </c>
      <c r="CK204" s="73">
        <f t="shared" ca="1" si="1777"/>
        <v>0</v>
      </c>
      <c r="CL204" s="110"/>
      <c r="CM204" s="80" t="s">
        <v>2584</v>
      </c>
      <c r="CN204" s="73">
        <f t="shared" ca="1" si="1777"/>
        <v>0</v>
      </c>
      <c r="CO204" s="110"/>
      <c r="CP204" s="80" t="s">
        <v>2089</v>
      </c>
      <c r="CQ204" s="73">
        <f t="shared" ca="1" si="1777"/>
        <v>0</v>
      </c>
      <c r="CR204" s="110"/>
      <c r="CS204" s="80" t="s">
        <v>2151</v>
      </c>
      <c r="CT204" s="73">
        <f t="shared" ca="1" si="1777"/>
        <v>0</v>
      </c>
      <c r="CU204" s="110"/>
      <c r="CV204" s="80" t="s">
        <v>2522</v>
      </c>
      <c r="CW204" s="73">
        <f t="shared" ca="1" si="1777"/>
        <v>0</v>
      </c>
      <c r="CX204" s="110"/>
      <c r="CY204" s="80" t="s">
        <v>2679</v>
      </c>
      <c r="CZ204" s="73">
        <f t="shared" ca="1" si="1777"/>
        <v>0</v>
      </c>
      <c r="DA204" s="110"/>
      <c r="DB204" s="80" t="s">
        <v>2120</v>
      </c>
      <c r="DC204" s="73">
        <f t="shared" ca="1" si="1777"/>
        <v>0</v>
      </c>
      <c r="DD204" s="110"/>
      <c r="DE204" s="80" t="s">
        <v>2360</v>
      </c>
      <c r="DF204" s="73">
        <f t="shared" ca="1" si="1777"/>
        <v>0</v>
      </c>
      <c r="DG204" s="110"/>
      <c r="DH204" s="80" t="s">
        <v>2315</v>
      </c>
      <c r="DI204" s="73">
        <f t="shared" ca="1" si="1777"/>
        <v>0</v>
      </c>
      <c r="DJ204" s="110"/>
      <c r="DK204" s="80" t="s">
        <v>2315</v>
      </c>
      <c r="DL204" s="73">
        <f t="shared" ca="1" si="1777"/>
        <v>0</v>
      </c>
      <c r="DM204" s="110"/>
      <c r="DN204" s="80" t="s">
        <v>2120</v>
      </c>
      <c r="DO204" s="73">
        <f t="shared" ca="1" si="1777"/>
        <v>0</v>
      </c>
      <c r="DP204" s="110"/>
      <c r="DQ204" s="80" t="s">
        <v>2151</v>
      </c>
      <c r="DR204" s="73">
        <f t="shared" ca="1" si="1777"/>
        <v>0</v>
      </c>
      <c r="DS204" s="110"/>
      <c r="DT204" s="80" t="s">
        <v>2151</v>
      </c>
      <c r="DU204" s="73">
        <f t="shared" ca="1" si="1777"/>
        <v>0</v>
      </c>
      <c r="DV204" s="110"/>
      <c r="DW204" s="80" t="s">
        <v>2089</v>
      </c>
      <c r="DX204" s="73">
        <f t="shared" ca="1" si="1777"/>
        <v>0</v>
      </c>
      <c r="DY204" s="110"/>
      <c r="DZ204" s="80" t="s">
        <v>2120</v>
      </c>
      <c r="EA204" s="73">
        <f t="shared" ca="1" si="1777"/>
        <v>0</v>
      </c>
      <c r="EB204" s="110"/>
      <c r="EC204" s="80" t="s">
        <v>2120</v>
      </c>
      <c r="ED204" s="73">
        <f t="shared" ca="1" si="1777"/>
        <v>0</v>
      </c>
      <c r="EE204" s="110"/>
      <c r="EF204" s="80" t="s">
        <v>2843</v>
      </c>
      <c r="EG204" s="73">
        <f t="shared" ca="1" si="1777"/>
        <v>0</v>
      </c>
      <c r="EH204" s="110"/>
      <c r="EI204" s="80" t="s">
        <v>2315</v>
      </c>
      <c r="EJ204" s="73">
        <f t="shared" ca="1" si="1777"/>
        <v>0</v>
      </c>
      <c r="EK204" s="110"/>
      <c r="EL204" s="80" t="s">
        <v>2315</v>
      </c>
      <c r="EM204" s="73">
        <f t="shared" ca="1" si="1777"/>
        <v>0</v>
      </c>
      <c r="EN204" s="110"/>
      <c r="EO204" s="80" t="s">
        <v>2584</v>
      </c>
      <c r="EP204" s="73">
        <f t="shared" ca="1" si="1777"/>
        <v>0</v>
      </c>
      <c r="EQ204" s="110"/>
      <c r="ER204" s="80" t="s">
        <v>2120</v>
      </c>
      <c r="ES204" s="73">
        <f t="shared" ca="1" si="1777"/>
        <v>0</v>
      </c>
      <c r="ET204" s="110"/>
      <c r="EU204" s="80" t="s">
        <v>2089</v>
      </c>
      <c r="EV204" s="73">
        <f t="shared" ca="1" si="1777"/>
        <v>0</v>
      </c>
      <c r="EW204" s="110"/>
      <c r="EX204" s="80" t="s">
        <v>2120</v>
      </c>
      <c r="EY204" s="73">
        <f t="shared" ca="1" si="1799"/>
        <v>0</v>
      </c>
      <c r="EZ204" s="110"/>
      <c r="FA204" s="80" t="s">
        <v>2120</v>
      </c>
      <c r="FB204" s="73">
        <f t="shared" ca="1" si="1799"/>
        <v>0</v>
      </c>
      <c r="FC204" s="110"/>
      <c r="FD204" s="80" t="s">
        <v>2315</v>
      </c>
      <c r="FE204" s="73">
        <f t="shared" ca="1" si="1799"/>
        <v>0</v>
      </c>
      <c r="FF204" s="110"/>
      <c r="FG204" s="80" t="s">
        <v>2959</v>
      </c>
      <c r="FH204" s="73">
        <f t="shared" ca="1" si="1799"/>
        <v>0</v>
      </c>
      <c r="FI204" s="110"/>
      <c r="FJ204" s="80" t="s">
        <v>2089</v>
      </c>
      <c r="FK204" s="73">
        <f t="shared" ca="1" si="1799"/>
        <v>0</v>
      </c>
      <c r="FL204" s="110"/>
      <c r="FM204" s="80" t="s">
        <v>2151</v>
      </c>
      <c r="FN204" s="73">
        <f t="shared" ca="1" si="1799"/>
        <v>0</v>
      </c>
      <c r="FO204" s="110"/>
      <c r="FP204" s="80" t="s">
        <v>2360</v>
      </c>
      <c r="FQ204" s="73">
        <f t="shared" ca="1" si="1799"/>
        <v>0</v>
      </c>
      <c r="FR204" s="110"/>
      <c r="FS204" s="80" t="s">
        <v>2120</v>
      </c>
      <c r="FT204" s="73">
        <f t="shared" ca="1" si="1799"/>
        <v>0</v>
      </c>
      <c r="FU204" s="110"/>
      <c r="FV204" s="80" t="s">
        <v>2089</v>
      </c>
      <c r="FW204" s="73">
        <f t="shared" ca="1" si="1799"/>
        <v>0</v>
      </c>
      <c r="FX204" s="110"/>
      <c r="FY204" s="80" t="s">
        <v>2089</v>
      </c>
      <c r="FZ204" s="73">
        <f t="shared" ca="1" si="1799"/>
        <v>0</v>
      </c>
      <c r="GA204" s="110"/>
      <c r="GB204" s="80" t="s">
        <v>2151</v>
      </c>
      <c r="GC204" s="73">
        <f t="shared" ca="1" si="1799"/>
        <v>0</v>
      </c>
      <c r="GD204" s="110"/>
      <c r="GE204" s="80" t="s">
        <v>2089</v>
      </c>
      <c r="GF204" s="73">
        <f t="shared" ca="1" si="1799"/>
        <v>0</v>
      </c>
      <c r="GG204" s="110"/>
      <c r="GH204" s="80" t="s">
        <v>3047</v>
      </c>
      <c r="GI204" s="73">
        <f t="shared" ca="1" si="1799"/>
        <v>0</v>
      </c>
      <c r="GJ204" s="110"/>
      <c r="GK204" s="80" t="s">
        <v>2151</v>
      </c>
      <c r="GL204" s="73">
        <f t="shared" ca="1" si="1799"/>
        <v>0</v>
      </c>
      <c r="GM204" s="110"/>
      <c r="GN204" s="80"/>
      <c r="GO204" s="73">
        <f t="shared" ca="1" si="1799"/>
        <v>0</v>
      </c>
      <c r="GP204" s="110"/>
      <c r="GQ204" s="80"/>
      <c r="GR204" s="73">
        <f t="shared" ca="1" si="1799"/>
        <v>0</v>
      </c>
      <c r="GS204" s="110"/>
      <c r="GT204" s="80"/>
      <c r="GU204" s="73">
        <f t="shared" ca="1" si="1799"/>
        <v>0</v>
      </c>
      <c r="GV204" s="110"/>
      <c r="GW204" s="80"/>
      <c r="GX204" s="73">
        <f t="shared" ca="1" si="1799"/>
        <v>0</v>
      </c>
      <c r="GY204" s="110"/>
      <c r="GZ204" s="80"/>
      <c r="HA204" s="73">
        <f t="shared" ca="1" si="1799"/>
        <v>0</v>
      </c>
      <c r="HB204" s="110"/>
      <c r="HC204" s="80"/>
      <c r="HD204" s="73">
        <f t="shared" ca="1" si="1799"/>
        <v>0</v>
      </c>
      <c r="HE204" s="110"/>
      <c r="HF204" s="80"/>
      <c r="HG204" s="73">
        <f t="shared" ca="1" si="1799"/>
        <v>0</v>
      </c>
      <c r="HH204" s="110"/>
      <c r="HI204" s="80"/>
      <c r="HJ204" s="73">
        <f t="shared" ca="1" si="1799"/>
        <v>0</v>
      </c>
      <c r="HK204" s="110"/>
      <c r="HL204" s="80"/>
      <c r="HM204" s="73">
        <f t="shared" ca="1" si="1821"/>
        <v>0</v>
      </c>
      <c r="HN204" s="110"/>
      <c r="HO204" s="80"/>
      <c r="HP204" s="73">
        <f t="shared" ca="1" si="1821"/>
        <v>0</v>
      </c>
      <c r="HQ204" s="110"/>
      <c r="HR204" s="80"/>
      <c r="HS204" s="73">
        <f t="shared" ca="1" si="1821"/>
        <v>0</v>
      </c>
      <c r="HT204" s="110"/>
      <c r="HU204" s="80"/>
      <c r="HV204" s="73">
        <f t="shared" ca="1" si="1821"/>
        <v>0</v>
      </c>
      <c r="HW204" s="110"/>
      <c r="HX204" s="80"/>
      <c r="HY204" s="73">
        <f t="shared" ca="1" si="1821"/>
        <v>0</v>
      </c>
      <c r="HZ204" s="110"/>
      <c r="IA204" s="80"/>
      <c r="IB204" s="73">
        <f t="shared" ca="1" si="1821"/>
        <v>0</v>
      </c>
      <c r="IC204" s="110"/>
      <c r="ID204" s="80"/>
      <c r="IE204" s="73">
        <f t="shared" ca="1" si="1821"/>
        <v>0</v>
      </c>
      <c r="IF204" s="110"/>
      <c r="IG204" s="80"/>
      <c r="IH204" s="73">
        <f t="shared" ca="1" si="1821"/>
        <v>0</v>
      </c>
      <c r="II204" s="110"/>
      <c r="IJ204" s="80"/>
      <c r="IK204" s="73">
        <f t="shared" ca="1" si="1821"/>
        <v>0</v>
      </c>
      <c r="IL204" s="110"/>
      <c r="IM204" s="80"/>
      <c r="IN204" s="73">
        <f t="shared" ca="1" si="1821"/>
        <v>0</v>
      </c>
      <c r="IO204" s="110"/>
      <c r="IP204" s="80"/>
      <c r="IQ204" s="73">
        <f t="shared" ca="1" si="1821"/>
        <v>0</v>
      </c>
      <c r="IR204" s="110"/>
      <c r="IS204" s="80"/>
      <c r="IT204" s="73">
        <f t="shared" ca="1" si="1821"/>
        <v>0</v>
      </c>
      <c r="IU204" s="110"/>
      <c r="IV204" s="80"/>
      <c r="IW204" s="73">
        <f t="shared" ca="1" si="1821"/>
        <v>0</v>
      </c>
      <c r="IX204" s="110"/>
      <c r="IY204" s="80"/>
      <c r="IZ204" s="73">
        <f t="shared" ca="1" si="1821"/>
        <v>0</v>
      </c>
      <c r="JA204" s="110"/>
      <c r="JB204" s="80"/>
      <c r="JC204" s="73">
        <f t="shared" ca="1" si="1821"/>
        <v>0</v>
      </c>
      <c r="JD204" s="110"/>
      <c r="JE204" s="80"/>
      <c r="JF204" s="73">
        <f t="shared" ca="1" si="1821"/>
        <v>0</v>
      </c>
      <c r="JG204" s="110"/>
      <c r="JH204" s="80"/>
      <c r="JI204" s="73">
        <f t="shared" ca="1" si="1821"/>
        <v>0</v>
      </c>
      <c r="JJ204" s="110"/>
      <c r="JK204" s="80"/>
      <c r="JL204" s="73">
        <f t="shared" ca="1" si="1821"/>
        <v>0</v>
      </c>
      <c r="JM204" s="110"/>
      <c r="JN204" s="80"/>
      <c r="JO204" s="73">
        <f t="shared" ca="1" si="1821"/>
        <v>0</v>
      </c>
      <c r="JP204" s="110"/>
      <c r="JQ204" s="80"/>
      <c r="JR204" s="73">
        <f t="shared" ca="1" si="1821"/>
        <v>0</v>
      </c>
      <c r="JS204" s="110"/>
      <c r="JT204" s="80"/>
      <c r="JU204" s="73">
        <f t="shared" ca="1" si="1821"/>
        <v>0</v>
      </c>
      <c r="JV204" s="110"/>
      <c r="JW204" s="80"/>
      <c r="JX204" s="73">
        <f t="shared" ca="1" si="1821"/>
        <v>0</v>
      </c>
      <c r="JY204" s="110"/>
      <c r="JZ204" s="80"/>
      <c r="KA204" s="73">
        <f t="shared" ca="1" si="1843"/>
        <v>0</v>
      </c>
      <c r="KB204" s="110"/>
      <c r="KC204" s="80"/>
      <c r="KD204" s="73">
        <f t="shared" ca="1" si="1843"/>
        <v>0</v>
      </c>
      <c r="KE204" s="110"/>
      <c r="KF204" s="80"/>
      <c r="KG204" s="73">
        <f t="shared" ca="1" si="1843"/>
        <v>0</v>
      </c>
      <c r="KH204" s="110"/>
      <c r="KI204" s="80"/>
      <c r="KJ204" s="73">
        <f t="shared" ca="1" si="1843"/>
        <v>0</v>
      </c>
      <c r="KK204" s="110"/>
      <c r="KL204" s="80"/>
      <c r="KM204" s="73">
        <f t="shared" ca="1" si="1843"/>
        <v>0</v>
      </c>
      <c r="KN204" s="110"/>
      <c r="KO204" s="80"/>
      <c r="KP204" s="73">
        <f t="shared" ca="1" si="1843"/>
        <v>0</v>
      </c>
      <c r="KQ204" s="110"/>
      <c r="KR204" s="80"/>
      <c r="KS204" s="73">
        <f t="shared" ca="1" si="1843"/>
        <v>0</v>
      </c>
      <c r="KT204" s="110"/>
      <c r="KU204" s="80"/>
      <c r="KV204" s="73">
        <f t="shared" ca="1" si="1843"/>
        <v>0</v>
      </c>
      <c r="KW204" s="110"/>
      <c r="KX204" s="80"/>
      <c r="KY204" s="73">
        <f t="shared" ca="1" si="1843"/>
        <v>0</v>
      </c>
      <c r="KZ204" s="110"/>
      <c r="LA204" s="80"/>
      <c r="LB204" s="73">
        <f t="shared" ca="1" si="1843"/>
        <v>0</v>
      </c>
      <c r="LC204" s="110"/>
      <c r="LD204" s="80"/>
      <c r="LE204" s="73">
        <f t="shared" ca="1" si="1843"/>
        <v>0</v>
      </c>
      <c r="LF204" s="110"/>
      <c r="LG204" s="110"/>
    </row>
    <row r="205" spans="1:319">
      <c r="A205" s="25">
        <f>WORLDCUP!AD125</f>
        <v>4</v>
      </c>
      <c r="B205" s="25">
        <f>WORLDCUP!AC125</f>
        <v>1</v>
      </c>
      <c r="C205" s="25" t="str">
        <f ca="1">CONCATENATE(WORLDCUP!AF125,"-",WORLDCUP!AA125)</f>
        <v>Belgium-United States</v>
      </c>
      <c r="D205" s="25">
        <f>IF(WORLDCUP!AC125&gt;WORLDCUP!AD125,2,IF(WORLDCUP!AC125&lt;WORLDCUP!AD125,1,IF(AND(WORLDCUP!AC125=WORLDCUP!AD125,WORLDCUP!AC125&lt;&gt;"",WORLDCUP!AD125&lt;&gt;""),0,"PD")))</f>
        <v>1</v>
      </c>
      <c r="E205" s="25" t="str">
        <f>IF(OR(WORLDCUP!AD125="",WORLDCUP!AC125=""),"-",A205&amp;"-"&amp;B205)</f>
        <v>4-1</v>
      </c>
      <c r="F205" s="407">
        <f t="shared" si="1854"/>
        <v>20</v>
      </c>
      <c r="G205" s="407">
        <f ca="1">VLOOKUP(H205,Equipos!$Q$1:$R$25,2,0)</f>
        <v>21</v>
      </c>
      <c r="H205" s="65" t="str">
        <f>Idiomas!$D$261</f>
        <v>Round Of 16</v>
      </c>
      <c r="I205" s="43">
        <v>1</v>
      </c>
      <c r="J205" s="845"/>
      <c r="K205" s="56" t="str">
        <f ca="1">CONCATENATE(WORLDCUP!AA125,"-",WORLDCUP!AF125)</f>
        <v>United States-Belgium</v>
      </c>
      <c r="L205" s="53">
        <f>IF(OR(WORLDCUP!AC125="",WORLDCUP!AD125=""),"PD",IF(WORLDCUP!AC125&gt;WORLDCUP!AD125,1,IF(WORLDCUP!AC125&lt;WORLDCUP!AD125,2,0)))</f>
        <v>2</v>
      </c>
      <c r="M205" s="55" t="str">
        <f t="shared" si="1752"/>
        <v>1-4</v>
      </c>
      <c r="N205" s="25">
        <f>WORLDCUP!AC125</f>
        <v>1</v>
      </c>
      <c r="O205" s="25">
        <f>WORLDCUP!AD125</f>
        <v>4</v>
      </c>
      <c r="P205" s="25">
        <f t="shared" si="1753"/>
        <v>-3</v>
      </c>
      <c r="Q205" s="25">
        <f t="shared" si="1754"/>
        <v>3</v>
      </c>
      <c r="R205" s="110"/>
      <c r="S205" s="74" t="s">
        <v>1983</v>
      </c>
      <c r="T205" s="73">
        <f t="shared" ca="1" si="1855"/>
        <v>0</v>
      </c>
      <c r="U205" s="110"/>
      <c r="V205" s="74" t="s">
        <v>2022</v>
      </c>
      <c r="W205" s="73">
        <f t="shared" ca="1" si="1755"/>
        <v>10</v>
      </c>
      <c r="X205" s="110"/>
      <c r="Y205" s="80" t="s">
        <v>2056</v>
      </c>
      <c r="Z205" s="73">
        <f t="shared" ca="1" si="1755"/>
        <v>10</v>
      </c>
      <c r="AA205" s="110"/>
      <c r="AB205" s="80" t="s">
        <v>2090</v>
      </c>
      <c r="AC205" s="73">
        <f t="shared" ca="1" si="1755"/>
        <v>10</v>
      </c>
      <c r="AD205" s="110"/>
      <c r="AE205" s="80" t="s">
        <v>2090</v>
      </c>
      <c r="AF205" s="73">
        <f t="shared" ca="1" si="1755"/>
        <v>10</v>
      </c>
      <c r="AG205" s="110"/>
      <c r="AH205" s="80" t="s">
        <v>2152</v>
      </c>
      <c r="AI205" s="73">
        <f t="shared" ca="1" si="1755"/>
        <v>0</v>
      </c>
      <c r="AJ205" s="110"/>
      <c r="AK205" s="80" t="s">
        <v>2056</v>
      </c>
      <c r="AL205" s="73">
        <f t="shared" ca="1" si="1755"/>
        <v>10</v>
      </c>
      <c r="AM205" s="110"/>
      <c r="AN205" s="80" t="s">
        <v>2209</v>
      </c>
      <c r="AO205" s="73">
        <f t="shared" ca="1" si="1755"/>
        <v>0</v>
      </c>
      <c r="AP205" s="110"/>
      <c r="AQ205" s="80" t="s">
        <v>2056</v>
      </c>
      <c r="AR205" s="73">
        <f t="shared" ca="1" si="1755"/>
        <v>10</v>
      </c>
      <c r="AS205" s="110"/>
      <c r="AT205" s="80" t="s">
        <v>2268</v>
      </c>
      <c r="AU205" s="73">
        <f t="shared" ca="1" si="1755"/>
        <v>0</v>
      </c>
      <c r="AV205" s="110"/>
      <c r="AW205" s="80" t="s">
        <v>2296</v>
      </c>
      <c r="AX205" s="73">
        <f t="shared" ca="1" si="1755"/>
        <v>0</v>
      </c>
      <c r="AY205" s="110"/>
      <c r="AZ205" s="80" t="s">
        <v>2316</v>
      </c>
      <c r="BA205" s="73">
        <f t="shared" ca="1" si="1755"/>
        <v>0</v>
      </c>
      <c r="BB205" s="110"/>
      <c r="BC205" s="80" t="s">
        <v>1975</v>
      </c>
      <c r="BD205" s="73">
        <f t="shared" ca="1" si="1755"/>
        <v>0</v>
      </c>
      <c r="BE205" s="110"/>
      <c r="BF205" s="80" t="s">
        <v>2090</v>
      </c>
      <c r="BG205" s="73">
        <f t="shared" ca="1" si="1755"/>
        <v>10</v>
      </c>
      <c r="BH205" s="110"/>
      <c r="BI205" s="80" t="s">
        <v>2389</v>
      </c>
      <c r="BJ205" s="73">
        <f t="shared" ca="1" si="1755"/>
        <v>0</v>
      </c>
      <c r="BK205" s="110"/>
      <c r="BL205" s="80" t="s">
        <v>2056</v>
      </c>
      <c r="BM205" s="73">
        <f t="shared" ca="1" si="1755"/>
        <v>10</v>
      </c>
      <c r="BN205" s="110"/>
      <c r="BO205" s="80" t="s">
        <v>2435</v>
      </c>
      <c r="BP205" s="73">
        <f t="shared" ca="1" si="1755"/>
        <v>0</v>
      </c>
      <c r="BQ205" s="110"/>
      <c r="BR205" s="80" t="s">
        <v>2457</v>
      </c>
      <c r="BS205" s="73">
        <f t="shared" ca="1" si="1755"/>
        <v>0</v>
      </c>
      <c r="BT205" s="110"/>
      <c r="BU205" s="80" t="s">
        <v>2316</v>
      </c>
      <c r="BV205" s="73">
        <f t="shared" ca="1" si="1755"/>
        <v>0</v>
      </c>
      <c r="BW205" s="110"/>
      <c r="BX205" s="80" t="s">
        <v>2056</v>
      </c>
      <c r="BY205" s="73">
        <f t="shared" ca="1" si="1755"/>
        <v>10</v>
      </c>
      <c r="BZ205" s="110"/>
      <c r="CA205" s="80" t="s">
        <v>2504</v>
      </c>
      <c r="CB205" s="73">
        <f t="shared" ca="1" si="1755"/>
        <v>0</v>
      </c>
      <c r="CC205" s="110"/>
      <c r="CD205" s="80" t="s">
        <v>2523</v>
      </c>
      <c r="CE205" s="73">
        <f t="shared" ca="1" si="1755"/>
        <v>0</v>
      </c>
      <c r="CF205" s="110"/>
      <c r="CG205" s="80" t="s">
        <v>2201</v>
      </c>
      <c r="CH205" s="73">
        <f t="shared" ca="1" si="1755"/>
        <v>0</v>
      </c>
      <c r="CI205" s="110"/>
      <c r="CJ205" s="80" t="s">
        <v>2560</v>
      </c>
      <c r="CK205" s="73">
        <f t="shared" ca="1" si="1777"/>
        <v>0</v>
      </c>
      <c r="CL205" s="110"/>
      <c r="CM205" s="80" t="s">
        <v>2296</v>
      </c>
      <c r="CN205" s="73">
        <f t="shared" ca="1" si="1777"/>
        <v>0</v>
      </c>
      <c r="CO205" s="110"/>
      <c r="CP205" s="80" t="s">
        <v>2596</v>
      </c>
      <c r="CQ205" s="73">
        <f t="shared" ca="1" si="1777"/>
        <v>10</v>
      </c>
      <c r="CR205" s="110"/>
      <c r="CS205" s="80" t="s">
        <v>2624</v>
      </c>
      <c r="CT205" s="73">
        <f t="shared" ca="1" si="1777"/>
        <v>0</v>
      </c>
      <c r="CU205" s="110"/>
      <c r="CV205" s="80" t="s">
        <v>2647</v>
      </c>
      <c r="CW205" s="73">
        <f t="shared" ca="1" si="1777"/>
        <v>0</v>
      </c>
      <c r="CX205" s="110"/>
      <c r="CY205" s="80" t="s">
        <v>2680</v>
      </c>
      <c r="CZ205" s="73">
        <f t="shared" ca="1" si="1777"/>
        <v>0</v>
      </c>
      <c r="DA205" s="110"/>
      <c r="DB205" s="80" t="s">
        <v>2705</v>
      </c>
      <c r="DC205" s="73">
        <f t="shared" ca="1" si="1777"/>
        <v>0</v>
      </c>
      <c r="DD205" s="110"/>
      <c r="DE205" s="80" t="s">
        <v>2056</v>
      </c>
      <c r="DF205" s="73">
        <f t="shared" ca="1" si="1777"/>
        <v>10</v>
      </c>
      <c r="DG205" s="110"/>
      <c r="DH205" s="80" t="s">
        <v>2736</v>
      </c>
      <c r="DI205" s="73">
        <f t="shared" ca="1" si="1777"/>
        <v>0</v>
      </c>
      <c r="DJ205" s="110"/>
      <c r="DK205" s="80" t="s">
        <v>2596</v>
      </c>
      <c r="DL205" s="73">
        <f t="shared" ca="1" si="1777"/>
        <v>10</v>
      </c>
      <c r="DM205" s="110"/>
      <c r="DN205" s="80" t="s">
        <v>2768</v>
      </c>
      <c r="DO205" s="73">
        <f t="shared" ca="1" si="1777"/>
        <v>0</v>
      </c>
      <c r="DP205" s="110"/>
      <c r="DQ205" s="80" t="s">
        <v>2620</v>
      </c>
      <c r="DR205" s="73">
        <f t="shared" ca="1" si="1777"/>
        <v>0</v>
      </c>
      <c r="DS205" s="110"/>
      <c r="DT205" s="80" t="s">
        <v>2797</v>
      </c>
      <c r="DU205" s="73">
        <f t="shared" ca="1" si="1777"/>
        <v>0</v>
      </c>
      <c r="DV205" s="110"/>
      <c r="DW205" s="80" t="s">
        <v>2811</v>
      </c>
      <c r="DX205" s="73">
        <f t="shared" ca="1" si="1777"/>
        <v>0</v>
      </c>
      <c r="DY205" s="110"/>
      <c r="DZ205" s="80" t="s">
        <v>2056</v>
      </c>
      <c r="EA205" s="73">
        <f t="shared" ca="1" si="1777"/>
        <v>10</v>
      </c>
      <c r="EB205" s="110"/>
      <c r="EC205" s="80" t="s">
        <v>2056</v>
      </c>
      <c r="ED205" s="73">
        <f t="shared" ca="1" si="1777"/>
        <v>10</v>
      </c>
      <c r="EE205" s="110"/>
      <c r="EF205" s="80" t="s">
        <v>2844</v>
      </c>
      <c r="EG205" s="73">
        <f t="shared" ca="1" si="1777"/>
        <v>0</v>
      </c>
      <c r="EH205" s="110"/>
      <c r="EI205" s="80" t="s">
        <v>2316</v>
      </c>
      <c r="EJ205" s="73">
        <f t="shared" ca="1" si="1777"/>
        <v>0</v>
      </c>
      <c r="EK205" s="110"/>
      <c r="EL205" s="80" t="s">
        <v>2428</v>
      </c>
      <c r="EM205" s="73">
        <f t="shared" ca="1" si="1777"/>
        <v>0</v>
      </c>
      <c r="EN205" s="110"/>
      <c r="EO205" s="80" t="s">
        <v>2022</v>
      </c>
      <c r="EP205" s="73">
        <f t="shared" ca="1" si="1777"/>
        <v>10</v>
      </c>
      <c r="EQ205" s="110"/>
      <c r="ER205" s="80" t="s">
        <v>2892</v>
      </c>
      <c r="ES205" s="73">
        <f t="shared" ca="1" si="1777"/>
        <v>0</v>
      </c>
      <c r="ET205" s="110"/>
      <c r="EU205" s="80" t="s">
        <v>2892</v>
      </c>
      <c r="EV205" s="73">
        <f t="shared" ca="1" si="1777"/>
        <v>0</v>
      </c>
      <c r="EW205" s="110"/>
      <c r="EX205" s="80" t="s">
        <v>2428</v>
      </c>
      <c r="EY205" s="73">
        <f t="shared" ca="1" si="1799"/>
        <v>0</v>
      </c>
      <c r="EZ205" s="110"/>
      <c r="FA205" s="80" t="s">
        <v>2929</v>
      </c>
      <c r="FB205" s="73">
        <f t="shared" ca="1" si="1799"/>
        <v>0</v>
      </c>
      <c r="FC205" s="110"/>
      <c r="FD205" s="80" t="s">
        <v>2056</v>
      </c>
      <c r="FE205" s="73">
        <f t="shared" ca="1" si="1799"/>
        <v>10</v>
      </c>
      <c r="FF205" s="110"/>
      <c r="FG205" s="80" t="s">
        <v>2960</v>
      </c>
      <c r="FH205" s="73">
        <f t="shared" ca="1" si="1799"/>
        <v>0</v>
      </c>
      <c r="FI205" s="110"/>
      <c r="FJ205" s="80" t="s">
        <v>2316</v>
      </c>
      <c r="FK205" s="73">
        <f t="shared" ca="1" si="1799"/>
        <v>0</v>
      </c>
      <c r="FL205" s="110"/>
      <c r="FM205" s="80" t="s">
        <v>2316</v>
      </c>
      <c r="FN205" s="73">
        <f t="shared" ca="1" si="1799"/>
        <v>0</v>
      </c>
      <c r="FO205" s="110"/>
      <c r="FP205" s="80" t="s">
        <v>2316</v>
      </c>
      <c r="FQ205" s="73">
        <f t="shared" ca="1" si="1799"/>
        <v>0</v>
      </c>
      <c r="FR205" s="110"/>
      <c r="FS205" s="80" t="s">
        <v>2428</v>
      </c>
      <c r="FT205" s="73">
        <f t="shared" ca="1" si="1799"/>
        <v>0</v>
      </c>
      <c r="FU205" s="110"/>
      <c r="FV205" s="80" t="s">
        <v>2428</v>
      </c>
      <c r="FW205" s="73">
        <f t="shared" ca="1" si="1799"/>
        <v>0</v>
      </c>
      <c r="FX205" s="110"/>
      <c r="FY205" s="80" t="s">
        <v>3009</v>
      </c>
      <c r="FZ205" s="73">
        <f t="shared" ca="1" si="1799"/>
        <v>0</v>
      </c>
      <c r="GA205" s="110"/>
      <c r="GB205" s="80" t="s">
        <v>2316</v>
      </c>
      <c r="GC205" s="73">
        <f t="shared" ca="1" si="1799"/>
        <v>0</v>
      </c>
      <c r="GD205" s="110"/>
      <c r="GE205" s="80" t="s">
        <v>2596</v>
      </c>
      <c r="GF205" s="73">
        <f t="shared" ca="1" si="1799"/>
        <v>10</v>
      </c>
      <c r="GG205" s="110"/>
      <c r="GH205" s="80" t="s">
        <v>3048</v>
      </c>
      <c r="GI205" s="73">
        <f t="shared" ca="1" si="1799"/>
        <v>0</v>
      </c>
      <c r="GJ205" s="110"/>
      <c r="GK205" s="80" t="s">
        <v>3062</v>
      </c>
      <c r="GL205" s="73">
        <f t="shared" ca="1" si="1799"/>
        <v>0</v>
      </c>
      <c r="GM205" s="110"/>
      <c r="GN205" s="80"/>
      <c r="GO205" s="73">
        <f t="shared" ca="1" si="1799"/>
        <v>0</v>
      </c>
      <c r="GP205" s="110"/>
      <c r="GQ205" s="80"/>
      <c r="GR205" s="73">
        <f t="shared" ca="1" si="1799"/>
        <v>0</v>
      </c>
      <c r="GS205" s="110"/>
      <c r="GT205" s="80"/>
      <c r="GU205" s="73">
        <f t="shared" ca="1" si="1799"/>
        <v>0</v>
      </c>
      <c r="GV205" s="110"/>
      <c r="GW205" s="80"/>
      <c r="GX205" s="73">
        <f t="shared" ca="1" si="1799"/>
        <v>0</v>
      </c>
      <c r="GY205" s="110"/>
      <c r="GZ205" s="80"/>
      <c r="HA205" s="73">
        <f t="shared" ca="1" si="1799"/>
        <v>0</v>
      </c>
      <c r="HB205" s="110"/>
      <c r="HC205" s="80"/>
      <c r="HD205" s="73">
        <f t="shared" ca="1" si="1799"/>
        <v>0</v>
      </c>
      <c r="HE205" s="110"/>
      <c r="HF205" s="80"/>
      <c r="HG205" s="73">
        <f t="shared" ca="1" si="1799"/>
        <v>0</v>
      </c>
      <c r="HH205" s="110"/>
      <c r="HI205" s="80"/>
      <c r="HJ205" s="73">
        <f t="shared" ca="1" si="1799"/>
        <v>0</v>
      </c>
      <c r="HK205" s="110"/>
      <c r="HL205" s="80"/>
      <c r="HM205" s="73">
        <f t="shared" ca="1" si="1821"/>
        <v>0</v>
      </c>
      <c r="HN205" s="110"/>
      <c r="HO205" s="80"/>
      <c r="HP205" s="73">
        <f t="shared" ca="1" si="1821"/>
        <v>0</v>
      </c>
      <c r="HQ205" s="110"/>
      <c r="HR205" s="80"/>
      <c r="HS205" s="73">
        <f t="shared" ca="1" si="1821"/>
        <v>0</v>
      </c>
      <c r="HT205" s="110"/>
      <c r="HU205" s="80"/>
      <c r="HV205" s="73">
        <f t="shared" ca="1" si="1821"/>
        <v>0</v>
      </c>
      <c r="HW205" s="110"/>
      <c r="HX205" s="80"/>
      <c r="HY205" s="73">
        <f t="shared" ca="1" si="1821"/>
        <v>0</v>
      </c>
      <c r="HZ205" s="110"/>
      <c r="IA205" s="80"/>
      <c r="IB205" s="73">
        <f t="shared" ca="1" si="1821"/>
        <v>0</v>
      </c>
      <c r="IC205" s="110"/>
      <c r="ID205" s="80"/>
      <c r="IE205" s="73">
        <f t="shared" ca="1" si="1821"/>
        <v>0</v>
      </c>
      <c r="IF205" s="110"/>
      <c r="IG205" s="80"/>
      <c r="IH205" s="73">
        <f t="shared" ca="1" si="1821"/>
        <v>0</v>
      </c>
      <c r="II205" s="110"/>
      <c r="IJ205" s="80"/>
      <c r="IK205" s="73">
        <f t="shared" ca="1" si="1821"/>
        <v>0</v>
      </c>
      <c r="IL205" s="110"/>
      <c r="IM205" s="80"/>
      <c r="IN205" s="73">
        <f t="shared" ca="1" si="1821"/>
        <v>0</v>
      </c>
      <c r="IO205" s="110"/>
      <c r="IP205" s="80"/>
      <c r="IQ205" s="73">
        <f t="shared" ca="1" si="1821"/>
        <v>0</v>
      </c>
      <c r="IR205" s="110"/>
      <c r="IS205" s="80"/>
      <c r="IT205" s="73">
        <f t="shared" ca="1" si="1821"/>
        <v>0</v>
      </c>
      <c r="IU205" s="110"/>
      <c r="IV205" s="80"/>
      <c r="IW205" s="73">
        <f t="shared" ca="1" si="1821"/>
        <v>0</v>
      </c>
      <c r="IX205" s="110"/>
      <c r="IY205" s="80"/>
      <c r="IZ205" s="73">
        <f t="shared" ca="1" si="1821"/>
        <v>0</v>
      </c>
      <c r="JA205" s="110"/>
      <c r="JB205" s="80"/>
      <c r="JC205" s="73">
        <f t="shared" ca="1" si="1821"/>
        <v>0</v>
      </c>
      <c r="JD205" s="110"/>
      <c r="JE205" s="80"/>
      <c r="JF205" s="73">
        <f t="shared" ca="1" si="1821"/>
        <v>0</v>
      </c>
      <c r="JG205" s="110"/>
      <c r="JH205" s="80"/>
      <c r="JI205" s="73">
        <f t="shared" ca="1" si="1821"/>
        <v>0</v>
      </c>
      <c r="JJ205" s="110"/>
      <c r="JK205" s="80"/>
      <c r="JL205" s="73">
        <f t="shared" ca="1" si="1821"/>
        <v>0</v>
      </c>
      <c r="JM205" s="110"/>
      <c r="JN205" s="80"/>
      <c r="JO205" s="73">
        <f t="shared" ca="1" si="1821"/>
        <v>0</v>
      </c>
      <c r="JP205" s="110"/>
      <c r="JQ205" s="80"/>
      <c r="JR205" s="73">
        <f t="shared" ca="1" si="1821"/>
        <v>0</v>
      </c>
      <c r="JS205" s="110"/>
      <c r="JT205" s="80"/>
      <c r="JU205" s="73">
        <f t="shared" ca="1" si="1821"/>
        <v>0</v>
      </c>
      <c r="JV205" s="110"/>
      <c r="JW205" s="80"/>
      <c r="JX205" s="73">
        <f t="shared" ca="1" si="1821"/>
        <v>0</v>
      </c>
      <c r="JY205" s="110"/>
      <c r="JZ205" s="80"/>
      <c r="KA205" s="73">
        <f t="shared" ca="1" si="1843"/>
        <v>0</v>
      </c>
      <c r="KB205" s="110"/>
      <c r="KC205" s="80"/>
      <c r="KD205" s="73">
        <f t="shared" ca="1" si="1843"/>
        <v>0</v>
      </c>
      <c r="KE205" s="110"/>
      <c r="KF205" s="80"/>
      <c r="KG205" s="73">
        <f t="shared" ca="1" si="1843"/>
        <v>0</v>
      </c>
      <c r="KH205" s="110"/>
      <c r="KI205" s="80"/>
      <c r="KJ205" s="73">
        <f t="shared" ca="1" si="1843"/>
        <v>0</v>
      </c>
      <c r="KK205" s="110"/>
      <c r="KL205" s="80"/>
      <c r="KM205" s="73">
        <f t="shared" ca="1" si="1843"/>
        <v>0</v>
      </c>
      <c r="KN205" s="110"/>
      <c r="KO205" s="80"/>
      <c r="KP205" s="73">
        <f t="shared" ca="1" si="1843"/>
        <v>0</v>
      </c>
      <c r="KQ205" s="110"/>
      <c r="KR205" s="80"/>
      <c r="KS205" s="73">
        <f t="shared" ca="1" si="1843"/>
        <v>0</v>
      </c>
      <c r="KT205" s="110"/>
      <c r="KU205" s="80"/>
      <c r="KV205" s="73">
        <f t="shared" ca="1" si="1843"/>
        <v>0</v>
      </c>
      <c r="KW205" s="110"/>
      <c r="KX205" s="80"/>
      <c r="KY205" s="73">
        <f t="shared" ca="1" si="1843"/>
        <v>0</v>
      </c>
      <c r="KZ205" s="110"/>
      <c r="LA205" s="80"/>
      <c r="LB205" s="73">
        <f t="shared" ca="1" si="1843"/>
        <v>0</v>
      </c>
      <c r="LC205" s="110"/>
      <c r="LD205" s="80"/>
      <c r="LE205" s="73">
        <f t="shared" ca="1" si="1843"/>
        <v>0</v>
      </c>
      <c r="LF205" s="110"/>
      <c r="LG205" s="110"/>
    </row>
    <row r="206" spans="1:319">
      <c r="A206" s="25">
        <f>WORLDCUP!AD126</f>
        <v>2</v>
      </c>
      <c r="B206" s="25">
        <f>WORLDCUP!AC126</f>
        <v>3</v>
      </c>
      <c r="C206" s="25" t="str">
        <f ca="1">CONCATENATE(WORLDCUP!AF126,"-",WORLDCUP!AA126)</f>
        <v>Egypt-Argentina</v>
      </c>
      <c r="D206" s="25">
        <f>IF(WORLDCUP!AC126&gt;WORLDCUP!AD126,2,IF(WORLDCUP!AC126&lt;WORLDCUP!AD126,1,IF(AND(WORLDCUP!AC126=WORLDCUP!AD126,WORLDCUP!AC126&lt;&gt;"",WORLDCUP!AD126&lt;&gt;""),0,"PD")))</f>
        <v>2</v>
      </c>
      <c r="E206" s="25" t="str">
        <f>IF(OR(WORLDCUP!AD126="",WORLDCUP!AC126=""),"-",A206&amp;"-"&amp;B206)</f>
        <v>2-3</v>
      </c>
      <c r="F206" s="407">
        <f t="shared" si="1854"/>
        <v>20</v>
      </c>
      <c r="G206" s="407">
        <f ca="1">VLOOKUP(H206,Equipos!$Q$1:$R$25,2,0)</f>
        <v>21</v>
      </c>
      <c r="H206" s="65" t="str">
        <f>Idiomas!$D$261</f>
        <v>Round Of 16</v>
      </c>
      <c r="I206" s="43">
        <v>1</v>
      </c>
      <c r="J206" s="845"/>
      <c r="K206" s="56" t="str">
        <f ca="1">CONCATENATE(WORLDCUP!AA126,"-",WORLDCUP!AF126)</f>
        <v>Argentina-Egypt</v>
      </c>
      <c r="L206" s="53">
        <f>IF(OR(WORLDCUP!AC126="",WORLDCUP!AD126=""),"PD",IF(WORLDCUP!AC126&gt;WORLDCUP!AD126,1,IF(WORLDCUP!AC126&lt;WORLDCUP!AD126,2,0)))</f>
        <v>1</v>
      </c>
      <c r="M206" s="55" t="str">
        <f t="shared" si="1752"/>
        <v>3-2</v>
      </c>
      <c r="N206" s="25">
        <f>WORLDCUP!AC126</f>
        <v>3</v>
      </c>
      <c r="O206" s="25">
        <f>WORLDCUP!AD126</f>
        <v>2</v>
      </c>
      <c r="P206" s="25">
        <f t="shared" si="1753"/>
        <v>1</v>
      </c>
      <c r="Q206" s="25">
        <f t="shared" si="1754"/>
        <v>-1</v>
      </c>
      <c r="R206" s="110"/>
      <c r="S206" s="74" t="s">
        <v>1984</v>
      </c>
      <c r="T206" s="73">
        <f t="shared" ca="1" si="1855"/>
        <v>0</v>
      </c>
      <c r="U206" s="110"/>
      <c r="V206" s="74" t="s">
        <v>2023</v>
      </c>
      <c r="W206" s="73">
        <f t="shared" ca="1" si="1755"/>
        <v>0</v>
      </c>
      <c r="X206" s="110"/>
      <c r="Y206" s="80" t="s">
        <v>2057</v>
      </c>
      <c r="Z206" s="73">
        <f t="shared" ca="1" si="1755"/>
        <v>0</v>
      </c>
      <c r="AA206" s="110"/>
      <c r="AB206" s="80" t="s">
        <v>2091</v>
      </c>
      <c r="AC206" s="73">
        <f t="shared" ca="1" si="1755"/>
        <v>0</v>
      </c>
      <c r="AD206" s="110"/>
      <c r="AE206" s="80" t="s">
        <v>2023</v>
      </c>
      <c r="AF206" s="73">
        <f t="shared" ca="1" si="1755"/>
        <v>0</v>
      </c>
      <c r="AG206" s="110"/>
      <c r="AH206" s="80" t="s">
        <v>2153</v>
      </c>
      <c r="AI206" s="73">
        <f t="shared" ca="1" si="1755"/>
        <v>0</v>
      </c>
      <c r="AJ206" s="110"/>
      <c r="AK206" s="80" t="s">
        <v>2179</v>
      </c>
      <c r="AL206" s="73">
        <f t="shared" ca="1" si="1755"/>
        <v>0</v>
      </c>
      <c r="AM206" s="110"/>
      <c r="AN206" s="80" t="s">
        <v>2210</v>
      </c>
      <c r="AO206" s="73">
        <f t="shared" ca="1" si="1755"/>
        <v>0</v>
      </c>
      <c r="AP206" s="110"/>
      <c r="AQ206" s="80" t="s">
        <v>2091</v>
      </c>
      <c r="AR206" s="73">
        <f t="shared" ca="1" si="1755"/>
        <v>0</v>
      </c>
      <c r="AS206" s="110"/>
      <c r="AT206" s="80" t="s">
        <v>2269</v>
      </c>
      <c r="AU206" s="73">
        <f t="shared" ca="1" si="1755"/>
        <v>0</v>
      </c>
      <c r="AV206" s="110"/>
      <c r="AW206" s="80" t="s">
        <v>2297</v>
      </c>
      <c r="AX206" s="73">
        <f t="shared" ca="1" si="1755"/>
        <v>0</v>
      </c>
      <c r="AY206" s="110"/>
      <c r="AZ206" s="80" t="s">
        <v>2317</v>
      </c>
      <c r="BA206" s="73">
        <f t="shared" ca="1" si="1755"/>
        <v>10</v>
      </c>
      <c r="BB206" s="110"/>
      <c r="BC206" s="80" t="s">
        <v>2337</v>
      </c>
      <c r="BD206" s="73">
        <f t="shared" ca="1" si="1755"/>
        <v>0</v>
      </c>
      <c r="BE206" s="110"/>
      <c r="BF206" s="80" t="s">
        <v>2361</v>
      </c>
      <c r="BG206" s="73">
        <f t="shared" ca="1" si="1755"/>
        <v>0</v>
      </c>
      <c r="BH206" s="110"/>
      <c r="BI206" s="80" t="s">
        <v>2390</v>
      </c>
      <c r="BJ206" s="73">
        <f t="shared" ca="1" si="1755"/>
        <v>0</v>
      </c>
      <c r="BK206" s="110"/>
      <c r="BL206" s="80" t="s">
        <v>2091</v>
      </c>
      <c r="BM206" s="73">
        <f t="shared" ca="1" si="1755"/>
        <v>0</v>
      </c>
      <c r="BN206" s="110"/>
      <c r="BO206" s="80" t="s">
        <v>2091</v>
      </c>
      <c r="BP206" s="73">
        <f t="shared" ca="1" si="1755"/>
        <v>0</v>
      </c>
      <c r="BQ206" s="110"/>
      <c r="BR206" s="80" t="s">
        <v>2458</v>
      </c>
      <c r="BS206" s="73">
        <f t="shared" ca="1" si="1755"/>
        <v>0</v>
      </c>
      <c r="BT206" s="110"/>
      <c r="BU206" s="80" t="s">
        <v>2474</v>
      </c>
      <c r="BV206" s="73">
        <f t="shared" ca="1" si="1755"/>
        <v>0</v>
      </c>
      <c r="BW206" s="110"/>
      <c r="BX206" s="80" t="s">
        <v>2023</v>
      </c>
      <c r="BY206" s="73">
        <f t="shared" ca="1" si="1755"/>
        <v>0</v>
      </c>
      <c r="BZ206" s="110"/>
      <c r="CA206" s="80" t="s">
        <v>2505</v>
      </c>
      <c r="CB206" s="73">
        <f t="shared" ca="1" si="1755"/>
        <v>0</v>
      </c>
      <c r="CC206" s="110"/>
      <c r="CD206" s="80" t="s">
        <v>2524</v>
      </c>
      <c r="CE206" s="73">
        <f t="shared" ca="1" si="1755"/>
        <v>0</v>
      </c>
      <c r="CF206" s="110"/>
      <c r="CG206" s="80" t="s">
        <v>2023</v>
      </c>
      <c r="CH206" s="73">
        <f t="shared" ca="1" si="1755"/>
        <v>0</v>
      </c>
      <c r="CI206" s="110"/>
      <c r="CJ206" s="80" t="s">
        <v>2091</v>
      </c>
      <c r="CK206" s="73">
        <f t="shared" ca="1" si="1777"/>
        <v>0</v>
      </c>
      <c r="CL206" s="110"/>
      <c r="CM206" s="80" t="s">
        <v>2317</v>
      </c>
      <c r="CN206" s="73">
        <f t="shared" ca="1" si="1777"/>
        <v>10</v>
      </c>
      <c r="CO206" s="110"/>
      <c r="CP206" s="80" t="s">
        <v>2597</v>
      </c>
      <c r="CQ206" s="73">
        <f t="shared" ca="1" si="1777"/>
        <v>0</v>
      </c>
      <c r="CR206" s="110"/>
      <c r="CS206" s="80" t="s">
        <v>2625</v>
      </c>
      <c r="CT206" s="73">
        <f t="shared" ca="1" si="1777"/>
        <v>0</v>
      </c>
      <c r="CU206" s="110"/>
      <c r="CV206" s="80" t="s">
        <v>2648</v>
      </c>
      <c r="CW206" s="73">
        <f t="shared" ca="1" si="1777"/>
        <v>0</v>
      </c>
      <c r="CX206" s="110"/>
      <c r="CY206" s="80" t="s">
        <v>2681</v>
      </c>
      <c r="CZ206" s="73">
        <f t="shared" ca="1" si="1777"/>
        <v>0</v>
      </c>
      <c r="DA206" s="110"/>
      <c r="DB206" s="80" t="s">
        <v>2706</v>
      </c>
      <c r="DC206" s="73">
        <f t="shared" ca="1" si="1777"/>
        <v>0</v>
      </c>
      <c r="DD206" s="110"/>
      <c r="DE206" s="80" t="s">
        <v>2091</v>
      </c>
      <c r="DF206" s="73">
        <f t="shared" ca="1" si="1777"/>
        <v>0</v>
      </c>
      <c r="DG206" s="110"/>
      <c r="DH206" s="80" t="s">
        <v>2737</v>
      </c>
      <c r="DI206" s="73">
        <f t="shared" ca="1" si="1777"/>
        <v>0</v>
      </c>
      <c r="DJ206" s="110"/>
      <c r="DK206" s="80" t="s">
        <v>2755</v>
      </c>
      <c r="DL206" s="73">
        <f t="shared" ca="1" si="1777"/>
        <v>10</v>
      </c>
      <c r="DM206" s="110"/>
      <c r="DN206" s="80" t="s">
        <v>2023</v>
      </c>
      <c r="DO206" s="73">
        <f t="shared" ca="1" si="1777"/>
        <v>0</v>
      </c>
      <c r="DP206" s="110"/>
      <c r="DQ206" s="80" t="s">
        <v>2474</v>
      </c>
      <c r="DR206" s="73">
        <f t="shared" ca="1" si="1777"/>
        <v>0</v>
      </c>
      <c r="DS206" s="110"/>
      <c r="DT206" s="80" t="s">
        <v>2524</v>
      </c>
      <c r="DU206" s="73">
        <f t="shared" ca="1" si="1777"/>
        <v>0</v>
      </c>
      <c r="DV206" s="110"/>
      <c r="DW206" s="80" t="s">
        <v>2812</v>
      </c>
      <c r="DX206" s="73">
        <f t="shared" ca="1" si="1777"/>
        <v>0</v>
      </c>
      <c r="DY206" s="110"/>
      <c r="DZ206" s="80" t="s">
        <v>2023</v>
      </c>
      <c r="EA206" s="73">
        <f t="shared" ca="1" si="1777"/>
        <v>0</v>
      </c>
      <c r="EB206" s="110"/>
      <c r="EC206" s="80" t="s">
        <v>2023</v>
      </c>
      <c r="ED206" s="73">
        <f t="shared" ca="1" si="1777"/>
        <v>0</v>
      </c>
      <c r="EE206" s="110"/>
      <c r="EF206" s="80" t="s">
        <v>2361</v>
      </c>
      <c r="EG206" s="73">
        <f t="shared" ca="1" si="1777"/>
        <v>0</v>
      </c>
      <c r="EH206" s="110"/>
      <c r="EI206" s="80" t="s">
        <v>2860</v>
      </c>
      <c r="EJ206" s="73">
        <f t="shared" ca="1" si="1777"/>
        <v>0</v>
      </c>
      <c r="EK206" s="110"/>
      <c r="EL206" s="80" t="s">
        <v>2474</v>
      </c>
      <c r="EM206" s="73">
        <f t="shared" ca="1" si="1777"/>
        <v>0</v>
      </c>
      <c r="EN206" s="110"/>
      <c r="EO206" s="80" t="s">
        <v>2023</v>
      </c>
      <c r="EP206" s="73">
        <f t="shared" ca="1" si="1777"/>
        <v>0</v>
      </c>
      <c r="EQ206" s="110"/>
      <c r="ER206" s="80" t="s">
        <v>2091</v>
      </c>
      <c r="ES206" s="73">
        <f t="shared" ca="1" si="1777"/>
        <v>0</v>
      </c>
      <c r="ET206" s="110"/>
      <c r="EU206" s="80" t="s">
        <v>2908</v>
      </c>
      <c r="EV206" s="73">
        <f t="shared" ca="1" si="1777"/>
        <v>0</v>
      </c>
      <c r="EW206" s="110"/>
      <c r="EX206" s="80" t="s">
        <v>2474</v>
      </c>
      <c r="EY206" s="73">
        <f t="shared" ca="1" si="1799"/>
        <v>0</v>
      </c>
      <c r="EZ206" s="110"/>
      <c r="FA206" s="80" t="s">
        <v>2930</v>
      </c>
      <c r="FB206" s="73">
        <f t="shared" ca="1" si="1799"/>
        <v>0</v>
      </c>
      <c r="FC206" s="110"/>
      <c r="FD206" s="80" t="s">
        <v>2023</v>
      </c>
      <c r="FE206" s="73">
        <f t="shared" ca="1" si="1799"/>
        <v>0</v>
      </c>
      <c r="FF206" s="110"/>
      <c r="FG206" s="80" t="s">
        <v>2961</v>
      </c>
      <c r="FH206" s="73">
        <f t="shared" ca="1" si="1799"/>
        <v>12</v>
      </c>
      <c r="FI206" s="110"/>
      <c r="FJ206" s="80" t="s">
        <v>2860</v>
      </c>
      <c r="FK206" s="73">
        <f t="shared" ca="1" si="1799"/>
        <v>0</v>
      </c>
      <c r="FL206" s="110"/>
      <c r="FM206" s="80" t="s">
        <v>2974</v>
      </c>
      <c r="FN206" s="73">
        <f t="shared" ca="1" si="1799"/>
        <v>0</v>
      </c>
      <c r="FO206" s="110"/>
      <c r="FP206" s="80" t="s">
        <v>2474</v>
      </c>
      <c r="FQ206" s="73">
        <f t="shared" ca="1" si="1799"/>
        <v>0</v>
      </c>
      <c r="FR206" s="110"/>
      <c r="FS206" s="80" t="s">
        <v>2474</v>
      </c>
      <c r="FT206" s="73">
        <f t="shared" ca="1" si="1799"/>
        <v>0</v>
      </c>
      <c r="FU206" s="110"/>
      <c r="FV206" s="80" t="s">
        <v>2860</v>
      </c>
      <c r="FW206" s="73">
        <f t="shared" ca="1" si="1799"/>
        <v>0</v>
      </c>
      <c r="FX206" s="110"/>
      <c r="FY206" s="80" t="s">
        <v>2944</v>
      </c>
      <c r="FZ206" s="73">
        <f t="shared" ca="1" si="1799"/>
        <v>0</v>
      </c>
      <c r="GA206" s="110"/>
      <c r="GB206" s="80" t="s">
        <v>3023</v>
      </c>
      <c r="GC206" s="73">
        <f t="shared" ca="1" si="1799"/>
        <v>10</v>
      </c>
      <c r="GD206" s="110"/>
      <c r="GE206" s="80" t="s">
        <v>3037</v>
      </c>
      <c r="GF206" s="73">
        <f t="shared" ca="1" si="1799"/>
        <v>0</v>
      </c>
      <c r="GG206" s="110"/>
      <c r="GH206" s="80" t="s">
        <v>3049</v>
      </c>
      <c r="GI206" s="73">
        <f t="shared" ca="1" si="1799"/>
        <v>0</v>
      </c>
      <c r="GJ206" s="110"/>
      <c r="GK206" s="80" t="s">
        <v>3023</v>
      </c>
      <c r="GL206" s="73">
        <f t="shared" ca="1" si="1799"/>
        <v>10</v>
      </c>
      <c r="GM206" s="110"/>
      <c r="GN206" s="80"/>
      <c r="GO206" s="73">
        <f t="shared" ca="1" si="1799"/>
        <v>0</v>
      </c>
      <c r="GP206" s="110"/>
      <c r="GQ206" s="80"/>
      <c r="GR206" s="73">
        <f t="shared" ca="1" si="1799"/>
        <v>0</v>
      </c>
      <c r="GS206" s="110"/>
      <c r="GT206" s="80"/>
      <c r="GU206" s="73">
        <f t="shared" ca="1" si="1799"/>
        <v>0</v>
      </c>
      <c r="GV206" s="110"/>
      <c r="GW206" s="80"/>
      <c r="GX206" s="73">
        <f t="shared" ca="1" si="1799"/>
        <v>0</v>
      </c>
      <c r="GY206" s="110"/>
      <c r="GZ206" s="80"/>
      <c r="HA206" s="73">
        <f t="shared" ca="1" si="1799"/>
        <v>0</v>
      </c>
      <c r="HB206" s="110"/>
      <c r="HC206" s="80"/>
      <c r="HD206" s="73">
        <f t="shared" ca="1" si="1799"/>
        <v>0</v>
      </c>
      <c r="HE206" s="110"/>
      <c r="HF206" s="80"/>
      <c r="HG206" s="73">
        <f t="shared" ca="1" si="1799"/>
        <v>0</v>
      </c>
      <c r="HH206" s="110"/>
      <c r="HI206" s="80"/>
      <c r="HJ206" s="73">
        <f t="shared" ca="1" si="1799"/>
        <v>0</v>
      </c>
      <c r="HK206" s="110"/>
      <c r="HL206" s="80"/>
      <c r="HM206" s="73">
        <f t="shared" ca="1" si="1821"/>
        <v>0</v>
      </c>
      <c r="HN206" s="110"/>
      <c r="HO206" s="80"/>
      <c r="HP206" s="73">
        <f t="shared" ca="1" si="1821"/>
        <v>0</v>
      </c>
      <c r="HQ206" s="110"/>
      <c r="HR206" s="80"/>
      <c r="HS206" s="73">
        <f t="shared" ca="1" si="1821"/>
        <v>0</v>
      </c>
      <c r="HT206" s="110"/>
      <c r="HU206" s="80"/>
      <c r="HV206" s="73">
        <f t="shared" ca="1" si="1821"/>
        <v>0</v>
      </c>
      <c r="HW206" s="110"/>
      <c r="HX206" s="80"/>
      <c r="HY206" s="73">
        <f t="shared" ca="1" si="1821"/>
        <v>0</v>
      </c>
      <c r="HZ206" s="110"/>
      <c r="IA206" s="80"/>
      <c r="IB206" s="73">
        <f t="shared" ca="1" si="1821"/>
        <v>0</v>
      </c>
      <c r="IC206" s="110"/>
      <c r="ID206" s="80"/>
      <c r="IE206" s="73">
        <f t="shared" ca="1" si="1821"/>
        <v>0</v>
      </c>
      <c r="IF206" s="110"/>
      <c r="IG206" s="80"/>
      <c r="IH206" s="73">
        <f t="shared" ca="1" si="1821"/>
        <v>0</v>
      </c>
      <c r="II206" s="110"/>
      <c r="IJ206" s="80"/>
      <c r="IK206" s="73">
        <f t="shared" ca="1" si="1821"/>
        <v>0</v>
      </c>
      <c r="IL206" s="110"/>
      <c r="IM206" s="80"/>
      <c r="IN206" s="73">
        <f t="shared" ca="1" si="1821"/>
        <v>0</v>
      </c>
      <c r="IO206" s="110"/>
      <c r="IP206" s="80"/>
      <c r="IQ206" s="73">
        <f t="shared" ca="1" si="1821"/>
        <v>0</v>
      </c>
      <c r="IR206" s="110"/>
      <c r="IS206" s="80"/>
      <c r="IT206" s="73">
        <f t="shared" ca="1" si="1821"/>
        <v>0</v>
      </c>
      <c r="IU206" s="110"/>
      <c r="IV206" s="80"/>
      <c r="IW206" s="73">
        <f t="shared" ca="1" si="1821"/>
        <v>0</v>
      </c>
      <c r="IX206" s="110"/>
      <c r="IY206" s="80"/>
      <c r="IZ206" s="73">
        <f t="shared" ca="1" si="1821"/>
        <v>0</v>
      </c>
      <c r="JA206" s="110"/>
      <c r="JB206" s="80"/>
      <c r="JC206" s="73">
        <f t="shared" ca="1" si="1821"/>
        <v>0</v>
      </c>
      <c r="JD206" s="110"/>
      <c r="JE206" s="80"/>
      <c r="JF206" s="73">
        <f t="shared" ca="1" si="1821"/>
        <v>0</v>
      </c>
      <c r="JG206" s="110"/>
      <c r="JH206" s="80"/>
      <c r="JI206" s="73">
        <f t="shared" ca="1" si="1821"/>
        <v>0</v>
      </c>
      <c r="JJ206" s="110"/>
      <c r="JK206" s="80"/>
      <c r="JL206" s="73">
        <f t="shared" ca="1" si="1821"/>
        <v>0</v>
      </c>
      <c r="JM206" s="110"/>
      <c r="JN206" s="80"/>
      <c r="JO206" s="73">
        <f t="shared" ca="1" si="1821"/>
        <v>0</v>
      </c>
      <c r="JP206" s="110"/>
      <c r="JQ206" s="80"/>
      <c r="JR206" s="73">
        <f t="shared" ca="1" si="1821"/>
        <v>0</v>
      </c>
      <c r="JS206" s="110"/>
      <c r="JT206" s="80"/>
      <c r="JU206" s="73">
        <f t="shared" ca="1" si="1821"/>
        <v>0</v>
      </c>
      <c r="JV206" s="110"/>
      <c r="JW206" s="80"/>
      <c r="JX206" s="73">
        <f t="shared" ca="1" si="1821"/>
        <v>0</v>
      </c>
      <c r="JY206" s="110"/>
      <c r="JZ206" s="80"/>
      <c r="KA206" s="73">
        <f t="shared" ca="1" si="1843"/>
        <v>0</v>
      </c>
      <c r="KB206" s="110"/>
      <c r="KC206" s="80"/>
      <c r="KD206" s="73">
        <f t="shared" ca="1" si="1843"/>
        <v>0</v>
      </c>
      <c r="KE206" s="110"/>
      <c r="KF206" s="80"/>
      <c r="KG206" s="73">
        <f t="shared" ca="1" si="1843"/>
        <v>0</v>
      </c>
      <c r="KH206" s="110"/>
      <c r="KI206" s="80"/>
      <c r="KJ206" s="73">
        <f t="shared" ca="1" si="1843"/>
        <v>0</v>
      </c>
      <c r="KK206" s="110"/>
      <c r="KL206" s="80"/>
      <c r="KM206" s="73">
        <f t="shared" ca="1" si="1843"/>
        <v>0</v>
      </c>
      <c r="KN206" s="110"/>
      <c r="KO206" s="80"/>
      <c r="KP206" s="73">
        <f t="shared" ca="1" si="1843"/>
        <v>0</v>
      </c>
      <c r="KQ206" s="110"/>
      <c r="KR206" s="80"/>
      <c r="KS206" s="73">
        <f t="shared" ca="1" si="1843"/>
        <v>0</v>
      </c>
      <c r="KT206" s="110"/>
      <c r="KU206" s="80"/>
      <c r="KV206" s="73">
        <f t="shared" ca="1" si="1843"/>
        <v>0</v>
      </c>
      <c r="KW206" s="110"/>
      <c r="KX206" s="80"/>
      <c r="KY206" s="73">
        <f t="shared" ca="1" si="1843"/>
        <v>0</v>
      </c>
      <c r="KZ206" s="110"/>
      <c r="LA206" s="80"/>
      <c r="LB206" s="73">
        <f t="shared" ca="1" si="1843"/>
        <v>0</v>
      </c>
      <c r="LC206" s="110"/>
      <c r="LD206" s="80"/>
      <c r="LE206" s="73">
        <f t="shared" ca="1" si="1843"/>
        <v>0</v>
      </c>
      <c r="LF206" s="110"/>
      <c r="LG206" s="110"/>
    </row>
    <row r="207" spans="1:319">
      <c r="A207" s="25">
        <f>WORLDCUP!AD127</f>
        <v>0</v>
      </c>
      <c r="B207" s="25">
        <f>WORLDCUP!AC127</f>
        <v>0</v>
      </c>
      <c r="C207" s="25" t="str">
        <f ca="1">CONCATENATE(WORLDCUP!AF127,"-",WORLDCUP!AA127)</f>
        <v>Colombia-Switzerland</v>
      </c>
      <c r="D207" s="25">
        <f>IF(WORLDCUP!AC127&gt;WORLDCUP!AD127,2,IF(WORLDCUP!AC127&lt;WORLDCUP!AD127,1,IF(AND(WORLDCUP!AC127=WORLDCUP!AD127,WORLDCUP!AC127&lt;&gt;"",WORLDCUP!AD127&lt;&gt;""),0,"PD")))</f>
        <v>0</v>
      </c>
      <c r="E207" s="25" t="str">
        <f>IF(OR(WORLDCUP!AD127="",WORLDCUP!AC127=""),"-",A207&amp;"-"&amp;B207)</f>
        <v>0-0</v>
      </c>
      <c r="F207" s="407">
        <f t="shared" si="1854"/>
        <v>20</v>
      </c>
      <c r="G207" s="407">
        <f ca="1">VLOOKUP(H207,Equipos!$Q$1:$R$25,2,0)</f>
        <v>21</v>
      </c>
      <c r="H207" s="65" t="str">
        <f>Idiomas!$D$261</f>
        <v>Round Of 16</v>
      </c>
      <c r="I207" s="43">
        <v>1</v>
      </c>
      <c r="J207" s="845"/>
      <c r="K207" s="115" t="str">
        <f ca="1">CONCATENATE(WORLDCUP!AA127,"-",WORLDCUP!AF127)</f>
        <v>Switzerland-Colombia</v>
      </c>
      <c r="L207" s="115">
        <f>IF(OR(WORLDCUP!AC127="",WORLDCUP!AD127=""),"PD",IF(WORLDCUP!AC127&gt;WORLDCUP!AD127,1,IF(WORLDCUP!AC127&lt;WORLDCUP!AD127,2,0)))</f>
        <v>0</v>
      </c>
      <c r="M207" s="116" t="str">
        <f t="shared" si="1752"/>
        <v>0-0</v>
      </c>
      <c r="N207" s="25">
        <f>WORLDCUP!AC127</f>
        <v>0</v>
      </c>
      <c r="O207" s="25">
        <f>WORLDCUP!AD127</f>
        <v>0</v>
      </c>
      <c r="P207" s="25">
        <f t="shared" si="1753"/>
        <v>0</v>
      </c>
      <c r="Q207" s="25">
        <f t="shared" si="1754"/>
        <v>0</v>
      </c>
      <c r="R207" s="110"/>
      <c r="S207" s="80" t="s">
        <v>1985</v>
      </c>
      <c r="T207" s="85">
        <f t="shared" ca="1" si="1855"/>
        <v>0</v>
      </c>
      <c r="U207" s="110"/>
      <c r="V207" s="74" t="s">
        <v>2024</v>
      </c>
      <c r="W207" s="85">
        <f t="shared" ca="1" si="1755"/>
        <v>0</v>
      </c>
      <c r="X207" s="110"/>
      <c r="Y207" s="80" t="s">
        <v>2058</v>
      </c>
      <c r="Z207" s="85">
        <f t="shared" ca="1" si="1755"/>
        <v>0</v>
      </c>
      <c r="AA207" s="110"/>
      <c r="AB207" s="80" t="s">
        <v>2092</v>
      </c>
      <c r="AC207" s="85">
        <f t="shared" ca="1" si="1755"/>
        <v>0</v>
      </c>
      <c r="AD207" s="110"/>
      <c r="AE207" s="80" t="s">
        <v>2058</v>
      </c>
      <c r="AF207" s="85">
        <f t="shared" ca="1" si="1755"/>
        <v>0</v>
      </c>
      <c r="AG207" s="110"/>
      <c r="AH207" s="80" t="s">
        <v>2154</v>
      </c>
      <c r="AI207" s="85">
        <f t="shared" ca="1" si="1755"/>
        <v>0</v>
      </c>
      <c r="AJ207" s="110"/>
      <c r="AK207" s="80" t="s">
        <v>2180</v>
      </c>
      <c r="AL207" s="85">
        <f t="shared" ca="1" si="1755"/>
        <v>0</v>
      </c>
      <c r="AM207" s="110"/>
      <c r="AN207" s="80" t="s">
        <v>2211</v>
      </c>
      <c r="AO207" s="85">
        <f t="shared" ca="1" si="1755"/>
        <v>0</v>
      </c>
      <c r="AP207" s="110"/>
      <c r="AQ207" s="80" t="s">
        <v>2240</v>
      </c>
      <c r="AR207" s="85">
        <f t="shared" ca="1" si="1755"/>
        <v>0</v>
      </c>
      <c r="AS207" s="110"/>
      <c r="AT207" s="80" t="s">
        <v>2270</v>
      </c>
      <c r="AU207" s="85">
        <f t="shared" ca="1" si="1755"/>
        <v>0</v>
      </c>
      <c r="AV207" s="110"/>
      <c r="AW207" s="80" t="s">
        <v>2180</v>
      </c>
      <c r="AX207" s="85">
        <f t="shared" ca="1" si="1755"/>
        <v>0</v>
      </c>
      <c r="AY207" s="110"/>
      <c r="AZ207" s="80" t="s">
        <v>2318</v>
      </c>
      <c r="BA207" s="85">
        <f t="shared" ca="1" si="1755"/>
        <v>0</v>
      </c>
      <c r="BB207" s="110"/>
      <c r="BC207" s="80" t="s">
        <v>2338</v>
      </c>
      <c r="BD207" s="85">
        <f t="shared" ca="1" si="1755"/>
        <v>0</v>
      </c>
      <c r="BE207" s="110"/>
      <c r="BF207" s="80" t="s">
        <v>2362</v>
      </c>
      <c r="BG207" s="85">
        <f t="shared" ca="1" si="1755"/>
        <v>0</v>
      </c>
      <c r="BH207" s="110"/>
      <c r="BI207" s="80" t="s">
        <v>2058</v>
      </c>
      <c r="BJ207" s="85">
        <f t="shared" ca="1" si="1755"/>
        <v>0</v>
      </c>
      <c r="BK207" s="110"/>
      <c r="BL207" s="80" t="s">
        <v>2318</v>
      </c>
      <c r="BM207" s="85">
        <f t="shared" ca="1" si="1755"/>
        <v>0</v>
      </c>
      <c r="BN207" s="110"/>
      <c r="BO207" s="80" t="s">
        <v>2436</v>
      </c>
      <c r="BP207" s="85">
        <f t="shared" ca="1" si="1755"/>
        <v>0</v>
      </c>
      <c r="BQ207" s="110"/>
      <c r="BR207" s="80" t="s">
        <v>2459</v>
      </c>
      <c r="BS207" s="85">
        <f t="shared" ca="1" si="1755"/>
        <v>0</v>
      </c>
      <c r="BT207" s="110"/>
      <c r="BU207" s="80" t="s">
        <v>2318</v>
      </c>
      <c r="BV207" s="85">
        <f t="shared" ca="1" si="1755"/>
        <v>0</v>
      </c>
      <c r="BW207" s="110"/>
      <c r="BX207" s="80" t="s">
        <v>2180</v>
      </c>
      <c r="BY207" s="85">
        <f t="shared" ca="1" si="1755"/>
        <v>0</v>
      </c>
      <c r="BZ207" s="110"/>
      <c r="CA207" s="80" t="s">
        <v>2318</v>
      </c>
      <c r="CB207" s="85">
        <f t="shared" ca="1" si="1755"/>
        <v>0</v>
      </c>
      <c r="CC207" s="110"/>
      <c r="CD207" s="80" t="s">
        <v>2318</v>
      </c>
      <c r="CE207" s="85">
        <f t="shared" ca="1" si="1755"/>
        <v>0</v>
      </c>
      <c r="CF207" s="110"/>
      <c r="CG207" s="80" t="s">
        <v>2539</v>
      </c>
      <c r="CH207" s="85">
        <f t="shared" ca="1" si="1755"/>
        <v>0</v>
      </c>
      <c r="CI207" s="110"/>
      <c r="CJ207" s="80" t="s">
        <v>2561</v>
      </c>
      <c r="CK207" s="85">
        <f t="shared" ca="1" si="1777"/>
        <v>0</v>
      </c>
      <c r="CL207" s="110"/>
      <c r="CM207" s="80" t="s">
        <v>2318</v>
      </c>
      <c r="CN207" s="85">
        <f t="shared" ca="1" si="1777"/>
        <v>0</v>
      </c>
      <c r="CO207" s="110"/>
      <c r="CP207" s="80" t="s">
        <v>2318</v>
      </c>
      <c r="CQ207" s="85">
        <f t="shared" ca="1" si="1777"/>
        <v>0</v>
      </c>
      <c r="CR207" s="110"/>
      <c r="CS207" s="80" t="s">
        <v>2626</v>
      </c>
      <c r="CT207" s="85">
        <f t="shared" ca="1" si="1777"/>
        <v>0</v>
      </c>
      <c r="CU207" s="110"/>
      <c r="CV207" s="80" t="s">
        <v>2539</v>
      </c>
      <c r="CW207" s="85">
        <f t="shared" ca="1" si="1777"/>
        <v>0</v>
      </c>
      <c r="CX207" s="110"/>
      <c r="CY207" s="80" t="s">
        <v>2682</v>
      </c>
      <c r="CZ207" s="85">
        <f t="shared" ca="1" si="1777"/>
        <v>0</v>
      </c>
      <c r="DA207" s="110"/>
      <c r="DB207" s="80" t="s">
        <v>2058</v>
      </c>
      <c r="DC207" s="85">
        <f t="shared" ca="1" si="1777"/>
        <v>0</v>
      </c>
      <c r="DD207" s="110"/>
      <c r="DE207" s="80" t="s">
        <v>2058</v>
      </c>
      <c r="DF207" s="85">
        <f t="shared" ca="1" si="1777"/>
        <v>0</v>
      </c>
      <c r="DG207" s="110"/>
      <c r="DH207" s="80" t="s">
        <v>2738</v>
      </c>
      <c r="DI207" s="85">
        <f t="shared" ca="1" si="1777"/>
        <v>0</v>
      </c>
      <c r="DJ207" s="110"/>
      <c r="DK207" s="80" t="s">
        <v>2626</v>
      </c>
      <c r="DL207" s="85">
        <f t="shared" ca="1" si="1777"/>
        <v>0</v>
      </c>
      <c r="DM207" s="110"/>
      <c r="DN207" s="80" t="s">
        <v>2318</v>
      </c>
      <c r="DO207" s="85">
        <f t="shared" ca="1" si="1777"/>
        <v>0</v>
      </c>
      <c r="DP207" s="110"/>
      <c r="DQ207" s="80" t="s">
        <v>2318</v>
      </c>
      <c r="DR207" s="85">
        <f t="shared" ca="1" si="1777"/>
        <v>0</v>
      </c>
      <c r="DS207" s="110"/>
      <c r="DT207" s="80" t="s">
        <v>2058</v>
      </c>
      <c r="DU207" s="85">
        <f t="shared" ca="1" si="1777"/>
        <v>0</v>
      </c>
      <c r="DV207" s="110"/>
      <c r="DW207" s="80" t="s">
        <v>2092</v>
      </c>
      <c r="DX207" s="85">
        <f t="shared" ca="1" si="1777"/>
        <v>0</v>
      </c>
      <c r="DY207" s="110"/>
      <c r="DZ207" s="80" t="s">
        <v>2058</v>
      </c>
      <c r="EA207" s="85">
        <f t="shared" ca="1" si="1777"/>
        <v>0</v>
      </c>
      <c r="EB207" s="110"/>
      <c r="EC207" s="80" t="s">
        <v>2824</v>
      </c>
      <c r="ED207" s="85">
        <f t="shared" ca="1" si="1777"/>
        <v>0</v>
      </c>
      <c r="EE207" s="110"/>
      <c r="EF207" s="80" t="s">
        <v>2845</v>
      </c>
      <c r="EG207" s="85">
        <f t="shared" ca="1" si="1777"/>
        <v>0</v>
      </c>
      <c r="EH207" s="110"/>
      <c r="EI207" s="80" t="s">
        <v>2058</v>
      </c>
      <c r="EJ207" s="85">
        <f t="shared" ca="1" si="1777"/>
        <v>0</v>
      </c>
      <c r="EK207" s="110"/>
      <c r="EL207" s="80" t="s">
        <v>2318</v>
      </c>
      <c r="EM207" s="85">
        <f t="shared" ca="1" si="1777"/>
        <v>0</v>
      </c>
      <c r="EN207" s="110"/>
      <c r="EO207" s="80" t="s">
        <v>2886</v>
      </c>
      <c r="EP207" s="85">
        <f t="shared" ca="1" si="1777"/>
        <v>0</v>
      </c>
      <c r="EQ207" s="110"/>
      <c r="ER207" s="80" t="s">
        <v>2318</v>
      </c>
      <c r="ES207" s="85">
        <f t="shared" ca="1" si="1777"/>
        <v>0</v>
      </c>
      <c r="ET207" s="110"/>
      <c r="EU207" s="80" t="s">
        <v>2909</v>
      </c>
      <c r="EV207" s="85">
        <f t="shared" ca="1" si="1777"/>
        <v>0</v>
      </c>
      <c r="EW207" s="110"/>
      <c r="EX207" s="80" t="s">
        <v>2058</v>
      </c>
      <c r="EY207" s="85">
        <f t="shared" ca="1" si="1799"/>
        <v>0</v>
      </c>
      <c r="EZ207" s="110"/>
      <c r="FA207" s="80" t="s">
        <v>2931</v>
      </c>
      <c r="FB207" s="85">
        <f t="shared" ca="1" si="1799"/>
        <v>0</v>
      </c>
      <c r="FC207" s="110"/>
      <c r="FD207" s="80" t="s">
        <v>2943</v>
      </c>
      <c r="FE207" s="85">
        <f t="shared" ca="1" si="1799"/>
        <v>0</v>
      </c>
      <c r="FF207" s="110"/>
      <c r="FG207" s="80" t="s">
        <v>2962</v>
      </c>
      <c r="FH207" s="85">
        <f t="shared" ca="1" si="1799"/>
        <v>0</v>
      </c>
      <c r="FI207" s="110"/>
      <c r="FJ207" s="80" t="s">
        <v>2318</v>
      </c>
      <c r="FK207" s="85">
        <f t="shared" ca="1" si="1799"/>
        <v>0</v>
      </c>
      <c r="FL207" s="110"/>
      <c r="FM207" s="80" t="s">
        <v>2058</v>
      </c>
      <c r="FN207" s="85">
        <f t="shared" ca="1" si="1799"/>
        <v>0</v>
      </c>
      <c r="FO207" s="110"/>
      <c r="FP207" s="80" t="s">
        <v>2058</v>
      </c>
      <c r="FQ207" s="85">
        <f t="shared" ca="1" si="1799"/>
        <v>0</v>
      </c>
      <c r="FR207" s="110"/>
      <c r="FS207" s="80" t="s">
        <v>2318</v>
      </c>
      <c r="FT207" s="85">
        <f t="shared" ca="1" si="1799"/>
        <v>0</v>
      </c>
      <c r="FU207" s="110"/>
      <c r="FV207" s="80" t="s">
        <v>2180</v>
      </c>
      <c r="FW207" s="85">
        <f t="shared" ca="1" si="1799"/>
        <v>0</v>
      </c>
      <c r="FX207" s="110"/>
      <c r="FY207" s="80" t="s">
        <v>3010</v>
      </c>
      <c r="FZ207" s="85">
        <f t="shared" ca="1" si="1799"/>
        <v>0</v>
      </c>
      <c r="GA207" s="110"/>
      <c r="GB207" s="80" t="s">
        <v>3024</v>
      </c>
      <c r="GC207" s="85">
        <f t="shared" ca="1" si="1799"/>
        <v>0</v>
      </c>
      <c r="GD207" s="110"/>
      <c r="GE207" s="80" t="s">
        <v>2459</v>
      </c>
      <c r="GF207" s="85">
        <f t="shared" ca="1" si="1799"/>
        <v>0</v>
      </c>
      <c r="GG207" s="110"/>
      <c r="GH207" s="80" t="s">
        <v>2459</v>
      </c>
      <c r="GI207" s="85">
        <f t="shared" ca="1" si="1799"/>
        <v>0</v>
      </c>
      <c r="GJ207" s="110"/>
      <c r="GK207" s="80" t="s">
        <v>2058</v>
      </c>
      <c r="GL207" s="85">
        <f t="shared" ca="1" si="1799"/>
        <v>0</v>
      </c>
      <c r="GM207" s="110"/>
      <c r="GN207" s="80"/>
      <c r="GO207" s="85">
        <f t="shared" ca="1" si="1799"/>
        <v>0</v>
      </c>
      <c r="GP207" s="110"/>
      <c r="GQ207" s="80"/>
      <c r="GR207" s="85">
        <f t="shared" ca="1" si="1799"/>
        <v>0</v>
      </c>
      <c r="GS207" s="110"/>
      <c r="GT207" s="80"/>
      <c r="GU207" s="85">
        <f t="shared" ca="1" si="1799"/>
        <v>0</v>
      </c>
      <c r="GV207" s="110"/>
      <c r="GW207" s="80"/>
      <c r="GX207" s="85">
        <f t="shared" ca="1" si="1799"/>
        <v>0</v>
      </c>
      <c r="GY207" s="110"/>
      <c r="GZ207" s="80"/>
      <c r="HA207" s="85">
        <f t="shared" ca="1" si="1799"/>
        <v>0</v>
      </c>
      <c r="HB207" s="110"/>
      <c r="HC207" s="80"/>
      <c r="HD207" s="85">
        <f t="shared" ca="1" si="1799"/>
        <v>0</v>
      </c>
      <c r="HE207" s="110"/>
      <c r="HF207" s="80"/>
      <c r="HG207" s="85">
        <f t="shared" ca="1" si="1799"/>
        <v>0</v>
      </c>
      <c r="HH207" s="110"/>
      <c r="HI207" s="80"/>
      <c r="HJ207" s="85">
        <f t="shared" ca="1" si="1799"/>
        <v>0</v>
      </c>
      <c r="HK207" s="110"/>
      <c r="HL207" s="80"/>
      <c r="HM207" s="85">
        <f t="shared" ca="1" si="1821"/>
        <v>0</v>
      </c>
      <c r="HN207" s="110"/>
      <c r="HO207" s="80"/>
      <c r="HP207" s="85">
        <f t="shared" ca="1" si="1821"/>
        <v>0</v>
      </c>
      <c r="HQ207" s="110"/>
      <c r="HR207" s="80"/>
      <c r="HS207" s="85">
        <f t="shared" ca="1" si="1821"/>
        <v>0</v>
      </c>
      <c r="HT207" s="110"/>
      <c r="HU207" s="80"/>
      <c r="HV207" s="85">
        <f t="shared" ca="1" si="1821"/>
        <v>0</v>
      </c>
      <c r="HW207" s="110"/>
      <c r="HX207" s="80"/>
      <c r="HY207" s="85">
        <f t="shared" ca="1" si="1821"/>
        <v>0</v>
      </c>
      <c r="HZ207" s="110"/>
      <c r="IA207" s="80"/>
      <c r="IB207" s="85">
        <f t="shared" ca="1" si="1821"/>
        <v>0</v>
      </c>
      <c r="IC207" s="110"/>
      <c r="ID207" s="80"/>
      <c r="IE207" s="85">
        <f t="shared" ca="1" si="1821"/>
        <v>0</v>
      </c>
      <c r="IF207" s="110"/>
      <c r="IG207" s="80"/>
      <c r="IH207" s="85">
        <f t="shared" ca="1" si="1821"/>
        <v>0</v>
      </c>
      <c r="II207" s="110"/>
      <c r="IJ207" s="80"/>
      <c r="IK207" s="85">
        <f t="shared" ca="1" si="1821"/>
        <v>0</v>
      </c>
      <c r="IL207" s="110"/>
      <c r="IM207" s="80"/>
      <c r="IN207" s="85">
        <f t="shared" ca="1" si="1821"/>
        <v>0</v>
      </c>
      <c r="IO207" s="110"/>
      <c r="IP207" s="80"/>
      <c r="IQ207" s="85">
        <f t="shared" ca="1" si="1821"/>
        <v>0</v>
      </c>
      <c r="IR207" s="110"/>
      <c r="IS207" s="80"/>
      <c r="IT207" s="85">
        <f t="shared" ca="1" si="1821"/>
        <v>0</v>
      </c>
      <c r="IU207" s="110"/>
      <c r="IV207" s="80"/>
      <c r="IW207" s="85">
        <f t="shared" ca="1" si="1821"/>
        <v>0</v>
      </c>
      <c r="IX207" s="110"/>
      <c r="IY207" s="80"/>
      <c r="IZ207" s="85">
        <f t="shared" ca="1" si="1821"/>
        <v>0</v>
      </c>
      <c r="JA207" s="110"/>
      <c r="JB207" s="80"/>
      <c r="JC207" s="85">
        <f t="shared" ca="1" si="1821"/>
        <v>0</v>
      </c>
      <c r="JD207" s="110"/>
      <c r="JE207" s="80"/>
      <c r="JF207" s="85">
        <f t="shared" ca="1" si="1821"/>
        <v>0</v>
      </c>
      <c r="JG207" s="110"/>
      <c r="JH207" s="80"/>
      <c r="JI207" s="85">
        <f t="shared" ca="1" si="1821"/>
        <v>0</v>
      </c>
      <c r="JJ207" s="110"/>
      <c r="JK207" s="80"/>
      <c r="JL207" s="85">
        <f t="shared" ca="1" si="1821"/>
        <v>0</v>
      </c>
      <c r="JM207" s="110"/>
      <c r="JN207" s="80"/>
      <c r="JO207" s="85">
        <f t="shared" ca="1" si="1821"/>
        <v>0</v>
      </c>
      <c r="JP207" s="110"/>
      <c r="JQ207" s="80"/>
      <c r="JR207" s="85">
        <f t="shared" ca="1" si="1821"/>
        <v>0</v>
      </c>
      <c r="JS207" s="110"/>
      <c r="JT207" s="80"/>
      <c r="JU207" s="85">
        <f t="shared" ca="1" si="1821"/>
        <v>0</v>
      </c>
      <c r="JV207" s="110"/>
      <c r="JW207" s="80"/>
      <c r="JX207" s="85">
        <f t="shared" ca="1" si="1821"/>
        <v>0</v>
      </c>
      <c r="JY207" s="110"/>
      <c r="JZ207" s="80"/>
      <c r="KA207" s="85">
        <f t="shared" ca="1" si="1843"/>
        <v>0</v>
      </c>
      <c r="KB207" s="110"/>
      <c r="KC207" s="80"/>
      <c r="KD207" s="85">
        <f t="shared" ca="1" si="1843"/>
        <v>0</v>
      </c>
      <c r="KE207" s="110"/>
      <c r="KF207" s="80"/>
      <c r="KG207" s="85">
        <f t="shared" ca="1" si="1843"/>
        <v>0</v>
      </c>
      <c r="KH207" s="110"/>
      <c r="KI207" s="80"/>
      <c r="KJ207" s="85">
        <f t="shared" ca="1" si="1843"/>
        <v>0</v>
      </c>
      <c r="KK207" s="110"/>
      <c r="KL207" s="80"/>
      <c r="KM207" s="85">
        <f t="shared" ca="1" si="1843"/>
        <v>0</v>
      </c>
      <c r="KN207" s="110"/>
      <c r="KO207" s="80"/>
      <c r="KP207" s="85">
        <f t="shared" ca="1" si="1843"/>
        <v>0</v>
      </c>
      <c r="KQ207" s="110"/>
      <c r="KR207" s="80"/>
      <c r="KS207" s="85">
        <f t="shared" ca="1" si="1843"/>
        <v>0</v>
      </c>
      <c r="KT207" s="110"/>
      <c r="KU207" s="80"/>
      <c r="KV207" s="85">
        <f t="shared" ca="1" si="1843"/>
        <v>0</v>
      </c>
      <c r="KW207" s="110"/>
      <c r="KX207" s="80"/>
      <c r="KY207" s="85">
        <f t="shared" ca="1" si="1843"/>
        <v>0</v>
      </c>
      <c r="KZ207" s="110"/>
      <c r="LA207" s="80"/>
      <c r="LB207" s="85">
        <f t="shared" ca="1" si="1843"/>
        <v>0</v>
      </c>
      <c r="LC207" s="110"/>
      <c r="LD207" s="80"/>
      <c r="LE207" s="85">
        <f t="shared" ca="1" si="1843"/>
        <v>0</v>
      </c>
      <c r="LF207" s="110"/>
      <c r="LG207" s="110"/>
    </row>
    <row r="208" spans="1:319">
      <c r="A208" s="25"/>
      <c r="B208" s="25"/>
      <c r="C208" s="25"/>
      <c r="D208" s="25"/>
      <c r="E208" s="25"/>
      <c r="F208" s="407"/>
      <c r="G208" s="407"/>
      <c r="H208" s="65"/>
      <c r="I208" s="50"/>
      <c r="J208" s="94"/>
      <c r="K208" s="434" t="str">
        <f>Idiomas!D460</f>
        <v>R16 Match-ups</v>
      </c>
      <c r="L208" s="435"/>
      <c r="M208" s="434" t="str">
        <f>"Max: "&amp;SUM($D$20:$D$22)*SUM($I$200:$I$207)</f>
        <v>Max: 160</v>
      </c>
      <c r="N208" s="25"/>
      <c r="O208" s="25"/>
      <c r="P208" s="25"/>
      <c r="Q208" s="25"/>
      <c r="R208" s="49"/>
      <c r="S208" s="84"/>
      <c r="T208" s="71">
        <f ca="1">SUM(T200:T207)</f>
        <v>12</v>
      </c>
      <c r="U208" s="49"/>
      <c r="V208" s="84"/>
      <c r="W208" s="71">
        <f t="shared" ref="W208" ca="1" si="1856">SUM(W200:W207)</f>
        <v>22</v>
      </c>
      <c r="X208" s="49"/>
      <c r="Y208" s="84"/>
      <c r="Z208" s="71">
        <f t="shared" ref="Z208" ca="1" si="1857">SUM(Z200:Z207)</f>
        <v>22</v>
      </c>
      <c r="AA208" s="49"/>
      <c r="AB208" s="84"/>
      <c r="AC208" s="71">
        <f t="shared" ref="AC208" ca="1" si="1858">SUM(AC200:AC207)</f>
        <v>10</v>
      </c>
      <c r="AD208" s="49"/>
      <c r="AE208" s="84"/>
      <c r="AF208" s="71">
        <f t="shared" ref="AF208" ca="1" si="1859">SUM(AF200:AF207)</f>
        <v>20</v>
      </c>
      <c r="AG208" s="49"/>
      <c r="AH208" s="84"/>
      <c r="AI208" s="71">
        <f t="shared" ref="AI208" ca="1" si="1860">SUM(AI200:AI207)</f>
        <v>12</v>
      </c>
      <c r="AJ208" s="49"/>
      <c r="AK208" s="84"/>
      <c r="AL208" s="71">
        <f t="shared" ref="AL208" ca="1" si="1861">SUM(AL200:AL207)</f>
        <v>10</v>
      </c>
      <c r="AM208" s="49"/>
      <c r="AN208" s="84"/>
      <c r="AO208" s="71">
        <f t="shared" ref="AO208" ca="1" si="1862">SUM(AO200:AO207)</f>
        <v>0</v>
      </c>
      <c r="AP208" s="49"/>
      <c r="AQ208" s="84"/>
      <c r="AR208" s="71">
        <f t="shared" ref="AR208" ca="1" si="1863">SUM(AR200:AR207)</f>
        <v>10</v>
      </c>
      <c r="AS208" s="49"/>
      <c r="AT208" s="84"/>
      <c r="AU208" s="71">
        <f t="shared" ref="AU208" ca="1" si="1864">SUM(AU200:AU207)</f>
        <v>0</v>
      </c>
      <c r="AV208" s="49"/>
      <c r="AW208" s="84"/>
      <c r="AX208" s="71">
        <f t="shared" ref="AX208" ca="1" si="1865">SUM(AX200:AX207)</f>
        <v>12</v>
      </c>
      <c r="AY208" s="49"/>
      <c r="AZ208" s="84"/>
      <c r="BA208" s="71">
        <f t="shared" ref="BA208" ca="1" si="1866">SUM(BA200:BA207)</f>
        <v>20</v>
      </c>
      <c r="BB208" s="49"/>
      <c r="BC208" s="84"/>
      <c r="BD208" s="71">
        <f t="shared" ref="BD208" ca="1" si="1867">SUM(BD200:BD207)</f>
        <v>12</v>
      </c>
      <c r="BE208" s="49"/>
      <c r="BF208" s="84"/>
      <c r="BG208" s="71">
        <f t="shared" ref="BG208" ca="1" si="1868">SUM(BG200:BG207)</f>
        <v>10</v>
      </c>
      <c r="BH208" s="49"/>
      <c r="BI208" s="84"/>
      <c r="BJ208" s="71">
        <f t="shared" ref="BJ208" ca="1" si="1869">SUM(BJ200:BJ207)</f>
        <v>0</v>
      </c>
      <c r="BK208" s="49"/>
      <c r="BL208" s="84"/>
      <c r="BM208" s="71">
        <f t="shared" ref="BM208" ca="1" si="1870">SUM(BM200:BM207)</f>
        <v>10</v>
      </c>
      <c r="BN208" s="49"/>
      <c r="BO208" s="84"/>
      <c r="BP208" s="71">
        <f t="shared" ref="BP208" ca="1" si="1871">SUM(BP200:BP207)</f>
        <v>22</v>
      </c>
      <c r="BQ208" s="49"/>
      <c r="BR208" s="84"/>
      <c r="BS208" s="71">
        <f t="shared" ref="BS208" ca="1" si="1872">SUM(BS200:BS207)</f>
        <v>0</v>
      </c>
      <c r="BT208" s="49"/>
      <c r="BU208" s="84"/>
      <c r="BV208" s="71">
        <f t="shared" ref="BV208" ca="1" si="1873">SUM(BV200:BV207)</f>
        <v>10</v>
      </c>
      <c r="BW208" s="49"/>
      <c r="BX208" s="84"/>
      <c r="BY208" s="71">
        <f t="shared" ref="BY208" ca="1" si="1874">SUM(BY200:BY207)</f>
        <v>22</v>
      </c>
      <c r="BZ208" s="49"/>
      <c r="CA208" s="84"/>
      <c r="CB208" s="71">
        <f t="shared" ref="CB208" ca="1" si="1875">SUM(CB200:CB207)</f>
        <v>12</v>
      </c>
      <c r="CC208" s="49"/>
      <c r="CD208" s="84"/>
      <c r="CE208" s="71">
        <f t="shared" ref="CE208" ca="1" si="1876">SUM(CE200:CE207)</f>
        <v>0</v>
      </c>
      <c r="CF208" s="49"/>
      <c r="CG208" s="84"/>
      <c r="CH208" s="71">
        <f t="shared" ref="CH208" ca="1" si="1877">SUM(CH200:CH207)</f>
        <v>10</v>
      </c>
      <c r="CI208" s="49"/>
      <c r="CJ208" s="84"/>
      <c r="CK208" s="71">
        <f t="shared" ref="CK208" ca="1" si="1878">SUM(CK200:CK207)</f>
        <v>10</v>
      </c>
      <c r="CL208" s="49"/>
      <c r="CM208" s="84"/>
      <c r="CN208" s="71">
        <f t="shared" ref="CN208" ca="1" si="1879">SUM(CN200:CN207)</f>
        <v>10</v>
      </c>
      <c r="CO208" s="49"/>
      <c r="CP208" s="84"/>
      <c r="CQ208" s="71">
        <f t="shared" ref="CQ208" ca="1" si="1880">SUM(CQ200:CQ207)</f>
        <v>22</v>
      </c>
      <c r="CR208" s="49"/>
      <c r="CS208" s="84"/>
      <c r="CT208" s="71">
        <f t="shared" ref="CT208" ca="1" si="1881">SUM(CT200:CT207)</f>
        <v>12</v>
      </c>
      <c r="CU208" s="49"/>
      <c r="CV208" s="84"/>
      <c r="CW208" s="71">
        <f t="shared" ref="CW208" ca="1" si="1882">SUM(CW200:CW207)</f>
        <v>0</v>
      </c>
      <c r="CX208" s="49"/>
      <c r="CY208" s="84"/>
      <c r="CZ208" s="71">
        <f t="shared" ref="CZ208" ca="1" si="1883">SUM(CZ200:CZ207)</f>
        <v>0</v>
      </c>
      <c r="DA208" s="49"/>
      <c r="DB208" s="84"/>
      <c r="DC208" s="71">
        <f t="shared" ref="DC208" ca="1" si="1884">SUM(DC200:DC207)</f>
        <v>10</v>
      </c>
      <c r="DD208" s="49"/>
      <c r="DE208" s="84"/>
      <c r="DF208" s="71">
        <f t="shared" ref="DF208" ca="1" si="1885">SUM(DF200:DF207)</f>
        <v>22</v>
      </c>
      <c r="DG208" s="49"/>
      <c r="DH208" s="84"/>
      <c r="DI208" s="71">
        <f t="shared" ref="DI208" ca="1" si="1886">SUM(DI200:DI207)</f>
        <v>0</v>
      </c>
      <c r="DJ208" s="49"/>
      <c r="DK208" s="84"/>
      <c r="DL208" s="71">
        <f t="shared" ref="DL208" ca="1" si="1887">SUM(DL200:DL207)</f>
        <v>30</v>
      </c>
      <c r="DM208" s="49"/>
      <c r="DN208" s="84"/>
      <c r="DO208" s="71">
        <f t="shared" ref="DO208" ca="1" si="1888">SUM(DO200:DO207)</f>
        <v>0</v>
      </c>
      <c r="DP208" s="49"/>
      <c r="DQ208" s="84"/>
      <c r="DR208" s="71">
        <f t="shared" ref="DR208" ca="1" si="1889">SUM(DR200:DR207)</f>
        <v>10</v>
      </c>
      <c r="DS208" s="49"/>
      <c r="DT208" s="84"/>
      <c r="DU208" s="71">
        <f t="shared" ref="DU208" ca="1" si="1890">SUM(DU200:DU207)</f>
        <v>0</v>
      </c>
      <c r="DV208" s="49"/>
      <c r="DW208" s="84"/>
      <c r="DX208" s="71">
        <f t="shared" ref="DX208" ca="1" si="1891">SUM(DX200:DX207)</f>
        <v>10</v>
      </c>
      <c r="DY208" s="49"/>
      <c r="DZ208" s="84"/>
      <c r="EA208" s="71">
        <f t="shared" ref="EA208" ca="1" si="1892">SUM(EA200:EA207)</f>
        <v>10</v>
      </c>
      <c r="EB208" s="49"/>
      <c r="EC208" s="84"/>
      <c r="ED208" s="71">
        <f t="shared" ref="ED208" ca="1" si="1893">SUM(ED200:ED207)</f>
        <v>10</v>
      </c>
      <c r="EE208" s="49"/>
      <c r="EF208" s="84"/>
      <c r="EG208" s="71">
        <f t="shared" ref="EG208" ca="1" si="1894">SUM(EG200:EG207)</f>
        <v>0</v>
      </c>
      <c r="EH208" s="49"/>
      <c r="EI208" s="84"/>
      <c r="EJ208" s="71">
        <f t="shared" ref="EJ208" ca="1" si="1895">SUM(EJ200:EJ207)</f>
        <v>10</v>
      </c>
      <c r="EK208" s="49"/>
      <c r="EL208" s="84"/>
      <c r="EM208" s="71">
        <f t="shared" ref="EM208" ca="1" si="1896">SUM(EM200:EM207)</f>
        <v>22</v>
      </c>
      <c r="EN208" s="49"/>
      <c r="EO208" s="84"/>
      <c r="EP208" s="71">
        <f t="shared" ref="EP208" ca="1" si="1897">SUM(EP200:EP207)</f>
        <v>20</v>
      </c>
      <c r="EQ208" s="49"/>
      <c r="ER208" s="84"/>
      <c r="ES208" s="71">
        <f t="shared" ref="ES208" ca="1" si="1898">SUM(ES200:ES207)</f>
        <v>12</v>
      </c>
      <c r="ET208" s="49"/>
      <c r="EU208" s="84"/>
      <c r="EV208" s="71">
        <f t="shared" ref="EV208" ca="1" si="1899">SUM(EV200:EV207)</f>
        <v>12</v>
      </c>
      <c r="EW208" s="49"/>
      <c r="EX208" s="84"/>
      <c r="EY208" s="71">
        <f t="shared" ref="EY208" ca="1" si="1900">SUM(EY200:EY207)</f>
        <v>12</v>
      </c>
      <c r="EZ208" s="49"/>
      <c r="FA208" s="84"/>
      <c r="FB208" s="71">
        <f t="shared" ref="FB208" ca="1" si="1901">SUM(FB200:FB207)</f>
        <v>0</v>
      </c>
      <c r="FC208" s="49"/>
      <c r="FD208" s="84"/>
      <c r="FE208" s="71">
        <f t="shared" ref="FE208" ca="1" si="1902">SUM(FE200:FE207)</f>
        <v>22</v>
      </c>
      <c r="FF208" s="49"/>
      <c r="FG208" s="84"/>
      <c r="FH208" s="71">
        <f t="shared" ref="FH208" ca="1" si="1903">SUM(FH200:FH207)</f>
        <v>12</v>
      </c>
      <c r="FI208" s="49"/>
      <c r="FJ208" s="84"/>
      <c r="FK208" s="71">
        <f t="shared" ref="FK208" ca="1" si="1904">SUM(FK200:FK207)</f>
        <v>12</v>
      </c>
      <c r="FL208" s="49"/>
      <c r="FM208" s="84"/>
      <c r="FN208" s="71">
        <f t="shared" ref="FN208" ca="1" si="1905">SUM(FN200:FN207)</f>
        <v>12</v>
      </c>
      <c r="FO208" s="49"/>
      <c r="FP208" s="84"/>
      <c r="FQ208" s="71">
        <f t="shared" ref="FQ208" ca="1" si="1906">SUM(FQ200:FQ207)</f>
        <v>10</v>
      </c>
      <c r="FR208" s="49"/>
      <c r="FS208" s="84"/>
      <c r="FT208" s="71">
        <f t="shared" ref="FT208" ca="1" si="1907">SUM(FT200:FT207)</f>
        <v>12</v>
      </c>
      <c r="FU208" s="49"/>
      <c r="FV208" s="84"/>
      <c r="FW208" s="71">
        <f t="shared" ref="FW208" ca="1" si="1908">SUM(FW200:FW207)</f>
        <v>12</v>
      </c>
      <c r="FX208" s="49"/>
      <c r="FY208" s="84"/>
      <c r="FZ208" s="71">
        <f t="shared" ref="FZ208" ca="1" si="1909">SUM(FZ200:FZ207)</f>
        <v>0</v>
      </c>
      <c r="GA208" s="49"/>
      <c r="GB208" s="84"/>
      <c r="GC208" s="71">
        <f t="shared" ref="GC208" ca="1" si="1910">SUM(GC200:GC207)</f>
        <v>10</v>
      </c>
      <c r="GD208" s="49"/>
      <c r="GE208" s="84"/>
      <c r="GF208" s="71">
        <f t="shared" ref="GF208" ca="1" si="1911">SUM(GF200:GF207)</f>
        <v>20</v>
      </c>
      <c r="GG208" s="49"/>
      <c r="GH208" s="84"/>
      <c r="GI208" s="71">
        <f t="shared" ref="GI208" ca="1" si="1912">SUM(GI200:GI207)</f>
        <v>0</v>
      </c>
      <c r="GJ208" s="49"/>
      <c r="GK208" s="84"/>
      <c r="GL208" s="71">
        <f t="shared" ref="GL208" ca="1" si="1913">SUM(GL200:GL207)</f>
        <v>10</v>
      </c>
      <c r="GM208" s="49"/>
      <c r="GN208" s="84"/>
      <c r="GO208" s="71">
        <f t="shared" ref="GO208" ca="1" si="1914">SUM(GO200:GO207)</f>
        <v>0</v>
      </c>
      <c r="GP208" s="49"/>
      <c r="GQ208" s="84"/>
      <c r="GR208" s="71">
        <f t="shared" ref="GR208" ca="1" si="1915">SUM(GR200:GR207)</f>
        <v>0</v>
      </c>
      <c r="GS208" s="49"/>
      <c r="GT208" s="84"/>
      <c r="GU208" s="71">
        <f t="shared" ref="GU208" ca="1" si="1916">SUM(GU200:GU207)</f>
        <v>0</v>
      </c>
      <c r="GV208" s="49"/>
      <c r="GW208" s="84"/>
      <c r="GX208" s="71">
        <f t="shared" ref="GX208" ca="1" si="1917">SUM(GX200:GX207)</f>
        <v>0</v>
      </c>
      <c r="GY208" s="49"/>
      <c r="GZ208" s="84"/>
      <c r="HA208" s="71">
        <f t="shared" ref="HA208" ca="1" si="1918">SUM(HA200:HA207)</f>
        <v>0</v>
      </c>
      <c r="HB208" s="49"/>
      <c r="HC208" s="84"/>
      <c r="HD208" s="71">
        <f t="shared" ref="HD208" ca="1" si="1919">SUM(HD200:HD207)</f>
        <v>0</v>
      </c>
      <c r="HE208" s="49"/>
      <c r="HF208" s="84"/>
      <c r="HG208" s="71">
        <f t="shared" ref="HG208" ca="1" si="1920">SUM(HG200:HG207)</f>
        <v>0</v>
      </c>
      <c r="HH208" s="49"/>
      <c r="HI208" s="84"/>
      <c r="HJ208" s="71">
        <f t="shared" ref="HJ208" ca="1" si="1921">SUM(HJ200:HJ207)</f>
        <v>0</v>
      </c>
      <c r="HK208" s="49"/>
      <c r="HL208" s="84"/>
      <c r="HM208" s="71">
        <f t="shared" ref="HM208" ca="1" si="1922">SUM(HM200:HM207)</f>
        <v>0</v>
      </c>
      <c r="HN208" s="49"/>
      <c r="HO208" s="84"/>
      <c r="HP208" s="71">
        <f t="shared" ref="HP208" ca="1" si="1923">SUM(HP200:HP207)</f>
        <v>0</v>
      </c>
      <c r="HQ208" s="49"/>
      <c r="HR208" s="84"/>
      <c r="HS208" s="71">
        <f t="shared" ref="HS208" ca="1" si="1924">SUM(HS200:HS207)</f>
        <v>0</v>
      </c>
      <c r="HT208" s="49"/>
      <c r="HU208" s="84"/>
      <c r="HV208" s="71">
        <f t="shared" ref="HV208" ca="1" si="1925">SUM(HV200:HV207)</f>
        <v>0</v>
      </c>
      <c r="HW208" s="49"/>
      <c r="HX208" s="84"/>
      <c r="HY208" s="71">
        <f t="shared" ref="HY208" ca="1" si="1926">SUM(HY200:HY207)</f>
        <v>0</v>
      </c>
      <c r="HZ208" s="49"/>
      <c r="IA208" s="84"/>
      <c r="IB208" s="71">
        <f t="shared" ref="IB208" ca="1" si="1927">SUM(IB200:IB207)</f>
        <v>0</v>
      </c>
      <c r="IC208" s="49"/>
      <c r="ID208" s="84"/>
      <c r="IE208" s="71">
        <f t="shared" ref="IE208" ca="1" si="1928">SUM(IE200:IE207)</f>
        <v>0</v>
      </c>
      <c r="IF208" s="49"/>
      <c r="IG208" s="84"/>
      <c r="IH208" s="71">
        <f t="shared" ref="IH208" ca="1" si="1929">SUM(IH200:IH207)</f>
        <v>0</v>
      </c>
      <c r="II208" s="49"/>
      <c r="IJ208" s="84"/>
      <c r="IK208" s="71">
        <f t="shared" ref="IK208" ca="1" si="1930">SUM(IK200:IK207)</f>
        <v>0</v>
      </c>
      <c r="IL208" s="49"/>
      <c r="IM208" s="84"/>
      <c r="IN208" s="71">
        <f t="shared" ref="IN208" ca="1" si="1931">SUM(IN200:IN207)</f>
        <v>0</v>
      </c>
      <c r="IO208" s="49"/>
      <c r="IP208" s="84"/>
      <c r="IQ208" s="71">
        <f t="shared" ref="IQ208" ca="1" si="1932">SUM(IQ200:IQ207)</f>
        <v>0</v>
      </c>
      <c r="IR208" s="49"/>
      <c r="IS208" s="84"/>
      <c r="IT208" s="71">
        <f t="shared" ref="IT208" ca="1" si="1933">SUM(IT200:IT207)</f>
        <v>0</v>
      </c>
      <c r="IU208" s="49"/>
      <c r="IV208" s="84"/>
      <c r="IW208" s="71">
        <f t="shared" ref="IW208" ca="1" si="1934">SUM(IW200:IW207)</f>
        <v>0</v>
      </c>
      <c r="IX208" s="49"/>
      <c r="IY208" s="84"/>
      <c r="IZ208" s="71">
        <f t="shared" ref="IZ208" ca="1" si="1935">SUM(IZ200:IZ207)</f>
        <v>0</v>
      </c>
      <c r="JA208" s="49"/>
      <c r="JB208" s="84"/>
      <c r="JC208" s="71">
        <f t="shared" ref="JC208" ca="1" si="1936">SUM(JC200:JC207)</f>
        <v>0</v>
      </c>
      <c r="JD208" s="49"/>
      <c r="JE208" s="84"/>
      <c r="JF208" s="71">
        <f t="shared" ref="JF208" ca="1" si="1937">SUM(JF200:JF207)</f>
        <v>0</v>
      </c>
      <c r="JG208" s="49"/>
      <c r="JH208" s="84"/>
      <c r="JI208" s="71">
        <f t="shared" ref="JI208" ca="1" si="1938">SUM(JI200:JI207)</f>
        <v>0</v>
      </c>
      <c r="JJ208" s="49"/>
      <c r="JK208" s="84"/>
      <c r="JL208" s="71">
        <f t="shared" ref="JL208" ca="1" si="1939">SUM(JL200:JL207)</f>
        <v>0</v>
      </c>
      <c r="JM208" s="49"/>
      <c r="JN208" s="84"/>
      <c r="JO208" s="71">
        <f t="shared" ref="JO208" ca="1" si="1940">SUM(JO200:JO207)</f>
        <v>0</v>
      </c>
      <c r="JP208" s="49"/>
      <c r="JQ208" s="84"/>
      <c r="JR208" s="71">
        <f t="shared" ref="JR208" ca="1" si="1941">SUM(JR200:JR207)</f>
        <v>0</v>
      </c>
      <c r="JS208" s="49"/>
      <c r="JT208" s="84"/>
      <c r="JU208" s="71">
        <f t="shared" ref="JU208" ca="1" si="1942">SUM(JU200:JU207)</f>
        <v>0</v>
      </c>
      <c r="JV208" s="49"/>
      <c r="JW208" s="84"/>
      <c r="JX208" s="71">
        <f t="shared" ref="JX208" ca="1" si="1943">SUM(JX200:JX207)</f>
        <v>0</v>
      </c>
      <c r="JY208" s="49"/>
      <c r="JZ208" s="84"/>
      <c r="KA208" s="71">
        <f t="shared" ref="KA208" ca="1" si="1944">SUM(KA200:KA207)</f>
        <v>0</v>
      </c>
      <c r="KB208" s="49"/>
      <c r="KC208" s="84"/>
      <c r="KD208" s="71">
        <f t="shared" ref="KD208" ca="1" si="1945">SUM(KD200:KD207)</f>
        <v>0</v>
      </c>
      <c r="KE208" s="49"/>
      <c r="KF208" s="84"/>
      <c r="KG208" s="71">
        <f t="shared" ref="KG208" ca="1" si="1946">SUM(KG200:KG207)</f>
        <v>0</v>
      </c>
      <c r="KH208" s="49"/>
      <c r="KI208" s="84"/>
      <c r="KJ208" s="71">
        <f t="shared" ref="KJ208" ca="1" si="1947">SUM(KJ200:KJ207)</f>
        <v>0</v>
      </c>
      <c r="KK208" s="49"/>
      <c r="KL208" s="84"/>
      <c r="KM208" s="71">
        <f t="shared" ref="KM208" ca="1" si="1948">SUM(KM200:KM207)</f>
        <v>0</v>
      </c>
      <c r="KN208" s="49"/>
      <c r="KO208" s="84"/>
      <c r="KP208" s="71">
        <f t="shared" ref="KP208" ca="1" si="1949">SUM(KP200:KP207)</f>
        <v>0</v>
      </c>
      <c r="KQ208" s="49"/>
      <c r="KR208" s="84"/>
      <c r="KS208" s="71">
        <f t="shared" ref="KS208" ca="1" si="1950">SUM(KS200:KS207)</f>
        <v>0</v>
      </c>
      <c r="KT208" s="49"/>
      <c r="KU208" s="84"/>
      <c r="KV208" s="71">
        <f t="shared" ref="KV208" ca="1" si="1951">SUM(KV200:KV207)</f>
        <v>0</v>
      </c>
      <c r="KW208" s="49"/>
      <c r="KX208" s="84"/>
      <c r="KY208" s="71">
        <f t="shared" ref="KY208" ca="1" si="1952">SUM(KY200:KY207)</f>
        <v>0</v>
      </c>
      <c r="KZ208" s="49"/>
      <c r="LA208" s="84"/>
      <c r="LB208" s="71">
        <f t="shared" ref="LB208" ca="1" si="1953">SUM(LB200:LB207)</f>
        <v>0</v>
      </c>
      <c r="LC208" s="49"/>
      <c r="LD208" s="84"/>
      <c r="LE208" s="71">
        <f t="shared" ref="LE208" ca="1" si="1954">SUM(LE200:LE207)</f>
        <v>0</v>
      </c>
      <c r="LF208" s="49"/>
      <c r="LG208" s="49"/>
    </row>
    <row r="209" spans="1:319">
      <c r="A209" s="25"/>
      <c r="B209" s="25"/>
      <c r="C209" s="25"/>
      <c r="D209" s="25"/>
      <c r="E209" s="25"/>
      <c r="F209" s="407"/>
      <c r="G209" s="407"/>
      <c r="H209" s="65"/>
      <c r="I209" s="50"/>
      <c r="J209" s="94"/>
      <c r="K209" s="113" t="str">
        <f>Idiomas!D141</f>
        <v>QUARTER-FINALISTS</v>
      </c>
      <c r="L209" s="50"/>
      <c r="M209" s="71"/>
      <c r="N209" s="25"/>
      <c r="O209" s="25"/>
      <c r="P209" s="25"/>
      <c r="Q209" s="25"/>
      <c r="R209" s="49"/>
      <c r="S209" s="84"/>
      <c r="T209" s="71"/>
      <c r="U209" s="49"/>
      <c r="V209" s="84"/>
      <c r="W209" s="71"/>
      <c r="X209" s="49"/>
      <c r="Y209" s="84"/>
      <c r="Z209" s="71"/>
      <c r="AA209" s="49"/>
      <c r="AB209" s="84"/>
      <c r="AC209" s="71"/>
      <c r="AD209" s="49"/>
      <c r="AE209" s="84"/>
      <c r="AF209" s="71"/>
      <c r="AG209" s="49"/>
      <c r="AH209" s="84"/>
      <c r="AI209" s="71"/>
      <c r="AJ209" s="49"/>
      <c r="AK209" s="84"/>
      <c r="AL209" s="71"/>
      <c r="AM209" s="49"/>
      <c r="AN209" s="84"/>
      <c r="AO209" s="71"/>
      <c r="AP209" s="49"/>
      <c r="AQ209" s="84"/>
      <c r="AR209" s="71"/>
      <c r="AS209" s="49"/>
      <c r="AT209" s="84"/>
      <c r="AU209" s="71"/>
      <c r="AV209" s="49"/>
      <c r="AW209" s="84"/>
      <c r="AX209" s="71"/>
      <c r="AY209" s="49"/>
      <c r="AZ209" s="84"/>
      <c r="BA209" s="71"/>
      <c r="BB209" s="49"/>
      <c r="BC209" s="84"/>
      <c r="BD209" s="71"/>
      <c r="BE209" s="49"/>
      <c r="BF209" s="84"/>
      <c r="BG209" s="71"/>
      <c r="BH209" s="49"/>
      <c r="BI209" s="84"/>
      <c r="BJ209" s="71"/>
      <c r="BK209" s="49"/>
      <c r="BL209" s="84"/>
      <c r="BM209" s="71"/>
      <c r="BN209" s="49"/>
      <c r="BO209" s="84"/>
      <c r="BP209" s="71"/>
      <c r="BQ209" s="49"/>
      <c r="BR209" s="84"/>
      <c r="BS209" s="71"/>
      <c r="BT209" s="49"/>
      <c r="BU209" s="84"/>
      <c r="BV209" s="71"/>
      <c r="BW209" s="49"/>
      <c r="BX209" s="84"/>
      <c r="BY209" s="71"/>
      <c r="BZ209" s="49"/>
      <c r="CA209" s="84"/>
      <c r="CB209" s="71"/>
      <c r="CC209" s="49"/>
      <c r="CD209" s="84"/>
      <c r="CE209" s="71"/>
      <c r="CF209" s="49"/>
      <c r="CG209" s="84"/>
      <c r="CH209" s="71"/>
      <c r="CI209" s="49"/>
      <c r="CJ209" s="84"/>
      <c r="CK209" s="71"/>
      <c r="CL209" s="49"/>
      <c r="CM209" s="84"/>
      <c r="CN209" s="71"/>
      <c r="CO209" s="49"/>
      <c r="CP209" s="84"/>
      <c r="CQ209" s="71"/>
      <c r="CR209" s="49"/>
      <c r="CS209" s="84"/>
      <c r="CT209" s="71"/>
      <c r="CU209" s="49"/>
      <c r="CV209" s="84"/>
      <c r="CW209" s="71"/>
      <c r="CX209" s="49"/>
      <c r="CY209" s="84"/>
      <c r="CZ209" s="71"/>
      <c r="DA209" s="49"/>
      <c r="DB209" s="84"/>
      <c r="DC209" s="71"/>
      <c r="DD209" s="49"/>
      <c r="DE209" s="84"/>
      <c r="DF209" s="71"/>
      <c r="DG209" s="49"/>
      <c r="DH209" s="84"/>
      <c r="DI209" s="71"/>
      <c r="DJ209" s="49"/>
      <c r="DK209" s="84"/>
      <c r="DL209" s="71"/>
      <c r="DM209" s="49"/>
      <c r="DN209" s="84"/>
      <c r="DO209" s="71"/>
      <c r="DP209" s="49"/>
      <c r="DQ209" s="84"/>
      <c r="DR209" s="71"/>
      <c r="DS209" s="49"/>
      <c r="DT209" s="84"/>
      <c r="DU209" s="71"/>
      <c r="DV209" s="49"/>
      <c r="DW209" s="84"/>
      <c r="DX209" s="71"/>
      <c r="DY209" s="49"/>
      <c r="DZ209" s="84"/>
      <c r="EA209" s="71"/>
      <c r="EB209" s="49"/>
      <c r="EC209" s="84"/>
      <c r="ED209" s="71"/>
      <c r="EE209" s="49"/>
      <c r="EF209" s="84"/>
      <c r="EG209" s="71"/>
      <c r="EH209" s="49"/>
      <c r="EI209" s="84"/>
      <c r="EJ209" s="71"/>
      <c r="EK209" s="49"/>
      <c r="EL209" s="84"/>
      <c r="EM209" s="71"/>
      <c r="EN209" s="49"/>
      <c r="EO209" s="84"/>
      <c r="EP209" s="71"/>
      <c r="EQ209" s="49"/>
      <c r="ER209" s="84"/>
      <c r="ES209" s="71"/>
      <c r="ET209" s="49"/>
      <c r="EU209" s="84"/>
      <c r="EV209" s="71"/>
      <c r="EW209" s="49"/>
      <c r="EX209" s="84"/>
      <c r="EY209" s="71"/>
      <c r="EZ209" s="49"/>
      <c r="FA209" s="84"/>
      <c r="FB209" s="71"/>
      <c r="FC209" s="49"/>
      <c r="FD209" s="84"/>
      <c r="FE209" s="71"/>
      <c r="FF209" s="49"/>
      <c r="FG209" s="84"/>
      <c r="FH209" s="71"/>
      <c r="FI209" s="49"/>
      <c r="FJ209" s="84"/>
      <c r="FK209" s="71"/>
      <c r="FL209" s="49"/>
      <c r="FM209" s="84"/>
      <c r="FN209" s="71"/>
      <c r="FO209" s="49"/>
      <c r="FP209" s="84"/>
      <c r="FQ209" s="71"/>
      <c r="FR209" s="49"/>
      <c r="FS209" s="84"/>
      <c r="FT209" s="71"/>
      <c r="FU209" s="49"/>
      <c r="FV209" s="84"/>
      <c r="FW209" s="71"/>
      <c r="FX209" s="49"/>
      <c r="FY209" s="84"/>
      <c r="FZ209" s="71"/>
      <c r="GA209" s="49"/>
      <c r="GB209" s="84"/>
      <c r="GC209" s="71"/>
      <c r="GD209" s="49"/>
      <c r="GE209" s="84"/>
      <c r="GF209" s="71"/>
      <c r="GG209" s="49"/>
      <c r="GH209" s="84"/>
      <c r="GI209" s="71"/>
      <c r="GJ209" s="49"/>
      <c r="GK209" s="84"/>
      <c r="GL209" s="71"/>
      <c r="GM209" s="49"/>
      <c r="GN209" s="84"/>
      <c r="GO209" s="71"/>
      <c r="GP209" s="49"/>
      <c r="GQ209" s="84"/>
      <c r="GR209" s="71"/>
      <c r="GS209" s="49"/>
      <c r="GT209" s="84"/>
      <c r="GU209" s="71"/>
      <c r="GV209" s="49"/>
      <c r="GW209" s="84"/>
      <c r="GX209" s="71"/>
      <c r="GY209" s="49"/>
      <c r="GZ209" s="84"/>
      <c r="HA209" s="71"/>
      <c r="HB209" s="49"/>
      <c r="HC209" s="84"/>
      <c r="HD209" s="71"/>
      <c r="HE209" s="49"/>
      <c r="HF209" s="84"/>
      <c r="HG209" s="71"/>
      <c r="HH209" s="49"/>
      <c r="HI209" s="84"/>
      <c r="HJ209" s="71"/>
      <c r="HK209" s="49"/>
      <c r="HL209" s="84"/>
      <c r="HM209" s="71"/>
      <c r="HN209" s="49"/>
      <c r="HO209" s="84"/>
      <c r="HP209" s="71"/>
      <c r="HQ209" s="49"/>
      <c r="HR209" s="84"/>
      <c r="HS209" s="71"/>
      <c r="HT209" s="49"/>
      <c r="HU209" s="84"/>
      <c r="HV209" s="71"/>
      <c r="HW209" s="49"/>
      <c r="HX209" s="84"/>
      <c r="HY209" s="71"/>
      <c r="HZ209" s="49"/>
      <c r="IA209" s="84"/>
      <c r="IB209" s="71"/>
      <c r="IC209" s="49"/>
      <c r="ID209" s="84"/>
      <c r="IE209" s="71"/>
      <c r="IF209" s="49"/>
      <c r="IG209" s="84"/>
      <c r="IH209" s="71"/>
      <c r="II209" s="49"/>
      <c r="IJ209" s="84"/>
      <c r="IK209" s="71"/>
      <c r="IL209" s="49"/>
      <c r="IM209" s="84"/>
      <c r="IN209" s="71"/>
      <c r="IO209" s="49"/>
      <c r="IP209" s="84"/>
      <c r="IQ209" s="71"/>
      <c r="IR209" s="49"/>
      <c r="IS209" s="84"/>
      <c r="IT209" s="71"/>
      <c r="IU209" s="49"/>
      <c r="IV209" s="84"/>
      <c r="IW209" s="71"/>
      <c r="IX209" s="49"/>
      <c r="IY209" s="84"/>
      <c r="IZ209" s="71"/>
      <c r="JA209" s="49"/>
      <c r="JB209" s="84"/>
      <c r="JC209" s="71"/>
      <c r="JD209" s="49"/>
      <c r="JE209" s="84"/>
      <c r="JF209" s="71"/>
      <c r="JG209" s="49"/>
      <c r="JH209" s="84"/>
      <c r="JI209" s="71"/>
      <c r="JJ209" s="49"/>
      <c r="JK209" s="84"/>
      <c r="JL209" s="71"/>
      <c r="JM209" s="49"/>
      <c r="JN209" s="84"/>
      <c r="JO209" s="71"/>
      <c r="JP209" s="49"/>
      <c r="JQ209" s="84"/>
      <c r="JR209" s="71"/>
      <c r="JS209" s="49"/>
      <c r="JT209" s="84"/>
      <c r="JU209" s="71"/>
      <c r="JV209" s="49"/>
      <c r="JW209" s="84"/>
      <c r="JX209" s="71"/>
      <c r="JY209" s="49"/>
      <c r="JZ209" s="84"/>
      <c r="KA209" s="71"/>
      <c r="KB209" s="49"/>
      <c r="KC209" s="84"/>
      <c r="KD209" s="71"/>
      <c r="KE209" s="49"/>
      <c r="KF209" s="84"/>
      <c r="KG209" s="71"/>
      <c r="KH209" s="49"/>
      <c r="KI209" s="84"/>
      <c r="KJ209" s="71"/>
      <c r="KK209" s="49"/>
      <c r="KL209" s="84"/>
      <c r="KM209" s="71"/>
      <c r="KN209" s="49"/>
      <c r="KO209" s="84"/>
      <c r="KP209" s="71"/>
      <c r="KQ209" s="49"/>
      <c r="KR209" s="84"/>
      <c r="KS209" s="71"/>
      <c r="KT209" s="49"/>
      <c r="KU209" s="84"/>
      <c r="KV209" s="71"/>
      <c r="KW209" s="49"/>
      <c r="KX209" s="84"/>
      <c r="KY209" s="71"/>
      <c r="KZ209" s="49"/>
      <c r="LA209" s="84"/>
      <c r="LB209" s="71"/>
      <c r="LC209" s="49"/>
      <c r="LD209" s="84"/>
      <c r="LE209" s="71"/>
      <c r="LF209" s="49"/>
      <c r="LG209" s="49"/>
    </row>
    <row r="210" spans="1:319">
      <c r="A210" s="25"/>
      <c r="B210" s="25"/>
      <c r="C210" s="25"/>
      <c r="D210" s="25"/>
      <c r="E210" s="25"/>
      <c r="F210" s="407">
        <f>+$D$23</f>
        <v>20</v>
      </c>
      <c r="G210" s="407">
        <f ca="1">VLOOKUP(H210,Equipos!$Q$1:$R$25,2,0)</f>
        <v>21</v>
      </c>
      <c r="H210" s="65" t="str">
        <f>Idiomas!$D$261</f>
        <v>Round Of 16</v>
      </c>
      <c r="I210" s="50"/>
      <c r="J210" s="845" t="s">
        <v>34</v>
      </c>
      <c r="K210" s="53" t="str">
        <f>Idiomas!$D$200&amp;"-"&amp;ROWS($L$210:L210)</f>
        <v>Quarterfinalist-1</v>
      </c>
      <c r="L210" s="53"/>
      <c r="M210" s="55" t="str">
        <f ca="1">WORLDCUP!AA131</f>
        <v>France</v>
      </c>
      <c r="N210" s="25"/>
      <c r="O210" s="25"/>
      <c r="P210" s="25"/>
      <c r="Q210" s="25"/>
      <c r="R210" s="110"/>
      <c r="S210" s="76" t="s">
        <v>297</v>
      </c>
      <c r="T210" s="77">
        <f t="shared" ref="T210:T217" ca="1" si="1955">COUNTIF($M$210:$M$217,S210)*$D$23</f>
        <v>0</v>
      </c>
      <c r="U210" s="110"/>
      <c r="V210" s="76" t="s">
        <v>294</v>
      </c>
      <c r="W210" s="77">
        <f t="shared" ref="W210:W217" ca="1" si="1956">COUNTIF($M$210:$M$217,V210)*$D$23</f>
        <v>20</v>
      </c>
      <c r="X210" s="110"/>
      <c r="Y210" s="76" t="s">
        <v>1282</v>
      </c>
      <c r="Z210" s="77">
        <f t="shared" ref="Z210:Z217" ca="1" si="1957">COUNTIF($M$210:$M$217,Y210)*$D$23</f>
        <v>0</v>
      </c>
      <c r="AA210" s="110"/>
      <c r="AB210" s="76" t="s">
        <v>294</v>
      </c>
      <c r="AC210" s="77">
        <f t="shared" ref="AC210:AC217" ca="1" si="1958">COUNTIF($M$210:$M$217,AB210)*$D$23</f>
        <v>20</v>
      </c>
      <c r="AD210" s="110"/>
      <c r="AE210" s="76" t="s">
        <v>294</v>
      </c>
      <c r="AF210" s="77">
        <f t="shared" ref="AF210:AF217" ca="1" si="1959">COUNTIF($M$210:$M$217,AE210)*$D$23</f>
        <v>20</v>
      </c>
      <c r="AG210" s="110"/>
      <c r="AH210" s="76" t="s">
        <v>297</v>
      </c>
      <c r="AI210" s="77">
        <f t="shared" ref="AI210:AI217" ca="1" si="1960">COUNTIF($M$210:$M$217,AH210)*$D$23</f>
        <v>0</v>
      </c>
      <c r="AJ210" s="110"/>
      <c r="AK210" s="76" t="s">
        <v>294</v>
      </c>
      <c r="AL210" s="77">
        <f t="shared" ref="AL210:AL217" ca="1" si="1961">COUNTIF($M$210:$M$217,AK210)*$D$23</f>
        <v>20</v>
      </c>
      <c r="AM210" s="110"/>
      <c r="AN210" s="76" t="s">
        <v>1836</v>
      </c>
      <c r="AO210" s="77">
        <f t="shared" ref="AO210:AO217" ca="1" si="1962">COUNTIF($M$210:$M$217,AN210)*$D$23</f>
        <v>0</v>
      </c>
      <c r="AP210" s="110"/>
      <c r="AQ210" s="76" t="s">
        <v>294</v>
      </c>
      <c r="AR210" s="77">
        <f t="shared" ref="AR210:AR217" ca="1" si="1963">COUNTIF($M$210:$M$217,AQ210)*$D$23</f>
        <v>20</v>
      </c>
      <c r="AS210" s="110"/>
      <c r="AT210" s="76" t="s">
        <v>294</v>
      </c>
      <c r="AU210" s="77">
        <f t="shared" ref="AU210:AU217" ca="1" si="1964">COUNTIF($M$210:$M$217,AT210)*$D$23</f>
        <v>20</v>
      </c>
      <c r="AV210" s="110"/>
      <c r="AW210" s="76" t="s">
        <v>297</v>
      </c>
      <c r="AX210" s="77">
        <f t="shared" ref="AX210:AX217" ca="1" si="1965">COUNTIF($M$210:$M$217,AW210)*$D$23</f>
        <v>0</v>
      </c>
      <c r="AY210" s="110"/>
      <c r="AZ210" s="76" t="s">
        <v>294</v>
      </c>
      <c r="BA210" s="77">
        <f t="shared" ref="BA210:BA217" ca="1" si="1966">COUNTIF($M$210:$M$217,AZ210)*$D$23</f>
        <v>20</v>
      </c>
      <c r="BB210" s="110"/>
      <c r="BC210" s="76" t="s">
        <v>294</v>
      </c>
      <c r="BD210" s="77">
        <f t="shared" ref="BD210:BD217" ca="1" si="1967">COUNTIF($M$210:$M$217,BC210)*$D$23</f>
        <v>20</v>
      </c>
      <c r="BE210" s="110"/>
      <c r="BF210" s="76" t="s">
        <v>294</v>
      </c>
      <c r="BG210" s="77">
        <f t="shared" ref="BG210:BG217" ca="1" si="1968">COUNTIF($M$210:$M$217,BF210)*$D$23</f>
        <v>20</v>
      </c>
      <c r="BH210" s="110"/>
      <c r="BI210" s="76" t="s">
        <v>297</v>
      </c>
      <c r="BJ210" s="77">
        <f t="shared" ref="BJ210:BJ217" ca="1" si="1969">COUNTIF($M$210:$M$217,BI210)*$D$23</f>
        <v>0</v>
      </c>
      <c r="BK210" s="110"/>
      <c r="BL210" s="76" t="s">
        <v>294</v>
      </c>
      <c r="BM210" s="77">
        <f t="shared" ref="BM210:BM217" ca="1" si="1970">COUNTIF($M$210:$M$217,BL210)*$D$23</f>
        <v>20</v>
      </c>
      <c r="BN210" s="110"/>
      <c r="BO210" s="76" t="s">
        <v>294</v>
      </c>
      <c r="BP210" s="77">
        <f t="shared" ref="BP210:BP217" ca="1" si="1971">COUNTIF($M$210:$M$217,BO210)*$D$23</f>
        <v>20</v>
      </c>
      <c r="BQ210" s="110"/>
      <c r="BR210" s="76" t="s">
        <v>294</v>
      </c>
      <c r="BS210" s="77">
        <f t="shared" ref="BS210:BS217" ca="1" si="1972">COUNTIF($M$210:$M$217,BR210)*$D$23</f>
        <v>20</v>
      </c>
      <c r="BT210" s="110"/>
      <c r="BU210" s="76" t="s">
        <v>294</v>
      </c>
      <c r="BV210" s="77">
        <f t="shared" ref="BV210:BV217" ca="1" si="1973">COUNTIF($M$210:$M$217,BU210)*$D$23</f>
        <v>20</v>
      </c>
      <c r="BW210" s="110"/>
      <c r="BX210" s="76" t="s">
        <v>297</v>
      </c>
      <c r="BY210" s="77">
        <f t="shared" ref="BY210:BY217" ca="1" si="1974">COUNTIF($M$210:$M$217,BX210)*$D$23</f>
        <v>0</v>
      </c>
      <c r="BZ210" s="110"/>
      <c r="CA210" s="76" t="s">
        <v>294</v>
      </c>
      <c r="CB210" s="77">
        <f t="shared" ref="CB210:CB217" ca="1" si="1975">COUNTIF($M$210:$M$217,CA210)*$D$23</f>
        <v>20</v>
      </c>
      <c r="CC210" s="110"/>
      <c r="CD210" s="76" t="s">
        <v>294</v>
      </c>
      <c r="CE210" s="77">
        <f t="shared" ref="CE210:CE217" ca="1" si="1976">COUNTIF($M$210:$M$217,CD210)*$D$23</f>
        <v>20</v>
      </c>
      <c r="CF210" s="110"/>
      <c r="CG210" s="76" t="s">
        <v>294</v>
      </c>
      <c r="CH210" s="77">
        <f t="shared" ref="CH210:CH217" ca="1" si="1977">COUNTIF($M$210:$M$217,CG210)*$D$23</f>
        <v>20</v>
      </c>
      <c r="CI210" s="110"/>
      <c r="CJ210" s="76" t="s">
        <v>294</v>
      </c>
      <c r="CK210" s="77">
        <f t="shared" ref="CK210:CK217" ca="1" si="1978">COUNTIF($M$210:$M$217,CJ210)*$D$23</f>
        <v>20</v>
      </c>
      <c r="CL210" s="110"/>
      <c r="CM210" s="76" t="s">
        <v>297</v>
      </c>
      <c r="CN210" s="77">
        <f t="shared" ref="CN210:CN217" ca="1" si="1979">COUNTIF($M$210:$M$217,CM210)*$D$23</f>
        <v>0</v>
      </c>
      <c r="CO210" s="110"/>
      <c r="CP210" s="76" t="s">
        <v>297</v>
      </c>
      <c r="CQ210" s="77">
        <f t="shared" ref="CQ210:CQ217" ca="1" si="1980">COUNTIF($M$210:$M$217,CP210)*$D$23</f>
        <v>0</v>
      </c>
      <c r="CR210" s="110"/>
      <c r="CS210" s="76" t="s">
        <v>297</v>
      </c>
      <c r="CT210" s="77">
        <f t="shared" ref="CT210:CT217" ca="1" si="1981">COUNTIF($M$210:$M$217,CS210)*$D$23</f>
        <v>0</v>
      </c>
      <c r="CU210" s="110"/>
      <c r="CV210" s="76" t="s">
        <v>297</v>
      </c>
      <c r="CW210" s="77">
        <f t="shared" ref="CW210:CW217" ca="1" si="1982">COUNTIF($M$210:$M$217,CV210)*$D$23</f>
        <v>0</v>
      </c>
      <c r="CX210" s="110"/>
      <c r="CY210" s="76" t="s">
        <v>294</v>
      </c>
      <c r="CZ210" s="77">
        <f t="shared" ref="CZ210:CZ217" ca="1" si="1983">COUNTIF($M$210:$M$217,CY210)*$D$23</f>
        <v>20</v>
      </c>
      <c r="DA210" s="110"/>
      <c r="DB210" s="76" t="s">
        <v>294</v>
      </c>
      <c r="DC210" s="77">
        <f t="shared" ref="DC210:DC217" ca="1" si="1984">COUNTIF($M$210:$M$217,DB210)*$D$23</f>
        <v>20</v>
      </c>
      <c r="DD210" s="110"/>
      <c r="DE210" s="76" t="s">
        <v>294</v>
      </c>
      <c r="DF210" s="77">
        <f t="shared" ref="DF210:DF217" ca="1" si="1985">COUNTIF($M$210:$M$217,DE210)*$D$23</f>
        <v>20</v>
      </c>
      <c r="DG210" s="110"/>
      <c r="DH210" s="76" t="s">
        <v>294</v>
      </c>
      <c r="DI210" s="77">
        <f t="shared" ref="DI210:DI217" ca="1" si="1986">COUNTIF($M$210:$M$217,DH210)*$D$23</f>
        <v>20</v>
      </c>
      <c r="DJ210" s="110"/>
      <c r="DK210" s="76" t="s">
        <v>294</v>
      </c>
      <c r="DL210" s="77">
        <f t="shared" ref="DL210:DL217" ca="1" si="1987">COUNTIF($M$210:$M$217,DK210)*$D$23</f>
        <v>20</v>
      </c>
      <c r="DM210" s="110"/>
      <c r="DN210" s="76" t="s">
        <v>297</v>
      </c>
      <c r="DO210" s="77">
        <f t="shared" ref="DO210:DO217" ca="1" si="1988">COUNTIF($M$210:$M$217,DN210)*$D$23</f>
        <v>0</v>
      </c>
      <c r="DP210" s="110"/>
      <c r="DQ210" s="76" t="s">
        <v>294</v>
      </c>
      <c r="DR210" s="77">
        <f t="shared" ref="DR210:DR217" ca="1" si="1989">COUNTIF($M$210:$M$217,DQ210)*$D$23</f>
        <v>20</v>
      </c>
      <c r="DS210" s="110"/>
      <c r="DT210" s="76" t="s">
        <v>294</v>
      </c>
      <c r="DU210" s="77">
        <f t="shared" ref="DU210:DU217" ca="1" si="1990">COUNTIF($M$210:$M$217,DT210)*$D$23</f>
        <v>20</v>
      </c>
      <c r="DV210" s="110"/>
      <c r="DW210" s="76" t="s">
        <v>294</v>
      </c>
      <c r="DX210" s="77">
        <f t="shared" ref="DX210:DX217" ca="1" si="1991">COUNTIF($M$210:$M$217,DW210)*$D$23</f>
        <v>20</v>
      </c>
      <c r="DY210" s="110"/>
      <c r="DZ210" s="76" t="s">
        <v>294</v>
      </c>
      <c r="EA210" s="77">
        <f t="shared" ref="EA210:EA217" ca="1" si="1992">COUNTIF($M$210:$M$217,DZ210)*$D$23</f>
        <v>20</v>
      </c>
      <c r="EB210" s="110"/>
      <c r="EC210" s="76" t="s">
        <v>294</v>
      </c>
      <c r="ED210" s="77">
        <f t="shared" ref="ED210:ED217" ca="1" si="1993">COUNTIF($M$210:$M$217,EC210)*$D$23</f>
        <v>20</v>
      </c>
      <c r="EE210" s="110"/>
      <c r="EF210" s="76" t="s">
        <v>297</v>
      </c>
      <c r="EG210" s="77">
        <f t="shared" ref="EG210:EG217" ca="1" si="1994">COUNTIF($M$210:$M$217,EF210)*$D$23</f>
        <v>0</v>
      </c>
      <c r="EH210" s="110"/>
      <c r="EI210" s="76" t="s">
        <v>294</v>
      </c>
      <c r="EJ210" s="77">
        <f t="shared" ref="EJ210:EJ217" ca="1" si="1995">COUNTIF($M$210:$M$217,EI210)*$D$23</f>
        <v>20</v>
      </c>
      <c r="EK210" s="110"/>
      <c r="EL210" s="76" t="s">
        <v>294</v>
      </c>
      <c r="EM210" s="77">
        <f t="shared" ref="EM210:EM217" ca="1" si="1996">COUNTIF($M$210:$M$217,EL210)*$D$23</f>
        <v>20</v>
      </c>
      <c r="EN210" s="110"/>
      <c r="EO210" s="76" t="s">
        <v>294</v>
      </c>
      <c r="EP210" s="77">
        <f t="shared" ref="EP210:EP217" ca="1" si="1997">COUNTIF($M$210:$M$217,EO210)*$D$23</f>
        <v>20</v>
      </c>
      <c r="EQ210" s="110"/>
      <c r="ER210" s="76" t="s">
        <v>294</v>
      </c>
      <c r="ES210" s="77">
        <f t="shared" ref="ES210:ES217" ca="1" si="1998">COUNTIF($M$210:$M$217,ER210)*$D$23</f>
        <v>20</v>
      </c>
      <c r="ET210" s="110"/>
      <c r="EU210" s="76" t="s">
        <v>294</v>
      </c>
      <c r="EV210" s="77">
        <f t="shared" ref="EV210:EV217" ca="1" si="1999">COUNTIF($M$210:$M$217,EU210)*$D$23</f>
        <v>20</v>
      </c>
      <c r="EW210" s="110"/>
      <c r="EX210" s="76" t="s">
        <v>294</v>
      </c>
      <c r="EY210" s="77">
        <f t="shared" ref="EY210:EY217" ca="1" si="2000">COUNTIF($M$210:$M$217,EX210)*$D$23</f>
        <v>20</v>
      </c>
      <c r="EZ210" s="110"/>
      <c r="FA210" s="76" t="s">
        <v>294</v>
      </c>
      <c r="FB210" s="77">
        <f t="shared" ref="FB210:FB217" ca="1" si="2001">COUNTIF($M$210:$M$217,FA210)*$D$23</f>
        <v>20</v>
      </c>
      <c r="FC210" s="110"/>
      <c r="FD210" s="76" t="s">
        <v>294</v>
      </c>
      <c r="FE210" s="77">
        <f t="shared" ref="FE210:FE217" ca="1" si="2002">COUNTIF($M$210:$M$217,FD210)*$D$23</f>
        <v>20</v>
      </c>
      <c r="FF210" s="110"/>
      <c r="FG210" s="76" t="s">
        <v>294</v>
      </c>
      <c r="FH210" s="77">
        <f t="shared" ref="FH210:FH217" ca="1" si="2003">COUNTIF($M$210:$M$217,FG210)*$D$23</f>
        <v>20</v>
      </c>
      <c r="FI210" s="110"/>
      <c r="FJ210" s="76" t="s">
        <v>294</v>
      </c>
      <c r="FK210" s="77">
        <f t="shared" ref="FK210:FK217" ca="1" si="2004">COUNTIF($M$210:$M$217,FJ210)*$D$23</f>
        <v>20</v>
      </c>
      <c r="FL210" s="110"/>
      <c r="FM210" s="76" t="s">
        <v>294</v>
      </c>
      <c r="FN210" s="77">
        <f t="shared" ref="FN210:FN217" ca="1" si="2005">COUNTIF($M$210:$M$217,FM210)*$D$23</f>
        <v>20</v>
      </c>
      <c r="FO210" s="110"/>
      <c r="FP210" s="76" t="s">
        <v>294</v>
      </c>
      <c r="FQ210" s="77">
        <f t="shared" ref="FQ210:FQ217" ca="1" si="2006">COUNTIF($M$210:$M$217,FP210)*$D$23</f>
        <v>20</v>
      </c>
      <c r="FR210" s="110"/>
      <c r="FS210" s="76" t="s">
        <v>297</v>
      </c>
      <c r="FT210" s="77">
        <f t="shared" ref="FT210:FT217" ca="1" si="2007">COUNTIF($M$210:$M$217,FS210)*$D$23</f>
        <v>0</v>
      </c>
      <c r="FU210" s="110"/>
      <c r="FV210" s="76" t="s">
        <v>294</v>
      </c>
      <c r="FW210" s="77">
        <f t="shared" ref="FW210:FW217" ca="1" si="2008">COUNTIF($M$210:$M$217,FV210)*$D$23</f>
        <v>20</v>
      </c>
      <c r="FX210" s="110"/>
      <c r="FY210" s="76" t="s">
        <v>294</v>
      </c>
      <c r="FZ210" s="77">
        <f t="shared" ref="FZ210:FZ217" ca="1" si="2009">COUNTIF($M$210:$M$217,FY210)*$D$23</f>
        <v>20</v>
      </c>
      <c r="GA210" s="110"/>
      <c r="GB210" s="76" t="s">
        <v>294</v>
      </c>
      <c r="GC210" s="77">
        <f t="shared" ref="GC210:GC217" ca="1" si="2010">COUNTIF($M$210:$M$217,GB210)*$D$23</f>
        <v>20</v>
      </c>
      <c r="GD210" s="110"/>
      <c r="GE210" s="76" t="s">
        <v>294</v>
      </c>
      <c r="GF210" s="77">
        <f t="shared" ref="GF210:GF217" ca="1" si="2011">COUNTIF($M$210:$M$217,GE210)*$D$23</f>
        <v>20</v>
      </c>
      <c r="GG210" s="110"/>
      <c r="GH210" s="76" t="s">
        <v>294</v>
      </c>
      <c r="GI210" s="77">
        <f t="shared" ref="GI210:GI217" ca="1" si="2012">COUNTIF($M$210:$M$217,GH210)*$D$23</f>
        <v>20</v>
      </c>
      <c r="GJ210" s="110"/>
      <c r="GK210" s="76" t="s">
        <v>294</v>
      </c>
      <c r="GL210" s="77">
        <f t="shared" ref="GL210:GL217" ca="1" si="2013">COUNTIF($M$210:$M$217,GK210)*$D$23</f>
        <v>20</v>
      </c>
      <c r="GM210" s="110"/>
      <c r="GN210" s="76"/>
      <c r="GO210" s="77">
        <f t="shared" ref="GO210:GO217" ca="1" si="2014">COUNTIF($M$210:$M$217,GN210)*$D$23</f>
        <v>0</v>
      </c>
      <c r="GP210" s="110"/>
      <c r="GQ210" s="76"/>
      <c r="GR210" s="77">
        <f t="shared" ref="GR210:GR217" ca="1" si="2015">COUNTIF($M$210:$M$217,GQ210)*$D$23</f>
        <v>0</v>
      </c>
      <c r="GS210" s="110"/>
      <c r="GT210" s="76"/>
      <c r="GU210" s="77">
        <f t="shared" ref="GU210:GU217" ca="1" si="2016">COUNTIF($M$210:$M$217,GT210)*$D$23</f>
        <v>0</v>
      </c>
      <c r="GV210" s="110"/>
      <c r="GW210" s="76"/>
      <c r="GX210" s="77">
        <f t="shared" ref="GX210:GX217" ca="1" si="2017">COUNTIF($M$210:$M$217,GW210)*$D$23</f>
        <v>0</v>
      </c>
      <c r="GY210" s="110"/>
      <c r="GZ210" s="76"/>
      <c r="HA210" s="77">
        <f t="shared" ref="HA210:HA217" ca="1" si="2018">COUNTIF($M$210:$M$217,GZ210)*$D$23</f>
        <v>0</v>
      </c>
      <c r="HB210" s="110"/>
      <c r="HC210" s="76"/>
      <c r="HD210" s="77">
        <f t="shared" ref="HD210:HD217" ca="1" si="2019">COUNTIF($M$210:$M$217,HC210)*$D$23</f>
        <v>0</v>
      </c>
      <c r="HE210" s="110"/>
      <c r="HF210" s="76"/>
      <c r="HG210" s="77">
        <f t="shared" ref="HG210:HG217" ca="1" si="2020">COUNTIF($M$210:$M$217,HF210)*$D$23</f>
        <v>0</v>
      </c>
      <c r="HH210" s="110"/>
      <c r="HI210" s="76"/>
      <c r="HJ210" s="77">
        <f t="shared" ref="HJ210:HJ217" ca="1" si="2021">COUNTIF($M$210:$M$217,HI210)*$D$23</f>
        <v>0</v>
      </c>
      <c r="HK210" s="110"/>
      <c r="HL210" s="76"/>
      <c r="HM210" s="77">
        <f t="shared" ref="HM210:HM217" ca="1" si="2022">COUNTIF($M$210:$M$217,HL210)*$D$23</f>
        <v>0</v>
      </c>
      <c r="HN210" s="110"/>
      <c r="HO210" s="76"/>
      <c r="HP210" s="77">
        <f t="shared" ref="HP210:HP217" ca="1" si="2023">COUNTIF($M$210:$M$217,HO210)*$D$23</f>
        <v>0</v>
      </c>
      <c r="HQ210" s="110"/>
      <c r="HR210" s="76"/>
      <c r="HS210" s="77">
        <f t="shared" ref="HS210:HS217" ca="1" si="2024">COUNTIF($M$210:$M$217,HR210)*$D$23</f>
        <v>0</v>
      </c>
      <c r="HT210" s="110"/>
      <c r="HU210" s="76"/>
      <c r="HV210" s="77">
        <f t="shared" ref="HV210:HV217" ca="1" si="2025">COUNTIF($M$210:$M$217,HU210)*$D$23</f>
        <v>0</v>
      </c>
      <c r="HW210" s="110"/>
      <c r="HX210" s="76"/>
      <c r="HY210" s="77">
        <f t="shared" ref="HY210:HY217" ca="1" si="2026">COUNTIF($M$210:$M$217,HX210)*$D$23</f>
        <v>0</v>
      </c>
      <c r="HZ210" s="110"/>
      <c r="IA210" s="76"/>
      <c r="IB210" s="77">
        <f t="shared" ref="IB210:IB217" ca="1" si="2027">COUNTIF($M$210:$M$217,IA210)*$D$23</f>
        <v>0</v>
      </c>
      <c r="IC210" s="110"/>
      <c r="ID210" s="76"/>
      <c r="IE210" s="77">
        <f t="shared" ref="IE210:IE217" ca="1" si="2028">COUNTIF($M$210:$M$217,ID210)*$D$23</f>
        <v>0</v>
      </c>
      <c r="IF210" s="110"/>
      <c r="IG210" s="76"/>
      <c r="IH210" s="77">
        <f t="shared" ref="IH210:IH217" ca="1" si="2029">COUNTIF($M$210:$M$217,IG210)*$D$23</f>
        <v>0</v>
      </c>
      <c r="II210" s="110"/>
      <c r="IJ210" s="76"/>
      <c r="IK210" s="77">
        <f t="shared" ref="IK210:IK217" ca="1" si="2030">COUNTIF($M$210:$M$217,IJ210)*$D$23</f>
        <v>0</v>
      </c>
      <c r="IL210" s="110"/>
      <c r="IM210" s="76"/>
      <c r="IN210" s="77">
        <f t="shared" ref="IN210:IN217" ca="1" si="2031">COUNTIF($M$210:$M$217,IM210)*$D$23</f>
        <v>0</v>
      </c>
      <c r="IO210" s="110"/>
      <c r="IP210" s="76"/>
      <c r="IQ210" s="77">
        <f t="shared" ref="IQ210:IQ217" ca="1" si="2032">COUNTIF($M$210:$M$217,IP210)*$D$23</f>
        <v>0</v>
      </c>
      <c r="IR210" s="110"/>
      <c r="IS210" s="76"/>
      <c r="IT210" s="77">
        <f t="shared" ref="IT210:IT217" ca="1" si="2033">COUNTIF($M$210:$M$217,IS210)*$D$23</f>
        <v>0</v>
      </c>
      <c r="IU210" s="110"/>
      <c r="IV210" s="76"/>
      <c r="IW210" s="77">
        <f t="shared" ref="IW210:IW217" ca="1" si="2034">COUNTIF($M$210:$M$217,IV210)*$D$23</f>
        <v>0</v>
      </c>
      <c r="IX210" s="110"/>
      <c r="IY210" s="76"/>
      <c r="IZ210" s="77">
        <f t="shared" ref="IZ210:IZ217" ca="1" si="2035">COUNTIF($M$210:$M$217,IY210)*$D$23</f>
        <v>0</v>
      </c>
      <c r="JA210" s="110"/>
      <c r="JB210" s="76"/>
      <c r="JC210" s="77">
        <f t="shared" ref="JC210:JC217" ca="1" si="2036">COUNTIF($M$210:$M$217,JB210)*$D$23</f>
        <v>0</v>
      </c>
      <c r="JD210" s="110"/>
      <c r="JE210" s="76"/>
      <c r="JF210" s="77">
        <f t="shared" ref="JF210:JF217" ca="1" si="2037">COUNTIF($M$210:$M$217,JE210)*$D$23</f>
        <v>0</v>
      </c>
      <c r="JG210" s="110"/>
      <c r="JH210" s="76"/>
      <c r="JI210" s="77">
        <f t="shared" ref="JI210:JI217" ca="1" si="2038">COUNTIF($M$210:$M$217,JH210)*$D$23</f>
        <v>0</v>
      </c>
      <c r="JJ210" s="110"/>
      <c r="JK210" s="76"/>
      <c r="JL210" s="77">
        <f t="shared" ref="JL210:JL217" ca="1" si="2039">COUNTIF($M$210:$M$217,JK210)*$D$23</f>
        <v>0</v>
      </c>
      <c r="JM210" s="110"/>
      <c r="JN210" s="76"/>
      <c r="JO210" s="77">
        <f t="shared" ref="JO210:JO217" ca="1" si="2040">COUNTIF($M$210:$M$217,JN210)*$D$23</f>
        <v>0</v>
      </c>
      <c r="JP210" s="110"/>
      <c r="JQ210" s="76"/>
      <c r="JR210" s="77">
        <f t="shared" ref="JR210:JR217" ca="1" si="2041">COUNTIF($M$210:$M$217,JQ210)*$D$23</f>
        <v>0</v>
      </c>
      <c r="JS210" s="110"/>
      <c r="JT210" s="76"/>
      <c r="JU210" s="77">
        <f t="shared" ref="JU210:JU217" ca="1" si="2042">COUNTIF($M$210:$M$217,JT210)*$D$23</f>
        <v>0</v>
      </c>
      <c r="JV210" s="110"/>
      <c r="JW210" s="76"/>
      <c r="JX210" s="77">
        <f t="shared" ref="JX210:JX217" ca="1" si="2043">COUNTIF($M$210:$M$217,JW210)*$D$23</f>
        <v>0</v>
      </c>
      <c r="JY210" s="110"/>
      <c r="JZ210" s="76"/>
      <c r="KA210" s="77">
        <f t="shared" ref="KA210:KA217" ca="1" si="2044">COUNTIF($M$210:$M$217,JZ210)*$D$23</f>
        <v>0</v>
      </c>
      <c r="KB210" s="110"/>
      <c r="KC210" s="76"/>
      <c r="KD210" s="77">
        <f t="shared" ref="KD210:KD217" ca="1" si="2045">COUNTIF($M$210:$M$217,KC210)*$D$23</f>
        <v>0</v>
      </c>
      <c r="KE210" s="110"/>
      <c r="KF210" s="76"/>
      <c r="KG210" s="77">
        <f t="shared" ref="KG210:KG217" ca="1" si="2046">COUNTIF($M$210:$M$217,KF210)*$D$23</f>
        <v>0</v>
      </c>
      <c r="KH210" s="110"/>
      <c r="KI210" s="76"/>
      <c r="KJ210" s="77">
        <f t="shared" ref="KJ210:KJ217" ca="1" si="2047">COUNTIF($M$210:$M$217,KI210)*$D$23</f>
        <v>0</v>
      </c>
      <c r="KK210" s="110"/>
      <c r="KL210" s="76"/>
      <c r="KM210" s="77">
        <f t="shared" ref="KM210:KM217" ca="1" si="2048">COUNTIF($M$210:$M$217,KL210)*$D$23</f>
        <v>0</v>
      </c>
      <c r="KN210" s="110"/>
      <c r="KO210" s="76"/>
      <c r="KP210" s="77">
        <f t="shared" ref="KP210:KP217" ca="1" si="2049">COUNTIF($M$210:$M$217,KO210)*$D$23</f>
        <v>0</v>
      </c>
      <c r="KQ210" s="110"/>
      <c r="KR210" s="76"/>
      <c r="KS210" s="77">
        <f t="shared" ref="KS210:KS217" ca="1" si="2050">COUNTIF($M$210:$M$217,KR210)*$D$23</f>
        <v>0</v>
      </c>
      <c r="KT210" s="110"/>
      <c r="KU210" s="76"/>
      <c r="KV210" s="77">
        <f t="shared" ref="KV210:KV217" ca="1" si="2051">COUNTIF($M$210:$M$217,KU210)*$D$23</f>
        <v>0</v>
      </c>
      <c r="KW210" s="110"/>
      <c r="KX210" s="76"/>
      <c r="KY210" s="77">
        <f t="shared" ref="KY210:KY217" ca="1" si="2052">COUNTIF($M$210:$M$217,KX210)*$D$23</f>
        <v>0</v>
      </c>
      <c r="KZ210" s="110"/>
      <c r="LA210" s="76"/>
      <c r="LB210" s="77">
        <f t="shared" ref="LB210:LB217" ca="1" si="2053">COUNTIF($M$210:$M$217,LA210)*$D$23</f>
        <v>0</v>
      </c>
      <c r="LC210" s="110"/>
      <c r="LD210" s="76"/>
      <c r="LE210" s="77">
        <f t="shared" ref="LE210:LE217" ca="1" si="2054">COUNTIF($M$210:$M$217,LD210)*$D$23</f>
        <v>0</v>
      </c>
      <c r="LF210" s="110"/>
      <c r="LG210" s="110"/>
    </row>
    <row r="211" spans="1:319">
      <c r="A211" s="25"/>
      <c r="B211" s="25"/>
      <c r="C211" s="25"/>
      <c r="D211" s="25"/>
      <c r="E211" s="25"/>
      <c r="F211" s="407">
        <f t="shared" ref="F211:F217" si="2055">+$D$23</f>
        <v>20</v>
      </c>
      <c r="G211" s="407">
        <f ca="1">VLOOKUP(H211,Equipos!$Q$1:$R$25,2,0)</f>
        <v>21</v>
      </c>
      <c r="H211" s="65" t="str">
        <f>Idiomas!$D$261</f>
        <v>Round Of 16</v>
      </c>
      <c r="I211" s="50"/>
      <c r="J211" s="845"/>
      <c r="K211" s="56" t="str">
        <f>Idiomas!$D$200&amp;"-"&amp;ROWS($L$210:L211)</f>
        <v>Quarterfinalist-2</v>
      </c>
      <c r="L211" s="53"/>
      <c r="M211" s="55" t="str">
        <f ca="1">WORLDCUP!AA132</f>
        <v>Spain</v>
      </c>
      <c r="N211" s="25"/>
      <c r="O211" s="25"/>
      <c r="P211" s="25"/>
      <c r="Q211" s="25"/>
      <c r="R211" s="110"/>
      <c r="S211" s="74" t="s">
        <v>295</v>
      </c>
      <c r="T211" s="73">
        <f t="shared" ca="1" si="1955"/>
        <v>20</v>
      </c>
      <c r="U211" s="110"/>
      <c r="V211" s="74" t="s">
        <v>295</v>
      </c>
      <c r="W211" s="73">
        <f t="shared" ca="1" si="1956"/>
        <v>20</v>
      </c>
      <c r="X211" s="110"/>
      <c r="Y211" s="74" t="s">
        <v>80</v>
      </c>
      <c r="Z211" s="73">
        <f t="shared" ca="1" si="1957"/>
        <v>0</v>
      </c>
      <c r="AA211" s="110"/>
      <c r="AB211" s="74" t="s">
        <v>295</v>
      </c>
      <c r="AC211" s="73">
        <f t="shared" ca="1" si="1958"/>
        <v>20</v>
      </c>
      <c r="AD211" s="110"/>
      <c r="AE211" s="74" t="s">
        <v>295</v>
      </c>
      <c r="AF211" s="73">
        <f t="shared" ca="1" si="1959"/>
        <v>20</v>
      </c>
      <c r="AG211" s="110"/>
      <c r="AH211" s="74" t="s">
        <v>295</v>
      </c>
      <c r="AI211" s="73">
        <f t="shared" ca="1" si="1960"/>
        <v>20</v>
      </c>
      <c r="AJ211" s="110"/>
      <c r="AK211" s="74" t="s">
        <v>295</v>
      </c>
      <c r="AL211" s="73">
        <f t="shared" ca="1" si="1961"/>
        <v>20</v>
      </c>
      <c r="AM211" s="110"/>
      <c r="AN211" s="74" t="s">
        <v>79</v>
      </c>
      <c r="AO211" s="73">
        <f t="shared" ca="1" si="1962"/>
        <v>0</v>
      </c>
      <c r="AP211" s="110"/>
      <c r="AQ211" s="74" t="s">
        <v>295</v>
      </c>
      <c r="AR211" s="73">
        <f t="shared" ca="1" si="1963"/>
        <v>20</v>
      </c>
      <c r="AS211" s="110"/>
      <c r="AT211" s="74" t="s">
        <v>295</v>
      </c>
      <c r="AU211" s="73">
        <f t="shared" ca="1" si="1964"/>
        <v>20</v>
      </c>
      <c r="AV211" s="110"/>
      <c r="AW211" s="74" t="s">
        <v>295</v>
      </c>
      <c r="AX211" s="73">
        <f t="shared" ca="1" si="1965"/>
        <v>20</v>
      </c>
      <c r="AY211" s="110"/>
      <c r="AZ211" s="74" t="s">
        <v>295</v>
      </c>
      <c r="BA211" s="73">
        <f t="shared" ca="1" si="1966"/>
        <v>20</v>
      </c>
      <c r="BB211" s="110"/>
      <c r="BC211" s="74" t="s">
        <v>295</v>
      </c>
      <c r="BD211" s="73">
        <f t="shared" ca="1" si="1967"/>
        <v>20</v>
      </c>
      <c r="BE211" s="110"/>
      <c r="BF211" s="74" t="s">
        <v>295</v>
      </c>
      <c r="BG211" s="73">
        <f t="shared" ca="1" si="1968"/>
        <v>20</v>
      </c>
      <c r="BH211" s="110"/>
      <c r="BI211" s="74" t="s">
        <v>295</v>
      </c>
      <c r="BJ211" s="73">
        <f t="shared" ca="1" si="1969"/>
        <v>20</v>
      </c>
      <c r="BK211" s="110"/>
      <c r="BL211" s="74" t="s">
        <v>295</v>
      </c>
      <c r="BM211" s="73">
        <f t="shared" ca="1" si="1970"/>
        <v>20</v>
      </c>
      <c r="BN211" s="110"/>
      <c r="BO211" s="74" t="s">
        <v>295</v>
      </c>
      <c r="BP211" s="73">
        <f t="shared" ca="1" si="1971"/>
        <v>20</v>
      </c>
      <c r="BQ211" s="110"/>
      <c r="BR211" s="74" t="s">
        <v>295</v>
      </c>
      <c r="BS211" s="73">
        <f t="shared" ca="1" si="1972"/>
        <v>20</v>
      </c>
      <c r="BT211" s="110"/>
      <c r="BU211" s="74" t="s">
        <v>295</v>
      </c>
      <c r="BV211" s="73">
        <f t="shared" ca="1" si="1973"/>
        <v>20</v>
      </c>
      <c r="BW211" s="110"/>
      <c r="BX211" s="74" t="s">
        <v>295</v>
      </c>
      <c r="BY211" s="73">
        <f t="shared" ca="1" si="1974"/>
        <v>20</v>
      </c>
      <c r="BZ211" s="110"/>
      <c r="CA211" s="74" t="s">
        <v>295</v>
      </c>
      <c r="CB211" s="73">
        <f t="shared" ca="1" si="1975"/>
        <v>20</v>
      </c>
      <c r="CC211" s="110"/>
      <c r="CD211" s="74" t="s">
        <v>295</v>
      </c>
      <c r="CE211" s="73">
        <f t="shared" ca="1" si="1976"/>
        <v>20</v>
      </c>
      <c r="CF211" s="110"/>
      <c r="CG211" s="74" t="s">
        <v>295</v>
      </c>
      <c r="CH211" s="73">
        <f t="shared" ca="1" si="1977"/>
        <v>20</v>
      </c>
      <c r="CI211" s="110"/>
      <c r="CJ211" s="74" t="s">
        <v>295</v>
      </c>
      <c r="CK211" s="73">
        <f t="shared" ca="1" si="1978"/>
        <v>20</v>
      </c>
      <c r="CL211" s="110"/>
      <c r="CM211" s="74" t="s">
        <v>295</v>
      </c>
      <c r="CN211" s="73">
        <f t="shared" ca="1" si="1979"/>
        <v>20</v>
      </c>
      <c r="CO211" s="110"/>
      <c r="CP211" s="74" t="s">
        <v>295</v>
      </c>
      <c r="CQ211" s="73">
        <f t="shared" ca="1" si="1980"/>
        <v>20</v>
      </c>
      <c r="CR211" s="110"/>
      <c r="CS211" s="74" t="s">
        <v>295</v>
      </c>
      <c r="CT211" s="73">
        <f t="shared" ca="1" si="1981"/>
        <v>20</v>
      </c>
      <c r="CU211" s="110"/>
      <c r="CV211" s="74" t="s">
        <v>295</v>
      </c>
      <c r="CW211" s="73">
        <f t="shared" ca="1" si="1982"/>
        <v>20</v>
      </c>
      <c r="CX211" s="110"/>
      <c r="CY211" s="74" t="s">
        <v>1256</v>
      </c>
      <c r="CZ211" s="73">
        <f t="shared" ca="1" si="1983"/>
        <v>20</v>
      </c>
      <c r="DA211" s="110"/>
      <c r="DB211" s="74" t="s">
        <v>295</v>
      </c>
      <c r="DC211" s="73">
        <f t="shared" ca="1" si="1984"/>
        <v>20</v>
      </c>
      <c r="DD211" s="110"/>
      <c r="DE211" s="74" t="s">
        <v>295</v>
      </c>
      <c r="DF211" s="73">
        <f t="shared" ca="1" si="1985"/>
        <v>20</v>
      </c>
      <c r="DG211" s="110"/>
      <c r="DH211" s="74" t="s">
        <v>295</v>
      </c>
      <c r="DI211" s="73">
        <f t="shared" ca="1" si="1986"/>
        <v>20</v>
      </c>
      <c r="DJ211" s="110"/>
      <c r="DK211" s="74" t="s">
        <v>295</v>
      </c>
      <c r="DL211" s="73">
        <f t="shared" ca="1" si="1987"/>
        <v>20</v>
      </c>
      <c r="DM211" s="110"/>
      <c r="DN211" s="74" t="s">
        <v>295</v>
      </c>
      <c r="DO211" s="73">
        <f t="shared" ca="1" si="1988"/>
        <v>20</v>
      </c>
      <c r="DP211" s="110"/>
      <c r="DQ211" s="74" t="s">
        <v>295</v>
      </c>
      <c r="DR211" s="73">
        <f t="shared" ca="1" si="1989"/>
        <v>20</v>
      </c>
      <c r="DS211" s="110"/>
      <c r="DT211" s="74" t="s">
        <v>295</v>
      </c>
      <c r="DU211" s="73">
        <f t="shared" ca="1" si="1990"/>
        <v>20</v>
      </c>
      <c r="DV211" s="110"/>
      <c r="DW211" s="74" t="s">
        <v>295</v>
      </c>
      <c r="DX211" s="73">
        <f t="shared" ca="1" si="1991"/>
        <v>20</v>
      </c>
      <c r="DY211" s="110"/>
      <c r="DZ211" s="74" t="s">
        <v>295</v>
      </c>
      <c r="EA211" s="73">
        <f t="shared" ca="1" si="1992"/>
        <v>20</v>
      </c>
      <c r="EB211" s="110"/>
      <c r="EC211" s="74" t="s">
        <v>295</v>
      </c>
      <c r="ED211" s="73">
        <f t="shared" ca="1" si="1993"/>
        <v>20</v>
      </c>
      <c r="EE211" s="110"/>
      <c r="EF211" s="74" t="s">
        <v>295</v>
      </c>
      <c r="EG211" s="73">
        <f t="shared" ca="1" si="1994"/>
        <v>20</v>
      </c>
      <c r="EH211" s="110"/>
      <c r="EI211" s="74" t="s">
        <v>295</v>
      </c>
      <c r="EJ211" s="73">
        <f t="shared" ca="1" si="1995"/>
        <v>20</v>
      </c>
      <c r="EK211" s="110"/>
      <c r="EL211" s="74" t="s">
        <v>295</v>
      </c>
      <c r="EM211" s="73">
        <f t="shared" ca="1" si="1996"/>
        <v>20</v>
      </c>
      <c r="EN211" s="110"/>
      <c r="EO211" s="74" t="s">
        <v>295</v>
      </c>
      <c r="EP211" s="73">
        <f t="shared" ca="1" si="1997"/>
        <v>20</v>
      </c>
      <c r="EQ211" s="110"/>
      <c r="ER211" s="74" t="s">
        <v>295</v>
      </c>
      <c r="ES211" s="73">
        <f t="shared" ca="1" si="1998"/>
        <v>20</v>
      </c>
      <c r="ET211" s="110"/>
      <c r="EU211" s="74" t="s">
        <v>295</v>
      </c>
      <c r="EV211" s="73">
        <f t="shared" ca="1" si="1999"/>
        <v>20</v>
      </c>
      <c r="EW211" s="110"/>
      <c r="EX211" s="74" t="s">
        <v>295</v>
      </c>
      <c r="EY211" s="73">
        <f t="shared" ca="1" si="2000"/>
        <v>20</v>
      </c>
      <c r="EZ211" s="110"/>
      <c r="FA211" s="74" t="s">
        <v>295</v>
      </c>
      <c r="FB211" s="73">
        <f t="shared" ca="1" si="2001"/>
        <v>20</v>
      </c>
      <c r="FC211" s="110"/>
      <c r="FD211" s="74" t="s">
        <v>295</v>
      </c>
      <c r="FE211" s="73">
        <f t="shared" ca="1" si="2002"/>
        <v>20</v>
      </c>
      <c r="FF211" s="110"/>
      <c r="FG211" s="74" t="s">
        <v>295</v>
      </c>
      <c r="FH211" s="73">
        <f t="shared" ca="1" si="2003"/>
        <v>20</v>
      </c>
      <c r="FI211" s="110"/>
      <c r="FJ211" s="74" t="s">
        <v>295</v>
      </c>
      <c r="FK211" s="73">
        <f t="shared" ca="1" si="2004"/>
        <v>20</v>
      </c>
      <c r="FL211" s="110"/>
      <c r="FM211" s="74" t="s">
        <v>295</v>
      </c>
      <c r="FN211" s="73">
        <f t="shared" ca="1" si="2005"/>
        <v>20</v>
      </c>
      <c r="FO211" s="110"/>
      <c r="FP211" s="74" t="s">
        <v>295</v>
      </c>
      <c r="FQ211" s="73">
        <f t="shared" ca="1" si="2006"/>
        <v>20</v>
      </c>
      <c r="FR211" s="110"/>
      <c r="FS211" s="74" t="s">
        <v>295</v>
      </c>
      <c r="FT211" s="73">
        <f t="shared" ca="1" si="2007"/>
        <v>20</v>
      </c>
      <c r="FU211" s="110"/>
      <c r="FV211" s="74" t="s">
        <v>295</v>
      </c>
      <c r="FW211" s="73">
        <f t="shared" ca="1" si="2008"/>
        <v>20</v>
      </c>
      <c r="FX211" s="110"/>
      <c r="FY211" s="74" t="s">
        <v>295</v>
      </c>
      <c r="FZ211" s="73">
        <f t="shared" ca="1" si="2009"/>
        <v>20</v>
      </c>
      <c r="GA211" s="110"/>
      <c r="GB211" s="74" t="s">
        <v>295</v>
      </c>
      <c r="GC211" s="73">
        <f t="shared" ca="1" si="2010"/>
        <v>20</v>
      </c>
      <c r="GD211" s="110"/>
      <c r="GE211" s="74" t="s">
        <v>295</v>
      </c>
      <c r="GF211" s="73">
        <f t="shared" ca="1" si="2011"/>
        <v>20</v>
      </c>
      <c r="GG211" s="110"/>
      <c r="GH211" s="74" t="s">
        <v>295</v>
      </c>
      <c r="GI211" s="73">
        <f t="shared" ca="1" si="2012"/>
        <v>20</v>
      </c>
      <c r="GJ211" s="110"/>
      <c r="GK211" s="74" t="s">
        <v>295</v>
      </c>
      <c r="GL211" s="73">
        <f t="shared" ca="1" si="2013"/>
        <v>20</v>
      </c>
      <c r="GM211" s="110"/>
      <c r="GN211" s="74"/>
      <c r="GO211" s="73">
        <f t="shared" ca="1" si="2014"/>
        <v>0</v>
      </c>
      <c r="GP211" s="110"/>
      <c r="GQ211" s="74"/>
      <c r="GR211" s="73">
        <f t="shared" ca="1" si="2015"/>
        <v>0</v>
      </c>
      <c r="GS211" s="110"/>
      <c r="GT211" s="74"/>
      <c r="GU211" s="73">
        <f t="shared" ca="1" si="2016"/>
        <v>0</v>
      </c>
      <c r="GV211" s="110"/>
      <c r="GW211" s="74"/>
      <c r="GX211" s="73">
        <f t="shared" ca="1" si="2017"/>
        <v>0</v>
      </c>
      <c r="GY211" s="110"/>
      <c r="GZ211" s="74"/>
      <c r="HA211" s="73">
        <f t="shared" ca="1" si="2018"/>
        <v>0</v>
      </c>
      <c r="HB211" s="110"/>
      <c r="HC211" s="74"/>
      <c r="HD211" s="73">
        <f t="shared" ca="1" si="2019"/>
        <v>0</v>
      </c>
      <c r="HE211" s="110"/>
      <c r="HF211" s="74"/>
      <c r="HG211" s="73">
        <f t="shared" ca="1" si="2020"/>
        <v>0</v>
      </c>
      <c r="HH211" s="110"/>
      <c r="HI211" s="74"/>
      <c r="HJ211" s="73">
        <f t="shared" ca="1" si="2021"/>
        <v>0</v>
      </c>
      <c r="HK211" s="110"/>
      <c r="HL211" s="74"/>
      <c r="HM211" s="73">
        <f t="shared" ca="1" si="2022"/>
        <v>0</v>
      </c>
      <c r="HN211" s="110"/>
      <c r="HO211" s="74"/>
      <c r="HP211" s="73">
        <f t="shared" ca="1" si="2023"/>
        <v>0</v>
      </c>
      <c r="HQ211" s="110"/>
      <c r="HR211" s="74"/>
      <c r="HS211" s="73">
        <f t="shared" ca="1" si="2024"/>
        <v>0</v>
      </c>
      <c r="HT211" s="110"/>
      <c r="HU211" s="74"/>
      <c r="HV211" s="73">
        <f t="shared" ca="1" si="2025"/>
        <v>0</v>
      </c>
      <c r="HW211" s="110"/>
      <c r="HX211" s="74"/>
      <c r="HY211" s="73">
        <f t="shared" ca="1" si="2026"/>
        <v>0</v>
      </c>
      <c r="HZ211" s="110"/>
      <c r="IA211" s="74"/>
      <c r="IB211" s="73">
        <f t="shared" ca="1" si="2027"/>
        <v>0</v>
      </c>
      <c r="IC211" s="110"/>
      <c r="ID211" s="74"/>
      <c r="IE211" s="73">
        <f t="shared" ca="1" si="2028"/>
        <v>0</v>
      </c>
      <c r="IF211" s="110"/>
      <c r="IG211" s="74"/>
      <c r="IH211" s="73">
        <f t="shared" ca="1" si="2029"/>
        <v>0</v>
      </c>
      <c r="II211" s="110"/>
      <c r="IJ211" s="74"/>
      <c r="IK211" s="73">
        <f t="shared" ca="1" si="2030"/>
        <v>0</v>
      </c>
      <c r="IL211" s="110"/>
      <c r="IM211" s="74"/>
      <c r="IN211" s="73">
        <f t="shared" ca="1" si="2031"/>
        <v>0</v>
      </c>
      <c r="IO211" s="110"/>
      <c r="IP211" s="74"/>
      <c r="IQ211" s="73">
        <f t="shared" ca="1" si="2032"/>
        <v>0</v>
      </c>
      <c r="IR211" s="110"/>
      <c r="IS211" s="74"/>
      <c r="IT211" s="73">
        <f t="shared" ca="1" si="2033"/>
        <v>0</v>
      </c>
      <c r="IU211" s="110"/>
      <c r="IV211" s="74"/>
      <c r="IW211" s="73">
        <f t="shared" ca="1" si="2034"/>
        <v>0</v>
      </c>
      <c r="IX211" s="110"/>
      <c r="IY211" s="74"/>
      <c r="IZ211" s="73">
        <f t="shared" ca="1" si="2035"/>
        <v>0</v>
      </c>
      <c r="JA211" s="110"/>
      <c r="JB211" s="74"/>
      <c r="JC211" s="73">
        <f t="shared" ca="1" si="2036"/>
        <v>0</v>
      </c>
      <c r="JD211" s="110"/>
      <c r="JE211" s="74"/>
      <c r="JF211" s="73">
        <f t="shared" ca="1" si="2037"/>
        <v>0</v>
      </c>
      <c r="JG211" s="110"/>
      <c r="JH211" s="74"/>
      <c r="JI211" s="73">
        <f t="shared" ca="1" si="2038"/>
        <v>0</v>
      </c>
      <c r="JJ211" s="110"/>
      <c r="JK211" s="74"/>
      <c r="JL211" s="73">
        <f t="shared" ca="1" si="2039"/>
        <v>0</v>
      </c>
      <c r="JM211" s="110"/>
      <c r="JN211" s="74"/>
      <c r="JO211" s="73">
        <f t="shared" ca="1" si="2040"/>
        <v>0</v>
      </c>
      <c r="JP211" s="110"/>
      <c r="JQ211" s="74"/>
      <c r="JR211" s="73">
        <f t="shared" ca="1" si="2041"/>
        <v>0</v>
      </c>
      <c r="JS211" s="110"/>
      <c r="JT211" s="74"/>
      <c r="JU211" s="73">
        <f t="shared" ca="1" si="2042"/>
        <v>0</v>
      </c>
      <c r="JV211" s="110"/>
      <c r="JW211" s="74"/>
      <c r="JX211" s="73">
        <f t="shared" ca="1" si="2043"/>
        <v>0</v>
      </c>
      <c r="JY211" s="110"/>
      <c r="JZ211" s="74"/>
      <c r="KA211" s="73">
        <f t="shared" ca="1" si="2044"/>
        <v>0</v>
      </c>
      <c r="KB211" s="110"/>
      <c r="KC211" s="74"/>
      <c r="KD211" s="73">
        <f t="shared" ca="1" si="2045"/>
        <v>0</v>
      </c>
      <c r="KE211" s="110"/>
      <c r="KF211" s="74"/>
      <c r="KG211" s="73">
        <f t="shared" ca="1" si="2046"/>
        <v>0</v>
      </c>
      <c r="KH211" s="110"/>
      <c r="KI211" s="74"/>
      <c r="KJ211" s="73">
        <f t="shared" ca="1" si="2047"/>
        <v>0</v>
      </c>
      <c r="KK211" s="110"/>
      <c r="KL211" s="74"/>
      <c r="KM211" s="73">
        <f t="shared" ca="1" si="2048"/>
        <v>0</v>
      </c>
      <c r="KN211" s="110"/>
      <c r="KO211" s="74"/>
      <c r="KP211" s="73">
        <f t="shared" ca="1" si="2049"/>
        <v>0</v>
      </c>
      <c r="KQ211" s="110"/>
      <c r="KR211" s="74"/>
      <c r="KS211" s="73">
        <f t="shared" ca="1" si="2050"/>
        <v>0</v>
      </c>
      <c r="KT211" s="110"/>
      <c r="KU211" s="74"/>
      <c r="KV211" s="73">
        <f t="shared" ca="1" si="2051"/>
        <v>0</v>
      </c>
      <c r="KW211" s="110"/>
      <c r="KX211" s="74"/>
      <c r="KY211" s="73">
        <f t="shared" ca="1" si="2052"/>
        <v>0</v>
      </c>
      <c r="KZ211" s="110"/>
      <c r="LA211" s="74"/>
      <c r="LB211" s="73">
        <f t="shared" ca="1" si="2053"/>
        <v>0</v>
      </c>
      <c r="LC211" s="110"/>
      <c r="LD211" s="74"/>
      <c r="LE211" s="73">
        <f t="shared" ca="1" si="2054"/>
        <v>0</v>
      </c>
      <c r="LF211" s="110"/>
      <c r="LG211" s="110"/>
    </row>
    <row r="212" spans="1:319">
      <c r="A212" s="25"/>
      <c r="B212" s="25"/>
      <c r="C212" s="25"/>
      <c r="D212" s="25"/>
      <c r="E212" s="25"/>
      <c r="F212" s="407">
        <f t="shared" si="2055"/>
        <v>20</v>
      </c>
      <c r="G212" s="407">
        <f ca="1">VLOOKUP(H212,Equipos!$Q$1:$R$25,2,0)</f>
        <v>21</v>
      </c>
      <c r="H212" s="65" t="str">
        <f>Idiomas!$D$261</f>
        <v>Round Of 16</v>
      </c>
      <c r="I212" s="50"/>
      <c r="J212" s="845"/>
      <c r="K212" s="56" t="str">
        <f>Idiomas!$D$200&amp;"-"&amp;ROWS($L$210:L212)</f>
        <v>Quarterfinalist-3</v>
      </c>
      <c r="L212" s="53"/>
      <c r="M212" s="55" t="str">
        <f ca="1">WORLDCUP!AA133</f>
        <v>Norway</v>
      </c>
      <c r="N212" s="25"/>
      <c r="O212" s="25"/>
      <c r="P212" s="25"/>
      <c r="Q212" s="25"/>
      <c r="R212" s="110"/>
      <c r="S212" s="74" t="s">
        <v>1274</v>
      </c>
      <c r="T212" s="73">
        <f t="shared" ca="1" si="1955"/>
        <v>0</v>
      </c>
      <c r="U212" s="110"/>
      <c r="V212" s="74" t="s">
        <v>299</v>
      </c>
      <c r="W212" s="73">
        <f t="shared" ca="1" si="1956"/>
        <v>20</v>
      </c>
      <c r="X212" s="110"/>
      <c r="Y212" s="74" t="s">
        <v>1274</v>
      </c>
      <c r="Z212" s="73">
        <f t="shared" ca="1" si="1957"/>
        <v>0</v>
      </c>
      <c r="AA212" s="110"/>
      <c r="AB212" s="74" t="s">
        <v>1274</v>
      </c>
      <c r="AC212" s="73">
        <f t="shared" ca="1" si="1958"/>
        <v>0</v>
      </c>
      <c r="AD212" s="110"/>
      <c r="AE212" s="74" t="s">
        <v>1274</v>
      </c>
      <c r="AF212" s="73">
        <f t="shared" ca="1" si="1959"/>
        <v>0</v>
      </c>
      <c r="AG212" s="110"/>
      <c r="AH212" s="74" t="s">
        <v>1274</v>
      </c>
      <c r="AI212" s="73">
        <f t="shared" ca="1" si="1960"/>
        <v>0</v>
      </c>
      <c r="AJ212" s="110"/>
      <c r="AK212" s="74" t="s">
        <v>1274</v>
      </c>
      <c r="AL212" s="73">
        <f t="shared" ca="1" si="1961"/>
        <v>0</v>
      </c>
      <c r="AM212" s="110"/>
      <c r="AN212" s="74" t="s">
        <v>1634</v>
      </c>
      <c r="AO212" s="73">
        <f t="shared" ca="1" si="1962"/>
        <v>0</v>
      </c>
      <c r="AP212" s="110"/>
      <c r="AQ212" s="74" t="s">
        <v>1274</v>
      </c>
      <c r="AR212" s="73">
        <f t="shared" ca="1" si="1963"/>
        <v>0</v>
      </c>
      <c r="AS212" s="110"/>
      <c r="AT212" s="74" t="s">
        <v>1274</v>
      </c>
      <c r="AU212" s="73">
        <f t="shared" ca="1" si="1964"/>
        <v>0</v>
      </c>
      <c r="AV212" s="110"/>
      <c r="AW212" s="74" t="s">
        <v>1274</v>
      </c>
      <c r="AX212" s="73">
        <f t="shared" ca="1" si="1965"/>
        <v>0</v>
      </c>
      <c r="AY212" s="110"/>
      <c r="AZ212" s="74" t="s">
        <v>1274</v>
      </c>
      <c r="BA212" s="73">
        <f t="shared" ca="1" si="1966"/>
        <v>0</v>
      </c>
      <c r="BB212" s="110"/>
      <c r="BC212" s="74" t="s">
        <v>291</v>
      </c>
      <c r="BD212" s="73">
        <f t="shared" ca="1" si="1967"/>
        <v>0</v>
      </c>
      <c r="BE212" s="110"/>
      <c r="BF212" s="74" t="s">
        <v>1274</v>
      </c>
      <c r="BG212" s="73">
        <f t="shared" ca="1" si="1968"/>
        <v>0</v>
      </c>
      <c r="BH212" s="110"/>
      <c r="BI212" s="74" t="s">
        <v>294</v>
      </c>
      <c r="BJ212" s="73">
        <f t="shared" ca="1" si="1969"/>
        <v>20</v>
      </c>
      <c r="BK212" s="110"/>
      <c r="BL212" s="74" t="s">
        <v>1274</v>
      </c>
      <c r="BM212" s="73">
        <f t="shared" ca="1" si="1970"/>
        <v>0</v>
      </c>
      <c r="BN212" s="110"/>
      <c r="BO212" s="74" t="s">
        <v>1274</v>
      </c>
      <c r="BP212" s="73">
        <f t="shared" ca="1" si="1971"/>
        <v>0</v>
      </c>
      <c r="BQ212" s="110"/>
      <c r="BR212" s="74" t="s">
        <v>1274</v>
      </c>
      <c r="BS212" s="73">
        <f t="shared" ca="1" si="1972"/>
        <v>0</v>
      </c>
      <c r="BT212" s="110"/>
      <c r="BU212" s="74" t="s">
        <v>1274</v>
      </c>
      <c r="BV212" s="73">
        <f t="shared" ca="1" si="1973"/>
        <v>0</v>
      </c>
      <c r="BW212" s="110"/>
      <c r="BX212" s="74" t="s">
        <v>1274</v>
      </c>
      <c r="BY212" s="73">
        <f t="shared" ca="1" si="1974"/>
        <v>0</v>
      </c>
      <c r="BZ212" s="110"/>
      <c r="CA212" s="74" t="s">
        <v>1274</v>
      </c>
      <c r="CB212" s="73">
        <f t="shared" ca="1" si="1975"/>
        <v>0</v>
      </c>
      <c r="CC212" s="110"/>
      <c r="CD212" s="74" t="s">
        <v>1274</v>
      </c>
      <c r="CE212" s="73">
        <f t="shared" ca="1" si="1976"/>
        <v>0</v>
      </c>
      <c r="CF212" s="110"/>
      <c r="CG212" s="74" t="s">
        <v>1274</v>
      </c>
      <c r="CH212" s="73">
        <f t="shared" ca="1" si="1977"/>
        <v>0</v>
      </c>
      <c r="CI212" s="110"/>
      <c r="CJ212" s="74" t="s">
        <v>1274</v>
      </c>
      <c r="CK212" s="73">
        <f t="shared" ca="1" si="1978"/>
        <v>0</v>
      </c>
      <c r="CL212" s="110"/>
      <c r="CM212" s="74" t="s">
        <v>299</v>
      </c>
      <c r="CN212" s="73">
        <f t="shared" ca="1" si="1979"/>
        <v>20</v>
      </c>
      <c r="CO212" s="110"/>
      <c r="CP212" s="74" t="s">
        <v>299</v>
      </c>
      <c r="CQ212" s="73">
        <f t="shared" ca="1" si="1980"/>
        <v>20</v>
      </c>
      <c r="CR212" s="110"/>
      <c r="CS212" s="74" t="s">
        <v>1274</v>
      </c>
      <c r="CT212" s="73">
        <f t="shared" ca="1" si="1981"/>
        <v>0</v>
      </c>
      <c r="CU212" s="110"/>
      <c r="CV212" s="74" t="s">
        <v>1274</v>
      </c>
      <c r="CW212" s="73">
        <f t="shared" ca="1" si="1982"/>
        <v>0</v>
      </c>
      <c r="CX212" s="110"/>
      <c r="CY212" s="74" t="s">
        <v>1284</v>
      </c>
      <c r="CZ212" s="73">
        <f t="shared" ca="1" si="1983"/>
        <v>0</v>
      </c>
      <c r="DA212" s="110"/>
      <c r="DB212" s="74" t="s">
        <v>1274</v>
      </c>
      <c r="DC212" s="73">
        <f t="shared" ca="1" si="1984"/>
        <v>0</v>
      </c>
      <c r="DD212" s="110"/>
      <c r="DE212" s="74" t="s">
        <v>1274</v>
      </c>
      <c r="DF212" s="73">
        <f t="shared" ca="1" si="1985"/>
        <v>0</v>
      </c>
      <c r="DG212" s="110"/>
      <c r="DH212" s="74" t="s">
        <v>1274</v>
      </c>
      <c r="DI212" s="73">
        <f t="shared" ca="1" si="1986"/>
        <v>0</v>
      </c>
      <c r="DJ212" s="110"/>
      <c r="DK212" s="74" t="s">
        <v>1274</v>
      </c>
      <c r="DL212" s="73">
        <f t="shared" ca="1" si="1987"/>
        <v>0</v>
      </c>
      <c r="DM212" s="110"/>
      <c r="DN212" s="74" t="s">
        <v>294</v>
      </c>
      <c r="DO212" s="73">
        <f t="shared" ca="1" si="1988"/>
        <v>20</v>
      </c>
      <c r="DP212" s="110"/>
      <c r="DQ212" s="74" t="s">
        <v>299</v>
      </c>
      <c r="DR212" s="73">
        <f t="shared" ca="1" si="1989"/>
        <v>20</v>
      </c>
      <c r="DS212" s="110"/>
      <c r="DT212" s="74" t="s">
        <v>1274</v>
      </c>
      <c r="DU212" s="73">
        <f t="shared" ca="1" si="1990"/>
        <v>0</v>
      </c>
      <c r="DV212" s="110"/>
      <c r="DW212" s="74" t="s">
        <v>1326</v>
      </c>
      <c r="DX212" s="73">
        <f t="shared" ca="1" si="1991"/>
        <v>20</v>
      </c>
      <c r="DY212" s="110"/>
      <c r="DZ212" s="74" t="s">
        <v>1274</v>
      </c>
      <c r="EA212" s="73">
        <f t="shared" ca="1" si="1992"/>
        <v>0</v>
      </c>
      <c r="EB212" s="110"/>
      <c r="EC212" s="74" t="s">
        <v>1274</v>
      </c>
      <c r="ED212" s="73">
        <f t="shared" ca="1" si="1993"/>
        <v>0</v>
      </c>
      <c r="EE212" s="110"/>
      <c r="EF212" s="74" t="s">
        <v>1274</v>
      </c>
      <c r="EG212" s="73">
        <f t="shared" ca="1" si="1994"/>
        <v>0</v>
      </c>
      <c r="EH212" s="110"/>
      <c r="EI212" s="74" t="s">
        <v>1274</v>
      </c>
      <c r="EJ212" s="73">
        <f t="shared" ca="1" si="1995"/>
        <v>0</v>
      </c>
      <c r="EK212" s="110"/>
      <c r="EL212" s="74" t="s">
        <v>1274</v>
      </c>
      <c r="EM212" s="73">
        <f t="shared" ca="1" si="1996"/>
        <v>0</v>
      </c>
      <c r="EN212" s="110"/>
      <c r="EO212" s="74" t="s">
        <v>1274</v>
      </c>
      <c r="EP212" s="73">
        <f t="shared" ca="1" si="1997"/>
        <v>0</v>
      </c>
      <c r="EQ212" s="110"/>
      <c r="ER212" s="74" t="s">
        <v>1274</v>
      </c>
      <c r="ES212" s="73">
        <f t="shared" ca="1" si="1998"/>
        <v>0</v>
      </c>
      <c r="ET212" s="110"/>
      <c r="EU212" s="74" t="s">
        <v>291</v>
      </c>
      <c r="EV212" s="73">
        <f t="shared" ca="1" si="1999"/>
        <v>0</v>
      </c>
      <c r="EW212" s="110"/>
      <c r="EX212" s="74" t="s">
        <v>1274</v>
      </c>
      <c r="EY212" s="73">
        <f t="shared" ca="1" si="2000"/>
        <v>0</v>
      </c>
      <c r="EZ212" s="110"/>
      <c r="FA212" s="74" t="s">
        <v>1274</v>
      </c>
      <c r="FB212" s="73">
        <f t="shared" ca="1" si="2001"/>
        <v>0</v>
      </c>
      <c r="FC212" s="110"/>
      <c r="FD212" s="74" t="s">
        <v>1274</v>
      </c>
      <c r="FE212" s="73">
        <f t="shared" ca="1" si="2002"/>
        <v>0</v>
      </c>
      <c r="FF212" s="110"/>
      <c r="FG212" s="74" t="s">
        <v>297</v>
      </c>
      <c r="FH212" s="73">
        <f t="shared" ca="1" si="2003"/>
        <v>0</v>
      </c>
      <c r="FI212" s="110"/>
      <c r="FJ212" s="74" t="s">
        <v>1274</v>
      </c>
      <c r="FK212" s="73">
        <f t="shared" ca="1" si="2004"/>
        <v>0</v>
      </c>
      <c r="FL212" s="110"/>
      <c r="FM212" s="74" t="s">
        <v>1274</v>
      </c>
      <c r="FN212" s="73">
        <f t="shared" ca="1" si="2005"/>
        <v>0</v>
      </c>
      <c r="FO212" s="110"/>
      <c r="FP212" s="74" t="s">
        <v>1274</v>
      </c>
      <c r="FQ212" s="73">
        <f t="shared" ca="1" si="2006"/>
        <v>0</v>
      </c>
      <c r="FR212" s="110"/>
      <c r="FS212" s="74" t="s">
        <v>1274</v>
      </c>
      <c r="FT212" s="73">
        <f t="shared" ca="1" si="2007"/>
        <v>0</v>
      </c>
      <c r="FU212" s="110"/>
      <c r="FV212" s="74" t="s">
        <v>299</v>
      </c>
      <c r="FW212" s="73">
        <f t="shared" ca="1" si="2008"/>
        <v>20</v>
      </c>
      <c r="FX212" s="110"/>
      <c r="FY212" s="74" t="s">
        <v>1274</v>
      </c>
      <c r="FZ212" s="73">
        <f t="shared" ca="1" si="2009"/>
        <v>0</v>
      </c>
      <c r="GA212" s="110"/>
      <c r="GB212" s="74" t="s">
        <v>1274</v>
      </c>
      <c r="GC212" s="73">
        <f t="shared" ca="1" si="2010"/>
        <v>0</v>
      </c>
      <c r="GD212" s="110"/>
      <c r="GE212" s="74" t="s">
        <v>1274</v>
      </c>
      <c r="GF212" s="73">
        <f t="shared" ca="1" si="2011"/>
        <v>0</v>
      </c>
      <c r="GG212" s="110"/>
      <c r="GH212" s="74" t="s">
        <v>1274</v>
      </c>
      <c r="GI212" s="73">
        <f t="shared" ca="1" si="2012"/>
        <v>0</v>
      </c>
      <c r="GJ212" s="110"/>
      <c r="GK212" s="74" t="s">
        <v>1274</v>
      </c>
      <c r="GL212" s="73">
        <f t="shared" ca="1" si="2013"/>
        <v>0</v>
      </c>
      <c r="GM212" s="110"/>
      <c r="GN212" s="74"/>
      <c r="GO212" s="73">
        <f t="shared" ca="1" si="2014"/>
        <v>0</v>
      </c>
      <c r="GP212" s="110"/>
      <c r="GQ212" s="74"/>
      <c r="GR212" s="73">
        <f t="shared" ca="1" si="2015"/>
        <v>0</v>
      </c>
      <c r="GS212" s="110"/>
      <c r="GT212" s="74"/>
      <c r="GU212" s="73">
        <f t="shared" ca="1" si="2016"/>
        <v>0</v>
      </c>
      <c r="GV212" s="110"/>
      <c r="GW212" s="74"/>
      <c r="GX212" s="73">
        <f t="shared" ca="1" si="2017"/>
        <v>0</v>
      </c>
      <c r="GY212" s="110"/>
      <c r="GZ212" s="74"/>
      <c r="HA212" s="73">
        <f t="shared" ca="1" si="2018"/>
        <v>0</v>
      </c>
      <c r="HB212" s="110"/>
      <c r="HC212" s="74"/>
      <c r="HD212" s="73">
        <f t="shared" ca="1" si="2019"/>
        <v>0</v>
      </c>
      <c r="HE212" s="110"/>
      <c r="HF212" s="74"/>
      <c r="HG212" s="73">
        <f t="shared" ca="1" si="2020"/>
        <v>0</v>
      </c>
      <c r="HH212" s="110"/>
      <c r="HI212" s="74"/>
      <c r="HJ212" s="73">
        <f t="shared" ca="1" si="2021"/>
        <v>0</v>
      </c>
      <c r="HK212" s="110"/>
      <c r="HL212" s="74"/>
      <c r="HM212" s="73">
        <f t="shared" ca="1" si="2022"/>
        <v>0</v>
      </c>
      <c r="HN212" s="110"/>
      <c r="HO212" s="74"/>
      <c r="HP212" s="73">
        <f t="shared" ca="1" si="2023"/>
        <v>0</v>
      </c>
      <c r="HQ212" s="110"/>
      <c r="HR212" s="74"/>
      <c r="HS212" s="73">
        <f t="shared" ca="1" si="2024"/>
        <v>0</v>
      </c>
      <c r="HT212" s="110"/>
      <c r="HU212" s="74"/>
      <c r="HV212" s="73">
        <f t="shared" ca="1" si="2025"/>
        <v>0</v>
      </c>
      <c r="HW212" s="110"/>
      <c r="HX212" s="74"/>
      <c r="HY212" s="73">
        <f t="shared" ca="1" si="2026"/>
        <v>0</v>
      </c>
      <c r="HZ212" s="110"/>
      <c r="IA212" s="74"/>
      <c r="IB212" s="73">
        <f t="shared" ca="1" si="2027"/>
        <v>0</v>
      </c>
      <c r="IC212" s="110"/>
      <c r="ID212" s="74"/>
      <c r="IE212" s="73">
        <f t="shared" ca="1" si="2028"/>
        <v>0</v>
      </c>
      <c r="IF212" s="110"/>
      <c r="IG212" s="74"/>
      <c r="IH212" s="73">
        <f t="shared" ca="1" si="2029"/>
        <v>0</v>
      </c>
      <c r="II212" s="110"/>
      <c r="IJ212" s="74"/>
      <c r="IK212" s="73">
        <f t="shared" ca="1" si="2030"/>
        <v>0</v>
      </c>
      <c r="IL212" s="110"/>
      <c r="IM212" s="74"/>
      <c r="IN212" s="73">
        <f t="shared" ca="1" si="2031"/>
        <v>0</v>
      </c>
      <c r="IO212" s="110"/>
      <c r="IP212" s="74"/>
      <c r="IQ212" s="73">
        <f t="shared" ca="1" si="2032"/>
        <v>0</v>
      </c>
      <c r="IR212" s="110"/>
      <c r="IS212" s="74"/>
      <c r="IT212" s="73">
        <f t="shared" ca="1" si="2033"/>
        <v>0</v>
      </c>
      <c r="IU212" s="110"/>
      <c r="IV212" s="74"/>
      <c r="IW212" s="73">
        <f t="shared" ca="1" si="2034"/>
        <v>0</v>
      </c>
      <c r="IX212" s="110"/>
      <c r="IY212" s="74"/>
      <c r="IZ212" s="73">
        <f t="shared" ca="1" si="2035"/>
        <v>0</v>
      </c>
      <c r="JA212" s="110"/>
      <c r="JB212" s="74"/>
      <c r="JC212" s="73">
        <f t="shared" ca="1" si="2036"/>
        <v>0</v>
      </c>
      <c r="JD212" s="110"/>
      <c r="JE212" s="74"/>
      <c r="JF212" s="73">
        <f t="shared" ca="1" si="2037"/>
        <v>0</v>
      </c>
      <c r="JG212" s="110"/>
      <c r="JH212" s="74"/>
      <c r="JI212" s="73">
        <f t="shared" ca="1" si="2038"/>
        <v>0</v>
      </c>
      <c r="JJ212" s="110"/>
      <c r="JK212" s="74"/>
      <c r="JL212" s="73">
        <f t="shared" ca="1" si="2039"/>
        <v>0</v>
      </c>
      <c r="JM212" s="110"/>
      <c r="JN212" s="74"/>
      <c r="JO212" s="73">
        <f t="shared" ca="1" si="2040"/>
        <v>0</v>
      </c>
      <c r="JP212" s="110"/>
      <c r="JQ212" s="74"/>
      <c r="JR212" s="73">
        <f t="shared" ca="1" si="2041"/>
        <v>0</v>
      </c>
      <c r="JS212" s="110"/>
      <c r="JT212" s="74"/>
      <c r="JU212" s="73">
        <f t="shared" ca="1" si="2042"/>
        <v>0</v>
      </c>
      <c r="JV212" s="110"/>
      <c r="JW212" s="74"/>
      <c r="JX212" s="73">
        <f t="shared" ca="1" si="2043"/>
        <v>0</v>
      </c>
      <c r="JY212" s="110"/>
      <c r="JZ212" s="74"/>
      <c r="KA212" s="73">
        <f t="shared" ca="1" si="2044"/>
        <v>0</v>
      </c>
      <c r="KB212" s="110"/>
      <c r="KC212" s="74"/>
      <c r="KD212" s="73">
        <f t="shared" ca="1" si="2045"/>
        <v>0</v>
      </c>
      <c r="KE212" s="110"/>
      <c r="KF212" s="74"/>
      <c r="KG212" s="73">
        <f t="shared" ca="1" si="2046"/>
        <v>0</v>
      </c>
      <c r="KH212" s="110"/>
      <c r="KI212" s="74"/>
      <c r="KJ212" s="73">
        <f t="shared" ca="1" si="2047"/>
        <v>0</v>
      </c>
      <c r="KK212" s="110"/>
      <c r="KL212" s="74"/>
      <c r="KM212" s="73">
        <f t="shared" ca="1" si="2048"/>
        <v>0</v>
      </c>
      <c r="KN212" s="110"/>
      <c r="KO212" s="74"/>
      <c r="KP212" s="73">
        <f t="shared" ca="1" si="2049"/>
        <v>0</v>
      </c>
      <c r="KQ212" s="110"/>
      <c r="KR212" s="74"/>
      <c r="KS212" s="73">
        <f t="shared" ca="1" si="2050"/>
        <v>0</v>
      </c>
      <c r="KT212" s="110"/>
      <c r="KU212" s="74"/>
      <c r="KV212" s="73">
        <f t="shared" ca="1" si="2051"/>
        <v>0</v>
      </c>
      <c r="KW212" s="110"/>
      <c r="KX212" s="74"/>
      <c r="KY212" s="73">
        <f t="shared" ca="1" si="2052"/>
        <v>0</v>
      </c>
      <c r="KZ212" s="110"/>
      <c r="LA212" s="74"/>
      <c r="LB212" s="73">
        <f t="shared" ca="1" si="2053"/>
        <v>0</v>
      </c>
      <c r="LC212" s="110"/>
      <c r="LD212" s="74"/>
      <c r="LE212" s="73">
        <f t="shared" ca="1" si="2054"/>
        <v>0</v>
      </c>
      <c r="LF212" s="110"/>
      <c r="LG212" s="110"/>
    </row>
    <row r="213" spans="1:319">
      <c r="A213" s="25"/>
      <c r="B213" s="25"/>
      <c r="C213" s="25"/>
      <c r="D213" s="25"/>
      <c r="E213" s="25"/>
      <c r="F213" s="407">
        <f t="shared" si="2055"/>
        <v>20</v>
      </c>
      <c r="G213" s="407">
        <f ca="1">VLOOKUP(H213,Equipos!$Q$1:$R$25,2,0)</f>
        <v>21</v>
      </c>
      <c r="H213" s="65" t="str">
        <f>Idiomas!$D$261</f>
        <v>Round Of 16</v>
      </c>
      <c r="I213" s="50"/>
      <c r="J213" s="845"/>
      <c r="K213" s="56" t="str">
        <f>Idiomas!$D$200&amp;"-"&amp;ROWS($L$210:L213)</f>
        <v>Quarterfinalist-4</v>
      </c>
      <c r="L213" s="53"/>
      <c r="M213" s="55" t="str">
        <f ca="1">WORLDCUP!AA134</f>
        <v>Argentina</v>
      </c>
      <c r="N213" s="25"/>
      <c r="O213" s="25"/>
      <c r="P213" s="25"/>
      <c r="Q213" s="25"/>
      <c r="R213" s="110"/>
      <c r="S213" s="74" t="s">
        <v>293</v>
      </c>
      <c r="T213" s="73">
        <f t="shared" ca="1" si="1955"/>
        <v>20</v>
      </c>
      <c r="U213" s="110"/>
      <c r="V213" s="74" t="s">
        <v>1256</v>
      </c>
      <c r="W213" s="73">
        <f t="shared" ca="1" si="1956"/>
        <v>20</v>
      </c>
      <c r="X213" s="110"/>
      <c r="Y213" s="74" t="s">
        <v>1836</v>
      </c>
      <c r="Z213" s="73">
        <f t="shared" ca="1" si="1957"/>
        <v>0</v>
      </c>
      <c r="AA213" s="110"/>
      <c r="AB213" s="74" t="s">
        <v>1256</v>
      </c>
      <c r="AC213" s="73">
        <f t="shared" ca="1" si="1958"/>
        <v>20</v>
      </c>
      <c r="AD213" s="110"/>
      <c r="AE213" s="74" t="s">
        <v>1256</v>
      </c>
      <c r="AF213" s="73">
        <f t="shared" ca="1" si="1959"/>
        <v>20</v>
      </c>
      <c r="AG213" s="110"/>
      <c r="AH213" s="74" t="s">
        <v>1256</v>
      </c>
      <c r="AI213" s="73">
        <f t="shared" ca="1" si="1960"/>
        <v>20</v>
      </c>
      <c r="AJ213" s="110"/>
      <c r="AK213" s="74" t="s">
        <v>1256</v>
      </c>
      <c r="AL213" s="73">
        <f t="shared" ca="1" si="1961"/>
        <v>20</v>
      </c>
      <c r="AM213" s="110"/>
      <c r="AN213" s="74" t="s">
        <v>1559</v>
      </c>
      <c r="AO213" s="73">
        <f t="shared" ca="1" si="1962"/>
        <v>0</v>
      </c>
      <c r="AP213" s="110"/>
      <c r="AQ213" s="74" t="s">
        <v>1256</v>
      </c>
      <c r="AR213" s="73">
        <f t="shared" ca="1" si="1963"/>
        <v>20</v>
      </c>
      <c r="AS213" s="110"/>
      <c r="AT213" s="74" t="s">
        <v>1256</v>
      </c>
      <c r="AU213" s="73">
        <f t="shared" ca="1" si="1964"/>
        <v>20</v>
      </c>
      <c r="AV213" s="110"/>
      <c r="AW213" s="74" t="s">
        <v>498</v>
      </c>
      <c r="AX213" s="73">
        <f t="shared" ca="1" si="1965"/>
        <v>0</v>
      </c>
      <c r="AY213" s="110"/>
      <c r="AZ213" s="74" t="s">
        <v>1256</v>
      </c>
      <c r="BA213" s="73">
        <f t="shared" ca="1" si="1966"/>
        <v>20</v>
      </c>
      <c r="BB213" s="110"/>
      <c r="BC213" s="74" t="s">
        <v>1256</v>
      </c>
      <c r="BD213" s="73">
        <f t="shared" ca="1" si="1967"/>
        <v>20</v>
      </c>
      <c r="BE213" s="110"/>
      <c r="BF213" s="74" t="s">
        <v>1256</v>
      </c>
      <c r="BG213" s="73">
        <f t="shared" ca="1" si="1968"/>
        <v>20</v>
      </c>
      <c r="BH213" s="110"/>
      <c r="BI213" s="74" t="s">
        <v>1256</v>
      </c>
      <c r="BJ213" s="73">
        <f t="shared" ca="1" si="1969"/>
        <v>20</v>
      </c>
      <c r="BK213" s="110"/>
      <c r="BL213" s="74" t="s">
        <v>1256</v>
      </c>
      <c r="BM213" s="73">
        <f t="shared" ca="1" si="1970"/>
        <v>20</v>
      </c>
      <c r="BN213" s="110"/>
      <c r="BO213" s="74" t="s">
        <v>1256</v>
      </c>
      <c r="BP213" s="73">
        <f t="shared" ca="1" si="1971"/>
        <v>20</v>
      </c>
      <c r="BQ213" s="110"/>
      <c r="BR213" s="74" t="s">
        <v>1256</v>
      </c>
      <c r="BS213" s="73">
        <f t="shared" ca="1" si="1972"/>
        <v>20</v>
      </c>
      <c r="BT213" s="110"/>
      <c r="BU213" s="74" t="s">
        <v>1256</v>
      </c>
      <c r="BV213" s="73">
        <f t="shared" ca="1" si="1973"/>
        <v>20</v>
      </c>
      <c r="BW213" s="110"/>
      <c r="BX213" s="74" t="s">
        <v>1256</v>
      </c>
      <c r="BY213" s="73">
        <f t="shared" ca="1" si="1974"/>
        <v>20</v>
      </c>
      <c r="BZ213" s="110"/>
      <c r="CA213" s="74" t="s">
        <v>1256</v>
      </c>
      <c r="CB213" s="73">
        <f t="shared" ca="1" si="1975"/>
        <v>20</v>
      </c>
      <c r="CC213" s="110"/>
      <c r="CD213" s="74" t="s">
        <v>1256</v>
      </c>
      <c r="CE213" s="73">
        <f t="shared" ca="1" si="1976"/>
        <v>20</v>
      </c>
      <c r="CF213" s="110"/>
      <c r="CG213" s="74" t="s">
        <v>1256</v>
      </c>
      <c r="CH213" s="73">
        <f t="shared" ca="1" si="1977"/>
        <v>20</v>
      </c>
      <c r="CI213" s="110"/>
      <c r="CJ213" s="74" t="s">
        <v>1256</v>
      </c>
      <c r="CK213" s="73">
        <f t="shared" ca="1" si="1978"/>
        <v>20</v>
      </c>
      <c r="CL213" s="110"/>
      <c r="CM213" s="74" t="s">
        <v>1256</v>
      </c>
      <c r="CN213" s="73">
        <f t="shared" ca="1" si="1979"/>
        <v>20</v>
      </c>
      <c r="CO213" s="110"/>
      <c r="CP213" s="74" t="s">
        <v>1318</v>
      </c>
      <c r="CQ213" s="73">
        <f t="shared" ca="1" si="1980"/>
        <v>0</v>
      </c>
      <c r="CR213" s="110"/>
      <c r="CS213" s="74" t="s">
        <v>1318</v>
      </c>
      <c r="CT213" s="73">
        <f t="shared" ca="1" si="1981"/>
        <v>0</v>
      </c>
      <c r="CU213" s="110"/>
      <c r="CV213" s="74" t="s">
        <v>1256</v>
      </c>
      <c r="CW213" s="73">
        <f t="shared" ca="1" si="1982"/>
        <v>20</v>
      </c>
      <c r="CX213" s="110"/>
      <c r="CY213" s="74" t="s">
        <v>1318</v>
      </c>
      <c r="CZ213" s="73">
        <f t="shared" ca="1" si="1983"/>
        <v>0</v>
      </c>
      <c r="DA213" s="110"/>
      <c r="DB213" s="74" t="s">
        <v>1256</v>
      </c>
      <c r="DC213" s="73">
        <f t="shared" ca="1" si="1984"/>
        <v>20</v>
      </c>
      <c r="DD213" s="110"/>
      <c r="DE213" s="74" t="s">
        <v>1256</v>
      </c>
      <c r="DF213" s="73">
        <f t="shared" ca="1" si="1985"/>
        <v>20</v>
      </c>
      <c r="DG213" s="110"/>
      <c r="DH213" s="74" t="s">
        <v>1256</v>
      </c>
      <c r="DI213" s="73">
        <f t="shared" ca="1" si="1986"/>
        <v>20</v>
      </c>
      <c r="DJ213" s="110"/>
      <c r="DK213" s="74" t="s">
        <v>1256</v>
      </c>
      <c r="DL213" s="73">
        <f t="shared" ca="1" si="1987"/>
        <v>20</v>
      </c>
      <c r="DM213" s="110"/>
      <c r="DN213" s="74" t="s">
        <v>1256</v>
      </c>
      <c r="DO213" s="73">
        <f t="shared" ca="1" si="1988"/>
        <v>20</v>
      </c>
      <c r="DP213" s="110"/>
      <c r="DQ213" s="74" t="s">
        <v>1256</v>
      </c>
      <c r="DR213" s="73">
        <f t="shared" ca="1" si="1989"/>
        <v>20</v>
      </c>
      <c r="DS213" s="110"/>
      <c r="DT213" s="74" t="s">
        <v>1256</v>
      </c>
      <c r="DU213" s="73">
        <f t="shared" ca="1" si="1990"/>
        <v>20</v>
      </c>
      <c r="DV213" s="110"/>
      <c r="DW213" s="74" t="s">
        <v>80</v>
      </c>
      <c r="DX213" s="73">
        <f t="shared" ca="1" si="1991"/>
        <v>0</v>
      </c>
      <c r="DY213" s="110"/>
      <c r="DZ213" s="74" t="s">
        <v>1256</v>
      </c>
      <c r="EA213" s="73">
        <f t="shared" ca="1" si="1992"/>
        <v>20</v>
      </c>
      <c r="EB213" s="110"/>
      <c r="EC213" s="74" t="s">
        <v>1256</v>
      </c>
      <c r="ED213" s="73">
        <f t="shared" ca="1" si="1993"/>
        <v>20</v>
      </c>
      <c r="EE213" s="110"/>
      <c r="EF213" s="74" t="s">
        <v>1256</v>
      </c>
      <c r="EG213" s="73">
        <f t="shared" ca="1" si="1994"/>
        <v>20</v>
      </c>
      <c r="EH213" s="110"/>
      <c r="EI213" s="74" t="s">
        <v>1256</v>
      </c>
      <c r="EJ213" s="73">
        <f t="shared" ca="1" si="1995"/>
        <v>20</v>
      </c>
      <c r="EK213" s="110"/>
      <c r="EL213" s="74" t="s">
        <v>1256</v>
      </c>
      <c r="EM213" s="73">
        <f t="shared" ca="1" si="1996"/>
        <v>20</v>
      </c>
      <c r="EN213" s="110"/>
      <c r="EO213" s="74" t="s">
        <v>1256</v>
      </c>
      <c r="EP213" s="73">
        <f t="shared" ca="1" si="1997"/>
        <v>20</v>
      </c>
      <c r="EQ213" s="110"/>
      <c r="ER213" s="74" t="s">
        <v>1256</v>
      </c>
      <c r="ES213" s="73">
        <f t="shared" ca="1" si="1998"/>
        <v>20</v>
      </c>
      <c r="ET213" s="110"/>
      <c r="EU213" s="74" t="s">
        <v>1318</v>
      </c>
      <c r="EV213" s="73">
        <f t="shared" ca="1" si="1999"/>
        <v>0</v>
      </c>
      <c r="EW213" s="110"/>
      <c r="EX213" s="74" t="s">
        <v>1256</v>
      </c>
      <c r="EY213" s="73">
        <f t="shared" ca="1" si="2000"/>
        <v>20</v>
      </c>
      <c r="EZ213" s="110"/>
      <c r="FA213" s="74" t="s">
        <v>1836</v>
      </c>
      <c r="FB213" s="73">
        <f t="shared" ca="1" si="2001"/>
        <v>0</v>
      </c>
      <c r="FC213" s="110"/>
      <c r="FD213" s="74" t="s">
        <v>1256</v>
      </c>
      <c r="FE213" s="73">
        <f t="shared" ca="1" si="2002"/>
        <v>20</v>
      </c>
      <c r="FF213" s="110"/>
      <c r="FG213" s="74" t="s">
        <v>1256</v>
      </c>
      <c r="FH213" s="73">
        <f t="shared" ca="1" si="2003"/>
        <v>20</v>
      </c>
      <c r="FI213" s="110"/>
      <c r="FJ213" s="74" t="s">
        <v>1256</v>
      </c>
      <c r="FK213" s="73">
        <f t="shared" ca="1" si="2004"/>
        <v>20</v>
      </c>
      <c r="FL213" s="110"/>
      <c r="FM213" s="74" t="s">
        <v>1256</v>
      </c>
      <c r="FN213" s="73">
        <f t="shared" ca="1" si="2005"/>
        <v>20</v>
      </c>
      <c r="FO213" s="110"/>
      <c r="FP213" s="74" t="s">
        <v>1256</v>
      </c>
      <c r="FQ213" s="73">
        <f t="shared" ca="1" si="2006"/>
        <v>20</v>
      </c>
      <c r="FR213" s="110"/>
      <c r="FS213" s="74" t="s">
        <v>1256</v>
      </c>
      <c r="FT213" s="73">
        <f t="shared" ca="1" si="2007"/>
        <v>20</v>
      </c>
      <c r="FU213" s="110"/>
      <c r="FV213" s="74" t="s">
        <v>1256</v>
      </c>
      <c r="FW213" s="73">
        <f t="shared" ca="1" si="2008"/>
        <v>20</v>
      </c>
      <c r="FX213" s="110"/>
      <c r="FY213" s="74" t="s">
        <v>1256</v>
      </c>
      <c r="FZ213" s="73">
        <f t="shared" ca="1" si="2009"/>
        <v>20</v>
      </c>
      <c r="GA213" s="110"/>
      <c r="GB213" s="74" t="s">
        <v>1256</v>
      </c>
      <c r="GC213" s="73">
        <f t="shared" ca="1" si="2010"/>
        <v>20</v>
      </c>
      <c r="GD213" s="110"/>
      <c r="GE213" s="74" t="s">
        <v>1256</v>
      </c>
      <c r="GF213" s="73">
        <f t="shared" ca="1" si="2011"/>
        <v>20</v>
      </c>
      <c r="GG213" s="110"/>
      <c r="GH213" s="74" t="s">
        <v>1836</v>
      </c>
      <c r="GI213" s="73">
        <f t="shared" ca="1" si="2012"/>
        <v>0</v>
      </c>
      <c r="GJ213" s="110"/>
      <c r="GK213" s="74" t="s">
        <v>1256</v>
      </c>
      <c r="GL213" s="73">
        <f t="shared" ca="1" si="2013"/>
        <v>20</v>
      </c>
      <c r="GM213" s="110"/>
      <c r="GN213" s="74"/>
      <c r="GO213" s="73">
        <f t="shared" ca="1" si="2014"/>
        <v>0</v>
      </c>
      <c r="GP213" s="110"/>
      <c r="GQ213" s="74"/>
      <c r="GR213" s="73">
        <f t="shared" ca="1" si="2015"/>
        <v>0</v>
      </c>
      <c r="GS213" s="110"/>
      <c r="GT213" s="74"/>
      <c r="GU213" s="73">
        <f t="shared" ca="1" si="2016"/>
        <v>0</v>
      </c>
      <c r="GV213" s="110"/>
      <c r="GW213" s="74"/>
      <c r="GX213" s="73">
        <f t="shared" ca="1" si="2017"/>
        <v>0</v>
      </c>
      <c r="GY213" s="110"/>
      <c r="GZ213" s="74"/>
      <c r="HA213" s="73">
        <f t="shared" ca="1" si="2018"/>
        <v>0</v>
      </c>
      <c r="HB213" s="110"/>
      <c r="HC213" s="74"/>
      <c r="HD213" s="73">
        <f t="shared" ca="1" si="2019"/>
        <v>0</v>
      </c>
      <c r="HE213" s="110"/>
      <c r="HF213" s="74"/>
      <c r="HG213" s="73">
        <f t="shared" ca="1" si="2020"/>
        <v>0</v>
      </c>
      <c r="HH213" s="110"/>
      <c r="HI213" s="74"/>
      <c r="HJ213" s="73">
        <f t="shared" ca="1" si="2021"/>
        <v>0</v>
      </c>
      <c r="HK213" s="110"/>
      <c r="HL213" s="74"/>
      <c r="HM213" s="73">
        <f t="shared" ca="1" si="2022"/>
        <v>0</v>
      </c>
      <c r="HN213" s="110"/>
      <c r="HO213" s="74"/>
      <c r="HP213" s="73">
        <f t="shared" ca="1" si="2023"/>
        <v>0</v>
      </c>
      <c r="HQ213" s="110"/>
      <c r="HR213" s="74"/>
      <c r="HS213" s="73">
        <f t="shared" ca="1" si="2024"/>
        <v>0</v>
      </c>
      <c r="HT213" s="110"/>
      <c r="HU213" s="74"/>
      <c r="HV213" s="73">
        <f t="shared" ca="1" si="2025"/>
        <v>0</v>
      </c>
      <c r="HW213" s="110"/>
      <c r="HX213" s="74"/>
      <c r="HY213" s="73">
        <f t="shared" ca="1" si="2026"/>
        <v>0</v>
      </c>
      <c r="HZ213" s="110"/>
      <c r="IA213" s="74"/>
      <c r="IB213" s="73">
        <f t="shared" ca="1" si="2027"/>
        <v>0</v>
      </c>
      <c r="IC213" s="110"/>
      <c r="ID213" s="74"/>
      <c r="IE213" s="73">
        <f t="shared" ca="1" si="2028"/>
        <v>0</v>
      </c>
      <c r="IF213" s="110"/>
      <c r="IG213" s="74"/>
      <c r="IH213" s="73">
        <f t="shared" ca="1" si="2029"/>
        <v>0</v>
      </c>
      <c r="II213" s="110"/>
      <c r="IJ213" s="74"/>
      <c r="IK213" s="73">
        <f t="shared" ca="1" si="2030"/>
        <v>0</v>
      </c>
      <c r="IL213" s="110"/>
      <c r="IM213" s="74"/>
      <c r="IN213" s="73">
        <f t="shared" ca="1" si="2031"/>
        <v>0</v>
      </c>
      <c r="IO213" s="110"/>
      <c r="IP213" s="74"/>
      <c r="IQ213" s="73">
        <f t="shared" ca="1" si="2032"/>
        <v>0</v>
      </c>
      <c r="IR213" s="110"/>
      <c r="IS213" s="74"/>
      <c r="IT213" s="73">
        <f t="shared" ca="1" si="2033"/>
        <v>0</v>
      </c>
      <c r="IU213" s="110"/>
      <c r="IV213" s="74"/>
      <c r="IW213" s="73">
        <f t="shared" ca="1" si="2034"/>
        <v>0</v>
      </c>
      <c r="IX213" s="110"/>
      <c r="IY213" s="74"/>
      <c r="IZ213" s="73">
        <f t="shared" ca="1" si="2035"/>
        <v>0</v>
      </c>
      <c r="JA213" s="110"/>
      <c r="JB213" s="74"/>
      <c r="JC213" s="73">
        <f t="shared" ca="1" si="2036"/>
        <v>0</v>
      </c>
      <c r="JD213" s="110"/>
      <c r="JE213" s="74"/>
      <c r="JF213" s="73">
        <f t="shared" ca="1" si="2037"/>
        <v>0</v>
      </c>
      <c r="JG213" s="110"/>
      <c r="JH213" s="74"/>
      <c r="JI213" s="73">
        <f t="shared" ca="1" si="2038"/>
        <v>0</v>
      </c>
      <c r="JJ213" s="110"/>
      <c r="JK213" s="74"/>
      <c r="JL213" s="73">
        <f t="shared" ca="1" si="2039"/>
        <v>0</v>
      </c>
      <c r="JM213" s="110"/>
      <c r="JN213" s="74"/>
      <c r="JO213" s="73">
        <f t="shared" ca="1" si="2040"/>
        <v>0</v>
      </c>
      <c r="JP213" s="110"/>
      <c r="JQ213" s="74"/>
      <c r="JR213" s="73">
        <f t="shared" ca="1" si="2041"/>
        <v>0</v>
      </c>
      <c r="JS213" s="110"/>
      <c r="JT213" s="74"/>
      <c r="JU213" s="73">
        <f t="shared" ca="1" si="2042"/>
        <v>0</v>
      </c>
      <c r="JV213" s="110"/>
      <c r="JW213" s="74"/>
      <c r="JX213" s="73">
        <f t="shared" ca="1" si="2043"/>
        <v>0</v>
      </c>
      <c r="JY213" s="110"/>
      <c r="JZ213" s="74"/>
      <c r="KA213" s="73">
        <f t="shared" ca="1" si="2044"/>
        <v>0</v>
      </c>
      <c r="KB213" s="110"/>
      <c r="KC213" s="74"/>
      <c r="KD213" s="73">
        <f t="shared" ca="1" si="2045"/>
        <v>0</v>
      </c>
      <c r="KE213" s="110"/>
      <c r="KF213" s="74"/>
      <c r="KG213" s="73">
        <f t="shared" ca="1" si="2046"/>
        <v>0</v>
      </c>
      <c r="KH213" s="110"/>
      <c r="KI213" s="74"/>
      <c r="KJ213" s="73">
        <f t="shared" ca="1" si="2047"/>
        <v>0</v>
      </c>
      <c r="KK213" s="110"/>
      <c r="KL213" s="74"/>
      <c r="KM213" s="73">
        <f t="shared" ca="1" si="2048"/>
        <v>0</v>
      </c>
      <c r="KN213" s="110"/>
      <c r="KO213" s="74"/>
      <c r="KP213" s="73">
        <f t="shared" ca="1" si="2049"/>
        <v>0</v>
      </c>
      <c r="KQ213" s="110"/>
      <c r="KR213" s="74"/>
      <c r="KS213" s="73">
        <f t="shared" ca="1" si="2050"/>
        <v>0</v>
      </c>
      <c r="KT213" s="110"/>
      <c r="KU213" s="74"/>
      <c r="KV213" s="73">
        <f t="shared" ca="1" si="2051"/>
        <v>0</v>
      </c>
      <c r="KW213" s="110"/>
      <c r="KX213" s="74"/>
      <c r="KY213" s="73">
        <f t="shared" ca="1" si="2052"/>
        <v>0</v>
      </c>
      <c r="KZ213" s="110"/>
      <c r="LA213" s="74"/>
      <c r="LB213" s="73">
        <f t="shared" ca="1" si="2053"/>
        <v>0</v>
      </c>
      <c r="LC213" s="110"/>
      <c r="LD213" s="74"/>
      <c r="LE213" s="73">
        <f t="shared" ca="1" si="2054"/>
        <v>0</v>
      </c>
      <c r="LF213" s="110"/>
      <c r="LG213" s="110"/>
    </row>
    <row r="214" spans="1:319">
      <c r="A214" s="25"/>
      <c r="B214" s="25"/>
      <c r="C214" s="89"/>
      <c r="D214" s="25"/>
      <c r="E214" s="25"/>
      <c r="F214" s="407">
        <f t="shared" si="2055"/>
        <v>20</v>
      </c>
      <c r="G214" s="407">
        <f ca="1">VLOOKUP(H214,Equipos!$Q$1:$R$25,2,0)</f>
        <v>21</v>
      </c>
      <c r="H214" s="65" t="str">
        <f>Idiomas!$D$261</f>
        <v>Round Of 16</v>
      </c>
      <c r="I214" s="50"/>
      <c r="J214" s="845"/>
      <c r="K214" s="56" t="str">
        <f>Idiomas!$D$200&amp;"-"&amp;ROWS($L$210:L214)</f>
        <v>Quarterfinalist-5</v>
      </c>
      <c r="L214" s="53"/>
      <c r="M214" s="55" t="str">
        <f ca="1">WORLDCUP!AF131</f>
        <v>Morocco</v>
      </c>
      <c r="N214" s="25"/>
      <c r="O214" s="25"/>
      <c r="P214" s="25"/>
      <c r="Q214" s="25"/>
      <c r="R214" s="110"/>
      <c r="S214" s="74" t="s">
        <v>1278</v>
      </c>
      <c r="T214" s="73">
        <f t="shared" ca="1" si="1955"/>
        <v>0</v>
      </c>
      <c r="U214" s="110"/>
      <c r="V214" s="74" t="s">
        <v>291</v>
      </c>
      <c r="W214" s="73">
        <f t="shared" ca="1" si="1956"/>
        <v>0</v>
      </c>
      <c r="X214" s="110"/>
      <c r="Y214" s="74" t="s">
        <v>291</v>
      </c>
      <c r="Z214" s="73">
        <f t="shared" ca="1" si="1957"/>
        <v>0</v>
      </c>
      <c r="AA214" s="110"/>
      <c r="AB214" s="74" t="s">
        <v>291</v>
      </c>
      <c r="AC214" s="73">
        <f t="shared" ca="1" si="1958"/>
        <v>0</v>
      </c>
      <c r="AD214" s="110"/>
      <c r="AE214" s="74" t="s">
        <v>291</v>
      </c>
      <c r="AF214" s="73">
        <f t="shared" ca="1" si="1959"/>
        <v>0</v>
      </c>
      <c r="AG214" s="110"/>
      <c r="AH214" s="74" t="s">
        <v>291</v>
      </c>
      <c r="AI214" s="73">
        <f t="shared" ca="1" si="1960"/>
        <v>0</v>
      </c>
      <c r="AJ214" s="110"/>
      <c r="AK214" s="74" t="s">
        <v>291</v>
      </c>
      <c r="AL214" s="73">
        <f t="shared" ca="1" si="1961"/>
        <v>0</v>
      </c>
      <c r="AM214" s="110"/>
      <c r="AN214" s="74" t="s">
        <v>1278</v>
      </c>
      <c r="AO214" s="73">
        <f t="shared" ca="1" si="1962"/>
        <v>0</v>
      </c>
      <c r="AP214" s="110"/>
      <c r="AQ214" s="74" t="s">
        <v>291</v>
      </c>
      <c r="AR214" s="73">
        <f t="shared" ca="1" si="1963"/>
        <v>0</v>
      </c>
      <c r="AS214" s="110"/>
      <c r="AT214" s="74" t="s">
        <v>291</v>
      </c>
      <c r="AU214" s="73">
        <f t="shared" ca="1" si="1964"/>
        <v>0</v>
      </c>
      <c r="AV214" s="110"/>
      <c r="AW214" s="74" t="s">
        <v>1326</v>
      </c>
      <c r="AX214" s="73">
        <f t="shared" ca="1" si="1965"/>
        <v>20</v>
      </c>
      <c r="AY214" s="110"/>
      <c r="AZ214" s="74" t="s">
        <v>291</v>
      </c>
      <c r="BA214" s="73">
        <f t="shared" ca="1" si="1966"/>
        <v>0</v>
      </c>
      <c r="BB214" s="110"/>
      <c r="BC214" s="74" t="s">
        <v>1284</v>
      </c>
      <c r="BD214" s="73">
        <f t="shared" ca="1" si="1967"/>
        <v>0</v>
      </c>
      <c r="BE214" s="110"/>
      <c r="BF214" s="74" t="s">
        <v>291</v>
      </c>
      <c r="BG214" s="73">
        <f t="shared" ca="1" si="1968"/>
        <v>0</v>
      </c>
      <c r="BH214" s="110"/>
      <c r="BI214" s="74" t="s">
        <v>291</v>
      </c>
      <c r="BJ214" s="73">
        <f t="shared" ca="1" si="1969"/>
        <v>0</v>
      </c>
      <c r="BK214" s="110"/>
      <c r="BL214" s="74" t="s">
        <v>291</v>
      </c>
      <c r="BM214" s="73">
        <f t="shared" ca="1" si="1970"/>
        <v>0</v>
      </c>
      <c r="BN214" s="110"/>
      <c r="BO214" s="74" t="s">
        <v>291</v>
      </c>
      <c r="BP214" s="73">
        <f t="shared" ca="1" si="1971"/>
        <v>0</v>
      </c>
      <c r="BQ214" s="110"/>
      <c r="BR214" s="74" t="s">
        <v>291</v>
      </c>
      <c r="BS214" s="73">
        <f t="shared" ca="1" si="1972"/>
        <v>0</v>
      </c>
      <c r="BT214" s="110"/>
      <c r="BU214" s="74" t="s">
        <v>291</v>
      </c>
      <c r="BV214" s="73">
        <f t="shared" ca="1" si="1973"/>
        <v>0</v>
      </c>
      <c r="BW214" s="110"/>
      <c r="BX214" s="74" t="s">
        <v>291</v>
      </c>
      <c r="BY214" s="73">
        <f t="shared" ca="1" si="1974"/>
        <v>0</v>
      </c>
      <c r="BZ214" s="110"/>
      <c r="CA214" s="74" t="s">
        <v>1326</v>
      </c>
      <c r="CB214" s="73">
        <f t="shared" ca="1" si="1975"/>
        <v>20</v>
      </c>
      <c r="CC214" s="110"/>
      <c r="CD214" s="74" t="s">
        <v>291</v>
      </c>
      <c r="CE214" s="73">
        <f t="shared" ca="1" si="1976"/>
        <v>0</v>
      </c>
      <c r="CF214" s="110"/>
      <c r="CG214" s="74" t="s">
        <v>291</v>
      </c>
      <c r="CH214" s="73">
        <f t="shared" ca="1" si="1977"/>
        <v>0</v>
      </c>
      <c r="CI214" s="110"/>
      <c r="CJ214" s="74" t="s">
        <v>291</v>
      </c>
      <c r="CK214" s="73">
        <f t="shared" ca="1" si="1978"/>
        <v>0</v>
      </c>
      <c r="CL214" s="110"/>
      <c r="CM214" s="74" t="s">
        <v>1326</v>
      </c>
      <c r="CN214" s="73">
        <f t="shared" ca="1" si="1979"/>
        <v>20</v>
      </c>
      <c r="CO214" s="110"/>
      <c r="CP214" s="74" t="s">
        <v>291</v>
      </c>
      <c r="CQ214" s="73">
        <f t="shared" ca="1" si="1980"/>
        <v>0</v>
      </c>
      <c r="CR214" s="110"/>
      <c r="CS214" s="74" t="s">
        <v>1284</v>
      </c>
      <c r="CT214" s="73">
        <f t="shared" ca="1" si="1981"/>
        <v>0</v>
      </c>
      <c r="CU214" s="110"/>
      <c r="CV214" s="74" t="s">
        <v>291</v>
      </c>
      <c r="CW214" s="73">
        <f t="shared" ca="1" si="1982"/>
        <v>0</v>
      </c>
      <c r="CX214" s="110"/>
      <c r="CY214" s="74" t="s">
        <v>291</v>
      </c>
      <c r="CZ214" s="73">
        <f t="shared" ca="1" si="1983"/>
        <v>0</v>
      </c>
      <c r="DA214" s="110"/>
      <c r="DB214" s="74" t="s">
        <v>291</v>
      </c>
      <c r="DC214" s="73">
        <f t="shared" ca="1" si="1984"/>
        <v>0</v>
      </c>
      <c r="DD214" s="110"/>
      <c r="DE214" s="74" t="s">
        <v>291</v>
      </c>
      <c r="DF214" s="73">
        <f t="shared" ca="1" si="1985"/>
        <v>0</v>
      </c>
      <c r="DG214" s="110"/>
      <c r="DH214" s="74" t="s">
        <v>1284</v>
      </c>
      <c r="DI214" s="73">
        <f t="shared" ca="1" si="1986"/>
        <v>0</v>
      </c>
      <c r="DJ214" s="110"/>
      <c r="DK214" s="74" t="s">
        <v>291</v>
      </c>
      <c r="DL214" s="73">
        <f t="shared" ca="1" si="1987"/>
        <v>0</v>
      </c>
      <c r="DM214" s="110"/>
      <c r="DN214" s="74" t="s">
        <v>291</v>
      </c>
      <c r="DO214" s="73">
        <f t="shared" ca="1" si="1988"/>
        <v>0</v>
      </c>
      <c r="DP214" s="110"/>
      <c r="DQ214" s="74" t="s">
        <v>291</v>
      </c>
      <c r="DR214" s="73">
        <f t="shared" ca="1" si="1989"/>
        <v>0</v>
      </c>
      <c r="DS214" s="110"/>
      <c r="DT214" s="74" t="s">
        <v>291</v>
      </c>
      <c r="DU214" s="73">
        <f t="shared" ca="1" si="1990"/>
        <v>0</v>
      </c>
      <c r="DV214" s="110"/>
      <c r="DW214" s="74" t="s">
        <v>291</v>
      </c>
      <c r="DX214" s="73">
        <f t="shared" ca="1" si="1991"/>
        <v>0</v>
      </c>
      <c r="DY214" s="110"/>
      <c r="DZ214" s="74" t="s">
        <v>291</v>
      </c>
      <c r="EA214" s="73">
        <f t="shared" ca="1" si="1992"/>
        <v>0</v>
      </c>
      <c r="EB214" s="110"/>
      <c r="EC214" s="74" t="s">
        <v>291</v>
      </c>
      <c r="ED214" s="73">
        <f t="shared" ca="1" si="1993"/>
        <v>0</v>
      </c>
      <c r="EE214" s="110"/>
      <c r="EF214" s="74" t="s">
        <v>291</v>
      </c>
      <c r="EG214" s="73">
        <f t="shared" ca="1" si="1994"/>
        <v>0</v>
      </c>
      <c r="EH214" s="110"/>
      <c r="EI214" s="74" t="s">
        <v>291</v>
      </c>
      <c r="EJ214" s="73">
        <f t="shared" ca="1" si="1995"/>
        <v>0</v>
      </c>
      <c r="EK214" s="110"/>
      <c r="EL214" s="74" t="s">
        <v>1326</v>
      </c>
      <c r="EM214" s="73">
        <f t="shared" ca="1" si="1996"/>
        <v>20</v>
      </c>
      <c r="EN214" s="110"/>
      <c r="EO214" s="74" t="s">
        <v>291</v>
      </c>
      <c r="EP214" s="73">
        <f t="shared" ca="1" si="1997"/>
        <v>0</v>
      </c>
      <c r="EQ214" s="110"/>
      <c r="ER214" s="74" t="s">
        <v>291</v>
      </c>
      <c r="ES214" s="73">
        <f t="shared" ca="1" si="1998"/>
        <v>0</v>
      </c>
      <c r="ET214" s="110"/>
      <c r="EU214" s="74" t="s">
        <v>1326</v>
      </c>
      <c r="EV214" s="73">
        <f t="shared" ca="1" si="1999"/>
        <v>20</v>
      </c>
      <c r="EW214" s="110"/>
      <c r="EX214" s="74" t="s">
        <v>291</v>
      </c>
      <c r="EY214" s="73">
        <f t="shared" ca="1" si="2000"/>
        <v>0</v>
      </c>
      <c r="EZ214" s="110"/>
      <c r="FA214" s="74" t="s">
        <v>291</v>
      </c>
      <c r="FB214" s="73">
        <f t="shared" ca="1" si="2001"/>
        <v>0</v>
      </c>
      <c r="FC214" s="110"/>
      <c r="FD214" s="74" t="s">
        <v>291</v>
      </c>
      <c r="FE214" s="73">
        <f t="shared" ca="1" si="2002"/>
        <v>0</v>
      </c>
      <c r="FF214" s="110"/>
      <c r="FG214" s="74" t="s">
        <v>291</v>
      </c>
      <c r="FH214" s="73">
        <f t="shared" ca="1" si="2003"/>
        <v>0</v>
      </c>
      <c r="FI214" s="110"/>
      <c r="FJ214" s="74" t="s">
        <v>291</v>
      </c>
      <c r="FK214" s="73">
        <f t="shared" ca="1" si="2004"/>
        <v>0</v>
      </c>
      <c r="FL214" s="110"/>
      <c r="FM214" s="74" t="s">
        <v>291</v>
      </c>
      <c r="FN214" s="73">
        <f t="shared" ca="1" si="2005"/>
        <v>0</v>
      </c>
      <c r="FO214" s="110"/>
      <c r="FP214" s="74" t="s">
        <v>291</v>
      </c>
      <c r="FQ214" s="73">
        <f t="shared" ca="1" si="2006"/>
        <v>0</v>
      </c>
      <c r="FR214" s="110"/>
      <c r="FS214" s="74" t="s">
        <v>291</v>
      </c>
      <c r="FT214" s="73">
        <f t="shared" ca="1" si="2007"/>
        <v>0</v>
      </c>
      <c r="FU214" s="110"/>
      <c r="FV214" s="74" t="s">
        <v>291</v>
      </c>
      <c r="FW214" s="73">
        <f t="shared" ca="1" si="2008"/>
        <v>0</v>
      </c>
      <c r="FX214" s="110"/>
      <c r="FY214" s="74" t="s">
        <v>291</v>
      </c>
      <c r="FZ214" s="73">
        <f t="shared" ca="1" si="2009"/>
        <v>0</v>
      </c>
      <c r="GA214" s="110"/>
      <c r="GB214" s="74" t="s">
        <v>291</v>
      </c>
      <c r="GC214" s="73">
        <f t="shared" ca="1" si="2010"/>
        <v>0</v>
      </c>
      <c r="GD214" s="110"/>
      <c r="GE214" s="74" t="s">
        <v>291</v>
      </c>
      <c r="GF214" s="73">
        <f t="shared" ca="1" si="2011"/>
        <v>0</v>
      </c>
      <c r="GG214" s="110"/>
      <c r="GH214" s="74" t="s">
        <v>291</v>
      </c>
      <c r="GI214" s="73">
        <f t="shared" ca="1" si="2012"/>
        <v>0</v>
      </c>
      <c r="GJ214" s="110"/>
      <c r="GK214" s="74" t="s">
        <v>291</v>
      </c>
      <c r="GL214" s="73">
        <f t="shared" ca="1" si="2013"/>
        <v>0</v>
      </c>
      <c r="GM214" s="110"/>
      <c r="GN214" s="74"/>
      <c r="GO214" s="73">
        <f t="shared" ca="1" si="2014"/>
        <v>0</v>
      </c>
      <c r="GP214" s="110"/>
      <c r="GQ214" s="74"/>
      <c r="GR214" s="73">
        <f t="shared" ca="1" si="2015"/>
        <v>0</v>
      </c>
      <c r="GS214" s="110"/>
      <c r="GT214" s="74"/>
      <c r="GU214" s="73">
        <f t="shared" ca="1" si="2016"/>
        <v>0</v>
      </c>
      <c r="GV214" s="110"/>
      <c r="GW214" s="74"/>
      <c r="GX214" s="73">
        <f t="shared" ca="1" si="2017"/>
        <v>0</v>
      </c>
      <c r="GY214" s="110"/>
      <c r="GZ214" s="74"/>
      <c r="HA214" s="73">
        <f t="shared" ca="1" si="2018"/>
        <v>0</v>
      </c>
      <c r="HB214" s="110"/>
      <c r="HC214" s="74"/>
      <c r="HD214" s="73">
        <f t="shared" ca="1" si="2019"/>
        <v>0</v>
      </c>
      <c r="HE214" s="110"/>
      <c r="HF214" s="74"/>
      <c r="HG214" s="73">
        <f t="shared" ca="1" si="2020"/>
        <v>0</v>
      </c>
      <c r="HH214" s="110"/>
      <c r="HI214" s="74"/>
      <c r="HJ214" s="73">
        <f t="shared" ca="1" si="2021"/>
        <v>0</v>
      </c>
      <c r="HK214" s="110"/>
      <c r="HL214" s="74"/>
      <c r="HM214" s="73">
        <f t="shared" ca="1" si="2022"/>
        <v>0</v>
      </c>
      <c r="HN214" s="110"/>
      <c r="HO214" s="74"/>
      <c r="HP214" s="73">
        <f t="shared" ca="1" si="2023"/>
        <v>0</v>
      </c>
      <c r="HQ214" s="110"/>
      <c r="HR214" s="74"/>
      <c r="HS214" s="73">
        <f t="shared" ca="1" si="2024"/>
        <v>0</v>
      </c>
      <c r="HT214" s="110"/>
      <c r="HU214" s="74"/>
      <c r="HV214" s="73">
        <f t="shared" ca="1" si="2025"/>
        <v>0</v>
      </c>
      <c r="HW214" s="110"/>
      <c r="HX214" s="74"/>
      <c r="HY214" s="73">
        <f t="shared" ca="1" si="2026"/>
        <v>0</v>
      </c>
      <c r="HZ214" s="110"/>
      <c r="IA214" s="74"/>
      <c r="IB214" s="73">
        <f t="shared" ca="1" si="2027"/>
        <v>0</v>
      </c>
      <c r="IC214" s="110"/>
      <c r="ID214" s="74"/>
      <c r="IE214" s="73">
        <f t="shared" ca="1" si="2028"/>
        <v>0</v>
      </c>
      <c r="IF214" s="110"/>
      <c r="IG214" s="74"/>
      <c r="IH214" s="73">
        <f t="shared" ca="1" si="2029"/>
        <v>0</v>
      </c>
      <c r="II214" s="110"/>
      <c r="IJ214" s="74"/>
      <c r="IK214" s="73">
        <f t="shared" ca="1" si="2030"/>
        <v>0</v>
      </c>
      <c r="IL214" s="110"/>
      <c r="IM214" s="74"/>
      <c r="IN214" s="73">
        <f t="shared" ca="1" si="2031"/>
        <v>0</v>
      </c>
      <c r="IO214" s="110"/>
      <c r="IP214" s="74"/>
      <c r="IQ214" s="73">
        <f t="shared" ca="1" si="2032"/>
        <v>0</v>
      </c>
      <c r="IR214" s="110"/>
      <c r="IS214" s="74"/>
      <c r="IT214" s="73">
        <f t="shared" ca="1" si="2033"/>
        <v>0</v>
      </c>
      <c r="IU214" s="110"/>
      <c r="IV214" s="74"/>
      <c r="IW214" s="73">
        <f t="shared" ca="1" si="2034"/>
        <v>0</v>
      </c>
      <c r="IX214" s="110"/>
      <c r="IY214" s="74"/>
      <c r="IZ214" s="73">
        <f t="shared" ca="1" si="2035"/>
        <v>0</v>
      </c>
      <c r="JA214" s="110"/>
      <c r="JB214" s="74"/>
      <c r="JC214" s="73">
        <f t="shared" ca="1" si="2036"/>
        <v>0</v>
      </c>
      <c r="JD214" s="110"/>
      <c r="JE214" s="74"/>
      <c r="JF214" s="73">
        <f t="shared" ca="1" si="2037"/>
        <v>0</v>
      </c>
      <c r="JG214" s="110"/>
      <c r="JH214" s="74"/>
      <c r="JI214" s="73">
        <f t="shared" ca="1" si="2038"/>
        <v>0</v>
      </c>
      <c r="JJ214" s="110"/>
      <c r="JK214" s="74"/>
      <c r="JL214" s="73">
        <f t="shared" ca="1" si="2039"/>
        <v>0</v>
      </c>
      <c r="JM214" s="110"/>
      <c r="JN214" s="74"/>
      <c r="JO214" s="73">
        <f t="shared" ca="1" si="2040"/>
        <v>0</v>
      </c>
      <c r="JP214" s="110"/>
      <c r="JQ214" s="74"/>
      <c r="JR214" s="73">
        <f t="shared" ca="1" si="2041"/>
        <v>0</v>
      </c>
      <c r="JS214" s="110"/>
      <c r="JT214" s="74"/>
      <c r="JU214" s="73">
        <f t="shared" ca="1" si="2042"/>
        <v>0</v>
      </c>
      <c r="JV214" s="110"/>
      <c r="JW214" s="74"/>
      <c r="JX214" s="73">
        <f t="shared" ca="1" si="2043"/>
        <v>0</v>
      </c>
      <c r="JY214" s="110"/>
      <c r="JZ214" s="74"/>
      <c r="KA214" s="73">
        <f t="shared" ca="1" si="2044"/>
        <v>0</v>
      </c>
      <c r="KB214" s="110"/>
      <c r="KC214" s="74"/>
      <c r="KD214" s="73">
        <f t="shared" ca="1" si="2045"/>
        <v>0</v>
      </c>
      <c r="KE214" s="110"/>
      <c r="KF214" s="74"/>
      <c r="KG214" s="73">
        <f t="shared" ca="1" si="2046"/>
        <v>0</v>
      </c>
      <c r="KH214" s="110"/>
      <c r="KI214" s="74"/>
      <c r="KJ214" s="73">
        <f t="shared" ca="1" si="2047"/>
        <v>0</v>
      </c>
      <c r="KK214" s="110"/>
      <c r="KL214" s="74"/>
      <c r="KM214" s="73">
        <f t="shared" ca="1" si="2048"/>
        <v>0</v>
      </c>
      <c r="KN214" s="110"/>
      <c r="KO214" s="74"/>
      <c r="KP214" s="73">
        <f t="shared" ca="1" si="2049"/>
        <v>0</v>
      </c>
      <c r="KQ214" s="110"/>
      <c r="KR214" s="74"/>
      <c r="KS214" s="73">
        <f t="shared" ca="1" si="2050"/>
        <v>0</v>
      </c>
      <c r="KT214" s="110"/>
      <c r="KU214" s="74"/>
      <c r="KV214" s="73">
        <f t="shared" ca="1" si="2051"/>
        <v>0</v>
      </c>
      <c r="KW214" s="110"/>
      <c r="KX214" s="74"/>
      <c r="KY214" s="73">
        <f t="shared" ca="1" si="2052"/>
        <v>0</v>
      </c>
      <c r="KZ214" s="110"/>
      <c r="LA214" s="74"/>
      <c r="LB214" s="73">
        <f t="shared" ca="1" si="2053"/>
        <v>0</v>
      </c>
      <c r="LC214" s="110"/>
      <c r="LD214" s="74"/>
      <c r="LE214" s="73">
        <f t="shared" ca="1" si="2054"/>
        <v>0</v>
      </c>
      <c r="LF214" s="110"/>
      <c r="LG214" s="110"/>
    </row>
    <row r="215" spans="1:319">
      <c r="A215" s="25"/>
      <c r="B215" s="25"/>
      <c r="C215" s="89"/>
      <c r="D215" s="25"/>
      <c r="E215" s="25"/>
      <c r="F215" s="407">
        <f t="shared" si="2055"/>
        <v>20</v>
      </c>
      <c r="G215" s="407">
        <f ca="1">VLOOKUP(H215,Equipos!$Q$1:$R$25,2,0)</f>
        <v>21</v>
      </c>
      <c r="H215" s="65" t="str">
        <f>Idiomas!$D$261</f>
        <v>Round Of 16</v>
      </c>
      <c r="I215" s="50"/>
      <c r="J215" s="845"/>
      <c r="K215" s="56" t="str">
        <f>Idiomas!$D$200&amp;"-"&amp;ROWS($L$210:L215)</f>
        <v>Quarterfinalist-6</v>
      </c>
      <c r="L215" s="53"/>
      <c r="M215" s="55" t="str">
        <f ca="1">WORLDCUP!AF132</f>
        <v>Belgium</v>
      </c>
      <c r="N215" s="25"/>
      <c r="O215" s="25"/>
      <c r="P215" s="25"/>
      <c r="Q215" s="25"/>
      <c r="R215" s="110"/>
      <c r="S215" s="74" t="s">
        <v>498</v>
      </c>
      <c r="T215" s="73">
        <f t="shared" ca="1" si="1955"/>
        <v>0</v>
      </c>
      <c r="U215" s="110"/>
      <c r="V215" s="74" t="s">
        <v>293</v>
      </c>
      <c r="W215" s="73">
        <f t="shared" ca="1" si="1956"/>
        <v>20</v>
      </c>
      <c r="X215" s="110"/>
      <c r="Y215" s="74" t="s">
        <v>293</v>
      </c>
      <c r="Z215" s="73">
        <f t="shared" ca="1" si="1957"/>
        <v>20</v>
      </c>
      <c r="AA215" s="110"/>
      <c r="AB215" s="74" t="s">
        <v>293</v>
      </c>
      <c r="AC215" s="73">
        <f t="shared" ca="1" si="1958"/>
        <v>20</v>
      </c>
      <c r="AD215" s="110"/>
      <c r="AE215" s="74" t="s">
        <v>293</v>
      </c>
      <c r="AF215" s="73">
        <f t="shared" ca="1" si="1959"/>
        <v>20</v>
      </c>
      <c r="AG215" s="110"/>
      <c r="AH215" s="74" t="s">
        <v>293</v>
      </c>
      <c r="AI215" s="73">
        <f t="shared" ca="1" si="1960"/>
        <v>20</v>
      </c>
      <c r="AJ215" s="110"/>
      <c r="AK215" s="74" t="s">
        <v>293</v>
      </c>
      <c r="AL215" s="73">
        <f t="shared" ca="1" si="1961"/>
        <v>20</v>
      </c>
      <c r="AM215" s="110"/>
      <c r="AN215" s="74" t="s">
        <v>1319</v>
      </c>
      <c r="AO215" s="73">
        <f t="shared" ca="1" si="1962"/>
        <v>0</v>
      </c>
      <c r="AP215" s="110"/>
      <c r="AQ215" s="74" t="s">
        <v>293</v>
      </c>
      <c r="AR215" s="73">
        <f t="shared" ca="1" si="1963"/>
        <v>20</v>
      </c>
      <c r="AS215" s="110"/>
      <c r="AT215" s="74" t="s">
        <v>293</v>
      </c>
      <c r="AU215" s="73">
        <f t="shared" ca="1" si="1964"/>
        <v>20</v>
      </c>
      <c r="AV215" s="110"/>
      <c r="AW215" s="74" t="s">
        <v>1836</v>
      </c>
      <c r="AX215" s="73">
        <f t="shared" ca="1" si="1965"/>
        <v>0</v>
      </c>
      <c r="AY215" s="110"/>
      <c r="AZ215" s="74" t="s">
        <v>293</v>
      </c>
      <c r="BA215" s="73">
        <f t="shared" ca="1" si="1966"/>
        <v>20</v>
      </c>
      <c r="BB215" s="110"/>
      <c r="BC215" s="74" t="s">
        <v>293</v>
      </c>
      <c r="BD215" s="73">
        <f t="shared" ca="1" si="1967"/>
        <v>20</v>
      </c>
      <c r="BE215" s="110"/>
      <c r="BF215" s="74" t="s">
        <v>293</v>
      </c>
      <c r="BG215" s="73">
        <f t="shared" ca="1" si="1968"/>
        <v>20</v>
      </c>
      <c r="BH215" s="110"/>
      <c r="BI215" s="74" t="s">
        <v>1836</v>
      </c>
      <c r="BJ215" s="73">
        <f t="shared" ca="1" si="1969"/>
        <v>0</v>
      </c>
      <c r="BK215" s="110"/>
      <c r="BL215" s="74" t="s">
        <v>293</v>
      </c>
      <c r="BM215" s="73">
        <f t="shared" ca="1" si="1970"/>
        <v>20</v>
      </c>
      <c r="BN215" s="110"/>
      <c r="BO215" s="74" t="s">
        <v>498</v>
      </c>
      <c r="BP215" s="73">
        <f t="shared" ca="1" si="1971"/>
        <v>0</v>
      </c>
      <c r="BQ215" s="110"/>
      <c r="BR215" s="74" t="s">
        <v>1836</v>
      </c>
      <c r="BS215" s="73">
        <f t="shared" ca="1" si="1972"/>
        <v>0</v>
      </c>
      <c r="BT215" s="110"/>
      <c r="BU215" s="74" t="s">
        <v>293</v>
      </c>
      <c r="BV215" s="73">
        <f t="shared" ca="1" si="1973"/>
        <v>20</v>
      </c>
      <c r="BW215" s="110"/>
      <c r="BX215" s="74" t="s">
        <v>293</v>
      </c>
      <c r="BY215" s="73">
        <f t="shared" ca="1" si="1974"/>
        <v>20</v>
      </c>
      <c r="BZ215" s="110"/>
      <c r="CA215" s="74" t="s">
        <v>293</v>
      </c>
      <c r="CB215" s="73">
        <f t="shared" ca="1" si="1975"/>
        <v>20</v>
      </c>
      <c r="CC215" s="110"/>
      <c r="CD215" s="74" t="s">
        <v>1844</v>
      </c>
      <c r="CE215" s="73">
        <f t="shared" ca="1" si="1976"/>
        <v>0</v>
      </c>
      <c r="CF215" s="110"/>
      <c r="CG215" s="74" t="s">
        <v>498</v>
      </c>
      <c r="CH215" s="73">
        <f t="shared" ca="1" si="1977"/>
        <v>0</v>
      </c>
      <c r="CI215" s="110"/>
      <c r="CJ215" s="74" t="s">
        <v>1319</v>
      </c>
      <c r="CK215" s="73">
        <f t="shared" ca="1" si="1978"/>
        <v>0</v>
      </c>
      <c r="CL215" s="110"/>
      <c r="CM215" s="74" t="s">
        <v>1836</v>
      </c>
      <c r="CN215" s="73">
        <f t="shared" ca="1" si="1979"/>
        <v>0</v>
      </c>
      <c r="CO215" s="110"/>
      <c r="CP215" s="74" t="s">
        <v>293</v>
      </c>
      <c r="CQ215" s="73">
        <f t="shared" ca="1" si="1980"/>
        <v>20</v>
      </c>
      <c r="CR215" s="110"/>
      <c r="CS215" s="74" t="s">
        <v>1553</v>
      </c>
      <c r="CT215" s="73">
        <f t="shared" ca="1" si="1981"/>
        <v>0</v>
      </c>
      <c r="CU215" s="110"/>
      <c r="CV215" s="74" t="s">
        <v>293</v>
      </c>
      <c r="CW215" s="73">
        <f t="shared" ca="1" si="1982"/>
        <v>20</v>
      </c>
      <c r="CX215" s="110"/>
      <c r="CY215" s="74" t="s">
        <v>1278</v>
      </c>
      <c r="CZ215" s="73">
        <f t="shared" ca="1" si="1983"/>
        <v>0</v>
      </c>
      <c r="DA215" s="110"/>
      <c r="DB215" s="74" t="s">
        <v>293</v>
      </c>
      <c r="DC215" s="73">
        <f t="shared" ca="1" si="1984"/>
        <v>20</v>
      </c>
      <c r="DD215" s="110"/>
      <c r="DE215" s="74" t="s">
        <v>293</v>
      </c>
      <c r="DF215" s="73">
        <f t="shared" ca="1" si="1985"/>
        <v>20</v>
      </c>
      <c r="DG215" s="110"/>
      <c r="DH215" s="74" t="s">
        <v>293</v>
      </c>
      <c r="DI215" s="73">
        <f t="shared" ca="1" si="1986"/>
        <v>20</v>
      </c>
      <c r="DJ215" s="110"/>
      <c r="DK215" s="74" t="s">
        <v>293</v>
      </c>
      <c r="DL215" s="73">
        <f t="shared" ca="1" si="1987"/>
        <v>20</v>
      </c>
      <c r="DM215" s="110"/>
      <c r="DN215" s="74" t="s">
        <v>1257</v>
      </c>
      <c r="DO215" s="73">
        <f t="shared" ca="1" si="1988"/>
        <v>0</v>
      </c>
      <c r="DP215" s="110"/>
      <c r="DQ215" s="74" t="s">
        <v>293</v>
      </c>
      <c r="DR215" s="73">
        <f t="shared" ca="1" si="1989"/>
        <v>20</v>
      </c>
      <c r="DS215" s="110"/>
      <c r="DT215" s="74" t="s">
        <v>1261</v>
      </c>
      <c r="DU215" s="73">
        <f t="shared" ca="1" si="1990"/>
        <v>0</v>
      </c>
      <c r="DV215" s="110"/>
      <c r="DW215" s="74" t="s">
        <v>498</v>
      </c>
      <c r="DX215" s="73">
        <f t="shared" ca="1" si="1991"/>
        <v>0</v>
      </c>
      <c r="DY215" s="110"/>
      <c r="DZ215" s="74" t="s">
        <v>293</v>
      </c>
      <c r="EA215" s="73">
        <f t="shared" ca="1" si="1992"/>
        <v>20</v>
      </c>
      <c r="EB215" s="110"/>
      <c r="EC215" s="74" t="s">
        <v>293</v>
      </c>
      <c r="ED215" s="73">
        <f t="shared" ca="1" si="1993"/>
        <v>20</v>
      </c>
      <c r="EE215" s="110"/>
      <c r="EF215" s="74" t="s">
        <v>1553</v>
      </c>
      <c r="EG215" s="73">
        <f t="shared" ca="1" si="1994"/>
        <v>0</v>
      </c>
      <c r="EH215" s="110"/>
      <c r="EI215" s="74" t="s">
        <v>293</v>
      </c>
      <c r="EJ215" s="73">
        <f t="shared" ca="1" si="1995"/>
        <v>20</v>
      </c>
      <c r="EK215" s="110"/>
      <c r="EL215" s="74" t="s">
        <v>1836</v>
      </c>
      <c r="EM215" s="73">
        <f t="shared" ca="1" si="1996"/>
        <v>0</v>
      </c>
      <c r="EN215" s="110"/>
      <c r="EO215" s="74" t="s">
        <v>293</v>
      </c>
      <c r="EP215" s="73">
        <f t="shared" ca="1" si="1997"/>
        <v>20</v>
      </c>
      <c r="EQ215" s="110"/>
      <c r="ER215" s="74" t="s">
        <v>293</v>
      </c>
      <c r="ES215" s="73">
        <f t="shared" ca="1" si="1998"/>
        <v>20</v>
      </c>
      <c r="ET215" s="110"/>
      <c r="EU215" s="74" t="s">
        <v>293</v>
      </c>
      <c r="EV215" s="73">
        <f t="shared" ca="1" si="1999"/>
        <v>20</v>
      </c>
      <c r="EW215" s="110"/>
      <c r="EX215" s="74" t="s">
        <v>1836</v>
      </c>
      <c r="EY215" s="73">
        <f t="shared" ca="1" si="2000"/>
        <v>0</v>
      </c>
      <c r="EZ215" s="110"/>
      <c r="FA215" s="74" t="s">
        <v>1842</v>
      </c>
      <c r="FB215" s="73">
        <f t="shared" ca="1" si="2001"/>
        <v>0</v>
      </c>
      <c r="FC215" s="110"/>
      <c r="FD215" s="74" t="s">
        <v>293</v>
      </c>
      <c r="FE215" s="73">
        <f t="shared" ca="1" si="2002"/>
        <v>20</v>
      </c>
      <c r="FF215" s="110"/>
      <c r="FG215" s="74" t="s">
        <v>293</v>
      </c>
      <c r="FH215" s="73">
        <f t="shared" ca="1" si="2003"/>
        <v>20</v>
      </c>
      <c r="FI215" s="110"/>
      <c r="FJ215" s="74" t="s">
        <v>293</v>
      </c>
      <c r="FK215" s="73">
        <f t="shared" ca="1" si="2004"/>
        <v>20</v>
      </c>
      <c r="FL215" s="110"/>
      <c r="FM215" s="74" t="s">
        <v>293</v>
      </c>
      <c r="FN215" s="73">
        <f t="shared" ca="1" si="2005"/>
        <v>20</v>
      </c>
      <c r="FO215" s="110"/>
      <c r="FP215" s="74" t="s">
        <v>293</v>
      </c>
      <c r="FQ215" s="73">
        <f t="shared" ca="1" si="2006"/>
        <v>20</v>
      </c>
      <c r="FR215" s="110"/>
      <c r="FS215" s="74" t="s">
        <v>1836</v>
      </c>
      <c r="FT215" s="73">
        <f t="shared" ca="1" si="2007"/>
        <v>0</v>
      </c>
      <c r="FU215" s="110"/>
      <c r="FV215" s="74" t="s">
        <v>1836</v>
      </c>
      <c r="FW215" s="73">
        <f t="shared" ca="1" si="2008"/>
        <v>0</v>
      </c>
      <c r="FX215" s="110"/>
      <c r="FY215" s="74" t="s">
        <v>1319</v>
      </c>
      <c r="FZ215" s="73">
        <f t="shared" ca="1" si="2009"/>
        <v>0</v>
      </c>
      <c r="GA215" s="110"/>
      <c r="GB215" s="74" t="s">
        <v>293</v>
      </c>
      <c r="GC215" s="73">
        <f t="shared" ca="1" si="2010"/>
        <v>20</v>
      </c>
      <c r="GD215" s="110"/>
      <c r="GE215" s="74" t="s">
        <v>293</v>
      </c>
      <c r="GF215" s="73">
        <f t="shared" ca="1" si="2011"/>
        <v>20</v>
      </c>
      <c r="GG215" s="110"/>
      <c r="GH215" s="74" t="s">
        <v>293</v>
      </c>
      <c r="GI215" s="73">
        <f t="shared" ca="1" si="2012"/>
        <v>20</v>
      </c>
      <c r="GJ215" s="110"/>
      <c r="GK215" s="74" t="s">
        <v>1635</v>
      </c>
      <c r="GL215" s="73">
        <f t="shared" ca="1" si="2013"/>
        <v>0</v>
      </c>
      <c r="GM215" s="110"/>
      <c r="GN215" s="74"/>
      <c r="GO215" s="73">
        <f t="shared" ca="1" si="2014"/>
        <v>0</v>
      </c>
      <c r="GP215" s="110"/>
      <c r="GQ215" s="74"/>
      <c r="GR215" s="73">
        <f t="shared" ca="1" si="2015"/>
        <v>0</v>
      </c>
      <c r="GS215" s="110"/>
      <c r="GT215" s="74"/>
      <c r="GU215" s="73">
        <f t="shared" ca="1" si="2016"/>
        <v>0</v>
      </c>
      <c r="GV215" s="110"/>
      <c r="GW215" s="74"/>
      <c r="GX215" s="73">
        <f t="shared" ca="1" si="2017"/>
        <v>0</v>
      </c>
      <c r="GY215" s="110"/>
      <c r="GZ215" s="74"/>
      <c r="HA215" s="73">
        <f t="shared" ca="1" si="2018"/>
        <v>0</v>
      </c>
      <c r="HB215" s="110"/>
      <c r="HC215" s="74"/>
      <c r="HD215" s="73">
        <f t="shared" ca="1" si="2019"/>
        <v>0</v>
      </c>
      <c r="HE215" s="110"/>
      <c r="HF215" s="74"/>
      <c r="HG215" s="73">
        <f t="shared" ca="1" si="2020"/>
        <v>0</v>
      </c>
      <c r="HH215" s="110"/>
      <c r="HI215" s="74"/>
      <c r="HJ215" s="73">
        <f t="shared" ca="1" si="2021"/>
        <v>0</v>
      </c>
      <c r="HK215" s="110"/>
      <c r="HL215" s="74"/>
      <c r="HM215" s="73">
        <f t="shared" ca="1" si="2022"/>
        <v>0</v>
      </c>
      <c r="HN215" s="110"/>
      <c r="HO215" s="74"/>
      <c r="HP215" s="73">
        <f t="shared" ca="1" si="2023"/>
        <v>0</v>
      </c>
      <c r="HQ215" s="110"/>
      <c r="HR215" s="74"/>
      <c r="HS215" s="73">
        <f t="shared" ca="1" si="2024"/>
        <v>0</v>
      </c>
      <c r="HT215" s="110"/>
      <c r="HU215" s="74"/>
      <c r="HV215" s="73">
        <f t="shared" ca="1" si="2025"/>
        <v>0</v>
      </c>
      <c r="HW215" s="110"/>
      <c r="HX215" s="74"/>
      <c r="HY215" s="73">
        <f t="shared" ca="1" si="2026"/>
        <v>0</v>
      </c>
      <c r="HZ215" s="110"/>
      <c r="IA215" s="74"/>
      <c r="IB215" s="73">
        <f t="shared" ca="1" si="2027"/>
        <v>0</v>
      </c>
      <c r="IC215" s="110"/>
      <c r="ID215" s="74"/>
      <c r="IE215" s="73">
        <f t="shared" ca="1" si="2028"/>
        <v>0</v>
      </c>
      <c r="IF215" s="110"/>
      <c r="IG215" s="74"/>
      <c r="IH215" s="73">
        <f t="shared" ca="1" si="2029"/>
        <v>0</v>
      </c>
      <c r="II215" s="110"/>
      <c r="IJ215" s="74"/>
      <c r="IK215" s="73">
        <f t="shared" ca="1" si="2030"/>
        <v>0</v>
      </c>
      <c r="IL215" s="110"/>
      <c r="IM215" s="74"/>
      <c r="IN215" s="73">
        <f t="shared" ca="1" si="2031"/>
        <v>0</v>
      </c>
      <c r="IO215" s="110"/>
      <c r="IP215" s="74"/>
      <c r="IQ215" s="73">
        <f t="shared" ca="1" si="2032"/>
        <v>0</v>
      </c>
      <c r="IR215" s="110"/>
      <c r="IS215" s="74"/>
      <c r="IT215" s="73">
        <f t="shared" ca="1" si="2033"/>
        <v>0</v>
      </c>
      <c r="IU215" s="110"/>
      <c r="IV215" s="74"/>
      <c r="IW215" s="73">
        <f t="shared" ca="1" si="2034"/>
        <v>0</v>
      </c>
      <c r="IX215" s="110"/>
      <c r="IY215" s="74"/>
      <c r="IZ215" s="73">
        <f t="shared" ca="1" si="2035"/>
        <v>0</v>
      </c>
      <c r="JA215" s="110"/>
      <c r="JB215" s="74"/>
      <c r="JC215" s="73">
        <f t="shared" ca="1" si="2036"/>
        <v>0</v>
      </c>
      <c r="JD215" s="110"/>
      <c r="JE215" s="74"/>
      <c r="JF215" s="73">
        <f t="shared" ca="1" si="2037"/>
        <v>0</v>
      </c>
      <c r="JG215" s="110"/>
      <c r="JH215" s="74"/>
      <c r="JI215" s="73">
        <f t="shared" ca="1" si="2038"/>
        <v>0</v>
      </c>
      <c r="JJ215" s="110"/>
      <c r="JK215" s="74"/>
      <c r="JL215" s="73">
        <f t="shared" ca="1" si="2039"/>
        <v>0</v>
      </c>
      <c r="JM215" s="110"/>
      <c r="JN215" s="74"/>
      <c r="JO215" s="73">
        <f t="shared" ca="1" si="2040"/>
        <v>0</v>
      </c>
      <c r="JP215" s="110"/>
      <c r="JQ215" s="74"/>
      <c r="JR215" s="73">
        <f t="shared" ca="1" si="2041"/>
        <v>0</v>
      </c>
      <c r="JS215" s="110"/>
      <c r="JT215" s="74"/>
      <c r="JU215" s="73">
        <f t="shared" ca="1" si="2042"/>
        <v>0</v>
      </c>
      <c r="JV215" s="110"/>
      <c r="JW215" s="74"/>
      <c r="JX215" s="73">
        <f t="shared" ca="1" si="2043"/>
        <v>0</v>
      </c>
      <c r="JY215" s="110"/>
      <c r="JZ215" s="74"/>
      <c r="KA215" s="73">
        <f t="shared" ca="1" si="2044"/>
        <v>0</v>
      </c>
      <c r="KB215" s="110"/>
      <c r="KC215" s="74"/>
      <c r="KD215" s="73">
        <f t="shared" ca="1" si="2045"/>
        <v>0</v>
      </c>
      <c r="KE215" s="110"/>
      <c r="KF215" s="74"/>
      <c r="KG215" s="73">
        <f t="shared" ca="1" si="2046"/>
        <v>0</v>
      </c>
      <c r="KH215" s="110"/>
      <c r="KI215" s="74"/>
      <c r="KJ215" s="73">
        <f t="shared" ca="1" si="2047"/>
        <v>0</v>
      </c>
      <c r="KK215" s="110"/>
      <c r="KL215" s="74"/>
      <c r="KM215" s="73">
        <f t="shared" ca="1" si="2048"/>
        <v>0</v>
      </c>
      <c r="KN215" s="110"/>
      <c r="KO215" s="74"/>
      <c r="KP215" s="73">
        <f t="shared" ca="1" si="2049"/>
        <v>0</v>
      </c>
      <c r="KQ215" s="110"/>
      <c r="KR215" s="74"/>
      <c r="KS215" s="73">
        <f t="shared" ca="1" si="2050"/>
        <v>0</v>
      </c>
      <c r="KT215" s="110"/>
      <c r="KU215" s="74"/>
      <c r="KV215" s="73">
        <f t="shared" ca="1" si="2051"/>
        <v>0</v>
      </c>
      <c r="KW215" s="110"/>
      <c r="KX215" s="74"/>
      <c r="KY215" s="73">
        <f t="shared" ca="1" si="2052"/>
        <v>0</v>
      </c>
      <c r="KZ215" s="110"/>
      <c r="LA215" s="74"/>
      <c r="LB215" s="73">
        <f t="shared" ca="1" si="2053"/>
        <v>0</v>
      </c>
      <c r="LC215" s="110"/>
      <c r="LD215" s="74"/>
      <c r="LE215" s="73">
        <f t="shared" ca="1" si="2054"/>
        <v>0</v>
      </c>
      <c r="LF215" s="110"/>
      <c r="LG215" s="110"/>
    </row>
    <row r="216" spans="1:319">
      <c r="A216" s="25"/>
      <c r="B216" s="25"/>
      <c r="C216" s="25"/>
      <c r="D216" s="25"/>
      <c r="E216" s="25"/>
      <c r="F216" s="407">
        <f t="shared" si="2055"/>
        <v>20</v>
      </c>
      <c r="G216" s="407">
        <f ca="1">VLOOKUP(H216,Equipos!$Q$1:$R$25,2,0)</f>
        <v>21</v>
      </c>
      <c r="H216" s="65" t="str">
        <f>Idiomas!$D$261</f>
        <v>Round Of 16</v>
      </c>
      <c r="I216" s="50"/>
      <c r="J216" s="845"/>
      <c r="K216" s="56" t="str">
        <f>Idiomas!$D$200&amp;"-"&amp;ROWS($L$210:L216)</f>
        <v>Quarterfinalist-7</v>
      </c>
      <c r="L216" s="53"/>
      <c r="M216" s="55" t="str">
        <f ca="1">WORLDCUP!AF133</f>
        <v>England</v>
      </c>
      <c r="N216" s="25"/>
      <c r="O216" s="25"/>
      <c r="P216" s="25"/>
      <c r="Q216" s="25"/>
      <c r="R216" s="110"/>
      <c r="S216" s="74" t="s">
        <v>292</v>
      </c>
      <c r="T216" s="73">
        <f t="shared" ca="1" si="1955"/>
        <v>20</v>
      </c>
      <c r="U216" s="110"/>
      <c r="V216" s="74" t="s">
        <v>296</v>
      </c>
      <c r="W216" s="73">
        <f t="shared" ca="1" si="1956"/>
        <v>0</v>
      </c>
      <c r="X216" s="110"/>
      <c r="Y216" s="74" t="s">
        <v>292</v>
      </c>
      <c r="Z216" s="73">
        <f t="shared" ca="1" si="1957"/>
        <v>20</v>
      </c>
      <c r="AA216" s="110"/>
      <c r="AB216" s="74" t="s">
        <v>292</v>
      </c>
      <c r="AC216" s="73">
        <f t="shared" ca="1" si="1958"/>
        <v>20</v>
      </c>
      <c r="AD216" s="110"/>
      <c r="AE216" s="74" t="s">
        <v>292</v>
      </c>
      <c r="AF216" s="73">
        <f t="shared" ca="1" si="1959"/>
        <v>20</v>
      </c>
      <c r="AG216" s="110"/>
      <c r="AH216" s="74" t="s">
        <v>292</v>
      </c>
      <c r="AI216" s="73">
        <f t="shared" ca="1" si="1960"/>
        <v>20</v>
      </c>
      <c r="AJ216" s="110"/>
      <c r="AK216" s="74" t="s">
        <v>292</v>
      </c>
      <c r="AL216" s="73">
        <f t="shared" ca="1" si="1961"/>
        <v>20</v>
      </c>
      <c r="AM216" s="110"/>
      <c r="AN216" s="74" t="s">
        <v>1288</v>
      </c>
      <c r="AO216" s="73">
        <f t="shared" ca="1" si="1962"/>
        <v>0</v>
      </c>
      <c r="AP216" s="110"/>
      <c r="AQ216" s="74" t="s">
        <v>296</v>
      </c>
      <c r="AR216" s="73">
        <f t="shared" ca="1" si="1963"/>
        <v>0</v>
      </c>
      <c r="AS216" s="110"/>
      <c r="AT216" s="74" t="s">
        <v>1844</v>
      </c>
      <c r="AU216" s="73">
        <f t="shared" ca="1" si="1964"/>
        <v>0</v>
      </c>
      <c r="AV216" s="110"/>
      <c r="AW216" s="74" t="s">
        <v>292</v>
      </c>
      <c r="AX216" s="73">
        <f t="shared" ca="1" si="1965"/>
        <v>20</v>
      </c>
      <c r="AY216" s="110"/>
      <c r="AZ216" s="74" t="s">
        <v>292</v>
      </c>
      <c r="BA216" s="73">
        <f t="shared" ca="1" si="1966"/>
        <v>20</v>
      </c>
      <c r="BB216" s="110"/>
      <c r="BC216" s="74" t="s">
        <v>292</v>
      </c>
      <c r="BD216" s="73">
        <f t="shared" ca="1" si="1967"/>
        <v>20</v>
      </c>
      <c r="BE216" s="110"/>
      <c r="BF216" s="74" t="s">
        <v>292</v>
      </c>
      <c r="BG216" s="73">
        <f t="shared" ca="1" si="1968"/>
        <v>20</v>
      </c>
      <c r="BH216" s="110"/>
      <c r="BI216" s="74" t="s">
        <v>292</v>
      </c>
      <c r="BJ216" s="73">
        <f t="shared" ca="1" si="1969"/>
        <v>20</v>
      </c>
      <c r="BK216" s="110"/>
      <c r="BL216" s="74" t="s">
        <v>292</v>
      </c>
      <c r="BM216" s="73">
        <f t="shared" ca="1" si="1970"/>
        <v>20</v>
      </c>
      <c r="BN216" s="110"/>
      <c r="BO216" s="74" t="s">
        <v>292</v>
      </c>
      <c r="BP216" s="73">
        <f t="shared" ca="1" si="1971"/>
        <v>20</v>
      </c>
      <c r="BQ216" s="110"/>
      <c r="BR216" s="74" t="s">
        <v>292</v>
      </c>
      <c r="BS216" s="73">
        <f t="shared" ca="1" si="1972"/>
        <v>20</v>
      </c>
      <c r="BT216" s="110"/>
      <c r="BU216" s="74" t="s">
        <v>292</v>
      </c>
      <c r="BV216" s="73">
        <f t="shared" ca="1" si="1973"/>
        <v>20</v>
      </c>
      <c r="BW216" s="110"/>
      <c r="BX216" s="74" t="s">
        <v>292</v>
      </c>
      <c r="BY216" s="73">
        <f t="shared" ca="1" si="1974"/>
        <v>20</v>
      </c>
      <c r="BZ216" s="110"/>
      <c r="CA216" s="74" t="s">
        <v>292</v>
      </c>
      <c r="CB216" s="73">
        <f t="shared" ca="1" si="1975"/>
        <v>20</v>
      </c>
      <c r="CC216" s="110"/>
      <c r="CD216" s="74" t="s">
        <v>296</v>
      </c>
      <c r="CE216" s="73">
        <f t="shared" ca="1" si="1976"/>
        <v>0</v>
      </c>
      <c r="CF216" s="110"/>
      <c r="CG216" s="74" t="s">
        <v>292</v>
      </c>
      <c r="CH216" s="73">
        <f t="shared" ca="1" si="1977"/>
        <v>20</v>
      </c>
      <c r="CI216" s="110"/>
      <c r="CJ216" s="74" t="s">
        <v>292</v>
      </c>
      <c r="CK216" s="73">
        <f t="shared" ca="1" si="1978"/>
        <v>20</v>
      </c>
      <c r="CL216" s="110"/>
      <c r="CM216" s="74" t="s">
        <v>292</v>
      </c>
      <c r="CN216" s="73">
        <f t="shared" ca="1" si="1979"/>
        <v>20</v>
      </c>
      <c r="CO216" s="110"/>
      <c r="CP216" s="74" t="s">
        <v>1288</v>
      </c>
      <c r="CQ216" s="73">
        <f t="shared" ca="1" si="1980"/>
        <v>0</v>
      </c>
      <c r="CR216" s="110"/>
      <c r="CS216" s="74" t="s">
        <v>292</v>
      </c>
      <c r="CT216" s="73">
        <f t="shared" ca="1" si="1981"/>
        <v>20</v>
      </c>
      <c r="CU216" s="110"/>
      <c r="CV216" s="74" t="s">
        <v>1288</v>
      </c>
      <c r="CW216" s="73">
        <f t="shared" ca="1" si="1982"/>
        <v>0</v>
      </c>
      <c r="CX216" s="110"/>
      <c r="CY216" s="74" t="s">
        <v>292</v>
      </c>
      <c r="CZ216" s="73">
        <f t="shared" ca="1" si="1983"/>
        <v>20</v>
      </c>
      <c r="DA216" s="110"/>
      <c r="DB216" s="74" t="s">
        <v>292</v>
      </c>
      <c r="DC216" s="73">
        <f t="shared" ca="1" si="1984"/>
        <v>20</v>
      </c>
      <c r="DD216" s="110"/>
      <c r="DE216" s="74" t="s">
        <v>292</v>
      </c>
      <c r="DF216" s="73">
        <f t="shared" ca="1" si="1985"/>
        <v>20</v>
      </c>
      <c r="DG216" s="110"/>
      <c r="DH216" s="74" t="s">
        <v>292</v>
      </c>
      <c r="DI216" s="73">
        <f t="shared" ca="1" si="1986"/>
        <v>20</v>
      </c>
      <c r="DJ216" s="110"/>
      <c r="DK216" s="74" t="s">
        <v>292</v>
      </c>
      <c r="DL216" s="73">
        <f t="shared" ca="1" si="1987"/>
        <v>20</v>
      </c>
      <c r="DM216" s="110"/>
      <c r="DN216" s="74" t="s">
        <v>292</v>
      </c>
      <c r="DO216" s="73">
        <f t="shared" ca="1" si="1988"/>
        <v>20</v>
      </c>
      <c r="DP216" s="110"/>
      <c r="DQ216" s="74" t="s">
        <v>292</v>
      </c>
      <c r="DR216" s="73">
        <f t="shared" ca="1" si="1989"/>
        <v>20</v>
      </c>
      <c r="DS216" s="110"/>
      <c r="DT216" s="74" t="s">
        <v>1288</v>
      </c>
      <c r="DU216" s="73">
        <f t="shared" ca="1" si="1990"/>
        <v>0</v>
      </c>
      <c r="DV216" s="110"/>
      <c r="DW216" s="74" t="s">
        <v>292</v>
      </c>
      <c r="DX216" s="73">
        <f t="shared" ca="1" si="1991"/>
        <v>20</v>
      </c>
      <c r="DY216" s="110"/>
      <c r="DZ216" s="74" t="s">
        <v>292</v>
      </c>
      <c r="EA216" s="73">
        <f t="shared" ca="1" si="1992"/>
        <v>20</v>
      </c>
      <c r="EB216" s="110"/>
      <c r="EC216" s="74" t="s">
        <v>292</v>
      </c>
      <c r="ED216" s="73">
        <f t="shared" ca="1" si="1993"/>
        <v>20</v>
      </c>
      <c r="EE216" s="110"/>
      <c r="EF216" s="74" t="s">
        <v>1288</v>
      </c>
      <c r="EG216" s="73">
        <f t="shared" ca="1" si="1994"/>
        <v>0</v>
      </c>
      <c r="EH216" s="110"/>
      <c r="EI216" s="74" t="s">
        <v>292</v>
      </c>
      <c r="EJ216" s="73">
        <f t="shared" ca="1" si="1995"/>
        <v>20</v>
      </c>
      <c r="EK216" s="110"/>
      <c r="EL216" s="74" t="s">
        <v>292</v>
      </c>
      <c r="EM216" s="73">
        <f t="shared" ca="1" si="1996"/>
        <v>20</v>
      </c>
      <c r="EN216" s="110"/>
      <c r="EO216" s="74" t="s">
        <v>292</v>
      </c>
      <c r="EP216" s="73">
        <f t="shared" ca="1" si="1997"/>
        <v>20</v>
      </c>
      <c r="EQ216" s="110"/>
      <c r="ER216" s="74" t="s">
        <v>292</v>
      </c>
      <c r="ES216" s="73">
        <f t="shared" ca="1" si="1998"/>
        <v>20</v>
      </c>
      <c r="ET216" s="110"/>
      <c r="EU216" s="74" t="s">
        <v>292</v>
      </c>
      <c r="EV216" s="73">
        <f t="shared" ca="1" si="1999"/>
        <v>20</v>
      </c>
      <c r="EW216" s="110"/>
      <c r="EX216" s="74" t="s">
        <v>292</v>
      </c>
      <c r="EY216" s="73">
        <f t="shared" ca="1" si="2000"/>
        <v>20</v>
      </c>
      <c r="EZ216" s="110"/>
      <c r="FA216" s="74" t="s">
        <v>292</v>
      </c>
      <c r="FB216" s="73">
        <f t="shared" ca="1" si="2001"/>
        <v>20</v>
      </c>
      <c r="FC216" s="110"/>
      <c r="FD216" s="74" t="s">
        <v>292</v>
      </c>
      <c r="FE216" s="73">
        <f t="shared" ca="1" si="2002"/>
        <v>20</v>
      </c>
      <c r="FF216" s="110"/>
      <c r="FG216" s="74" t="s">
        <v>292</v>
      </c>
      <c r="FH216" s="73">
        <f t="shared" ca="1" si="2003"/>
        <v>20</v>
      </c>
      <c r="FI216" s="110"/>
      <c r="FJ216" s="74" t="s">
        <v>292</v>
      </c>
      <c r="FK216" s="73">
        <f t="shared" ca="1" si="2004"/>
        <v>20</v>
      </c>
      <c r="FL216" s="110"/>
      <c r="FM216" s="74" t="s">
        <v>292</v>
      </c>
      <c r="FN216" s="73">
        <f t="shared" ca="1" si="2005"/>
        <v>20</v>
      </c>
      <c r="FO216" s="110"/>
      <c r="FP216" s="74" t="s">
        <v>292</v>
      </c>
      <c r="FQ216" s="73">
        <f t="shared" ca="1" si="2006"/>
        <v>20</v>
      </c>
      <c r="FR216" s="110"/>
      <c r="FS216" s="74" t="s">
        <v>292</v>
      </c>
      <c r="FT216" s="73">
        <f t="shared" ca="1" si="2007"/>
        <v>20</v>
      </c>
      <c r="FU216" s="110"/>
      <c r="FV216" s="74" t="s">
        <v>292</v>
      </c>
      <c r="FW216" s="73">
        <f t="shared" ca="1" si="2008"/>
        <v>20</v>
      </c>
      <c r="FX216" s="110"/>
      <c r="FY216" s="74" t="s">
        <v>292</v>
      </c>
      <c r="FZ216" s="73">
        <f t="shared" ca="1" si="2009"/>
        <v>20</v>
      </c>
      <c r="GA216" s="110"/>
      <c r="GB216" s="74" t="s">
        <v>1288</v>
      </c>
      <c r="GC216" s="73">
        <f t="shared" ca="1" si="2010"/>
        <v>0</v>
      </c>
      <c r="GD216" s="110"/>
      <c r="GE216" s="74" t="s">
        <v>292</v>
      </c>
      <c r="GF216" s="73">
        <f t="shared" ca="1" si="2011"/>
        <v>20</v>
      </c>
      <c r="GG216" s="110"/>
      <c r="GH216" s="74" t="s">
        <v>296</v>
      </c>
      <c r="GI216" s="73">
        <f t="shared" ca="1" si="2012"/>
        <v>0</v>
      </c>
      <c r="GJ216" s="110"/>
      <c r="GK216" s="74" t="s">
        <v>292</v>
      </c>
      <c r="GL216" s="73">
        <f t="shared" ca="1" si="2013"/>
        <v>20</v>
      </c>
      <c r="GM216" s="110"/>
      <c r="GN216" s="74"/>
      <c r="GO216" s="73">
        <f t="shared" ca="1" si="2014"/>
        <v>0</v>
      </c>
      <c r="GP216" s="110"/>
      <c r="GQ216" s="74"/>
      <c r="GR216" s="73">
        <f t="shared" ca="1" si="2015"/>
        <v>0</v>
      </c>
      <c r="GS216" s="110"/>
      <c r="GT216" s="74"/>
      <c r="GU216" s="73">
        <f t="shared" ca="1" si="2016"/>
        <v>0</v>
      </c>
      <c r="GV216" s="110"/>
      <c r="GW216" s="74"/>
      <c r="GX216" s="73">
        <f t="shared" ca="1" si="2017"/>
        <v>0</v>
      </c>
      <c r="GY216" s="110"/>
      <c r="GZ216" s="74"/>
      <c r="HA216" s="73">
        <f t="shared" ca="1" si="2018"/>
        <v>0</v>
      </c>
      <c r="HB216" s="110"/>
      <c r="HC216" s="74"/>
      <c r="HD216" s="73">
        <f t="shared" ca="1" si="2019"/>
        <v>0</v>
      </c>
      <c r="HE216" s="110"/>
      <c r="HF216" s="74"/>
      <c r="HG216" s="73">
        <f t="shared" ca="1" si="2020"/>
        <v>0</v>
      </c>
      <c r="HH216" s="110"/>
      <c r="HI216" s="74"/>
      <c r="HJ216" s="73">
        <f t="shared" ca="1" si="2021"/>
        <v>0</v>
      </c>
      <c r="HK216" s="110"/>
      <c r="HL216" s="74"/>
      <c r="HM216" s="73">
        <f t="shared" ca="1" si="2022"/>
        <v>0</v>
      </c>
      <c r="HN216" s="110"/>
      <c r="HO216" s="74"/>
      <c r="HP216" s="73">
        <f t="shared" ca="1" si="2023"/>
        <v>0</v>
      </c>
      <c r="HQ216" s="110"/>
      <c r="HR216" s="74"/>
      <c r="HS216" s="73">
        <f t="shared" ca="1" si="2024"/>
        <v>0</v>
      </c>
      <c r="HT216" s="110"/>
      <c r="HU216" s="74"/>
      <c r="HV216" s="73">
        <f t="shared" ca="1" si="2025"/>
        <v>0</v>
      </c>
      <c r="HW216" s="110"/>
      <c r="HX216" s="74"/>
      <c r="HY216" s="73">
        <f t="shared" ca="1" si="2026"/>
        <v>0</v>
      </c>
      <c r="HZ216" s="110"/>
      <c r="IA216" s="74"/>
      <c r="IB216" s="73">
        <f t="shared" ca="1" si="2027"/>
        <v>0</v>
      </c>
      <c r="IC216" s="110"/>
      <c r="ID216" s="74"/>
      <c r="IE216" s="73">
        <f t="shared" ca="1" si="2028"/>
        <v>0</v>
      </c>
      <c r="IF216" s="110"/>
      <c r="IG216" s="74"/>
      <c r="IH216" s="73">
        <f t="shared" ca="1" si="2029"/>
        <v>0</v>
      </c>
      <c r="II216" s="110"/>
      <c r="IJ216" s="74"/>
      <c r="IK216" s="73">
        <f t="shared" ca="1" si="2030"/>
        <v>0</v>
      </c>
      <c r="IL216" s="110"/>
      <c r="IM216" s="74"/>
      <c r="IN216" s="73">
        <f t="shared" ca="1" si="2031"/>
        <v>0</v>
      </c>
      <c r="IO216" s="110"/>
      <c r="IP216" s="74"/>
      <c r="IQ216" s="73">
        <f t="shared" ca="1" si="2032"/>
        <v>0</v>
      </c>
      <c r="IR216" s="110"/>
      <c r="IS216" s="74"/>
      <c r="IT216" s="73">
        <f t="shared" ca="1" si="2033"/>
        <v>0</v>
      </c>
      <c r="IU216" s="110"/>
      <c r="IV216" s="74"/>
      <c r="IW216" s="73">
        <f t="shared" ca="1" si="2034"/>
        <v>0</v>
      </c>
      <c r="IX216" s="110"/>
      <c r="IY216" s="74"/>
      <c r="IZ216" s="73">
        <f t="shared" ca="1" si="2035"/>
        <v>0</v>
      </c>
      <c r="JA216" s="110"/>
      <c r="JB216" s="74"/>
      <c r="JC216" s="73">
        <f t="shared" ca="1" si="2036"/>
        <v>0</v>
      </c>
      <c r="JD216" s="110"/>
      <c r="JE216" s="74"/>
      <c r="JF216" s="73">
        <f t="shared" ca="1" si="2037"/>
        <v>0</v>
      </c>
      <c r="JG216" s="110"/>
      <c r="JH216" s="74"/>
      <c r="JI216" s="73">
        <f t="shared" ca="1" si="2038"/>
        <v>0</v>
      </c>
      <c r="JJ216" s="110"/>
      <c r="JK216" s="74"/>
      <c r="JL216" s="73">
        <f t="shared" ca="1" si="2039"/>
        <v>0</v>
      </c>
      <c r="JM216" s="110"/>
      <c r="JN216" s="74"/>
      <c r="JO216" s="73">
        <f t="shared" ca="1" si="2040"/>
        <v>0</v>
      </c>
      <c r="JP216" s="110"/>
      <c r="JQ216" s="74"/>
      <c r="JR216" s="73">
        <f t="shared" ca="1" si="2041"/>
        <v>0</v>
      </c>
      <c r="JS216" s="110"/>
      <c r="JT216" s="74"/>
      <c r="JU216" s="73">
        <f t="shared" ca="1" si="2042"/>
        <v>0</v>
      </c>
      <c r="JV216" s="110"/>
      <c r="JW216" s="74"/>
      <c r="JX216" s="73">
        <f t="shared" ca="1" si="2043"/>
        <v>0</v>
      </c>
      <c r="JY216" s="110"/>
      <c r="JZ216" s="74"/>
      <c r="KA216" s="73">
        <f t="shared" ca="1" si="2044"/>
        <v>0</v>
      </c>
      <c r="KB216" s="110"/>
      <c r="KC216" s="74"/>
      <c r="KD216" s="73">
        <f t="shared" ca="1" si="2045"/>
        <v>0</v>
      </c>
      <c r="KE216" s="110"/>
      <c r="KF216" s="74"/>
      <c r="KG216" s="73">
        <f t="shared" ca="1" si="2046"/>
        <v>0</v>
      </c>
      <c r="KH216" s="110"/>
      <c r="KI216" s="74"/>
      <c r="KJ216" s="73">
        <f t="shared" ca="1" si="2047"/>
        <v>0</v>
      </c>
      <c r="KK216" s="110"/>
      <c r="KL216" s="74"/>
      <c r="KM216" s="73">
        <f t="shared" ca="1" si="2048"/>
        <v>0</v>
      </c>
      <c r="KN216" s="110"/>
      <c r="KO216" s="74"/>
      <c r="KP216" s="73">
        <f t="shared" ca="1" si="2049"/>
        <v>0</v>
      </c>
      <c r="KQ216" s="110"/>
      <c r="KR216" s="74"/>
      <c r="KS216" s="73">
        <f t="shared" ca="1" si="2050"/>
        <v>0</v>
      </c>
      <c r="KT216" s="110"/>
      <c r="KU216" s="74"/>
      <c r="KV216" s="73">
        <f t="shared" ca="1" si="2051"/>
        <v>0</v>
      </c>
      <c r="KW216" s="110"/>
      <c r="KX216" s="74"/>
      <c r="KY216" s="73">
        <f t="shared" ca="1" si="2052"/>
        <v>0</v>
      </c>
      <c r="KZ216" s="110"/>
      <c r="LA216" s="74"/>
      <c r="LB216" s="73">
        <f t="shared" ca="1" si="2053"/>
        <v>0</v>
      </c>
      <c r="LC216" s="110"/>
      <c r="LD216" s="74"/>
      <c r="LE216" s="73">
        <f t="shared" ca="1" si="2054"/>
        <v>0</v>
      </c>
      <c r="LF216" s="110"/>
      <c r="LG216" s="110"/>
    </row>
    <row r="217" spans="1:319">
      <c r="A217" s="25"/>
      <c r="B217" s="25"/>
      <c r="C217" s="25"/>
      <c r="D217" s="25"/>
      <c r="E217" s="25"/>
      <c r="F217" s="407">
        <f t="shared" si="2055"/>
        <v>20</v>
      </c>
      <c r="G217" s="407">
        <f ca="1">VLOOKUP(H217,Equipos!$Q$1:$R$25,2,0)</f>
        <v>21</v>
      </c>
      <c r="H217" s="65" t="str">
        <f>Idiomas!$D$261</f>
        <v>Round Of 16</v>
      </c>
      <c r="I217" s="50"/>
      <c r="J217" s="845"/>
      <c r="K217" s="115" t="str">
        <f>Idiomas!$D$200&amp;"-"&amp;ROWS($L$210:L217)</f>
        <v>Quarterfinalist-8</v>
      </c>
      <c r="L217" s="115"/>
      <c r="M217" s="116" t="str">
        <f ca="1">WORLDCUP!AF134</f>
        <v>Switzerland</v>
      </c>
      <c r="N217" s="25"/>
      <c r="O217" s="25"/>
      <c r="P217" s="25"/>
      <c r="Q217" s="25"/>
      <c r="R217" s="110"/>
      <c r="S217" s="80" t="s">
        <v>290</v>
      </c>
      <c r="T217" s="81">
        <f t="shared" ca="1" si="1955"/>
        <v>20</v>
      </c>
      <c r="U217" s="110"/>
      <c r="V217" s="80" t="s">
        <v>290</v>
      </c>
      <c r="W217" s="81">
        <f t="shared" ca="1" si="1956"/>
        <v>20</v>
      </c>
      <c r="X217" s="110"/>
      <c r="Y217" s="80" t="s">
        <v>79</v>
      </c>
      <c r="Z217" s="81">
        <f t="shared" ca="1" si="1957"/>
        <v>0</v>
      </c>
      <c r="AA217" s="110"/>
      <c r="AB217" s="80" t="s">
        <v>79</v>
      </c>
      <c r="AC217" s="81">
        <f t="shared" ca="1" si="1958"/>
        <v>0</v>
      </c>
      <c r="AD217" s="110"/>
      <c r="AE217" s="80" t="s">
        <v>79</v>
      </c>
      <c r="AF217" s="81">
        <f t="shared" ca="1" si="1959"/>
        <v>0</v>
      </c>
      <c r="AG217" s="110"/>
      <c r="AH217" s="80" t="s">
        <v>79</v>
      </c>
      <c r="AI217" s="81">
        <f t="shared" ca="1" si="1960"/>
        <v>0</v>
      </c>
      <c r="AJ217" s="110"/>
      <c r="AK217" s="80" t="s">
        <v>79</v>
      </c>
      <c r="AL217" s="81">
        <f t="shared" ca="1" si="1961"/>
        <v>0</v>
      </c>
      <c r="AM217" s="110"/>
      <c r="AN217" s="80" t="s">
        <v>1276</v>
      </c>
      <c r="AO217" s="81">
        <f t="shared" ca="1" si="1962"/>
        <v>0</v>
      </c>
      <c r="AP217" s="110"/>
      <c r="AQ217" s="80" t="s">
        <v>79</v>
      </c>
      <c r="AR217" s="81">
        <f t="shared" ca="1" si="1963"/>
        <v>0</v>
      </c>
      <c r="AS217" s="110"/>
      <c r="AT217" s="80" t="s">
        <v>290</v>
      </c>
      <c r="AU217" s="81">
        <f t="shared" ca="1" si="1964"/>
        <v>20</v>
      </c>
      <c r="AV217" s="110"/>
      <c r="AW217" s="80" t="s">
        <v>79</v>
      </c>
      <c r="AX217" s="81">
        <f t="shared" ca="1" si="1965"/>
        <v>0</v>
      </c>
      <c r="AY217" s="110"/>
      <c r="AZ217" s="80" t="s">
        <v>79</v>
      </c>
      <c r="BA217" s="81">
        <f t="shared" ca="1" si="1966"/>
        <v>0</v>
      </c>
      <c r="BB217" s="110"/>
      <c r="BC217" s="80" t="s">
        <v>79</v>
      </c>
      <c r="BD217" s="81">
        <f t="shared" ca="1" si="1967"/>
        <v>0</v>
      </c>
      <c r="BE217" s="110"/>
      <c r="BF217" s="80" t="s">
        <v>79</v>
      </c>
      <c r="BG217" s="81">
        <f t="shared" ca="1" si="1968"/>
        <v>0</v>
      </c>
      <c r="BH217" s="110"/>
      <c r="BI217" s="80" t="s">
        <v>79</v>
      </c>
      <c r="BJ217" s="81">
        <f t="shared" ca="1" si="1969"/>
        <v>0</v>
      </c>
      <c r="BK217" s="110"/>
      <c r="BL217" s="80" t="s">
        <v>79</v>
      </c>
      <c r="BM217" s="81">
        <f t="shared" ca="1" si="1970"/>
        <v>0</v>
      </c>
      <c r="BN217" s="110"/>
      <c r="BO217" s="80" t="s">
        <v>290</v>
      </c>
      <c r="BP217" s="81">
        <f t="shared" ca="1" si="1971"/>
        <v>20</v>
      </c>
      <c r="BQ217" s="110"/>
      <c r="BR217" s="80" t="s">
        <v>79</v>
      </c>
      <c r="BS217" s="81">
        <f t="shared" ca="1" si="1972"/>
        <v>0</v>
      </c>
      <c r="BT217" s="110"/>
      <c r="BU217" s="80" t="s">
        <v>79</v>
      </c>
      <c r="BV217" s="81">
        <f t="shared" ca="1" si="1973"/>
        <v>0</v>
      </c>
      <c r="BW217" s="110"/>
      <c r="BX217" s="80" t="s">
        <v>79</v>
      </c>
      <c r="BY217" s="81">
        <f t="shared" ca="1" si="1974"/>
        <v>0</v>
      </c>
      <c r="BZ217" s="110"/>
      <c r="CA217" s="80" t="s">
        <v>79</v>
      </c>
      <c r="CB217" s="81">
        <f t="shared" ca="1" si="1975"/>
        <v>0</v>
      </c>
      <c r="CC217" s="110"/>
      <c r="CD217" s="80" t="s">
        <v>79</v>
      </c>
      <c r="CE217" s="81">
        <f t="shared" ca="1" si="1976"/>
        <v>0</v>
      </c>
      <c r="CF217" s="110"/>
      <c r="CG217" s="80" t="s">
        <v>79</v>
      </c>
      <c r="CH217" s="81">
        <f t="shared" ca="1" si="1977"/>
        <v>0</v>
      </c>
      <c r="CI217" s="110"/>
      <c r="CJ217" s="80" t="s">
        <v>79</v>
      </c>
      <c r="CK217" s="81">
        <f t="shared" ca="1" si="1978"/>
        <v>0</v>
      </c>
      <c r="CL217" s="110"/>
      <c r="CM217" s="80" t="s">
        <v>79</v>
      </c>
      <c r="CN217" s="81">
        <f t="shared" ca="1" si="1979"/>
        <v>0</v>
      </c>
      <c r="CO217" s="110"/>
      <c r="CP217" s="80" t="s">
        <v>79</v>
      </c>
      <c r="CQ217" s="81">
        <f t="shared" ca="1" si="1980"/>
        <v>0</v>
      </c>
      <c r="CR217" s="110"/>
      <c r="CS217" s="80" t="s">
        <v>79</v>
      </c>
      <c r="CT217" s="81">
        <f t="shared" ca="1" si="1981"/>
        <v>0</v>
      </c>
      <c r="CU217" s="110"/>
      <c r="CV217" s="80" t="s">
        <v>79</v>
      </c>
      <c r="CW217" s="81">
        <f t="shared" ca="1" si="1982"/>
        <v>0</v>
      </c>
      <c r="CX217" s="110"/>
      <c r="CY217" s="80" t="s">
        <v>1637</v>
      </c>
      <c r="CZ217" s="81">
        <f t="shared" ca="1" si="1983"/>
        <v>0</v>
      </c>
      <c r="DA217" s="110"/>
      <c r="DB217" s="80" t="s">
        <v>79</v>
      </c>
      <c r="DC217" s="81">
        <f t="shared" ca="1" si="1984"/>
        <v>0</v>
      </c>
      <c r="DD217" s="110"/>
      <c r="DE217" s="80" t="s">
        <v>79</v>
      </c>
      <c r="DF217" s="81">
        <f t="shared" ca="1" si="1985"/>
        <v>0</v>
      </c>
      <c r="DG217" s="110"/>
      <c r="DH217" s="80" t="s">
        <v>79</v>
      </c>
      <c r="DI217" s="81">
        <f t="shared" ca="1" si="1986"/>
        <v>0</v>
      </c>
      <c r="DJ217" s="110"/>
      <c r="DK217" s="80" t="s">
        <v>79</v>
      </c>
      <c r="DL217" s="81">
        <f t="shared" ca="1" si="1987"/>
        <v>0</v>
      </c>
      <c r="DM217" s="110"/>
      <c r="DN217" s="80" t="s">
        <v>79</v>
      </c>
      <c r="DO217" s="81">
        <f t="shared" ca="1" si="1988"/>
        <v>0</v>
      </c>
      <c r="DP217" s="110"/>
      <c r="DQ217" s="80" t="s">
        <v>79</v>
      </c>
      <c r="DR217" s="81">
        <f t="shared" ca="1" si="1989"/>
        <v>0</v>
      </c>
      <c r="DS217" s="110"/>
      <c r="DT217" s="80" t="s">
        <v>79</v>
      </c>
      <c r="DU217" s="81">
        <f t="shared" ca="1" si="1990"/>
        <v>0</v>
      </c>
      <c r="DV217" s="110"/>
      <c r="DW217" s="80" t="s">
        <v>79</v>
      </c>
      <c r="DX217" s="81">
        <f t="shared" ca="1" si="1991"/>
        <v>0</v>
      </c>
      <c r="DY217" s="110"/>
      <c r="DZ217" s="80" t="s">
        <v>79</v>
      </c>
      <c r="EA217" s="81">
        <f t="shared" ca="1" si="1992"/>
        <v>0</v>
      </c>
      <c r="EB217" s="110"/>
      <c r="EC217" s="80" t="s">
        <v>79</v>
      </c>
      <c r="ED217" s="81">
        <f t="shared" ca="1" si="1993"/>
        <v>0</v>
      </c>
      <c r="EE217" s="110"/>
      <c r="EF217" s="80" t="s">
        <v>79</v>
      </c>
      <c r="EG217" s="81">
        <f t="shared" ca="1" si="1994"/>
        <v>0</v>
      </c>
      <c r="EH217" s="110"/>
      <c r="EI217" s="80" t="s">
        <v>79</v>
      </c>
      <c r="EJ217" s="81">
        <f t="shared" ca="1" si="1995"/>
        <v>0</v>
      </c>
      <c r="EK217" s="110"/>
      <c r="EL217" s="80" t="s">
        <v>79</v>
      </c>
      <c r="EM217" s="81">
        <f t="shared" ca="1" si="1996"/>
        <v>0</v>
      </c>
      <c r="EN217" s="110"/>
      <c r="EO217" s="80" t="s">
        <v>79</v>
      </c>
      <c r="EP217" s="81">
        <f t="shared" ca="1" si="1997"/>
        <v>0</v>
      </c>
      <c r="EQ217" s="110"/>
      <c r="ER217" s="80" t="s">
        <v>79</v>
      </c>
      <c r="ES217" s="81">
        <f t="shared" ca="1" si="1998"/>
        <v>0</v>
      </c>
      <c r="ET217" s="110"/>
      <c r="EU217" s="80" t="s">
        <v>299</v>
      </c>
      <c r="EV217" s="81">
        <f t="shared" ca="1" si="1999"/>
        <v>20</v>
      </c>
      <c r="EW217" s="110"/>
      <c r="EX217" s="80" t="s">
        <v>79</v>
      </c>
      <c r="EY217" s="81">
        <f t="shared" ca="1" si="2000"/>
        <v>0</v>
      </c>
      <c r="EZ217" s="110"/>
      <c r="FA217" s="80" t="s">
        <v>79</v>
      </c>
      <c r="FB217" s="81">
        <f t="shared" ca="1" si="2001"/>
        <v>0</v>
      </c>
      <c r="FC217" s="110"/>
      <c r="FD217" s="80" t="s">
        <v>1282</v>
      </c>
      <c r="FE217" s="81">
        <f t="shared" ca="1" si="2002"/>
        <v>0</v>
      </c>
      <c r="FF217" s="110"/>
      <c r="FG217" s="80" t="s">
        <v>79</v>
      </c>
      <c r="FH217" s="81">
        <f t="shared" ca="1" si="2003"/>
        <v>0</v>
      </c>
      <c r="FI217" s="110"/>
      <c r="FJ217" s="80" t="s">
        <v>79</v>
      </c>
      <c r="FK217" s="81">
        <f t="shared" ca="1" si="2004"/>
        <v>0</v>
      </c>
      <c r="FL217" s="110"/>
      <c r="FM217" s="80" t="s">
        <v>79</v>
      </c>
      <c r="FN217" s="81">
        <f t="shared" ca="1" si="2005"/>
        <v>0</v>
      </c>
      <c r="FO217" s="110"/>
      <c r="FP217" s="80" t="s">
        <v>79</v>
      </c>
      <c r="FQ217" s="81">
        <f t="shared" ca="1" si="2006"/>
        <v>0</v>
      </c>
      <c r="FR217" s="110"/>
      <c r="FS217" s="80" t="s">
        <v>79</v>
      </c>
      <c r="FT217" s="81">
        <f t="shared" ca="1" si="2007"/>
        <v>0</v>
      </c>
      <c r="FU217" s="110"/>
      <c r="FV217" s="80" t="s">
        <v>79</v>
      </c>
      <c r="FW217" s="81">
        <f t="shared" ca="1" si="2008"/>
        <v>0</v>
      </c>
      <c r="FX217" s="110"/>
      <c r="FY217" s="80" t="s">
        <v>79</v>
      </c>
      <c r="FZ217" s="81">
        <f t="shared" ca="1" si="2009"/>
        <v>0</v>
      </c>
      <c r="GA217" s="110"/>
      <c r="GB217" s="80" t="s">
        <v>1320</v>
      </c>
      <c r="GC217" s="81">
        <f t="shared" ca="1" si="2010"/>
        <v>0</v>
      </c>
      <c r="GD217" s="110"/>
      <c r="GE217" s="80" t="s">
        <v>79</v>
      </c>
      <c r="GF217" s="81">
        <f t="shared" ca="1" si="2011"/>
        <v>0</v>
      </c>
      <c r="GG217" s="110"/>
      <c r="GH217" s="80" t="s">
        <v>79</v>
      </c>
      <c r="GI217" s="81">
        <f t="shared" ca="1" si="2012"/>
        <v>0</v>
      </c>
      <c r="GJ217" s="110"/>
      <c r="GK217" s="80" t="s">
        <v>79</v>
      </c>
      <c r="GL217" s="81">
        <f t="shared" ca="1" si="2013"/>
        <v>0</v>
      </c>
      <c r="GM217" s="110"/>
      <c r="GN217" s="80"/>
      <c r="GO217" s="81">
        <f t="shared" ca="1" si="2014"/>
        <v>0</v>
      </c>
      <c r="GP217" s="110"/>
      <c r="GQ217" s="80"/>
      <c r="GR217" s="81">
        <f t="shared" ca="1" si="2015"/>
        <v>0</v>
      </c>
      <c r="GS217" s="110"/>
      <c r="GT217" s="80"/>
      <c r="GU217" s="81">
        <f t="shared" ca="1" si="2016"/>
        <v>0</v>
      </c>
      <c r="GV217" s="110"/>
      <c r="GW217" s="80"/>
      <c r="GX217" s="81">
        <f t="shared" ca="1" si="2017"/>
        <v>0</v>
      </c>
      <c r="GY217" s="110"/>
      <c r="GZ217" s="80"/>
      <c r="HA217" s="81">
        <f t="shared" ca="1" si="2018"/>
        <v>0</v>
      </c>
      <c r="HB217" s="110"/>
      <c r="HC217" s="80"/>
      <c r="HD217" s="81">
        <f t="shared" ca="1" si="2019"/>
        <v>0</v>
      </c>
      <c r="HE217" s="110"/>
      <c r="HF217" s="80"/>
      <c r="HG217" s="81">
        <f t="shared" ca="1" si="2020"/>
        <v>0</v>
      </c>
      <c r="HH217" s="110"/>
      <c r="HI217" s="80"/>
      <c r="HJ217" s="81">
        <f t="shared" ca="1" si="2021"/>
        <v>0</v>
      </c>
      <c r="HK217" s="110"/>
      <c r="HL217" s="80"/>
      <c r="HM217" s="81">
        <f t="shared" ca="1" si="2022"/>
        <v>0</v>
      </c>
      <c r="HN217" s="110"/>
      <c r="HO217" s="80"/>
      <c r="HP217" s="81">
        <f t="shared" ca="1" si="2023"/>
        <v>0</v>
      </c>
      <c r="HQ217" s="110"/>
      <c r="HR217" s="80"/>
      <c r="HS217" s="81">
        <f t="shared" ca="1" si="2024"/>
        <v>0</v>
      </c>
      <c r="HT217" s="110"/>
      <c r="HU217" s="80"/>
      <c r="HV217" s="81">
        <f t="shared" ca="1" si="2025"/>
        <v>0</v>
      </c>
      <c r="HW217" s="110"/>
      <c r="HX217" s="80"/>
      <c r="HY217" s="81">
        <f t="shared" ca="1" si="2026"/>
        <v>0</v>
      </c>
      <c r="HZ217" s="110"/>
      <c r="IA217" s="80"/>
      <c r="IB217" s="81">
        <f t="shared" ca="1" si="2027"/>
        <v>0</v>
      </c>
      <c r="IC217" s="110"/>
      <c r="ID217" s="80"/>
      <c r="IE217" s="81">
        <f t="shared" ca="1" si="2028"/>
        <v>0</v>
      </c>
      <c r="IF217" s="110"/>
      <c r="IG217" s="80"/>
      <c r="IH217" s="81">
        <f t="shared" ca="1" si="2029"/>
        <v>0</v>
      </c>
      <c r="II217" s="110"/>
      <c r="IJ217" s="80"/>
      <c r="IK217" s="81">
        <f t="shared" ca="1" si="2030"/>
        <v>0</v>
      </c>
      <c r="IL217" s="110"/>
      <c r="IM217" s="80"/>
      <c r="IN217" s="81">
        <f t="shared" ca="1" si="2031"/>
        <v>0</v>
      </c>
      <c r="IO217" s="110"/>
      <c r="IP217" s="80"/>
      <c r="IQ217" s="81">
        <f t="shared" ca="1" si="2032"/>
        <v>0</v>
      </c>
      <c r="IR217" s="110"/>
      <c r="IS217" s="80"/>
      <c r="IT217" s="81">
        <f t="shared" ca="1" si="2033"/>
        <v>0</v>
      </c>
      <c r="IU217" s="110"/>
      <c r="IV217" s="80"/>
      <c r="IW217" s="81">
        <f t="shared" ca="1" si="2034"/>
        <v>0</v>
      </c>
      <c r="IX217" s="110"/>
      <c r="IY217" s="80"/>
      <c r="IZ217" s="81">
        <f t="shared" ca="1" si="2035"/>
        <v>0</v>
      </c>
      <c r="JA217" s="110"/>
      <c r="JB217" s="80"/>
      <c r="JC217" s="81">
        <f t="shared" ca="1" si="2036"/>
        <v>0</v>
      </c>
      <c r="JD217" s="110"/>
      <c r="JE217" s="80"/>
      <c r="JF217" s="81">
        <f t="shared" ca="1" si="2037"/>
        <v>0</v>
      </c>
      <c r="JG217" s="110"/>
      <c r="JH217" s="80"/>
      <c r="JI217" s="81">
        <f t="shared" ca="1" si="2038"/>
        <v>0</v>
      </c>
      <c r="JJ217" s="110"/>
      <c r="JK217" s="80"/>
      <c r="JL217" s="81">
        <f t="shared" ca="1" si="2039"/>
        <v>0</v>
      </c>
      <c r="JM217" s="110"/>
      <c r="JN217" s="80"/>
      <c r="JO217" s="81">
        <f t="shared" ca="1" si="2040"/>
        <v>0</v>
      </c>
      <c r="JP217" s="110"/>
      <c r="JQ217" s="80"/>
      <c r="JR217" s="81">
        <f t="shared" ca="1" si="2041"/>
        <v>0</v>
      </c>
      <c r="JS217" s="110"/>
      <c r="JT217" s="80"/>
      <c r="JU217" s="81">
        <f t="shared" ca="1" si="2042"/>
        <v>0</v>
      </c>
      <c r="JV217" s="110"/>
      <c r="JW217" s="80"/>
      <c r="JX217" s="81">
        <f t="shared" ca="1" si="2043"/>
        <v>0</v>
      </c>
      <c r="JY217" s="110"/>
      <c r="JZ217" s="80"/>
      <c r="KA217" s="81">
        <f t="shared" ca="1" si="2044"/>
        <v>0</v>
      </c>
      <c r="KB217" s="110"/>
      <c r="KC217" s="80"/>
      <c r="KD217" s="81">
        <f t="shared" ca="1" si="2045"/>
        <v>0</v>
      </c>
      <c r="KE217" s="110"/>
      <c r="KF217" s="80"/>
      <c r="KG217" s="81">
        <f t="shared" ca="1" si="2046"/>
        <v>0</v>
      </c>
      <c r="KH217" s="110"/>
      <c r="KI217" s="80"/>
      <c r="KJ217" s="81">
        <f t="shared" ca="1" si="2047"/>
        <v>0</v>
      </c>
      <c r="KK217" s="110"/>
      <c r="KL217" s="80"/>
      <c r="KM217" s="81">
        <f t="shared" ca="1" si="2048"/>
        <v>0</v>
      </c>
      <c r="KN217" s="110"/>
      <c r="KO217" s="80"/>
      <c r="KP217" s="81">
        <f t="shared" ca="1" si="2049"/>
        <v>0</v>
      </c>
      <c r="KQ217" s="110"/>
      <c r="KR217" s="80"/>
      <c r="KS217" s="81">
        <f t="shared" ca="1" si="2050"/>
        <v>0</v>
      </c>
      <c r="KT217" s="110"/>
      <c r="KU217" s="80"/>
      <c r="KV217" s="81">
        <f t="shared" ca="1" si="2051"/>
        <v>0</v>
      </c>
      <c r="KW217" s="110"/>
      <c r="KX217" s="80"/>
      <c r="KY217" s="81">
        <f t="shared" ca="1" si="2052"/>
        <v>0</v>
      </c>
      <c r="KZ217" s="110"/>
      <c r="LA217" s="80"/>
      <c r="LB217" s="81">
        <f t="shared" ca="1" si="2053"/>
        <v>0</v>
      </c>
      <c r="LC217" s="110"/>
      <c r="LD217" s="80"/>
      <c r="LE217" s="81">
        <f t="shared" ca="1" si="2054"/>
        <v>0</v>
      </c>
      <c r="LF217" s="110"/>
      <c r="LG217" s="110"/>
    </row>
    <row r="218" spans="1:319">
      <c r="A218" s="25"/>
      <c r="B218" s="25"/>
      <c r="C218" s="25" t="s">
        <v>1930</v>
      </c>
      <c r="D218" s="25"/>
      <c r="E218" s="25"/>
      <c r="F218" s="407"/>
      <c r="G218" s="407"/>
      <c r="H218" s="65"/>
      <c r="I218" s="50"/>
      <c r="J218" s="94"/>
      <c r="K218" s="434" t="str">
        <f>Idiomas!D461</f>
        <v>QF Teams</v>
      </c>
      <c r="L218" s="435"/>
      <c r="M218" s="434" t="str">
        <f ca="1">"Max: "&amp;$D$23*COUNT(T210:T217)</f>
        <v>Max: 160</v>
      </c>
      <c r="N218" s="25"/>
      <c r="O218" s="25"/>
      <c r="P218" s="25"/>
      <c r="Q218" s="25"/>
      <c r="R218" s="49"/>
      <c r="S218" s="84"/>
      <c r="T218" s="71">
        <f ca="1">SUM(T210:T217)</f>
        <v>80</v>
      </c>
      <c r="U218" s="49"/>
      <c r="V218" s="84"/>
      <c r="W218" s="71">
        <f t="shared" ref="W218" ca="1" si="2056">SUM(W210:W217)</f>
        <v>120</v>
      </c>
      <c r="X218" s="49"/>
      <c r="Y218" s="84"/>
      <c r="Z218" s="71">
        <f t="shared" ref="Z218" ca="1" si="2057">SUM(Z210:Z217)</f>
        <v>40</v>
      </c>
      <c r="AA218" s="49"/>
      <c r="AB218" s="84"/>
      <c r="AC218" s="71">
        <f t="shared" ref="AC218" ca="1" si="2058">SUM(AC210:AC217)</f>
        <v>100</v>
      </c>
      <c r="AD218" s="49"/>
      <c r="AE218" s="84"/>
      <c r="AF218" s="71">
        <f t="shared" ref="AF218" ca="1" si="2059">SUM(AF210:AF217)</f>
        <v>100</v>
      </c>
      <c r="AG218" s="49"/>
      <c r="AH218" s="84"/>
      <c r="AI218" s="71">
        <f t="shared" ref="AI218" ca="1" si="2060">SUM(AI210:AI217)</f>
        <v>80</v>
      </c>
      <c r="AJ218" s="49"/>
      <c r="AK218" s="84"/>
      <c r="AL218" s="71">
        <f t="shared" ref="AL218" ca="1" si="2061">SUM(AL210:AL217)</f>
        <v>100</v>
      </c>
      <c r="AM218" s="49"/>
      <c r="AN218" s="84"/>
      <c r="AO218" s="71">
        <f t="shared" ref="AO218" ca="1" si="2062">SUM(AO210:AO217)</f>
        <v>0</v>
      </c>
      <c r="AP218" s="49"/>
      <c r="AQ218" s="84"/>
      <c r="AR218" s="71">
        <f t="shared" ref="AR218" ca="1" si="2063">SUM(AR210:AR217)</f>
        <v>80</v>
      </c>
      <c r="AS218" s="49"/>
      <c r="AT218" s="84"/>
      <c r="AU218" s="71">
        <f t="shared" ref="AU218" ca="1" si="2064">SUM(AU210:AU217)</f>
        <v>100</v>
      </c>
      <c r="AV218" s="49"/>
      <c r="AW218" s="84"/>
      <c r="AX218" s="71">
        <f t="shared" ref="AX218" ca="1" si="2065">SUM(AX210:AX217)</f>
        <v>60</v>
      </c>
      <c r="AY218" s="49"/>
      <c r="AZ218" s="84"/>
      <c r="BA218" s="71">
        <f t="shared" ref="BA218" ca="1" si="2066">SUM(BA210:BA217)</f>
        <v>100</v>
      </c>
      <c r="BB218" s="49"/>
      <c r="BC218" s="84"/>
      <c r="BD218" s="71">
        <f t="shared" ref="BD218" ca="1" si="2067">SUM(BD210:BD217)</f>
        <v>100</v>
      </c>
      <c r="BE218" s="49"/>
      <c r="BF218" s="84"/>
      <c r="BG218" s="71">
        <f t="shared" ref="BG218" ca="1" si="2068">SUM(BG210:BG217)</f>
        <v>100</v>
      </c>
      <c r="BH218" s="49"/>
      <c r="BI218" s="84"/>
      <c r="BJ218" s="71">
        <f t="shared" ref="BJ218" ca="1" si="2069">SUM(BJ210:BJ217)</f>
        <v>80</v>
      </c>
      <c r="BK218" s="49"/>
      <c r="BL218" s="84"/>
      <c r="BM218" s="71">
        <f t="shared" ref="BM218" ca="1" si="2070">SUM(BM210:BM217)</f>
        <v>100</v>
      </c>
      <c r="BN218" s="49"/>
      <c r="BO218" s="84"/>
      <c r="BP218" s="71">
        <f t="shared" ref="BP218" ca="1" si="2071">SUM(BP210:BP217)</f>
        <v>100</v>
      </c>
      <c r="BQ218" s="49"/>
      <c r="BR218" s="84"/>
      <c r="BS218" s="71">
        <f t="shared" ref="BS218" ca="1" si="2072">SUM(BS210:BS217)</f>
        <v>80</v>
      </c>
      <c r="BT218" s="49"/>
      <c r="BU218" s="84"/>
      <c r="BV218" s="71">
        <f t="shared" ref="BV218" ca="1" si="2073">SUM(BV210:BV217)</f>
        <v>100</v>
      </c>
      <c r="BW218" s="49"/>
      <c r="BX218" s="84"/>
      <c r="BY218" s="71">
        <f t="shared" ref="BY218" ca="1" si="2074">SUM(BY210:BY217)</f>
        <v>80</v>
      </c>
      <c r="BZ218" s="49"/>
      <c r="CA218" s="84"/>
      <c r="CB218" s="71">
        <f t="shared" ref="CB218" ca="1" si="2075">SUM(CB210:CB217)</f>
        <v>120</v>
      </c>
      <c r="CC218" s="49"/>
      <c r="CD218" s="84"/>
      <c r="CE218" s="71">
        <f t="shared" ref="CE218" ca="1" si="2076">SUM(CE210:CE217)</f>
        <v>60</v>
      </c>
      <c r="CF218" s="49"/>
      <c r="CG218" s="84"/>
      <c r="CH218" s="71">
        <f t="shared" ref="CH218" ca="1" si="2077">SUM(CH210:CH217)</f>
        <v>80</v>
      </c>
      <c r="CI218" s="49"/>
      <c r="CJ218" s="84"/>
      <c r="CK218" s="71">
        <f t="shared" ref="CK218" ca="1" si="2078">SUM(CK210:CK217)</f>
        <v>80</v>
      </c>
      <c r="CL218" s="49"/>
      <c r="CM218" s="84"/>
      <c r="CN218" s="71">
        <f t="shared" ref="CN218" ca="1" si="2079">SUM(CN210:CN217)</f>
        <v>100</v>
      </c>
      <c r="CO218" s="49"/>
      <c r="CP218" s="84"/>
      <c r="CQ218" s="71">
        <f t="shared" ref="CQ218" ca="1" si="2080">SUM(CQ210:CQ217)</f>
        <v>60</v>
      </c>
      <c r="CR218" s="49"/>
      <c r="CS218" s="84"/>
      <c r="CT218" s="71">
        <f t="shared" ref="CT218" ca="1" si="2081">SUM(CT210:CT217)</f>
        <v>40</v>
      </c>
      <c r="CU218" s="49"/>
      <c r="CV218" s="84"/>
      <c r="CW218" s="71">
        <f t="shared" ref="CW218" ca="1" si="2082">SUM(CW210:CW217)</f>
        <v>60</v>
      </c>
      <c r="CX218" s="49"/>
      <c r="CY218" s="84"/>
      <c r="CZ218" s="71">
        <f t="shared" ref="CZ218" ca="1" si="2083">SUM(CZ210:CZ217)</f>
        <v>60</v>
      </c>
      <c r="DA218" s="49"/>
      <c r="DB218" s="84"/>
      <c r="DC218" s="71">
        <f t="shared" ref="DC218" ca="1" si="2084">SUM(DC210:DC217)</f>
        <v>100</v>
      </c>
      <c r="DD218" s="49"/>
      <c r="DE218" s="84"/>
      <c r="DF218" s="71">
        <f t="shared" ref="DF218" ca="1" si="2085">SUM(DF210:DF217)</f>
        <v>100</v>
      </c>
      <c r="DG218" s="49"/>
      <c r="DH218" s="84"/>
      <c r="DI218" s="71">
        <f t="shared" ref="DI218" ca="1" si="2086">SUM(DI210:DI217)</f>
        <v>100</v>
      </c>
      <c r="DJ218" s="49"/>
      <c r="DK218" s="84"/>
      <c r="DL218" s="71">
        <f t="shared" ref="DL218" ca="1" si="2087">SUM(DL210:DL217)</f>
        <v>100</v>
      </c>
      <c r="DM218" s="49"/>
      <c r="DN218" s="84"/>
      <c r="DO218" s="71">
        <f t="shared" ref="DO218" ca="1" si="2088">SUM(DO210:DO217)</f>
        <v>80</v>
      </c>
      <c r="DP218" s="49"/>
      <c r="DQ218" s="84"/>
      <c r="DR218" s="71">
        <f t="shared" ref="DR218" ca="1" si="2089">SUM(DR210:DR217)</f>
        <v>120</v>
      </c>
      <c r="DS218" s="49"/>
      <c r="DT218" s="84"/>
      <c r="DU218" s="71">
        <f t="shared" ref="DU218" ca="1" si="2090">SUM(DU210:DU217)</f>
        <v>60</v>
      </c>
      <c r="DV218" s="49"/>
      <c r="DW218" s="84"/>
      <c r="DX218" s="71">
        <f t="shared" ref="DX218" ca="1" si="2091">SUM(DX210:DX217)</f>
        <v>80</v>
      </c>
      <c r="DY218" s="49"/>
      <c r="DZ218" s="84"/>
      <c r="EA218" s="71">
        <f t="shared" ref="EA218" ca="1" si="2092">SUM(EA210:EA217)</f>
        <v>100</v>
      </c>
      <c r="EB218" s="49"/>
      <c r="EC218" s="84"/>
      <c r="ED218" s="71">
        <f t="shared" ref="ED218" ca="1" si="2093">SUM(ED210:ED217)</f>
        <v>100</v>
      </c>
      <c r="EE218" s="49"/>
      <c r="EF218" s="84"/>
      <c r="EG218" s="71">
        <f t="shared" ref="EG218" ca="1" si="2094">SUM(EG210:EG217)</f>
        <v>40</v>
      </c>
      <c r="EH218" s="49"/>
      <c r="EI218" s="84"/>
      <c r="EJ218" s="71">
        <f t="shared" ref="EJ218" ca="1" si="2095">SUM(EJ210:EJ217)</f>
        <v>100</v>
      </c>
      <c r="EK218" s="49"/>
      <c r="EL218" s="84"/>
      <c r="EM218" s="71">
        <f t="shared" ref="EM218" ca="1" si="2096">SUM(EM210:EM217)</f>
        <v>100</v>
      </c>
      <c r="EN218" s="49"/>
      <c r="EO218" s="84"/>
      <c r="EP218" s="71">
        <f t="shared" ref="EP218" ca="1" si="2097">SUM(EP210:EP217)</f>
        <v>100</v>
      </c>
      <c r="EQ218" s="49"/>
      <c r="ER218" s="84"/>
      <c r="ES218" s="71">
        <f t="shared" ref="ES218" ca="1" si="2098">SUM(ES210:ES217)</f>
        <v>100</v>
      </c>
      <c r="ET218" s="49"/>
      <c r="EU218" s="84"/>
      <c r="EV218" s="71">
        <f t="shared" ref="EV218" ca="1" si="2099">SUM(EV210:EV217)</f>
        <v>120</v>
      </c>
      <c r="EW218" s="49"/>
      <c r="EX218" s="84"/>
      <c r="EY218" s="71">
        <f t="shared" ref="EY218" ca="1" si="2100">SUM(EY210:EY217)</f>
        <v>80</v>
      </c>
      <c r="EZ218" s="49"/>
      <c r="FA218" s="84"/>
      <c r="FB218" s="71">
        <f t="shared" ref="FB218" ca="1" si="2101">SUM(FB210:FB217)</f>
        <v>60</v>
      </c>
      <c r="FC218" s="49"/>
      <c r="FD218" s="84"/>
      <c r="FE218" s="71">
        <f t="shared" ref="FE218" ca="1" si="2102">SUM(FE210:FE217)</f>
        <v>100</v>
      </c>
      <c r="FF218" s="49"/>
      <c r="FG218" s="84"/>
      <c r="FH218" s="71">
        <f t="shared" ref="FH218" ca="1" si="2103">SUM(FH210:FH217)</f>
        <v>100</v>
      </c>
      <c r="FI218" s="49"/>
      <c r="FJ218" s="84"/>
      <c r="FK218" s="71">
        <f t="shared" ref="FK218" ca="1" si="2104">SUM(FK210:FK217)</f>
        <v>100</v>
      </c>
      <c r="FL218" s="49"/>
      <c r="FM218" s="84"/>
      <c r="FN218" s="71">
        <f t="shared" ref="FN218" ca="1" si="2105">SUM(FN210:FN217)</f>
        <v>100</v>
      </c>
      <c r="FO218" s="49"/>
      <c r="FP218" s="84"/>
      <c r="FQ218" s="71">
        <f t="shared" ref="FQ218" ca="1" si="2106">SUM(FQ210:FQ217)</f>
        <v>100</v>
      </c>
      <c r="FR218" s="49"/>
      <c r="FS218" s="84"/>
      <c r="FT218" s="71">
        <f t="shared" ref="FT218" ca="1" si="2107">SUM(FT210:FT217)</f>
        <v>60</v>
      </c>
      <c r="FU218" s="49"/>
      <c r="FV218" s="84"/>
      <c r="FW218" s="71">
        <f t="shared" ref="FW218" ca="1" si="2108">SUM(FW210:FW217)</f>
        <v>100</v>
      </c>
      <c r="FX218" s="49"/>
      <c r="FY218" s="84"/>
      <c r="FZ218" s="71">
        <f t="shared" ref="FZ218" ca="1" si="2109">SUM(FZ210:FZ217)</f>
        <v>80</v>
      </c>
      <c r="GA218" s="49"/>
      <c r="GB218" s="84"/>
      <c r="GC218" s="71">
        <f t="shared" ref="GC218" ca="1" si="2110">SUM(GC210:GC217)</f>
        <v>80</v>
      </c>
      <c r="GD218" s="49"/>
      <c r="GE218" s="84"/>
      <c r="GF218" s="71">
        <f t="shared" ref="GF218" ca="1" si="2111">SUM(GF210:GF217)</f>
        <v>100</v>
      </c>
      <c r="GG218" s="49"/>
      <c r="GH218" s="84"/>
      <c r="GI218" s="71">
        <f t="shared" ref="GI218" ca="1" si="2112">SUM(GI210:GI217)</f>
        <v>60</v>
      </c>
      <c r="GJ218" s="49"/>
      <c r="GK218" s="84"/>
      <c r="GL218" s="71">
        <f t="shared" ref="GL218" ca="1" si="2113">SUM(GL210:GL217)</f>
        <v>80</v>
      </c>
      <c r="GM218" s="49"/>
      <c r="GN218" s="84"/>
      <c r="GO218" s="71">
        <f t="shared" ref="GO218" ca="1" si="2114">SUM(GO210:GO217)</f>
        <v>0</v>
      </c>
      <c r="GP218" s="49"/>
      <c r="GQ218" s="84"/>
      <c r="GR218" s="71">
        <f t="shared" ref="GR218" ca="1" si="2115">SUM(GR210:GR217)</f>
        <v>0</v>
      </c>
      <c r="GS218" s="49"/>
      <c r="GT218" s="84"/>
      <c r="GU218" s="71">
        <f t="shared" ref="GU218" ca="1" si="2116">SUM(GU210:GU217)</f>
        <v>0</v>
      </c>
      <c r="GV218" s="49"/>
      <c r="GW218" s="84"/>
      <c r="GX218" s="71">
        <f t="shared" ref="GX218" ca="1" si="2117">SUM(GX210:GX217)</f>
        <v>0</v>
      </c>
      <c r="GY218" s="49"/>
      <c r="GZ218" s="84"/>
      <c r="HA218" s="71">
        <f t="shared" ref="HA218" ca="1" si="2118">SUM(HA210:HA217)</f>
        <v>0</v>
      </c>
      <c r="HB218" s="49"/>
      <c r="HC218" s="84"/>
      <c r="HD218" s="71">
        <f t="shared" ref="HD218" ca="1" si="2119">SUM(HD210:HD217)</f>
        <v>0</v>
      </c>
      <c r="HE218" s="49"/>
      <c r="HF218" s="84"/>
      <c r="HG218" s="71">
        <f t="shared" ref="HG218" ca="1" si="2120">SUM(HG210:HG217)</f>
        <v>0</v>
      </c>
      <c r="HH218" s="49"/>
      <c r="HI218" s="84"/>
      <c r="HJ218" s="71">
        <f t="shared" ref="HJ218" ca="1" si="2121">SUM(HJ210:HJ217)</f>
        <v>0</v>
      </c>
      <c r="HK218" s="49"/>
      <c r="HL218" s="84"/>
      <c r="HM218" s="71">
        <f t="shared" ref="HM218" ca="1" si="2122">SUM(HM210:HM217)</f>
        <v>0</v>
      </c>
      <c r="HN218" s="49"/>
      <c r="HO218" s="84"/>
      <c r="HP218" s="71">
        <f t="shared" ref="HP218" ca="1" si="2123">SUM(HP210:HP217)</f>
        <v>0</v>
      </c>
      <c r="HQ218" s="49"/>
      <c r="HR218" s="84"/>
      <c r="HS218" s="71">
        <f t="shared" ref="HS218" ca="1" si="2124">SUM(HS210:HS217)</f>
        <v>0</v>
      </c>
      <c r="HT218" s="49"/>
      <c r="HU218" s="84"/>
      <c r="HV218" s="71">
        <f t="shared" ref="HV218" ca="1" si="2125">SUM(HV210:HV217)</f>
        <v>0</v>
      </c>
      <c r="HW218" s="49"/>
      <c r="HX218" s="84"/>
      <c r="HY218" s="71">
        <f t="shared" ref="HY218" ca="1" si="2126">SUM(HY210:HY217)</f>
        <v>0</v>
      </c>
      <c r="HZ218" s="49"/>
      <c r="IA218" s="84"/>
      <c r="IB218" s="71">
        <f t="shared" ref="IB218" ca="1" si="2127">SUM(IB210:IB217)</f>
        <v>0</v>
      </c>
      <c r="IC218" s="49"/>
      <c r="ID218" s="84"/>
      <c r="IE218" s="71">
        <f t="shared" ref="IE218" ca="1" si="2128">SUM(IE210:IE217)</f>
        <v>0</v>
      </c>
      <c r="IF218" s="49"/>
      <c r="IG218" s="84"/>
      <c r="IH218" s="71">
        <f t="shared" ref="IH218" ca="1" si="2129">SUM(IH210:IH217)</f>
        <v>0</v>
      </c>
      <c r="II218" s="49"/>
      <c r="IJ218" s="84"/>
      <c r="IK218" s="71">
        <f t="shared" ref="IK218" ca="1" si="2130">SUM(IK210:IK217)</f>
        <v>0</v>
      </c>
      <c r="IL218" s="49"/>
      <c r="IM218" s="84"/>
      <c r="IN218" s="71">
        <f t="shared" ref="IN218" ca="1" si="2131">SUM(IN210:IN217)</f>
        <v>0</v>
      </c>
      <c r="IO218" s="49"/>
      <c r="IP218" s="84"/>
      <c r="IQ218" s="71">
        <f t="shared" ref="IQ218" ca="1" si="2132">SUM(IQ210:IQ217)</f>
        <v>0</v>
      </c>
      <c r="IR218" s="49"/>
      <c r="IS218" s="84"/>
      <c r="IT218" s="71">
        <f t="shared" ref="IT218" ca="1" si="2133">SUM(IT210:IT217)</f>
        <v>0</v>
      </c>
      <c r="IU218" s="49"/>
      <c r="IV218" s="84"/>
      <c r="IW218" s="71">
        <f t="shared" ref="IW218" ca="1" si="2134">SUM(IW210:IW217)</f>
        <v>0</v>
      </c>
      <c r="IX218" s="49"/>
      <c r="IY218" s="84"/>
      <c r="IZ218" s="71">
        <f t="shared" ref="IZ218" ca="1" si="2135">SUM(IZ210:IZ217)</f>
        <v>0</v>
      </c>
      <c r="JA218" s="49"/>
      <c r="JB218" s="84"/>
      <c r="JC218" s="71">
        <f t="shared" ref="JC218" ca="1" si="2136">SUM(JC210:JC217)</f>
        <v>0</v>
      </c>
      <c r="JD218" s="49"/>
      <c r="JE218" s="84"/>
      <c r="JF218" s="71">
        <f t="shared" ref="JF218" ca="1" si="2137">SUM(JF210:JF217)</f>
        <v>0</v>
      </c>
      <c r="JG218" s="49"/>
      <c r="JH218" s="84"/>
      <c r="JI218" s="71">
        <f t="shared" ref="JI218" ca="1" si="2138">SUM(JI210:JI217)</f>
        <v>0</v>
      </c>
      <c r="JJ218" s="49"/>
      <c r="JK218" s="84"/>
      <c r="JL218" s="71">
        <f t="shared" ref="JL218" ca="1" si="2139">SUM(JL210:JL217)</f>
        <v>0</v>
      </c>
      <c r="JM218" s="49"/>
      <c r="JN218" s="84"/>
      <c r="JO218" s="71">
        <f t="shared" ref="JO218" ca="1" si="2140">SUM(JO210:JO217)</f>
        <v>0</v>
      </c>
      <c r="JP218" s="49"/>
      <c r="JQ218" s="84"/>
      <c r="JR218" s="71">
        <f t="shared" ref="JR218" ca="1" si="2141">SUM(JR210:JR217)</f>
        <v>0</v>
      </c>
      <c r="JS218" s="49"/>
      <c r="JT218" s="84"/>
      <c r="JU218" s="71">
        <f t="shared" ref="JU218" ca="1" si="2142">SUM(JU210:JU217)</f>
        <v>0</v>
      </c>
      <c r="JV218" s="49"/>
      <c r="JW218" s="84"/>
      <c r="JX218" s="71">
        <f t="shared" ref="JX218" ca="1" si="2143">SUM(JX210:JX217)</f>
        <v>0</v>
      </c>
      <c r="JY218" s="49"/>
      <c r="JZ218" s="84"/>
      <c r="KA218" s="71">
        <f t="shared" ref="KA218" ca="1" si="2144">SUM(KA210:KA217)</f>
        <v>0</v>
      </c>
      <c r="KB218" s="49"/>
      <c r="KC218" s="84"/>
      <c r="KD218" s="71">
        <f t="shared" ref="KD218" ca="1" si="2145">SUM(KD210:KD217)</f>
        <v>0</v>
      </c>
      <c r="KE218" s="49"/>
      <c r="KF218" s="84"/>
      <c r="KG218" s="71">
        <f t="shared" ref="KG218" ca="1" si="2146">SUM(KG210:KG217)</f>
        <v>0</v>
      </c>
      <c r="KH218" s="49"/>
      <c r="KI218" s="84"/>
      <c r="KJ218" s="71">
        <f t="shared" ref="KJ218" ca="1" si="2147">SUM(KJ210:KJ217)</f>
        <v>0</v>
      </c>
      <c r="KK218" s="49"/>
      <c r="KL218" s="84"/>
      <c r="KM218" s="71">
        <f t="shared" ref="KM218" ca="1" si="2148">SUM(KM210:KM217)</f>
        <v>0</v>
      </c>
      <c r="KN218" s="49"/>
      <c r="KO218" s="84"/>
      <c r="KP218" s="71">
        <f t="shared" ref="KP218" ca="1" si="2149">SUM(KP210:KP217)</f>
        <v>0</v>
      </c>
      <c r="KQ218" s="49"/>
      <c r="KR218" s="84"/>
      <c r="KS218" s="71">
        <f t="shared" ref="KS218" ca="1" si="2150">SUM(KS210:KS217)</f>
        <v>0</v>
      </c>
      <c r="KT218" s="49"/>
      <c r="KU218" s="84"/>
      <c r="KV218" s="71">
        <f t="shared" ref="KV218" ca="1" si="2151">SUM(KV210:KV217)</f>
        <v>0</v>
      </c>
      <c r="KW218" s="49"/>
      <c r="KX218" s="84"/>
      <c r="KY218" s="71">
        <f t="shared" ref="KY218" ca="1" si="2152">SUM(KY210:KY217)</f>
        <v>0</v>
      </c>
      <c r="KZ218" s="49"/>
      <c r="LA218" s="84"/>
      <c r="LB218" s="71">
        <f t="shared" ref="LB218" ca="1" si="2153">SUM(LB210:LB217)</f>
        <v>0</v>
      </c>
      <c r="LC218" s="49"/>
      <c r="LD218" s="84"/>
      <c r="LE218" s="71">
        <f t="shared" ref="LE218" ca="1" si="2154">SUM(LE210:LE217)</f>
        <v>0</v>
      </c>
      <c r="LF218" s="49"/>
      <c r="LG218" s="49"/>
    </row>
    <row r="219" spans="1:319">
      <c r="A219" s="25"/>
      <c r="B219" s="25"/>
      <c r="C219" s="25"/>
      <c r="D219" s="25"/>
      <c r="E219" s="25"/>
      <c r="F219" s="407"/>
      <c r="G219" s="407"/>
      <c r="H219" s="65"/>
      <c r="I219" s="52" t="s">
        <v>1578</v>
      </c>
      <c r="J219" s="94"/>
      <c r="K219" s="113" t="str">
        <f>Idiomas!D142</f>
        <v>QUARTERFINALS</v>
      </c>
      <c r="L219" s="50"/>
      <c r="M219" s="71"/>
      <c r="N219" s="25"/>
      <c r="O219" s="25"/>
      <c r="P219" s="25"/>
      <c r="Q219" s="25"/>
      <c r="R219" s="49"/>
      <c r="S219" s="84"/>
      <c r="T219" s="71"/>
      <c r="U219" s="49"/>
      <c r="V219" s="84"/>
      <c r="W219" s="71"/>
      <c r="X219" s="49"/>
      <c r="Y219" s="84"/>
      <c r="Z219" s="71"/>
      <c r="AA219" s="49"/>
      <c r="AB219" s="84"/>
      <c r="AC219" s="71"/>
      <c r="AD219" s="49"/>
      <c r="AE219" s="84"/>
      <c r="AF219" s="71"/>
      <c r="AG219" s="49"/>
      <c r="AH219" s="84"/>
      <c r="AI219" s="71"/>
      <c r="AJ219" s="49"/>
      <c r="AK219" s="84"/>
      <c r="AL219" s="71"/>
      <c r="AM219" s="49"/>
      <c r="AN219" s="84"/>
      <c r="AO219" s="71"/>
      <c r="AP219" s="49"/>
      <c r="AQ219" s="84"/>
      <c r="AR219" s="71"/>
      <c r="AS219" s="49"/>
      <c r="AT219" s="84"/>
      <c r="AU219" s="71"/>
      <c r="AV219" s="49"/>
      <c r="AW219" s="84"/>
      <c r="AX219" s="71"/>
      <c r="AY219" s="49"/>
      <c r="AZ219" s="84"/>
      <c r="BA219" s="71"/>
      <c r="BB219" s="49"/>
      <c r="BC219" s="84"/>
      <c r="BD219" s="71"/>
      <c r="BE219" s="49"/>
      <c r="BF219" s="84"/>
      <c r="BG219" s="71"/>
      <c r="BH219" s="49"/>
      <c r="BI219" s="84"/>
      <c r="BJ219" s="71"/>
      <c r="BK219" s="49"/>
      <c r="BL219" s="84"/>
      <c r="BM219" s="71"/>
      <c r="BN219" s="49"/>
      <c r="BO219" s="84"/>
      <c r="BP219" s="71"/>
      <c r="BQ219" s="49"/>
      <c r="BR219" s="84"/>
      <c r="BS219" s="71"/>
      <c r="BT219" s="49"/>
      <c r="BU219" s="84"/>
      <c r="BV219" s="71"/>
      <c r="BW219" s="49"/>
      <c r="BX219" s="84"/>
      <c r="BY219" s="71"/>
      <c r="BZ219" s="49"/>
      <c r="CA219" s="84"/>
      <c r="CB219" s="71"/>
      <c r="CC219" s="49"/>
      <c r="CD219" s="84"/>
      <c r="CE219" s="71"/>
      <c r="CF219" s="49"/>
      <c r="CG219" s="84"/>
      <c r="CH219" s="71"/>
      <c r="CI219" s="49"/>
      <c r="CJ219" s="84"/>
      <c r="CK219" s="71"/>
      <c r="CL219" s="49"/>
      <c r="CM219" s="84"/>
      <c r="CN219" s="71"/>
      <c r="CO219" s="49"/>
      <c r="CP219" s="84"/>
      <c r="CQ219" s="71"/>
      <c r="CR219" s="49"/>
      <c r="CS219" s="84"/>
      <c r="CT219" s="71"/>
      <c r="CU219" s="49"/>
      <c r="CV219" s="84"/>
      <c r="CW219" s="71"/>
      <c r="CX219" s="49"/>
      <c r="CY219" s="84"/>
      <c r="CZ219" s="71"/>
      <c r="DA219" s="49"/>
      <c r="DB219" s="84"/>
      <c r="DC219" s="71"/>
      <c r="DD219" s="49"/>
      <c r="DE219" s="84"/>
      <c r="DF219" s="71"/>
      <c r="DG219" s="49"/>
      <c r="DH219" s="84"/>
      <c r="DI219" s="71"/>
      <c r="DJ219" s="49"/>
      <c r="DK219" s="84"/>
      <c r="DL219" s="71"/>
      <c r="DM219" s="49"/>
      <c r="DN219" s="84"/>
      <c r="DO219" s="71"/>
      <c r="DP219" s="49"/>
      <c r="DQ219" s="84"/>
      <c r="DR219" s="71"/>
      <c r="DS219" s="49"/>
      <c r="DT219" s="84"/>
      <c r="DU219" s="71"/>
      <c r="DV219" s="49"/>
      <c r="DW219" s="84"/>
      <c r="DX219" s="71"/>
      <c r="DY219" s="49"/>
      <c r="DZ219" s="84"/>
      <c r="EA219" s="71"/>
      <c r="EB219" s="49"/>
      <c r="EC219" s="84"/>
      <c r="ED219" s="71"/>
      <c r="EE219" s="49"/>
      <c r="EF219" s="84"/>
      <c r="EG219" s="71"/>
      <c r="EH219" s="49"/>
      <c r="EI219" s="84"/>
      <c r="EJ219" s="71"/>
      <c r="EK219" s="49"/>
      <c r="EL219" s="84"/>
      <c r="EM219" s="71"/>
      <c r="EN219" s="49"/>
      <c r="EO219" s="84"/>
      <c r="EP219" s="71"/>
      <c r="EQ219" s="49"/>
      <c r="ER219" s="84"/>
      <c r="ES219" s="71"/>
      <c r="ET219" s="49"/>
      <c r="EU219" s="84"/>
      <c r="EV219" s="71"/>
      <c r="EW219" s="49"/>
      <c r="EX219" s="84"/>
      <c r="EY219" s="71"/>
      <c r="EZ219" s="49"/>
      <c r="FA219" s="84"/>
      <c r="FB219" s="71"/>
      <c r="FC219" s="49"/>
      <c r="FD219" s="84"/>
      <c r="FE219" s="71"/>
      <c r="FF219" s="49"/>
      <c r="FG219" s="84"/>
      <c r="FH219" s="71"/>
      <c r="FI219" s="49"/>
      <c r="FJ219" s="84"/>
      <c r="FK219" s="71"/>
      <c r="FL219" s="49"/>
      <c r="FM219" s="84"/>
      <c r="FN219" s="71"/>
      <c r="FO219" s="49"/>
      <c r="FP219" s="84"/>
      <c r="FQ219" s="71"/>
      <c r="FR219" s="49"/>
      <c r="FS219" s="84"/>
      <c r="FT219" s="71"/>
      <c r="FU219" s="49"/>
      <c r="FV219" s="84"/>
      <c r="FW219" s="71"/>
      <c r="FX219" s="49"/>
      <c r="FY219" s="84"/>
      <c r="FZ219" s="71"/>
      <c r="GA219" s="49"/>
      <c r="GB219" s="84"/>
      <c r="GC219" s="71"/>
      <c r="GD219" s="49"/>
      <c r="GE219" s="84"/>
      <c r="GF219" s="71"/>
      <c r="GG219" s="49"/>
      <c r="GH219" s="84"/>
      <c r="GI219" s="71"/>
      <c r="GJ219" s="49"/>
      <c r="GK219" s="84"/>
      <c r="GL219" s="71"/>
      <c r="GM219" s="49"/>
      <c r="GN219" s="84"/>
      <c r="GO219" s="71"/>
      <c r="GP219" s="49"/>
      <c r="GQ219" s="84"/>
      <c r="GR219" s="71"/>
      <c r="GS219" s="49"/>
      <c r="GT219" s="84"/>
      <c r="GU219" s="71"/>
      <c r="GV219" s="49"/>
      <c r="GW219" s="84"/>
      <c r="GX219" s="71"/>
      <c r="GY219" s="49"/>
      <c r="GZ219" s="84"/>
      <c r="HA219" s="71"/>
      <c r="HB219" s="49"/>
      <c r="HC219" s="84"/>
      <c r="HD219" s="71"/>
      <c r="HE219" s="49"/>
      <c r="HF219" s="84"/>
      <c r="HG219" s="71"/>
      <c r="HH219" s="49"/>
      <c r="HI219" s="84"/>
      <c r="HJ219" s="71"/>
      <c r="HK219" s="49"/>
      <c r="HL219" s="84"/>
      <c r="HM219" s="71"/>
      <c r="HN219" s="49"/>
      <c r="HO219" s="84"/>
      <c r="HP219" s="71"/>
      <c r="HQ219" s="49"/>
      <c r="HR219" s="84"/>
      <c r="HS219" s="71"/>
      <c r="HT219" s="49"/>
      <c r="HU219" s="84"/>
      <c r="HV219" s="71"/>
      <c r="HW219" s="49"/>
      <c r="HX219" s="84"/>
      <c r="HY219" s="71"/>
      <c r="HZ219" s="49"/>
      <c r="IA219" s="84"/>
      <c r="IB219" s="71"/>
      <c r="IC219" s="49"/>
      <c r="ID219" s="84"/>
      <c r="IE219" s="71"/>
      <c r="IF219" s="49"/>
      <c r="IG219" s="84"/>
      <c r="IH219" s="71"/>
      <c r="II219" s="49"/>
      <c r="IJ219" s="84"/>
      <c r="IK219" s="71"/>
      <c r="IL219" s="49"/>
      <c r="IM219" s="84"/>
      <c r="IN219" s="71"/>
      <c r="IO219" s="49"/>
      <c r="IP219" s="84"/>
      <c r="IQ219" s="71"/>
      <c r="IR219" s="49"/>
      <c r="IS219" s="84"/>
      <c r="IT219" s="71"/>
      <c r="IU219" s="49"/>
      <c r="IV219" s="84"/>
      <c r="IW219" s="71"/>
      <c r="IX219" s="49"/>
      <c r="IY219" s="84"/>
      <c r="IZ219" s="71"/>
      <c r="JA219" s="49"/>
      <c r="JB219" s="84"/>
      <c r="JC219" s="71"/>
      <c r="JD219" s="49"/>
      <c r="JE219" s="84"/>
      <c r="JF219" s="71"/>
      <c r="JG219" s="49"/>
      <c r="JH219" s="84"/>
      <c r="JI219" s="71"/>
      <c r="JJ219" s="49"/>
      <c r="JK219" s="84"/>
      <c r="JL219" s="71"/>
      <c r="JM219" s="49"/>
      <c r="JN219" s="84"/>
      <c r="JO219" s="71"/>
      <c r="JP219" s="49"/>
      <c r="JQ219" s="84"/>
      <c r="JR219" s="71"/>
      <c r="JS219" s="49"/>
      <c r="JT219" s="84"/>
      <c r="JU219" s="71"/>
      <c r="JV219" s="49"/>
      <c r="JW219" s="84"/>
      <c r="JX219" s="71"/>
      <c r="JY219" s="49"/>
      <c r="JZ219" s="84"/>
      <c r="KA219" s="71"/>
      <c r="KB219" s="49"/>
      <c r="KC219" s="84"/>
      <c r="KD219" s="71"/>
      <c r="KE219" s="49"/>
      <c r="KF219" s="84"/>
      <c r="KG219" s="71"/>
      <c r="KH219" s="49"/>
      <c r="KI219" s="84"/>
      <c r="KJ219" s="71"/>
      <c r="KK219" s="49"/>
      <c r="KL219" s="84"/>
      <c r="KM219" s="71"/>
      <c r="KN219" s="49"/>
      <c r="KO219" s="84"/>
      <c r="KP219" s="71"/>
      <c r="KQ219" s="49"/>
      <c r="KR219" s="84"/>
      <c r="KS219" s="71"/>
      <c r="KT219" s="49"/>
      <c r="KU219" s="84"/>
      <c r="KV219" s="71"/>
      <c r="KW219" s="49"/>
      <c r="KX219" s="84"/>
      <c r="KY219" s="71"/>
      <c r="KZ219" s="49"/>
      <c r="LA219" s="84"/>
      <c r="LB219" s="71"/>
      <c r="LC219" s="49"/>
      <c r="LD219" s="84"/>
      <c r="LE219" s="71"/>
      <c r="LF219" s="49"/>
      <c r="LG219" s="49"/>
    </row>
    <row r="220" spans="1:319">
      <c r="A220" s="25">
        <f>WORLDCUP!AD131</f>
        <v>0</v>
      </c>
      <c r="B220" s="25">
        <f>WORLDCUP!AC131</f>
        <v>2</v>
      </c>
      <c r="C220" s="25" t="str">
        <f ca="1">CONCATENATE(WORLDCUP!AF131,"-",WORLDCUP!AA131)</f>
        <v>Morocco-France</v>
      </c>
      <c r="D220" s="25">
        <f>IF(WORLDCUP!AC131&gt;WORLDCUP!AD131,2,IF(WORLDCUP!AC131&lt;WORLDCUP!AD131,1,IF(AND(WORLDCUP!AC131=WORLDCUP!AD131,WORLDCUP!AC131&lt;&gt;"",WORLDCUP!AD131&lt;&gt;""),0,"PD")))</f>
        <v>2</v>
      </c>
      <c r="E220" s="25" t="str">
        <f>IF(OR(WORLDCUP!AD131="",WORLDCUP!AC131=""),"-",A220&amp;"-"&amp;B220)</f>
        <v>0-2</v>
      </c>
      <c r="F220" s="407">
        <f>SUM($D$24:$D$26)*I220</f>
        <v>20</v>
      </c>
      <c r="G220" s="407">
        <f ca="1">VLOOKUP(H220,Equipos!$Q$1:$R$25,2,0)</f>
        <v>22</v>
      </c>
      <c r="H220" s="65" t="str">
        <f>Idiomas!$D$262</f>
        <v>Quarterfinals</v>
      </c>
      <c r="I220" s="43">
        <v>1</v>
      </c>
      <c r="J220" s="845" t="s">
        <v>34</v>
      </c>
      <c r="K220" s="53" t="str">
        <f ca="1">CONCATENATE(WORLDCUP!AA131,"-",WORLDCUP!AF131)</f>
        <v>France-Morocco</v>
      </c>
      <c r="L220" s="53">
        <f>IF(OR(WORLDCUP!AC131="",WORLDCUP!AD131=""),"PD",IF(WORLDCUP!AC131&gt;WORLDCUP!AD131,1,IF(WORLDCUP!AC131&lt;WORLDCUP!AD131,2,0)))</f>
        <v>1</v>
      </c>
      <c r="M220" s="55" t="str">
        <f t="shared" ref="M220:M223" si="2155">IF(L220="PD","-",N220&amp;"-"&amp;O220)</f>
        <v>2-0</v>
      </c>
      <c r="N220" s="25">
        <f>WORLDCUP!AC131</f>
        <v>2</v>
      </c>
      <c r="O220" s="25">
        <f>WORLDCUP!AD131</f>
        <v>0</v>
      </c>
      <c r="P220" s="25">
        <f t="shared" ref="P220:P223" si="2156">+N220-O220</f>
        <v>2</v>
      </c>
      <c r="Q220" s="25">
        <f>+A220-B220</f>
        <v>-2</v>
      </c>
      <c r="R220" s="110"/>
      <c r="S220" s="76" t="s">
        <v>1986</v>
      </c>
      <c r="T220" s="77">
        <f ca="1">IFERROR(IF(COUNTIF($K$220:$K$223,LEFT(S220,FIND("·",S220)-1))&gt;0,IF(INDEX($L$220:$L$223,MATCH(LEFT(S220,FIND("·",S220)-1),$K$220:$K$223,0))=IFERROR(VALUE(MID(S220,FIND("·",S220)+1,1)),0),($D$24+(INDEX($M$220:$M$223,MATCH(LEFT(S220,FIND("·",S220)-1),$K$220:$K$223,0))=MID(S220,FIND("|",S220)+1,10))*$D$26+MAX(0,IF($D$50=1,$D$25*(1-(ABS(INDEX($P$220:$P$223,MATCH(LEFT(S220,FIND("·",S220)-1),$K$220:$K$223,0))-(VALUE(MID(S220,FIND("|",S220)+1,FIND("-",S220,FIND("|",S220))-FIND("|",S220)-1))-VALUE(MID(S220,FIND("-",S220,FIND("|",S220))+1,10)))))*$D$50),$D$25*(1-(IF(INDEX($L$220:$L$223,MATCH(LEFT(S220,FIND("·",S220)-1),$K$220:$K$223,0))=0,ABS(INDEX($N$220:$N$223,MATCH(LEFT(S220,FIND("·",S220)-1),$K$220:$K$223,0))-VALUE(MID(S220,FIND("|",S220)+1,FIND("-",S220,FIND("|",S220))-FIND("|",S220)-1))),ABS(INDEX($P$220:$P$223,MATCH(LEFT(S220,FIND("·",S220)-1),$K$220:$K$223,0))-(VALUE(MID(S220,FIND("|",S220)+1,FIND("-",S220,FIND("|",S220))-FIND("|",S220)-1))-VALUE(MID(S220,FIND("-",S220,FIND("|",S220))+1,10)))))*$D$50)))))*INDEX($I$220:$I$223,MATCH(LEFT(S220,FIND("·",S220)-1),$K$220:$K$223,0)),0),0),0)+IFERROR(IF(COUNTIF($C$220:$C$223,LEFT(S220,FIND("·",S220)-1))&gt;0,IF(INDEX($D$220:$D$223,MATCH(LEFT(S220,FIND("·",S220)-1),$C$220:$C$223,0))=IFERROR(VALUE(MID(S220,FIND("·",S220)+1,1)),0),($D$24+(INDEX($E$220:$E$223,MATCH(LEFT(S220,FIND("·",S220)-1),$C$220:$C$223,0))=MID(S220,FIND("|",S220)+1,10))*$D$26+MAX(0,IF($D$50=1,$D$25*(1-(ABS(INDEX($Q$220:$Q$223,MATCH(LEFT(S220,FIND("·",S220)-1),$C$220:$C$223,0))-(VALUE(MID(S220,FIND("|",S220)+1,FIND("-",S220,FIND("|",S220))-FIND("|",S220)-1))-VALUE(MID(S220,FIND("-",S220,FIND("|",S220))+1,10)))))*$D$50),$D$25*(1-(IF(INDEX($D$220:$D$223,MATCH(LEFT(S220,FIND("·",S220)-1),$C$220:$C$223,0))=0,ABS(INDEX($A$220:$A$223,MATCH(LEFT(S220,FIND("·",S220)-1),$C$220:$C$223,0))-VALUE(MID(S220,FIND("|",S220)+1,FIND("-",S220,FIND("|",S220))-FIND("|",S220)-1))),ABS(INDEX($Q$220:$Q$223,MATCH(LEFT(S220,FIND("·",S220)-1),$C$220:$C$223,0))-(VALUE(MID(S220,FIND("|",S220)+1,FIND("-",S220,FIND("|",S220))-FIND("|",S220)-1))-VALUE(MID(S220,FIND("-",S220,FIND("|",S220))+1,10)))))*$D$50)))))*INDEX($I$220:$I$223,MATCH(LEFT(S220,FIND("·",S220)-1),$C$220:$C$223,0)),0),0),0)</f>
        <v>0</v>
      </c>
      <c r="U220" s="110"/>
      <c r="V220" s="76" t="s">
        <v>2025</v>
      </c>
      <c r="W220" s="77">
        <f t="shared" ref="W220:CH223" ca="1" si="2157">IFERROR(IF(COUNTIF($K$220:$K$223,LEFT(V220,FIND("·",V220)-1))&gt;0,IF(INDEX($L$220:$L$223,MATCH(LEFT(V220,FIND("·",V220)-1),$K$220:$K$223,0))=IFERROR(VALUE(MID(V220,FIND("·",V220)+1,1)),0),($D$24+(INDEX($M$220:$M$223,MATCH(LEFT(V220,FIND("·",V220)-1),$K$220:$K$223,0))=MID(V220,FIND("|",V220)+1,10))*$D$26+MAX(0,IF($D$50=1,$D$25*(1-(ABS(INDEX($P$220:$P$223,MATCH(LEFT(V220,FIND("·",V220)-1),$K$220:$K$223,0))-(VALUE(MID(V220,FIND("|",V220)+1,FIND("-",V220,FIND("|",V220))-FIND("|",V220)-1))-VALUE(MID(V220,FIND("-",V220,FIND("|",V220))+1,10)))))*$D$50),$D$25*(1-(IF(INDEX($L$220:$L$223,MATCH(LEFT(V220,FIND("·",V220)-1),$K$220:$K$223,0))=0,ABS(INDEX($N$220:$N$223,MATCH(LEFT(V220,FIND("·",V220)-1),$K$220:$K$223,0))-VALUE(MID(V220,FIND("|",V220)+1,FIND("-",V220,FIND("|",V220))-FIND("|",V220)-1))),ABS(INDEX($P$220:$P$223,MATCH(LEFT(V220,FIND("·",V220)-1),$K$220:$K$223,0))-(VALUE(MID(V220,FIND("|",V220)+1,FIND("-",V220,FIND("|",V220))-FIND("|",V220)-1))-VALUE(MID(V220,FIND("-",V220,FIND("|",V220))+1,10)))))*$D$50)))))*INDEX($I$220:$I$223,MATCH(LEFT(V220,FIND("·",V220)-1),$K$220:$K$223,0)),0),0),0)+IFERROR(IF(COUNTIF($C$220:$C$223,LEFT(V220,FIND("·",V220)-1))&gt;0,IF(INDEX($D$220:$D$223,MATCH(LEFT(V220,FIND("·",V220)-1),$C$220:$C$223,0))=IFERROR(VALUE(MID(V220,FIND("·",V220)+1,1)),0),($D$24+(INDEX($E$220:$E$223,MATCH(LEFT(V220,FIND("·",V220)-1),$C$220:$C$223,0))=MID(V220,FIND("|",V220)+1,10))*$D$26+MAX(0,IF($D$50=1,$D$25*(1-(ABS(INDEX($Q$220:$Q$223,MATCH(LEFT(V220,FIND("·",V220)-1),$C$220:$C$223,0))-(VALUE(MID(V220,FIND("|",V220)+1,FIND("-",V220,FIND("|",V220))-FIND("|",V220)-1))-VALUE(MID(V220,FIND("-",V220,FIND("|",V220))+1,10)))))*$D$50),$D$25*(1-(IF(INDEX($D$220:$D$223,MATCH(LEFT(V220,FIND("·",V220)-1),$C$220:$C$223,0))=0,ABS(INDEX($A$220:$A$223,MATCH(LEFT(V220,FIND("·",V220)-1),$C$220:$C$223,0))-VALUE(MID(V220,FIND("|",V220)+1,FIND("-",V220,FIND("|",V220))-FIND("|",V220)-1))),ABS(INDEX($Q$220:$Q$223,MATCH(LEFT(V220,FIND("·",V220)-1),$C$220:$C$223,0))-(VALUE(MID(V220,FIND("|",V220)+1,FIND("-",V220,FIND("|",V220))-FIND("|",V220)-1))-VALUE(MID(V220,FIND("-",V220,FIND("|",V220))+1,10)))))*$D$50)))))*INDEX($I$220:$I$223,MATCH(LEFT(V220,FIND("·",V220)-1),$C$220:$C$223,0)),0),0),0)</f>
        <v>0</v>
      </c>
      <c r="X220" s="110"/>
      <c r="Y220" s="76" t="s">
        <v>2059</v>
      </c>
      <c r="Z220" s="77">
        <f t="shared" ref="Z220" ca="1" si="2158">IFERROR(IF(COUNTIF($K$220:$K$223,LEFT(Y220,FIND("·",Y220)-1))&gt;0,IF(INDEX($L$220:$L$223,MATCH(LEFT(Y220,FIND("·",Y220)-1),$K$220:$K$223,0))=IFERROR(VALUE(MID(Y220,FIND("·",Y220)+1,1)),0),($D$24+(INDEX($M$220:$M$223,MATCH(LEFT(Y220,FIND("·",Y220)-1),$K$220:$K$223,0))=MID(Y220,FIND("|",Y220)+1,10))*$D$26+MAX(0,IF($D$50=1,$D$25*(1-(ABS(INDEX($P$220:$P$223,MATCH(LEFT(Y220,FIND("·",Y220)-1),$K$220:$K$223,0))-(VALUE(MID(Y220,FIND("|",Y220)+1,FIND("-",Y220,FIND("|",Y220))-FIND("|",Y220)-1))-VALUE(MID(Y220,FIND("-",Y220,FIND("|",Y220))+1,10)))))*$D$50),$D$25*(1-(IF(INDEX($L$220:$L$223,MATCH(LEFT(Y220,FIND("·",Y220)-1),$K$220:$K$223,0))=0,ABS(INDEX($N$220:$N$223,MATCH(LEFT(Y220,FIND("·",Y220)-1),$K$220:$K$223,0))-VALUE(MID(Y220,FIND("|",Y220)+1,FIND("-",Y220,FIND("|",Y220))-FIND("|",Y220)-1))),ABS(INDEX($P$220:$P$223,MATCH(LEFT(Y220,FIND("·",Y220)-1),$K$220:$K$223,0))-(VALUE(MID(Y220,FIND("|",Y220)+1,FIND("-",Y220,FIND("|",Y220))-FIND("|",Y220)-1))-VALUE(MID(Y220,FIND("-",Y220,FIND("|",Y220))+1,10)))))*$D$50)))))*INDEX($I$220:$I$223,MATCH(LEFT(Y220,FIND("·",Y220)-1),$K$220:$K$223,0)),0),0),0)+IFERROR(IF(COUNTIF($C$220:$C$223,LEFT(Y220,FIND("·",Y220)-1))&gt;0,IF(INDEX($D$220:$D$223,MATCH(LEFT(Y220,FIND("·",Y220)-1),$C$220:$C$223,0))=IFERROR(VALUE(MID(Y220,FIND("·",Y220)+1,1)),0),($D$24+(INDEX($E$220:$E$223,MATCH(LEFT(Y220,FIND("·",Y220)-1),$C$220:$C$223,0))=MID(Y220,FIND("|",Y220)+1,10))*$D$26+MAX(0,IF($D$50=1,$D$25*(1-(ABS(INDEX($Q$220:$Q$223,MATCH(LEFT(Y220,FIND("·",Y220)-1),$C$220:$C$223,0))-(VALUE(MID(Y220,FIND("|",Y220)+1,FIND("-",Y220,FIND("|",Y220))-FIND("|",Y220)-1))-VALUE(MID(Y220,FIND("-",Y220,FIND("|",Y220))+1,10)))))*$D$50),$D$25*(1-(IF(INDEX($D$220:$D$223,MATCH(LEFT(Y220,FIND("·",Y220)-1),$C$220:$C$223,0))=0,ABS(INDEX($A$220:$A$223,MATCH(LEFT(Y220,FIND("·",Y220)-1),$C$220:$C$223,0))-VALUE(MID(Y220,FIND("|",Y220)+1,FIND("-",Y220,FIND("|",Y220))-FIND("|",Y220)-1))),ABS(INDEX($Q$220:$Q$223,MATCH(LEFT(Y220,FIND("·",Y220)-1),$C$220:$C$223,0))-(VALUE(MID(Y220,FIND("|",Y220)+1,FIND("-",Y220,FIND("|",Y220))-FIND("|",Y220)-1))-VALUE(MID(Y220,FIND("-",Y220,FIND("|",Y220))+1,10)))))*$D$50)))))*INDEX($I$220:$I$223,MATCH(LEFT(Y220,FIND("·",Y220)-1),$C$220:$C$223,0)),0),0),0)</f>
        <v>0</v>
      </c>
      <c r="AA220" s="110"/>
      <c r="AB220" s="76" t="s">
        <v>2093</v>
      </c>
      <c r="AC220" s="77">
        <f t="shared" ref="AC220" ca="1" si="2159">IFERROR(IF(COUNTIF($K$220:$K$223,LEFT(AB220,FIND("·",AB220)-1))&gt;0,IF(INDEX($L$220:$L$223,MATCH(LEFT(AB220,FIND("·",AB220)-1),$K$220:$K$223,0))=IFERROR(VALUE(MID(AB220,FIND("·",AB220)+1,1)),0),($D$24+(INDEX($M$220:$M$223,MATCH(LEFT(AB220,FIND("·",AB220)-1),$K$220:$K$223,0))=MID(AB220,FIND("|",AB220)+1,10))*$D$26+MAX(0,IF($D$50=1,$D$25*(1-(ABS(INDEX($P$220:$P$223,MATCH(LEFT(AB220,FIND("·",AB220)-1),$K$220:$K$223,0))-(VALUE(MID(AB220,FIND("|",AB220)+1,FIND("-",AB220,FIND("|",AB220))-FIND("|",AB220)-1))-VALUE(MID(AB220,FIND("-",AB220,FIND("|",AB220))+1,10)))))*$D$50),$D$25*(1-(IF(INDEX($L$220:$L$223,MATCH(LEFT(AB220,FIND("·",AB220)-1),$K$220:$K$223,0))=0,ABS(INDEX($N$220:$N$223,MATCH(LEFT(AB220,FIND("·",AB220)-1),$K$220:$K$223,0))-VALUE(MID(AB220,FIND("|",AB220)+1,FIND("-",AB220,FIND("|",AB220))-FIND("|",AB220)-1))),ABS(INDEX($P$220:$P$223,MATCH(LEFT(AB220,FIND("·",AB220)-1),$K$220:$K$223,0))-(VALUE(MID(AB220,FIND("|",AB220)+1,FIND("-",AB220,FIND("|",AB220))-FIND("|",AB220)-1))-VALUE(MID(AB220,FIND("-",AB220,FIND("|",AB220))+1,10)))))*$D$50)))))*INDEX($I$220:$I$223,MATCH(LEFT(AB220,FIND("·",AB220)-1),$K$220:$K$223,0)),0),0),0)+IFERROR(IF(COUNTIF($C$220:$C$223,LEFT(AB220,FIND("·",AB220)-1))&gt;0,IF(INDEX($D$220:$D$223,MATCH(LEFT(AB220,FIND("·",AB220)-1),$C$220:$C$223,0))=IFERROR(VALUE(MID(AB220,FIND("·",AB220)+1,1)),0),($D$24+(INDEX($E$220:$E$223,MATCH(LEFT(AB220,FIND("·",AB220)-1),$C$220:$C$223,0))=MID(AB220,FIND("|",AB220)+1,10))*$D$26+MAX(0,IF($D$50=1,$D$25*(1-(ABS(INDEX($Q$220:$Q$223,MATCH(LEFT(AB220,FIND("·",AB220)-1),$C$220:$C$223,0))-(VALUE(MID(AB220,FIND("|",AB220)+1,FIND("-",AB220,FIND("|",AB220))-FIND("|",AB220)-1))-VALUE(MID(AB220,FIND("-",AB220,FIND("|",AB220))+1,10)))))*$D$50),$D$25*(1-(IF(INDEX($D$220:$D$223,MATCH(LEFT(AB220,FIND("·",AB220)-1),$C$220:$C$223,0))=0,ABS(INDEX($A$220:$A$223,MATCH(LEFT(AB220,FIND("·",AB220)-1),$C$220:$C$223,0))-VALUE(MID(AB220,FIND("|",AB220)+1,FIND("-",AB220,FIND("|",AB220))-FIND("|",AB220)-1))),ABS(INDEX($Q$220:$Q$223,MATCH(LEFT(AB220,FIND("·",AB220)-1),$C$220:$C$223,0))-(VALUE(MID(AB220,FIND("|",AB220)+1,FIND("-",AB220,FIND("|",AB220))-FIND("|",AB220)-1))-VALUE(MID(AB220,FIND("-",AB220,FIND("|",AB220))+1,10)))))*$D$50)))))*INDEX($I$220:$I$223,MATCH(LEFT(AB220,FIND("·",AB220)-1),$C$220:$C$223,0)),0),0),0)</f>
        <v>0</v>
      </c>
      <c r="AD220" s="110"/>
      <c r="AE220" s="76" t="s">
        <v>2093</v>
      </c>
      <c r="AF220" s="77">
        <f t="shared" ref="AF220" ca="1" si="2160">IFERROR(IF(COUNTIF($K$220:$K$223,LEFT(AE220,FIND("·",AE220)-1))&gt;0,IF(INDEX($L$220:$L$223,MATCH(LEFT(AE220,FIND("·",AE220)-1),$K$220:$K$223,0))=IFERROR(VALUE(MID(AE220,FIND("·",AE220)+1,1)),0),($D$24+(INDEX($M$220:$M$223,MATCH(LEFT(AE220,FIND("·",AE220)-1),$K$220:$K$223,0))=MID(AE220,FIND("|",AE220)+1,10))*$D$26+MAX(0,IF($D$50=1,$D$25*(1-(ABS(INDEX($P$220:$P$223,MATCH(LEFT(AE220,FIND("·",AE220)-1),$K$220:$K$223,0))-(VALUE(MID(AE220,FIND("|",AE220)+1,FIND("-",AE220,FIND("|",AE220))-FIND("|",AE220)-1))-VALUE(MID(AE220,FIND("-",AE220,FIND("|",AE220))+1,10)))))*$D$50),$D$25*(1-(IF(INDEX($L$220:$L$223,MATCH(LEFT(AE220,FIND("·",AE220)-1),$K$220:$K$223,0))=0,ABS(INDEX($N$220:$N$223,MATCH(LEFT(AE220,FIND("·",AE220)-1),$K$220:$K$223,0))-VALUE(MID(AE220,FIND("|",AE220)+1,FIND("-",AE220,FIND("|",AE220))-FIND("|",AE220)-1))),ABS(INDEX($P$220:$P$223,MATCH(LEFT(AE220,FIND("·",AE220)-1),$K$220:$K$223,0))-(VALUE(MID(AE220,FIND("|",AE220)+1,FIND("-",AE220,FIND("|",AE220))-FIND("|",AE220)-1))-VALUE(MID(AE220,FIND("-",AE220,FIND("|",AE220))+1,10)))))*$D$50)))))*INDEX($I$220:$I$223,MATCH(LEFT(AE220,FIND("·",AE220)-1),$K$220:$K$223,0)),0),0),0)+IFERROR(IF(COUNTIF($C$220:$C$223,LEFT(AE220,FIND("·",AE220)-1))&gt;0,IF(INDEX($D$220:$D$223,MATCH(LEFT(AE220,FIND("·",AE220)-1),$C$220:$C$223,0))=IFERROR(VALUE(MID(AE220,FIND("·",AE220)+1,1)),0),($D$24+(INDEX($E$220:$E$223,MATCH(LEFT(AE220,FIND("·",AE220)-1),$C$220:$C$223,0))=MID(AE220,FIND("|",AE220)+1,10))*$D$26+MAX(0,IF($D$50=1,$D$25*(1-(ABS(INDEX($Q$220:$Q$223,MATCH(LEFT(AE220,FIND("·",AE220)-1),$C$220:$C$223,0))-(VALUE(MID(AE220,FIND("|",AE220)+1,FIND("-",AE220,FIND("|",AE220))-FIND("|",AE220)-1))-VALUE(MID(AE220,FIND("-",AE220,FIND("|",AE220))+1,10)))))*$D$50),$D$25*(1-(IF(INDEX($D$220:$D$223,MATCH(LEFT(AE220,FIND("·",AE220)-1),$C$220:$C$223,0))=0,ABS(INDEX($A$220:$A$223,MATCH(LEFT(AE220,FIND("·",AE220)-1),$C$220:$C$223,0))-VALUE(MID(AE220,FIND("|",AE220)+1,FIND("-",AE220,FIND("|",AE220))-FIND("|",AE220)-1))),ABS(INDEX($Q$220:$Q$223,MATCH(LEFT(AE220,FIND("·",AE220)-1),$C$220:$C$223,0))-(VALUE(MID(AE220,FIND("|",AE220)+1,FIND("-",AE220,FIND("|",AE220))-FIND("|",AE220)-1))-VALUE(MID(AE220,FIND("-",AE220,FIND("|",AE220))+1,10)))))*$D$50)))))*INDEX($I$220:$I$223,MATCH(LEFT(AE220,FIND("·",AE220)-1),$C$220:$C$223,0)),0),0),0)</f>
        <v>0</v>
      </c>
      <c r="AG220" s="110"/>
      <c r="AH220" s="76" t="s">
        <v>2155</v>
      </c>
      <c r="AI220" s="77">
        <f t="shared" ref="AI220" ca="1" si="2161">IFERROR(IF(COUNTIF($K$220:$K$223,LEFT(AH220,FIND("·",AH220)-1))&gt;0,IF(INDEX($L$220:$L$223,MATCH(LEFT(AH220,FIND("·",AH220)-1),$K$220:$K$223,0))=IFERROR(VALUE(MID(AH220,FIND("·",AH220)+1,1)),0),($D$24+(INDEX($M$220:$M$223,MATCH(LEFT(AH220,FIND("·",AH220)-1),$K$220:$K$223,0))=MID(AH220,FIND("|",AH220)+1,10))*$D$26+MAX(0,IF($D$50=1,$D$25*(1-(ABS(INDEX($P$220:$P$223,MATCH(LEFT(AH220,FIND("·",AH220)-1),$K$220:$K$223,0))-(VALUE(MID(AH220,FIND("|",AH220)+1,FIND("-",AH220,FIND("|",AH220))-FIND("|",AH220)-1))-VALUE(MID(AH220,FIND("-",AH220,FIND("|",AH220))+1,10)))))*$D$50),$D$25*(1-(IF(INDEX($L$220:$L$223,MATCH(LEFT(AH220,FIND("·",AH220)-1),$K$220:$K$223,0))=0,ABS(INDEX($N$220:$N$223,MATCH(LEFT(AH220,FIND("·",AH220)-1),$K$220:$K$223,0))-VALUE(MID(AH220,FIND("|",AH220)+1,FIND("-",AH220,FIND("|",AH220))-FIND("|",AH220)-1))),ABS(INDEX($P$220:$P$223,MATCH(LEFT(AH220,FIND("·",AH220)-1),$K$220:$K$223,0))-(VALUE(MID(AH220,FIND("|",AH220)+1,FIND("-",AH220,FIND("|",AH220))-FIND("|",AH220)-1))-VALUE(MID(AH220,FIND("-",AH220,FIND("|",AH220))+1,10)))))*$D$50)))))*INDEX($I$220:$I$223,MATCH(LEFT(AH220,FIND("·",AH220)-1),$K$220:$K$223,0)),0),0),0)+IFERROR(IF(COUNTIF($C$220:$C$223,LEFT(AH220,FIND("·",AH220)-1))&gt;0,IF(INDEX($D$220:$D$223,MATCH(LEFT(AH220,FIND("·",AH220)-1),$C$220:$C$223,0))=IFERROR(VALUE(MID(AH220,FIND("·",AH220)+1,1)),0),($D$24+(INDEX($E$220:$E$223,MATCH(LEFT(AH220,FIND("·",AH220)-1),$C$220:$C$223,0))=MID(AH220,FIND("|",AH220)+1,10))*$D$26+MAX(0,IF($D$50=1,$D$25*(1-(ABS(INDEX($Q$220:$Q$223,MATCH(LEFT(AH220,FIND("·",AH220)-1),$C$220:$C$223,0))-(VALUE(MID(AH220,FIND("|",AH220)+1,FIND("-",AH220,FIND("|",AH220))-FIND("|",AH220)-1))-VALUE(MID(AH220,FIND("-",AH220,FIND("|",AH220))+1,10)))))*$D$50),$D$25*(1-(IF(INDEX($D$220:$D$223,MATCH(LEFT(AH220,FIND("·",AH220)-1),$C$220:$C$223,0))=0,ABS(INDEX($A$220:$A$223,MATCH(LEFT(AH220,FIND("·",AH220)-1),$C$220:$C$223,0))-VALUE(MID(AH220,FIND("|",AH220)+1,FIND("-",AH220,FIND("|",AH220))-FIND("|",AH220)-1))),ABS(INDEX($Q$220:$Q$223,MATCH(LEFT(AH220,FIND("·",AH220)-1),$C$220:$C$223,0))-(VALUE(MID(AH220,FIND("|",AH220)+1,FIND("-",AH220,FIND("|",AH220))-FIND("|",AH220)-1))-VALUE(MID(AH220,FIND("-",AH220,FIND("|",AH220))+1,10)))))*$D$50)))))*INDEX($I$220:$I$223,MATCH(LEFT(AH220,FIND("·",AH220)-1),$C$220:$C$223,0)),0),0),0)</f>
        <v>0</v>
      </c>
      <c r="AJ220" s="110"/>
      <c r="AK220" s="76" t="s">
        <v>2093</v>
      </c>
      <c r="AL220" s="77">
        <f t="shared" ref="AL220" ca="1" si="2162">IFERROR(IF(COUNTIF($K$220:$K$223,LEFT(AK220,FIND("·",AK220)-1))&gt;0,IF(INDEX($L$220:$L$223,MATCH(LEFT(AK220,FIND("·",AK220)-1),$K$220:$K$223,0))=IFERROR(VALUE(MID(AK220,FIND("·",AK220)+1,1)),0),($D$24+(INDEX($M$220:$M$223,MATCH(LEFT(AK220,FIND("·",AK220)-1),$K$220:$K$223,0))=MID(AK220,FIND("|",AK220)+1,10))*$D$26+MAX(0,IF($D$50=1,$D$25*(1-(ABS(INDEX($P$220:$P$223,MATCH(LEFT(AK220,FIND("·",AK220)-1),$K$220:$K$223,0))-(VALUE(MID(AK220,FIND("|",AK220)+1,FIND("-",AK220,FIND("|",AK220))-FIND("|",AK220)-1))-VALUE(MID(AK220,FIND("-",AK220,FIND("|",AK220))+1,10)))))*$D$50),$D$25*(1-(IF(INDEX($L$220:$L$223,MATCH(LEFT(AK220,FIND("·",AK220)-1),$K$220:$K$223,0))=0,ABS(INDEX($N$220:$N$223,MATCH(LEFT(AK220,FIND("·",AK220)-1),$K$220:$K$223,0))-VALUE(MID(AK220,FIND("|",AK220)+1,FIND("-",AK220,FIND("|",AK220))-FIND("|",AK220)-1))),ABS(INDEX($P$220:$P$223,MATCH(LEFT(AK220,FIND("·",AK220)-1),$K$220:$K$223,0))-(VALUE(MID(AK220,FIND("|",AK220)+1,FIND("-",AK220,FIND("|",AK220))-FIND("|",AK220)-1))-VALUE(MID(AK220,FIND("-",AK220,FIND("|",AK220))+1,10)))))*$D$50)))))*INDEX($I$220:$I$223,MATCH(LEFT(AK220,FIND("·",AK220)-1),$K$220:$K$223,0)),0),0),0)+IFERROR(IF(COUNTIF($C$220:$C$223,LEFT(AK220,FIND("·",AK220)-1))&gt;0,IF(INDEX($D$220:$D$223,MATCH(LEFT(AK220,FIND("·",AK220)-1),$C$220:$C$223,0))=IFERROR(VALUE(MID(AK220,FIND("·",AK220)+1,1)),0),($D$24+(INDEX($E$220:$E$223,MATCH(LEFT(AK220,FIND("·",AK220)-1),$C$220:$C$223,0))=MID(AK220,FIND("|",AK220)+1,10))*$D$26+MAX(0,IF($D$50=1,$D$25*(1-(ABS(INDEX($Q$220:$Q$223,MATCH(LEFT(AK220,FIND("·",AK220)-1),$C$220:$C$223,0))-(VALUE(MID(AK220,FIND("|",AK220)+1,FIND("-",AK220,FIND("|",AK220))-FIND("|",AK220)-1))-VALUE(MID(AK220,FIND("-",AK220,FIND("|",AK220))+1,10)))))*$D$50),$D$25*(1-(IF(INDEX($D$220:$D$223,MATCH(LEFT(AK220,FIND("·",AK220)-1),$C$220:$C$223,0))=0,ABS(INDEX($A$220:$A$223,MATCH(LEFT(AK220,FIND("·",AK220)-1),$C$220:$C$223,0))-VALUE(MID(AK220,FIND("|",AK220)+1,FIND("-",AK220,FIND("|",AK220))-FIND("|",AK220)-1))),ABS(INDEX($Q$220:$Q$223,MATCH(LEFT(AK220,FIND("·",AK220)-1),$C$220:$C$223,0))-(VALUE(MID(AK220,FIND("|",AK220)+1,FIND("-",AK220,FIND("|",AK220))-FIND("|",AK220)-1))-VALUE(MID(AK220,FIND("-",AK220,FIND("|",AK220))+1,10)))))*$D$50)))))*INDEX($I$220:$I$223,MATCH(LEFT(AK220,FIND("·",AK220)-1),$C$220:$C$223,0)),0),0),0)</f>
        <v>0</v>
      </c>
      <c r="AM220" s="110"/>
      <c r="AN220" s="76" t="s">
        <v>2212</v>
      </c>
      <c r="AO220" s="77">
        <f t="shared" ref="AO220" ca="1" si="2163">IFERROR(IF(COUNTIF($K$220:$K$223,LEFT(AN220,FIND("·",AN220)-1))&gt;0,IF(INDEX($L$220:$L$223,MATCH(LEFT(AN220,FIND("·",AN220)-1),$K$220:$K$223,0))=IFERROR(VALUE(MID(AN220,FIND("·",AN220)+1,1)),0),($D$24+(INDEX($M$220:$M$223,MATCH(LEFT(AN220,FIND("·",AN220)-1),$K$220:$K$223,0))=MID(AN220,FIND("|",AN220)+1,10))*$D$26+MAX(0,IF($D$50=1,$D$25*(1-(ABS(INDEX($P$220:$P$223,MATCH(LEFT(AN220,FIND("·",AN220)-1),$K$220:$K$223,0))-(VALUE(MID(AN220,FIND("|",AN220)+1,FIND("-",AN220,FIND("|",AN220))-FIND("|",AN220)-1))-VALUE(MID(AN220,FIND("-",AN220,FIND("|",AN220))+1,10)))))*$D$50),$D$25*(1-(IF(INDEX($L$220:$L$223,MATCH(LEFT(AN220,FIND("·",AN220)-1),$K$220:$K$223,0))=0,ABS(INDEX($N$220:$N$223,MATCH(LEFT(AN220,FIND("·",AN220)-1),$K$220:$K$223,0))-VALUE(MID(AN220,FIND("|",AN220)+1,FIND("-",AN220,FIND("|",AN220))-FIND("|",AN220)-1))),ABS(INDEX($P$220:$P$223,MATCH(LEFT(AN220,FIND("·",AN220)-1),$K$220:$K$223,0))-(VALUE(MID(AN220,FIND("|",AN220)+1,FIND("-",AN220,FIND("|",AN220))-FIND("|",AN220)-1))-VALUE(MID(AN220,FIND("-",AN220,FIND("|",AN220))+1,10)))))*$D$50)))))*INDEX($I$220:$I$223,MATCH(LEFT(AN220,FIND("·",AN220)-1),$K$220:$K$223,0)),0),0),0)+IFERROR(IF(COUNTIF($C$220:$C$223,LEFT(AN220,FIND("·",AN220)-1))&gt;0,IF(INDEX($D$220:$D$223,MATCH(LEFT(AN220,FIND("·",AN220)-1),$C$220:$C$223,0))=IFERROR(VALUE(MID(AN220,FIND("·",AN220)+1,1)),0),($D$24+(INDEX($E$220:$E$223,MATCH(LEFT(AN220,FIND("·",AN220)-1),$C$220:$C$223,0))=MID(AN220,FIND("|",AN220)+1,10))*$D$26+MAX(0,IF($D$50=1,$D$25*(1-(ABS(INDEX($Q$220:$Q$223,MATCH(LEFT(AN220,FIND("·",AN220)-1),$C$220:$C$223,0))-(VALUE(MID(AN220,FIND("|",AN220)+1,FIND("-",AN220,FIND("|",AN220))-FIND("|",AN220)-1))-VALUE(MID(AN220,FIND("-",AN220,FIND("|",AN220))+1,10)))))*$D$50),$D$25*(1-(IF(INDEX($D$220:$D$223,MATCH(LEFT(AN220,FIND("·",AN220)-1),$C$220:$C$223,0))=0,ABS(INDEX($A$220:$A$223,MATCH(LEFT(AN220,FIND("·",AN220)-1),$C$220:$C$223,0))-VALUE(MID(AN220,FIND("|",AN220)+1,FIND("-",AN220,FIND("|",AN220))-FIND("|",AN220)-1))),ABS(INDEX($Q$220:$Q$223,MATCH(LEFT(AN220,FIND("·",AN220)-1),$C$220:$C$223,0))-(VALUE(MID(AN220,FIND("|",AN220)+1,FIND("-",AN220,FIND("|",AN220))-FIND("|",AN220)-1))-VALUE(MID(AN220,FIND("-",AN220,FIND("|",AN220))+1,10)))))*$D$50)))))*INDEX($I$220:$I$223,MATCH(LEFT(AN220,FIND("·",AN220)-1),$C$220:$C$223,0)),0),0),0)</f>
        <v>0</v>
      </c>
      <c r="AP220" s="110"/>
      <c r="AQ220" s="76" t="s">
        <v>2241</v>
      </c>
      <c r="AR220" s="77">
        <f t="shared" ref="AR220" ca="1" si="2164">IFERROR(IF(COUNTIF($K$220:$K$223,LEFT(AQ220,FIND("·",AQ220)-1))&gt;0,IF(INDEX($L$220:$L$223,MATCH(LEFT(AQ220,FIND("·",AQ220)-1),$K$220:$K$223,0))=IFERROR(VALUE(MID(AQ220,FIND("·",AQ220)+1,1)),0),($D$24+(INDEX($M$220:$M$223,MATCH(LEFT(AQ220,FIND("·",AQ220)-1),$K$220:$K$223,0))=MID(AQ220,FIND("|",AQ220)+1,10))*$D$26+MAX(0,IF($D$50=1,$D$25*(1-(ABS(INDEX($P$220:$P$223,MATCH(LEFT(AQ220,FIND("·",AQ220)-1),$K$220:$K$223,0))-(VALUE(MID(AQ220,FIND("|",AQ220)+1,FIND("-",AQ220,FIND("|",AQ220))-FIND("|",AQ220)-1))-VALUE(MID(AQ220,FIND("-",AQ220,FIND("|",AQ220))+1,10)))))*$D$50),$D$25*(1-(IF(INDEX($L$220:$L$223,MATCH(LEFT(AQ220,FIND("·",AQ220)-1),$K$220:$K$223,0))=0,ABS(INDEX($N$220:$N$223,MATCH(LEFT(AQ220,FIND("·",AQ220)-1),$K$220:$K$223,0))-VALUE(MID(AQ220,FIND("|",AQ220)+1,FIND("-",AQ220,FIND("|",AQ220))-FIND("|",AQ220)-1))),ABS(INDEX($P$220:$P$223,MATCH(LEFT(AQ220,FIND("·",AQ220)-1),$K$220:$K$223,0))-(VALUE(MID(AQ220,FIND("|",AQ220)+1,FIND("-",AQ220,FIND("|",AQ220))-FIND("|",AQ220)-1))-VALUE(MID(AQ220,FIND("-",AQ220,FIND("|",AQ220))+1,10)))))*$D$50)))))*INDEX($I$220:$I$223,MATCH(LEFT(AQ220,FIND("·",AQ220)-1),$K$220:$K$223,0)),0),0),0)+IFERROR(IF(COUNTIF($C$220:$C$223,LEFT(AQ220,FIND("·",AQ220)-1))&gt;0,IF(INDEX($D$220:$D$223,MATCH(LEFT(AQ220,FIND("·",AQ220)-1),$C$220:$C$223,0))=IFERROR(VALUE(MID(AQ220,FIND("·",AQ220)+1,1)),0),($D$24+(INDEX($E$220:$E$223,MATCH(LEFT(AQ220,FIND("·",AQ220)-1),$C$220:$C$223,0))=MID(AQ220,FIND("|",AQ220)+1,10))*$D$26+MAX(0,IF($D$50=1,$D$25*(1-(ABS(INDEX($Q$220:$Q$223,MATCH(LEFT(AQ220,FIND("·",AQ220)-1),$C$220:$C$223,0))-(VALUE(MID(AQ220,FIND("|",AQ220)+1,FIND("-",AQ220,FIND("|",AQ220))-FIND("|",AQ220)-1))-VALUE(MID(AQ220,FIND("-",AQ220,FIND("|",AQ220))+1,10)))))*$D$50),$D$25*(1-(IF(INDEX($D$220:$D$223,MATCH(LEFT(AQ220,FIND("·",AQ220)-1),$C$220:$C$223,0))=0,ABS(INDEX($A$220:$A$223,MATCH(LEFT(AQ220,FIND("·",AQ220)-1),$C$220:$C$223,0))-VALUE(MID(AQ220,FIND("|",AQ220)+1,FIND("-",AQ220,FIND("|",AQ220))-FIND("|",AQ220)-1))),ABS(INDEX($Q$220:$Q$223,MATCH(LEFT(AQ220,FIND("·",AQ220)-1),$C$220:$C$223,0))-(VALUE(MID(AQ220,FIND("|",AQ220)+1,FIND("-",AQ220,FIND("|",AQ220))-FIND("|",AQ220)-1))-VALUE(MID(AQ220,FIND("-",AQ220,FIND("|",AQ220))+1,10)))))*$D$50)))))*INDEX($I$220:$I$223,MATCH(LEFT(AQ220,FIND("·",AQ220)-1),$C$220:$C$223,0)),0),0),0)</f>
        <v>0</v>
      </c>
      <c r="AS220" s="110"/>
      <c r="AT220" s="76" t="s">
        <v>2093</v>
      </c>
      <c r="AU220" s="77">
        <f t="shared" ref="AU220" ca="1" si="2165">IFERROR(IF(COUNTIF($K$220:$K$223,LEFT(AT220,FIND("·",AT220)-1))&gt;0,IF(INDEX($L$220:$L$223,MATCH(LEFT(AT220,FIND("·",AT220)-1),$K$220:$K$223,0))=IFERROR(VALUE(MID(AT220,FIND("·",AT220)+1,1)),0),($D$24+(INDEX($M$220:$M$223,MATCH(LEFT(AT220,FIND("·",AT220)-1),$K$220:$K$223,0))=MID(AT220,FIND("|",AT220)+1,10))*$D$26+MAX(0,IF($D$50=1,$D$25*(1-(ABS(INDEX($P$220:$P$223,MATCH(LEFT(AT220,FIND("·",AT220)-1),$K$220:$K$223,0))-(VALUE(MID(AT220,FIND("|",AT220)+1,FIND("-",AT220,FIND("|",AT220))-FIND("|",AT220)-1))-VALUE(MID(AT220,FIND("-",AT220,FIND("|",AT220))+1,10)))))*$D$50),$D$25*(1-(IF(INDEX($L$220:$L$223,MATCH(LEFT(AT220,FIND("·",AT220)-1),$K$220:$K$223,0))=0,ABS(INDEX($N$220:$N$223,MATCH(LEFT(AT220,FIND("·",AT220)-1),$K$220:$K$223,0))-VALUE(MID(AT220,FIND("|",AT220)+1,FIND("-",AT220,FIND("|",AT220))-FIND("|",AT220)-1))),ABS(INDEX($P$220:$P$223,MATCH(LEFT(AT220,FIND("·",AT220)-1),$K$220:$K$223,0))-(VALUE(MID(AT220,FIND("|",AT220)+1,FIND("-",AT220,FIND("|",AT220))-FIND("|",AT220)-1))-VALUE(MID(AT220,FIND("-",AT220,FIND("|",AT220))+1,10)))))*$D$50)))))*INDEX($I$220:$I$223,MATCH(LEFT(AT220,FIND("·",AT220)-1),$K$220:$K$223,0)),0),0),0)+IFERROR(IF(COUNTIF($C$220:$C$223,LEFT(AT220,FIND("·",AT220)-1))&gt;0,IF(INDEX($D$220:$D$223,MATCH(LEFT(AT220,FIND("·",AT220)-1),$C$220:$C$223,0))=IFERROR(VALUE(MID(AT220,FIND("·",AT220)+1,1)),0),($D$24+(INDEX($E$220:$E$223,MATCH(LEFT(AT220,FIND("·",AT220)-1),$C$220:$C$223,0))=MID(AT220,FIND("|",AT220)+1,10))*$D$26+MAX(0,IF($D$50=1,$D$25*(1-(ABS(INDEX($Q$220:$Q$223,MATCH(LEFT(AT220,FIND("·",AT220)-1),$C$220:$C$223,0))-(VALUE(MID(AT220,FIND("|",AT220)+1,FIND("-",AT220,FIND("|",AT220))-FIND("|",AT220)-1))-VALUE(MID(AT220,FIND("-",AT220,FIND("|",AT220))+1,10)))))*$D$50),$D$25*(1-(IF(INDEX($D$220:$D$223,MATCH(LEFT(AT220,FIND("·",AT220)-1),$C$220:$C$223,0))=0,ABS(INDEX($A$220:$A$223,MATCH(LEFT(AT220,FIND("·",AT220)-1),$C$220:$C$223,0))-VALUE(MID(AT220,FIND("|",AT220)+1,FIND("-",AT220,FIND("|",AT220))-FIND("|",AT220)-1))),ABS(INDEX($Q$220:$Q$223,MATCH(LEFT(AT220,FIND("·",AT220)-1),$C$220:$C$223,0))-(VALUE(MID(AT220,FIND("|",AT220)+1,FIND("-",AT220,FIND("|",AT220))-FIND("|",AT220)-1))-VALUE(MID(AT220,FIND("-",AT220,FIND("|",AT220))+1,10)))))*$D$50)))))*INDEX($I$220:$I$223,MATCH(LEFT(AT220,FIND("·",AT220)-1),$C$220:$C$223,0)),0),0),0)</f>
        <v>0</v>
      </c>
      <c r="AV220" s="110"/>
      <c r="AW220" s="76" t="s">
        <v>2298</v>
      </c>
      <c r="AX220" s="77">
        <f t="shared" ref="AX220" ca="1" si="2166">IFERROR(IF(COUNTIF($K$220:$K$223,LEFT(AW220,FIND("·",AW220)-1))&gt;0,IF(INDEX($L$220:$L$223,MATCH(LEFT(AW220,FIND("·",AW220)-1),$K$220:$K$223,0))=IFERROR(VALUE(MID(AW220,FIND("·",AW220)+1,1)),0),($D$24+(INDEX($M$220:$M$223,MATCH(LEFT(AW220,FIND("·",AW220)-1),$K$220:$K$223,0))=MID(AW220,FIND("|",AW220)+1,10))*$D$26+MAX(0,IF($D$50=1,$D$25*(1-(ABS(INDEX($P$220:$P$223,MATCH(LEFT(AW220,FIND("·",AW220)-1),$K$220:$K$223,0))-(VALUE(MID(AW220,FIND("|",AW220)+1,FIND("-",AW220,FIND("|",AW220))-FIND("|",AW220)-1))-VALUE(MID(AW220,FIND("-",AW220,FIND("|",AW220))+1,10)))))*$D$50),$D$25*(1-(IF(INDEX($L$220:$L$223,MATCH(LEFT(AW220,FIND("·",AW220)-1),$K$220:$K$223,0))=0,ABS(INDEX($N$220:$N$223,MATCH(LEFT(AW220,FIND("·",AW220)-1),$K$220:$K$223,0))-VALUE(MID(AW220,FIND("|",AW220)+1,FIND("-",AW220,FIND("|",AW220))-FIND("|",AW220)-1))),ABS(INDEX($P$220:$P$223,MATCH(LEFT(AW220,FIND("·",AW220)-1),$K$220:$K$223,0))-(VALUE(MID(AW220,FIND("|",AW220)+1,FIND("-",AW220,FIND("|",AW220))-FIND("|",AW220)-1))-VALUE(MID(AW220,FIND("-",AW220,FIND("|",AW220))+1,10)))))*$D$50)))))*INDEX($I$220:$I$223,MATCH(LEFT(AW220,FIND("·",AW220)-1),$K$220:$K$223,0)),0),0),0)+IFERROR(IF(COUNTIF($C$220:$C$223,LEFT(AW220,FIND("·",AW220)-1))&gt;0,IF(INDEX($D$220:$D$223,MATCH(LEFT(AW220,FIND("·",AW220)-1),$C$220:$C$223,0))=IFERROR(VALUE(MID(AW220,FIND("·",AW220)+1,1)),0),($D$24+(INDEX($E$220:$E$223,MATCH(LEFT(AW220,FIND("·",AW220)-1),$C$220:$C$223,0))=MID(AW220,FIND("|",AW220)+1,10))*$D$26+MAX(0,IF($D$50=1,$D$25*(1-(ABS(INDEX($Q$220:$Q$223,MATCH(LEFT(AW220,FIND("·",AW220)-1),$C$220:$C$223,0))-(VALUE(MID(AW220,FIND("|",AW220)+1,FIND("-",AW220,FIND("|",AW220))-FIND("|",AW220)-1))-VALUE(MID(AW220,FIND("-",AW220,FIND("|",AW220))+1,10)))))*$D$50),$D$25*(1-(IF(INDEX($D$220:$D$223,MATCH(LEFT(AW220,FIND("·",AW220)-1),$C$220:$C$223,0))=0,ABS(INDEX($A$220:$A$223,MATCH(LEFT(AW220,FIND("·",AW220)-1),$C$220:$C$223,0))-VALUE(MID(AW220,FIND("|",AW220)+1,FIND("-",AW220,FIND("|",AW220))-FIND("|",AW220)-1))),ABS(INDEX($Q$220:$Q$223,MATCH(LEFT(AW220,FIND("·",AW220)-1),$C$220:$C$223,0))-(VALUE(MID(AW220,FIND("|",AW220)+1,FIND("-",AW220,FIND("|",AW220))-FIND("|",AW220)-1))-VALUE(MID(AW220,FIND("-",AW220,FIND("|",AW220))+1,10)))))*$D$50)))))*INDEX($I$220:$I$223,MATCH(LEFT(AW220,FIND("·",AW220)-1),$C$220:$C$223,0)),0),0),0)</f>
        <v>0</v>
      </c>
      <c r="AY220" s="110"/>
      <c r="AZ220" s="76" t="s">
        <v>2093</v>
      </c>
      <c r="BA220" s="77">
        <f t="shared" ref="BA220" ca="1" si="2167">IFERROR(IF(COUNTIF($K$220:$K$223,LEFT(AZ220,FIND("·",AZ220)-1))&gt;0,IF(INDEX($L$220:$L$223,MATCH(LEFT(AZ220,FIND("·",AZ220)-1),$K$220:$K$223,0))=IFERROR(VALUE(MID(AZ220,FIND("·",AZ220)+1,1)),0),($D$24+(INDEX($M$220:$M$223,MATCH(LEFT(AZ220,FIND("·",AZ220)-1),$K$220:$K$223,0))=MID(AZ220,FIND("|",AZ220)+1,10))*$D$26+MAX(0,IF($D$50=1,$D$25*(1-(ABS(INDEX($P$220:$P$223,MATCH(LEFT(AZ220,FIND("·",AZ220)-1),$K$220:$K$223,0))-(VALUE(MID(AZ220,FIND("|",AZ220)+1,FIND("-",AZ220,FIND("|",AZ220))-FIND("|",AZ220)-1))-VALUE(MID(AZ220,FIND("-",AZ220,FIND("|",AZ220))+1,10)))))*$D$50),$D$25*(1-(IF(INDEX($L$220:$L$223,MATCH(LEFT(AZ220,FIND("·",AZ220)-1),$K$220:$K$223,0))=0,ABS(INDEX($N$220:$N$223,MATCH(LEFT(AZ220,FIND("·",AZ220)-1),$K$220:$K$223,0))-VALUE(MID(AZ220,FIND("|",AZ220)+1,FIND("-",AZ220,FIND("|",AZ220))-FIND("|",AZ220)-1))),ABS(INDEX($P$220:$P$223,MATCH(LEFT(AZ220,FIND("·",AZ220)-1),$K$220:$K$223,0))-(VALUE(MID(AZ220,FIND("|",AZ220)+1,FIND("-",AZ220,FIND("|",AZ220))-FIND("|",AZ220)-1))-VALUE(MID(AZ220,FIND("-",AZ220,FIND("|",AZ220))+1,10)))))*$D$50)))))*INDEX($I$220:$I$223,MATCH(LEFT(AZ220,FIND("·",AZ220)-1),$K$220:$K$223,0)),0),0),0)+IFERROR(IF(COUNTIF($C$220:$C$223,LEFT(AZ220,FIND("·",AZ220)-1))&gt;0,IF(INDEX($D$220:$D$223,MATCH(LEFT(AZ220,FIND("·",AZ220)-1),$C$220:$C$223,0))=IFERROR(VALUE(MID(AZ220,FIND("·",AZ220)+1,1)),0),($D$24+(INDEX($E$220:$E$223,MATCH(LEFT(AZ220,FIND("·",AZ220)-1),$C$220:$C$223,0))=MID(AZ220,FIND("|",AZ220)+1,10))*$D$26+MAX(0,IF($D$50=1,$D$25*(1-(ABS(INDEX($Q$220:$Q$223,MATCH(LEFT(AZ220,FIND("·",AZ220)-1),$C$220:$C$223,0))-(VALUE(MID(AZ220,FIND("|",AZ220)+1,FIND("-",AZ220,FIND("|",AZ220))-FIND("|",AZ220)-1))-VALUE(MID(AZ220,FIND("-",AZ220,FIND("|",AZ220))+1,10)))))*$D$50),$D$25*(1-(IF(INDEX($D$220:$D$223,MATCH(LEFT(AZ220,FIND("·",AZ220)-1),$C$220:$C$223,0))=0,ABS(INDEX($A$220:$A$223,MATCH(LEFT(AZ220,FIND("·",AZ220)-1),$C$220:$C$223,0))-VALUE(MID(AZ220,FIND("|",AZ220)+1,FIND("-",AZ220,FIND("|",AZ220))-FIND("|",AZ220)-1))),ABS(INDEX($Q$220:$Q$223,MATCH(LEFT(AZ220,FIND("·",AZ220)-1),$C$220:$C$223,0))-(VALUE(MID(AZ220,FIND("|",AZ220)+1,FIND("-",AZ220,FIND("|",AZ220))-FIND("|",AZ220)-1))-VALUE(MID(AZ220,FIND("-",AZ220,FIND("|",AZ220))+1,10)))))*$D$50)))))*INDEX($I$220:$I$223,MATCH(LEFT(AZ220,FIND("·",AZ220)-1),$C$220:$C$223,0)),0),0),0)</f>
        <v>0</v>
      </c>
      <c r="BB220" s="110"/>
      <c r="BC220" s="76" t="s">
        <v>2339</v>
      </c>
      <c r="BD220" s="77">
        <f t="shared" ref="BD220" ca="1" si="2168">IFERROR(IF(COUNTIF($K$220:$K$223,LEFT(BC220,FIND("·",BC220)-1))&gt;0,IF(INDEX($L$220:$L$223,MATCH(LEFT(BC220,FIND("·",BC220)-1),$K$220:$K$223,0))=IFERROR(VALUE(MID(BC220,FIND("·",BC220)+1,1)),0),($D$24+(INDEX($M$220:$M$223,MATCH(LEFT(BC220,FIND("·",BC220)-1),$K$220:$K$223,0))=MID(BC220,FIND("|",BC220)+1,10))*$D$26+MAX(0,IF($D$50=1,$D$25*(1-(ABS(INDEX($P$220:$P$223,MATCH(LEFT(BC220,FIND("·",BC220)-1),$K$220:$K$223,0))-(VALUE(MID(BC220,FIND("|",BC220)+1,FIND("-",BC220,FIND("|",BC220))-FIND("|",BC220)-1))-VALUE(MID(BC220,FIND("-",BC220,FIND("|",BC220))+1,10)))))*$D$50),$D$25*(1-(IF(INDEX($L$220:$L$223,MATCH(LEFT(BC220,FIND("·",BC220)-1),$K$220:$K$223,0))=0,ABS(INDEX($N$220:$N$223,MATCH(LEFT(BC220,FIND("·",BC220)-1),$K$220:$K$223,0))-VALUE(MID(BC220,FIND("|",BC220)+1,FIND("-",BC220,FIND("|",BC220))-FIND("|",BC220)-1))),ABS(INDEX($P$220:$P$223,MATCH(LEFT(BC220,FIND("·",BC220)-1),$K$220:$K$223,0))-(VALUE(MID(BC220,FIND("|",BC220)+1,FIND("-",BC220,FIND("|",BC220))-FIND("|",BC220)-1))-VALUE(MID(BC220,FIND("-",BC220,FIND("|",BC220))+1,10)))))*$D$50)))))*INDEX($I$220:$I$223,MATCH(LEFT(BC220,FIND("·",BC220)-1),$K$220:$K$223,0)),0),0),0)+IFERROR(IF(COUNTIF($C$220:$C$223,LEFT(BC220,FIND("·",BC220)-1))&gt;0,IF(INDEX($D$220:$D$223,MATCH(LEFT(BC220,FIND("·",BC220)-1),$C$220:$C$223,0))=IFERROR(VALUE(MID(BC220,FIND("·",BC220)+1,1)),0),($D$24+(INDEX($E$220:$E$223,MATCH(LEFT(BC220,FIND("·",BC220)-1),$C$220:$C$223,0))=MID(BC220,FIND("|",BC220)+1,10))*$D$26+MAX(0,IF($D$50=1,$D$25*(1-(ABS(INDEX($Q$220:$Q$223,MATCH(LEFT(BC220,FIND("·",BC220)-1),$C$220:$C$223,0))-(VALUE(MID(BC220,FIND("|",BC220)+1,FIND("-",BC220,FIND("|",BC220))-FIND("|",BC220)-1))-VALUE(MID(BC220,FIND("-",BC220,FIND("|",BC220))+1,10)))))*$D$50),$D$25*(1-(IF(INDEX($D$220:$D$223,MATCH(LEFT(BC220,FIND("·",BC220)-1),$C$220:$C$223,0))=0,ABS(INDEX($A$220:$A$223,MATCH(LEFT(BC220,FIND("·",BC220)-1),$C$220:$C$223,0))-VALUE(MID(BC220,FIND("|",BC220)+1,FIND("-",BC220,FIND("|",BC220))-FIND("|",BC220)-1))),ABS(INDEX($Q$220:$Q$223,MATCH(LEFT(BC220,FIND("·",BC220)-1),$C$220:$C$223,0))-(VALUE(MID(BC220,FIND("|",BC220)+1,FIND("-",BC220,FIND("|",BC220))-FIND("|",BC220)-1))-VALUE(MID(BC220,FIND("-",BC220,FIND("|",BC220))+1,10)))))*$D$50)))))*INDEX($I$220:$I$223,MATCH(LEFT(BC220,FIND("·",BC220)-1),$C$220:$C$223,0)),0),0),0)</f>
        <v>0</v>
      </c>
      <c r="BE220" s="110"/>
      <c r="BF220" s="76" t="s">
        <v>2093</v>
      </c>
      <c r="BG220" s="77">
        <f t="shared" ref="BG220" ca="1" si="2169">IFERROR(IF(COUNTIF($K$220:$K$223,LEFT(BF220,FIND("·",BF220)-1))&gt;0,IF(INDEX($L$220:$L$223,MATCH(LEFT(BF220,FIND("·",BF220)-1),$K$220:$K$223,0))=IFERROR(VALUE(MID(BF220,FIND("·",BF220)+1,1)),0),($D$24+(INDEX($M$220:$M$223,MATCH(LEFT(BF220,FIND("·",BF220)-1),$K$220:$K$223,0))=MID(BF220,FIND("|",BF220)+1,10))*$D$26+MAX(0,IF($D$50=1,$D$25*(1-(ABS(INDEX($P$220:$P$223,MATCH(LEFT(BF220,FIND("·",BF220)-1),$K$220:$K$223,0))-(VALUE(MID(BF220,FIND("|",BF220)+1,FIND("-",BF220,FIND("|",BF220))-FIND("|",BF220)-1))-VALUE(MID(BF220,FIND("-",BF220,FIND("|",BF220))+1,10)))))*$D$50),$D$25*(1-(IF(INDEX($L$220:$L$223,MATCH(LEFT(BF220,FIND("·",BF220)-1),$K$220:$K$223,0))=0,ABS(INDEX($N$220:$N$223,MATCH(LEFT(BF220,FIND("·",BF220)-1),$K$220:$K$223,0))-VALUE(MID(BF220,FIND("|",BF220)+1,FIND("-",BF220,FIND("|",BF220))-FIND("|",BF220)-1))),ABS(INDEX($P$220:$P$223,MATCH(LEFT(BF220,FIND("·",BF220)-1),$K$220:$K$223,0))-(VALUE(MID(BF220,FIND("|",BF220)+1,FIND("-",BF220,FIND("|",BF220))-FIND("|",BF220)-1))-VALUE(MID(BF220,FIND("-",BF220,FIND("|",BF220))+1,10)))))*$D$50)))))*INDEX($I$220:$I$223,MATCH(LEFT(BF220,FIND("·",BF220)-1),$K$220:$K$223,0)),0),0),0)+IFERROR(IF(COUNTIF($C$220:$C$223,LEFT(BF220,FIND("·",BF220)-1))&gt;0,IF(INDEX($D$220:$D$223,MATCH(LEFT(BF220,FIND("·",BF220)-1),$C$220:$C$223,0))=IFERROR(VALUE(MID(BF220,FIND("·",BF220)+1,1)),0),($D$24+(INDEX($E$220:$E$223,MATCH(LEFT(BF220,FIND("·",BF220)-1),$C$220:$C$223,0))=MID(BF220,FIND("|",BF220)+1,10))*$D$26+MAX(0,IF($D$50=1,$D$25*(1-(ABS(INDEX($Q$220:$Q$223,MATCH(LEFT(BF220,FIND("·",BF220)-1),$C$220:$C$223,0))-(VALUE(MID(BF220,FIND("|",BF220)+1,FIND("-",BF220,FIND("|",BF220))-FIND("|",BF220)-1))-VALUE(MID(BF220,FIND("-",BF220,FIND("|",BF220))+1,10)))))*$D$50),$D$25*(1-(IF(INDEX($D$220:$D$223,MATCH(LEFT(BF220,FIND("·",BF220)-1),$C$220:$C$223,0))=0,ABS(INDEX($A$220:$A$223,MATCH(LEFT(BF220,FIND("·",BF220)-1),$C$220:$C$223,0))-VALUE(MID(BF220,FIND("|",BF220)+1,FIND("-",BF220,FIND("|",BF220))-FIND("|",BF220)-1))),ABS(INDEX($Q$220:$Q$223,MATCH(LEFT(BF220,FIND("·",BF220)-1),$C$220:$C$223,0))-(VALUE(MID(BF220,FIND("|",BF220)+1,FIND("-",BF220,FIND("|",BF220))-FIND("|",BF220)-1))-VALUE(MID(BF220,FIND("-",BF220,FIND("|",BF220))+1,10)))))*$D$50)))))*INDEX($I$220:$I$223,MATCH(LEFT(BF220,FIND("·",BF220)-1),$C$220:$C$223,0)),0),0),0)</f>
        <v>0</v>
      </c>
      <c r="BH220" s="110"/>
      <c r="BI220" s="76" t="s">
        <v>2391</v>
      </c>
      <c r="BJ220" s="77">
        <f t="shared" ref="BJ220" ca="1" si="2170">IFERROR(IF(COUNTIF($K$220:$K$223,LEFT(BI220,FIND("·",BI220)-1))&gt;0,IF(INDEX($L$220:$L$223,MATCH(LEFT(BI220,FIND("·",BI220)-1),$K$220:$K$223,0))=IFERROR(VALUE(MID(BI220,FIND("·",BI220)+1,1)),0),($D$24+(INDEX($M$220:$M$223,MATCH(LEFT(BI220,FIND("·",BI220)-1),$K$220:$K$223,0))=MID(BI220,FIND("|",BI220)+1,10))*$D$26+MAX(0,IF($D$50=1,$D$25*(1-(ABS(INDEX($P$220:$P$223,MATCH(LEFT(BI220,FIND("·",BI220)-1),$K$220:$K$223,0))-(VALUE(MID(BI220,FIND("|",BI220)+1,FIND("-",BI220,FIND("|",BI220))-FIND("|",BI220)-1))-VALUE(MID(BI220,FIND("-",BI220,FIND("|",BI220))+1,10)))))*$D$50),$D$25*(1-(IF(INDEX($L$220:$L$223,MATCH(LEFT(BI220,FIND("·",BI220)-1),$K$220:$K$223,0))=0,ABS(INDEX($N$220:$N$223,MATCH(LEFT(BI220,FIND("·",BI220)-1),$K$220:$K$223,0))-VALUE(MID(BI220,FIND("|",BI220)+1,FIND("-",BI220,FIND("|",BI220))-FIND("|",BI220)-1))),ABS(INDEX($P$220:$P$223,MATCH(LEFT(BI220,FIND("·",BI220)-1),$K$220:$K$223,0))-(VALUE(MID(BI220,FIND("|",BI220)+1,FIND("-",BI220,FIND("|",BI220))-FIND("|",BI220)-1))-VALUE(MID(BI220,FIND("-",BI220,FIND("|",BI220))+1,10)))))*$D$50)))))*INDEX($I$220:$I$223,MATCH(LEFT(BI220,FIND("·",BI220)-1),$K$220:$K$223,0)),0),0),0)+IFERROR(IF(COUNTIF($C$220:$C$223,LEFT(BI220,FIND("·",BI220)-1))&gt;0,IF(INDEX($D$220:$D$223,MATCH(LEFT(BI220,FIND("·",BI220)-1),$C$220:$C$223,0))=IFERROR(VALUE(MID(BI220,FIND("·",BI220)+1,1)),0),($D$24+(INDEX($E$220:$E$223,MATCH(LEFT(BI220,FIND("·",BI220)-1),$C$220:$C$223,0))=MID(BI220,FIND("|",BI220)+1,10))*$D$26+MAX(0,IF($D$50=1,$D$25*(1-(ABS(INDEX($Q$220:$Q$223,MATCH(LEFT(BI220,FIND("·",BI220)-1),$C$220:$C$223,0))-(VALUE(MID(BI220,FIND("|",BI220)+1,FIND("-",BI220,FIND("|",BI220))-FIND("|",BI220)-1))-VALUE(MID(BI220,FIND("-",BI220,FIND("|",BI220))+1,10)))))*$D$50),$D$25*(1-(IF(INDEX($D$220:$D$223,MATCH(LEFT(BI220,FIND("·",BI220)-1),$C$220:$C$223,0))=0,ABS(INDEX($A$220:$A$223,MATCH(LEFT(BI220,FIND("·",BI220)-1),$C$220:$C$223,0))-VALUE(MID(BI220,FIND("|",BI220)+1,FIND("-",BI220,FIND("|",BI220))-FIND("|",BI220)-1))),ABS(INDEX($Q$220:$Q$223,MATCH(LEFT(BI220,FIND("·",BI220)-1),$C$220:$C$223,0))-(VALUE(MID(BI220,FIND("|",BI220)+1,FIND("-",BI220,FIND("|",BI220))-FIND("|",BI220)-1))-VALUE(MID(BI220,FIND("-",BI220,FIND("|",BI220))+1,10)))))*$D$50)))))*INDEX($I$220:$I$223,MATCH(LEFT(BI220,FIND("·",BI220)-1),$C$220:$C$223,0)),0),0),0)</f>
        <v>0</v>
      </c>
      <c r="BK220" s="110"/>
      <c r="BL220" s="76" t="s">
        <v>2093</v>
      </c>
      <c r="BM220" s="77">
        <f t="shared" ref="BM220" ca="1" si="2171">IFERROR(IF(COUNTIF($K$220:$K$223,LEFT(BL220,FIND("·",BL220)-1))&gt;0,IF(INDEX($L$220:$L$223,MATCH(LEFT(BL220,FIND("·",BL220)-1),$K$220:$K$223,0))=IFERROR(VALUE(MID(BL220,FIND("·",BL220)+1,1)),0),($D$24+(INDEX($M$220:$M$223,MATCH(LEFT(BL220,FIND("·",BL220)-1),$K$220:$K$223,0))=MID(BL220,FIND("|",BL220)+1,10))*$D$26+MAX(0,IF($D$50=1,$D$25*(1-(ABS(INDEX($P$220:$P$223,MATCH(LEFT(BL220,FIND("·",BL220)-1),$K$220:$K$223,0))-(VALUE(MID(BL220,FIND("|",BL220)+1,FIND("-",BL220,FIND("|",BL220))-FIND("|",BL220)-1))-VALUE(MID(BL220,FIND("-",BL220,FIND("|",BL220))+1,10)))))*$D$50),$D$25*(1-(IF(INDEX($L$220:$L$223,MATCH(LEFT(BL220,FIND("·",BL220)-1),$K$220:$K$223,0))=0,ABS(INDEX($N$220:$N$223,MATCH(LEFT(BL220,FIND("·",BL220)-1),$K$220:$K$223,0))-VALUE(MID(BL220,FIND("|",BL220)+1,FIND("-",BL220,FIND("|",BL220))-FIND("|",BL220)-1))),ABS(INDEX($P$220:$P$223,MATCH(LEFT(BL220,FIND("·",BL220)-1),$K$220:$K$223,0))-(VALUE(MID(BL220,FIND("|",BL220)+1,FIND("-",BL220,FIND("|",BL220))-FIND("|",BL220)-1))-VALUE(MID(BL220,FIND("-",BL220,FIND("|",BL220))+1,10)))))*$D$50)))))*INDEX($I$220:$I$223,MATCH(LEFT(BL220,FIND("·",BL220)-1),$K$220:$K$223,0)),0),0),0)+IFERROR(IF(COUNTIF($C$220:$C$223,LEFT(BL220,FIND("·",BL220)-1))&gt;0,IF(INDEX($D$220:$D$223,MATCH(LEFT(BL220,FIND("·",BL220)-1),$C$220:$C$223,0))=IFERROR(VALUE(MID(BL220,FIND("·",BL220)+1,1)),0),($D$24+(INDEX($E$220:$E$223,MATCH(LEFT(BL220,FIND("·",BL220)-1),$C$220:$C$223,0))=MID(BL220,FIND("|",BL220)+1,10))*$D$26+MAX(0,IF($D$50=1,$D$25*(1-(ABS(INDEX($Q$220:$Q$223,MATCH(LEFT(BL220,FIND("·",BL220)-1),$C$220:$C$223,0))-(VALUE(MID(BL220,FIND("|",BL220)+1,FIND("-",BL220,FIND("|",BL220))-FIND("|",BL220)-1))-VALUE(MID(BL220,FIND("-",BL220,FIND("|",BL220))+1,10)))))*$D$50),$D$25*(1-(IF(INDEX($D$220:$D$223,MATCH(LEFT(BL220,FIND("·",BL220)-1),$C$220:$C$223,0))=0,ABS(INDEX($A$220:$A$223,MATCH(LEFT(BL220,FIND("·",BL220)-1),$C$220:$C$223,0))-VALUE(MID(BL220,FIND("|",BL220)+1,FIND("-",BL220,FIND("|",BL220))-FIND("|",BL220)-1))),ABS(INDEX($Q$220:$Q$223,MATCH(LEFT(BL220,FIND("·",BL220)-1),$C$220:$C$223,0))-(VALUE(MID(BL220,FIND("|",BL220)+1,FIND("-",BL220,FIND("|",BL220))-FIND("|",BL220)-1))-VALUE(MID(BL220,FIND("-",BL220,FIND("|",BL220))+1,10)))))*$D$50)))))*INDEX($I$220:$I$223,MATCH(LEFT(BL220,FIND("·",BL220)-1),$C$220:$C$223,0)),0),0),0)</f>
        <v>0</v>
      </c>
      <c r="BN220" s="110"/>
      <c r="BO220" s="76" t="s">
        <v>2437</v>
      </c>
      <c r="BP220" s="77">
        <f t="shared" ref="BP220" ca="1" si="2172">IFERROR(IF(COUNTIF($K$220:$K$223,LEFT(BO220,FIND("·",BO220)-1))&gt;0,IF(INDEX($L$220:$L$223,MATCH(LEFT(BO220,FIND("·",BO220)-1),$K$220:$K$223,0))=IFERROR(VALUE(MID(BO220,FIND("·",BO220)+1,1)),0),($D$24+(INDEX($M$220:$M$223,MATCH(LEFT(BO220,FIND("·",BO220)-1),$K$220:$K$223,0))=MID(BO220,FIND("|",BO220)+1,10))*$D$26+MAX(0,IF($D$50=1,$D$25*(1-(ABS(INDEX($P$220:$P$223,MATCH(LEFT(BO220,FIND("·",BO220)-1),$K$220:$K$223,0))-(VALUE(MID(BO220,FIND("|",BO220)+1,FIND("-",BO220,FIND("|",BO220))-FIND("|",BO220)-1))-VALUE(MID(BO220,FIND("-",BO220,FIND("|",BO220))+1,10)))))*$D$50),$D$25*(1-(IF(INDEX($L$220:$L$223,MATCH(LEFT(BO220,FIND("·",BO220)-1),$K$220:$K$223,0))=0,ABS(INDEX($N$220:$N$223,MATCH(LEFT(BO220,FIND("·",BO220)-1),$K$220:$K$223,0))-VALUE(MID(BO220,FIND("|",BO220)+1,FIND("-",BO220,FIND("|",BO220))-FIND("|",BO220)-1))),ABS(INDEX($P$220:$P$223,MATCH(LEFT(BO220,FIND("·",BO220)-1),$K$220:$K$223,0))-(VALUE(MID(BO220,FIND("|",BO220)+1,FIND("-",BO220,FIND("|",BO220))-FIND("|",BO220)-1))-VALUE(MID(BO220,FIND("-",BO220,FIND("|",BO220))+1,10)))))*$D$50)))))*INDEX($I$220:$I$223,MATCH(LEFT(BO220,FIND("·",BO220)-1),$K$220:$K$223,0)),0),0),0)+IFERROR(IF(COUNTIF($C$220:$C$223,LEFT(BO220,FIND("·",BO220)-1))&gt;0,IF(INDEX($D$220:$D$223,MATCH(LEFT(BO220,FIND("·",BO220)-1),$C$220:$C$223,0))=IFERROR(VALUE(MID(BO220,FIND("·",BO220)+1,1)),0),($D$24+(INDEX($E$220:$E$223,MATCH(LEFT(BO220,FIND("·",BO220)-1),$C$220:$C$223,0))=MID(BO220,FIND("|",BO220)+1,10))*$D$26+MAX(0,IF($D$50=1,$D$25*(1-(ABS(INDEX($Q$220:$Q$223,MATCH(LEFT(BO220,FIND("·",BO220)-1),$C$220:$C$223,0))-(VALUE(MID(BO220,FIND("|",BO220)+1,FIND("-",BO220,FIND("|",BO220))-FIND("|",BO220)-1))-VALUE(MID(BO220,FIND("-",BO220,FIND("|",BO220))+1,10)))))*$D$50),$D$25*(1-(IF(INDEX($D$220:$D$223,MATCH(LEFT(BO220,FIND("·",BO220)-1),$C$220:$C$223,0))=0,ABS(INDEX($A$220:$A$223,MATCH(LEFT(BO220,FIND("·",BO220)-1),$C$220:$C$223,0))-VALUE(MID(BO220,FIND("|",BO220)+1,FIND("-",BO220,FIND("|",BO220))-FIND("|",BO220)-1))),ABS(INDEX($Q$220:$Q$223,MATCH(LEFT(BO220,FIND("·",BO220)-1),$C$220:$C$223,0))-(VALUE(MID(BO220,FIND("|",BO220)+1,FIND("-",BO220,FIND("|",BO220))-FIND("|",BO220)-1))-VALUE(MID(BO220,FIND("-",BO220,FIND("|",BO220))+1,10)))))*$D$50)))))*INDEX($I$220:$I$223,MATCH(LEFT(BO220,FIND("·",BO220)-1),$C$220:$C$223,0)),0),0),0)</f>
        <v>0</v>
      </c>
      <c r="BQ220" s="110"/>
      <c r="BR220" s="76" t="s">
        <v>2460</v>
      </c>
      <c r="BS220" s="77">
        <f t="shared" ref="BS220" ca="1" si="2173">IFERROR(IF(COUNTIF($K$220:$K$223,LEFT(BR220,FIND("·",BR220)-1))&gt;0,IF(INDEX($L$220:$L$223,MATCH(LEFT(BR220,FIND("·",BR220)-1),$K$220:$K$223,0))=IFERROR(VALUE(MID(BR220,FIND("·",BR220)+1,1)),0),($D$24+(INDEX($M$220:$M$223,MATCH(LEFT(BR220,FIND("·",BR220)-1),$K$220:$K$223,0))=MID(BR220,FIND("|",BR220)+1,10))*$D$26+MAX(0,IF($D$50=1,$D$25*(1-(ABS(INDEX($P$220:$P$223,MATCH(LEFT(BR220,FIND("·",BR220)-1),$K$220:$K$223,0))-(VALUE(MID(BR220,FIND("|",BR220)+1,FIND("-",BR220,FIND("|",BR220))-FIND("|",BR220)-1))-VALUE(MID(BR220,FIND("-",BR220,FIND("|",BR220))+1,10)))))*$D$50),$D$25*(1-(IF(INDEX($L$220:$L$223,MATCH(LEFT(BR220,FIND("·",BR220)-1),$K$220:$K$223,0))=0,ABS(INDEX($N$220:$N$223,MATCH(LEFT(BR220,FIND("·",BR220)-1),$K$220:$K$223,0))-VALUE(MID(BR220,FIND("|",BR220)+1,FIND("-",BR220,FIND("|",BR220))-FIND("|",BR220)-1))),ABS(INDEX($P$220:$P$223,MATCH(LEFT(BR220,FIND("·",BR220)-1),$K$220:$K$223,0))-(VALUE(MID(BR220,FIND("|",BR220)+1,FIND("-",BR220,FIND("|",BR220))-FIND("|",BR220)-1))-VALUE(MID(BR220,FIND("-",BR220,FIND("|",BR220))+1,10)))))*$D$50)))))*INDEX($I$220:$I$223,MATCH(LEFT(BR220,FIND("·",BR220)-1),$K$220:$K$223,0)),0),0),0)+IFERROR(IF(COUNTIF($C$220:$C$223,LEFT(BR220,FIND("·",BR220)-1))&gt;0,IF(INDEX($D$220:$D$223,MATCH(LEFT(BR220,FIND("·",BR220)-1),$C$220:$C$223,0))=IFERROR(VALUE(MID(BR220,FIND("·",BR220)+1,1)),0),($D$24+(INDEX($E$220:$E$223,MATCH(LEFT(BR220,FIND("·",BR220)-1),$C$220:$C$223,0))=MID(BR220,FIND("|",BR220)+1,10))*$D$26+MAX(0,IF($D$50=1,$D$25*(1-(ABS(INDEX($Q$220:$Q$223,MATCH(LEFT(BR220,FIND("·",BR220)-1),$C$220:$C$223,0))-(VALUE(MID(BR220,FIND("|",BR220)+1,FIND("-",BR220,FIND("|",BR220))-FIND("|",BR220)-1))-VALUE(MID(BR220,FIND("-",BR220,FIND("|",BR220))+1,10)))))*$D$50),$D$25*(1-(IF(INDEX($D$220:$D$223,MATCH(LEFT(BR220,FIND("·",BR220)-1),$C$220:$C$223,0))=0,ABS(INDEX($A$220:$A$223,MATCH(LEFT(BR220,FIND("·",BR220)-1),$C$220:$C$223,0))-VALUE(MID(BR220,FIND("|",BR220)+1,FIND("-",BR220,FIND("|",BR220))-FIND("|",BR220)-1))),ABS(INDEX($Q$220:$Q$223,MATCH(LEFT(BR220,FIND("·",BR220)-1),$C$220:$C$223,0))-(VALUE(MID(BR220,FIND("|",BR220)+1,FIND("-",BR220,FIND("|",BR220))-FIND("|",BR220)-1))-VALUE(MID(BR220,FIND("-",BR220,FIND("|",BR220))+1,10)))))*$D$50)))))*INDEX($I$220:$I$223,MATCH(LEFT(BR220,FIND("·",BR220)-1),$C$220:$C$223,0)),0),0),0)</f>
        <v>0</v>
      </c>
      <c r="BT220" s="110"/>
      <c r="BU220" s="76" t="s">
        <v>2475</v>
      </c>
      <c r="BV220" s="77">
        <f t="shared" ref="BV220" ca="1" si="2174">IFERROR(IF(COUNTIF($K$220:$K$223,LEFT(BU220,FIND("·",BU220)-1))&gt;0,IF(INDEX($L$220:$L$223,MATCH(LEFT(BU220,FIND("·",BU220)-1),$K$220:$K$223,0))=IFERROR(VALUE(MID(BU220,FIND("·",BU220)+1,1)),0),($D$24+(INDEX($M$220:$M$223,MATCH(LEFT(BU220,FIND("·",BU220)-1),$K$220:$K$223,0))=MID(BU220,FIND("|",BU220)+1,10))*$D$26+MAX(0,IF($D$50=1,$D$25*(1-(ABS(INDEX($P$220:$P$223,MATCH(LEFT(BU220,FIND("·",BU220)-1),$K$220:$K$223,0))-(VALUE(MID(BU220,FIND("|",BU220)+1,FIND("-",BU220,FIND("|",BU220))-FIND("|",BU220)-1))-VALUE(MID(BU220,FIND("-",BU220,FIND("|",BU220))+1,10)))))*$D$50),$D$25*(1-(IF(INDEX($L$220:$L$223,MATCH(LEFT(BU220,FIND("·",BU220)-1),$K$220:$K$223,0))=0,ABS(INDEX($N$220:$N$223,MATCH(LEFT(BU220,FIND("·",BU220)-1),$K$220:$K$223,0))-VALUE(MID(BU220,FIND("|",BU220)+1,FIND("-",BU220,FIND("|",BU220))-FIND("|",BU220)-1))),ABS(INDEX($P$220:$P$223,MATCH(LEFT(BU220,FIND("·",BU220)-1),$K$220:$K$223,0))-(VALUE(MID(BU220,FIND("|",BU220)+1,FIND("-",BU220,FIND("|",BU220))-FIND("|",BU220)-1))-VALUE(MID(BU220,FIND("-",BU220,FIND("|",BU220))+1,10)))))*$D$50)))))*INDEX($I$220:$I$223,MATCH(LEFT(BU220,FIND("·",BU220)-1),$K$220:$K$223,0)),0),0),0)+IFERROR(IF(COUNTIF($C$220:$C$223,LEFT(BU220,FIND("·",BU220)-1))&gt;0,IF(INDEX($D$220:$D$223,MATCH(LEFT(BU220,FIND("·",BU220)-1),$C$220:$C$223,0))=IFERROR(VALUE(MID(BU220,FIND("·",BU220)+1,1)),0),($D$24+(INDEX($E$220:$E$223,MATCH(LEFT(BU220,FIND("·",BU220)-1),$C$220:$C$223,0))=MID(BU220,FIND("|",BU220)+1,10))*$D$26+MAX(0,IF($D$50=1,$D$25*(1-(ABS(INDEX($Q$220:$Q$223,MATCH(LEFT(BU220,FIND("·",BU220)-1),$C$220:$C$223,0))-(VALUE(MID(BU220,FIND("|",BU220)+1,FIND("-",BU220,FIND("|",BU220))-FIND("|",BU220)-1))-VALUE(MID(BU220,FIND("-",BU220,FIND("|",BU220))+1,10)))))*$D$50),$D$25*(1-(IF(INDEX($D$220:$D$223,MATCH(LEFT(BU220,FIND("·",BU220)-1),$C$220:$C$223,0))=0,ABS(INDEX($A$220:$A$223,MATCH(LEFT(BU220,FIND("·",BU220)-1),$C$220:$C$223,0))-VALUE(MID(BU220,FIND("|",BU220)+1,FIND("-",BU220,FIND("|",BU220))-FIND("|",BU220)-1))),ABS(INDEX($Q$220:$Q$223,MATCH(LEFT(BU220,FIND("·",BU220)-1),$C$220:$C$223,0))-(VALUE(MID(BU220,FIND("|",BU220)+1,FIND("-",BU220,FIND("|",BU220))-FIND("|",BU220)-1))-VALUE(MID(BU220,FIND("-",BU220,FIND("|",BU220))+1,10)))))*$D$50)))))*INDEX($I$220:$I$223,MATCH(LEFT(BU220,FIND("·",BU220)-1),$C$220:$C$223,0)),0),0),0)</f>
        <v>0</v>
      </c>
      <c r="BW220" s="110"/>
      <c r="BX220" s="76" t="s">
        <v>2485</v>
      </c>
      <c r="BY220" s="77">
        <f t="shared" ref="BY220" ca="1" si="2175">IFERROR(IF(COUNTIF($K$220:$K$223,LEFT(BX220,FIND("·",BX220)-1))&gt;0,IF(INDEX($L$220:$L$223,MATCH(LEFT(BX220,FIND("·",BX220)-1),$K$220:$K$223,0))=IFERROR(VALUE(MID(BX220,FIND("·",BX220)+1,1)),0),($D$24+(INDEX($M$220:$M$223,MATCH(LEFT(BX220,FIND("·",BX220)-1),$K$220:$K$223,0))=MID(BX220,FIND("|",BX220)+1,10))*$D$26+MAX(0,IF($D$50=1,$D$25*(1-(ABS(INDEX($P$220:$P$223,MATCH(LEFT(BX220,FIND("·",BX220)-1),$K$220:$K$223,0))-(VALUE(MID(BX220,FIND("|",BX220)+1,FIND("-",BX220,FIND("|",BX220))-FIND("|",BX220)-1))-VALUE(MID(BX220,FIND("-",BX220,FIND("|",BX220))+1,10)))))*$D$50),$D$25*(1-(IF(INDEX($L$220:$L$223,MATCH(LEFT(BX220,FIND("·",BX220)-1),$K$220:$K$223,0))=0,ABS(INDEX($N$220:$N$223,MATCH(LEFT(BX220,FIND("·",BX220)-1),$K$220:$K$223,0))-VALUE(MID(BX220,FIND("|",BX220)+1,FIND("-",BX220,FIND("|",BX220))-FIND("|",BX220)-1))),ABS(INDEX($P$220:$P$223,MATCH(LEFT(BX220,FIND("·",BX220)-1),$K$220:$K$223,0))-(VALUE(MID(BX220,FIND("|",BX220)+1,FIND("-",BX220,FIND("|",BX220))-FIND("|",BX220)-1))-VALUE(MID(BX220,FIND("-",BX220,FIND("|",BX220))+1,10)))))*$D$50)))))*INDEX($I$220:$I$223,MATCH(LEFT(BX220,FIND("·",BX220)-1),$K$220:$K$223,0)),0),0),0)+IFERROR(IF(COUNTIF($C$220:$C$223,LEFT(BX220,FIND("·",BX220)-1))&gt;0,IF(INDEX($D$220:$D$223,MATCH(LEFT(BX220,FIND("·",BX220)-1),$C$220:$C$223,0))=IFERROR(VALUE(MID(BX220,FIND("·",BX220)+1,1)),0),($D$24+(INDEX($E$220:$E$223,MATCH(LEFT(BX220,FIND("·",BX220)-1),$C$220:$C$223,0))=MID(BX220,FIND("|",BX220)+1,10))*$D$26+MAX(0,IF($D$50=1,$D$25*(1-(ABS(INDEX($Q$220:$Q$223,MATCH(LEFT(BX220,FIND("·",BX220)-1),$C$220:$C$223,0))-(VALUE(MID(BX220,FIND("|",BX220)+1,FIND("-",BX220,FIND("|",BX220))-FIND("|",BX220)-1))-VALUE(MID(BX220,FIND("-",BX220,FIND("|",BX220))+1,10)))))*$D$50),$D$25*(1-(IF(INDEX($D$220:$D$223,MATCH(LEFT(BX220,FIND("·",BX220)-1),$C$220:$C$223,0))=0,ABS(INDEX($A$220:$A$223,MATCH(LEFT(BX220,FIND("·",BX220)-1),$C$220:$C$223,0))-VALUE(MID(BX220,FIND("|",BX220)+1,FIND("-",BX220,FIND("|",BX220))-FIND("|",BX220)-1))),ABS(INDEX($Q$220:$Q$223,MATCH(LEFT(BX220,FIND("·",BX220)-1),$C$220:$C$223,0))-(VALUE(MID(BX220,FIND("|",BX220)+1,FIND("-",BX220,FIND("|",BX220))-FIND("|",BX220)-1))-VALUE(MID(BX220,FIND("-",BX220,FIND("|",BX220))+1,10)))))*$D$50)))))*INDEX($I$220:$I$223,MATCH(LEFT(BX220,FIND("·",BX220)-1),$C$220:$C$223,0)),0),0),0)</f>
        <v>0</v>
      </c>
      <c r="BZ220" s="110"/>
      <c r="CA220" s="76" t="s">
        <v>2506</v>
      </c>
      <c r="CB220" s="77">
        <f t="shared" ref="CB220" ca="1" si="2176">IFERROR(IF(COUNTIF($K$220:$K$223,LEFT(CA220,FIND("·",CA220)-1))&gt;0,IF(INDEX($L$220:$L$223,MATCH(LEFT(CA220,FIND("·",CA220)-1),$K$220:$K$223,0))=IFERROR(VALUE(MID(CA220,FIND("·",CA220)+1,1)),0),($D$24+(INDEX($M$220:$M$223,MATCH(LEFT(CA220,FIND("·",CA220)-1),$K$220:$K$223,0))=MID(CA220,FIND("|",CA220)+1,10))*$D$26+MAX(0,IF($D$50=1,$D$25*(1-(ABS(INDEX($P$220:$P$223,MATCH(LEFT(CA220,FIND("·",CA220)-1),$K$220:$K$223,0))-(VALUE(MID(CA220,FIND("|",CA220)+1,FIND("-",CA220,FIND("|",CA220))-FIND("|",CA220)-1))-VALUE(MID(CA220,FIND("-",CA220,FIND("|",CA220))+1,10)))))*$D$50),$D$25*(1-(IF(INDEX($L$220:$L$223,MATCH(LEFT(CA220,FIND("·",CA220)-1),$K$220:$K$223,0))=0,ABS(INDEX($N$220:$N$223,MATCH(LEFT(CA220,FIND("·",CA220)-1),$K$220:$K$223,0))-VALUE(MID(CA220,FIND("|",CA220)+1,FIND("-",CA220,FIND("|",CA220))-FIND("|",CA220)-1))),ABS(INDEX($P$220:$P$223,MATCH(LEFT(CA220,FIND("·",CA220)-1),$K$220:$K$223,0))-(VALUE(MID(CA220,FIND("|",CA220)+1,FIND("-",CA220,FIND("|",CA220))-FIND("|",CA220)-1))-VALUE(MID(CA220,FIND("-",CA220,FIND("|",CA220))+1,10)))))*$D$50)))))*INDEX($I$220:$I$223,MATCH(LEFT(CA220,FIND("·",CA220)-1),$K$220:$K$223,0)),0),0),0)+IFERROR(IF(COUNTIF($C$220:$C$223,LEFT(CA220,FIND("·",CA220)-1))&gt;0,IF(INDEX($D$220:$D$223,MATCH(LEFT(CA220,FIND("·",CA220)-1),$C$220:$C$223,0))=IFERROR(VALUE(MID(CA220,FIND("·",CA220)+1,1)),0),($D$24+(INDEX($E$220:$E$223,MATCH(LEFT(CA220,FIND("·",CA220)-1),$C$220:$C$223,0))=MID(CA220,FIND("|",CA220)+1,10))*$D$26+MAX(0,IF($D$50=1,$D$25*(1-(ABS(INDEX($Q$220:$Q$223,MATCH(LEFT(CA220,FIND("·",CA220)-1),$C$220:$C$223,0))-(VALUE(MID(CA220,FIND("|",CA220)+1,FIND("-",CA220,FIND("|",CA220))-FIND("|",CA220)-1))-VALUE(MID(CA220,FIND("-",CA220,FIND("|",CA220))+1,10)))))*$D$50),$D$25*(1-(IF(INDEX($D$220:$D$223,MATCH(LEFT(CA220,FIND("·",CA220)-1),$C$220:$C$223,0))=0,ABS(INDEX($A$220:$A$223,MATCH(LEFT(CA220,FIND("·",CA220)-1),$C$220:$C$223,0))-VALUE(MID(CA220,FIND("|",CA220)+1,FIND("-",CA220,FIND("|",CA220))-FIND("|",CA220)-1))),ABS(INDEX($Q$220:$Q$223,MATCH(LEFT(CA220,FIND("·",CA220)-1),$C$220:$C$223,0))-(VALUE(MID(CA220,FIND("|",CA220)+1,FIND("-",CA220,FIND("|",CA220))-FIND("|",CA220)-1))-VALUE(MID(CA220,FIND("-",CA220,FIND("|",CA220))+1,10)))))*$D$50)))))*INDEX($I$220:$I$223,MATCH(LEFT(CA220,FIND("·",CA220)-1),$C$220:$C$223,0)),0),0),0)</f>
        <v>20</v>
      </c>
      <c r="CC220" s="110"/>
      <c r="CD220" s="76" t="s">
        <v>2437</v>
      </c>
      <c r="CE220" s="77">
        <f t="shared" ref="CE220" ca="1" si="2177">IFERROR(IF(COUNTIF($K$220:$K$223,LEFT(CD220,FIND("·",CD220)-1))&gt;0,IF(INDEX($L$220:$L$223,MATCH(LEFT(CD220,FIND("·",CD220)-1),$K$220:$K$223,0))=IFERROR(VALUE(MID(CD220,FIND("·",CD220)+1,1)),0),($D$24+(INDEX($M$220:$M$223,MATCH(LEFT(CD220,FIND("·",CD220)-1),$K$220:$K$223,0))=MID(CD220,FIND("|",CD220)+1,10))*$D$26+MAX(0,IF($D$50=1,$D$25*(1-(ABS(INDEX($P$220:$P$223,MATCH(LEFT(CD220,FIND("·",CD220)-1),$K$220:$K$223,0))-(VALUE(MID(CD220,FIND("|",CD220)+1,FIND("-",CD220,FIND("|",CD220))-FIND("|",CD220)-1))-VALUE(MID(CD220,FIND("-",CD220,FIND("|",CD220))+1,10)))))*$D$50),$D$25*(1-(IF(INDEX($L$220:$L$223,MATCH(LEFT(CD220,FIND("·",CD220)-1),$K$220:$K$223,0))=0,ABS(INDEX($N$220:$N$223,MATCH(LEFT(CD220,FIND("·",CD220)-1),$K$220:$K$223,0))-VALUE(MID(CD220,FIND("|",CD220)+1,FIND("-",CD220,FIND("|",CD220))-FIND("|",CD220)-1))),ABS(INDEX($P$220:$P$223,MATCH(LEFT(CD220,FIND("·",CD220)-1),$K$220:$K$223,0))-(VALUE(MID(CD220,FIND("|",CD220)+1,FIND("-",CD220,FIND("|",CD220))-FIND("|",CD220)-1))-VALUE(MID(CD220,FIND("-",CD220,FIND("|",CD220))+1,10)))))*$D$50)))))*INDEX($I$220:$I$223,MATCH(LEFT(CD220,FIND("·",CD220)-1),$K$220:$K$223,0)),0),0),0)+IFERROR(IF(COUNTIF($C$220:$C$223,LEFT(CD220,FIND("·",CD220)-1))&gt;0,IF(INDEX($D$220:$D$223,MATCH(LEFT(CD220,FIND("·",CD220)-1),$C$220:$C$223,0))=IFERROR(VALUE(MID(CD220,FIND("·",CD220)+1,1)),0),($D$24+(INDEX($E$220:$E$223,MATCH(LEFT(CD220,FIND("·",CD220)-1),$C$220:$C$223,0))=MID(CD220,FIND("|",CD220)+1,10))*$D$26+MAX(0,IF($D$50=1,$D$25*(1-(ABS(INDEX($Q$220:$Q$223,MATCH(LEFT(CD220,FIND("·",CD220)-1),$C$220:$C$223,0))-(VALUE(MID(CD220,FIND("|",CD220)+1,FIND("-",CD220,FIND("|",CD220))-FIND("|",CD220)-1))-VALUE(MID(CD220,FIND("-",CD220,FIND("|",CD220))+1,10)))))*$D$50),$D$25*(1-(IF(INDEX($D$220:$D$223,MATCH(LEFT(CD220,FIND("·",CD220)-1),$C$220:$C$223,0))=0,ABS(INDEX($A$220:$A$223,MATCH(LEFT(CD220,FIND("·",CD220)-1),$C$220:$C$223,0))-VALUE(MID(CD220,FIND("|",CD220)+1,FIND("-",CD220,FIND("|",CD220))-FIND("|",CD220)-1))),ABS(INDEX($Q$220:$Q$223,MATCH(LEFT(CD220,FIND("·",CD220)-1),$C$220:$C$223,0))-(VALUE(MID(CD220,FIND("|",CD220)+1,FIND("-",CD220,FIND("|",CD220))-FIND("|",CD220)-1))-VALUE(MID(CD220,FIND("-",CD220,FIND("|",CD220))+1,10)))))*$D$50)))))*INDEX($I$220:$I$223,MATCH(LEFT(CD220,FIND("·",CD220)-1),$C$220:$C$223,0)),0),0),0)</f>
        <v>0</v>
      </c>
      <c r="CF220" s="110"/>
      <c r="CG220" s="76" t="s">
        <v>2093</v>
      </c>
      <c r="CH220" s="77">
        <f t="shared" ref="CH220" ca="1" si="2178">IFERROR(IF(COUNTIF($K$220:$K$223,LEFT(CG220,FIND("·",CG220)-1))&gt;0,IF(INDEX($L$220:$L$223,MATCH(LEFT(CG220,FIND("·",CG220)-1),$K$220:$K$223,0))=IFERROR(VALUE(MID(CG220,FIND("·",CG220)+1,1)),0),($D$24+(INDEX($M$220:$M$223,MATCH(LEFT(CG220,FIND("·",CG220)-1),$K$220:$K$223,0))=MID(CG220,FIND("|",CG220)+1,10))*$D$26+MAX(0,IF($D$50=1,$D$25*(1-(ABS(INDEX($P$220:$P$223,MATCH(LEFT(CG220,FIND("·",CG220)-1),$K$220:$K$223,0))-(VALUE(MID(CG220,FIND("|",CG220)+1,FIND("-",CG220,FIND("|",CG220))-FIND("|",CG220)-1))-VALUE(MID(CG220,FIND("-",CG220,FIND("|",CG220))+1,10)))))*$D$50),$D$25*(1-(IF(INDEX($L$220:$L$223,MATCH(LEFT(CG220,FIND("·",CG220)-1),$K$220:$K$223,0))=0,ABS(INDEX($N$220:$N$223,MATCH(LEFT(CG220,FIND("·",CG220)-1),$K$220:$K$223,0))-VALUE(MID(CG220,FIND("|",CG220)+1,FIND("-",CG220,FIND("|",CG220))-FIND("|",CG220)-1))),ABS(INDEX($P$220:$P$223,MATCH(LEFT(CG220,FIND("·",CG220)-1),$K$220:$K$223,0))-(VALUE(MID(CG220,FIND("|",CG220)+1,FIND("-",CG220,FIND("|",CG220))-FIND("|",CG220)-1))-VALUE(MID(CG220,FIND("-",CG220,FIND("|",CG220))+1,10)))))*$D$50)))))*INDEX($I$220:$I$223,MATCH(LEFT(CG220,FIND("·",CG220)-1),$K$220:$K$223,0)),0),0),0)+IFERROR(IF(COUNTIF($C$220:$C$223,LEFT(CG220,FIND("·",CG220)-1))&gt;0,IF(INDEX($D$220:$D$223,MATCH(LEFT(CG220,FIND("·",CG220)-1),$C$220:$C$223,0))=IFERROR(VALUE(MID(CG220,FIND("·",CG220)+1,1)),0),($D$24+(INDEX($E$220:$E$223,MATCH(LEFT(CG220,FIND("·",CG220)-1),$C$220:$C$223,0))=MID(CG220,FIND("|",CG220)+1,10))*$D$26+MAX(0,IF($D$50=1,$D$25*(1-(ABS(INDEX($Q$220:$Q$223,MATCH(LEFT(CG220,FIND("·",CG220)-1),$C$220:$C$223,0))-(VALUE(MID(CG220,FIND("|",CG220)+1,FIND("-",CG220,FIND("|",CG220))-FIND("|",CG220)-1))-VALUE(MID(CG220,FIND("-",CG220,FIND("|",CG220))+1,10)))))*$D$50),$D$25*(1-(IF(INDEX($D$220:$D$223,MATCH(LEFT(CG220,FIND("·",CG220)-1),$C$220:$C$223,0))=0,ABS(INDEX($A$220:$A$223,MATCH(LEFT(CG220,FIND("·",CG220)-1),$C$220:$C$223,0))-VALUE(MID(CG220,FIND("|",CG220)+1,FIND("-",CG220,FIND("|",CG220))-FIND("|",CG220)-1))),ABS(INDEX($Q$220:$Q$223,MATCH(LEFT(CG220,FIND("·",CG220)-1),$C$220:$C$223,0))-(VALUE(MID(CG220,FIND("|",CG220)+1,FIND("-",CG220,FIND("|",CG220))-FIND("|",CG220)-1))-VALUE(MID(CG220,FIND("-",CG220,FIND("|",CG220))+1,10)))))*$D$50)))))*INDEX($I$220:$I$223,MATCH(LEFT(CG220,FIND("·",CG220)-1),$C$220:$C$223,0)),0),0),0)</f>
        <v>0</v>
      </c>
      <c r="CI220" s="110"/>
      <c r="CJ220" s="76" t="s">
        <v>2562</v>
      </c>
      <c r="CK220" s="77">
        <f t="shared" ref="CK220:EV223" ca="1" si="2179">IFERROR(IF(COUNTIF($K$220:$K$223,LEFT(CJ220,FIND("·",CJ220)-1))&gt;0,IF(INDEX($L$220:$L$223,MATCH(LEFT(CJ220,FIND("·",CJ220)-1),$K$220:$K$223,0))=IFERROR(VALUE(MID(CJ220,FIND("·",CJ220)+1,1)),0),($D$24+(INDEX($M$220:$M$223,MATCH(LEFT(CJ220,FIND("·",CJ220)-1),$K$220:$K$223,0))=MID(CJ220,FIND("|",CJ220)+1,10))*$D$26+MAX(0,IF($D$50=1,$D$25*(1-(ABS(INDEX($P$220:$P$223,MATCH(LEFT(CJ220,FIND("·",CJ220)-1),$K$220:$K$223,0))-(VALUE(MID(CJ220,FIND("|",CJ220)+1,FIND("-",CJ220,FIND("|",CJ220))-FIND("|",CJ220)-1))-VALUE(MID(CJ220,FIND("-",CJ220,FIND("|",CJ220))+1,10)))))*$D$50),$D$25*(1-(IF(INDEX($L$220:$L$223,MATCH(LEFT(CJ220,FIND("·",CJ220)-1),$K$220:$K$223,0))=0,ABS(INDEX($N$220:$N$223,MATCH(LEFT(CJ220,FIND("·",CJ220)-1),$K$220:$K$223,0))-VALUE(MID(CJ220,FIND("|",CJ220)+1,FIND("-",CJ220,FIND("|",CJ220))-FIND("|",CJ220)-1))),ABS(INDEX($P$220:$P$223,MATCH(LEFT(CJ220,FIND("·",CJ220)-1),$K$220:$K$223,0))-(VALUE(MID(CJ220,FIND("|",CJ220)+1,FIND("-",CJ220,FIND("|",CJ220))-FIND("|",CJ220)-1))-VALUE(MID(CJ220,FIND("-",CJ220,FIND("|",CJ220))+1,10)))))*$D$50)))))*INDEX($I$220:$I$223,MATCH(LEFT(CJ220,FIND("·",CJ220)-1),$K$220:$K$223,0)),0),0),0)+IFERROR(IF(COUNTIF($C$220:$C$223,LEFT(CJ220,FIND("·",CJ220)-1))&gt;0,IF(INDEX($D$220:$D$223,MATCH(LEFT(CJ220,FIND("·",CJ220)-1),$C$220:$C$223,0))=IFERROR(VALUE(MID(CJ220,FIND("·",CJ220)+1,1)),0),($D$24+(INDEX($E$220:$E$223,MATCH(LEFT(CJ220,FIND("·",CJ220)-1),$C$220:$C$223,0))=MID(CJ220,FIND("|",CJ220)+1,10))*$D$26+MAX(0,IF($D$50=1,$D$25*(1-(ABS(INDEX($Q$220:$Q$223,MATCH(LEFT(CJ220,FIND("·",CJ220)-1),$C$220:$C$223,0))-(VALUE(MID(CJ220,FIND("|",CJ220)+1,FIND("-",CJ220,FIND("|",CJ220))-FIND("|",CJ220)-1))-VALUE(MID(CJ220,FIND("-",CJ220,FIND("|",CJ220))+1,10)))))*$D$50),$D$25*(1-(IF(INDEX($D$220:$D$223,MATCH(LEFT(CJ220,FIND("·",CJ220)-1),$C$220:$C$223,0))=0,ABS(INDEX($A$220:$A$223,MATCH(LEFT(CJ220,FIND("·",CJ220)-1),$C$220:$C$223,0))-VALUE(MID(CJ220,FIND("|",CJ220)+1,FIND("-",CJ220,FIND("|",CJ220))-FIND("|",CJ220)-1))),ABS(INDEX($Q$220:$Q$223,MATCH(LEFT(CJ220,FIND("·",CJ220)-1),$C$220:$C$223,0))-(VALUE(MID(CJ220,FIND("|",CJ220)+1,FIND("-",CJ220,FIND("|",CJ220))-FIND("|",CJ220)-1))-VALUE(MID(CJ220,FIND("-",CJ220,FIND("|",CJ220))+1,10)))))*$D$50)))))*INDEX($I$220:$I$223,MATCH(LEFT(CJ220,FIND("·",CJ220)-1),$C$220:$C$223,0)),0),0),0)</f>
        <v>0</v>
      </c>
      <c r="CL220" s="110"/>
      <c r="CM220" s="76" t="s">
        <v>2350</v>
      </c>
      <c r="CN220" s="77">
        <f t="shared" ref="CN220" ca="1" si="2180">IFERROR(IF(COUNTIF($K$220:$K$223,LEFT(CM220,FIND("·",CM220)-1))&gt;0,IF(INDEX($L$220:$L$223,MATCH(LEFT(CM220,FIND("·",CM220)-1),$K$220:$K$223,0))=IFERROR(VALUE(MID(CM220,FIND("·",CM220)+1,1)),0),($D$24+(INDEX($M$220:$M$223,MATCH(LEFT(CM220,FIND("·",CM220)-1),$K$220:$K$223,0))=MID(CM220,FIND("|",CM220)+1,10))*$D$26+MAX(0,IF($D$50=1,$D$25*(1-(ABS(INDEX($P$220:$P$223,MATCH(LEFT(CM220,FIND("·",CM220)-1),$K$220:$K$223,0))-(VALUE(MID(CM220,FIND("|",CM220)+1,FIND("-",CM220,FIND("|",CM220))-FIND("|",CM220)-1))-VALUE(MID(CM220,FIND("-",CM220,FIND("|",CM220))+1,10)))))*$D$50),$D$25*(1-(IF(INDEX($L$220:$L$223,MATCH(LEFT(CM220,FIND("·",CM220)-1),$K$220:$K$223,0))=0,ABS(INDEX($N$220:$N$223,MATCH(LEFT(CM220,FIND("·",CM220)-1),$K$220:$K$223,0))-VALUE(MID(CM220,FIND("|",CM220)+1,FIND("-",CM220,FIND("|",CM220))-FIND("|",CM220)-1))),ABS(INDEX($P$220:$P$223,MATCH(LEFT(CM220,FIND("·",CM220)-1),$K$220:$K$223,0))-(VALUE(MID(CM220,FIND("|",CM220)+1,FIND("-",CM220,FIND("|",CM220))-FIND("|",CM220)-1))-VALUE(MID(CM220,FIND("-",CM220,FIND("|",CM220))+1,10)))))*$D$50)))))*INDEX($I$220:$I$223,MATCH(LEFT(CM220,FIND("·",CM220)-1),$K$220:$K$223,0)),0),0),0)+IFERROR(IF(COUNTIF($C$220:$C$223,LEFT(CM220,FIND("·",CM220)-1))&gt;0,IF(INDEX($D$220:$D$223,MATCH(LEFT(CM220,FIND("·",CM220)-1),$C$220:$C$223,0))=IFERROR(VALUE(MID(CM220,FIND("·",CM220)+1,1)),0),($D$24+(INDEX($E$220:$E$223,MATCH(LEFT(CM220,FIND("·",CM220)-1),$C$220:$C$223,0))=MID(CM220,FIND("|",CM220)+1,10))*$D$26+MAX(0,IF($D$50=1,$D$25*(1-(ABS(INDEX($Q$220:$Q$223,MATCH(LEFT(CM220,FIND("·",CM220)-1),$C$220:$C$223,0))-(VALUE(MID(CM220,FIND("|",CM220)+1,FIND("-",CM220,FIND("|",CM220))-FIND("|",CM220)-1))-VALUE(MID(CM220,FIND("-",CM220,FIND("|",CM220))+1,10)))))*$D$50),$D$25*(1-(IF(INDEX($D$220:$D$223,MATCH(LEFT(CM220,FIND("·",CM220)-1),$C$220:$C$223,0))=0,ABS(INDEX($A$220:$A$223,MATCH(LEFT(CM220,FIND("·",CM220)-1),$C$220:$C$223,0))-VALUE(MID(CM220,FIND("|",CM220)+1,FIND("-",CM220,FIND("|",CM220))-FIND("|",CM220)-1))),ABS(INDEX($Q$220:$Q$223,MATCH(LEFT(CM220,FIND("·",CM220)-1),$C$220:$C$223,0))-(VALUE(MID(CM220,FIND("|",CM220)+1,FIND("-",CM220,FIND("|",CM220))-FIND("|",CM220)-1))-VALUE(MID(CM220,FIND("-",CM220,FIND("|",CM220))+1,10)))))*$D$50)))))*INDEX($I$220:$I$223,MATCH(LEFT(CM220,FIND("·",CM220)-1),$C$220:$C$223,0)),0),0),0)</f>
        <v>0</v>
      </c>
      <c r="CO220" s="110"/>
      <c r="CP220" s="76" t="s">
        <v>2155</v>
      </c>
      <c r="CQ220" s="77">
        <f t="shared" ref="CQ220" ca="1" si="2181">IFERROR(IF(COUNTIF($K$220:$K$223,LEFT(CP220,FIND("·",CP220)-1))&gt;0,IF(INDEX($L$220:$L$223,MATCH(LEFT(CP220,FIND("·",CP220)-1),$K$220:$K$223,0))=IFERROR(VALUE(MID(CP220,FIND("·",CP220)+1,1)),0),($D$24+(INDEX($M$220:$M$223,MATCH(LEFT(CP220,FIND("·",CP220)-1),$K$220:$K$223,0))=MID(CP220,FIND("|",CP220)+1,10))*$D$26+MAX(0,IF($D$50=1,$D$25*(1-(ABS(INDEX($P$220:$P$223,MATCH(LEFT(CP220,FIND("·",CP220)-1),$K$220:$K$223,0))-(VALUE(MID(CP220,FIND("|",CP220)+1,FIND("-",CP220,FIND("|",CP220))-FIND("|",CP220)-1))-VALUE(MID(CP220,FIND("-",CP220,FIND("|",CP220))+1,10)))))*$D$50),$D$25*(1-(IF(INDEX($L$220:$L$223,MATCH(LEFT(CP220,FIND("·",CP220)-1),$K$220:$K$223,0))=0,ABS(INDEX($N$220:$N$223,MATCH(LEFT(CP220,FIND("·",CP220)-1),$K$220:$K$223,0))-VALUE(MID(CP220,FIND("|",CP220)+1,FIND("-",CP220,FIND("|",CP220))-FIND("|",CP220)-1))),ABS(INDEX($P$220:$P$223,MATCH(LEFT(CP220,FIND("·",CP220)-1),$K$220:$K$223,0))-(VALUE(MID(CP220,FIND("|",CP220)+1,FIND("-",CP220,FIND("|",CP220))-FIND("|",CP220)-1))-VALUE(MID(CP220,FIND("-",CP220,FIND("|",CP220))+1,10)))))*$D$50)))))*INDEX($I$220:$I$223,MATCH(LEFT(CP220,FIND("·",CP220)-1),$K$220:$K$223,0)),0),0),0)+IFERROR(IF(COUNTIF($C$220:$C$223,LEFT(CP220,FIND("·",CP220)-1))&gt;0,IF(INDEX($D$220:$D$223,MATCH(LEFT(CP220,FIND("·",CP220)-1),$C$220:$C$223,0))=IFERROR(VALUE(MID(CP220,FIND("·",CP220)+1,1)),0),($D$24+(INDEX($E$220:$E$223,MATCH(LEFT(CP220,FIND("·",CP220)-1),$C$220:$C$223,0))=MID(CP220,FIND("|",CP220)+1,10))*$D$26+MAX(0,IF($D$50=1,$D$25*(1-(ABS(INDEX($Q$220:$Q$223,MATCH(LEFT(CP220,FIND("·",CP220)-1),$C$220:$C$223,0))-(VALUE(MID(CP220,FIND("|",CP220)+1,FIND("-",CP220,FIND("|",CP220))-FIND("|",CP220)-1))-VALUE(MID(CP220,FIND("-",CP220,FIND("|",CP220))+1,10)))))*$D$50),$D$25*(1-(IF(INDEX($D$220:$D$223,MATCH(LEFT(CP220,FIND("·",CP220)-1),$C$220:$C$223,0))=0,ABS(INDEX($A$220:$A$223,MATCH(LEFT(CP220,FIND("·",CP220)-1),$C$220:$C$223,0))-VALUE(MID(CP220,FIND("|",CP220)+1,FIND("-",CP220,FIND("|",CP220))-FIND("|",CP220)-1))),ABS(INDEX($Q$220:$Q$223,MATCH(LEFT(CP220,FIND("·",CP220)-1),$C$220:$C$223,0))-(VALUE(MID(CP220,FIND("|",CP220)+1,FIND("-",CP220,FIND("|",CP220))-FIND("|",CP220)-1))-VALUE(MID(CP220,FIND("-",CP220,FIND("|",CP220))+1,10)))))*$D$50)))))*INDEX($I$220:$I$223,MATCH(LEFT(CP220,FIND("·",CP220)-1),$C$220:$C$223,0)),0),0),0)</f>
        <v>0</v>
      </c>
      <c r="CR220" s="110"/>
      <c r="CS220" s="76" t="s">
        <v>1964</v>
      </c>
      <c r="CT220" s="77">
        <f t="shared" ref="CT220" ca="1" si="2182">IFERROR(IF(COUNTIF($K$220:$K$223,LEFT(CS220,FIND("·",CS220)-1))&gt;0,IF(INDEX($L$220:$L$223,MATCH(LEFT(CS220,FIND("·",CS220)-1),$K$220:$K$223,0))=IFERROR(VALUE(MID(CS220,FIND("·",CS220)+1,1)),0),($D$24+(INDEX($M$220:$M$223,MATCH(LEFT(CS220,FIND("·",CS220)-1),$K$220:$K$223,0))=MID(CS220,FIND("|",CS220)+1,10))*$D$26+MAX(0,IF($D$50=1,$D$25*(1-(ABS(INDEX($P$220:$P$223,MATCH(LEFT(CS220,FIND("·",CS220)-1),$K$220:$K$223,0))-(VALUE(MID(CS220,FIND("|",CS220)+1,FIND("-",CS220,FIND("|",CS220))-FIND("|",CS220)-1))-VALUE(MID(CS220,FIND("-",CS220,FIND("|",CS220))+1,10)))))*$D$50),$D$25*(1-(IF(INDEX($L$220:$L$223,MATCH(LEFT(CS220,FIND("·",CS220)-1),$K$220:$K$223,0))=0,ABS(INDEX($N$220:$N$223,MATCH(LEFT(CS220,FIND("·",CS220)-1),$K$220:$K$223,0))-VALUE(MID(CS220,FIND("|",CS220)+1,FIND("-",CS220,FIND("|",CS220))-FIND("|",CS220)-1))),ABS(INDEX($P$220:$P$223,MATCH(LEFT(CS220,FIND("·",CS220)-1),$K$220:$K$223,0))-(VALUE(MID(CS220,FIND("|",CS220)+1,FIND("-",CS220,FIND("|",CS220))-FIND("|",CS220)-1))-VALUE(MID(CS220,FIND("-",CS220,FIND("|",CS220))+1,10)))))*$D$50)))))*INDEX($I$220:$I$223,MATCH(LEFT(CS220,FIND("·",CS220)-1),$K$220:$K$223,0)),0),0),0)+IFERROR(IF(COUNTIF($C$220:$C$223,LEFT(CS220,FIND("·",CS220)-1))&gt;0,IF(INDEX($D$220:$D$223,MATCH(LEFT(CS220,FIND("·",CS220)-1),$C$220:$C$223,0))=IFERROR(VALUE(MID(CS220,FIND("·",CS220)+1,1)),0),($D$24+(INDEX($E$220:$E$223,MATCH(LEFT(CS220,FIND("·",CS220)-1),$C$220:$C$223,0))=MID(CS220,FIND("|",CS220)+1,10))*$D$26+MAX(0,IF($D$50=1,$D$25*(1-(ABS(INDEX($Q$220:$Q$223,MATCH(LEFT(CS220,FIND("·",CS220)-1),$C$220:$C$223,0))-(VALUE(MID(CS220,FIND("|",CS220)+1,FIND("-",CS220,FIND("|",CS220))-FIND("|",CS220)-1))-VALUE(MID(CS220,FIND("-",CS220,FIND("|",CS220))+1,10)))))*$D$50),$D$25*(1-(IF(INDEX($D$220:$D$223,MATCH(LEFT(CS220,FIND("·",CS220)-1),$C$220:$C$223,0))=0,ABS(INDEX($A$220:$A$223,MATCH(LEFT(CS220,FIND("·",CS220)-1),$C$220:$C$223,0))-VALUE(MID(CS220,FIND("|",CS220)+1,FIND("-",CS220,FIND("|",CS220))-FIND("|",CS220)-1))),ABS(INDEX($Q$220:$Q$223,MATCH(LEFT(CS220,FIND("·",CS220)-1),$C$220:$C$223,0))-(VALUE(MID(CS220,FIND("|",CS220)+1,FIND("-",CS220,FIND("|",CS220))-FIND("|",CS220)-1))-VALUE(MID(CS220,FIND("-",CS220,FIND("|",CS220))+1,10)))))*$D$50)))))*INDEX($I$220:$I$223,MATCH(LEFT(CS220,FIND("·",CS220)-1),$C$220:$C$223,0)),0),0),0)</f>
        <v>0</v>
      </c>
      <c r="CU220" s="110"/>
      <c r="CV220" s="76" t="s">
        <v>2649</v>
      </c>
      <c r="CW220" s="77">
        <f t="shared" ref="CW220" ca="1" si="2183">IFERROR(IF(COUNTIF($K$220:$K$223,LEFT(CV220,FIND("·",CV220)-1))&gt;0,IF(INDEX($L$220:$L$223,MATCH(LEFT(CV220,FIND("·",CV220)-1),$K$220:$K$223,0))=IFERROR(VALUE(MID(CV220,FIND("·",CV220)+1,1)),0),($D$24+(INDEX($M$220:$M$223,MATCH(LEFT(CV220,FIND("·",CV220)-1),$K$220:$K$223,0))=MID(CV220,FIND("|",CV220)+1,10))*$D$26+MAX(0,IF($D$50=1,$D$25*(1-(ABS(INDEX($P$220:$P$223,MATCH(LEFT(CV220,FIND("·",CV220)-1),$K$220:$K$223,0))-(VALUE(MID(CV220,FIND("|",CV220)+1,FIND("-",CV220,FIND("|",CV220))-FIND("|",CV220)-1))-VALUE(MID(CV220,FIND("-",CV220,FIND("|",CV220))+1,10)))))*$D$50),$D$25*(1-(IF(INDEX($L$220:$L$223,MATCH(LEFT(CV220,FIND("·",CV220)-1),$K$220:$K$223,0))=0,ABS(INDEX($N$220:$N$223,MATCH(LEFT(CV220,FIND("·",CV220)-1),$K$220:$K$223,0))-VALUE(MID(CV220,FIND("|",CV220)+1,FIND("-",CV220,FIND("|",CV220))-FIND("|",CV220)-1))),ABS(INDEX($P$220:$P$223,MATCH(LEFT(CV220,FIND("·",CV220)-1),$K$220:$K$223,0))-(VALUE(MID(CV220,FIND("|",CV220)+1,FIND("-",CV220,FIND("|",CV220))-FIND("|",CV220)-1))-VALUE(MID(CV220,FIND("-",CV220,FIND("|",CV220))+1,10)))))*$D$50)))))*INDEX($I$220:$I$223,MATCH(LEFT(CV220,FIND("·",CV220)-1),$K$220:$K$223,0)),0),0),0)+IFERROR(IF(COUNTIF($C$220:$C$223,LEFT(CV220,FIND("·",CV220)-1))&gt;0,IF(INDEX($D$220:$D$223,MATCH(LEFT(CV220,FIND("·",CV220)-1),$C$220:$C$223,0))=IFERROR(VALUE(MID(CV220,FIND("·",CV220)+1,1)),0),($D$24+(INDEX($E$220:$E$223,MATCH(LEFT(CV220,FIND("·",CV220)-1),$C$220:$C$223,0))=MID(CV220,FIND("|",CV220)+1,10))*$D$26+MAX(0,IF($D$50=1,$D$25*(1-(ABS(INDEX($Q$220:$Q$223,MATCH(LEFT(CV220,FIND("·",CV220)-1),$C$220:$C$223,0))-(VALUE(MID(CV220,FIND("|",CV220)+1,FIND("-",CV220,FIND("|",CV220))-FIND("|",CV220)-1))-VALUE(MID(CV220,FIND("-",CV220,FIND("|",CV220))+1,10)))))*$D$50),$D$25*(1-(IF(INDEX($D$220:$D$223,MATCH(LEFT(CV220,FIND("·",CV220)-1),$C$220:$C$223,0))=0,ABS(INDEX($A$220:$A$223,MATCH(LEFT(CV220,FIND("·",CV220)-1),$C$220:$C$223,0))-VALUE(MID(CV220,FIND("|",CV220)+1,FIND("-",CV220,FIND("|",CV220))-FIND("|",CV220)-1))),ABS(INDEX($Q$220:$Q$223,MATCH(LEFT(CV220,FIND("·",CV220)-1),$C$220:$C$223,0))-(VALUE(MID(CV220,FIND("|",CV220)+1,FIND("-",CV220,FIND("|",CV220))-FIND("|",CV220)-1))-VALUE(MID(CV220,FIND("-",CV220,FIND("|",CV220))+1,10)))))*$D$50)))))*INDEX($I$220:$I$223,MATCH(LEFT(CV220,FIND("·",CV220)-1),$C$220:$C$223,0)),0),0),0)</f>
        <v>0</v>
      </c>
      <c r="CX220" s="110"/>
      <c r="CY220" s="76" t="s">
        <v>2683</v>
      </c>
      <c r="CZ220" s="77">
        <f t="shared" ref="CZ220" ca="1" si="2184">IFERROR(IF(COUNTIF($K$220:$K$223,LEFT(CY220,FIND("·",CY220)-1))&gt;0,IF(INDEX($L$220:$L$223,MATCH(LEFT(CY220,FIND("·",CY220)-1),$K$220:$K$223,0))=IFERROR(VALUE(MID(CY220,FIND("·",CY220)+1,1)),0),($D$24+(INDEX($M$220:$M$223,MATCH(LEFT(CY220,FIND("·",CY220)-1),$K$220:$K$223,0))=MID(CY220,FIND("|",CY220)+1,10))*$D$26+MAX(0,IF($D$50=1,$D$25*(1-(ABS(INDEX($P$220:$P$223,MATCH(LEFT(CY220,FIND("·",CY220)-1),$K$220:$K$223,0))-(VALUE(MID(CY220,FIND("|",CY220)+1,FIND("-",CY220,FIND("|",CY220))-FIND("|",CY220)-1))-VALUE(MID(CY220,FIND("-",CY220,FIND("|",CY220))+1,10)))))*$D$50),$D$25*(1-(IF(INDEX($L$220:$L$223,MATCH(LEFT(CY220,FIND("·",CY220)-1),$K$220:$K$223,0))=0,ABS(INDEX($N$220:$N$223,MATCH(LEFT(CY220,FIND("·",CY220)-1),$K$220:$K$223,0))-VALUE(MID(CY220,FIND("|",CY220)+1,FIND("-",CY220,FIND("|",CY220))-FIND("|",CY220)-1))),ABS(INDEX($P$220:$P$223,MATCH(LEFT(CY220,FIND("·",CY220)-1),$K$220:$K$223,0))-(VALUE(MID(CY220,FIND("|",CY220)+1,FIND("-",CY220,FIND("|",CY220))-FIND("|",CY220)-1))-VALUE(MID(CY220,FIND("-",CY220,FIND("|",CY220))+1,10)))))*$D$50)))))*INDEX($I$220:$I$223,MATCH(LEFT(CY220,FIND("·",CY220)-1),$K$220:$K$223,0)),0),0),0)+IFERROR(IF(COUNTIF($C$220:$C$223,LEFT(CY220,FIND("·",CY220)-1))&gt;0,IF(INDEX($D$220:$D$223,MATCH(LEFT(CY220,FIND("·",CY220)-1),$C$220:$C$223,0))=IFERROR(VALUE(MID(CY220,FIND("·",CY220)+1,1)),0),($D$24+(INDEX($E$220:$E$223,MATCH(LEFT(CY220,FIND("·",CY220)-1),$C$220:$C$223,0))=MID(CY220,FIND("|",CY220)+1,10))*$D$26+MAX(0,IF($D$50=1,$D$25*(1-(ABS(INDEX($Q$220:$Q$223,MATCH(LEFT(CY220,FIND("·",CY220)-1),$C$220:$C$223,0))-(VALUE(MID(CY220,FIND("|",CY220)+1,FIND("-",CY220,FIND("|",CY220))-FIND("|",CY220)-1))-VALUE(MID(CY220,FIND("-",CY220,FIND("|",CY220))+1,10)))))*$D$50),$D$25*(1-(IF(INDEX($D$220:$D$223,MATCH(LEFT(CY220,FIND("·",CY220)-1),$C$220:$C$223,0))=0,ABS(INDEX($A$220:$A$223,MATCH(LEFT(CY220,FIND("·",CY220)-1),$C$220:$C$223,0))-VALUE(MID(CY220,FIND("|",CY220)+1,FIND("-",CY220,FIND("|",CY220))-FIND("|",CY220)-1))),ABS(INDEX($Q$220:$Q$223,MATCH(LEFT(CY220,FIND("·",CY220)-1),$C$220:$C$223,0))-(VALUE(MID(CY220,FIND("|",CY220)+1,FIND("-",CY220,FIND("|",CY220))-FIND("|",CY220)-1))-VALUE(MID(CY220,FIND("-",CY220,FIND("|",CY220))+1,10)))))*$D$50)))))*INDEX($I$220:$I$223,MATCH(LEFT(CY220,FIND("·",CY220)-1),$C$220:$C$223,0)),0),0),0)</f>
        <v>0</v>
      </c>
      <c r="DA220" s="110"/>
      <c r="DB220" s="76" t="s">
        <v>2093</v>
      </c>
      <c r="DC220" s="77">
        <f t="shared" ref="DC220" ca="1" si="2185">IFERROR(IF(COUNTIF($K$220:$K$223,LEFT(DB220,FIND("·",DB220)-1))&gt;0,IF(INDEX($L$220:$L$223,MATCH(LEFT(DB220,FIND("·",DB220)-1),$K$220:$K$223,0))=IFERROR(VALUE(MID(DB220,FIND("·",DB220)+1,1)),0),($D$24+(INDEX($M$220:$M$223,MATCH(LEFT(DB220,FIND("·",DB220)-1),$K$220:$K$223,0))=MID(DB220,FIND("|",DB220)+1,10))*$D$26+MAX(0,IF($D$50=1,$D$25*(1-(ABS(INDEX($P$220:$P$223,MATCH(LEFT(DB220,FIND("·",DB220)-1),$K$220:$K$223,0))-(VALUE(MID(DB220,FIND("|",DB220)+1,FIND("-",DB220,FIND("|",DB220))-FIND("|",DB220)-1))-VALUE(MID(DB220,FIND("-",DB220,FIND("|",DB220))+1,10)))))*$D$50),$D$25*(1-(IF(INDEX($L$220:$L$223,MATCH(LEFT(DB220,FIND("·",DB220)-1),$K$220:$K$223,0))=0,ABS(INDEX($N$220:$N$223,MATCH(LEFT(DB220,FIND("·",DB220)-1),$K$220:$K$223,0))-VALUE(MID(DB220,FIND("|",DB220)+1,FIND("-",DB220,FIND("|",DB220))-FIND("|",DB220)-1))),ABS(INDEX($P$220:$P$223,MATCH(LEFT(DB220,FIND("·",DB220)-1),$K$220:$K$223,0))-(VALUE(MID(DB220,FIND("|",DB220)+1,FIND("-",DB220,FIND("|",DB220))-FIND("|",DB220)-1))-VALUE(MID(DB220,FIND("-",DB220,FIND("|",DB220))+1,10)))))*$D$50)))))*INDEX($I$220:$I$223,MATCH(LEFT(DB220,FIND("·",DB220)-1),$K$220:$K$223,0)),0),0),0)+IFERROR(IF(COUNTIF($C$220:$C$223,LEFT(DB220,FIND("·",DB220)-1))&gt;0,IF(INDEX($D$220:$D$223,MATCH(LEFT(DB220,FIND("·",DB220)-1),$C$220:$C$223,0))=IFERROR(VALUE(MID(DB220,FIND("·",DB220)+1,1)),0),($D$24+(INDEX($E$220:$E$223,MATCH(LEFT(DB220,FIND("·",DB220)-1),$C$220:$C$223,0))=MID(DB220,FIND("|",DB220)+1,10))*$D$26+MAX(0,IF($D$50=1,$D$25*(1-(ABS(INDEX($Q$220:$Q$223,MATCH(LEFT(DB220,FIND("·",DB220)-1),$C$220:$C$223,0))-(VALUE(MID(DB220,FIND("|",DB220)+1,FIND("-",DB220,FIND("|",DB220))-FIND("|",DB220)-1))-VALUE(MID(DB220,FIND("-",DB220,FIND("|",DB220))+1,10)))))*$D$50),$D$25*(1-(IF(INDEX($D$220:$D$223,MATCH(LEFT(DB220,FIND("·",DB220)-1),$C$220:$C$223,0))=0,ABS(INDEX($A$220:$A$223,MATCH(LEFT(DB220,FIND("·",DB220)-1),$C$220:$C$223,0))-VALUE(MID(DB220,FIND("|",DB220)+1,FIND("-",DB220,FIND("|",DB220))-FIND("|",DB220)-1))),ABS(INDEX($Q$220:$Q$223,MATCH(LEFT(DB220,FIND("·",DB220)-1),$C$220:$C$223,0))-(VALUE(MID(DB220,FIND("|",DB220)+1,FIND("-",DB220,FIND("|",DB220))-FIND("|",DB220)-1))-VALUE(MID(DB220,FIND("-",DB220,FIND("|",DB220))+1,10)))))*$D$50)))))*INDEX($I$220:$I$223,MATCH(LEFT(DB220,FIND("·",DB220)-1),$C$220:$C$223,0)),0),0),0)</f>
        <v>0</v>
      </c>
      <c r="DD220" s="110"/>
      <c r="DE220" s="76" t="s">
        <v>2093</v>
      </c>
      <c r="DF220" s="77">
        <f t="shared" ref="DF220" ca="1" si="2186">IFERROR(IF(COUNTIF($K$220:$K$223,LEFT(DE220,FIND("·",DE220)-1))&gt;0,IF(INDEX($L$220:$L$223,MATCH(LEFT(DE220,FIND("·",DE220)-1),$K$220:$K$223,0))=IFERROR(VALUE(MID(DE220,FIND("·",DE220)+1,1)),0),($D$24+(INDEX($M$220:$M$223,MATCH(LEFT(DE220,FIND("·",DE220)-1),$K$220:$K$223,0))=MID(DE220,FIND("|",DE220)+1,10))*$D$26+MAX(0,IF($D$50=1,$D$25*(1-(ABS(INDEX($P$220:$P$223,MATCH(LEFT(DE220,FIND("·",DE220)-1),$K$220:$K$223,0))-(VALUE(MID(DE220,FIND("|",DE220)+1,FIND("-",DE220,FIND("|",DE220))-FIND("|",DE220)-1))-VALUE(MID(DE220,FIND("-",DE220,FIND("|",DE220))+1,10)))))*$D$50),$D$25*(1-(IF(INDEX($L$220:$L$223,MATCH(LEFT(DE220,FIND("·",DE220)-1),$K$220:$K$223,0))=0,ABS(INDEX($N$220:$N$223,MATCH(LEFT(DE220,FIND("·",DE220)-1),$K$220:$K$223,0))-VALUE(MID(DE220,FIND("|",DE220)+1,FIND("-",DE220,FIND("|",DE220))-FIND("|",DE220)-1))),ABS(INDEX($P$220:$P$223,MATCH(LEFT(DE220,FIND("·",DE220)-1),$K$220:$K$223,0))-(VALUE(MID(DE220,FIND("|",DE220)+1,FIND("-",DE220,FIND("|",DE220))-FIND("|",DE220)-1))-VALUE(MID(DE220,FIND("-",DE220,FIND("|",DE220))+1,10)))))*$D$50)))))*INDEX($I$220:$I$223,MATCH(LEFT(DE220,FIND("·",DE220)-1),$K$220:$K$223,0)),0),0),0)+IFERROR(IF(COUNTIF($C$220:$C$223,LEFT(DE220,FIND("·",DE220)-1))&gt;0,IF(INDEX($D$220:$D$223,MATCH(LEFT(DE220,FIND("·",DE220)-1),$C$220:$C$223,0))=IFERROR(VALUE(MID(DE220,FIND("·",DE220)+1,1)),0),($D$24+(INDEX($E$220:$E$223,MATCH(LEFT(DE220,FIND("·",DE220)-1),$C$220:$C$223,0))=MID(DE220,FIND("|",DE220)+1,10))*$D$26+MAX(0,IF($D$50=1,$D$25*(1-(ABS(INDEX($Q$220:$Q$223,MATCH(LEFT(DE220,FIND("·",DE220)-1),$C$220:$C$223,0))-(VALUE(MID(DE220,FIND("|",DE220)+1,FIND("-",DE220,FIND("|",DE220))-FIND("|",DE220)-1))-VALUE(MID(DE220,FIND("-",DE220,FIND("|",DE220))+1,10)))))*$D$50),$D$25*(1-(IF(INDEX($D$220:$D$223,MATCH(LEFT(DE220,FIND("·",DE220)-1),$C$220:$C$223,0))=0,ABS(INDEX($A$220:$A$223,MATCH(LEFT(DE220,FIND("·",DE220)-1),$C$220:$C$223,0))-VALUE(MID(DE220,FIND("|",DE220)+1,FIND("-",DE220,FIND("|",DE220))-FIND("|",DE220)-1))),ABS(INDEX($Q$220:$Q$223,MATCH(LEFT(DE220,FIND("·",DE220)-1),$C$220:$C$223,0))-(VALUE(MID(DE220,FIND("|",DE220)+1,FIND("-",DE220,FIND("|",DE220))-FIND("|",DE220)-1))-VALUE(MID(DE220,FIND("-",DE220,FIND("|",DE220))+1,10)))))*$D$50)))))*INDEX($I$220:$I$223,MATCH(LEFT(DE220,FIND("·",DE220)-1),$C$220:$C$223,0)),0),0),0)</f>
        <v>0</v>
      </c>
      <c r="DG220" s="110"/>
      <c r="DH220" s="76" t="s">
        <v>2739</v>
      </c>
      <c r="DI220" s="77">
        <f t="shared" ref="DI220" ca="1" si="2187">IFERROR(IF(COUNTIF($K$220:$K$223,LEFT(DH220,FIND("·",DH220)-1))&gt;0,IF(INDEX($L$220:$L$223,MATCH(LEFT(DH220,FIND("·",DH220)-1),$K$220:$K$223,0))=IFERROR(VALUE(MID(DH220,FIND("·",DH220)+1,1)),0),($D$24+(INDEX($M$220:$M$223,MATCH(LEFT(DH220,FIND("·",DH220)-1),$K$220:$K$223,0))=MID(DH220,FIND("|",DH220)+1,10))*$D$26+MAX(0,IF($D$50=1,$D$25*(1-(ABS(INDEX($P$220:$P$223,MATCH(LEFT(DH220,FIND("·",DH220)-1),$K$220:$K$223,0))-(VALUE(MID(DH220,FIND("|",DH220)+1,FIND("-",DH220,FIND("|",DH220))-FIND("|",DH220)-1))-VALUE(MID(DH220,FIND("-",DH220,FIND("|",DH220))+1,10)))))*$D$50),$D$25*(1-(IF(INDEX($L$220:$L$223,MATCH(LEFT(DH220,FIND("·",DH220)-1),$K$220:$K$223,0))=0,ABS(INDEX($N$220:$N$223,MATCH(LEFT(DH220,FIND("·",DH220)-1),$K$220:$K$223,0))-VALUE(MID(DH220,FIND("|",DH220)+1,FIND("-",DH220,FIND("|",DH220))-FIND("|",DH220)-1))),ABS(INDEX($P$220:$P$223,MATCH(LEFT(DH220,FIND("·",DH220)-1),$K$220:$K$223,0))-(VALUE(MID(DH220,FIND("|",DH220)+1,FIND("-",DH220,FIND("|",DH220))-FIND("|",DH220)-1))-VALUE(MID(DH220,FIND("-",DH220,FIND("|",DH220))+1,10)))))*$D$50)))))*INDEX($I$220:$I$223,MATCH(LEFT(DH220,FIND("·",DH220)-1),$K$220:$K$223,0)),0),0),0)+IFERROR(IF(COUNTIF($C$220:$C$223,LEFT(DH220,FIND("·",DH220)-1))&gt;0,IF(INDEX($D$220:$D$223,MATCH(LEFT(DH220,FIND("·",DH220)-1),$C$220:$C$223,0))=IFERROR(VALUE(MID(DH220,FIND("·",DH220)+1,1)),0),($D$24+(INDEX($E$220:$E$223,MATCH(LEFT(DH220,FIND("·",DH220)-1),$C$220:$C$223,0))=MID(DH220,FIND("|",DH220)+1,10))*$D$26+MAX(0,IF($D$50=1,$D$25*(1-(ABS(INDEX($Q$220:$Q$223,MATCH(LEFT(DH220,FIND("·",DH220)-1),$C$220:$C$223,0))-(VALUE(MID(DH220,FIND("|",DH220)+1,FIND("-",DH220,FIND("|",DH220))-FIND("|",DH220)-1))-VALUE(MID(DH220,FIND("-",DH220,FIND("|",DH220))+1,10)))))*$D$50),$D$25*(1-(IF(INDEX($D$220:$D$223,MATCH(LEFT(DH220,FIND("·",DH220)-1),$C$220:$C$223,0))=0,ABS(INDEX($A$220:$A$223,MATCH(LEFT(DH220,FIND("·",DH220)-1),$C$220:$C$223,0))-VALUE(MID(DH220,FIND("|",DH220)+1,FIND("-",DH220,FIND("|",DH220))-FIND("|",DH220)-1))),ABS(INDEX($Q$220:$Q$223,MATCH(LEFT(DH220,FIND("·",DH220)-1),$C$220:$C$223,0))-(VALUE(MID(DH220,FIND("|",DH220)+1,FIND("-",DH220,FIND("|",DH220))-FIND("|",DH220)-1))-VALUE(MID(DH220,FIND("-",DH220,FIND("|",DH220))+1,10)))))*$D$50)))))*INDEX($I$220:$I$223,MATCH(LEFT(DH220,FIND("·",DH220)-1),$C$220:$C$223,0)),0),0),0)</f>
        <v>0</v>
      </c>
      <c r="DJ220" s="110"/>
      <c r="DK220" s="76" t="s">
        <v>2437</v>
      </c>
      <c r="DL220" s="77">
        <f t="shared" ref="DL220" ca="1" si="2188">IFERROR(IF(COUNTIF($K$220:$K$223,LEFT(DK220,FIND("·",DK220)-1))&gt;0,IF(INDEX($L$220:$L$223,MATCH(LEFT(DK220,FIND("·",DK220)-1),$K$220:$K$223,0))=IFERROR(VALUE(MID(DK220,FIND("·",DK220)+1,1)),0),($D$24+(INDEX($M$220:$M$223,MATCH(LEFT(DK220,FIND("·",DK220)-1),$K$220:$K$223,0))=MID(DK220,FIND("|",DK220)+1,10))*$D$26+MAX(0,IF($D$50=1,$D$25*(1-(ABS(INDEX($P$220:$P$223,MATCH(LEFT(DK220,FIND("·",DK220)-1),$K$220:$K$223,0))-(VALUE(MID(DK220,FIND("|",DK220)+1,FIND("-",DK220,FIND("|",DK220))-FIND("|",DK220)-1))-VALUE(MID(DK220,FIND("-",DK220,FIND("|",DK220))+1,10)))))*$D$50),$D$25*(1-(IF(INDEX($L$220:$L$223,MATCH(LEFT(DK220,FIND("·",DK220)-1),$K$220:$K$223,0))=0,ABS(INDEX($N$220:$N$223,MATCH(LEFT(DK220,FIND("·",DK220)-1),$K$220:$K$223,0))-VALUE(MID(DK220,FIND("|",DK220)+1,FIND("-",DK220,FIND("|",DK220))-FIND("|",DK220)-1))),ABS(INDEX($P$220:$P$223,MATCH(LEFT(DK220,FIND("·",DK220)-1),$K$220:$K$223,0))-(VALUE(MID(DK220,FIND("|",DK220)+1,FIND("-",DK220,FIND("|",DK220))-FIND("|",DK220)-1))-VALUE(MID(DK220,FIND("-",DK220,FIND("|",DK220))+1,10)))))*$D$50)))))*INDEX($I$220:$I$223,MATCH(LEFT(DK220,FIND("·",DK220)-1),$K$220:$K$223,0)),0),0),0)+IFERROR(IF(COUNTIF($C$220:$C$223,LEFT(DK220,FIND("·",DK220)-1))&gt;0,IF(INDEX($D$220:$D$223,MATCH(LEFT(DK220,FIND("·",DK220)-1),$C$220:$C$223,0))=IFERROR(VALUE(MID(DK220,FIND("·",DK220)+1,1)),0),($D$24+(INDEX($E$220:$E$223,MATCH(LEFT(DK220,FIND("·",DK220)-1),$C$220:$C$223,0))=MID(DK220,FIND("|",DK220)+1,10))*$D$26+MAX(0,IF($D$50=1,$D$25*(1-(ABS(INDEX($Q$220:$Q$223,MATCH(LEFT(DK220,FIND("·",DK220)-1),$C$220:$C$223,0))-(VALUE(MID(DK220,FIND("|",DK220)+1,FIND("-",DK220,FIND("|",DK220))-FIND("|",DK220)-1))-VALUE(MID(DK220,FIND("-",DK220,FIND("|",DK220))+1,10)))))*$D$50),$D$25*(1-(IF(INDEX($D$220:$D$223,MATCH(LEFT(DK220,FIND("·",DK220)-1),$C$220:$C$223,0))=0,ABS(INDEX($A$220:$A$223,MATCH(LEFT(DK220,FIND("·",DK220)-1),$C$220:$C$223,0))-VALUE(MID(DK220,FIND("|",DK220)+1,FIND("-",DK220,FIND("|",DK220))-FIND("|",DK220)-1))),ABS(INDEX($Q$220:$Q$223,MATCH(LEFT(DK220,FIND("·",DK220)-1),$C$220:$C$223,0))-(VALUE(MID(DK220,FIND("|",DK220)+1,FIND("-",DK220,FIND("|",DK220))-FIND("|",DK220)-1))-VALUE(MID(DK220,FIND("-",DK220,FIND("|",DK220))+1,10)))))*$D$50)))))*INDEX($I$220:$I$223,MATCH(LEFT(DK220,FIND("·",DK220)-1),$C$220:$C$223,0)),0),0),0)</f>
        <v>0</v>
      </c>
      <c r="DM220" s="110"/>
      <c r="DN220" s="76" t="s">
        <v>2769</v>
      </c>
      <c r="DO220" s="77">
        <f t="shared" ref="DO220" ca="1" si="2189">IFERROR(IF(COUNTIF($K$220:$K$223,LEFT(DN220,FIND("·",DN220)-1))&gt;0,IF(INDEX($L$220:$L$223,MATCH(LEFT(DN220,FIND("·",DN220)-1),$K$220:$K$223,0))=IFERROR(VALUE(MID(DN220,FIND("·",DN220)+1,1)),0),($D$24+(INDEX($M$220:$M$223,MATCH(LEFT(DN220,FIND("·",DN220)-1),$K$220:$K$223,0))=MID(DN220,FIND("|",DN220)+1,10))*$D$26+MAX(0,IF($D$50=1,$D$25*(1-(ABS(INDEX($P$220:$P$223,MATCH(LEFT(DN220,FIND("·",DN220)-1),$K$220:$K$223,0))-(VALUE(MID(DN220,FIND("|",DN220)+1,FIND("-",DN220,FIND("|",DN220))-FIND("|",DN220)-1))-VALUE(MID(DN220,FIND("-",DN220,FIND("|",DN220))+1,10)))))*$D$50),$D$25*(1-(IF(INDEX($L$220:$L$223,MATCH(LEFT(DN220,FIND("·",DN220)-1),$K$220:$K$223,0))=0,ABS(INDEX($N$220:$N$223,MATCH(LEFT(DN220,FIND("·",DN220)-1),$K$220:$K$223,0))-VALUE(MID(DN220,FIND("|",DN220)+1,FIND("-",DN220,FIND("|",DN220))-FIND("|",DN220)-1))),ABS(INDEX($P$220:$P$223,MATCH(LEFT(DN220,FIND("·",DN220)-1),$K$220:$K$223,0))-(VALUE(MID(DN220,FIND("|",DN220)+1,FIND("-",DN220,FIND("|",DN220))-FIND("|",DN220)-1))-VALUE(MID(DN220,FIND("-",DN220,FIND("|",DN220))+1,10)))))*$D$50)))))*INDEX($I$220:$I$223,MATCH(LEFT(DN220,FIND("·",DN220)-1),$K$220:$K$223,0)),0),0),0)+IFERROR(IF(COUNTIF($C$220:$C$223,LEFT(DN220,FIND("·",DN220)-1))&gt;0,IF(INDEX($D$220:$D$223,MATCH(LEFT(DN220,FIND("·",DN220)-1),$C$220:$C$223,0))=IFERROR(VALUE(MID(DN220,FIND("·",DN220)+1,1)),0),($D$24+(INDEX($E$220:$E$223,MATCH(LEFT(DN220,FIND("·",DN220)-1),$C$220:$C$223,0))=MID(DN220,FIND("|",DN220)+1,10))*$D$26+MAX(0,IF($D$50=1,$D$25*(1-(ABS(INDEX($Q$220:$Q$223,MATCH(LEFT(DN220,FIND("·",DN220)-1),$C$220:$C$223,0))-(VALUE(MID(DN220,FIND("|",DN220)+1,FIND("-",DN220,FIND("|",DN220))-FIND("|",DN220)-1))-VALUE(MID(DN220,FIND("-",DN220,FIND("|",DN220))+1,10)))))*$D$50),$D$25*(1-(IF(INDEX($D$220:$D$223,MATCH(LEFT(DN220,FIND("·",DN220)-1),$C$220:$C$223,0))=0,ABS(INDEX($A$220:$A$223,MATCH(LEFT(DN220,FIND("·",DN220)-1),$C$220:$C$223,0))-VALUE(MID(DN220,FIND("|",DN220)+1,FIND("-",DN220,FIND("|",DN220))-FIND("|",DN220)-1))),ABS(INDEX($Q$220:$Q$223,MATCH(LEFT(DN220,FIND("·",DN220)-1),$C$220:$C$223,0))-(VALUE(MID(DN220,FIND("|",DN220)+1,FIND("-",DN220,FIND("|",DN220))-FIND("|",DN220)-1))-VALUE(MID(DN220,FIND("-",DN220,FIND("|",DN220))+1,10)))))*$D$50)))))*INDEX($I$220:$I$223,MATCH(LEFT(DN220,FIND("·",DN220)-1),$C$220:$C$223,0)),0),0),0)</f>
        <v>0</v>
      </c>
      <c r="DP220" s="110"/>
      <c r="DQ220" s="76" t="s">
        <v>2475</v>
      </c>
      <c r="DR220" s="77">
        <f t="shared" ref="DR220" ca="1" si="2190">IFERROR(IF(COUNTIF($K$220:$K$223,LEFT(DQ220,FIND("·",DQ220)-1))&gt;0,IF(INDEX($L$220:$L$223,MATCH(LEFT(DQ220,FIND("·",DQ220)-1),$K$220:$K$223,0))=IFERROR(VALUE(MID(DQ220,FIND("·",DQ220)+1,1)),0),($D$24+(INDEX($M$220:$M$223,MATCH(LEFT(DQ220,FIND("·",DQ220)-1),$K$220:$K$223,0))=MID(DQ220,FIND("|",DQ220)+1,10))*$D$26+MAX(0,IF($D$50=1,$D$25*(1-(ABS(INDEX($P$220:$P$223,MATCH(LEFT(DQ220,FIND("·",DQ220)-1),$K$220:$K$223,0))-(VALUE(MID(DQ220,FIND("|",DQ220)+1,FIND("-",DQ220,FIND("|",DQ220))-FIND("|",DQ220)-1))-VALUE(MID(DQ220,FIND("-",DQ220,FIND("|",DQ220))+1,10)))))*$D$50),$D$25*(1-(IF(INDEX($L$220:$L$223,MATCH(LEFT(DQ220,FIND("·",DQ220)-1),$K$220:$K$223,0))=0,ABS(INDEX($N$220:$N$223,MATCH(LEFT(DQ220,FIND("·",DQ220)-1),$K$220:$K$223,0))-VALUE(MID(DQ220,FIND("|",DQ220)+1,FIND("-",DQ220,FIND("|",DQ220))-FIND("|",DQ220)-1))),ABS(INDEX($P$220:$P$223,MATCH(LEFT(DQ220,FIND("·",DQ220)-1),$K$220:$K$223,0))-(VALUE(MID(DQ220,FIND("|",DQ220)+1,FIND("-",DQ220,FIND("|",DQ220))-FIND("|",DQ220)-1))-VALUE(MID(DQ220,FIND("-",DQ220,FIND("|",DQ220))+1,10)))))*$D$50)))))*INDEX($I$220:$I$223,MATCH(LEFT(DQ220,FIND("·",DQ220)-1),$K$220:$K$223,0)),0),0),0)+IFERROR(IF(COUNTIF($C$220:$C$223,LEFT(DQ220,FIND("·",DQ220)-1))&gt;0,IF(INDEX($D$220:$D$223,MATCH(LEFT(DQ220,FIND("·",DQ220)-1),$C$220:$C$223,0))=IFERROR(VALUE(MID(DQ220,FIND("·",DQ220)+1,1)),0),($D$24+(INDEX($E$220:$E$223,MATCH(LEFT(DQ220,FIND("·",DQ220)-1),$C$220:$C$223,0))=MID(DQ220,FIND("|",DQ220)+1,10))*$D$26+MAX(0,IF($D$50=1,$D$25*(1-(ABS(INDEX($Q$220:$Q$223,MATCH(LEFT(DQ220,FIND("·",DQ220)-1),$C$220:$C$223,0))-(VALUE(MID(DQ220,FIND("|",DQ220)+1,FIND("-",DQ220,FIND("|",DQ220))-FIND("|",DQ220)-1))-VALUE(MID(DQ220,FIND("-",DQ220,FIND("|",DQ220))+1,10)))))*$D$50),$D$25*(1-(IF(INDEX($D$220:$D$223,MATCH(LEFT(DQ220,FIND("·",DQ220)-1),$C$220:$C$223,0))=0,ABS(INDEX($A$220:$A$223,MATCH(LEFT(DQ220,FIND("·",DQ220)-1),$C$220:$C$223,0))-VALUE(MID(DQ220,FIND("|",DQ220)+1,FIND("-",DQ220,FIND("|",DQ220))-FIND("|",DQ220)-1))),ABS(INDEX($Q$220:$Q$223,MATCH(LEFT(DQ220,FIND("·",DQ220)-1),$C$220:$C$223,0))-(VALUE(MID(DQ220,FIND("|",DQ220)+1,FIND("-",DQ220,FIND("|",DQ220))-FIND("|",DQ220)-1))-VALUE(MID(DQ220,FIND("-",DQ220,FIND("|",DQ220))+1,10)))))*$D$50)))))*INDEX($I$220:$I$223,MATCH(LEFT(DQ220,FIND("·",DQ220)-1),$C$220:$C$223,0)),0),0),0)</f>
        <v>0</v>
      </c>
      <c r="DS220" s="110"/>
      <c r="DT220" s="76" t="s">
        <v>2093</v>
      </c>
      <c r="DU220" s="77">
        <f t="shared" ref="DU220" ca="1" si="2191">IFERROR(IF(COUNTIF($K$220:$K$223,LEFT(DT220,FIND("·",DT220)-1))&gt;0,IF(INDEX($L$220:$L$223,MATCH(LEFT(DT220,FIND("·",DT220)-1),$K$220:$K$223,0))=IFERROR(VALUE(MID(DT220,FIND("·",DT220)+1,1)),0),($D$24+(INDEX($M$220:$M$223,MATCH(LEFT(DT220,FIND("·",DT220)-1),$K$220:$K$223,0))=MID(DT220,FIND("|",DT220)+1,10))*$D$26+MAX(0,IF($D$50=1,$D$25*(1-(ABS(INDEX($P$220:$P$223,MATCH(LEFT(DT220,FIND("·",DT220)-1),$K$220:$K$223,0))-(VALUE(MID(DT220,FIND("|",DT220)+1,FIND("-",DT220,FIND("|",DT220))-FIND("|",DT220)-1))-VALUE(MID(DT220,FIND("-",DT220,FIND("|",DT220))+1,10)))))*$D$50),$D$25*(1-(IF(INDEX($L$220:$L$223,MATCH(LEFT(DT220,FIND("·",DT220)-1),$K$220:$K$223,0))=0,ABS(INDEX($N$220:$N$223,MATCH(LEFT(DT220,FIND("·",DT220)-1),$K$220:$K$223,0))-VALUE(MID(DT220,FIND("|",DT220)+1,FIND("-",DT220,FIND("|",DT220))-FIND("|",DT220)-1))),ABS(INDEX($P$220:$P$223,MATCH(LEFT(DT220,FIND("·",DT220)-1),$K$220:$K$223,0))-(VALUE(MID(DT220,FIND("|",DT220)+1,FIND("-",DT220,FIND("|",DT220))-FIND("|",DT220)-1))-VALUE(MID(DT220,FIND("-",DT220,FIND("|",DT220))+1,10)))))*$D$50)))))*INDEX($I$220:$I$223,MATCH(LEFT(DT220,FIND("·",DT220)-1),$K$220:$K$223,0)),0),0),0)+IFERROR(IF(COUNTIF($C$220:$C$223,LEFT(DT220,FIND("·",DT220)-1))&gt;0,IF(INDEX($D$220:$D$223,MATCH(LEFT(DT220,FIND("·",DT220)-1),$C$220:$C$223,0))=IFERROR(VALUE(MID(DT220,FIND("·",DT220)+1,1)),0),($D$24+(INDEX($E$220:$E$223,MATCH(LEFT(DT220,FIND("·",DT220)-1),$C$220:$C$223,0))=MID(DT220,FIND("|",DT220)+1,10))*$D$26+MAX(0,IF($D$50=1,$D$25*(1-(ABS(INDEX($Q$220:$Q$223,MATCH(LEFT(DT220,FIND("·",DT220)-1),$C$220:$C$223,0))-(VALUE(MID(DT220,FIND("|",DT220)+1,FIND("-",DT220,FIND("|",DT220))-FIND("|",DT220)-1))-VALUE(MID(DT220,FIND("-",DT220,FIND("|",DT220))+1,10)))))*$D$50),$D$25*(1-(IF(INDEX($D$220:$D$223,MATCH(LEFT(DT220,FIND("·",DT220)-1),$C$220:$C$223,0))=0,ABS(INDEX($A$220:$A$223,MATCH(LEFT(DT220,FIND("·",DT220)-1),$C$220:$C$223,0))-VALUE(MID(DT220,FIND("|",DT220)+1,FIND("-",DT220,FIND("|",DT220))-FIND("|",DT220)-1))),ABS(INDEX($Q$220:$Q$223,MATCH(LEFT(DT220,FIND("·",DT220)-1),$C$220:$C$223,0))-(VALUE(MID(DT220,FIND("|",DT220)+1,FIND("-",DT220,FIND("|",DT220))-FIND("|",DT220)-1))-VALUE(MID(DT220,FIND("-",DT220,FIND("|",DT220))+1,10)))))*$D$50)))))*INDEX($I$220:$I$223,MATCH(LEFT(DT220,FIND("·",DT220)-1),$C$220:$C$223,0)),0),0),0)</f>
        <v>0</v>
      </c>
      <c r="DV220" s="110"/>
      <c r="DW220" s="76" t="s">
        <v>2475</v>
      </c>
      <c r="DX220" s="77">
        <f t="shared" ref="DX220" ca="1" si="2192">IFERROR(IF(COUNTIF($K$220:$K$223,LEFT(DW220,FIND("·",DW220)-1))&gt;0,IF(INDEX($L$220:$L$223,MATCH(LEFT(DW220,FIND("·",DW220)-1),$K$220:$K$223,0))=IFERROR(VALUE(MID(DW220,FIND("·",DW220)+1,1)),0),($D$24+(INDEX($M$220:$M$223,MATCH(LEFT(DW220,FIND("·",DW220)-1),$K$220:$K$223,0))=MID(DW220,FIND("|",DW220)+1,10))*$D$26+MAX(0,IF($D$50=1,$D$25*(1-(ABS(INDEX($P$220:$P$223,MATCH(LEFT(DW220,FIND("·",DW220)-1),$K$220:$K$223,0))-(VALUE(MID(DW220,FIND("|",DW220)+1,FIND("-",DW220,FIND("|",DW220))-FIND("|",DW220)-1))-VALUE(MID(DW220,FIND("-",DW220,FIND("|",DW220))+1,10)))))*$D$50),$D$25*(1-(IF(INDEX($L$220:$L$223,MATCH(LEFT(DW220,FIND("·",DW220)-1),$K$220:$K$223,0))=0,ABS(INDEX($N$220:$N$223,MATCH(LEFT(DW220,FIND("·",DW220)-1),$K$220:$K$223,0))-VALUE(MID(DW220,FIND("|",DW220)+1,FIND("-",DW220,FIND("|",DW220))-FIND("|",DW220)-1))),ABS(INDEX($P$220:$P$223,MATCH(LEFT(DW220,FIND("·",DW220)-1),$K$220:$K$223,0))-(VALUE(MID(DW220,FIND("|",DW220)+1,FIND("-",DW220,FIND("|",DW220))-FIND("|",DW220)-1))-VALUE(MID(DW220,FIND("-",DW220,FIND("|",DW220))+1,10)))))*$D$50)))))*INDEX($I$220:$I$223,MATCH(LEFT(DW220,FIND("·",DW220)-1),$K$220:$K$223,0)),0),0),0)+IFERROR(IF(COUNTIF($C$220:$C$223,LEFT(DW220,FIND("·",DW220)-1))&gt;0,IF(INDEX($D$220:$D$223,MATCH(LEFT(DW220,FIND("·",DW220)-1),$C$220:$C$223,0))=IFERROR(VALUE(MID(DW220,FIND("·",DW220)+1,1)),0),($D$24+(INDEX($E$220:$E$223,MATCH(LEFT(DW220,FIND("·",DW220)-1),$C$220:$C$223,0))=MID(DW220,FIND("|",DW220)+1,10))*$D$26+MAX(0,IF($D$50=1,$D$25*(1-(ABS(INDEX($Q$220:$Q$223,MATCH(LEFT(DW220,FIND("·",DW220)-1),$C$220:$C$223,0))-(VALUE(MID(DW220,FIND("|",DW220)+1,FIND("-",DW220,FIND("|",DW220))-FIND("|",DW220)-1))-VALUE(MID(DW220,FIND("-",DW220,FIND("|",DW220))+1,10)))))*$D$50),$D$25*(1-(IF(INDEX($D$220:$D$223,MATCH(LEFT(DW220,FIND("·",DW220)-1),$C$220:$C$223,0))=0,ABS(INDEX($A$220:$A$223,MATCH(LEFT(DW220,FIND("·",DW220)-1),$C$220:$C$223,0))-VALUE(MID(DW220,FIND("|",DW220)+1,FIND("-",DW220,FIND("|",DW220))-FIND("|",DW220)-1))),ABS(INDEX($Q$220:$Q$223,MATCH(LEFT(DW220,FIND("·",DW220)-1),$C$220:$C$223,0))-(VALUE(MID(DW220,FIND("|",DW220)+1,FIND("-",DW220,FIND("|",DW220))-FIND("|",DW220)-1))-VALUE(MID(DW220,FIND("-",DW220,FIND("|",DW220))+1,10)))))*$D$50)))))*INDEX($I$220:$I$223,MATCH(LEFT(DW220,FIND("·",DW220)-1),$C$220:$C$223,0)),0),0),0)</f>
        <v>0</v>
      </c>
      <c r="DY220" s="110"/>
      <c r="DZ220" s="76" t="s">
        <v>2093</v>
      </c>
      <c r="EA220" s="77">
        <f t="shared" ref="EA220" ca="1" si="2193">IFERROR(IF(COUNTIF($K$220:$K$223,LEFT(DZ220,FIND("·",DZ220)-1))&gt;0,IF(INDEX($L$220:$L$223,MATCH(LEFT(DZ220,FIND("·",DZ220)-1),$K$220:$K$223,0))=IFERROR(VALUE(MID(DZ220,FIND("·",DZ220)+1,1)),0),($D$24+(INDEX($M$220:$M$223,MATCH(LEFT(DZ220,FIND("·",DZ220)-1),$K$220:$K$223,0))=MID(DZ220,FIND("|",DZ220)+1,10))*$D$26+MAX(0,IF($D$50=1,$D$25*(1-(ABS(INDEX($P$220:$P$223,MATCH(LEFT(DZ220,FIND("·",DZ220)-1),$K$220:$K$223,0))-(VALUE(MID(DZ220,FIND("|",DZ220)+1,FIND("-",DZ220,FIND("|",DZ220))-FIND("|",DZ220)-1))-VALUE(MID(DZ220,FIND("-",DZ220,FIND("|",DZ220))+1,10)))))*$D$50),$D$25*(1-(IF(INDEX($L$220:$L$223,MATCH(LEFT(DZ220,FIND("·",DZ220)-1),$K$220:$K$223,0))=0,ABS(INDEX($N$220:$N$223,MATCH(LEFT(DZ220,FIND("·",DZ220)-1),$K$220:$K$223,0))-VALUE(MID(DZ220,FIND("|",DZ220)+1,FIND("-",DZ220,FIND("|",DZ220))-FIND("|",DZ220)-1))),ABS(INDEX($P$220:$P$223,MATCH(LEFT(DZ220,FIND("·",DZ220)-1),$K$220:$K$223,0))-(VALUE(MID(DZ220,FIND("|",DZ220)+1,FIND("-",DZ220,FIND("|",DZ220))-FIND("|",DZ220)-1))-VALUE(MID(DZ220,FIND("-",DZ220,FIND("|",DZ220))+1,10)))))*$D$50)))))*INDEX($I$220:$I$223,MATCH(LEFT(DZ220,FIND("·",DZ220)-1),$K$220:$K$223,0)),0),0),0)+IFERROR(IF(COUNTIF($C$220:$C$223,LEFT(DZ220,FIND("·",DZ220)-1))&gt;0,IF(INDEX($D$220:$D$223,MATCH(LEFT(DZ220,FIND("·",DZ220)-1),$C$220:$C$223,0))=IFERROR(VALUE(MID(DZ220,FIND("·",DZ220)+1,1)),0),($D$24+(INDEX($E$220:$E$223,MATCH(LEFT(DZ220,FIND("·",DZ220)-1),$C$220:$C$223,0))=MID(DZ220,FIND("|",DZ220)+1,10))*$D$26+MAX(0,IF($D$50=1,$D$25*(1-(ABS(INDEX($Q$220:$Q$223,MATCH(LEFT(DZ220,FIND("·",DZ220)-1),$C$220:$C$223,0))-(VALUE(MID(DZ220,FIND("|",DZ220)+1,FIND("-",DZ220,FIND("|",DZ220))-FIND("|",DZ220)-1))-VALUE(MID(DZ220,FIND("-",DZ220,FIND("|",DZ220))+1,10)))))*$D$50),$D$25*(1-(IF(INDEX($D$220:$D$223,MATCH(LEFT(DZ220,FIND("·",DZ220)-1),$C$220:$C$223,0))=0,ABS(INDEX($A$220:$A$223,MATCH(LEFT(DZ220,FIND("·",DZ220)-1),$C$220:$C$223,0))-VALUE(MID(DZ220,FIND("|",DZ220)+1,FIND("-",DZ220,FIND("|",DZ220))-FIND("|",DZ220)-1))),ABS(INDEX($Q$220:$Q$223,MATCH(LEFT(DZ220,FIND("·",DZ220)-1),$C$220:$C$223,0))-(VALUE(MID(DZ220,FIND("|",DZ220)+1,FIND("-",DZ220,FIND("|",DZ220))-FIND("|",DZ220)-1))-VALUE(MID(DZ220,FIND("-",DZ220,FIND("|",DZ220))+1,10)))))*$D$50)))))*INDEX($I$220:$I$223,MATCH(LEFT(DZ220,FIND("·",DZ220)-1),$C$220:$C$223,0)),0),0),0)</f>
        <v>0</v>
      </c>
      <c r="EB220" s="110"/>
      <c r="EC220" s="76" t="s">
        <v>2437</v>
      </c>
      <c r="ED220" s="77">
        <f t="shared" ref="ED220" ca="1" si="2194">IFERROR(IF(COUNTIF($K$220:$K$223,LEFT(EC220,FIND("·",EC220)-1))&gt;0,IF(INDEX($L$220:$L$223,MATCH(LEFT(EC220,FIND("·",EC220)-1),$K$220:$K$223,0))=IFERROR(VALUE(MID(EC220,FIND("·",EC220)+1,1)),0),($D$24+(INDEX($M$220:$M$223,MATCH(LEFT(EC220,FIND("·",EC220)-1),$K$220:$K$223,0))=MID(EC220,FIND("|",EC220)+1,10))*$D$26+MAX(0,IF($D$50=1,$D$25*(1-(ABS(INDEX($P$220:$P$223,MATCH(LEFT(EC220,FIND("·",EC220)-1),$K$220:$K$223,0))-(VALUE(MID(EC220,FIND("|",EC220)+1,FIND("-",EC220,FIND("|",EC220))-FIND("|",EC220)-1))-VALUE(MID(EC220,FIND("-",EC220,FIND("|",EC220))+1,10)))))*$D$50),$D$25*(1-(IF(INDEX($L$220:$L$223,MATCH(LEFT(EC220,FIND("·",EC220)-1),$K$220:$K$223,0))=0,ABS(INDEX($N$220:$N$223,MATCH(LEFT(EC220,FIND("·",EC220)-1),$K$220:$K$223,0))-VALUE(MID(EC220,FIND("|",EC220)+1,FIND("-",EC220,FIND("|",EC220))-FIND("|",EC220)-1))),ABS(INDEX($P$220:$P$223,MATCH(LEFT(EC220,FIND("·",EC220)-1),$K$220:$K$223,0))-(VALUE(MID(EC220,FIND("|",EC220)+1,FIND("-",EC220,FIND("|",EC220))-FIND("|",EC220)-1))-VALUE(MID(EC220,FIND("-",EC220,FIND("|",EC220))+1,10)))))*$D$50)))))*INDEX($I$220:$I$223,MATCH(LEFT(EC220,FIND("·",EC220)-1),$K$220:$K$223,0)),0),0),0)+IFERROR(IF(COUNTIF($C$220:$C$223,LEFT(EC220,FIND("·",EC220)-1))&gt;0,IF(INDEX($D$220:$D$223,MATCH(LEFT(EC220,FIND("·",EC220)-1),$C$220:$C$223,0))=IFERROR(VALUE(MID(EC220,FIND("·",EC220)+1,1)),0),($D$24+(INDEX($E$220:$E$223,MATCH(LEFT(EC220,FIND("·",EC220)-1),$C$220:$C$223,0))=MID(EC220,FIND("|",EC220)+1,10))*$D$26+MAX(0,IF($D$50=1,$D$25*(1-(ABS(INDEX($Q$220:$Q$223,MATCH(LEFT(EC220,FIND("·",EC220)-1),$C$220:$C$223,0))-(VALUE(MID(EC220,FIND("|",EC220)+1,FIND("-",EC220,FIND("|",EC220))-FIND("|",EC220)-1))-VALUE(MID(EC220,FIND("-",EC220,FIND("|",EC220))+1,10)))))*$D$50),$D$25*(1-(IF(INDEX($D$220:$D$223,MATCH(LEFT(EC220,FIND("·",EC220)-1),$C$220:$C$223,0))=0,ABS(INDEX($A$220:$A$223,MATCH(LEFT(EC220,FIND("·",EC220)-1),$C$220:$C$223,0))-VALUE(MID(EC220,FIND("|",EC220)+1,FIND("-",EC220,FIND("|",EC220))-FIND("|",EC220)-1))),ABS(INDEX($Q$220:$Q$223,MATCH(LEFT(EC220,FIND("·",EC220)-1),$C$220:$C$223,0))-(VALUE(MID(EC220,FIND("|",EC220)+1,FIND("-",EC220,FIND("|",EC220))-FIND("|",EC220)-1))-VALUE(MID(EC220,FIND("-",EC220,FIND("|",EC220))+1,10)))))*$D$50)))))*INDEX($I$220:$I$223,MATCH(LEFT(EC220,FIND("·",EC220)-1),$C$220:$C$223,0)),0),0),0)</f>
        <v>0</v>
      </c>
      <c r="EE220" s="110"/>
      <c r="EF220" s="76" t="s">
        <v>2846</v>
      </c>
      <c r="EG220" s="77">
        <f t="shared" ref="EG220" ca="1" si="2195">IFERROR(IF(COUNTIF($K$220:$K$223,LEFT(EF220,FIND("·",EF220)-1))&gt;0,IF(INDEX($L$220:$L$223,MATCH(LEFT(EF220,FIND("·",EF220)-1),$K$220:$K$223,0))=IFERROR(VALUE(MID(EF220,FIND("·",EF220)+1,1)),0),($D$24+(INDEX($M$220:$M$223,MATCH(LEFT(EF220,FIND("·",EF220)-1),$K$220:$K$223,0))=MID(EF220,FIND("|",EF220)+1,10))*$D$26+MAX(0,IF($D$50=1,$D$25*(1-(ABS(INDEX($P$220:$P$223,MATCH(LEFT(EF220,FIND("·",EF220)-1),$K$220:$K$223,0))-(VALUE(MID(EF220,FIND("|",EF220)+1,FIND("-",EF220,FIND("|",EF220))-FIND("|",EF220)-1))-VALUE(MID(EF220,FIND("-",EF220,FIND("|",EF220))+1,10)))))*$D$50),$D$25*(1-(IF(INDEX($L$220:$L$223,MATCH(LEFT(EF220,FIND("·",EF220)-1),$K$220:$K$223,0))=0,ABS(INDEX($N$220:$N$223,MATCH(LEFT(EF220,FIND("·",EF220)-1),$K$220:$K$223,0))-VALUE(MID(EF220,FIND("|",EF220)+1,FIND("-",EF220,FIND("|",EF220))-FIND("|",EF220)-1))),ABS(INDEX($P$220:$P$223,MATCH(LEFT(EF220,FIND("·",EF220)-1),$K$220:$K$223,0))-(VALUE(MID(EF220,FIND("|",EF220)+1,FIND("-",EF220,FIND("|",EF220))-FIND("|",EF220)-1))-VALUE(MID(EF220,FIND("-",EF220,FIND("|",EF220))+1,10)))))*$D$50)))))*INDEX($I$220:$I$223,MATCH(LEFT(EF220,FIND("·",EF220)-1),$K$220:$K$223,0)),0),0),0)+IFERROR(IF(COUNTIF($C$220:$C$223,LEFT(EF220,FIND("·",EF220)-1))&gt;0,IF(INDEX($D$220:$D$223,MATCH(LEFT(EF220,FIND("·",EF220)-1),$C$220:$C$223,0))=IFERROR(VALUE(MID(EF220,FIND("·",EF220)+1,1)),0),($D$24+(INDEX($E$220:$E$223,MATCH(LEFT(EF220,FIND("·",EF220)-1),$C$220:$C$223,0))=MID(EF220,FIND("|",EF220)+1,10))*$D$26+MAX(0,IF($D$50=1,$D$25*(1-(ABS(INDEX($Q$220:$Q$223,MATCH(LEFT(EF220,FIND("·",EF220)-1),$C$220:$C$223,0))-(VALUE(MID(EF220,FIND("|",EF220)+1,FIND("-",EF220,FIND("|",EF220))-FIND("|",EF220)-1))-VALUE(MID(EF220,FIND("-",EF220,FIND("|",EF220))+1,10)))))*$D$50),$D$25*(1-(IF(INDEX($D$220:$D$223,MATCH(LEFT(EF220,FIND("·",EF220)-1),$C$220:$C$223,0))=0,ABS(INDEX($A$220:$A$223,MATCH(LEFT(EF220,FIND("·",EF220)-1),$C$220:$C$223,0))-VALUE(MID(EF220,FIND("|",EF220)+1,FIND("-",EF220,FIND("|",EF220))-FIND("|",EF220)-1))),ABS(INDEX($Q$220:$Q$223,MATCH(LEFT(EF220,FIND("·",EF220)-1),$C$220:$C$223,0))-(VALUE(MID(EF220,FIND("|",EF220)+1,FIND("-",EF220,FIND("|",EF220))-FIND("|",EF220)-1))-VALUE(MID(EF220,FIND("-",EF220,FIND("|",EF220))+1,10)))))*$D$50)))))*INDEX($I$220:$I$223,MATCH(LEFT(EF220,FIND("·",EF220)-1),$C$220:$C$223,0)),0),0),0)</f>
        <v>0</v>
      </c>
      <c r="EH220" s="110"/>
      <c r="EI220" s="76" t="s">
        <v>2093</v>
      </c>
      <c r="EJ220" s="77">
        <f t="shared" ref="EJ220" ca="1" si="2196">IFERROR(IF(COUNTIF($K$220:$K$223,LEFT(EI220,FIND("·",EI220)-1))&gt;0,IF(INDEX($L$220:$L$223,MATCH(LEFT(EI220,FIND("·",EI220)-1),$K$220:$K$223,0))=IFERROR(VALUE(MID(EI220,FIND("·",EI220)+1,1)),0),($D$24+(INDEX($M$220:$M$223,MATCH(LEFT(EI220,FIND("·",EI220)-1),$K$220:$K$223,0))=MID(EI220,FIND("|",EI220)+1,10))*$D$26+MAX(0,IF($D$50=1,$D$25*(1-(ABS(INDEX($P$220:$P$223,MATCH(LEFT(EI220,FIND("·",EI220)-1),$K$220:$K$223,0))-(VALUE(MID(EI220,FIND("|",EI220)+1,FIND("-",EI220,FIND("|",EI220))-FIND("|",EI220)-1))-VALUE(MID(EI220,FIND("-",EI220,FIND("|",EI220))+1,10)))))*$D$50),$D$25*(1-(IF(INDEX($L$220:$L$223,MATCH(LEFT(EI220,FIND("·",EI220)-1),$K$220:$K$223,0))=0,ABS(INDEX($N$220:$N$223,MATCH(LEFT(EI220,FIND("·",EI220)-1),$K$220:$K$223,0))-VALUE(MID(EI220,FIND("|",EI220)+1,FIND("-",EI220,FIND("|",EI220))-FIND("|",EI220)-1))),ABS(INDEX($P$220:$P$223,MATCH(LEFT(EI220,FIND("·",EI220)-1),$K$220:$K$223,0))-(VALUE(MID(EI220,FIND("|",EI220)+1,FIND("-",EI220,FIND("|",EI220))-FIND("|",EI220)-1))-VALUE(MID(EI220,FIND("-",EI220,FIND("|",EI220))+1,10)))))*$D$50)))))*INDEX($I$220:$I$223,MATCH(LEFT(EI220,FIND("·",EI220)-1),$K$220:$K$223,0)),0),0),0)+IFERROR(IF(COUNTIF($C$220:$C$223,LEFT(EI220,FIND("·",EI220)-1))&gt;0,IF(INDEX($D$220:$D$223,MATCH(LEFT(EI220,FIND("·",EI220)-1),$C$220:$C$223,0))=IFERROR(VALUE(MID(EI220,FIND("·",EI220)+1,1)),0),($D$24+(INDEX($E$220:$E$223,MATCH(LEFT(EI220,FIND("·",EI220)-1),$C$220:$C$223,0))=MID(EI220,FIND("|",EI220)+1,10))*$D$26+MAX(0,IF($D$50=1,$D$25*(1-(ABS(INDEX($Q$220:$Q$223,MATCH(LEFT(EI220,FIND("·",EI220)-1),$C$220:$C$223,0))-(VALUE(MID(EI220,FIND("|",EI220)+1,FIND("-",EI220,FIND("|",EI220))-FIND("|",EI220)-1))-VALUE(MID(EI220,FIND("-",EI220,FIND("|",EI220))+1,10)))))*$D$50),$D$25*(1-(IF(INDEX($D$220:$D$223,MATCH(LEFT(EI220,FIND("·",EI220)-1),$C$220:$C$223,0))=0,ABS(INDEX($A$220:$A$223,MATCH(LEFT(EI220,FIND("·",EI220)-1),$C$220:$C$223,0))-VALUE(MID(EI220,FIND("|",EI220)+1,FIND("-",EI220,FIND("|",EI220))-FIND("|",EI220)-1))),ABS(INDEX($Q$220:$Q$223,MATCH(LEFT(EI220,FIND("·",EI220)-1),$C$220:$C$223,0))-(VALUE(MID(EI220,FIND("|",EI220)+1,FIND("-",EI220,FIND("|",EI220))-FIND("|",EI220)-1))-VALUE(MID(EI220,FIND("-",EI220,FIND("|",EI220))+1,10)))))*$D$50)))))*INDEX($I$220:$I$223,MATCH(LEFT(EI220,FIND("·",EI220)-1),$C$220:$C$223,0)),0),0),0)</f>
        <v>0</v>
      </c>
      <c r="EK220" s="110"/>
      <c r="EL220" s="76" t="s">
        <v>2867</v>
      </c>
      <c r="EM220" s="77">
        <f t="shared" ref="EM220" ca="1" si="2197">IFERROR(IF(COUNTIF($K$220:$K$223,LEFT(EL220,FIND("·",EL220)-1))&gt;0,IF(INDEX($L$220:$L$223,MATCH(LEFT(EL220,FIND("·",EL220)-1),$K$220:$K$223,0))=IFERROR(VALUE(MID(EL220,FIND("·",EL220)+1,1)),0),($D$24+(INDEX($M$220:$M$223,MATCH(LEFT(EL220,FIND("·",EL220)-1),$K$220:$K$223,0))=MID(EL220,FIND("|",EL220)+1,10))*$D$26+MAX(0,IF($D$50=1,$D$25*(1-(ABS(INDEX($P$220:$P$223,MATCH(LEFT(EL220,FIND("·",EL220)-1),$K$220:$K$223,0))-(VALUE(MID(EL220,FIND("|",EL220)+1,FIND("-",EL220,FIND("|",EL220))-FIND("|",EL220)-1))-VALUE(MID(EL220,FIND("-",EL220,FIND("|",EL220))+1,10)))))*$D$50),$D$25*(1-(IF(INDEX($L$220:$L$223,MATCH(LEFT(EL220,FIND("·",EL220)-1),$K$220:$K$223,0))=0,ABS(INDEX($N$220:$N$223,MATCH(LEFT(EL220,FIND("·",EL220)-1),$K$220:$K$223,0))-VALUE(MID(EL220,FIND("|",EL220)+1,FIND("-",EL220,FIND("|",EL220))-FIND("|",EL220)-1))),ABS(INDEX($P$220:$P$223,MATCH(LEFT(EL220,FIND("·",EL220)-1),$K$220:$K$223,0))-(VALUE(MID(EL220,FIND("|",EL220)+1,FIND("-",EL220,FIND("|",EL220))-FIND("|",EL220)-1))-VALUE(MID(EL220,FIND("-",EL220,FIND("|",EL220))+1,10)))))*$D$50)))))*INDEX($I$220:$I$223,MATCH(LEFT(EL220,FIND("·",EL220)-1),$K$220:$K$223,0)),0),0),0)+IFERROR(IF(COUNTIF($C$220:$C$223,LEFT(EL220,FIND("·",EL220)-1))&gt;0,IF(INDEX($D$220:$D$223,MATCH(LEFT(EL220,FIND("·",EL220)-1),$C$220:$C$223,0))=IFERROR(VALUE(MID(EL220,FIND("·",EL220)+1,1)),0),($D$24+(INDEX($E$220:$E$223,MATCH(LEFT(EL220,FIND("·",EL220)-1),$C$220:$C$223,0))=MID(EL220,FIND("|",EL220)+1,10))*$D$26+MAX(0,IF($D$50=1,$D$25*(1-(ABS(INDEX($Q$220:$Q$223,MATCH(LEFT(EL220,FIND("·",EL220)-1),$C$220:$C$223,0))-(VALUE(MID(EL220,FIND("|",EL220)+1,FIND("-",EL220,FIND("|",EL220))-FIND("|",EL220)-1))-VALUE(MID(EL220,FIND("-",EL220,FIND("|",EL220))+1,10)))))*$D$50),$D$25*(1-(IF(INDEX($D$220:$D$223,MATCH(LEFT(EL220,FIND("·",EL220)-1),$C$220:$C$223,0))=0,ABS(INDEX($A$220:$A$223,MATCH(LEFT(EL220,FIND("·",EL220)-1),$C$220:$C$223,0))-VALUE(MID(EL220,FIND("|",EL220)+1,FIND("-",EL220,FIND("|",EL220))-FIND("|",EL220)-1))),ABS(INDEX($Q$220:$Q$223,MATCH(LEFT(EL220,FIND("·",EL220)-1),$C$220:$C$223,0))-(VALUE(MID(EL220,FIND("|",EL220)+1,FIND("-",EL220,FIND("|",EL220))-FIND("|",EL220)-1))-VALUE(MID(EL220,FIND("-",EL220,FIND("|",EL220))+1,10)))))*$D$50)))))*INDEX($I$220:$I$223,MATCH(LEFT(EL220,FIND("·",EL220)-1),$C$220:$C$223,0)),0),0),0)</f>
        <v>10</v>
      </c>
      <c r="EN220" s="110"/>
      <c r="EO220" s="76" t="s">
        <v>2093</v>
      </c>
      <c r="EP220" s="77">
        <f t="shared" ref="EP220" ca="1" si="2198">IFERROR(IF(COUNTIF($K$220:$K$223,LEFT(EO220,FIND("·",EO220)-1))&gt;0,IF(INDEX($L$220:$L$223,MATCH(LEFT(EO220,FIND("·",EO220)-1),$K$220:$K$223,0))=IFERROR(VALUE(MID(EO220,FIND("·",EO220)+1,1)),0),($D$24+(INDEX($M$220:$M$223,MATCH(LEFT(EO220,FIND("·",EO220)-1),$K$220:$K$223,0))=MID(EO220,FIND("|",EO220)+1,10))*$D$26+MAX(0,IF($D$50=1,$D$25*(1-(ABS(INDEX($P$220:$P$223,MATCH(LEFT(EO220,FIND("·",EO220)-1),$K$220:$K$223,0))-(VALUE(MID(EO220,FIND("|",EO220)+1,FIND("-",EO220,FIND("|",EO220))-FIND("|",EO220)-1))-VALUE(MID(EO220,FIND("-",EO220,FIND("|",EO220))+1,10)))))*$D$50),$D$25*(1-(IF(INDEX($L$220:$L$223,MATCH(LEFT(EO220,FIND("·",EO220)-1),$K$220:$K$223,0))=0,ABS(INDEX($N$220:$N$223,MATCH(LEFT(EO220,FIND("·",EO220)-1),$K$220:$K$223,0))-VALUE(MID(EO220,FIND("|",EO220)+1,FIND("-",EO220,FIND("|",EO220))-FIND("|",EO220)-1))),ABS(INDEX($P$220:$P$223,MATCH(LEFT(EO220,FIND("·",EO220)-1),$K$220:$K$223,0))-(VALUE(MID(EO220,FIND("|",EO220)+1,FIND("-",EO220,FIND("|",EO220))-FIND("|",EO220)-1))-VALUE(MID(EO220,FIND("-",EO220,FIND("|",EO220))+1,10)))))*$D$50)))))*INDEX($I$220:$I$223,MATCH(LEFT(EO220,FIND("·",EO220)-1),$K$220:$K$223,0)),0),0),0)+IFERROR(IF(COUNTIF($C$220:$C$223,LEFT(EO220,FIND("·",EO220)-1))&gt;0,IF(INDEX($D$220:$D$223,MATCH(LEFT(EO220,FIND("·",EO220)-1),$C$220:$C$223,0))=IFERROR(VALUE(MID(EO220,FIND("·",EO220)+1,1)),0),($D$24+(INDEX($E$220:$E$223,MATCH(LEFT(EO220,FIND("·",EO220)-1),$C$220:$C$223,0))=MID(EO220,FIND("|",EO220)+1,10))*$D$26+MAX(0,IF($D$50=1,$D$25*(1-(ABS(INDEX($Q$220:$Q$223,MATCH(LEFT(EO220,FIND("·",EO220)-1),$C$220:$C$223,0))-(VALUE(MID(EO220,FIND("|",EO220)+1,FIND("-",EO220,FIND("|",EO220))-FIND("|",EO220)-1))-VALUE(MID(EO220,FIND("-",EO220,FIND("|",EO220))+1,10)))))*$D$50),$D$25*(1-(IF(INDEX($D$220:$D$223,MATCH(LEFT(EO220,FIND("·",EO220)-1),$C$220:$C$223,0))=0,ABS(INDEX($A$220:$A$223,MATCH(LEFT(EO220,FIND("·",EO220)-1),$C$220:$C$223,0))-VALUE(MID(EO220,FIND("|",EO220)+1,FIND("-",EO220,FIND("|",EO220))-FIND("|",EO220)-1))),ABS(INDEX($Q$220:$Q$223,MATCH(LEFT(EO220,FIND("·",EO220)-1),$C$220:$C$223,0))-(VALUE(MID(EO220,FIND("|",EO220)+1,FIND("-",EO220,FIND("|",EO220))-FIND("|",EO220)-1))-VALUE(MID(EO220,FIND("-",EO220,FIND("|",EO220))+1,10)))))*$D$50)))))*INDEX($I$220:$I$223,MATCH(LEFT(EO220,FIND("·",EO220)-1),$C$220:$C$223,0)),0),0),0)</f>
        <v>0</v>
      </c>
      <c r="EQ220" s="110"/>
      <c r="ER220" s="76" t="s">
        <v>2093</v>
      </c>
      <c r="ES220" s="77">
        <f t="shared" ref="ES220" ca="1" si="2199">IFERROR(IF(COUNTIF($K$220:$K$223,LEFT(ER220,FIND("·",ER220)-1))&gt;0,IF(INDEX($L$220:$L$223,MATCH(LEFT(ER220,FIND("·",ER220)-1),$K$220:$K$223,0))=IFERROR(VALUE(MID(ER220,FIND("·",ER220)+1,1)),0),($D$24+(INDEX($M$220:$M$223,MATCH(LEFT(ER220,FIND("·",ER220)-1),$K$220:$K$223,0))=MID(ER220,FIND("|",ER220)+1,10))*$D$26+MAX(0,IF($D$50=1,$D$25*(1-(ABS(INDEX($P$220:$P$223,MATCH(LEFT(ER220,FIND("·",ER220)-1),$K$220:$K$223,0))-(VALUE(MID(ER220,FIND("|",ER220)+1,FIND("-",ER220,FIND("|",ER220))-FIND("|",ER220)-1))-VALUE(MID(ER220,FIND("-",ER220,FIND("|",ER220))+1,10)))))*$D$50),$D$25*(1-(IF(INDEX($L$220:$L$223,MATCH(LEFT(ER220,FIND("·",ER220)-1),$K$220:$K$223,0))=0,ABS(INDEX($N$220:$N$223,MATCH(LEFT(ER220,FIND("·",ER220)-1),$K$220:$K$223,0))-VALUE(MID(ER220,FIND("|",ER220)+1,FIND("-",ER220,FIND("|",ER220))-FIND("|",ER220)-1))),ABS(INDEX($P$220:$P$223,MATCH(LEFT(ER220,FIND("·",ER220)-1),$K$220:$K$223,0))-(VALUE(MID(ER220,FIND("|",ER220)+1,FIND("-",ER220,FIND("|",ER220))-FIND("|",ER220)-1))-VALUE(MID(ER220,FIND("-",ER220,FIND("|",ER220))+1,10)))))*$D$50)))))*INDEX($I$220:$I$223,MATCH(LEFT(ER220,FIND("·",ER220)-1),$K$220:$K$223,0)),0),0),0)+IFERROR(IF(COUNTIF($C$220:$C$223,LEFT(ER220,FIND("·",ER220)-1))&gt;0,IF(INDEX($D$220:$D$223,MATCH(LEFT(ER220,FIND("·",ER220)-1),$C$220:$C$223,0))=IFERROR(VALUE(MID(ER220,FIND("·",ER220)+1,1)),0),($D$24+(INDEX($E$220:$E$223,MATCH(LEFT(ER220,FIND("·",ER220)-1),$C$220:$C$223,0))=MID(ER220,FIND("|",ER220)+1,10))*$D$26+MAX(0,IF($D$50=1,$D$25*(1-(ABS(INDEX($Q$220:$Q$223,MATCH(LEFT(ER220,FIND("·",ER220)-1),$C$220:$C$223,0))-(VALUE(MID(ER220,FIND("|",ER220)+1,FIND("-",ER220,FIND("|",ER220))-FIND("|",ER220)-1))-VALUE(MID(ER220,FIND("-",ER220,FIND("|",ER220))+1,10)))))*$D$50),$D$25*(1-(IF(INDEX($D$220:$D$223,MATCH(LEFT(ER220,FIND("·",ER220)-1),$C$220:$C$223,0))=0,ABS(INDEX($A$220:$A$223,MATCH(LEFT(ER220,FIND("·",ER220)-1),$C$220:$C$223,0))-VALUE(MID(ER220,FIND("|",ER220)+1,FIND("-",ER220,FIND("|",ER220))-FIND("|",ER220)-1))),ABS(INDEX($Q$220:$Q$223,MATCH(LEFT(ER220,FIND("·",ER220)-1),$C$220:$C$223,0))-(VALUE(MID(ER220,FIND("|",ER220)+1,FIND("-",ER220,FIND("|",ER220))-FIND("|",ER220)-1))-VALUE(MID(ER220,FIND("-",ER220,FIND("|",ER220))+1,10)))))*$D$50)))))*INDEX($I$220:$I$223,MATCH(LEFT(ER220,FIND("·",ER220)-1),$C$220:$C$223,0)),0),0),0)</f>
        <v>0</v>
      </c>
      <c r="ET220" s="110"/>
      <c r="EU220" s="76" t="s">
        <v>2506</v>
      </c>
      <c r="EV220" s="77">
        <f t="shared" ref="EV220" ca="1" si="2200">IFERROR(IF(COUNTIF($K$220:$K$223,LEFT(EU220,FIND("·",EU220)-1))&gt;0,IF(INDEX($L$220:$L$223,MATCH(LEFT(EU220,FIND("·",EU220)-1),$K$220:$K$223,0))=IFERROR(VALUE(MID(EU220,FIND("·",EU220)+1,1)),0),($D$24+(INDEX($M$220:$M$223,MATCH(LEFT(EU220,FIND("·",EU220)-1),$K$220:$K$223,0))=MID(EU220,FIND("|",EU220)+1,10))*$D$26+MAX(0,IF($D$50=1,$D$25*(1-(ABS(INDEX($P$220:$P$223,MATCH(LEFT(EU220,FIND("·",EU220)-1),$K$220:$K$223,0))-(VALUE(MID(EU220,FIND("|",EU220)+1,FIND("-",EU220,FIND("|",EU220))-FIND("|",EU220)-1))-VALUE(MID(EU220,FIND("-",EU220,FIND("|",EU220))+1,10)))))*$D$50),$D$25*(1-(IF(INDEX($L$220:$L$223,MATCH(LEFT(EU220,FIND("·",EU220)-1),$K$220:$K$223,0))=0,ABS(INDEX($N$220:$N$223,MATCH(LEFT(EU220,FIND("·",EU220)-1),$K$220:$K$223,0))-VALUE(MID(EU220,FIND("|",EU220)+1,FIND("-",EU220,FIND("|",EU220))-FIND("|",EU220)-1))),ABS(INDEX($P$220:$P$223,MATCH(LEFT(EU220,FIND("·",EU220)-1),$K$220:$K$223,0))-(VALUE(MID(EU220,FIND("|",EU220)+1,FIND("-",EU220,FIND("|",EU220))-FIND("|",EU220)-1))-VALUE(MID(EU220,FIND("-",EU220,FIND("|",EU220))+1,10)))))*$D$50)))))*INDEX($I$220:$I$223,MATCH(LEFT(EU220,FIND("·",EU220)-1),$K$220:$K$223,0)),0),0),0)+IFERROR(IF(COUNTIF($C$220:$C$223,LEFT(EU220,FIND("·",EU220)-1))&gt;0,IF(INDEX($D$220:$D$223,MATCH(LEFT(EU220,FIND("·",EU220)-1),$C$220:$C$223,0))=IFERROR(VALUE(MID(EU220,FIND("·",EU220)+1,1)),0),($D$24+(INDEX($E$220:$E$223,MATCH(LEFT(EU220,FIND("·",EU220)-1),$C$220:$C$223,0))=MID(EU220,FIND("|",EU220)+1,10))*$D$26+MAX(0,IF($D$50=1,$D$25*(1-(ABS(INDEX($Q$220:$Q$223,MATCH(LEFT(EU220,FIND("·",EU220)-1),$C$220:$C$223,0))-(VALUE(MID(EU220,FIND("|",EU220)+1,FIND("-",EU220,FIND("|",EU220))-FIND("|",EU220)-1))-VALUE(MID(EU220,FIND("-",EU220,FIND("|",EU220))+1,10)))))*$D$50),$D$25*(1-(IF(INDEX($D$220:$D$223,MATCH(LEFT(EU220,FIND("·",EU220)-1),$C$220:$C$223,0))=0,ABS(INDEX($A$220:$A$223,MATCH(LEFT(EU220,FIND("·",EU220)-1),$C$220:$C$223,0))-VALUE(MID(EU220,FIND("|",EU220)+1,FIND("-",EU220,FIND("|",EU220))-FIND("|",EU220)-1))),ABS(INDEX($Q$220:$Q$223,MATCH(LEFT(EU220,FIND("·",EU220)-1),$C$220:$C$223,0))-(VALUE(MID(EU220,FIND("|",EU220)+1,FIND("-",EU220,FIND("|",EU220))-FIND("|",EU220)-1))-VALUE(MID(EU220,FIND("-",EU220,FIND("|",EU220))+1,10)))))*$D$50)))))*INDEX($I$220:$I$223,MATCH(LEFT(EU220,FIND("·",EU220)-1),$C$220:$C$223,0)),0),0),0)</f>
        <v>20</v>
      </c>
      <c r="EW220" s="110"/>
      <c r="EX220" s="76" t="s">
        <v>2437</v>
      </c>
      <c r="EY220" s="77">
        <f t="shared" ref="EY220:HJ223" ca="1" si="2201">IFERROR(IF(COUNTIF($K$220:$K$223,LEFT(EX220,FIND("·",EX220)-1))&gt;0,IF(INDEX($L$220:$L$223,MATCH(LEFT(EX220,FIND("·",EX220)-1),$K$220:$K$223,0))=IFERROR(VALUE(MID(EX220,FIND("·",EX220)+1,1)),0),($D$24+(INDEX($M$220:$M$223,MATCH(LEFT(EX220,FIND("·",EX220)-1),$K$220:$K$223,0))=MID(EX220,FIND("|",EX220)+1,10))*$D$26+MAX(0,IF($D$50=1,$D$25*(1-(ABS(INDEX($P$220:$P$223,MATCH(LEFT(EX220,FIND("·",EX220)-1),$K$220:$K$223,0))-(VALUE(MID(EX220,FIND("|",EX220)+1,FIND("-",EX220,FIND("|",EX220))-FIND("|",EX220)-1))-VALUE(MID(EX220,FIND("-",EX220,FIND("|",EX220))+1,10)))))*$D$50),$D$25*(1-(IF(INDEX($L$220:$L$223,MATCH(LEFT(EX220,FIND("·",EX220)-1),$K$220:$K$223,0))=0,ABS(INDEX($N$220:$N$223,MATCH(LEFT(EX220,FIND("·",EX220)-1),$K$220:$K$223,0))-VALUE(MID(EX220,FIND("|",EX220)+1,FIND("-",EX220,FIND("|",EX220))-FIND("|",EX220)-1))),ABS(INDEX($P$220:$P$223,MATCH(LEFT(EX220,FIND("·",EX220)-1),$K$220:$K$223,0))-(VALUE(MID(EX220,FIND("|",EX220)+1,FIND("-",EX220,FIND("|",EX220))-FIND("|",EX220)-1))-VALUE(MID(EX220,FIND("-",EX220,FIND("|",EX220))+1,10)))))*$D$50)))))*INDEX($I$220:$I$223,MATCH(LEFT(EX220,FIND("·",EX220)-1),$K$220:$K$223,0)),0),0),0)+IFERROR(IF(COUNTIF($C$220:$C$223,LEFT(EX220,FIND("·",EX220)-1))&gt;0,IF(INDEX($D$220:$D$223,MATCH(LEFT(EX220,FIND("·",EX220)-1),$C$220:$C$223,0))=IFERROR(VALUE(MID(EX220,FIND("·",EX220)+1,1)),0),($D$24+(INDEX($E$220:$E$223,MATCH(LEFT(EX220,FIND("·",EX220)-1),$C$220:$C$223,0))=MID(EX220,FIND("|",EX220)+1,10))*$D$26+MAX(0,IF($D$50=1,$D$25*(1-(ABS(INDEX($Q$220:$Q$223,MATCH(LEFT(EX220,FIND("·",EX220)-1),$C$220:$C$223,0))-(VALUE(MID(EX220,FIND("|",EX220)+1,FIND("-",EX220,FIND("|",EX220))-FIND("|",EX220)-1))-VALUE(MID(EX220,FIND("-",EX220,FIND("|",EX220))+1,10)))))*$D$50),$D$25*(1-(IF(INDEX($D$220:$D$223,MATCH(LEFT(EX220,FIND("·",EX220)-1),$C$220:$C$223,0))=0,ABS(INDEX($A$220:$A$223,MATCH(LEFT(EX220,FIND("·",EX220)-1),$C$220:$C$223,0))-VALUE(MID(EX220,FIND("|",EX220)+1,FIND("-",EX220,FIND("|",EX220))-FIND("|",EX220)-1))),ABS(INDEX($Q$220:$Q$223,MATCH(LEFT(EX220,FIND("·",EX220)-1),$C$220:$C$223,0))-(VALUE(MID(EX220,FIND("|",EX220)+1,FIND("-",EX220,FIND("|",EX220))-FIND("|",EX220)-1))-VALUE(MID(EX220,FIND("-",EX220,FIND("|",EX220))+1,10)))))*$D$50)))))*INDEX($I$220:$I$223,MATCH(LEFT(EX220,FIND("·",EX220)-1),$C$220:$C$223,0)),0),0),0)</f>
        <v>0</v>
      </c>
      <c r="EZ220" s="110"/>
      <c r="FA220" s="76" t="s">
        <v>2475</v>
      </c>
      <c r="FB220" s="77">
        <f t="shared" ref="FB220" ca="1" si="2202">IFERROR(IF(COUNTIF($K$220:$K$223,LEFT(FA220,FIND("·",FA220)-1))&gt;0,IF(INDEX($L$220:$L$223,MATCH(LEFT(FA220,FIND("·",FA220)-1),$K$220:$K$223,0))=IFERROR(VALUE(MID(FA220,FIND("·",FA220)+1,1)),0),($D$24+(INDEX($M$220:$M$223,MATCH(LEFT(FA220,FIND("·",FA220)-1),$K$220:$K$223,0))=MID(FA220,FIND("|",FA220)+1,10))*$D$26+MAX(0,IF($D$50=1,$D$25*(1-(ABS(INDEX($P$220:$P$223,MATCH(LEFT(FA220,FIND("·",FA220)-1),$K$220:$K$223,0))-(VALUE(MID(FA220,FIND("|",FA220)+1,FIND("-",FA220,FIND("|",FA220))-FIND("|",FA220)-1))-VALUE(MID(FA220,FIND("-",FA220,FIND("|",FA220))+1,10)))))*$D$50),$D$25*(1-(IF(INDEX($L$220:$L$223,MATCH(LEFT(FA220,FIND("·",FA220)-1),$K$220:$K$223,0))=0,ABS(INDEX($N$220:$N$223,MATCH(LEFT(FA220,FIND("·",FA220)-1),$K$220:$K$223,0))-VALUE(MID(FA220,FIND("|",FA220)+1,FIND("-",FA220,FIND("|",FA220))-FIND("|",FA220)-1))),ABS(INDEX($P$220:$P$223,MATCH(LEFT(FA220,FIND("·",FA220)-1),$K$220:$K$223,0))-(VALUE(MID(FA220,FIND("|",FA220)+1,FIND("-",FA220,FIND("|",FA220))-FIND("|",FA220)-1))-VALUE(MID(FA220,FIND("-",FA220,FIND("|",FA220))+1,10)))))*$D$50)))))*INDEX($I$220:$I$223,MATCH(LEFT(FA220,FIND("·",FA220)-1),$K$220:$K$223,0)),0),0),0)+IFERROR(IF(COUNTIF($C$220:$C$223,LEFT(FA220,FIND("·",FA220)-1))&gt;0,IF(INDEX($D$220:$D$223,MATCH(LEFT(FA220,FIND("·",FA220)-1),$C$220:$C$223,0))=IFERROR(VALUE(MID(FA220,FIND("·",FA220)+1,1)),0),($D$24+(INDEX($E$220:$E$223,MATCH(LEFT(FA220,FIND("·",FA220)-1),$C$220:$C$223,0))=MID(FA220,FIND("|",FA220)+1,10))*$D$26+MAX(0,IF($D$50=1,$D$25*(1-(ABS(INDEX($Q$220:$Q$223,MATCH(LEFT(FA220,FIND("·",FA220)-1),$C$220:$C$223,0))-(VALUE(MID(FA220,FIND("|",FA220)+1,FIND("-",FA220,FIND("|",FA220))-FIND("|",FA220)-1))-VALUE(MID(FA220,FIND("-",FA220,FIND("|",FA220))+1,10)))))*$D$50),$D$25*(1-(IF(INDEX($D$220:$D$223,MATCH(LEFT(FA220,FIND("·",FA220)-1),$C$220:$C$223,0))=0,ABS(INDEX($A$220:$A$223,MATCH(LEFT(FA220,FIND("·",FA220)-1),$C$220:$C$223,0))-VALUE(MID(FA220,FIND("|",FA220)+1,FIND("-",FA220,FIND("|",FA220))-FIND("|",FA220)-1))),ABS(INDEX($Q$220:$Q$223,MATCH(LEFT(FA220,FIND("·",FA220)-1),$C$220:$C$223,0))-(VALUE(MID(FA220,FIND("|",FA220)+1,FIND("-",FA220,FIND("|",FA220))-FIND("|",FA220)-1))-VALUE(MID(FA220,FIND("-",FA220,FIND("|",FA220))+1,10)))))*$D$50)))))*INDEX($I$220:$I$223,MATCH(LEFT(FA220,FIND("·",FA220)-1),$C$220:$C$223,0)),0),0),0)</f>
        <v>0</v>
      </c>
      <c r="FC220" s="110"/>
      <c r="FD220" s="76" t="s">
        <v>2241</v>
      </c>
      <c r="FE220" s="77">
        <f t="shared" ref="FE220" ca="1" si="2203">IFERROR(IF(COUNTIF($K$220:$K$223,LEFT(FD220,FIND("·",FD220)-1))&gt;0,IF(INDEX($L$220:$L$223,MATCH(LEFT(FD220,FIND("·",FD220)-1),$K$220:$K$223,0))=IFERROR(VALUE(MID(FD220,FIND("·",FD220)+1,1)),0),($D$24+(INDEX($M$220:$M$223,MATCH(LEFT(FD220,FIND("·",FD220)-1),$K$220:$K$223,0))=MID(FD220,FIND("|",FD220)+1,10))*$D$26+MAX(0,IF($D$50=1,$D$25*(1-(ABS(INDEX($P$220:$P$223,MATCH(LEFT(FD220,FIND("·",FD220)-1),$K$220:$K$223,0))-(VALUE(MID(FD220,FIND("|",FD220)+1,FIND("-",FD220,FIND("|",FD220))-FIND("|",FD220)-1))-VALUE(MID(FD220,FIND("-",FD220,FIND("|",FD220))+1,10)))))*$D$50),$D$25*(1-(IF(INDEX($L$220:$L$223,MATCH(LEFT(FD220,FIND("·",FD220)-1),$K$220:$K$223,0))=0,ABS(INDEX($N$220:$N$223,MATCH(LEFT(FD220,FIND("·",FD220)-1),$K$220:$K$223,0))-VALUE(MID(FD220,FIND("|",FD220)+1,FIND("-",FD220,FIND("|",FD220))-FIND("|",FD220)-1))),ABS(INDEX($P$220:$P$223,MATCH(LEFT(FD220,FIND("·",FD220)-1),$K$220:$K$223,0))-(VALUE(MID(FD220,FIND("|",FD220)+1,FIND("-",FD220,FIND("|",FD220))-FIND("|",FD220)-1))-VALUE(MID(FD220,FIND("-",FD220,FIND("|",FD220))+1,10)))))*$D$50)))))*INDEX($I$220:$I$223,MATCH(LEFT(FD220,FIND("·",FD220)-1),$K$220:$K$223,0)),0),0),0)+IFERROR(IF(COUNTIF($C$220:$C$223,LEFT(FD220,FIND("·",FD220)-1))&gt;0,IF(INDEX($D$220:$D$223,MATCH(LEFT(FD220,FIND("·",FD220)-1),$C$220:$C$223,0))=IFERROR(VALUE(MID(FD220,FIND("·",FD220)+1,1)),0),($D$24+(INDEX($E$220:$E$223,MATCH(LEFT(FD220,FIND("·",FD220)-1),$C$220:$C$223,0))=MID(FD220,FIND("|",FD220)+1,10))*$D$26+MAX(0,IF($D$50=1,$D$25*(1-(ABS(INDEX($Q$220:$Q$223,MATCH(LEFT(FD220,FIND("·",FD220)-1),$C$220:$C$223,0))-(VALUE(MID(FD220,FIND("|",FD220)+1,FIND("-",FD220,FIND("|",FD220))-FIND("|",FD220)-1))-VALUE(MID(FD220,FIND("-",FD220,FIND("|",FD220))+1,10)))))*$D$50),$D$25*(1-(IF(INDEX($D$220:$D$223,MATCH(LEFT(FD220,FIND("·",FD220)-1),$C$220:$C$223,0))=0,ABS(INDEX($A$220:$A$223,MATCH(LEFT(FD220,FIND("·",FD220)-1),$C$220:$C$223,0))-VALUE(MID(FD220,FIND("|",FD220)+1,FIND("-",FD220,FIND("|",FD220))-FIND("|",FD220)-1))),ABS(INDEX($Q$220:$Q$223,MATCH(LEFT(FD220,FIND("·",FD220)-1),$C$220:$C$223,0))-(VALUE(MID(FD220,FIND("|",FD220)+1,FIND("-",FD220,FIND("|",FD220))-FIND("|",FD220)-1))-VALUE(MID(FD220,FIND("-",FD220,FIND("|",FD220))+1,10)))))*$D$50)))))*INDEX($I$220:$I$223,MATCH(LEFT(FD220,FIND("·",FD220)-1),$C$220:$C$223,0)),0),0),0)</f>
        <v>0</v>
      </c>
      <c r="FF220" s="110"/>
      <c r="FG220" s="76" t="s">
        <v>2093</v>
      </c>
      <c r="FH220" s="77">
        <f t="shared" ref="FH220" ca="1" si="2204">IFERROR(IF(COUNTIF($K$220:$K$223,LEFT(FG220,FIND("·",FG220)-1))&gt;0,IF(INDEX($L$220:$L$223,MATCH(LEFT(FG220,FIND("·",FG220)-1),$K$220:$K$223,0))=IFERROR(VALUE(MID(FG220,FIND("·",FG220)+1,1)),0),($D$24+(INDEX($M$220:$M$223,MATCH(LEFT(FG220,FIND("·",FG220)-1),$K$220:$K$223,0))=MID(FG220,FIND("|",FG220)+1,10))*$D$26+MAX(0,IF($D$50=1,$D$25*(1-(ABS(INDEX($P$220:$P$223,MATCH(LEFT(FG220,FIND("·",FG220)-1),$K$220:$K$223,0))-(VALUE(MID(FG220,FIND("|",FG220)+1,FIND("-",FG220,FIND("|",FG220))-FIND("|",FG220)-1))-VALUE(MID(FG220,FIND("-",FG220,FIND("|",FG220))+1,10)))))*$D$50),$D$25*(1-(IF(INDEX($L$220:$L$223,MATCH(LEFT(FG220,FIND("·",FG220)-1),$K$220:$K$223,0))=0,ABS(INDEX($N$220:$N$223,MATCH(LEFT(FG220,FIND("·",FG220)-1),$K$220:$K$223,0))-VALUE(MID(FG220,FIND("|",FG220)+1,FIND("-",FG220,FIND("|",FG220))-FIND("|",FG220)-1))),ABS(INDEX($P$220:$P$223,MATCH(LEFT(FG220,FIND("·",FG220)-1),$K$220:$K$223,0))-(VALUE(MID(FG220,FIND("|",FG220)+1,FIND("-",FG220,FIND("|",FG220))-FIND("|",FG220)-1))-VALUE(MID(FG220,FIND("-",FG220,FIND("|",FG220))+1,10)))))*$D$50)))))*INDEX($I$220:$I$223,MATCH(LEFT(FG220,FIND("·",FG220)-1),$K$220:$K$223,0)),0),0),0)+IFERROR(IF(COUNTIF($C$220:$C$223,LEFT(FG220,FIND("·",FG220)-1))&gt;0,IF(INDEX($D$220:$D$223,MATCH(LEFT(FG220,FIND("·",FG220)-1),$C$220:$C$223,0))=IFERROR(VALUE(MID(FG220,FIND("·",FG220)+1,1)),0),($D$24+(INDEX($E$220:$E$223,MATCH(LEFT(FG220,FIND("·",FG220)-1),$C$220:$C$223,0))=MID(FG220,FIND("|",FG220)+1,10))*$D$26+MAX(0,IF($D$50=1,$D$25*(1-(ABS(INDEX($Q$220:$Q$223,MATCH(LEFT(FG220,FIND("·",FG220)-1),$C$220:$C$223,0))-(VALUE(MID(FG220,FIND("|",FG220)+1,FIND("-",FG220,FIND("|",FG220))-FIND("|",FG220)-1))-VALUE(MID(FG220,FIND("-",FG220,FIND("|",FG220))+1,10)))))*$D$50),$D$25*(1-(IF(INDEX($D$220:$D$223,MATCH(LEFT(FG220,FIND("·",FG220)-1),$C$220:$C$223,0))=0,ABS(INDEX($A$220:$A$223,MATCH(LEFT(FG220,FIND("·",FG220)-1),$C$220:$C$223,0))-VALUE(MID(FG220,FIND("|",FG220)+1,FIND("-",FG220,FIND("|",FG220))-FIND("|",FG220)-1))),ABS(INDEX($Q$220:$Q$223,MATCH(LEFT(FG220,FIND("·",FG220)-1),$C$220:$C$223,0))-(VALUE(MID(FG220,FIND("|",FG220)+1,FIND("-",FG220,FIND("|",FG220))-FIND("|",FG220)-1))-VALUE(MID(FG220,FIND("-",FG220,FIND("|",FG220))+1,10)))))*$D$50)))))*INDEX($I$220:$I$223,MATCH(LEFT(FG220,FIND("·",FG220)-1),$C$220:$C$223,0)),0),0),0)</f>
        <v>0</v>
      </c>
      <c r="FI220" s="110"/>
      <c r="FJ220" s="76" t="s">
        <v>2093</v>
      </c>
      <c r="FK220" s="77">
        <f t="shared" ref="FK220" ca="1" si="2205">IFERROR(IF(COUNTIF($K$220:$K$223,LEFT(FJ220,FIND("·",FJ220)-1))&gt;0,IF(INDEX($L$220:$L$223,MATCH(LEFT(FJ220,FIND("·",FJ220)-1),$K$220:$K$223,0))=IFERROR(VALUE(MID(FJ220,FIND("·",FJ220)+1,1)),0),($D$24+(INDEX($M$220:$M$223,MATCH(LEFT(FJ220,FIND("·",FJ220)-1),$K$220:$K$223,0))=MID(FJ220,FIND("|",FJ220)+1,10))*$D$26+MAX(0,IF($D$50=1,$D$25*(1-(ABS(INDEX($P$220:$P$223,MATCH(LEFT(FJ220,FIND("·",FJ220)-1),$K$220:$K$223,0))-(VALUE(MID(FJ220,FIND("|",FJ220)+1,FIND("-",FJ220,FIND("|",FJ220))-FIND("|",FJ220)-1))-VALUE(MID(FJ220,FIND("-",FJ220,FIND("|",FJ220))+1,10)))))*$D$50),$D$25*(1-(IF(INDEX($L$220:$L$223,MATCH(LEFT(FJ220,FIND("·",FJ220)-1),$K$220:$K$223,0))=0,ABS(INDEX($N$220:$N$223,MATCH(LEFT(FJ220,FIND("·",FJ220)-1),$K$220:$K$223,0))-VALUE(MID(FJ220,FIND("|",FJ220)+1,FIND("-",FJ220,FIND("|",FJ220))-FIND("|",FJ220)-1))),ABS(INDEX($P$220:$P$223,MATCH(LEFT(FJ220,FIND("·",FJ220)-1),$K$220:$K$223,0))-(VALUE(MID(FJ220,FIND("|",FJ220)+1,FIND("-",FJ220,FIND("|",FJ220))-FIND("|",FJ220)-1))-VALUE(MID(FJ220,FIND("-",FJ220,FIND("|",FJ220))+1,10)))))*$D$50)))))*INDEX($I$220:$I$223,MATCH(LEFT(FJ220,FIND("·",FJ220)-1),$K$220:$K$223,0)),0),0),0)+IFERROR(IF(COUNTIF($C$220:$C$223,LEFT(FJ220,FIND("·",FJ220)-1))&gt;0,IF(INDEX($D$220:$D$223,MATCH(LEFT(FJ220,FIND("·",FJ220)-1),$C$220:$C$223,0))=IFERROR(VALUE(MID(FJ220,FIND("·",FJ220)+1,1)),0),($D$24+(INDEX($E$220:$E$223,MATCH(LEFT(FJ220,FIND("·",FJ220)-1),$C$220:$C$223,0))=MID(FJ220,FIND("|",FJ220)+1,10))*$D$26+MAX(0,IF($D$50=1,$D$25*(1-(ABS(INDEX($Q$220:$Q$223,MATCH(LEFT(FJ220,FIND("·",FJ220)-1),$C$220:$C$223,0))-(VALUE(MID(FJ220,FIND("|",FJ220)+1,FIND("-",FJ220,FIND("|",FJ220))-FIND("|",FJ220)-1))-VALUE(MID(FJ220,FIND("-",FJ220,FIND("|",FJ220))+1,10)))))*$D$50),$D$25*(1-(IF(INDEX($D$220:$D$223,MATCH(LEFT(FJ220,FIND("·",FJ220)-1),$C$220:$C$223,0))=0,ABS(INDEX($A$220:$A$223,MATCH(LEFT(FJ220,FIND("·",FJ220)-1),$C$220:$C$223,0))-VALUE(MID(FJ220,FIND("|",FJ220)+1,FIND("-",FJ220,FIND("|",FJ220))-FIND("|",FJ220)-1))),ABS(INDEX($Q$220:$Q$223,MATCH(LEFT(FJ220,FIND("·",FJ220)-1),$C$220:$C$223,0))-(VALUE(MID(FJ220,FIND("|",FJ220)+1,FIND("-",FJ220,FIND("|",FJ220))-FIND("|",FJ220)-1))-VALUE(MID(FJ220,FIND("-",FJ220,FIND("|",FJ220))+1,10)))))*$D$50)))))*INDEX($I$220:$I$223,MATCH(LEFT(FJ220,FIND("·",FJ220)-1),$C$220:$C$223,0)),0),0),0)</f>
        <v>0</v>
      </c>
      <c r="FL220" s="110"/>
      <c r="FM220" s="76" t="s">
        <v>2460</v>
      </c>
      <c r="FN220" s="77">
        <f t="shared" ref="FN220" ca="1" si="2206">IFERROR(IF(COUNTIF($K$220:$K$223,LEFT(FM220,FIND("·",FM220)-1))&gt;0,IF(INDEX($L$220:$L$223,MATCH(LEFT(FM220,FIND("·",FM220)-1),$K$220:$K$223,0))=IFERROR(VALUE(MID(FM220,FIND("·",FM220)+1,1)),0),($D$24+(INDEX($M$220:$M$223,MATCH(LEFT(FM220,FIND("·",FM220)-1),$K$220:$K$223,0))=MID(FM220,FIND("|",FM220)+1,10))*$D$26+MAX(0,IF($D$50=1,$D$25*(1-(ABS(INDEX($P$220:$P$223,MATCH(LEFT(FM220,FIND("·",FM220)-1),$K$220:$K$223,0))-(VALUE(MID(FM220,FIND("|",FM220)+1,FIND("-",FM220,FIND("|",FM220))-FIND("|",FM220)-1))-VALUE(MID(FM220,FIND("-",FM220,FIND("|",FM220))+1,10)))))*$D$50),$D$25*(1-(IF(INDEX($L$220:$L$223,MATCH(LEFT(FM220,FIND("·",FM220)-1),$K$220:$K$223,0))=0,ABS(INDEX($N$220:$N$223,MATCH(LEFT(FM220,FIND("·",FM220)-1),$K$220:$K$223,0))-VALUE(MID(FM220,FIND("|",FM220)+1,FIND("-",FM220,FIND("|",FM220))-FIND("|",FM220)-1))),ABS(INDEX($P$220:$P$223,MATCH(LEFT(FM220,FIND("·",FM220)-1),$K$220:$K$223,0))-(VALUE(MID(FM220,FIND("|",FM220)+1,FIND("-",FM220,FIND("|",FM220))-FIND("|",FM220)-1))-VALUE(MID(FM220,FIND("-",FM220,FIND("|",FM220))+1,10)))))*$D$50)))))*INDEX($I$220:$I$223,MATCH(LEFT(FM220,FIND("·",FM220)-1),$K$220:$K$223,0)),0),0),0)+IFERROR(IF(COUNTIF($C$220:$C$223,LEFT(FM220,FIND("·",FM220)-1))&gt;0,IF(INDEX($D$220:$D$223,MATCH(LEFT(FM220,FIND("·",FM220)-1),$C$220:$C$223,0))=IFERROR(VALUE(MID(FM220,FIND("·",FM220)+1,1)),0),($D$24+(INDEX($E$220:$E$223,MATCH(LEFT(FM220,FIND("·",FM220)-1),$C$220:$C$223,0))=MID(FM220,FIND("|",FM220)+1,10))*$D$26+MAX(0,IF($D$50=1,$D$25*(1-(ABS(INDEX($Q$220:$Q$223,MATCH(LEFT(FM220,FIND("·",FM220)-1),$C$220:$C$223,0))-(VALUE(MID(FM220,FIND("|",FM220)+1,FIND("-",FM220,FIND("|",FM220))-FIND("|",FM220)-1))-VALUE(MID(FM220,FIND("-",FM220,FIND("|",FM220))+1,10)))))*$D$50),$D$25*(1-(IF(INDEX($D$220:$D$223,MATCH(LEFT(FM220,FIND("·",FM220)-1),$C$220:$C$223,0))=0,ABS(INDEX($A$220:$A$223,MATCH(LEFT(FM220,FIND("·",FM220)-1),$C$220:$C$223,0))-VALUE(MID(FM220,FIND("|",FM220)+1,FIND("-",FM220,FIND("|",FM220))-FIND("|",FM220)-1))),ABS(INDEX($Q$220:$Q$223,MATCH(LEFT(FM220,FIND("·",FM220)-1),$C$220:$C$223,0))-(VALUE(MID(FM220,FIND("|",FM220)+1,FIND("-",FM220,FIND("|",FM220))-FIND("|",FM220)-1))-VALUE(MID(FM220,FIND("-",FM220,FIND("|",FM220))+1,10)))))*$D$50)))))*INDEX($I$220:$I$223,MATCH(LEFT(FM220,FIND("·",FM220)-1),$C$220:$C$223,0)),0),0),0)</f>
        <v>0</v>
      </c>
      <c r="FO220" s="110"/>
      <c r="FP220" s="76" t="s">
        <v>2475</v>
      </c>
      <c r="FQ220" s="77">
        <f t="shared" ref="FQ220" ca="1" si="2207">IFERROR(IF(COUNTIF($K$220:$K$223,LEFT(FP220,FIND("·",FP220)-1))&gt;0,IF(INDEX($L$220:$L$223,MATCH(LEFT(FP220,FIND("·",FP220)-1),$K$220:$K$223,0))=IFERROR(VALUE(MID(FP220,FIND("·",FP220)+1,1)),0),($D$24+(INDEX($M$220:$M$223,MATCH(LEFT(FP220,FIND("·",FP220)-1),$K$220:$K$223,0))=MID(FP220,FIND("|",FP220)+1,10))*$D$26+MAX(0,IF($D$50=1,$D$25*(1-(ABS(INDEX($P$220:$P$223,MATCH(LEFT(FP220,FIND("·",FP220)-1),$K$220:$K$223,0))-(VALUE(MID(FP220,FIND("|",FP220)+1,FIND("-",FP220,FIND("|",FP220))-FIND("|",FP220)-1))-VALUE(MID(FP220,FIND("-",FP220,FIND("|",FP220))+1,10)))))*$D$50),$D$25*(1-(IF(INDEX($L$220:$L$223,MATCH(LEFT(FP220,FIND("·",FP220)-1),$K$220:$K$223,0))=0,ABS(INDEX($N$220:$N$223,MATCH(LEFT(FP220,FIND("·",FP220)-1),$K$220:$K$223,0))-VALUE(MID(FP220,FIND("|",FP220)+1,FIND("-",FP220,FIND("|",FP220))-FIND("|",FP220)-1))),ABS(INDEX($P$220:$P$223,MATCH(LEFT(FP220,FIND("·",FP220)-1),$K$220:$K$223,0))-(VALUE(MID(FP220,FIND("|",FP220)+1,FIND("-",FP220,FIND("|",FP220))-FIND("|",FP220)-1))-VALUE(MID(FP220,FIND("-",FP220,FIND("|",FP220))+1,10)))))*$D$50)))))*INDEX($I$220:$I$223,MATCH(LEFT(FP220,FIND("·",FP220)-1),$K$220:$K$223,0)),0),0),0)+IFERROR(IF(COUNTIF($C$220:$C$223,LEFT(FP220,FIND("·",FP220)-1))&gt;0,IF(INDEX($D$220:$D$223,MATCH(LEFT(FP220,FIND("·",FP220)-1),$C$220:$C$223,0))=IFERROR(VALUE(MID(FP220,FIND("·",FP220)+1,1)),0),($D$24+(INDEX($E$220:$E$223,MATCH(LEFT(FP220,FIND("·",FP220)-1),$C$220:$C$223,0))=MID(FP220,FIND("|",FP220)+1,10))*$D$26+MAX(0,IF($D$50=1,$D$25*(1-(ABS(INDEX($Q$220:$Q$223,MATCH(LEFT(FP220,FIND("·",FP220)-1),$C$220:$C$223,0))-(VALUE(MID(FP220,FIND("|",FP220)+1,FIND("-",FP220,FIND("|",FP220))-FIND("|",FP220)-1))-VALUE(MID(FP220,FIND("-",FP220,FIND("|",FP220))+1,10)))))*$D$50),$D$25*(1-(IF(INDEX($D$220:$D$223,MATCH(LEFT(FP220,FIND("·",FP220)-1),$C$220:$C$223,0))=0,ABS(INDEX($A$220:$A$223,MATCH(LEFT(FP220,FIND("·",FP220)-1),$C$220:$C$223,0))-VALUE(MID(FP220,FIND("|",FP220)+1,FIND("-",FP220,FIND("|",FP220))-FIND("|",FP220)-1))),ABS(INDEX($Q$220:$Q$223,MATCH(LEFT(FP220,FIND("·",FP220)-1),$C$220:$C$223,0))-(VALUE(MID(FP220,FIND("|",FP220)+1,FIND("-",FP220,FIND("|",FP220))-FIND("|",FP220)-1))-VALUE(MID(FP220,FIND("-",FP220,FIND("|",FP220))+1,10)))))*$D$50)))))*INDEX($I$220:$I$223,MATCH(LEFT(FP220,FIND("·",FP220)-1),$C$220:$C$223,0)),0),0),0)</f>
        <v>0</v>
      </c>
      <c r="FR220" s="110"/>
      <c r="FS220" s="76" t="s">
        <v>2988</v>
      </c>
      <c r="FT220" s="77">
        <f t="shared" ref="FT220" ca="1" si="2208">IFERROR(IF(COUNTIF($K$220:$K$223,LEFT(FS220,FIND("·",FS220)-1))&gt;0,IF(INDEX($L$220:$L$223,MATCH(LEFT(FS220,FIND("·",FS220)-1),$K$220:$K$223,0))=IFERROR(VALUE(MID(FS220,FIND("·",FS220)+1,1)),0),($D$24+(INDEX($M$220:$M$223,MATCH(LEFT(FS220,FIND("·",FS220)-1),$K$220:$K$223,0))=MID(FS220,FIND("|",FS220)+1,10))*$D$26+MAX(0,IF($D$50=1,$D$25*(1-(ABS(INDEX($P$220:$P$223,MATCH(LEFT(FS220,FIND("·",FS220)-1),$K$220:$K$223,0))-(VALUE(MID(FS220,FIND("|",FS220)+1,FIND("-",FS220,FIND("|",FS220))-FIND("|",FS220)-1))-VALUE(MID(FS220,FIND("-",FS220,FIND("|",FS220))+1,10)))))*$D$50),$D$25*(1-(IF(INDEX($L$220:$L$223,MATCH(LEFT(FS220,FIND("·",FS220)-1),$K$220:$K$223,0))=0,ABS(INDEX($N$220:$N$223,MATCH(LEFT(FS220,FIND("·",FS220)-1),$K$220:$K$223,0))-VALUE(MID(FS220,FIND("|",FS220)+1,FIND("-",FS220,FIND("|",FS220))-FIND("|",FS220)-1))),ABS(INDEX($P$220:$P$223,MATCH(LEFT(FS220,FIND("·",FS220)-1),$K$220:$K$223,0))-(VALUE(MID(FS220,FIND("|",FS220)+1,FIND("-",FS220,FIND("|",FS220))-FIND("|",FS220)-1))-VALUE(MID(FS220,FIND("-",FS220,FIND("|",FS220))+1,10)))))*$D$50)))))*INDEX($I$220:$I$223,MATCH(LEFT(FS220,FIND("·",FS220)-1),$K$220:$K$223,0)),0),0),0)+IFERROR(IF(COUNTIF($C$220:$C$223,LEFT(FS220,FIND("·",FS220)-1))&gt;0,IF(INDEX($D$220:$D$223,MATCH(LEFT(FS220,FIND("·",FS220)-1),$C$220:$C$223,0))=IFERROR(VALUE(MID(FS220,FIND("·",FS220)+1,1)),0),($D$24+(INDEX($E$220:$E$223,MATCH(LEFT(FS220,FIND("·",FS220)-1),$C$220:$C$223,0))=MID(FS220,FIND("|",FS220)+1,10))*$D$26+MAX(0,IF($D$50=1,$D$25*(1-(ABS(INDEX($Q$220:$Q$223,MATCH(LEFT(FS220,FIND("·",FS220)-1),$C$220:$C$223,0))-(VALUE(MID(FS220,FIND("|",FS220)+1,FIND("-",FS220,FIND("|",FS220))-FIND("|",FS220)-1))-VALUE(MID(FS220,FIND("-",FS220,FIND("|",FS220))+1,10)))))*$D$50),$D$25*(1-(IF(INDEX($D$220:$D$223,MATCH(LEFT(FS220,FIND("·",FS220)-1),$C$220:$C$223,0))=0,ABS(INDEX($A$220:$A$223,MATCH(LEFT(FS220,FIND("·",FS220)-1),$C$220:$C$223,0))-VALUE(MID(FS220,FIND("|",FS220)+1,FIND("-",FS220,FIND("|",FS220))-FIND("|",FS220)-1))),ABS(INDEX($Q$220:$Q$223,MATCH(LEFT(FS220,FIND("·",FS220)-1),$C$220:$C$223,0))-(VALUE(MID(FS220,FIND("|",FS220)+1,FIND("-",FS220,FIND("|",FS220))-FIND("|",FS220)-1))-VALUE(MID(FS220,FIND("-",FS220,FIND("|",FS220))+1,10)))))*$D$50)))))*INDEX($I$220:$I$223,MATCH(LEFT(FS220,FIND("·",FS220)-1),$C$220:$C$223,0)),0),0),0)</f>
        <v>0</v>
      </c>
      <c r="FU220" s="110"/>
      <c r="FV220" s="76" t="s">
        <v>2562</v>
      </c>
      <c r="FW220" s="77">
        <f t="shared" ref="FW220" ca="1" si="2209">IFERROR(IF(COUNTIF($K$220:$K$223,LEFT(FV220,FIND("·",FV220)-1))&gt;0,IF(INDEX($L$220:$L$223,MATCH(LEFT(FV220,FIND("·",FV220)-1),$K$220:$K$223,0))=IFERROR(VALUE(MID(FV220,FIND("·",FV220)+1,1)),0),($D$24+(INDEX($M$220:$M$223,MATCH(LEFT(FV220,FIND("·",FV220)-1),$K$220:$K$223,0))=MID(FV220,FIND("|",FV220)+1,10))*$D$26+MAX(0,IF($D$50=1,$D$25*(1-(ABS(INDEX($P$220:$P$223,MATCH(LEFT(FV220,FIND("·",FV220)-1),$K$220:$K$223,0))-(VALUE(MID(FV220,FIND("|",FV220)+1,FIND("-",FV220,FIND("|",FV220))-FIND("|",FV220)-1))-VALUE(MID(FV220,FIND("-",FV220,FIND("|",FV220))+1,10)))))*$D$50),$D$25*(1-(IF(INDEX($L$220:$L$223,MATCH(LEFT(FV220,FIND("·",FV220)-1),$K$220:$K$223,0))=0,ABS(INDEX($N$220:$N$223,MATCH(LEFT(FV220,FIND("·",FV220)-1),$K$220:$K$223,0))-VALUE(MID(FV220,FIND("|",FV220)+1,FIND("-",FV220,FIND("|",FV220))-FIND("|",FV220)-1))),ABS(INDEX($P$220:$P$223,MATCH(LEFT(FV220,FIND("·",FV220)-1),$K$220:$K$223,0))-(VALUE(MID(FV220,FIND("|",FV220)+1,FIND("-",FV220,FIND("|",FV220))-FIND("|",FV220)-1))-VALUE(MID(FV220,FIND("-",FV220,FIND("|",FV220))+1,10)))))*$D$50)))))*INDEX($I$220:$I$223,MATCH(LEFT(FV220,FIND("·",FV220)-1),$K$220:$K$223,0)),0),0),0)+IFERROR(IF(COUNTIF($C$220:$C$223,LEFT(FV220,FIND("·",FV220)-1))&gt;0,IF(INDEX($D$220:$D$223,MATCH(LEFT(FV220,FIND("·",FV220)-1),$C$220:$C$223,0))=IFERROR(VALUE(MID(FV220,FIND("·",FV220)+1,1)),0),($D$24+(INDEX($E$220:$E$223,MATCH(LEFT(FV220,FIND("·",FV220)-1),$C$220:$C$223,0))=MID(FV220,FIND("|",FV220)+1,10))*$D$26+MAX(0,IF($D$50=1,$D$25*(1-(ABS(INDEX($Q$220:$Q$223,MATCH(LEFT(FV220,FIND("·",FV220)-1),$C$220:$C$223,0))-(VALUE(MID(FV220,FIND("|",FV220)+1,FIND("-",FV220,FIND("|",FV220))-FIND("|",FV220)-1))-VALUE(MID(FV220,FIND("-",FV220,FIND("|",FV220))+1,10)))))*$D$50),$D$25*(1-(IF(INDEX($D$220:$D$223,MATCH(LEFT(FV220,FIND("·",FV220)-1),$C$220:$C$223,0))=0,ABS(INDEX($A$220:$A$223,MATCH(LEFT(FV220,FIND("·",FV220)-1),$C$220:$C$223,0))-VALUE(MID(FV220,FIND("|",FV220)+1,FIND("-",FV220,FIND("|",FV220))-FIND("|",FV220)-1))),ABS(INDEX($Q$220:$Q$223,MATCH(LEFT(FV220,FIND("·",FV220)-1),$C$220:$C$223,0))-(VALUE(MID(FV220,FIND("|",FV220)+1,FIND("-",FV220,FIND("|",FV220))-FIND("|",FV220)-1))-VALUE(MID(FV220,FIND("-",FV220,FIND("|",FV220))+1,10)))))*$D$50)))))*INDEX($I$220:$I$223,MATCH(LEFT(FV220,FIND("·",FV220)-1),$C$220:$C$223,0)),0),0),0)</f>
        <v>0</v>
      </c>
      <c r="FX220" s="110"/>
      <c r="FY220" s="76" t="s">
        <v>2093</v>
      </c>
      <c r="FZ220" s="77">
        <f t="shared" ref="FZ220" ca="1" si="2210">IFERROR(IF(COUNTIF($K$220:$K$223,LEFT(FY220,FIND("·",FY220)-1))&gt;0,IF(INDEX($L$220:$L$223,MATCH(LEFT(FY220,FIND("·",FY220)-1),$K$220:$K$223,0))=IFERROR(VALUE(MID(FY220,FIND("·",FY220)+1,1)),0),($D$24+(INDEX($M$220:$M$223,MATCH(LEFT(FY220,FIND("·",FY220)-1),$K$220:$K$223,0))=MID(FY220,FIND("|",FY220)+1,10))*$D$26+MAX(0,IF($D$50=1,$D$25*(1-(ABS(INDEX($P$220:$P$223,MATCH(LEFT(FY220,FIND("·",FY220)-1),$K$220:$K$223,0))-(VALUE(MID(FY220,FIND("|",FY220)+1,FIND("-",FY220,FIND("|",FY220))-FIND("|",FY220)-1))-VALUE(MID(FY220,FIND("-",FY220,FIND("|",FY220))+1,10)))))*$D$50),$D$25*(1-(IF(INDEX($L$220:$L$223,MATCH(LEFT(FY220,FIND("·",FY220)-1),$K$220:$K$223,0))=0,ABS(INDEX($N$220:$N$223,MATCH(LEFT(FY220,FIND("·",FY220)-1),$K$220:$K$223,0))-VALUE(MID(FY220,FIND("|",FY220)+1,FIND("-",FY220,FIND("|",FY220))-FIND("|",FY220)-1))),ABS(INDEX($P$220:$P$223,MATCH(LEFT(FY220,FIND("·",FY220)-1),$K$220:$K$223,0))-(VALUE(MID(FY220,FIND("|",FY220)+1,FIND("-",FY220,FIND("|",FY220))-FIND("|",FY220)-1))-VALUE(MID(FY220,FIND("-",FY220,FIND("|",FY220))+1,10)))))*$D$50)))))*INDEX($I$220:$I$223,MATCH(LEFT(FY220,FIND("·",FY220)-1),$K$220:$K$223,0)),0),0),0)+IFERROR(IF(COUNTIF($C$220:$C$223,LEFT(FY220,FIND("·",FY220)-1))&gt;0,IF(INDEX($D$220:$D$223,MATCH(LEFT(FY220,FIND("·",FY220)-1),$C$220:$C$223,0))=IFERROR(VALUE(MID(FY220,FIND("·",FY220)+1,1)),0),($D$24+(INDEX($E$220:$E$223,MATCH(LEFT(FY220,FIND("·",FY220)-1),$C$220:$C$223,0))=MID(FY220,FIND("|",FY220)+1,10))*$D$26+MAX(0,IF($D$50=1,$D$25*(1-(ABS(INDEX($Q$220:$Q$223,MATCH(LEFT(FY220,FIND("·",FY220)-1),$C$220:$C$223,0))-(VALUE(MID(FY220,FIND("|",FY220)+1,FIND("-",FY220,FIND("|",FY220))-FIND("|",FY220)-1))-VALUE(MID(FY220,FIND("-",FY220,FIND("|",FY220))+1,10)))))*$D$50),$D$25*(1-(IF(INDEX($D$220:$D$223,MATCH(LEFT(FY220,FIND("·",FY220)-1),$C$220:$C$223,0))=0,ABS(INDEX($A$220:$A$223,MATCH(LEFT(FY220,FIND("·",FY220)-1),$C$220:$C$223,0))-VALUE(MID(FY220,FIND("|",FY220)+1,FIND("-",FY220,FIND("|",FY220))-FIND("|",FY220)-1))),ABS(INDEX($Q$220:$Q$223,MATCH(LEFT(FY220,FIND("·",FY220)-1),$C$220:$C$223,0))-(VALUE(MID(FY220,FIND("|",FY220)+1,FIND("-",FY220,FIND("|",FY220))-FIND("|",FY220)-1))-VALUE(MID(FY220,FIND("-",FY220,FIND("|",FY220))+1,10)))))*$D$50)))))*INDEX($I$220:$I$223,MATCH(LEFT(FY220,FIND("·",FY220)-1),$C$220:$C$223,0)),0),0),0)</f>
        <v>0</v>
      </c>
      <c r="GA220" s="110"/>
      <c r="GB220" s="76" t="s">
        <v>2475</v>
      </c>
      <c r="GC220" s="77">
        <f t="shared" ref="GC220" ca="1" si="2211">IFERROR(IF(COUNTIF($K$220:$K$223,LEFT(GB220,FIND("·",GB220)-1))&gt;0,IF(INDEX($L$220:$L$223,MATCH(LEFT(GB220,FIND("·",GB220)-1),$K$220:$K$223,0))=IFERROR(VALUE(MID(GB220,FIND("·",GB220)+1,1)),0),($D$24+(INDEX($M$220:$M$223,MATCH(LEFT(GB220,FIND("·",GB220)-1),$K$220:$K$223,0))=MID(GB220,FIND("|",GB220)+1,10))*$D$26+MAX(0,IF($D$50=1,$D$25*(1-(ABS(INDEX($P$220:$P$223,MATCH(LEFT(GB220,FIND("·",GB220)-1),$K$220:$K$223,0))-(VALUE(MID(GB220,FIND("|",GB220)+1,FIND("-",GB220,FIND("|",GB220))-FIND("|",GB220)-1))-VALUE(MID(GB220,FIND("-",GB220,FIND("|",GB220))+1,10)))))*$D$50),$D$25*(1-(IF(INDEX($L$220:$L$223,MATCH(LEFT(GB220,FIND("·",GB220)-1),$K$220:$K$223,0))=0,ABS(INDEX($N$220:$N$223,MATCH(LEFT(GB220,FIND("·",GB220)-1),$K$220:$K$223,0))-VALUE(MID(GB220,FIND("|",GB220)+1,FIND("-",GB220,FIND("|",GB220))-FIND("|",GB220)-1))),ABS(INDEX($P$220:$P$223,MATCH(LEFT(GB220,FIND("·",GB220)-1),$K$220:$K$223,0))-(VALUE(MID(GB220,FIND("|",GB220)+1,FIND("-",GB220,FIND("|",GB220))-FIND("|",GB220)-1))-VALUE(MID(GB220,FIND("-",GB220,FIND("|",GB220))+1,10)))))*$D$50)))))*INDEX($I$220:$I$223,MATCH(LEFT(GB220,FIND("·",GB220)-1),$K$220:$K$223,0)),0),0),0)+IFERROR(IF(COUNTIF($C$220:$C$223,LEFT(GB220,FIND("·",GB220)-1))&gt;0,IF(INDEX($D$220:$D$223,MATCH(LEFT(GB220,FIND("·",GB220)-1),$C$220:$C$223,0))=IFERROR(VALUE(MID(GB220,FIND("·",GB220)+1,1)),0),($D$24+(INDEX($E$220:$E$223,MATCH(LEFT(GB220,FIND("·",GB220)-1),$C$220:$C$223,0))=MID(GB220,FIND("|",GB220)+1,10))*$D$26+MAX(0,IF($D$50=1,$D$25*(1-(ABS(INDEX($Q$220:$Q$223,MATCH(LEFT(GB220,FIND("·",GB220)-1),$C$220:$C$223,0))-(VALUE(MID(GB220,FIND("|",GB220)+1,FIND("-",GB220,FIND("|",GB220))-FIND("|",GB220)-1))-VALUE(MID(GB220,FIND("-",GB220,FIND("|",GB220))+1,10)))))*$D$50),$D$25*(1-(IF(INDEX($D$220:$D$223,MATCH(LEFT(GB220,FIND("·",GB220)-1),$C$220:$C$223,0))=0,ABS(INDEX($A$220:$A$223,MATCH(LEFT(GB220,FIND("·",GB220)-1),$C$220:$C$223,0))-VALUE(MID(GB220,FIND("|",GB220)+1,FIND("-",GB220,FIND("|",GB220))-FIND("|",GB220)-1))),ABS(INDEX($Q$220:$Q$223,MATCH(LEFT(GB220,FIND("·",GB220)-1),$C$220:$C$223,0))-(VALUE(MID(GB220,FIND("|",GB220)+1,FIND("-",GB220,FIND("|",GB220))-FIND("|",GB220)-1))-VALUE(MID(GB220,FIND("-",GB220,FIND("|",GB220))+1,10)))))*$D$50)))))*INDEX($I$220:$I$223,MATCH(LEFT(GB220,FIND("·",GB220)-1),$C$220:$C$223,0)),0),0),0)</f>
        <v>0</v>
      </c>
      <c r="GD220" s="110"/>
      <c r="GE220" s="76" t="s">
        <v>2241</v>
      </c>
      <c r="GF220" s="77">
        <f t="shared" ref="GF220" ca="1" si="2212">IFERROR(IF(COUNTIF($K$220:$K$223,LEFT(GE220,FIND("·",GE220)-1))&gt;0,IF(INDEX($L$220:$L$223,MATCH(LEFT(GE220,FIND("·",GE220)-1),$K$220:$K$223,0))=IFERROR(VALUE(MID(GE220,FIND("·",GE220)+1,1)),0),($D$24+(INDEX($M$220:$M$223,MATCH(LEFT(GE220,FIND("·",GE220)-1),$K$220:$K$223,0))=MID(GE220,FIND("|",GE220)+1,10))*$D$26+MAX(0,IF($D$50=1,$D$25*(1-(ABS(INDEX($P$220:$P$223,MATCH(LEFT(GE220,FIND("·",GE220)-1),$K$220:$K$223,0))-(VALUE(MID(GE220,FIND("|",GE220)+1,FIND("-",GE220,FIND("|",GE220))-FIND("|",GE220)-1))-VALUE(MID(GE220,FIND("-",GE220,FIND("|",GE220))+1,10)))))*$D$50),$D$25*(1-(IF(INDEX($L$220:$L$223,MATCH(LEFT(GE220,FIND("·",GE220)-1),$K$220:$K$223,0))=0,ABS(INDEX($N$220:$N$223,MATCH(LEFT(GE220,FIND("·",GE220)-1),$K$220:$K$223,0))-VALUE(MID(GE220,FIND("|",GE220)+1,FIND("-",GE220,FIND("|",GE220))-FIND("|",GE220)-1))),ABS(INDEX($P$220:$P$223,MATCH(LEFT(GE220,FIND("·",GE220)-1),$K$220:$K$223,0))-(VALUE(MID(GE220,FIND("|",GE220)+1,FIND("-",GE220,FIND("|",GE220))-FIND("|",GE220)-1))-VALUE(MID(GE220,FIND("-",GE220,FIND("|",GE220))+1,10)))))*$D$50)))))*INDEX($I$220:$I$223,MATCH(LEFT(GE220,FIND("·",GE220)-1),$K$220:$K$223,0)),0),0),0)+IFERROR(IF(COUNTIF($C$220:$C$223,LEFT(GE220,FIND("·",GE220)-1))&gt;0,IF(INDEX($D$220:$D$223,MATCH(LEFT(GE220,FIND("·",GE220)-1),$C$220:$C$223,0))=IFERROR(VALUE(MID(GE220,FIND("·",GE220)+1,1)),0),($D$24+(INDEX($E$220:$E$223,MATCH(LEFT(GE220,FIND("·",GE220)-1),$C$220:$C$223,0))=MID(GE220,FIND("|",GE220)+1,10))*$D$26+MAX(0,IF($D$50=1,$D$25*(1-(ABS(INDEX($Q$220:$Q$223,MATCH(LEFT(GE220,FIND("·",GE220)-1),$C$220:$C$223,0))-(VALUE(MID(GE220,FIND("|",GE220)+1,FIND("-",GE220,FIND("|",GE220))-FIND("|",GE220)-1))-VALUE(MID(GE220,FIND("-",GE220,FIND("|",GE220))+1,10)))))*$D$50),$D$25*(1-(IF(INDEX($D$220:$D$223,MATCH(LEFT(GE220,FIND("·",GE220)-1),$C$220:$C$223,0))=0,ABS(INDEX($A$220:$A$223,MATCH(LEFT(GE220,FIND("·",GE220)-1),$C$220:$C$223,0))-VALUE(MID(GE220,FIND("|",GE220)+1,FIND("-",GE220,FIND("|",GE220))-FIND("|",GE220)-1))),ABS(INDEX($Q$220:$Q$223,MATCH(LEFT(GE220,FIND("·",GE220)-1),$C$220:$C$223,0))-(VALUE(MID(GE220,FIND("|",GE220)+1,FIND("-",GE220,FIND("|",GE220))-FIND("|",GE220)-1))-VALUE(MID(GE220,FIND("-",GE220,FIND("|",GE220))+1,10)))))*$D$50)))))*INDEX($I$220:$I$223,MATCH(LEFT(GE220,FIND("·",GE220)-1),$C$220:$C$223,0)),0),0),0)</f>
        <v>0</v>
      </c>
      <c r="GG220" s="110"/>
      <c r="GH220" s="76" t="s">
        <v>2093</v>
      </c>
      <c r="GI220" s="77">
        <f t="shared" ref="GI220" ca="1" si="2213">IFERROR(IF(COUNTIF($K$220:$K$223,LEFT(GH220,FIND("·",GH220)-1))&gt;0,IF(INDEX($L$220:$L$223,MATCH(LEFT(GH220,FIND("·",GH220)-1),$K$220:$K$223,0))=IFERROR(VALUE(MID(GH220,FIND("·",GH220)+1,1)),0),($D$24+(INDEX($M$220:$M$223,MATCH(LEFT(GH220,FIND("·",GH220)-1),$K$220:$K$223,0))=MID(GH220,FIND("|",GH220)+1,10))*$D$26+MAX(0,IF($D$50=1,$D$25*(1-(ABS(INDEX($P$220:$P$223,MATCH(LEFT(GH220,FIND("·",GH220)-1),$K$220:$K$223,0))-(VALUE(MID(GH220,FIND("|",GH220)+1,FIND("-",GH220,FIND("|",GH220))-FIND("|",GH220)-1))-VALUE(MID(GH220,FIND("-",GH220,FIND("|",GH220))+1,10)))))*$D$50),$D$25*(1-(IF(INDEX($L$220:$L$223,MATCH(LEFT(GH220,FIND("·",GH220)-1),$K$220:$K$223,0))=0,ABS(INDEX($N$220:$N$223,MATCH(LEFT(GH220,FIND("·",GH220)-1),$K$220:$K$223,0))-VALUE(MID(GH220,FIND("|",GH220)+1,FIND("-",GH220,FIND("|",GH220))-FIND("|",GH220)-1))),ABS(INDEX($P$220:$P$223,MATCH(LEFT(GH220,FIND("·",GH220)-1),$K$220:$K$223,0))-(VALUE(MID(GH220,FIND("|",GH220)+1,FIND("-",GH220,FIND("|",GH220))-FIND("|",GH220)-1))-VALUE(MID(GH220,FIND("-",GH220,FIND("|",GH220))+1,10)))))*$D$50)))))*INDEX($I$220:$I$223,MATCH(LEFT(GH220,FIND("·",GH220)-1),$K$220:$K$223,0)),0),0),0)+IFERROR(IF(COUNTIF($C$220:$C$223,LEFT(GH220,FIND("·",GH220)-1))&gt;0,IF(INDEX($D$220:$D$223,MATCH(LEFT(GH220,FIND("·",GH220)-1),$C$220:$C$223,0))=IFERROR(VALUE(MID(GH220,FIND("·",GH220)+1,1)),0),($D$24+(INDEX($E$220:$E$223,MATCH(LEFT(GH220,FIND("·",GH220)-1),$C$220:$C$223,0))=MID(GH220,FIND("|",GH220)+1,10))*$D$26+MAX(0,IF($D$50=1,$D$25*(1-(ABS(INDEX($Q$220:$Q$223,MATCH(LEFT(GH220,FIND("·",GH220)-1),$C$220:$C$223,0))-(VALUE(MID(GH220,FIND("|",GH220)+1,FIND("-",GH220,FIND("|",GH220))-FIND("|",GH220)-1))-VALUE(MID(GH220,FIND("-",GH220,FIND("|",GH220))+1,10)))))*$D$50),$D$25*(1-(IF(INDEX($D$220:$D$223,MATCH(LEFT(GH220,FIND("·",GH220)-1),$C$220:$C$223,0))=0,ABS(INDEX($A$220:$A$223,MATCH(LEFT(GH220,FIND("·",GH220)-1),$C$220:$C$223,0))-VALUE(MID(GH220,FIND("|",GH220)+1,FIND("-",GH220,FIND("|",GH220))-FIND("|",GH220)-1))),ABS(INDEX($Q$220:$Q$223,MATCH(LEFT(GH220,FIND("·",GH220)-1),$C$220:$C$223,0))-(VALUE(MID(GH220,FIND("|",GH220)+1,FIND("-",GH220,FIND("|",GH220))-FIND("|",GH220)-1))-VALUE(MID(GH220,FIND("-",GH220,FIND("|",GH220))+1,10)))))*$D$50)))))*INDEX($I$220:$I$223,MATCH(LEFT(GH220,FIND("·",GH220)-1),$C$220:$C$223,0)),0),0),0)</f>
        <v>0</v>
      </c>
      <c r="GJ220" s="110"/>
      <c r="GK220" s="76" t="s">
        <v>3063</v>
      </c>
      <c r="GL220" s="77">
        <f t="shared" ref="GL220" ca="1" si="2214">IFERROR(IF(COUNTIF($K$220:$K$223,LEFT(GK220,FIND("·",GK220)-1))&gt;0,IF(INDEX($L$220:$L$223,MATCH(LEFT(GK220,FIND("·",GK220)-1),$K$220:$K$223,0))=IFERROR(VALUE(MID(GK220,FIND("·",GK220)+1,1)),0),($D$24+(INDEX($M$220:$M$223,MATCH(LEFT(GK220,FIND("·",GK220)-1),$K$220:$K$223,0))=MID(GK220,FIND("|",GK220)+1,10))*$D$26+MAX(0,IF($D$50=1,$D$25*(1-(ABS(INDEX($P$220:$P$223,MATCH(LEFT(GK220,FIND("·",GK220)-1),$K$220:$K$223,0))-(VALUE(MID(GK220,FIND("|",GK220)+1,FIND("-",GK220,FIND("|",GK220))-FIND("|",GK220)-1))-VALUE(MID(GK220,FIND("-",GK220,FIND("|",GK220))+1,10)))))*$D$50),$D$25*(1-(IF(INDEX($L$220:$L$223,MATCH(LEFT(GK220,FIND("·",GK220)-1),$K$220:$K$223,0))=0,ABS(INDEX($N$220:$N$223,MATCH(LEFT(GK220,FIND("·",GK220)-1),$K$220:$K$223,0))-VALUE(MID(GK220,FIND("|",GK220)+1,FIND("-",GK220,FIND("|",GK220))-FIND("|",GK220)-1))),ABS(INDEX($P$220:$P$223,MATCH(LEFT(GK220,FIND("·",GK220)-1),$K$220:$K$223,0))-(VALUE(MID(GK220,FIND("|",GK220)+1,FIND("-",GK220,FIND("|",GK220))-FIND("|",GK220)-1))-VALUE(MID(GK220,FIND("-",GK220,FIND("|",GK220))+1,10)))))*$D$50)))))*INDEX($I$220:$I$223,MATCH(LEFT(GK220,FIND("·",GK220)-1),$K$220:$K$223,0)),0),0),0)+IFERROR(IF(COUNTIF($C$220:$C$223,LEFT(GK220,FIND("·",GK220)-1))&gt;0,IF(INDEX($D$220:$D$223,MATCH(LEFT(GK220,FIND("·",GK220)-1),$C$220:$C$223,0))=IFERROR(VALUE(MID(GK220,FIND("·",GK220)+1,1)),0),($D$24+(INDEX($E$220:$E$223,MATCH(LEFT(GK220,FIND("·",GK220)-1),$C$220:$C$223,0))=MID(GK220,FIND("|",GK220)+1,10))*$D$26+MAX(0,IF($D$50=1,$D$25*(1-(ABS(INDEX($Q$220:$Q$223,MATCH(LEFT(GK220,FIND("·",GK220)-1),$C$220:$C$223,0))-(VALUE(MID(GK220,FIND("|",GK220)+1,FIND("-",GK220,FIND("|",GK220))-FIND("|",GK220)-1))-VALUE(MID(GK220,FIND("-",GK220,FIND("|",GK220))+1,10)))))*$D$50),$D$25*(1-(IF(INDEX($D$220:$D$223,MATCH(LEFT(GK220,FIND("·",GK220)-1),$C$220:$C$223,0))=0,ABS(INDEX($A$220:$A$223,MATCH(LEFT(GK220,FIND("·",GK220)-1),$C$220:$C$223,0))-VALUE(MID(GK220,FIND("|",GK220)+1,FIND("-",GK220,FIND("|",GK220))-FIND("|",GK220)-1))),ABS(INDEX($Q$220:$Q$223,MATCH(LEFT(GK220,FIND("·",GK220)-1),$C$220:$C$223,0))-(VALUE(MID(GK220,FIND("|",GK220)+1,FIND("-",GK220,FIND("|",GK220))-FIND("|",GK220)-1))-VALUE(MID(GK220,FIND("-",GK220,FIND("|",GK220))+1,10)))))*$D$50)))))*INDEX($I$220:$I$223,MATCH(LEFT(GK220,FIND("·",GK220)-1),$C$220:$C$223,0)),0),0),0)</f>
        <v>0</v>
      </c>
      <c r="GM220" s="110"/>
      <c r="GN220" s="76" t="str">
        <f>Idiomas!$D$369</f>
        <v>Paste Values Quarterfinals</v>
      </c>
      <c r="GO220" s="77">
        <f t="shared" ref="GO220" ca="1" si="2215">IFERROR(IF(COUNTIF($K$220:$K$223,LEFT(GN220,FIND("·",GN220)-1))&gt;0,IF(INDEX($L$220:$L$223,MATCH(LEFT(GN220,FIND("·",GN220)-1),$K$220:$K$223,0))=IFERROR(VALUE(MID(GN220,FIND("·",GN220)+1,1)),0),($D$24+(INDEX($M$220:$M$223,MATCH(LEFT(GN220,FIND("·",GN220)-1),$K$220:$K$223,0))=MID(GN220,FIND("|",GN220)+1,10))*$D$26+MAX(0,IF($D$50=1,$D$25*(1-(ABS(INDEX($P$220:$P$223,MATCH(LEFT(GN220,FIND("·",GN220)-1),$K$220:$K$223,0))-(VALUE(MID(GN220,FIND("|",GN220)+1,FIND("-",GN220,FIND("|",GN220))-FIND("|",GN220)-1))-VALUE(MID(GN220,FIND("-",GN220,FIND("|",GN220))+1,10)))))*$D$50),$D$25*(1-(IF(INDEX($L$220:$L$223,MATCH(LEFT(GN220,FIND("·",GN220)-1),$K$220:$K$223,0))=0,ABS(INDEX($N$220:$N$223,MATCH(LEFT(GN220,FIND("·",GN220)-1),$K$220:$K$223,0))-VALUE(MID(GN220,FIND("|",GN220)+1,FIND("-",GN220,FIND("|",GN220))-FIND("|",GN220)-1))),ABS(INDEX($P$220:$P$223,MATCH(LEFT(GN220,FIND("·",GN220)-1),$K$220:$K$223,0))-(VALUE(MID(GN220,FIND("|",GN220)+1,FIND("-",GN220,FIND("|",GN220))-FIND("|",GN220)-1))-VALUE(MID(GN220,FIND("-",GN220,FIND("|",GN220))+1,10)))))*$D$50)))))*INDEX($I$220:$I$223,MATCH(LEFT(GN220,FIND("·",GN220)-1),$K$220:$K$223,0)),0),0),0)+IFERROR(IF(COUNTIF($C$220:$C$223,LEFT(GN220,FIND("·",GN220)-1))&gt;0,IF(INDEX($D$220:$D$223,MATCH(LEFT(GN220,FIND("·",GN220)-1),$C$220:$C$223,0))=IFERROR(VALUE(MID(GN220,FIND("·",GN220)+1,1)),0),($D$24+(INDEX($E$220:$E$223,MATCH(LEFT(GN220,FIND("·",GN220)-1),$C$220:$C$223,0))=MID(GN220,FIND("|",GN220)+1,10))*$D$26+MAX(0,IF($D$50=1,$D$25*(1-(ABS(INDEX($Q$220:$Q$223,MATCH(LEFT(GN220,FIND("·",GN220)-1),$C$220:$C$223,0))-(VALUE(MID(GN220,FIND("|",GN220)+1,FIND("-",GN220,FIND("|",GN220))-FIND("|",GN220)-1))-VALUE(MID(GN220,FIND("-",GN220,FIND("|",GN220))+1,10)))))*$D$50),$D$25*(1-(IF(INDEX($D$220:$D$223,MATCH(LEFT(GN220,FIND("·",GN220)-1),$C$220:$C$223,0))=0,ABS(INDEX($A$220:$A$223,MATCH(LEFT(GN220,FIND("·",GN220)-1),$C$220:$C$223,0))-VALUE(MID(GN220,FIND("|",GN220)+1,FIND("-",GN220,FIND("|",GN220))-FIND("|",GN220)-1))),ABS(INDEX($Q$220:$Q$223,MATCH(LEFT(GN220,FIND("·",GN220)-1),$C$220:$C$223,0))-(VALUE(MID(GN220,FIND("|",GN220)+1,FIND("-",GN220,FIND("|",GN220))-FIND("|",GN220)-1))-VALUE(MID(GN220,FIND("-",GN220,FIND("|",GN220))+1,10)))))*$D$50)))))*INDEX($I$220:$I$223,MATCH(LEFT(GN220,FIND("·",GN220)-1),$C$220:$C$223,0)),0),0),0)</f>
        <v>0</v>
      </c>
      <c r="GP220" s="110"/>
      <c r="GQ220" s="76" t="str">
        <f>Idiomas!$D$369</f>
        <v>Paste Values Quarterfinals</v>
      </c>
      <c r="GR220" s="77">
        <f t="shared" ref="GR220" ca="1" si="2216">IFERROR(IF(COUNTIF($K$220:$K$223,LEFT(GQ220,FIND("·",GQ220)-1))&gt;0,IF(INDEX($L$220:$L$223,MATCH(LEFT(GQ220,FIND("·",GQ220)-1),$K$220:$K$223,0))=IFERROR(VALUE(MID(GQ220,FIND("·",GQ220)+1,1)),0),($D$24+(INDEX($M$220:$M$223,MATCH(LEFT(GQ220,FIND("·",GQ220)-1),$K$220:$K$223,0))=MID(GQ220,FIND("|",GQ220)+1,10))*$D$26+MAX(0,IF($D$50=1,$D$25*(1-(ABS(INDEX($P$220:$P$223,MATCH(LEFT(GQ220,FIND("·",GQ220)-1),$K$220:$K$223,0))-(VALUE(MID(GQ220,FIND("|",GQ220)+1,FIND("-",GQ220,FIND("|",GQ220))-FIND("|",GQ220)-1))-VALUE(MID(GQ220,FIND("-",GQ220,FIND("|",GQ220))+1,10)))))*$D$50),$D$25*(1-(IF(INDEX($L$220:$L$223,MATCH(LEFT(GQ220,FIND("·",GQ220)-1),$K$220:$K$223,0))=0,ABS(INDEX($N$220:$N$223,MATCH(LEFT(GQ220,FIND("·",GQ220)-1),$K$220:$K$223,0))-VALUE(MID(GQ220,FIND("|",GQ220)+1,FIND("-",GQ220,FIND("|",GQ220))-FIND("|",GQ220)-1))),ABS(INDEX($P$220:$P$223,MATCH(LEFT(GQ220,FIND("·",GQ220)-1),$K$220:$K$223,0))-(VALUE(MID(GQ220,FIND("|",GQ220)+1,FIND("-",GQ220,FIND("|",GQ220))-FIND("|",GQ220)-1))-VALUE(MID(GQ220,FIND("-",GQ220,FIND("|",GQ220))+1,10)))))*$D$50)))))*INDEX($I$220:$I$223,MATCH(LEFT(GQ220,FIND("·",GQ220)-1),$K$220:$K$223,0)),0),0),0)+IFERROR(IF(COUNTIF($C$220:$C$223,LEFT(GQ220,FIND("·",GQ220)-1))&gt;0,IF(INDEX($D$220:$D$223,MATCH(LEFT(GQ220,FIND("·",GQ220)-1),$C$220:$C$223,0))=IFERROR(VALUE(MID(GQ220,FIND("·",GQ220)+1,1)),0),($D$24+(INDEX($E$220:$E$223,MATCH(LEFT(GQ220,FIND("·",GQ220)-1),$C$220:$C$223,0))=MID(GQ220,FIND("|",GQ220)+1,10))*$D$26+MAX(0,IF($D$50=1,$D$25*(1-(ABS(INDEX($Q$220:$Q$223,MATCH(LEFT(GQ220,FIND("·",GQ220)-1),$C$220:$C$223,0))-(VALUE(MID(GQ220,FIND("|",GQ220)+1,FIND("-",GQ220,FIND("|",GQ220))-FIND("|",GQ220)-1))-VALUE(MID(GQ220,FIND("-",GQ220,FIND("|",GQ220))+1,10)))))*$D$50),$D$25*(1-(IF(INDEX($D$220:$D$223,MATCH(LEFT(GQ220,FIND("·",GQ220)-1),$C$220:$C$223,0))=0,ABS(INDEX($A$220:$A$223,MATCH(LEFT(GQ220,FIND("·",GQ220)-1),$C$220:$C$223,0))-VALUE(MID(GQ220,FIND("|",GQ220)+1,FIND("-",GQ220,FIND("|",GQ220))-FIND("|",GQ220)-1))),ABS(INDEX($Q$220:$Q$223,MATCH(LEFT(GQ220,FIND("·",GQ220)-1),$C$220:$C$223,0))-(VALUE(MID(GQ220,FIND("|",GQ220)+1,FIND("-",GQ220,FIND("|",GQ220))-FIND("|",GQ220)-1))-VALUE(MID(GQ220,FIND("-",GQ220,FIND("|",GQ220))+1,10)))))*$D$50)))))*INDEX($I$220:$I$223,MATCH(LEFT(GQ220,FIND("·",GQ220)-1),$C$220:$C$223,0)),0),0),0)</f>
        <v>0</v>
      </c>
      <c r="GS220" s="110"/>
      <c r="GT220" s="76" t="str">
        <f>Idiomas!$D$369</f>
        <v>Paste Values Quarterfinals</v>
      </c>
      <c r="GU220" s="77">
        <f t="shared" ref="GU220" ca="1" si="2217">IFERROR(IF(COUNTIF($K$220:$K$223,LEFT(GT220,FIND("·",GT220)-1))&gt;0,IF(INDEX($L$220:$L$223,MATCH(LEFT(GT220,FIND("·",GT220)-1),$K$220:$K$223,0))=IFERROR(VALUE(MID(GT220,FIND("·",GT220)+1,1)),0),($D$24+(INDEX($M$220:$M$223,MATCH(LEFT(GT220,FIND("·",GT220)-1),$K$220:$K$223,0))=MID(GT220,FIND("|",GT220)+1,10))*$D$26+MAX(0,IF($D$50=1,$D$25*(1-(ABS(INDEX($P$220:$P$223,MATCH(LEFT(GT220,FIND("·",GT220)-1),$K$220:$K$223,0))-(VALUE(MID(GT220,FIND("|",GT220)+1,FIND("-",GT220,FIND("|",GT220))-FIND("|",GT220)-1))-VALUE(MID(GT220,FIND("-",GT220,FIND("|",GT220))+1,10)))))*$D$50),$D$25*(1-(IF(INDEX($L$220:$L$223,MATCH(LEFT(GT220,FIND("·",GT220)-1),$K$220:$K$223,0))=0,ABS(INDEX($N$220:$N$223,MATCH(LEFT(GT220,FIND("·",GT220)-1),$K$220:$K$223,0))-VALUE(MID(GT220,FIND("|",GT220)+1,FIND("-",GT220,FIND("|",GT220))-FIND("|",GT220)-1))),ABS(INDEX($P$220:$P$223,MATCH(LEFT(GT220,FIND("·",GT220)-1),$K$220:$K$223,0))-(VALUE(MID(GT220,FIND("|",GT220)+1,FIND("-",GT220,FIND("|",GT220))-FIND("|",GT220)-1))-VALUE(MID(GT220,FIND("-",GT220,FIND("|",GT220))+1,10)))))*$D$50)))))*INDEX($I$220:$I$223,MATCH(LEFT(GT220,FIND("·",GT220)-1),$K$220:$K$223,0)),0),0),0)+IFERROR(IF(COUNTIF($C$220:$C$223,LEFT(GT220,FIND("·",GT220)-1))&gt;0,IF(INDEX($D$220:$D$223,MATCH(LEFT(GT220,FIND("·",GT220)-1),$C$220:$C$223,0))=IFERROR(VALUE(MID(GT220,FIND("·",GT220)+1,1)),0),($D$24+(INDEX($E$220:$E$223,MATCH(LEFT(GT220,FIND("·",GT220)-1),$C$220:$C$223,0))=MID(GT220,FIND("|",GT220)+1,10))*$D$26+MAX(0,IF($D$50=1,$D$25*(1-(ABS(INDEX($Q$220:$Q$223,MATCH(LEFT(GT220,FIND("·",GT220)-1),$C$220:$C$223,0))-(VALUE(MID(GT220,FIND("|",GT220)+1,FIND("-",GT220,FIND("|",GT220))-FIND("|",GT220)-1))-VALUE(MID(GT220,FIND("-",GT220,FIND("|",GT220))+1,10)))))*$D$50),$D$25*(1-(IF(INDEX($D$220:$D$223,MATCH(LEFT(GT220,FIND("·",GT220)-1),$C$220:$C$223,0))=0,ABS(INDEX($A$220:$A$223,MATCH(LEFT(GT220,FIND("·",GT220)-1),$C$220:$C$223,0))-VALUE(MID(GT220,FIND("|",GT220)+1,FIND("-",GT220,FIND("|",GT220))-FIND("|",GT220)-1))),ABS(INDEX($Q$220:$Q$223,MATCH(LEFT(GT220,FIND("·",GT220)-1),$C$220:$C$223,0))-(VALUE(MID(GT220,FIND("|",GT220)+1,FIND("-",GT220,FIND("|",GT220))-FIND("|",GT220)-1))-VALUE(MID(GT220,FIND("-",GT220,FIND("|",GT220))+1,10)))))*$D$50)))))*INDEX($I$220:$I$223,MATCH(LEFT(GT220,FIND("·",GT220)-1),$C$220:$C$223,0)),0),0),0)</f>
        <v>0</v>
      </c>
      <c r="GV220" s="110"/>
      <c r="GW220" s="76" t="str">
        <f>Idiomas!$D$369</f>
        <v>Paste Values Quarterfinals</v>
      </c>
      <c r="GX220" s="77">
        <f t="shared" ref="GX220" ca="1" si="2218">IFERROR(IF(COUNTIF($K$220:$K$223,LEFT(GW220,FIND("·",GW220)-1))&gt;0,IF(INDEX($L$220:$L$223,MATCH(LEFT(GW220,FIND("·",GW220)-1),$K$220:$K$223,0))=IFERROR(VALUE(MID(GW220,FIND("·",GW220)+1,1)),0),($D$24+(INDEX($M$220:$M$223,MATCH(LEFT(GW220,FIND("·",GW220)-1),$K$220:$K$223,0))=MID(GW220,FIND("|",GW220)+1,10))*$D$26+MAX(0,IF($D$50=1,$D$25*(1-(ABS(INDEX($P$220:$P$223,MATCH(LEFT(GW220,FIND("·",GW220)-1),$K$220:$K$223,0))-(VALUE(MID(GW220,FIND("|",GW220)+1,FIND("-",GW220,FIND("|",GW220))-FIND("|",GW220)-1))-VALUE(MID(GW220,FIND("-",GW220,FIND("|",GW220))+1,10)))))*$D$50),$D$25*(1-(IF(INDEX($L$220:$L$223,MATCH(LEFT(GW220,FIND("·",GW220)-1),$K$220:$K$223,0))=0,ABS(INDEX($N$220:$N$223,MATCH(LEFT(GW220,FIND("·",GW220)-1),$K$220:$K$223,0))-VALUE(MID(GW220,FIND("|",GW220)+1,FIND("-",GW220,FIND("|",GW220))-FIND("|",GW220)-1))),ABS(INDEX($P$220:$P$223,MATCH(LEFT(GW220,FIND("·",GW220)-1),$K$220:$K$223,0))-(VALUE(MID(GW220,FIND("|",GW220)+1,FIND("-",GW220,FIND("|",GW220))-FIND("|",GW220)-1))-VALUE(MID(GW220,FIND("-",GW220,FIND("|",GW220))+1,10)))))*$D$50)))))*INDEX($I$220:$I$223,MATCH(LEFT(GW220,FIND("·",GW220)-1),$K$220:$K$223,0)),0),0),0)+IFERROR(IF(COUNTIF($C$220:$C$223,LEFT(GW220,FIND("·",GW220)-1))&gt;0,IF(INDEX($D$220:$D$223,MATCH(LEFT(GW220,FIND("·",GW220)-1),$C$220:$C$223,0))=IFERROR(VALUE(MID(GW220,FIND("·",GW220)+1,1)),0),($D$24+(INDEX($E$220:$E$223,MATCH(LEFT(GW220,FIND("·",GW220)-1),$C$220:$C$223,0))=MID(GW220,FIND("|",GW220)+1,10))*$D$26+MAX(0,IF($D$50=1,$D$25*(1-(ABS(INDEX($Q$220:$Q$223,MATCH(LEFT(GW220,FIND("·",GW220)-1),$C$220:$C$223,0))-(VALUE(MID(GW220,FIND("|",GW220)+1,FIND("-",GW220,FIND("|",GW220))-FIND("|",GW220)-1))-VALUE(MID(GW220,FIND("-",GW220,FIND("|",GW220))+1,10)))))*$D$50),$D$25*(1-(IF(INDEX($D$220:$D$223,MATCH(LEFT(GW220,FIND("·",GW220)-1),$C$220:$C$223,0))=0,ABS(INDEX($A$220:$A$223,MATCH(LEFT(GW220,FIND("·",GW220)-1),$C$220:$C$223,0))-VALUE(MID(GW220,FIND("|",GW220)+1,FIND("-",GW220,FIND("|",GW220))-FIND("|",GW220)-1))),ABS(INDEX($Q$220:$Q$223,MATCH(LEFT(GW220,FIND("·",GW220)-1),$C$220:$C$223,0))-(VALUE(MID(GW220,FIND("|",GW220)+1,FIND("-",GW220,FIND("|",GW220))-FIND("|",GW220)-1))-VALUE(MID(GW220,FIND("-",GW220,FIND("|",GW220))+1,10)))))*$D$50)))))*INDEX($I$220:$I$223,MATCH(LEFT(GW220,FIND("·",GW220)-1),$C$220:$C$223,0)),0),0),0)</f>
        <v>0</v>
      </c>
      <c r="GY220" s="110"/>
      <c r="GZ220" s="76" t="str">
        <f>Idiomas!$D$369</f>
        <v>Paste Values Quarterfinals</v>
      </c>
      <c r="HA220" s="77">
        <f t="shared" ref="HA220" ca="1" si="2219">IFERROR(IF(COUNTIF($K$220:$K$223,LEFT(GZ220,FIND("·",GZ220)-1))&gt;0,IF(INDEX($L$220:$L$223,MATCH(LEFT(GZ220,FIND("·",GZ220)-1),$K$220:$K$223,0))=IFERROR(VALUE(MID(GZ220,FIND("·",GZ220)+1,1)),0),($D$24+(INDEX($M$220:$M$223,MATCH(LEFT(GZ220,FIND("·",GZ220)-1),$K$220:$K$223,0))=MID(GZ220,FIND("|",GZ220)+1,10))*$D$26+MAX(0,IF($D$50=1,$D$25*(1-(ABS(INDEX($P$220:$P$223,MATCH(LEFT(GZ220,FIND("·",GZ220)-1),$K$220:$K$223,0))-(VALUE(MID(GZ220,FIND("|",GZ220)+1,FIND("-",GZ220,FIND("|",GZ220))-FIND("|",GZ220)-1))-VALUE(MID(GZ220,FIND("-",GZ220,FIND("|",GZ220))+1,10)))))*$D$50),$D$25*(1-(IF(INDEX($L$220:$L$223,MATCH(LEFT(GZ220,FIND("·",GZ220)-1),$K$220:$K$223,0))=0,ABS(INDEX($N$220:$N$223,MATCH(LEFT(GZ220,FIND("·",GZ220)-1),$K$220:$K$223,0))-VALUE(MID(GZ220,FIND("|",GZ220)+1,FIND("-",GZ220,FIND("|",GZ220))-FIND("|",GZ220)-1))),ABS(INDEX($P$220:$P$223,MATCH(LEFT(GZ220,FIND("·",GZ220)-1),$K$220:$K$223,0))-(VALUE(MID(GZ220,FIND("|",GZ220)+1,FIND("-",GZ220,FIND("|",GZ220))-FIND("|",GZ220)-1))-VALUE(MID(GZ220,FIND("-",GZ220,FIND("|",GZ220))+1,10)))))*$D$50)))))*INDEX($I$220:$I$223,MATCH(LEFT(GZ220,FIND("·",GZ220)-1),$K$220:$K$223,0)),0),0),0)+IFERROR(IF(COUNTIF($C$220:$C$223,LEFT(GZ220,FIND("·",GZ220)-1))&gt;0,IF(INDEX($D$220:$D$223,MATCH(LEFT(GZ220,FIND("·",GZ220)-1),$C$220:$C$223,0))=IFERROR(VALUE(MID(GZ220,FIND("·",GZ220)+1,1)),0),($D$24+(INDEX($E$220:$E$223,MATCH(LEFT(GZ220,FIND("·",GZ220)-1),$C$220:$C$223,0))=MID(GZ220,FIND("|",GZ220)+1,10))*$D$26+MAX(0,IF($D$50=1,$D$25*(1-(ABS(INDEX($Q$220:$Q$223,MATCH(LEFT(GZ220,FIND("·",GZ220)-1),$C$220:$C$223,0))-(VALUE(MID(GZ220,FIND("|",GZ220)+1,FIND("-",GZ220,FIND("|",GZ220))-FIND("|",GZ220)-1))-VALUE(MID(GZ220,FIND("-",GZ220,FIND("|",GZ220))+1,10)))))*$D$50),$D$25*(1-(IF(INDEX($D$220:$D$223,MATCH(LEFT(GZ220,FIND("·",GZ220)-1),$C$220:$C$223,0))=0,ABS(INDEX($A$220:$A$223,MATCH(LEFT(GZ220,FIND("·",GZ220)-1),$C$220:$C$223,0))-VALUE(MID(GZ220,FIND("|",GZ220)+1,FIND("-",GZ220,FIND("|",GZ220))-FIND("|",GZ220)-1))),ABS(INDEX($Q$220:$Q$223,MATCH(LEFT(GZ220,FIND("·",GZ220)-1),$C$220:$C$223,0))-(VALUE(MID(GZ220,FIND("|",GZ220)+1,FIND("-",GZ220,FIND("|",GZ220))-FIND("|",GZ220)-1))-VALUE(MID(GZ220,FIND("-",GZ220,FIND("|",GZ220))+1,10)))))*$D$50)))))*INDEX($I$220:$I$223,MATCH(LEFT(GZ220,FIND("·",GZ220)-1),$C$220:$C$223,0)),0),0),0)</f>
        <v>0</v>
      </c>
      <c r="HB220" s="110"/>
      <c r="HC220" s="76" t="str">
        <f>Idiomas!$D$369</f>
        <v>Paste Values Quarterfinals</v>
      </c>
      <c r="HD220" s="77">
        <f t="shared" ref="HD220" ca="1" si="2220">IFERROR(IF(COUNTIF($K$220:$K$223,LEFT(HC220,FIND("·",HC220)-1))&gt;0,IF(INDEX($L$220:$L$223,MATCH(LEFT(HC220,FIND("·",HC220)-1),$K$220:$K$223,0))=IFERROR(VALUE(MID(HC220,FIND("·",HC220)+1,1)),0),($D$24+(INDEX($M$220:$M$223,MATCH(LEFT(HC220,FIND("·",HC220)-1),$K$220:$K$223,0))=MID(HC220,FIND("|",HC220)+1,10))*$D$26+MAX(0,IF($D$50=1,$D$25*(1-(ABS(INDEX($P$220:$P$223,MATCH(LEFT(HC220,FIND("·",HC220)-1),$K$220:$K$223,0))-(VALUE(MID(HC220,FIND("|",HC220)+1,FIND("-",HC220,FIND("|",HC220))-FIND("|",HC220)-1))-VALUE(MID(HC220,FIND("-",HC220,FIND("|",HC220))+1,10)))))*$D$50),$D$25*(1-(IF(INDEX($L$220:$L$223,MATCH(LEFT(HC220,FIND("·",HC220)-1),$K$220:$K$223,0))=0,ABS(INDEX($N$220:$N$223,MATCH(LEFT(HC220,FIND("·",HC220)-1),$K$220:$K$223,0))-VALUE(MID(HC220,FIND("|",HC220)+1,FIND("-",HC220,FIND("|",HC220))-FIND("|",HC220)-1))),ABS(INDEX($P$220:$P$223,MATCH(LEFT(HC220,FIND("·",HC220)-1),$K$220:$K$223,0))-(VALUE(MID(HC220,FIND("|",HC220)+1,FIND("-",HC220,FIND("|",HC220))-FIND("|",HC220)-1))-VALUE(MID(HC220,FIND("-",HC220,FIND("|",HC220))+1,10)))))*$D$50)))))*INDEX($I$220:$I$223,MATCH(LEFT(HC220,FIND("·",HC220)-1),$K$220:$K$223,0)),0),0),0)+IFERROR(IF(COUNTIF($C$220:$C$223,LEFT(HC220,FIND("·",HC220)-1))&gt;0,IF(INDEX($D$220:$D$223,MATCH(LEFT(HC220,FIND("·",HC220)-1),$C$220:$C$223,0))=IFERROR(VALUE(MID(HC220,FIND("·",HC220)+1,1)),0),($D$24+(INDEX($E$220:$E$223,MATCH(LEFT(HC220,FIND("·",HC220)-1),$C$220:$C$223,0))=MID(HC220,FIND("|",HC220)+1,10))*$D$26+MAX(0,IF($D$50=1,$D$25*(1-(ABS(INDEX($Q$220:$Q$223,MATCH(LEFT(HC220,FIND("·",HC220)-1),$C$220:$C$223,0))-(VALUE(MID(HC220,FIND("|",HC220)+1,FIND("-",HC220,FIND("|",HC220))-FIND("|",HC220)-1))-VALUE(MID(HC220,FIND("-",HC220,FIND("|",HC220))+1,10)))))*$D$50),$D$25*(1-(IF(INDEX($D$220:$D$223,MATCH(LEFT(HC220,FIND("·",HC220)-1),$C$220:$C$223,0))=0,ABS(INDEX($A$220:$A$223,MATCH(LEFT(HC220,FIND("·",HC220)-1),$C$220:$C$223,0))-VALUE(MID(HC220,FIND("|",HC220)+1,FIND("-",HC220,FIND("|",HC220))-FIND("|",HC220)-1))),ABS(INDEX($Q$220:$Q$223,MATCH(LEFT(HC220,FIND("·",HC220)-1),$C$220:$C$223,0))-(VALUE(MID(HC220,FIND("|",HC220)+1,FIND("-",HC220,FIND("|",HC220))-FIND("|",HC220)-1))-VALUE(MID(HC220,FIND("-",HC220,FIND("|",HC220))+1,10)))))*$D$50)))))*INDEX($I$220:$I$223,MATCH(LEFT(HC220,FIND("·",HC220)-1),$C$220:$C$223,0)),0),0),0)</f>
        <v>0</v>
      </c>
      <c r="HE220" s="110"/>
      <c r="HF220" s="76" t="str">
        <f>Idiomas!$D$369</f>
        <v>Paste Values Quarterfinals</v>
      </c>
      <c r="HG220" s="77">
        <f t="shared" ref="HG220" ca="1" si="2221">IFERROR(IF(COUNTIF($K$220:$K$223,LEFT(HF220,FIND("·",HF220)-1))&gt;0,IF(INDEX($L$220:$L$223,MATCH(LEFT(HF220,FIND("·",HF220)-1),$K$220:$K$223,0))=IFERROR(VALUE(MID(HF220,FIND("·",HF220)+1,1)),0),($D$24+(INDEX($M$220:$M$223,MATCH(LEFT(HF220,FIND("·",HF220)-1),$K$220:$K$223,0))=MID(HF220,FIND("|",HF220)+1,10))*$D$26+MAX(0,IF($D$50=1,$D$25*(1-(ABS(INDEX($P$220:$P$223,MATCH(LEFT(HF220,FIND("·",HF220)-1),$K$220:$K$223,0))-(VALUE(MID(HF220,FIND("|",HF220)+1,FIND("-",HF220,FIND("|",HF220))-FIND("|",HF220)-1))-VALUE(MID(HF220,FIND("-",HF220,FIND("|",HF220))+1,10)))))*$D$50),$D$25*(1-(IF(INDEX($L$220:$L$223,MATCH(LEFT(HF220,FIND("·",HF220)-1),$K$220:$K$223,0))=0,ABS(INDEX($N$220:$N$223,MATCH(LEFT(HF220,FIND("·",HF220)-1),$K$220:$K$223,0))-VALUE(MID(HF220,FIND("|",HF220)+1,FIND("-",HF220,FIND("|",HF220))-FIND("|",HF220)-1))),ABS(INDEX($P$220:$P$223,MATCH(LEFT(HF220,FIND("·",HF220)-1),$K$220:$K$223,0))-(VALUE(MID(HF220,FIND("|",HF220)+1,FIND("-",HF220,FIND("|",HF220))-FIND("|",HF220)-1))-VALUE(MID(HF220,FIND("-",HF220,FIND("|",HF220))+1,10)))))*$D$50)))))*INDEX($I$220:$I$223,MATCH(LEFT(HF220,FIND("·",HF220)-1),$K$220:$K$223,0)),0),0),0)+IFERROR(IF(COUNTIF($C$220:$C$223,LEFT(HF220,FIND("·",HF220)-1))&gt;0,IF(INDEX($D$220:$D$223,MATCH(LEFT(HF220,FIND("·",HF220)-1),$C$220:$C$223,0))=IFERROR(VALUE(MID(HF220,FIND("·",HF220)+1,1)),0),($D$24+(INDEX($E$220:$E$223,MATCH(LEFT(HF220,FIND("·",HF220)-1),$C$220:$C$223,0))=MID(HF220,FIND("|",HF220)+1,10))*$D$26+MAX(0,IF($D$50=1,$D$25*(1-(ABS(INDEX($Q$220:$Q$223,MATCH(LEFT(HF220,FIND("·",HF220)-1),$C$220:$C$223,0))-(VALUE(MID(HF220,FIND("|",HF220)+1,FIND("-",HF220,FIND("|",HF220))-FIND("|",HF220)-1))-VALUE(MID(HF220,FIND("-",HF220,FIND("|",HF220))+1,10)))))*$D$50),$D$25*(1-(IF(INDEX($D$220:$D$223,MATCH(LEFT(HF220,FIND("·",HF220)-1),$C$220:$C$223,0))=0,ABS(INDEX($A$220:$A$223,MATCH(LEFT(HF220,FIND("·",HF220)-1),$C$220:$C$223,0))-VALUE(MID(HF220,FIND("|",HF220)+1,FIND("-",HF220,FIND("|",HF220))-FIND("|",HF220)-1))),ABS(INDEX($Q$220:$Q$223,MATCH(LEFT(HF220,FIND("·",HF220)-1),$C$220:$C$223,0))-(VALUE(MID(HF220,FIND("|",HF220)+1,FIND("-",HF220,FIND("|",HF220))-FIND("|",HF220)-1))-VALUE(MID(HF220,FIND("-",HF220,FIND("|",HF220))+1,10)))))*$D$50)))))*INDEX($I$220:$I$223,MATCH(LEFT(HF220,FIND("·",HF220)-1),$C$220:$C$223,0)),0),0),0)</f>
        <v>0</v>
      </c>
      <c r="HH220" s="110"/>
      <c r="HI220" s="76" t="str">
        <f>Idiomas!$D$369</f>
        <v>Paste Values Quarterfinals</v>
      </c>
      <c r="HJ220" s="77">
        <f t="shared" ref="HJ220" ca="1" si="2222">IFERROR(IF(COUNTIF($K$220:$K$223,LEFT(HI220,FIND("·",HI220)-1))&gt;0,IF(INDEX($L$220:$L$223,MATCH(LEFT(HI220,FIND("·",HI220)-1),$K$220:$K$223,0))=IFERROR(VALUE(MID(HI220,FIND("·",HI220)+1,1)),0),($D$24+(INDEX($M$220:$M$223,MATCH(LEFT(HI220,FIND("·",HI220)-1),$K$220:$K$223,0))=MID(HI220,FIND("|",HI220)+1,10))*$D$26+MAX(0,IF($D$50=1,$D$25*(1-(ABS(INDEX($P$220:$P$223,MATCH(LEFT(HI220,FIND("·",HI220)-1),$K$220:$K$223,0))-(VALUE(MID(HI220,FIND("|",HI220)+1,FIND("-",HI220,FIND("|",HI220))-FIND("|",HI220)-1))-VALUE(MID(HI220,FIND("-",HI220,FIND("|",HI220))+1,10)))))*$D$50),$D$25*(1-(IF(INDEX($L$220:$L$223,MATCH(LEFT(HI220,FIND("·",HI220)-1),$K$220:$K$223,0))=0,ABS(INDEX($N$220:$N$223,MATCH(LEFT(HI220,FIND("·",HI220)-1),$K$220:$K$223,0))-VALUE(MID(HI220,FIND("|",HI220)+1,FIND("-",HI220,FIND("|",HI220))-FIND("|",HI220)-1))),ABS(INDEX($P$220:$P$223,MATCH(LEFT(HI220,FIND("·",HI220)-1),$K$220:$K$223,0))-(VALUE(MID(HI220,FIND("|",HI220)+1,FIND("-",HI220,FIND("|",HI220))-FIND("|",HI220)-1))-VALUE(MID(HI220,FIND("-",HI220,FIND("|",HI220))+1,10)))))*$D$50)))))*INDEX($I$220:$I$223,MATCH(LEFT(HI220,FIND("·",HI220)-1),$K$220:$K$223,0)),0),0),0)+IFERROR(IF(COUNTIF($C$220:$C$223,LEFT(HI220,FIND("·",HI220)-1))&gt;0,IF(INDEX($D$220:$D$223,MATCH(LEFT(HI220,FIND("·",HI220)-1),$C$220:$C$223,0))=IFERROR(VALUE(MID(HI220,FIND("·",HI220)+1,1)),0),($D$24+(INDEX($E$220:$E$223,MATCH(LEFT(HI220,FIND("·",HI220)-1),$C$220:$C$223,0))=MID(HI220,FIND("|",HI220)+1,10))*$D$26+MAX(0,IF($D$50=1,$D$25*(1-(ABS(INDEX($Q$220:$Q$223,MATCH(LEFT(HI220,FIND("·",HI220)-1),$C$220:$C$223,0))-(VALUE(MID(HI220,FIND("|",HI220)+1,FIND("-",HI220,FIND("|",HI220))-FIND("|",HI220)-1))-VALUE(MID(HI220,FIND("-",HI220,FIND("|",HI220))+1,10)))))*$D$50),$D$25*(1-(IF(INDEX($D$220:$D$223,MATCH(LEFT(HI220,FIND("·",HI220)-1),$C$220:$C$223,0))=0,ABS(INDEX($A$220:$A$223,MATCH(LEFT(HI220,FIND("·",HI220)-1),$C$220:$C$223,0))-VALUE(MID(HI220,FIND("|",HI220)+1,FIND("-",HI220,FIND("|",HI220))-FIND("|",HI220)-1))),ABS(INDEX($Q$220:$Q$223,MATCH(LEFT(HI220,FIND("·",HI220)-1),$C$220:$C$223,0))-(VALUE(MID(HI220,FIND("|",HI220)+1,FIND("-",HI220,FIND("|",HI220))-FIND("|",HI220)-1))-VALUE(MID(HI220,FIND("-",HI220,FIND("|",HI220))+1,10)))))*$D$50)))))*INDEX($I$220:$I$223,MATCH(LEFT(HI220,FIND("·",HI220)-1),$C$220:$C$223,0)),0),0),0)</f>
        <v>0</v>
      </c>
      <c r="HK220" s="110"/>
      <c r="HL220" s="76" t="str">
        <f>Idiomas!$D$369</f>
        <v>Paste Values Quarterfinals</v>
      </c>
      <c r="HM220" s="77">
        <f t="shared" ref="HM220:JX223" ca="1" si="2223">IFERROR(IF(COUNTIF($K$220:$K$223,LEFT(HL220,FIND("·",HL220)-1))&gt;0,IF(INDEX($L$220:$L$223,MATCH(LEFT(HL220,FIND("·",HL220)-1),$K$220:$K$223,0))=IFERROR(VALUE(MID(HL220,FIND("·",HL220)+1,1)),0),($D$24+(INDEX($M$220:$M$223,MATCH(LEFT(HL220,FIND("·",HL220)-1),$K$220:$K$223,0))=MID(HL220,FIND("|",HL220)+1,10))*$D$26+MAX(0,IF($D$50=1,$D$25*(1-(ABS(INDEX($P$220:$P$223,MATCH(LEFT(HL220,FIND("·",HL220)-1),$K$220:$K$223,0))-(VALUE(MID(HL220,FIND("|",HL220)+1,FIND("-",HL220,FIND("|",HL220))-FIND("|",HL220)-1))-VALUE(MID(HL220,FIND("-",HL220,FIND("|",HL220))+1,10)))))*$D$50),$D$25*(1-(IF(INDEX($L$220:$L$223,MATCH(LEFT(HL220,FIND("·",HL220)-1),$K$220:$K$223,0))=0,ABS(INDEX($N$220:$N$223,MATCH(LEFT(HL220,FIND("·",HL220)-1),$K$220:$K$223,0))-VALUE(MID(HL220,FIND("|",HL220)+1,FIND("-",HL220,FIND("|",HL220))-FIND("|",HL220)-1))),ABS(INDEX($P$220:$P$223,MATCH(LEFT(HL220,FIND("·",HL220)-1),$K$220:$K$223,0))-(VALUE(MID(HL220,FIND("|",HL220)+1,FIND("-",HL220,FIND("|",HL220))-FIND("|",HL220)-1))-VALUE(MID(HL220,FIND("-",HL220,FIND("|",HL220))+1,10)))))*$D$50)))))*INDEX($I$220:$I$223,MATCH(LEFT(HL220,FIND("·",HL220)-1),$K$220:$K$223,0)),0),0),0)+IFERROR(IF(COUNTIF($C$220:$C$223,LEFT(HL220,FIND("·",HL220)-1))&gt;0,IF(INDEX($D$220:$D$223,MATCH(LEFT(HL220,FIND("·",HL220)-1),$C$220:$C$223,0))=IFERROR(VALUE(MID(HL220,FIND("·",HL220)+1,1)),0),($D$24+(INDEX($E$220:$E$223,MATCH(LEFT(HL220,FIND("·",HL220)-1),$C$220:$C$223,0))=MID(HL220,FIND("|",HL220)+1,10))*$D$26+MAX(0,IF($D$50=1,$D$25*(1-(ABS(INDEX($Q$220:$Q$223,MATCH(LEFT(HL220,FIND("·",HL220)-1),$C$220:$C$223,0))-(VALUE(MID(HL220,FIND("|",HL220)+1,FIND("-",HL220,FIND("|",HL220))-FIND("|",HL220)-1))-VALUE(MID(HL220,FIND("-",HL220,FIND("|",HL220))+1,10)))))*$D$50),$D$25*(1-(IF(INDEX($D$220:$D$223,MATCH(LEFT(HL220,FIND("·",HL220)-1),$C$220:$C$223,0))=0,ABS(INDEX($A$220:$A$223,MATCH(LEFT(HL220,FIND("·",HL220)-1),$C$220:$C$223,0))-VALUE(MID(HL220,FIND("|",HL220)+1,FIND("-",HL220,FIND("|",HL220))-FIND("|",HL220)-1))),ABS(INDEX($Q$220:$Q$223,MATCH(LEFT(HL220,FIND("·",HL220)-1),$C$220:$C$223,0))-(VALUE(MID(HL220,FIND("|",HL220)+1,FIND("-",HL220,FIND("|",HL220))-FIND("|",HL220)-1))-VALUE(MID(HL220,FIND("-",HL220,FIND("|",HL220))+1,10)))))*$D$50)))))*INDEX($I$220:$I$223,MATCH(LEFT(HL220,FIND("·",HL220)-1),$C$220:$C$223,0)),0),0),0)</f>
        <v>0</v>
      </c>
      <c r="HN220" s="110"/>
      <c r="HO220" s="76" t="str">
        <f>Idiomas!$D$369</f>
        <v>Paste Values Quarterfinals</v>
      </c>
      <c r="HP220" s="77">
        <f t="shared" ref="HP220" ca="1" si="2224">IFERROR(IF(COUNTIF($K$220:$K$223,LEFT(HO220,FIND("·",HO220)-1))&gt;0,IF(INDEX($L$220:$L$223,MATCH(LEFT(HO220,FIND("·",HO220)-1),$K$220:$K$223,0))=IFERROR(VALUE(MID(HO220,FIND("·",HO220)+1,1)),0),($D$24+(INDEX($M$220:$M$223,MATCH(LEFT(HO220,FIND("·",HO220)-1),$K$220:$K$223,0))=MID(HO220,FIND("|",HO220)+1,10))*$D$26+MAX(0,IF($D$50=1,$D$25*(1-(ABS(INDEX($P$220:$P$223,MATCH(LEFT(HO220,FIND("·",HO220)-1),$K$220:$K$223,0))-(VALUE(MID(HO220,FIND("|",HO220)+1,FIND("-",HO220,FIND("|",HO220))-FIND("|",HO220)-1))-VALUE(MID(HO220,FIND("-",HO220,FIND("|",HO220))+1,10)))))*$D$50),$D$25*(1-(IF(INDEX($L$220:$L$223,MATCH(LEFT(HO220,FIND("·",HO220)-1),$K$220:$K$223,0))=0,ABS(INDEX($N$220:$N$223,MATCH(LEFT(HO220,FIND("·",HO220)-1),$K$220:$K$223,0))-VALUE(MID(HO220,FIND("|",HO220)+1,FIND("-",HO220,FIND("|",HO220))-FIND("|",HO220)-1))),ABS(INDEX($P$220:$P$223,MATCH(LEFT(HO220,FIND("·",HO220)-1),$K$220:$K$223,0))-(VALUE(MID(HO220,FIND("|",HO220)+1,FIND("-",HO220,FIND("|",HO220))-FIND("|",HO220)-1))-VALUE(MID(HO220,FIND("-",HO220,FIND("|",HO220))+1,10)))))*$D$50)))))*INDEX($I$220:$I$223,MATCH(LEFT(HO220,FIND("·",HO220)-1),$K$220:$K$223,0)),0),0),0)+IFERROR(IF(COUNTIF($C$220:$C$223,LEFT(HO220,FIND("·",HO220)-1))&gt;0,IF(INDEX($D$220:$D$223,MATCH(LEFT(HO220,FIND("·",HO220)-1),$C$220:$C$223,0))=IFERROR(VALUE(MID(HO220,FIND("·",HO220)+1,1)),0),($D$24+(INDEX($E$220:$E$223,MATCH(LEFT(HO220,FIND("·",HO220)-1),$C$220:$C$223,0))=MID(HO220,FIND("|",HO220)+1,10))*$D$26+MAX(0,IF($D$50=1,$D$25*(1-(ABS(INDEX($Q$220:$Q$223,MATCH(LEFT(HO220,FIND("·",HO220)-1),$C$220:$C$223,0))-(VALUE(MID(HO220,FIND("|",HO220)+1,FIND("-",HO220,FIND("|",HO220))-FIND("|",HO220)-1))-VALUE(MID(HO220,FIND("-",HO220,FIND("|",HO220))+1,10)))))*$D$50),$D$25*(1-(IF(INDEX($D$220:$D$223,MATCH(LEFT(HO220,FIND("·",HO220)-1),$C$220:$C$223,0))=0,ABS(INDEX($A$220:$A$223,MATCH(LEFT(HO220,FIND("·",HO220)-1),$C$220:$C$223,0))-VALUE(MID(HO220,FIND("|",HO220)+1,FIND("-",HO220,FIND("|",HO220))-FIND("|",HO220)-1))),ABS(INDEX($Q$220:$Q$223,MATCH(LEFT(HO220,FIND("·",HO220)-1),$C$220:$C$223,0))-(VALUE(MID(HO220,FIND("|",HO220)+1,FIND("-",HO220,FIND("|",HO220))-FIND("|",HO220)-1))-VALUE(MID(HO220,FIND("-",HO220,FIND("|",HO220))+1,10)))))*$D$50)))))*INDEX($I$220:$I$223,MATCH(LEFT(HO220,FIND("·",HO220)-1),$C$220:$C$223,0)),0),0),0)</f>
        <v>0</v>
      </c>
      <c r="HQ220" s="110"/>
      <c r="HR220" s="76" t="str">
        <f>Idiomas!$D$369</f>
        <v>Paste Values Quarterfinals</v>
      </c>
      <c r="HS220" s="77">
        <f t="shared" ref="HS220" ca="1" si="2225">IFERROR(IF(COUNTIF($K$220:$K$223,LEFT(HR220,FIND("·",HR220)-1))&gt;0,IF(INDEX($L$220:$L$223,MATCH(LEFT(HR220,FIND("·",HR220)-1),$K$220:$K$223,0))=IFERROR(VALUE(MID(HR220,FIND("·",HR220)+1,1)),0),($D$24+(INDEX($M$220:$M$223,MATCH(LEFT(HR220,FIND("·",HR220)-1),$K$220:$K$223,0))=MID(HR220,FIND("|",HR220)+1,10))*$D$26+MAX(0,IF($D$50=1,$D$25*(1-(ABS(INDEX($P$220:$P$223,MATCH(LEFT(HR220,FIND("·",HR220)-1),$K$220:$K$223,0))-(VALUE(MID(HR220,FIND("|",HR220)+1,FIND("-",HR220,FIND("|",HR220))-FIND("|",HR220)-1))-VALUE(MID(HR220,FIND("-",HR220,FIND("|",HR220))+1,10)))))*$D$50),$D$25*(1-(IF(INDEX($L$220:$L$223,MATCH(LEFT(HR220,FIND("·",HR220)-1),$K$220:$K$223,0))=0,ABS(INDEX($N$220:$N$223,MATCH(LEFT(HR220,FIND("·",HR220)-1),$K$220:$K$223,0))-VALUE(MID(HR220,FIND("|",HR220)+1,FIND("-",HR220,FIND("|",HR220))-FIND("|",HR220)-1))),ABS(INDEX($P$220:$P$223,MATCH(LEFT(HR220,FIND("·",HR220)-1),$K$220:$K$223,0))-(VALUE(MID(HR220,FIND("|",HR220)+1,FIND("-",HR220,FIND("|",HR220))-FIND("|",HR220)-1))-VALUE(MID(HR220,FIND("-",HR220,FIND("|",HR220))+1,10)))))*$D$50)))))*INDEX($I$220:$I$223,MATCH(LEFT(HR220,FIND("·",HR220)-1),$K$220:$K$223,0)),0),0),0)+IFERROR(IF(COUNTIF($C$220:$C$223,LEFT(HR220,FIND("·",HR220)-1))&gt;0,IF(INDEX($D$220:$D$223,MATCH(LEFT(HR220,FIND("·",HR220)-1),$C$220:$C$223,0))=IFERROR(VALUE(MID(HR220,FIND("·",HR220)+1,1)),0),($D$24+(INDEX($E$220:$E$223,MATCH(LEFT(HR220,FIND("·",HR220)-1),$C$220:$C$223,0))=MID(HR220,FIND("|",HR220)+1,10))*$D$26+MAX(0,IF($D$50=1,$D$25*(1-(ABS(INDEX($Q$220:$Q$223,MATCH(LEFT(HR220,FIND("·",HR220)-1),$C$220:$C$223,0))-(VALUE(MID(HR220,FIND("|",HR220)+1,FIND("-",HR220,FIND("|",HR220))-FIND("|",HR220)-1))-VALUE(MID(HR220,FIND("-",HR220,FIND("|",HR220))+1,10)))))*$D$50),$D$25*(1-(IF(INDEX($D$220:$D$223,MATCH(LEFT(HR220,FIND("·",HR220)-1),$C$220:$C$223,0))=0,ABS(INDEX($A$220:$A$223,MATCH(LEFT(HR220,FIND("·",HR220)-1),$C$220:$C$223,0))-VALUE(MID(HR220,FIND("|",HR220)+1,FIND("-",HR220,FIND("|",HR220))-FIND("|",HR220)-1))),ABS(INDEX($Q$220:$Q$223,MATCH(LEFT(HR220,FIND("·",HR220)-1),$C$220:$C$223,0))-(VALUE(MID(HR220,FIND("|",HR220)+1,FIND("-",HR220,FIND("|",HR220))-FIND("|",HR220)-1))-VALUE(MID(HR220,FIND("-",HR220,FIND("|",HR220))+1,10)))))*$D$50)))))*INDEX($I$220:$I$223,MATCH(LEFT(HR220,FIND("·",HR220)-1),$C$220:$C$223,0)),0),0),0)</f>
        <v>0</v>
      </c>
      <c r="HT220" s="110"/>
      <c r="HU220" s="76" t="str">
        <f>Idiomas!$D$369</f>
        <v>Paste Values Quarterfinals</v>
      </c>
      <c r="HV220" s="77">
        <f t="shared" ref="HV220" ca="1" si="2226">IFERROR(IF(COUNTIF($K$220:$K$223,LEFT(HU220,FIND("·",HU220)-1))&gt;0,IF(INDEX($L$220:$L$223,MATCH(LEFT(HU220,FIND("·",HU220)-1),$K$220:$K$223,0))=IFERROR(VALUE(MID(HU220,FIND("·",HU220)+1,1)),0),($D$24+(INDEX($M$220:$M$223,MATCH(LEFT(HU220,FIND("·",HU220)-1),$K$220:$K$223,0))=MID(HU220,FIND("|",HU220)+1,10))*$D$26+MAX(0,IF($D$50=1,$D$25*(1-(ABS(INDEX($P$220:$P$223,MATCH(LEFT(HU220,FIND("·",HU220)-1),$K$220:$K$223,0))-(VALUE(MID(HU220,FIND("|",HU220)+1,FIND("-",HU220,FIND("|",HU220))-FIND("|",HU220)-1))-VALUE(MID(HU220,FIND("-",HU220,FIND("|",HU220))+1,10)))))*$D$50),$D$25*(1-(IF(INDEX($L$220:$L$223,MATCH(LEFT(HU220,FIND("·",HU220)-1),$K$220:$K$223,0))=0,ABS(INDEX($N$220:$N$223,MATCH(LEFT(HU220,FIND("·",HU220)-1),$K$220:$K$223,0))-VALUE(MID(HU220,FIND("|",HU220)+1,FIND("-",HU220,FIND("|",HU220))-FIND("|",HU220)-1))),ABS(INDEX($P$220:$P$223,MATCH(LEFT(HU220,FIND("·",HU220)-1),$K$220:$K$223,0))-(VALUE(MID(HU220,FIND("|",HU220)+1,FIND("-",HU220,FIND("|",HU220))-FIND("|",HU220)-1))-VALUE(MID(HU220,FIND("-",HU220,FIND("|",HU220))+1,10)))))*$D$50)))))*INDEX($I$220:$I$223,MATCH(LEFT(HU220,FIND("·",HU220)-1),$K$220:$K$223,0)),0),0),0)+IFERROR(IF(COUNTIF($C$220:$C$223,LEFT(HU220,FIND("·",HU220)-1))&gt;0,IF(INDEX($D$220:$D$223,MATCH(LEFT(HU220,FIND("·",HU220)-1),$C$220:$C$223,0))=IFERROR(VALUE(MID(HU220,FIND("·",HU220)+1,1)),0),($D$24+(INDEX($E$220:$E$223,MATCH(LEFT(HU220,FIND("·",HU220)-1),$C$220:$C$223,0))=MID(HU220,FIND("|",HU220)+1,10))*$D$26+MAX(0,IF($D$50=1,$D$25*(1-(ABS(INDEX($Q$220:$Q$223,MATCH(LEFT(HU220,FIND("·",HU220)-1),$C$220:$C$223,0))-(VALUE(MID(HU220,FIND("|",HU220)+1,FIND("-",HU220,FIND("|",HU220))-FIND("|",HU220)-1))-VALUE(MID(HU220,FIND("-",HU220,FIND("|",HU220))+1,10)))))*$D$50),$D$25*(1-(IF(INDEX($D$220:$D$223,MATCH(LEFT(HU220,FIND("·",HU220)-1),$C$220:$C$223,0))=0,ABS(INDEX($A$220:$A$223,MATCH(LEFT(HU220,FIND("·",HU220)-1),$C$220:$C$223,0))-VALUE(MID(HU220,FIND("|",HU220)+1,FIND("-",HU220,FIND("|",HU220))-FIND("|",HU220)-1))),ABS(INDEX($Q$220:$Q$223,MATCH(LEFT(HU220,FIND("·",HU220)-1),$C$220:$C$223,0))-(VALUE(MID(HU220,FIND("|",HU220)+1,FIND("-",HU220,FIND("|",HU220))-FIND("|",HU220)-1))-VALUE(MID(HU220,FIND("-",HU220,FIND("|",HU220))+1,10)))))*$D$50)))))*INDEX($I$220:$I$223,MATCH(LEFT(HU220,FIND("·",HU220)-1),$C$220:$C$223,0)),0),0),0)</f>
        <v>0</v>
      </c>
      <c r="HW220" s="110"/>
      <c r="HX220" s="76" t="str">
        <f>Idiomas!$D$369</f>
        <v>Paste Values Quarterfinals</v>
      </c>
      <c r="HY220" s="77">
        <f t="shared" ref="HY220" ca="1" si="2227">IFERROR(IF(COUNTIF($K$220:$K$223,LEFT(HX220,FIND("·",HX220)-1))&gt;0,IF(INDEX($L$220:$L$223,MATCH(LEFT(HX220,FIND("·",HX220)-1),$K$220:$K$223,0))=IFERROR(VALUE(MID(HX220,FIND("·",HX220)+1,1)),0),($D$24+(INDEX($M$220:$M$223,MATCH(LEFT(HX220,FIND("·",HX220)-1),$K$220:$K$223,0))=MID(HX220,FIND("|",HX220)+1,10))*$D$26+MAX(0,IF($D$50=1,$D$25*(1-(ABS(INDEX($P$220:$P$223,MATCH(LEFT(HX220,FIND("·",HX220)-1),$K$220:$K$223,0))-(VALUE(MID(HX220,FIND("|",HX220)+1,FIND("-",HX220,FIND("|",HX220))-FIND("|",HX220)-1))-VALUE(MID(HX220,FIND("-",HX220,FIND("|",HX220))+1,10)))))*$D$50),$D$25*(1-(IF(INDEX($L$220:$L$223,MATCH(LEFT(HX220,FIND("·",HX220)-1),$K$220:$K$223,0))=0,ABS(INDEX($N$220:$N$223,MATCH(LEFT(HX220,FIND("·",HX220)-1),$K$220:$K$223,0))-VALUE(MID(HX220,FIND("|",HX220)+1,FIND("-",HX220,FIND("|",HX220))-FIND("|",HX220)-1))),ABS(INDEX($P$220:$P$223,MATCH(LEFT(HX220,FIND("·",HX220)-1),$K$220:$K$223,0))-(VALUE(MID(HX220,FIND("|",HX220)+1,FIND("-",HX220,FIND("|",HX220))-FIND("|",HX220)-1))-VALUE(MID(HX220,FIND("-",HX220,FIND("|",HX220))+1,10)))))*$D$50)))))*INDEX($I$220:$I$223,MATCH(LEFT(HX220,FIND("·",HX220)-1),$K$220:$K$223,0)),0),0),0)+IFERROR(IF(COUNTIF($C$220:$C$223,LEFT(HX220,FIND("·",HX220)-1))&gt;0,IF(INDEX($D$220:$D$223,MATCH(LEFT(HX220,FIND("·",HX220)-1),$C$220:$C$223,0))=IFERROR(VALUE(MID(HX220,FIND("·",HX220)+1,1)),0),($D$24+(INDEX($E$220:$E$223,MATCH(LEFT(HX220,FIND("·",HX220)-1),$C$220:$C$223,0))=MID(HX220,FIND("|",HX220)+1,10))*$D$26+MAX(0,IF($D$50=1,$D$25*(1-(ABS(INDEX($Q$220:$Q$223,MATCH(LEFT(HX220,FIND("·",HX220)-1),$C$220:$C$223,0))-(VALUE(MID(HX220,FIND("|",HX220)+1,FIND("-",HX220,FIND("|",HX220))-FIND("|",HX220)-1))-VALUE(MID(HX220,FIND("-",HX220,FIND("|",HX220))+1,10)))))*$D$50),$D$25*(1-(IF(INDEX($D$220:$D$223,MATCH(LEFT(HX220,FIND("·",HX220)-1),$C$220:$C$223,0))=0,ABS(INDEX($A$220:$A$223,MATCH(LEFT(HX220,FIND("·",HX220)-1),$C$220:$C$223,0))-VALUE(MID(HX220,FIND("|",HX220)+1,FIND("-",HX220,FIND("|",HX220))-FIND("|",HX220)-1))),ABS(INDEX($Q$220:$Q$223,MATCH(LEFT(HX220,FIND("·",HX220)-1),$C$220:$C$223,0))-(VALUE(MID(HX220,FIND("|",HX220)+1,FIND("-",HX220,FIND("|",HX220))-FIND("|",HX220)-1))-VALUE(MID(HX220,FIND("-",HX220,FIND("|",HX220))+1,10)))))*$D$50)))))*INDEX($I$220:$I$223,MATCH(LEFT(HX220,FIND("·",HX220)-1),$C$220:$C$223,0)),0),0),0)</f>
        <v>0</v>
      </c>
      <c r="HZ220" s="110"/>
      <c r="IA220" s="76" t="str">
        <f>Idiomas!$D$369</f>
        <v>Paste Values Quarterfinals</v>
      </c>
      <c r="IB220" s="77">
        <f t="shared" ref="IB220" ca="1" si="2228">IFERROR(IF(COUNTIF($K$220:$K$223,LEFT(IA220,FIND("·",IA220)-1))&gt;0,IF(INDEX($L$220:$L$223,MATCH(LEFT(IA220,FIND("·",IA220)-1),$K$220:$K$223,0))=IFERROR(VALUE(MID(IA220,FIND("·",IA220)+1,1)),0),($D$24+(INDEX($M$220:$M$223,MATCH(LEFT(IA220,FIND("·",IA220)-1),$K$220:$K$223,0))=MID(IA220,FIND("|",IA220)+1,10))*$D$26+MAX(0,IF($D$50=1,$D$25*(1-(ABS(INDEX($P$220:$P$223,MATCH(LEFT(IA220,FIND("·",IA220)-1),$K$220:$K$223,0))-(VALUE(MID(IA220,FIND("|",IA220)+1,FIND("-",IA220,FIND("|",IA220))-FIND("|",IA220)-1))-VALUE(MID(IA220,FIND("-",IA220,FIND("|",IA220))+1,10)))))*$D$50),$D$25*(1-(IF(INDEX($L$220:$L$223,MATCH(LEFT(IA220,FIND("·",IA220)-1),$K$220:$K$223,0))=0,ABS(INDEX($N$220:$N$223,MATCH(LEFT(IA220,FIND("·",IA220)-1),$K$220:$K$223,0))-VALUE(MID(IA220,FIND("|",IA220)+1,FIND("-",IA220,FIND("|",IA220))-FIND("|",IA220)-1))),ABS(INDEX($P$220:$P$223,MATCH(LEFT(IA220,FIND("·",IA220)-1),$K$220:$K$223,0))-(VALUE(MID(IA220,FIND("|",IA220)+1,FIND("-",IA220,FIND("|",IA220))-FIND("|",IA220)-1))-VALUE(MID(IA220,FIND("-",IA220,FIND("|",IA220))+1,10)))))*$D$50)))))*INDEX($I$220:$I$223,MATCH(LEFT(IA220,FIND("·",IA220)-1),$K$220:$K$223,0)),0),0),0)+IFERROR(IF(COUNTIF($C$220:$C$223,LEFT(IA220,FIND("·",IA220)-1))&gt;0,IF(INDEX($D$220:$D$223,MATCH(LEFT(IA220,FIND("·",IA220)-1),$C$220:$C$223,0))=IFERROR(VALUE(MID(IA220,FIND("·",IA220)+1,1)),0),($D$24+(INDEX($E$220:$E$223,MATCH(LEFT(IA220,FIND("·",IA220)-1),$C$220:$C$223,0))=MID(IA220,FIND("|",IA220)+1,10))*$D$26+MAX(0,IF($D$50=1,$D$25*(1-(ABS(INDEX($Q$220:$Q$223,MATCH(LEFT(IA220,FIND("·",IA220)-1),$C$220:$C$223,0))-(VALUE(MID(IA220,FIND("|",IA220)+1,FIND("-",IA220,FIND("|",IA220))-FIND("|",IA220)-1))-VALUE(MID(IA220,FIND("-",IA220,FIND("|",IA220))+1,10)))))*$D$50),$D$25*(1-(IF(INDEX($D$220:$D$223,MATCH(LEFT(IA220,FIND("·",IA220)-1),$C$220:$C$223,0))=0,ABS(INDEX($A$220:$A$223,MATCH(LEFT(IA220,FIND("·",IA220)-1),$C$220:$C$223,0))-VALUE(MID(IA220,FIND("|",IA220)+1,FIND("-",IA220,FIND("|",IA220))-FIND("|",IA220)-1))),ABS(INDEX($Q$220:$Q$223,MATCH(LEFT(IA220,FIND("·",IA220)-1),$C$220:$C$223,0))-(VALUE(MID(IA220,FIND("|",IA220)+1,FIND("-",IA220,FIND("|",IA220))-FIND("|",IA220)-1))-VALUE(MID(IA220,FIND("-",IA220,FIND("|",IA220))+1,10)))))*$D$50)))))*INDEX($I$220:$I$223,MATCH(LEFT(IA220,FIND("·",IA220)-1),$C$220:$C$223,0)),0),0),0)</f>
        <v>0</v>
      </c>
      <c r="IC220" s="110"/>
      <c r="ID220" s="76" t="str">
        <f>Idiomas!$D$369</f>
        <v>Paste Values Quarterfinals</v>
      </c>
      <c r="IE220" s="77">
        <f t="shared" ref="IE220" ca="1" si="2229">IFERROR(IF(COUNTIF($K$220:$K$223,LEFT(ID220,FIND("·",ID220)-1))&gt;0,IF(INDEX($L$220:$L$223,MATCH(LEFT(ID220,FIND("·",ID220)-1),$K$220:$K$223,0))=IFERROR(VALUE(MID(ID220,FIND("·",ID220)+1,1)),0),($D$24+(INDEX($M$220:$M$223,MATCH(LEFT(ID220,FIND("·",ID220)-1),$K$220:$K$223,0))=MID(ID220,FIND("|",ID220)+1,10))*$D$26+MAX(0,IF($D$50=1,$D$25*(1-(ABS(INDEX($P$220:$P$223,MATCH(LEFT(ID220,FIND("·",ID220)-1),$K$220:$K$223,0))-(VALUE(MID(ID220,FIND("|",ID220)+1,FIND("-",ID220,FIND("|",ID220))-FIND("|",ID220)-1))-VALUE(MID(ID220,FIND("-",ID220,FIND("|",ID220))+1,10)))))*$D$50),$D$25*(1-(IF(INDEX($L$220:$L$223,MATCH(LEFT(ID220,FIND("·",ID220)-1),$K$220:$K$223,0))=0,ABS(INDEX($N$220:$N$223,MATCH(LEFT(ID220,FIND("·",ID220)-1),$K$220:$K$223,0))-VALUE(MID(ID220,FIND("|",ID220)+1,FIND("-",ID220,FIND("|",ID220))-FIND("|",ID220)-1))),ABS(INDEX($P$220:$P$223,MATCH(LEFT(ID220,FIND("·",ID220)-1),$K$220:$K$223,0))-(VALUE(MID(ID220,FIND("|",ID220)+1,FIND("-",ID220,FIND("|",ID220))-FIND("|",ID220)-1))-VALUE(MID(ID220,FIND("-",ID220,FIND("|",ID220))+1,10)))))*$D$50)))))*INDEX($I$220:$I$223,MATCH(LEFT(ID220,FIND("·",ID220)-1),$K$220:$K$223,0)),0),0),0)+IFERROR(IF(COUNTIF($C$220:$C$223,LEFT(ID220,FIND("·",ID220)-1))&gt;0,IF(INDEX($D$220:$D$223,MATCH(LEFT(ID220,FIND("·",ID220)-1),$C$220:$C$223,0))=IFERROR(VALUE(MID(ID220,FIND("·",ID220)+1,1)),0),($D$24+(INDEX($E$220:$E$223,MATCH(LEFT(ID220,FIND("·",ID220)-1),$C$220:$C$223,0))=MID(ID220,FIND("|",ID220)+1,10))*$D$26+MAX(0,IF($D$50=1,$D$25*(1-(ABS(INDEX($Q$220:$Q$223,MATCH(LEFT(ID220,FIND("·",ID220)-1),$C$220:$C$223,0))-(VALUE(MID(ID220,FIND("|",ID220)+1,FIND("-",ID220,FIND("|",ID220))-FIND("|",ID220)-1))-VALUE(MID(ID220,FIND("-",ID220,FIND("|",ID220))+1,10)))))*$D$50),$D$25*(1-(IF(INDEX($D$220:$D$223,MATCH(LEFT(ID220,FIND("·",ID220)-1),$C$220:$C$223,0))=0,ABS(INDEX($A$220:$A$223,MATCH(LEFT(ID220,FIND("·",ID220)-1),$C$220:$C$223,0))-VALUE(MID(ID220,FIND("|",ID220)+1,FIND("-",ID220,FIND("|",ID220))-FIND("|",ID220)-1))),ABS(INDEX($Q$220:$Q$223,MATCH(LEFT(ID220,FIND("·",ID220)-1),$C$220:$C$223,0))-(VALUE(MID(ID220,FIND("|",ID220)+1,FIND("-",ID220,FIND("|",ID220))-FIND("|",ID220)-1))-VALUE(MID(ID220,FIND("-",ID220,FIND("|",ID220))+1,10)))))*$D$50)))))*INDEX($I$220:$I$223,MATCH(LEFT(ID220,FIND("·",ID220)-1),$C$220:$C$223,0)),0),0),0)</f>
        <v>0</v>
      </c>
      <c r="IF220" s="110"/>
      <c r="IG220" s="76" t="str">
        <f>Idiomas!$D$369</f>
        <v>Paste Values Quarterfinals</v>
      </c>
      <c r="IH220" s="77">
        <f t="shared" ref="IH220" ca="1" si="2230">IFERROR(IF(COUNTIF($K$220:$K$223,LEFT(IG220,FIND("·",IG220)-1))&gt;0,IF(INDEX($L$220:$L$223,MATCH(LEFT(IG220,FIND("·",IG220)-1),$K$220:$K$223,0))=IFERROR(VALUE(MID(IG220,FIND("·",IG220)+1,1)),0),($D$24+(INDEX($M$220:$M$223,MATCH(LEFT(IG220,FIND("·",IG220)-1),$K$220:$K$223,0))=MID(IG220,FIND("|",IG220)+1,10))*$D$26+MAX(0,IF($D$50=1,$D$25*(1-(ABS(INDEX($P$220:$P$223,MATCH(LEFT(IG220,FIND("·",IG220)-1),$K$220:$K$223,0))-(VALUE(MID(IG220,FIND("|",IG220)+1,FIND("-",IG220,FIND("|",IG220))-FIND("|",IG220)-1))-VALUE(MID(IG220,FIND("-",IG220,FIND("|",IG220))+1,10)))))*$D$50),$D$25*(1-(IF(INDEX($L$220:$L$223,MATCH(LEFT(IG220,FIND("·",IG220)-1),$K$220:$K$223,0))=0,ABS(INDEX($N$220:$N$223,MATCH(LEFT(IG220,FIND("·",IG220)-1),$K$220:$K$223,0))-VALUE(MID(IG220,FIND("|",IG220)+1,FIND("-",IG220,FIND("|",IG220))-FIND("|",IG220)-1))),ABS(INDEX($P$220:$P$223,MATCH(LEFT(IG220,FIND("·",IG220)-1),$K$220:$K$223,0))-(VALUE(MID(IG220,FIND("|",IG220)+1,FIND("-",IG220,FIND("|",IG220))-FIND("|",IG220)-1))-VALUE(MID(IG220,FIND("-",IG220,FIND("|",IG220))+1,10)))))*$D$50)))))*INDEX($I$220:$I$223,MATCH(LEFT(IG220,FIND("·",IG220)-1),$K$220:$K$223,0)),0),0),0)+IFERROR(IF(COUNTIF($C$220:$C$223,LEFT(IG220,FIND("·",IG220)-1))&gt;0,IF(INDEX($D$220:$D$223,MATCH(LEFT(IG220,FIND("·",IG220)-1),$C$220:$C$223,0))=IFERROR(VALUE(MID(IG220,FIND("·",IG220)+1,1)),0),($D$24+(INDEX($E$220:$E$223,MATCH(LEFT(IG220,FIND("·",IG220)-1),$C$220:$C$223,0))=MID(IG220,FIND("|",IG220)+1,10))*$D$26+MAX(0,IF($D$50=1,$D$25*(1-(ABS(INDEX($Q$220:$Q$223,MATCH(LEFT(IG220,FIND("·",IG220)-1),$C$220:$C$223,0))-(VALUE(MID(IG220,FIND("|",IG220)+1,FIND("-",IG220,FIND("|",IG220))-FIND("|",IG220)-1))-VALUE(MID(IG220,FIND("-",IG220,FIND("|",IG220))+1,10)))))*$D$50),$D$25*(1-(IF(INDEX($D$220:$D$223,MATCH(LEFT(IG220,FIND("·",IG220)-1),$C$220:$C$223,0))=0,ABS(INDEX($A$220:$A$223,MATCH(LEFT(IG220,FIND("·",IG220)-1),$C$220:$C$223,0))-VALUE(MID(IG220,FIND("|",IG220)+1,FIND("-",IG220,FIND("|",IG220))-FIND("|",IG220)-1))),ABS(INDEX($Q$220:$Q$223,MATCH(LEFT(IG220,FIND("·",IG220)-1),$C$220:$C$223,0))-(VALUE(MID(IG220,FIND("|",IG220)+1,FIND("-",IG220,FIND("|",IG220))-FIND("|",IG220)-1))-VALUE(MID(IG220,FIND("-",IG220,FIND("|",IG220))+1,10)))))*$D$50)))))*INDEX($I$220:$I$223,MATCH(LEFT(IG220,FIND("·",IG220)-1),$C$220:$C$223,0)),0),0),0)</f>
        <v>0</v>
      </c>
      <c r="II220" s="110"/>
      <c r="IJ220" s="76" t="str">
        <f>Idiomas!$D$369</f>
        <v>Paste Values Quarterfinals</v>
      </c>
      <c r="IK220" s="77">
        <f t="shared" ref="IK220" ca="1" si="2231">IFERROR(IF(COUNTIF($K$220:$K$223,LEFT(IJ220,FIND("·",IJ220)-1))&gt;0,IF(INDEX($L$220:$L$223,MATCH(LEFT(IJ220,FIND("·",IJ220)-1),$K$220:$K$223,0))=IFERROR(VALUE(MID(IJ220,FIND("·",IJ220)+1,1)),0),($D$24+(INDEX($M$220:$M$223,MATCH(LEFT(IJ220,FIND("·",IJ220)-1),$K$220:$K$223,0))=MID(IJ220,FIND("|",IJ220)+1,10))*$D$26+MAX(0,IF($D$50=1,$D$25*(1-(ABS(INDEX($P$220:$P$223,MATCH(LEFT(IJ220,FIND("·",IJ220)-1),$K$220:$K$223,0))-(VALUE(MID(IJ220,FIND("|",IJ220)+1,FIND("-",IJ220,FIND("|",IJ220))-FIND("|",IJ220)-1))-VALUE(MID(IJ220,FIND("-",IJ220,FIND("|",IJ220))+1,10)))))*$D$50),$D$25*(1-(IF(INDEX($L$220:$L$223,MATCH(LEFT(IJ220,FIND("·",IJ220)-1),$K$220:$K$223,0))=0,ABS(INDEX($N$220:$N$223,MATCH(LEFT(IJ220,FIND("·",IJ220)-1),$K$220:$K$223,0))-VALUE(MID(IJ220,FIND("|",IJ220)+1,FIND("-",IJ220,FIND("|",IJ220))-FIND("|",IJ220)-1))),ABS(INDEX($P$220:$P$223,MATCH(LEFT(IJ220,FIND("·",IJ220)-1),$K$220:$K$223,0))-(VALUE(MID(IJ220,FIND("|",IJ220)+1,FIND("-",IJ220,FIND("|",IJ220))-FIND("|",IJ220)-1))-VALUE(MID(IJ220,FIND("-",IJ220,FIND("|",IJ220))+1,10)))))*$D$50)))))*INDEX($I$220:$I$223,MATCH(LEFT(IJ220,FIND("·",IJ220)-1),$K$220:$K$223,0)),0),0),0)+IFERROR(IF(COUNTIF($C$220:$C$223,LEFT(IJ220,FIND("·",IJ220)-1))&gt;0,IF(INDEX($D$220:$D$223,MATCH(LEFT(IJ220,FIND("·",IJ220)-1),$C$220:$C$223,0))=IFERROR(VALUE(MID(IJ220,FIND("·",IJ220)+1,1)),0),($D$24+(INDEX($E$220:$E$223,MATCH(LEFT(IJ220,FIND("·",IJ220)-1),$C$220:$C$223,0))=MID(IJ220,FIND("|",IJ220)+1,10))*$D$26+MAX(0,IF($D$50=1,$D$25*(1-(ABS(INDEX($Q$220:$Q$223,MATCH(LEFT(IJ220,FIND("·",IJ220)-1),$C$220:$C$223,0))-(VALUE(MID(IJ220,FIND("|",IJ220)+1,FIND("-",IJ220,FIND("|",IJ220))-FIND("|",IJ220)-1))-VALUE(MID(IJ220,FIND("-",IJ220,FIND("|",IJ220))+1,10)))))*$D$50),$D$25*(1-(IF(INDEX($D$220:$D$223,MATCH(LEFT(IJ220,FIND("·",IJ220)-1),$C$220:$C$223,0))=0,ABS(INDEX($A$220:$A$223,MATCH(LEFT(IJ220,FIND("·",IJ220)-1),$C$220:$C$223,0))-VALUE(MID(IJ220,FIND("|",IJ220)+1,FIND("-",IJ220,FIND("|",IJ220))-FIND("|",IJ220)-1))),ABS(INDEX($Q$220:$Q$223,MATCH(LEFT(IJ220,FIND("·",IJ220)-1),$C$220:$C$223,0))-(VALUE(MID(IJ220,FIND("|",IJ220)+1,FIND("-",IJ220,FIND("|",IJ220))-FIND("|",IJ220)-1))-VALUE(MID(IJ220,FIND("-",IJ220,FIND("|",IJ220))+1,10)))))*$D$50)))))*INDEX($I$220:$I$223,MATCH(LEFT(IJ220,FIND("·",IJ220)-1),$C$220:$C$223,0)),0),0),0)</f>
        <v>0</v>
      </c>
      <c r="IL220" s="110"/>
      <c r="IM220" s="76" t="str">
        <f>Idiomas!$D$369</f>
        <v>Paste Values Quarterfinals</v>
      </c>
      <c r="IN220" s="77">
        <f t="shared" ref="IN220" ca="1" si="2232">IFERROR(IF(COUNTIF($K$220:$K$223,LEFT(IM220,FIND("·",IM220)-1))&gt;0,IF(INDEX($L$220:$L$223,MATCH(LEFT(IM220,FIND("·",IM220)-1),$K$220:$K$223,0))=IFERROR(VALUE(MID(IM220,FIND("·",IM220)+1,1)),0),($D$24+(INDEX($M$220:$M$223,MATCH(LEFT(IM220,FIND("·",IM220)-1),$K$220:$K$223,0))=MID(IM220,FIND("|",IM220)+1,10))*$D$26+MAX(0,IF($D$50=1,$D$25*(1-(ABS(INDEX($P$220:$P$223,MATCH(LEFT(IM220,FIND("·",IM220)-1),$K$220:$K$223,0))-(VALUE(MID(IM220,FIND("|",IM220)+1,FIND("-",IM220,FIND("|",IM220))-FIND("|",IM220)-1))-VALUE(MID(IM220,FIND("-",IM220,FIND("|",IM220))+1,10)))))*$D$50),$D$25*(1-(IF(INDEX($L$220:$L$223,MATCH(LEFT(IM220,FIND("·",IM220)-1),$K$220:$K$223,0))=0,ABS(INDEX($N$220:$N$223,MATCH(LEFT(IM220,FIND("·",IM220)-1),$K$220:$K$223,0))-VALUE(MID(IM220,FIND("|",IM220)+1,FIND("-",IM220,FIND("|",IM220))-FIND("|",IM220)-1))),ABS(INDEX($P$220:$P$223,MATCH(LEFT(IM220,FIND("·",IM220)-1),$K$220:$K$223,0))-(VALUE(MID(IM220,FIND("|",IM220)+1,FIND("-",IM220,FIND("|",IM220))-FIND("|",IM220)-1))-VALUE(MID(IM220,FIND("-",IM220,FIND("|",IM220))+1,10)))))*$D$50)))))*INDEX($I$220:$I$223,MATCH(LEFT(IM220,FIND("·",IM220)-1),$K$220:$K$223,0)),0),0),0)+IFERROR(IF(COUNTIF($C$220:$C$223,LEFT(IM220,FIND("·",IM220)-1))&gt;0,IF(INDEX($D$220:$D$223,MATCH(LEFT(IM220,FIND("·",IM220)-1),$C$220:$C$223,0))=IFERROR(VALUE(MID(IM220,FIND("·",IM220)+1,1)),0),($D$24+(INDEX($E$220:$E$223,MATCH(LEFT(IM220,FIND("·",IM220)-1),$C$220:$C$223,0))=MID(IM220,FIND("|",IM220)+1,10))*$D$26+MAX(0,IF($D$50=1,$D$25*(1-(ABS(INDEX($Q$220:$Q$223,MATCH(LEFT(IM220,FIND("·",IM220)-1),$C$220:$C$223,0))-(VALUE(MID(IM220,FIND("|",IM220)+1,FIND("-",IM220,FIND("|",IM220))-FIND("|",IM220)-1))-VALUE(MID(IM220,FIND("-",IM220,FIND("|",IM220))+1,10)))))*$D$50),$D$25*(1-(IF(INDEX($D$220:$D$223,MATCH(LEFT(IM220,FIND("·",IM220)-1),$C$220:$C$223,0))=0,ABS(INDEX($A$220:$A$223,MATCH(LEFT(IM220,FIND("·",IM220)-1),$C$220:$C$223,0))-VALUE(MID(IM220,FIND("|",IM220)+1,FIND("-",IM220,FIND("|",IM220))-FIND("|",IM220)-1))),ABS(INDEX($Q$220:$Q$223,MATCH(LEFT(IM220,FIND("·",IM220)-1),$C$220:$C$223,0))-(VALUE(MID(IM220,FIND("|",IM220)+1,FIND("-",IM220,FIND("|",IM220))-FIND("|",IM220)-1))-VALUE(MID(IM220,FIND("-",IM220,FIND("|",IM220))+1,10)))))*$D$50)))))*INDEX($I$220:$I$223,MATCH(LEFT(IM220,FIND("·",IM220)-1),$C$220:$C$223,0)),0),0),0)</f>
        <v>0</v>
      </c>
      <c r="IO220" s="110"/>
      <c r="IP220" s="76" t="str">
        <f>Idiomas!$D$369</f>
        <v>Paste Values Quarterfinals</v>
      </c>
      <c r="IQ220" s="77">
        <f t="shared" ref="IQ220" ca="1" si="2233">IFERROR(IF(COUNTIF($K$220:$K$223,LEFT(IP220,FIND("·",IP220)-1))&gt;0,IF(INDEX($L$220:$L$223,MATCH(LEFT(IP220,FIND("·",IP220)-1),$K$220:$K$223,0))=IFERROR(VALUE(MID(IP220,FIND("·",IP220)+1,1)),0),($D$24+(INDEX($M$220:$M$223,MATCH(LEFT(IP220,FIND("·",IP220)-1),$K$220:$K$223,0))=MID(IP220,FIND("|",IP220)+1,10))*$D$26+MAX(0,IF($D$50=1,$D$25*(1-(ABS(INDEX($P$220:$P$223,MATCH(LEFT(IP220,FIND("·",IP220)-1),$K$220:$K$223,0))-(VALUE(MID(IP220,FIND("|",IP220)+1,FIND("-",IP220,FIND("|",IP220))-FIND("|",IP220)-1))-VALUE(MID(IP220,FIND("-",IP220,FIND("|",IP220))+1,10)))))*$D$50),$D$25*(1-(IF(INDEX($L$220:$L$223,MATCH(LEFT(IP220,FIND("·",IP220)-1),$K$220:$K$223,0))=0,ABS(INDEX($N$220:$N$223,MATCH(LEFT(IP220,FIND("·",IP220)-1),$K$220:$K$223,0))-VALUE(MID(IP220,FIND("|",IP220)+1,FIND("-",IP220,FIND("|",IP220))-FIND("|",IP220)-1))),ABS(INDEX($P$220:$P$223,MATCH(LEFT(IP220,FIND("·",IP220)-1),$K$220:$K$223,0))-(VALUE(MID(IP220,FIND("|",IP220)+1,FIND("-",IP220,FIND("|",IP220))-FIND("|",IP220)-1))-VALUE(MID(IP220,FIND("-",IP220,FIND("|",IP220))+1,10)))))*$D$50)))))*INDEX($I$220:$I$223,MATCH(LEFT(IP220,FIND("·",IP220)-1),$K$220:$K$223,0)),0),0),0)+IFERROR(IF(COUNTIF($C$220:$C$223,LEFT(IP220,FIND("·",IP220)-1))&gt;0,IF(INDEX($D$220:$D$223,MATCH(LEFT(IP220,FIND("·",IP220)-1),$C$220:$C$223,0))=IFERROR(VALUE(MID(IP220,FIND("·",IP220)+1,1)),0),($D$24+(INDEX($E$220:$E$223,MATCH(LEFT(IP220,FIND("·",IP220)-1),$C$220:$C$223,0))=MID(IP220,FIND("|",IP220)+1,10))*$D$26+MAX(0,IF($D$50=1,$D$25*(1-(ABS(INDEX($Q$220:$Q$223,MATCH(LEFT(IP220,FIND("·",IP220)-1),$C$220:$C$223,0))-(VALUE(MID(IP220,FIND("|",IP220)+1,FIND("-",IP220,FIND("|",IP220))-FIND("|",IP220)-1))-VALUE(MID(IP220,FIND("-",IP220,FIND("|",IP220))+1,10)))))*$D$50),$D$25*(1-(IF(INDEX($D$220:$D$223,MATCH(LEFT(IP220,FIND("·",IP220)-1),$C$220:$C$223,0))=0,ABS(INDEX($A$220:$A$223,MATCH(LEFT(IP220,FIND("·",IP220)-1),$C$220:$C$223,0))-VALUE(MID(IP220,FIND("|",IP220)+1,FIND("-",IP220,FIND("|",IP220))-FIND("|",IP220)-1))),ABS(INDEX($Q$220:$Q$223,MATCH(LEFT(IP220,FIND("·",IP220)-1),$C$220:$C$223,0))-(VALUE(MID(IP220,FIND("|",IP220)+1,FIND("-",IP220,FIND("|",IP220))-FIND("|",IP220)-1))-VALUE(MID(IP220,FIND("-",IP220,FIND("|",IP220))+1,10)))))*$D$50)))))*INDEX($I$220:$I$223,MATCH(LEFT(IP220,FIND("·",IP220)-1),$C$220:$C$223,0)),0),0),0)</f>
        <v>0</v>
      </c>
      <c r="IR220" s="110"/>
      <c r="IS220" s="76" t="str">
        <f>Idiomas!$D$369</f>
        <v>Paste Values Quarterfinals</v>
      </c>
      <c r="IT220" s="77">
        <f t="shared" ref="IT220" ca="1" si="2234">IFERROR(IF(COUNTIF($K$220:$K$223,LEFT(IS220,FIND("·",IS220)-1))&gt;0,IF(INDEX($L$220:$L$223,MATCH(LEFT(IS220,FIND("·",IS220)-1),$K$220:$K$223,0))=IFERROR(VALUE(MID(IS220,FIND("·",IS220)+1,1)),0),($D$24+(INDEX($M$220:$M$223,MATCH(LEFT(IS220,FIND("·",IS220)-1),$K$220:$K$223,0))=MID(IS220,FIND("|",IS220)+1,10))*$D$26+MAX(0,IF($D$50=1,$D$25*(1-(ABS(INDEX($P$220:$P$223,MATCH(LEFT(IS220,FIND("·",IS220)-1),$K$220:$K$223,0))-(VALUE(MID(IS220,FIND("|",IS220)+1,FIND("-",IS220,FIND("|",IS220))-FIND("|",IS220)-1))-VALUE(MID(IS220,FIND("-",IS220,FIND("|",IS220))+1,10)))))*$D$50),$D$25*(1-(IF(INDEX($L$220:$L$223,MATCH(LEFT(IS220,FIND("·",IS220)-1),$K$220:$K$223,0))=0,ABS(INDEX($N$220:$N$223,MATCH(LEFT(IS220,FIND("·",IS220)-1),$K$220:$K$223,0))-VALUE(MID(IS220,FIND("|",IS220)+1,FIND("-",IS220,FIND("|",IS220))-FIND("|",IS220)-1))),ABS(INDEX($P$220:$P$223,MATCH(LEFT(IS220,FIND("·",IS220)-1),$K$220:$K$223,0))-(VALUE(MID(IS220,FIND("|",IS220)+1,FIND("-",IS220,FIND("|",IS220))-FIND("|",IS220)-1))-VALUE(MID(IS220,FIND("-",IS220,FIND("|",IS220))+1,10)))))*$D$50)))))*INDEX($I$220:$I$223,MATCH(LEFT(IS220,FIND("·",IS220)-1),$K$220:$K$223,0)),0),0),0)+IFERROR(IF(COUNTIF($C$220:$C$223,LEFT(IS220,FIND("·",IS220)-1))&gt;0,IF(INDEX($D$220:$D$223,MATCH(LEFT(IS220,FIND("·",IS220)-1),$C$220:$C$223,0))=IFERROR(VALUE(MID(IS220,FIND("·",IS220)+1,1)),0),($D$24+(INDEX($E$220:$E$223,MATCH(LEFT(IS220,FIND("·",IS220)-1),$C$220:$C$223,0))=MID(IS220,FIND("|",IS220)+1,10))*$D$26+MAX(0,IF($D$50=1,$D$25*(1-(ABS(INDEX($Q$220:$Q$223,MATCH(LEFT(IS220,FIND("·",IS220)-1),$C$220:$C$223,0))-(VALUE(MID(IS220,FIND("|",IS220)+1,FIND("-",IS220,FIND("|",IS220))-FIND("|",IS220)-1))-VALUE(MID(IS220,FIND("-",IS220,FIND("|",IS220))+1,10)))))*$D$50),$D$25*(1-(IF(INDEX($D$220:$D$223,MATCH(LEFT(IS220,FIND("·",IS220)-1),$C$220:$C$223,0))=0,ABS(INDEX($A$220:$A$223,MATCH(LEFT(IS220,FIND("·",IS220)-1),$C$220:$C$223,0))-VALUE(MID(IS220,FIND("|",IS220)+1,FIND("-",IS220,FIND("|",IS220))-FIND("|",IS220)-1))),ABS(INDEX($Q$220:$Q$223,MATCH(LEFT(IS220,FIND("·",IS220)-1),$C$220:$C$223,0))-(VALUE(MID(IS220,FIND("|",IS220)+1,FIND("-",IS220,FIND("|",IS220))-FIND("|",IS220)-1))-VALUE(MID(IS220,FIND("-",IS220,FIND("|",IS220))+1,10)))))*$D$50)))))*INDEX($I$220:$I$223,MATCH(LEFT(IS220,FIND("·",IS220)-1),$C$220:$C$223,0)),0),0),0)</f>
        <v>0</v>
      </c>
      <c r="IU220" s="110"/>
      <c r="IV220" s="76" t="str">
        <f>Idiomas!$D$369</f>
        <v>Paste Values Quarterfinals</v>
      </c>
      <c r="IW220" s="77">
        <f t="shared" ref="IW220" ca="1" si="2235">IFERROR(IF(COUNTIF($K$220:$K$223,LEFT(IV220,FIND("·",IV220)-1))&gt;0,IF(INDEX($L$220:$L$223,MATCH(LEFT(IV220,FIND("·",IV220)-1),$K$220:$K$223,0))=IFERROR(VALUE(MID(IV220,FIND("·",IV220)+1,1)),0),($D$24+(INDEX($M$220:$M$223,MATCH(LEFT(IV220,FIND("·",IV220)-1),$K$220:$K$223,0))=MID(IV220,FIND("|",IV220)+1,10))*$D$26+MAX(0,IF($D$50=1,$D$25*(1-(ABS(INDEX($P$220:$P$223,MATCH(LEFT(IV220,FIND("·",IV220)-1),$K$220:$K$223,0))-(VALUE(MID(IV220,FIND("|",IV220)+1,FIND("-",IV220,FIND("|",IV220))-FIND("|",IV220)-1))-VALUE(MID(IV220,FIND("-",IV220,FIND("|",IV220))+1,10)))))*$D$50),$D$25*(1-(IF(INDEX($L$220:$L$223,MATCH(LEFT(IV220,FIND("·",IV220)-1),$K$220:$K$223,0))=0,ABS(INDEX($N$220:$N$223,MATCH(LEFT(IV220,FIND("·",IV220)-1),$K$220:$K$223,0))-VALUE(MID(IV220,FIND("|",IV220)+1,FIND("-",IV220,FIND("|",IV220))-FIND("|",IV220)-1))),ABS(INDEX($P$220:$P$223,MATCH(LEFT(IV220,FIND("·",IV220)-1),$K$220:$K$223,0))-(VALUE(MID(IV220,FIND("|",IV220)+1,FIND("-",IV220,FIND("|",IV220))-FIND("|",IV220)-1))-VALUE(MID(IV220,FIND("-",IV220,FIND("|",IV220))+1,10)))))*$D$50)))))*INDEX($I$220:$I$223,MATCH(LEFT(IV220,FIND("·",IV220)-1),$K$220:$K$223,0)),0),0),0)+IFERROR(IF(COUNTIF($C$220:$C$223,LEFT(IV220,FIND("·",IV220)-1))&gt;0,IF(INDEX($D$220:$D$223,MATCH(LEFT(IV220,FIND("·",IV220)-1),$C$220:$C$223,0))=IFERROR(VALUE(MID(IV220,FIND("·",IV220)+1,1)),0),($D$24+(INDEX($E$220:$E$223,MATCH(LEFT(IV220,FIND("·",IV220)-1),$C$220:$C$223,0))=MID(IV220,FIND("|",IV220)+1,10))*$D$26+MAX(0,IF($D$50=1,$D$25*(1-(ABS(INDEX($Q$220:$Q$223,MATCH(LEFT(IV220,FIND("·",IV220)-1),$C$220:$C$223,0))-(VALUE(MID(IV220,FIND("|",IV220)+1,FIND("-",IV220,FIND("|",IV220))-FIND("|",IV220)-1))-VALUE(MID(IV220,FIND("-",IV220,FIND("|",IV220))+1,10)))))*$D$50),$D$25*(1-(IF(INDEX($D$220:$D$223,MATCH(LEFT(IV220,FIND("·",IV220)-1),$C$220:$C$223,0))=0,ABS(INDEX($A$220:$A$223,MATCH(LEFT(IV220,FIND("·",IV220)-1),$C$220:$C$223,0))-VALUE(MID(IV220,FIND("|",IV220)+1,FIND("-",IV220,FIND("|",IV220))-FIND("|",IV220)-1))),ABS(INDEX($Q$220:$Q$223,MATCH(LEFT(IV220,FIND("·",IV220)-1),$C$220:$C$223,0))-(VALUE(MID(IV220,FIND("|",IV220)+1,FIND("-",IV220,FIND("|",IV220))-FIND("|",IV220)-1))-VALUE(MID(IV220,FIND("-",IV220,FIND("|",IV220))+1,10)))))*$D$50)))))*INDEX($I$220:$I$223,MATCH(LEFT(IV220,FIND("·",IV220)-1),$C$220:$C$223,0)),0),0),0)</f>
        <v>0</v>
      </c>
      <c r="IX220" s="110"/>
      <c r="IY220" s="76" t="str">
        <f>Idiomas!$D$369</f>
        <v>Paste Values Quarterfinals</v>
      </c>
      <c r="IZ220" s="77">
        <f t="shared" ref="IZ220" ca="1" si="2236">IFERROR(IF(COUNTIF($K$220:$K$223,LEFT(IY220,FIND("·",IY220)-1))&gt;0,IF(INDEX($L$220:$L$223,MATCH(LEFT(IY220,FIND("·",IY220)-1),$K$220:$K$223,0))=IFERROR(VALUE(MID(IY220,FIND("·",IY220)+1,1)),0),($D$24+(INDEX($M$220:$M$223,MATCH(LEFT(IY220,FIND("·",IY220)-1),$K$220:$K$223,0))=MID(IY220,FIND("|",IY220)+1,10))*$D$26+MAX(0,IF($D$50=1,$D$25*(1-(ABS(INDEX($P$220:$P$223,MATCH(LEFT(IY220,FIND("·",IY220)-1),$K$220:$K$223,0))-(VALUE(MID(IY220,FIND("|",IY220)+1,FIND("-",IY220,FIND("|",IY220))-FIND("|",IY220)-1))-VALUE(MID(IY220,FIND("-",IY220,FIND("|",IY220))+1,10)))))*$D$50),$D$25*(1-(IF(INDEX($L$220:$L$223,MATCH(LEFT(IY220,FIND("·",IY220)-1),$K$220:$K$223,0))=0,ABS(INDEX($N$220:$N$223,MATCH(LEFT(IY220,FIND("·",IY220)-1),$K$220:$K$223,0))-VALUE(MID(IY220,FIND("|",IY220)+1,FIND("-",IY220,FIND("|",IY220))-FIND("|",IY220)-1))),ABS(INDEX($P$220:$P$223,MATCH(LEFT(IY220,FIND("·",IY220)-1),$K$220:$K$223,0))-(VALUE(MID(IY220,FIND("|",IY220)+1,FIND("-",IY220,FIND("|",IY220))-FIND("|",IY220)-1))-VALUE(MID(IY220,FIND("-",IY220,FIND("|",IY220))+1,10)))))*$D$50)))))*INDEX($I$220:$I$223,MATCH(LEFT(IY220,FIND("·",IY220)-1),$K$220:$K$223,0)),0),0),0)+IFERROR(IF(COUNTIF($C$220:$C$223,LEFT(IY220,FIND("·",IY220)-1))&gt;0,IF(INDEX($D$220:$D$223,MATCH(LEFT(IY220,FIND("·",IY220)-1),$C$220:$C$223,0))=IFERROR(VALUE(MID(IY220,FIND("·",IY220)+1,1)),0),($D$24+(INDEX($E$220:$E$223,MATCH(LEFT(IY220,FIND("·",IY220)-1),$C$220:$C$223,0))=MID(IY220,FIND("|",IY220)+1,10))*$D$26+MAX(0,IF($D$50=1,$D$25*(1-(ABS(INDEX($Q$220:$Q$223,MATCH(LEFT(IY220,FIND("·",IY220)-1),$C$220:$C$223,0))-(VALUE(MID(IY220,FIND("|",IY220)+1,FIND("-",IY220,FIND("|",IY220))-FIND("|",IY220)-1))-VALUE(MID(IY220,FIND("-",IY220,FIND("|",IY220))+1,10)))))*$D$50),$D$25*(1-(IF(INDEX($D$220:$D$223,MATCH(LEFT(IY220,FIND("·",IY220)-1),$C$220:$C$223,0))=0,ABS(INDEX($A$220:$A$223,MATCH(LEFT(IY220,FIND("·",IY220)-1),$C$220:$C$223,0))-VALUE(MID(IY220,FIND("|",IY220)+1,FIND("-",IY220,FIND("|",IY220))-FIND("|",IY220)-1))),ABS(INDEX($Q$220:$Q$223,MATCH(LEFT(IY220,FIND("·",IY220)-1),$C$220:$C$223,0))-(VALUE(MID(IY220,FIND("|",IY220)+1,FIND("-",IY220,FIND("|",IY220))-FIND("|",IY220)-1))-VALUE(MID(IY220,FIND("-",IY220,FIND("|",IY220))+1,10)))))*$D$50)))))*INDEX($I$220:$I$223,MATCH(LEFT(IY220,FIND("·",IY220)-1),$C$220:$C$223,0)),0),0),0)</f>
        <v>0</v>
      </c>
      <c r="JA220" s="110"/>
      <c r="JB220" s="76" t="str">
        <f>Idiomas!$D$369</f>
        <v>Paste Values Quarterfinals</v>
      </c>
      <c r="JC220" s="77">
        <f t="shared" ref="JC220" ca="1" si="2237">IFERROR(IF(COUNTIF($K$220:$K$223,LEFT(JB220,FIND("·",JB220)-1))&gt;0,IF(INDEX($L$220:$L$223,MATCH(LEFT(JB220,FIND("·",JB220)-1),$K$220:$K$223,0))=IFERROR(VALUE(MID(JB220,FIND("·",JB220)+1,1)),0),($D$24+(INDEX($M$220:$M$223,MATCH(LEFT(JB220,FIND("·",JB220)-1),$K$220:$K$223,0))=MID(JB220,FIND("|",JB220)+1,10))*$D$26+MAX(0,IF($D$50=1,$D$25*(1-(ABS(INDEX($P$220:$P$223,MATCH(LEFT(JB220,FIND("·",JB220)-1),$K$220:$K$223,0))-(VALUE(MID(JB220,FIND("|",JB220)+1,FIND("-",JB220,FIND("|",JB220))-FIND("|",JB220)-1))-VALUE(MID(JB220,FIND("-",JB220,FIND("|",JB220))+1,10)))))*$D$50),$D$25*(1-(IF(INDEX($L$220:$L$223,MATCH(LEFT(JB220,FIND("·",JB220)-1),$K$220:$K$223,0))=0,ABS(INDEX($N$220:$N$223,MATCH(LEFT(JB220,FIND("·",JB220)-1),$K$220:$K$223,0))-VALUE(MID(JB220,FIND("|",JB220)+1,FIND("-",JB220,FIND("|",JB220))-FIND("|",JB220)-1))),ABS(INDEX($P$220:$P$223,MATCH(LEFT(JB220,FIND("·",JB220)-1),$K$220:$K$223,0))-(VALUE(MID(JB220,FIND("|",JB220)+1,FIND("-",JB220,FIND("|",JB220))-FIND("|",JB220)-1))-VALUE(MID(JB220,FIND("-",JB220,FIND("|",JB220))+1,10)))))*$D$50)))))*INDEX($I$220:$I$223,MATCH(LEFT(JB220,FIND("·",JB220)-1),$K$220:$K$223,0)),0),0),0)+IFERROR(IF(COUNTIF($C$220:$C$223,LEFT(JB220,FIND("·",JB220)-1))&gt;0,IF(INDEX($D$220:$D$223,MATCH(LEFT(JB220,FIND("·",JB220)-1),$C$220:$C$223,0))=IFERROR(VALUE(MID(JB220,FIND("·",JB220)+1,1)),0),($D$24+(INDEX($E$220:$E$223,MATCH(LEFT(JB220,FIND("·",JB220)-1),$C$220:$C$223,0))=MID(JB220,FIND("|",JB220)+1,10))*$D$26+MAX(0,IF($D$50=1,$D$25*(1-(ABS(INDEX($Q$220:$Q$223,MATCH(LEFT(JB220,FIND("·",JB220)-1),$C$220:$C$223,0))-(VALUE(MID(JB220,FIND("|",JB220)+1,FIND("-",JB220,FIND("|",JB220))-FIND("|",JB220)-1))-VALUE(MID(JB220,FIND("-",JB220,FIND("|",JB220))+1,10)))))*$D$50),$D$25*(1-(IF(INDEX($D$220:$D$223,MATCH(LEFT(JB220,FIND("·",JB220)-1),$C$220:$C$223,0))=0,ABS(INDEX($A$220:$A$223,MATCH(LEFT(JB220,FIND("·",JB220)-1),$C$220:$C$223,0))-VALUE(MID(JB220,FIND("|",JB220)+1,FIND("-",JB220,FIND("|",JB220))-FIND("|",JB220)-1))),ABS(INDEX($Q$220:$Q$223,MATCH(LEFT(JB220,FIND("·",JB220)-1),$C$220:$C$223,0))-(VALUE(MID(JB220,FIND("|",JB220)+1,FIND("-",JB220,FIND("|",JB220))-FIND("|",JB220)-1))-VALUE(MID(JB220,FIND("-",JB220,FIND("|",JB220))+1,10)))))*$D$50)))))*INDEX($I$220:$I$223,MATCH(LEFT(JB220,FIND("·",JB220)-1),$C$220:$C$223,0)),0),0),0)</f>
        <v>0</v>
      </c>
      <c r="JD220" s="110"/>
      <c r="JE220" s="76" t="str">
        <f>Idiomas!$D$369</f>
        <v>Paste Values Quarterfinals</v>
      </c>
      <c r="JF220" s="77">
        <f t="shared" ref="JF220" ca="1" si="2238">IFERROR(IF(COUNTIF($K$220:$K$223,LEFT(JE220,FIND("·",JE220)-1))&gt;0,IF(INDEX($L$220:$L$223,MATCH(LEFT(JE220,FIND("·",JE220)-1),$K$220:$K$223,0))=IFERROR(VALUE(MID(JE220,FIND("·",JE220)+1,1)),0),($D$24+(INDEX($M$220:$M$223,MATCH(LEFT(JE220,FIND("·",JE220)-1),$K$220:$K$223,0))=MID(JE220,FIND("|",JE220)+1,10))*$D$26+MAX(0,IF($D$50=1,$D$25*(1-(ABS(INDEX($P$220:$P$223,MATCH(LEFT(JE220,FIND("·",JE220)-1),$K$220:$K$223,0))-(VALUE(MID(JE220,FIND("|",JE220)+1,FIND("-",JE220,FIND("|",JE220))-FIND("|",JE220)-1))-VALUE(MID(JE220,FIND("-",JE220,FIND("|",JE220))+1,10)))))*$D$50),$D$25*(1-(IF(INDEX($L$220:$L$223,MATCH(LEFT(JE220,FIND("·",JE220)-1),$K$220:$K$223,0))=0,ABS(INDEX($N$220:$N$223,MATCH(LEFT(JE220,FIND("·",JE220)-1),$K$220:$K$223,0))-VALUE(MID(JE220,FIND("|",JE220)+1,FIND("-",JE220,FIND("|",JE220))-FIND("|",JE220)-1))),ABS(INDEX($P$220:$P$223,MATCH(LEFT(JE220,FIND("·",JE220)-1),$K$220:$K$223,0))-(VALUE(MID(JE220,FIND("|",JE220)+1,FIND("-",JE220,FIND("|",JE220))-FIND("|",JE220)-1))-VALUE(MID(JE220,FIND("-",JE220,FIND("|",JE220))+1,10)))))*$D$50)))))*INDEX($I$220:$I$223,MATCH(LEFT(JE220,FIND("·",JE220)-1),$K$220:$K$223,0)),0),0),0)+IFERROR(IF(COUNTIF($C$220:$C$223,LEFT(JE220,FIND("·",JE220)-1))&gt;0,IF(INDEX($D$220:$D$223,MATCH(LEFT(JE220,FIND("·",JE220)-1),$C$220:$C$223,0))=IFERROR(VALUE(MID(JE220,FIND("·",JE220)+1,1)),0),($D$24+(INDEX($E$220:$E$223,MATCH(LEFT(JE220,FIND("·",JE220)-1),$C$220:$C$223,0))=MID(JE220,FIND("|",JE220)+1,10))*$D$26+MAX(0,IF($D$50=1,$D$25*(1-(ABS(INDEX($Q$220:$Q$223,MATCH(LEFT(JE220,FIND("·",JE220)-1),$C$220:$C$223,0))-(VALUE(MID(JE220,FIND("|",JE220)+1,FIND("-",JE220,FIND("|",JE220))-FIND("|",JE220)-1))-VALUE(MID(JE220,FIND("-",JE220,FIND("|",JE220))+1,10)))))*$D$50),$D$25*(1-(IF(INDEX($D$220:$D$223,MATCH(LEFT(JE220,FIND("·",JE220)-1),$C$220:$C$223,0))=0,ABS(INDEX($A$220:$A$223,MATCH(LEFT(JE220,FIND("·",JE220)-1),$C$220:$C$223,0))-VALUE(MID(JE220,FIND("|",JE220)+1,FIND("-",JE220,FIND("|",JE220))-FIND("|",JE220)-1))),ABS(INDEX($Q$220:$Q$223,MATCH(LEFT(JE220,FIND("·",JE220)-1),$C$220:$C$223,0))-(VALUE(MID(JE220,FIND("|",JE220)+1,FIND("-",JE220,FIND("|",JE220))-FIND("|",JE220)-1))-VALUE(MID(JE220,FIND("-",JE220,FIND("|",JE220))+1,10)))))*$D$50)))))*INDEX($I$220:$I$223,MATCH(LEFT(JE220,FIND("·",JE220)-1),$C$220:$C$223,0)),0),0),0)</f>
        <v>0</v>
      </c>
      <c r="JG220" s="110"/>
      <c r="JH220" s="76" t="str">
        <f>Idiomas!$D$369</f>
        <v>Paste Values Quarterfinals</v>
      </c>
      <c r="JI220" s="77">
        <f t="shared" ref="JI220" ca="1" si="2239">IFERROR(IF(COUNTIF($K$220:$K$223,LEFT(JH220,FIND("·",JH220)-1))&gt;0,IF(INDEX($L$220:$L$223,MATCH(LEFT(JH220,FIND("·",JH220)-1),$K$220:$K$223,0))=IFERROR(VALUE(MID(JH220,FIND("·",JH220)+1,1)),0),($D$24+(INDEX($M$220:$M$223,MATCH(LEFT(JH220,FIND("·",JH220)-1),$K$220:$K$223,0))=MID(JH220,FIND("|",JH220)+1,10))*$D$26+MAX(0,IF($D$50=1,$D$25*(1-(ABS(INDEX($P$220:$P$223,MATCH(LEFT(JH220,FIND("·",JH220)-1),$K$220:$K$223,0))-(VALUE(MID(JH220,FIND("|",JH220)+1,FIND("-",JH220,FIND("|",JH220))-FIND("|",JH220)-1))-VALUE(MID(JH220,FIND("-",JH220,FIND("|",JH220))+1,10)))))*$D$50),$D$25*(1-(IF(INDEX($L$220:$L$223,MATCH(LEFT(JH220,FIND("·",JH220)-1),$K$220:$K$223,0))=0,ABS(INDEX($N$220:$N$223,MATCH(LEFT(JH220,FIND("·",JH220)-1),$K$220:$K$223,0))-VALUE(MID(JH220,FIND("|",JH220)+1,FIND("-",JH220,FIND("|",JH220))-FIND("|",JH220)-1))),ABS(INDEX($P$220:$P$223,MATCH(LEFT(JH220,FIND("·",JH220)-1),$K$220:$K$223,0))-(VALUE(MID(JH220,FIND("|",JH220)+1,FIND("-",JH220,FIND("|",JH220))-FIND("|",JH220)-1))-VALUE(MID(JH220,FIND("-",JH220,FIND("|",JH220))+1,10)))))*$D$50)))))*INDEX($I$220:$I$223,MATCH(LEFT(JH220,FIND("·",JH220)-1),$K$220:$K$223,0)),0),0),0)+IFERROR(IF(COUNTIF($C$220:$C$223,LEFT(JH220,FIND("·",JH220)-1))&gt;0,IF(INDEX($D$220:$D$223,MATCH(LEFT(JH220,FIND("·",JH220)-1),$C$220:$C$223,0))=IFERROR(VALUE(MID(JH220,FIND("·",JH220)+1,1)),0),($D$24+(INDEX($E$220:$E$223,MATCH(LEFT(JH220,FIND("·",JH220)-1),$C$220:$C$223,0))=MID(JH220,FIND("|",JH220)+1,10))*$D$26+MAX(0,IF($D$50=1,$D$25*(1-(ABS(INDEX($Q$220:$Q$223,MATCH(LEFT(JH220,FIND("·",JH220)-1),$C$220:$C$223,0))-(VALUE(MID(JH220,FIND("|",JH220)+1,FIND("-",JH220,FIND("|",JH220))-FIND("|",JH220)-1))-VALUE(MID(JH220,FIND("-",JH220,FIND("|",JH220))+1,10)))))*$D$50),$D$25*(1-(IF(INDEX($D$220:$D$223,MATCH(LEFT(JH220,FIND("·",JH220)-1),$C$220:$C$223,0))=0,ABS(INDEX($A$220:$A$223,MATCH(LEFT(JH220,FIND("·",JH220)-1),$C$220:$C$223,0))-VALUE(MID(JH220,FIND("|",JH220)+1,FIND("-",JH220,FIND("|",JH220))-FIND("|",JH220)-1))),ABS(INDEX($Q$220:$Q$223,MATCH(LEFT(JH220,FIND("·",JH220)-1),$C$220:$C$223,0))-(VALUE(MID(JH220,FIND("|",JH220)+1,FIND("-",JH220,FIND("|",JH220))-FIND("|",JH220)-1))-VALUE(MID(JH220,FIND("-",JH220,FIND("|",JH220))+1,10)))))*$D$50)))))*INDEX($I$220:$I$223,MATCH(LEFT(JH220,FIND("·",JH220)-1),$C$220:$C$223,0)),0),0),0)</f>
        <v>0</v>
      </c>
      <c r="JJ220" s="110"/>
      <c r="JK220" s="76" t="str">
        <f>Idiomas!$D$369</f>
        <v>Paste Values Quarterfinals</v>
      </c>
      <c r="JL220" s="77">
        <f t="shared" ref="JL220" ca="1" si="2240">IFERROR(IF(COUNTIF($K$220:$K$223,LEFT(JK220,FIND("·",JK220)-1))&gt;0,IF(INDEX($L$220:$L$223,MATCH(LEFT(JK220,FIND("·",JK220)-1),$K$220:$K$223,0))=IFERROR(VALUE(MID(JK220,FIND("·",JK220)+1,1)),0),($D$24+(INDEX($M$220:$M$223,MATCH(LEFT(JK220,FIND("·",JK220)-1),$K$220:$K$223,0))=MID(JK220,FIND("|",JK220)+1,10))*$D$26+MAX(0,IF($D$50=1,$D$25*(1-(ABS(INDEX($P$220:$P$223,MATCH(LEFT(JK220,FIND("·",JK220)-1),$K$220:$K$223,0))-(VALUE(MID(JK220,FIND("|",JK220)+1,FIND("-",JK220,FIND("|",JK220))-FIND("|",JK220)-1))-VALUE(MID(JK220,FIND("-",JK220,FIND("|",JK220))+1,10)))))*$D$50),$D$25*(1-(IF(INDEX($L$220:$L$223,MATCH(LEFT(JK220,FIND("·",JK220)-1),$K$220:$K$223,0))=0,ABS(INDEX($N$220:$N$223,MATCH(LEFT(JK220,FIND("·",JK220)-1),$K$220:$K$223,0))-VALUE(MID(JK220,FIND("|",JK220)+1,FIND("-",JK220,FIND("|",JK220))-FIND("|",JK220)-1))),ABS(INDEX($P$220:$P$223,MATCH(LEFT(JK220,FIND("·",JK220)-1),$K$220:$K$223,0))-(VALUE(MID(JK220,FIND("|",JK220)+1,FIND("-",JK220,FIND("|",JK220))-FIND("|",JK220)-1))-VALUE(MID(JK220,FIND("-",JK220,FIND("|",JK220))+1,10)))))*$D$50)))))*INDEX($I$220:$I$223,MATCH(LEFT(JK220,FIND("·",JK220)-1),$K$220:$K$223,0)),0),0),0)+IFERROR(IF(COUNTIF($C$220:$C$223,LEFT(JK220,FIND("·",JK220)-1))&gt;0,IF(INDEX($D$220:$D$223,MATCH(LEFT(JK220,FIND("·",JK220)-1),$C$220:$C$223,0))=IFERROR(VALUE(MID(JK220,FIND("·",JK220)+1,1)),0),($D$24+(INDEX($E$220:$E$223,MATCH(LEFT(JK220,FIND("·",JK220)-1),$C$220:$C$223,0))=MID(JK220,FIND("|",JK220)+1,10))*$D$26+MAX(0,IF($D$50=1,$D$25*(1-(ABS(INDEX($Q$220:$Q$223,MATCH(LEFT(JK220,FIND("·",JK220)-1),$C$220:$C$223,0))-(VALUE(MID(JK220,FIND("|",JK220)+1,FIND("-",JK220,FIND("|",JK220))-FIND("|",JK220)-1))-VALUE(MID(JK220,FIND("-",JK220,FIND("|",JK220))+1,10)))))*$D$50),$D$25*(1-(IF(INDEX($D$220:$D$223,MATCH(LEFT(JK220,FIND("·",JK220)-1),$C$220:$C$223,0))=0,ABS(INDEX($A$220:$A$223,MATCH(LEFT(JK220,FIND("·",JK220)-1),$C$220:$C$223,0))-VALUE(MID(JK220,FIND("|",JK220)+1,FIND("-",JK220,FIND("|",JK220))-FIND("|",JK220)-1))),ABS(INDEX($Q$220:$Q$223,MATCH(LEFT(JK220,FIND("·",JK220)-1),$C$220:$C$223,0))-(VALUE(MID(JK220,FIND("|",JK220)+1,FIND("-",JK220,FIND("|",JK220))-FIND("|",JK220)-1))-VALUE(MID(JK220,FIND("-",JK220,FIND("|",JK220))+1,10)))))*$D$50)))))*INDEX($I$220:$I$223,MATCH(LEFT(JK220,FIND("·",JK220)-1),$C$220:$C$223,0)),0),0),0)</f>
        <v>0</v>
      </c>
      <c r="JM220" s="110"/>
      <c r="JN220" s="76" t="str">
        <f>Idiomas!$D$369</f>
        <v>Paste Values Quarterfinals</v>
      </c>
      <c r="JO220" s="77">
        <f t="shared" ref="JO220" ca="1" si="2241">IFERROR(IF(COUNTIF($K$220:$K$223,LEFT(JN220,FIND("·",JN220)-1))&gt;0,IF(INDEX($L$220:$L$223,MATCH(LEFT(JN220,FIND("·",JN220)-1),$K$220:$K$223,0))=IFERROR(VALUE(MID(JN220,FIND("·",JN220)+1,1)),0),($D$24+(INDEX($M$220:$M$223,MATCH(LEFT(JN220,FIND("·",JN220)-1),$K$220:$K$223,0))=MID(JN220,FIND("|",JN220)+1,10))*$D$26+MAX(0,IF($D$50=1,$D$25*(1-(ABS(INDEX($P$220:$P$223,MATCH(LEFT(JN220,FIND("·",JN220)-1),$K$220:$K$223,0))-(VALUE(MID(JN220,FIND("|",JN220)+1,FIND("-",JN220,FIND("|",JN220))-FIND("|",JN220)-1))-VALUE(MID(JN220,FIND("-",JN220,FIND("|",JN220))+1,10)))))*$D$50),$D$25*(1-(IF(INDEX($L$220:$L$223,MATCH(LEFT(JN220,FIND("·",JN220)-1),$K$220:$K$223,0))=0,ABS(INDEX($N$220:$N$223,MATCH(LEFT(JN220,FIND("·",JN220)-1),$K$220:$K$223,0))-VALUE(MID(JN220,FIND("|",JN220)+1,FIND("-",JN220,FIND("|",JN220))-FIND("|",JN220)-1))),ABS(INDEX($P$220:$P$223,MATCH(LEFT(JN220,FIND("·",JN220)-1),$K$220:$K$223,0))-(VALUE(MID(JN220,FIND("|",JN220)+1,FIND("-",JN220,FIND("|",JN220))-FIND("|",JN220)-1))-VALUE(MID(JN220,FIND("-",JN220,FIND("|",JN220))+1,10)))))*$D$50)))))*INDEX($I$220:$I$223,MATCH(LEFT(JN220,FIND("·",JN220)-1),$K$220:$K$223,0)),0),0),0)+IFERROR(IF(COUNTIF($C$220:$C$223,LEFT(JN220,FIND("·",JN220)-1))&gt;0,IF(INDEX($D$220:$D$223,MATCH(LEFT(JN220,FIND("·",JN220)-1),$C$220:$C$223,0))=IFERROR(VALUE(MID(JN220,FIND("·",JN220)+1,1)),0),($D$24+(INDEX($E$220:$E$223,MATCH(LEFT(JN220,FIND("·",JN220)-1),$C$220:$C$223,0))=MID(JN220,FIND("|",JN220)+1,10))*$D$26+MAX(0,IF($D$50=1,$D$25*(1-(ABS(INDEX($Q$220:$Q$223,MATCH(LEFT(JN220,FIND("·",JN220)-1),$C$220:$C$223,0))-(VALUE(MID(JN220,FIND("|",JN220)+1,FIND("-",JN220,FIND("|",JN220))-FIND("|",JN220)-1))-VALUE(MID(JN220,FIND("-",JN220,FIND("|",JN220))+1,10)))))*$D$50),$D$25*(1-(IF(INDEX($D$220:$D$223,MATCH(LEFT(JN220,FIND("·",JN220)-1),$C$220:$C$223,0))=0,ABS(INDEX($A$220:$A$223,MATCH(LEFT(JN220,FIND("·",JN220)-1),$C$220:$C$223,0))-VALUE(MID(JN220,FIND("|",JN220)+1,FIND("-",JN220,FIND("|",JN220))-FIND("|",JN220)-1))),ABS(INDEX($Q$220:$Q$223,MATCH(LEFT(JN220,FIND("·",JN220)-1),$C$220:$C$223,0))-(VALUE(MID(JN220,FIND("|",JN220)+1,FIND("-",JN220,FIND("|",JN220))-FIND("|",JN220)-1))-VALUE(MID(JN220,FIND("-",JN220,FIND("|",JN220))+1,10)))))*$D$50)))))*INDEX($I$220:$I$223,MATCH(LEFT(JN220,FIND("·",JN220)-1),$C$220:$C$223,0)),0),0),0)</f>
        <v>0</v>
      </c>
      <c r="JP220" s="110"/>
      <c r="JQ220" s="76" t="str">
        <f>Idiomas!$D$369</f>
        <v>Paste Values Quarterfinals</v>
      </c>
      <c r="JR220" s="77">
        <f t="shared" ref="JR220" ca="1" si="2242">IFERROR(IF(COUNTIF($K$220:$K$223,LEFT(JQ220,FIND("·",JQ220)-1))&gt;0,IF(INDEX($L$220:$L$223,MATCH(LEFT(JQ220,FIND("·",JQ220)-1),$K$220:$K$223,0))=IFERROR(VALUE(MID(JQ220,FIND("·",JQ220)+1,1)),0),($D$24+(INDEX($M$220:$M$223,MATCH(LEFT(JQ220,FIND("·",JQ220)-1),$K$220:$K$223,0))=MID(JQ220,FIND("|",JQ220)+1,10))*$D$26+MAX(0,IF($D$50=1,$D$25*(1-(ABS(INDEX($P$220:$P$223,MATCH(LEFT(JQ220,FIND("·",JQ220)-1),$K$220:$K$223,0))-(VALUE(MID(JQ220,FIND("|",JQ220)+1,FIND("-",JQ220,FIND("|",JQ220))-FIND("|",JQ220)-1))-VALUE(MID(JQ220,FIND("-",JQ220,FIND("|",JQ220))+1,10)))))*$D$50),$D$25*(1-(IF(INDEX($L$220:$L$223,MATCH(LEFT(JQ220,FIND("·",JQ220)-1),$K$220:$K$223,0))=0,ABS(INDEX($N$220:$N$223,MATCH(LEFT(JQ220,FIND("·",JQ220)-1),$K$220:$K$223,0))-VALUE(MID(JQ220,FIND("|",JQ220)+1,FIND("-",JQ220,FIND("|",JQ220))-FIND("|",JQ220)-1))),ABS(INDEX($P$220:$P$223,MATCH(LEFT(JQ220,FIND("·",JQ220)-1),$K$220:$K$223,0))-(VALUE(MID(JQ220,FIND("|",JQ220)+1,FIND("-",JQ220,FIND("|",JQ220))-FIND("|",JQ220)-1))-VALUE(MID(JQ220,FIND("-",JQ220,FIND("|",JQ220))+1,10)))))*$D$50)))))*INDEX($I$220:$I$223,MATCH(LEFT(JQ220,FIND("·",JQ220)-1),$K$220:$K$223,0)),0),0),0)+IFERROR(IF(COUNTIF($C$220:$C$223,LEFT(JQ220,FIND("·",JQ220)-1))&gt;0,IF(INDEX($D$220:$D$223,MATCH(LEFT(JQ220,FIND("·",JQ220)-1),$C$220:$C$223,0))=IFERROR(VALUE(MID(JQ220,FIND("·",JQ220)+1,1)),0),($D$24+(INDEX($E$220:$E$223,MATCH(LEFT(JQ220,FIND("·",JQ220)-1),$C$220:$C$223,0))=MID(JQ220,FIND("|",JQ220)+1,10))*$D$26+MAX(0,IF($D$50=1,$D$25*(1-(ABS(INDEX($Q$220:$Q$223,MATCH(LEFT(JQ220,FIND("·",JQ220)-1),$C$220:$C$223,0))-(VALUE(MID(JQ220,FIND("|",JQ220)+1,FIND("-",JQ220,FIND("|",JQ220))-FIND("|",JQ220)-1))-VALUE(MID(JQ220,FIND("-",JQ220,FIND("|",JQ220))+1,10)))))*$D$50),$D$25*(1-(IF(INDEX($D$220:$D$223,MATCH(LEFT(JQ220,FIND("·",JQ220)-1),$C$220:$C$223,0))=0,ABS(INDEX($A$220:$A$223,MATCH(LEFT(JQ220,FIND("·",JQ220)-1),$C$220:$C$223,0))-VALUE(MID(JQ220,FIND("|",JQ220)+1,FIND("-",JQ220,FIND("|",JQ220))-FIND("|",JQ220)-1))),ABS(INDEX($Q$220:$Q$223,MATCH(LEFT(JQ220,FIND("·",JQ220)-1),$C$220:$C$223,0))-(VALUE(MID(JQ220,FIND("|",JQ220)+1,FIND("-",JQ220,FIND("|",JQ220))-FIND("|",JQ220)-1))-VALUE(MID(JQ220,FIND("-",JQ220,FIND("|",JQ220))+1,10)))))*$D$50)))))*INDEX($I$220:$I$223,MATCH(LEFT(JQ220,FIND("·",JQ220)-1),$C$220:$C$223,0)),0),0),0)</f>
        <v>0</v>
      </c>
      <c r="JS220" s="110"/>
      <c r="JT220" s="76" t="str">
        <f>Idiomas!$D$369</f>
        <v>Paste Values Quarterfinals</v>
      </c>
      <c r="JU220" s="77">
        <f t="shared" ref="JU220" ca="1" si="2243">IFERROR(IF(COUNTIF($K$220:$K$223,LEFT(JT220,FIND("·",JT220)-1))&gt;0,IF(INDEX($L$220:$L$223,MATCH(LEFT(JT220,FIND("·",JT220)-1),$K$220:$K$223,0))=IFERROR(VALUE(MID(JT220,FIND("·",JT220)+1,1)),0),($D$24+(INDEX($M$220:$M$223,MATCH(LEFT(JT220,FIND("·",JT220)-1),$K$220:$K$223,0))=MID(JT220,FIND("|",JT220)+1,10))*$D$26+MAX(0,IF($D$50=1,$D$25*(1-(ABS(INDEX($P$220:$P$223,MATCH(LEFT(JT220,FIND("·",JT220)-1),$K$220:$K$223,0))-(VALUE(MID(JT220,FIND("|",JT220)+1,FIND("-",JT220,FIND("|",JT220))-FIND("|",JT220)-1))-VALUE(MID(JT220,FIND("-",JT220,FIND("|",JT220))+1,10)))))*$D$50),$D$25*(1-(IF(INDEX($L$220:$L$223,MATCH(LEFT(JT220,FIND("·",JT220)-1),$K$220:$K$223,0))=0,ABS(INDEX($N$220:$N$223,MATCH(LEFT(JT220,FIND("·",JT220)-1),$K$220:$K$223,0))-VALUE(MID(JT220,FIND("|",JT220)+1,FIND("-",JT220,FIND("|",JT220))-FIND("|",JT220)-1))),ABS(INDEX($P$220:$P$223,MATCH(LEFT(JT220,FIND("·",JT220)-1),$K$220:$K$223,0))-(VALUE(MID(JT220,FIND("|",JT220)+1,FIND("-",JT220,FIND("|",JT220))-FIND("|",JT220)-1))-VALUE(MID(JT220,FIND("-",JT220,FIND("|",JT220))+1,10)))))*$D$50)))))*INDEX($I$220:$I$223,MATCH(LEFT(JT220,FIND("·",JT220)-1),$K$220:$K$223,0)),0),0),0)+IFERROR(IF(COUNTIF($C$220:$C$223,LEFT(JT220,FIND("·",JT220)-1))&gt;0,IF(INDEX($D$220:$D$223,MATCH(LEFT(JT220,FIND("·",JT220)-1),$C$220:$C$223,0))=IFERROR(VALUE(MID(JT220,FIND("·",JT220)+1,1)),0),($D$24+(INDEX($E$220:$E$223,MATCH(LEFT(JT220,FIND("·",JT220)-1),$C$220:$C$223,0))=MID(JT220,FIND("|",JT220)+1,10))*$D$26+MAX(0,IF($D$50=1,$D$25*(1-(ABS(INDEX($Q$220:$Q$223,MATCH(LEFT(JT220,FIND("·",JT220)-1),$C$220:$C$223,0))-(VALUE(MID(JT220,FIND("|",JT220)+1,FIND("-",JT220,FIND("|",JT220))-FIND("|",JT220)-1))-VALUE(MID(JT220,FIND("-",JT220,FIND("|",JT220))+1,10)))))*$D$50),$D$25*(1-(IF(INDEX($D$220:$D$223,MATCH(LEFT(JT220,FIND("·",JT220)-1),$C$220:$C$223,0))=0,ABS(INDEX($A$220:$A$223,MATCH(LEFT(JT220,FIND("·",JT220)-1),$C$220:$C$223,0))-VALUE(MID(JT220,FIND("|",JT220)+1,FIND("-",JT220,FIND("|",JT220))-FIND("|",JT220)-1))),ABS(INDEX($Q$220:$Q$223,MATCH(LEFT(JT220,FIND("·",JT220)-1),$C$220:$C$223,0))-(VALUE(MID(JT220,FIND("|",JT220)+1,FIND("-",JT220,FIND("|",JT220))-FIND("|",JT220)-1))-VALUE(MID(JT220,FIND("-",JT220,FIND("|",JT220))+1,10)))))*$D$50)))))*INDEX($I$220:$I$223,MATCH(LEFT(JT220,FIND("·",JT220)-1),$C$220:$C$223,0)),0),0),0)</f>
        <v>0</v>
      </c>
      <c r="JV220" s="110"/>
      <c r="JW220" s="76" t="str">
        <f>Idiomas!$D$369</f>
        <v>Paste Values Quarterfinals</v>
      </c>
      <c r="JX220" s="77">
        <f t="shared" ref="JX220" ca="1" si="2244">IFERROR(IF(COUNTIF($K$220:$K$223,LEFT(JW220,FIND("·",JW220)-1))&gt;0,IF(INDEX($L$220:$L$223,MATCH(LEFT(JW220,FIND("·",JW220)-1),$K$220:$K$223,0))=IFERROR(VALUE(MID(JW220,FIND("·",JW220)+1,1)),0),($D$24+(INDEX($M$220:$M$223,MATCH(LEFT(JW220,FIND("·",JW220)-1),$K$220:$K$223,0))=MID(JW220,FIND("|",JW220)+1,10))*$D$26+MAX(0,IF($D$50=1,$D$25*(1-(ABS(INDEX($P$220:$P$223,MATCH(LEFT(JW220,FIND("·",JW220)-1),$K$220:$K$223,0))-(VALUE(MID(JW220,FIND("|",JW220)+1,FIND("-",JW220,FIND("|",JW220))-FIND("|",JW220)-1))-VALUE(MID(JW220,FIND("-",JW220,FIND("|",JW220))+1,10)))))*$D$50),$D$25*(1-(IF(INDEX($L$220:$L$223,MATCH(LEFT(JW220,FIND("·",JW220)-1),$K$220:$K$223,0))=0,ABS(INDEX($N$220:$N$223,MATCH(LEFT(JW220,FIND("·",JW220)-1),$K$220:$K$223,0))-VALUE(MID(JW220,FIND("|",JW220)+1,FIND("-",JW220,FIND("|",JW220))-FIND("|",JW220)-1))),ABS(INDEX($P$220:$P$223,MATCH(LEFT(JW220,FIND("·",JW220)-1),$K$220:$K$223,0))-(VALUE(MID(JW220,FIND("|",JW220)+1,FIND("-",JW220,FIND("|",JW220))-FIND("|",JW220)-1))-VALUE(MID(JW220,FIND("-",JW220,FIND("|",JW220))+1,10)))))*$D$50)))))*INDEX($I$220:$I$223,MATCH(LEFT(JW220,FIND("·",JW220)-1),$K$220:$K$223,0)),0),0),0)+IFERROR(IF(COUNTIF($C$220:$C$223,LEFT(JW220,FIND("·",JW220)-1))&gt;0,IF(INDEX($D$220:$D$223,MATCH(LEFT(JW220,FIND("·",JW220)-1),$C$220:$C$223,0))=IFERROR(VALUE(MID(JW220,FIND("·",JW220)+1,1)),0),($D$24+(INDEX($E$220:$E$223,MATCH(LEFT(JW220,FIND("·",JW220)-1),$C$220:$C$223,0))=MID(JW220,FIND("|",JW220)+1,10))*$D$26+MAX(0,IF($D$50=1,$D$25*(1-(ABS(INDEX($Q$220:$Q$223,MATCH(LEFT(JW220,FIND("·",JW220)-1),$C$220:$C$223,0))-(VALUE(MID(JW220,FIND("|",JW220)+1,FIND("-",JW220,FIND("|",JW220))-FIND("|",JW220)-1))-VALUE(MID(JW220,FIND("-",JW220,FIND("|",JW220))+1,10)))))*$D$50),$D$25*(1-(IF(INDEX($D$220:$D$223,MATCH(LEFT(JW220,FIND("·",JW220)-1),$C$220:$C$223,0))=0,ABS(INDEX($A$220:$A$223,MATCH(LEFT(JW220,FIND("·",JW220)-1),$C$220:$C$223,0))-VALUE(MID(JW220,FIND("|",JW220)+1,FIND("-",JW220,FIND("|",JW220))-FIND("|",JW220)-1))),ABS(INDEX($Q$220:$Q$223,MATCH(LEFT(JW220,FIND("·",JW220)-1),$C$220:$C$223,0))-(VALUE(MID(JW220,FIND("|",JW220)+1,FIND("-",JW220,FIND("|",JW220))-FIND("|",JW220)-1))-VALUE(MID(JW220,FIND("-",JW220,FIND("|",JW220))+1,10)))))*$D$50)))))*INDEX($I$220:$I$223,MATCH(LEFT(JW220,FIND("·",JW220)-1),$C$220:$C$223,0)),0),0),0)</f>
        <v>0</v>
      </c>
      <c r="JY220" s="110"/>
      <c r="JZ220" s="76" t="str">
        <f>Idiomas!$D$369</f>
        <v>Paste Values Quarterfinals</v>
      </c>
      <c r="KA220" s="77">
        <f t="shared" ref="KA220:LE223" ca="1" si="2245">IFERROR(IF(COUNTIF($K$220:$K$223,LEFT(JZ220,FIND("·",JZ220)-1))&gt;0,IF(INDEX($L$220:$L$223,MATCH(LEFT(JZ220,FIND("·",JZ220)-1),$K$220:$K$223,0))=IFERROR(VALUE(MID(JZ220,FIND("·",JZ220)+1,1)),0),($D$24+(INDEX($M$220:$M$223,MATCH(LEFT(JZ220,FIND("·",JZ220)-1),$K$220:$K$223,0))=MID(JZ220,FIND("|",JZ220)+1,10))*$D$26+MAX(0,IF($D$50=1,$D$25*(1-(ABS(INDEX($P$220:$P$223,MATCH(LEFT(JZ220,FIND("·",JZ220)-1),$K$220:$K$223,0))-(VALUE(MID(JZ220,FIND("|",JZ220)+1,FIND("-",JZ220,FIND("|",JZ220))-FIND("|",JZ220)-1))-VALUE(MID(JZ220,FIND("-",JZ220,FIND("|",JZ220))+1,10)))))*$D$50),$D$25*(1-(IF(INDEX($L$220:$L$223,MATCH(LEFT(JZ220,FIND("·",JZ220)-1),$K$220:$K$223,0))=0,ABS(INDEX($N$220:$N$223,MATCH(LEFT(JZ220,FIND("·",JZ220)-1),$K$220:$K$223,0))-VALUE(MID(JZ220,FIND("|",JZ220)+1,FIND("-",JZ220,FIND("|",JZ220))-FIND("|",JZ220)-1))),ABS(INDEX($P$220:$P$223,MATCH(LEFT(JZ220,FIND("·",JZ220)-1),$K$220:$K$223,0))-(VALUE(MID(JZ220,FIND("|",JZ220)+1,FIND("-",JZ220,FIND("|",JZ220))-FIND("|",JZ220)-1))-VALUE(MID(JZ220,FIND("-",JZ220,FIND("|",JZ220))+1,10)))))*$D$50)))))*INDEX($I$220:$I$223,MATCH(LEFT(JZ220,FIND("·",JZ220)-1),$K$220:$K$223,0)),0),0),0)+IFERROR(IF(COUNTIF($C$220:$C$223,LEFT(JZ220,FIND("·",JZ220)-1))&gt;0,IF(INDEX($D$220:$D$223,MATCH(LEFT(JZ220,FIND("·",JZ220)-1),$C$220:$C$223,0))=IFERROR(VALUE(MID(JZ220,FIND("·",JZ220)+1,1)),0),($D$24+(INDEX($E$220:$E$223,MATCH(LEFT(JZ220,FIND("·",JZ220)-1),$C$220:$C$223,0))=MID(JZ220,FIND("|",JZ220)+1,10))*$D$26+MAX(0,IF($D$50=1,$D$25*(1-(ABS(INDEX($Q$220:$Q$223,MATCH(LEFT(JZ220,FIND("·",JZ220)-1),$C$220:$C$223,0))-(VALUE(MID(JZ220,FIND("|",JZ220)+1,FIND("-",JZ220,FIND("|",JZ220))-FIND("|",JZ220)-1))-VALUE(MID(JZ220,FIND("-",JZ220,FIND("|",JZ220))+1,10)))))*$D$50),$D$25*(1-(IF(INDEX($D$220:$D$223,MATCH(LEFT(JZ220,FIND("·",JZ220)-1),$C$220:$C$223,0))=0,ABS(INDEX($A$220:$A$223,MATCH(LEFT(JZ220,FIND("·",JZ220)-1),$C$220:$C$223,0))-VALUE(MID(JZ220,FIND("|",JZ220)+1,FIND("-",JZ220,FIND("|",JZ220))-FIND("|",JZ220)-1))),ABS(INDEX($Q$220:$Q$223,MATCH(LEFT(JZ220,FIND("·",JZ220)-1),$C$220:$C$223,0))-(VALUE(MID(JZ220,FIND("|",JZ220)+1,FIND("-",JZ220,FIND("|",JZ220))-FIND("|",JZ220)-1))-VALUE(MID(JZ220,FIND("-",JZ220,FIND("|",JZ220))+1,10)))))*$D$50)))))*INDEX($I$220:$I$223,MATCH(LEFT(JZ220,FIND("·",JZ220)-1),$C$220:$C$223,0)),0),0),0)</f>
        <v>0</v>
      </c>
      <c r="KB220" s="110"/>
      <c r="KC220" s="76" t="str">
        <f>Idiomas!$D$369</f>
        <v>Paste Values Quarterfinals</v>
      </c>
      <c r="KD220" s="77">
        <f t="shared" ref="KD220" ca="1" si="2246">IFERROR(IF(COUNTIF($K$220:$K$223,LEFT(KC220,FIND("·",KC220)-1))&gt;0,IF(INDEX($L$220:$L$223,MATCH(LEFT(KC220,FIND("·",KC220)-1),$K$220:$K$223,0))=IFERROR(VALUE(MID(KC220,FIND("·",KC220)+1,1)),0),($D$24+(INDEX($M$220:$M$223,MATCH(LEFT(KC220,FIND("·",KC220)-1),$K$220:$K$223,0))=MID(KC220,FIND("|",KC220)+1,10))*$D$26+MAX(0,IF($D$50=1,$D$25*(1-(ABS(INDEX($P$220:$P$223,MATCH(LEFT(KC220,FIND("·",KC220)-1),$K$220:$K$223,0))-(VALUE(MID(KC220,FIND("|",KC220)+1,FIND("-",KC220,FIND("|",KC220))-FIND("|",KC220)-1))-VALUE(MID(KC220,FIND("-",KC220,FIND("|",KC220))+1,10)))))*$D$50),$D$25*(1-(IF(INDEX($L$220:$L$223,MATCH(LEFT(KC220,FIND("·",KC220)-1),$K$220:$K$223,0))=0,ABS(INDEX($N$220:$N$223,MATCH(LEFT(KC220,FIND("·",KC220)-1),$K$220:$K$223,0))-VALUE(MID(KC220,FIND("|",KC220)+1,FIND("-",KC220,FIND("|",KC220))-FIND("|",KC220)-1))),ABS(INDEX($P$220:$P$223,MATCH(LEFT(KC220,FIND("·",KC220)-1),$K$220:$K$223,0))-(VALUE(MID(KC220,FIND("|",KC220)+1,FIND("-",KC220,FIND("|",KC220))-FIND("|",KC220)-1))-VALUE(MID(KC220,FIND("-",KC220,FIND("|",KC220))+1,10)))))*$D$50)))))*INDEX($I$220:$I$223,MATCH(LEFT(KC220,FIND("·",KC220)-1),$K$220:$K$223,0)),0),0),0)+IFERROR(IF(COUNTIF($C$220:$C$223,LEFT(KC220,FIND("·",KC220)-1))&gt;0,IF(INDEX($D$220:$D$223,MATCH(LEFT(KC220,FIND("·",KC220)-1),$C$220:$C$223,0))=IFERROR(VALUE(MID(KC220,FIND("·",KC220)+1,1)),0),($D$24+(INDEX($E$220:$E$223,MATCH(LEFT(KC220,FIND("·",KC220)-1),$C$220:$C$223,0))=MID(KC220,FIND("|",KC220)+1,10))*$D$26+MAX(0,IF($D$50=1,$D$25*(1-(ABS(INDEX($Q$220:$Q$223,MATCH(LEFT(KC220,FIND("·",KC220)-1),$C$220:$C$223,0))-(VALUE(MID(KC220,FIND("|",KC220)+1,FIND("-",KC220,FIND("|",KC220))-FIND("|",KC220)-1))-VALUE(MID(KC220,FIND("-",KC220,FIND("|",KC220))+1,10)))))*$D$50),$D$25*(1-(IF(INDEX($D$220:$D$223,MATCH(LEFT(KC220,FIND("·",KC220)-1),$C$220:$C$223,0))=0,ABS(INDEX($A$220:$A$223,MATCH(LEFT(KC220,FIND("·",KC220)-1),$C$220:$C$223,0))-VALUE(MID(KC220,FIND("|",KC220)+1,FIND("-",KC220,FIND("|",KC220))-FIND("|",KC220)-1))),ABS(INDEX($Q$220:$Q$223,MATCH(LEFT(KC220,FIND("·",KC220)-1),$C$220:$C$223,0))-(VALUE(MID(KC220,FIND("|",KC220)+1,FIND("-",KC220,FIND("|",KC220))-FIND("|",KC220)-1))-VALUE(MID(KC220,FIND("-",KC220,FIND("|",KC220))+1,10)))))*$D$50)))))*INDEX($I$220:$I$223,MATCH(LEFT(KC220,FIND("·",KC220)-1),$C$220:$C$223,0)),0),0),0)</f>
        <v>0</v>
      </c>
      <c r="KE220" s="110"/>
      <c r="KF220" s="76" t="str">
        <f>Idiomas!$D$369</f>
        <v>Paste Values Quarterfinals</v>
      </c>
      <c r="KG220" s="77">
        <f t="shared" ref="KG220" ca="1" si="2247">IFERROR(IF(COUNTIF($K$220:$K$223,LEFT(KF220,FIND("·",KF220)-1))&gt;0,IF(INDEX($L$220:$L$223,MATCH(LEFT(KF220,FIND("·",KF220)-1),$K$220:$K$223,0))=IFERROR(VALUE(MID(KF220,FIND("·",KF220)+1,1)),0),($D$24+(INDEX($M$220:$M$223,MATCH(LEFT(KF220,FIND("·",KF220)-1),$K$220:$K$223,0))=MID(KF220,FIND("|",KF220)+1,10))*$D$26+MAX(0,IF($D$50=1,$D$25*(1-(ABS(INDEX($P$220:$P$223,MATCH(LEFT(KF220,FIND("·",KF220)-1),$K$220:$K$223,0))-(VALUE(MID(KF220,FIND("|",KF220)+1,FIND("-",KF220,FIND("|",KF220))-FIND("|",KF220)-1))-VALUE(MID(KF220,FIND("-",KF220,FIND("|",KF220))+1,10)))))*$D$50),$D$25*(1-(IF(INDEX($L$220:$L$223,MATCH(LEFT(KF220,FIND("·",KF220)-1),$K$220:$K$223,0))=0,ABS(INDEX($N$220:$N$223,MATCH(LEFT(KF220,FIND("·",KF220)-1),$K$220:$K$223,0))-VALUE(MID(KF220,FIND("|",KF220)+1,FIND("-",KF220,FIND("|",KF220))-FIND("|",KF220)-1))),ABS(INDEX($P$220:$P$223,MATCH(LEFT(KF220,FIND("·",KF220)-1),$K$220:$K$223,0))-(VALUE(MID(KF220,FIND("|",KF220)+1,FIND("-",KF220,FIND("|",KF220))-FIND("|",KF220)-1))-VALUE(MID(KF220,FIND("-",KF220,FIND("|",KF220))+1,10)))))*$D$50)))))*INDEX($I$220:$I$223,MATCH(LEFT(KF220,FIND("·",KF220)-1),$K$220:$K$223,0)),0),0),0)+IFERROR(IF(COUNTIF($C$220:$C$223,LEFT(KF220,FIND("·",KF220)-1))&gt;0,IF(INDEX($D$220:$D$223,MATCH(LEFT(KF220,FIND("·",KF220)-1),$C$220:$C$223,0))=IFERROR(VALUE(MID(KF220,FIND("·",KF220)+1,1)),0),($D$24+(INDEX($E$220:$E$223,MATCH(LEFT(KF220,FIND("·",KF220)-1),$C$220:$C$223,0))=MID(KF220,FIND("|",KF220)+1,10))*$D$26+MAX(0,IF($D$50=1,$D$25*(1-(ABS(INDEX($Q$220:$Q$223,MATCH(LEFT(KF220,FIND("·",KF220)-1),$C$220:$C$223,0))-(VALUE(MID(KF220,FIND("|",KF220)+1,FIND("-",KF220,FIND("|",KF220))-FIND("|",KF220)-1))-VALUE(MID(KF220,FIND("-",KF220,FIND("|",KF220))+1,10)))))*$D$50),$D$25*(1-(IF(INDEX($D$220:$D$223,MATCH(LEFT(KF220,FIND("·",KF220)-1),$C$220:$C$223,0))=0,ABS(INDEX($A$220:$A$223,MATCH(LEFT(KF220,FIND("·",KF220)-1),$C$220:$C$223,0))-VALUE(MID(KF220,FIND("|",KF220)+1,FIND("-",KF220,FIND("|",KF220))-FIND("|",KF220)-1))),ABS(INDEX($Q$220:$Q$223,MATCH(LEFT(KF220,FIND("·",KF220)-1),$C$220:$C$223,0))-(VALUE(MID(KF220,FIND("|",KF220)+1,FIND("-",KF220,FIND("|",KF220))-FIND("|",KF220)-1))-VALUE(MID(KF220,FIND("-",KF220,FIND("|",KF220))+1,10)))))*$D$50)))))*INDEX($I$220:$I$223,MATCH(LEFT(KF220,FIND("·",KF220)-1),$C$220:$C$223,0)),0),0),0)</f>
        <v>0</v>
      </c>
      <c r="KH220" s="110"/>
      <c r="KI220" s="76" t="str">
        <f>Idiomas!$D$369</f>
        <v>Paste Values Quarterfinals</v>
      </c>
      <c r="KJ220" s="77">
        <f t="shared" ref="KJ220" ca="1" si="2248">IFERROR(IF(COUNTIF($K$220:$K$223,LEFT(KI220,FIND("·",KI220)-1))&gt;0,IF(INDEX($L$220:$L$223,MATCH(LEFT(KI220,FIND("·",KI220)-1),$K$220:$K$223,0))=IFERROR(VALUE(MID(KI220,FIND("·",KI220)+1,1)),0),($D$24+(INDEX($M$220:$M$223,MATCH(LEFT(KI220,FIND("·",KI220)-1),$K$220:$K$223,0))=MID(KI220,FIND("|",KI220)+1,10))*$D$26+MAX(0,IF($D$50=1,$D$25*(1-(ABS(INDEX($P$220:$P$223,MATCH(LEFT(KI220,FIND("·",KI220)-1),$K$220:$K$223,0))-(VALUE(MID(KI220,FIND("|",KI220)+1,FIND("-",KI220,FIND("|",KI220))-FIND("|",KI220)-1))-VALUE(MID(KI220,FIND("-",KI220,FIND("|",KI220))+1,10)))))*$D$50),$D$25*(1-(IF(INDEX($L$220:$L$223,MATCH(LEFT(KI220,FIND("·",KI220)-1),$K$220:$K$223,0))=0,ABS(INDEX($N$220:$N$223,MATCH(LEFT(KI220,FIND("·",KI220)-1),$K$220:$K$223,0))-VALUE(MID(KI220,FIND("|",KI220)+1,FIND("-",KI220,FIND("|",KI220))-FIND("|",KI220)-1))),ABS(INDEX($P$220:$P$223,MATCH(LEFT(KI220,FIND("·",KI220)-1),$K$220:$K$223,0))-(VALUE(MID(KI220,FIND("|",KI220)+1,FIND("-",KI220,FIND("|",KI220))-FIND("|",KI220)-1))-VALUE(MID(KI220,FIND("-",KI220,FIND("|",KI220))+1,10)))))*$D$50)))))*INDEX($I$220:$I$223,MATCH(LEFT(KI220,FIND("·",KI220)-1),$K$220:$K$223,0)),0),0),0)+IFERROR(IF(COUNTIF($C$220:$C$223,LEFT(KI220,FIND("·",KI220)-1))&gt;0,IF(INDEX($D$220:$D$223,MATCH(LEFT(KI220,FIND("·",KI220)-1),$C$220:$C$223,0))=IFERROR(VALUE(MID(KI220,FIND("·",KI220)+1,1)),0),($D$24+(INDEX($E$220:$E$223,MATCH(LEFT(KI220,FIND("·",KI220)-1),$C$220:$C$223,0))=MID(KI220,FIND("|",KI220)+1,10))*$D$26+MAX(0,IF($D$50=1,$D$25*(1-(ABS(INDEX($Q$220:$Q$223,MATCH(LEFT(KI220,FIND("·",KI220)-1),$C$220:$C$223,0))-(VALUE(MID(KI220,FIND("|",KI220)+1,FIND("-",KI220,FIND("|",KI220))-FIND("|",KI220)-1))-VALUE(MID(KI220,FIND("-",KI220,FIND("|",KI220))+1,10)))))*$D$50),$D$25*(1-(IF(INDEX($D$220:$D$223,MATCH(LEFT(KI220,FIND("·",KI220)-1),$C$220:$C$223,0))=0,ABS(INDEX($A$220:$A$223,MATCH(LEFT(KI220,FIND("·",KI220)-1),$C$220:$C$223,0))-VALUE(MID(KI220,FIND("|",KI220)+1,FIND("-",KI220,FIND("|",KI220))-FIND("|",KI220)-1))),ABS(INDEX($Q$220:$Q$223,MATCH(LEFT(KI220,FIND("·",KI220)-1),$C$220:$C$223,0))-(VALUE(MID(KI220,FIND("|",KI220)+1,FIND("-",KI220,FIND("|",KI220))-FIND("|",KI220)-1))-VALUE(MID(KI220,FIND("-",KI220,FIND("|",KI220))+1,10)))))*$D$50)))))*INDEX($I$220:$I$223,MATCH(LEFT(KI220,FIND("·",KI220)-1),$C$220:$C$223,0)),0),0),0)</f>
        <v>0</v>
      </c>
      <c r="KK220" s="110"/>
      <c r="KL220" s="76" t="str">
        <f>Idiomas!$D$369</f>
        <v>Paste Values Quarterfinals</v>
      </c>
      <c r="KM220" s="77">
        <f t="shared" ref="KM220" ca="1" si="2249">IFERROR(IF(COUNTIF($K$220:$K$223,LEFT(KL220,FIND("·",KL220)-1))&gt;0,IF(INDEX($L$220:$L$223,MATCH(LEFT(KL220,FIND("·",KL220)-1),$K$220:$K$223,0))=IFERROR(VALUE(MID(KL220,FIND("·",KL220)+1,1)),0),($D$24+(INDEX($M$220:$M$223,MATCH(LEFT(KL220,FIND("·",KL220)-1),$K$220:$K$223,0))=MID(KL220,FIND("|",KL220)+1,10))*$D$26+MAX(0,IF($D$50=1,$D$25*(1-(ABS(INDEX($P$220:$P$223,MATCH(LEFT(KL220,FIND("·",KL220)-1),$K$220:$K$223,0))-(VALUE(MID(KL220,FIND("|",KL220)+1,FIND("-",KL220,FIND("|",KL220))-FIND("|",KL220)-1))-VALUE(MID(KL220,FIND("-",KL220,FIND("|",KL220))+1,10)))))*$D$50),$D$25*(1-(IF(INDEX($L$220:$L$223,MATCH(LEFT(KL220,FIND("·",KL220)-1),$K$220:$K$223,0))=0,ABS(INDEX($N$220:$N$223,MATCH(LEFT(KL220,FIND("·",KL220)-1),$K$220:$K$223,0))-VALUE(MID(KL220,FIND("|",KL220)+1,FIND("-",KL220,FIND("|",KL220))-FIND("|",KL220)-1))),ABS(INDEX($P$220:$P$223,MATCH(LEFT(KL220,FIND("·",KL220)-1),$K$220:$K$223,0))-(VALUE(MID(KL220,FIND("|",KL220)+1,FIND("-",KL220,FIND("|",KL220))-FIND("|",KL220)-1))-VALUE(MID(KL220,FIND("-",KL220,FIND("|",KL220))+1,10)))))*$D$50)))))*INDEX($I$220:$I$223,MATCH(LEFT(KL220,FIND("·",KL220)-1),$K$220:$K$223,0)),0),0),0)+IFERROR(IF(COUNTIF($C$220:$C$223,LEFT(KL220,FIND("·",KL220)-1))&gt;0,IF(INDEX($D$220:$D$223,MATCH(LEFT(KL220,FIND("·",KL220)-1),$C$220:$C$223,0))=IFERROR(VALUE(MID(KL220,FIND("·",KL220)+1,1)),0),($D$24+(INDEX($E$220:$E$223,MATCH(LEFT(KL220,FIND("·",KL220)-1),$C$220:$C$223,0))=MID(KL220,FIND("|",KL220)+1,10))*$D$26+MAX(0,IF($D$50=1,$D$25*(1-(ABS(INDEX($Q$220:$Q$223,MATCH(LEFT(KL220,FIND("·",KL220)-1),$C$220:$C$223,0))-(VALUE(MID(KL220,FIND("|",KL220)+1,FIND("-",KL220,FIND("|",KL220))-FIND("|",KL220)-1))-VALUE(MID(KL220,FIND("-",KL220,FIND("|",KL220))+1,10)))))*$D$50),$D$25*(1-(IF(INDEX($D$220:$D$223,MATCH(LEFT(KL220,FIND("·",KL220)-1),$C$220:$C$223,0))=0,ABS(INDEX($A$220:$A$223,MATCH(LEFT(KL220,FIND("·",KL220)-1),$C$220:$C$223,0))-VALUE(MID(KL220,FIND("|",KL220)+1,FIND("-",KL220,FIND("|",KL220))-FIND("|",KL220)-1))),ABS(INDEX($Q$220:$Q$223,MATCH(LEFT(KL220,FIND("·",KL220)-1),$C$220:$C$223,0))-(VALUE(MID(KL220,FIND("|",KL220)+1,FIND("-",KL220,FIND("|",KL220))-FIND("|",KL220)-1))-VALUE(MID(KL220,FIND("-",KL220,FIND("|",KL220))+1,10)))))*$D$50)))))*INDEX($I$220:$I$223,MATCH(LEFT(KL220,FIND("·",KL220)-1),$C$220:$C$223,0)),0),0),0)</f>
        <v>0</v>
      </c>
      <c r="KN220" s="110"/>
      <c r="KO220" s="76" t="str">
        <f>Idiomas!$D$369</f>
        <v>Paste Values Quarterfinals</v>
      </c>
      <c r="KP220" s="77">
        <f t="shared" ref="KP220" ca="1" si="2250">IFERROR(IF(COUNTIF($K$220:$K$223,LEFT(KO220,FIND("·",KO220)-1))&gt;0,IF(INDEX($L$220:$L$223,MATCH(LEFT(KO220,FIND("·",KO220)-1),$K$220:$K$223,0))=IFERROR(VALUE(MID(KO220,FIND("·",KO220)+1,1)),0),($D$24+(INDEX($M$220:$M$223,MATCH(LEFT(KO220,FIND("·",KO220)-1),$K$220:$K$223,0))=MID(KO220,FIND("|",KO220)+1,10))*$D$26+MAX(0,IF($D$50=1,$D$25*(1-(ABS(INDEX($P$220:$P$223,MATCH(LEFT(KO220,FIND("·",KO220)-1),$K$220:$K$223,0))-(VALUE(MID(KO220,FIND("|",KO220)+1,FIND("-",KO220,FIND("|",KO220))-FIND("|",KO220)-1))-VALUE(MID(KO220,FIND("-",KO220,FIND("|",KO220))+1,10)))))*$D$50),$D$25*(1-(IF(INDEX($L$220:$L$223,MATCH(LEFT(KO220,FIND("·",KO220)-1),$K$220:$K$223,0))=0,ABS(INDEX($N$220:$N$223,MATCH(LEFT(KO220,FIND("·",KO220)-1),$K$220:$K$223,0))-VALUE(MID(KO220,FIND("|",KO220)+1,FIND("-",KO220,FIND("|",KO220))-FIND("|",KO220)-1))),ABS(INDEX($P$220:$P$223,MATCH(LEFT(KO220,FIND("·",KO220)-1),$K$220:$K$223,0))-(VALUE(MID(KO220,FIND("|",KO220)+1,FIND("-",KO220,FIND("|",KO220))-FIND("|",KO220)-1))-VALUE(MID(KO220,FIND("-",KO220,FIND("|",KO220))+1,10)))))*$D$50)))))*INDEX($I$220:$I$223,MATCH(LEFT(KO220,FIND("·",KO220)-1),$K$220:$K$223,0)),0),0),0)+IFERROR(IF(COUNTIF($C$220:$C$223,LEFT(KO220,FIND("·",KO220)-1))&gt;0,IF(INDEX($D$220:$D$223,MATCH(LEFT(KO220,FIND("·",KO220)-1),$C$220:$C$223,0))=IFERROR(VALUE(MID(KO220,FIND("·",KO220)+1,1)),0),($D$24+(INDEX($E$220:$E$223,MATCH(LEFT(KO220,FIND("·",KO220)-1),$C$220:$C$223,0))=MID(KO220,FIND("|",KO220)+1,10))*$D$26+MAX(0,IF($D$50=1,$D$25*(1-(ABS(INDEX($Q$220:$Q$223,MATCH(LEFT(KO220,FIND("·",KO220)-1),$C$220:$C$223,0))-(VALUE(MID(KO220,FIND("|",KO220)+1,FIND("-",KO220,FIND("|",KO220))-FIND("|",KO220)-1))-VALUE(MID(KO220,FIND("-",KO220,FIND("|",KO220))+1,10)))))*$D$50),$D$25*(1-(IF(INDEX($D$220:$D$223,MATCH(LEFT(KO220,FIND("·",KO220)-1),$C$220:$C$223,0))=0,ABS(INDEX($A$220:$A$223,MATCH(LEFT(KO220,FIND("·",KO220)-1),$C$220:$C$223,0))-VALUE(MID(KO220,FIND("|",KO220)+1,FIND("-",KO220,FIND("|",KO220))-FIND("|",KO220)-1))),ABS(INDEX($Q$220:$Q$223,MATCH(LEFT(KO220,FIND("·",KO220)-1),$C$220:$C$223,0))-(VALUE(MID(KO220,FIND("|",KO220)+1,FIND("-",KO220,FIND("|",KO220))-FIND("|",KO220)-1))-VALUE(MID(KO220,FIND("-",KO220,FIND("|",KO220))+1,10)))))*$D$50)))))*INDEX($I$220:$I$223,MATCH(LEFT(KO220,FIND("·",KO220)-1),$C$220:$C$223,0)),0),0),0)</f>
        <v>0</v>
      </c>
      <c r="KQ220" s="110"/>
      <c r="KR220" s="76" t="str">
        <f>Idiomas!$D$369</f>
        <v>Paste Values Quarterfinals</v>
      </c>
      <c r="KS220" s="77">
        <f t="shared" ref="KS220" ca="1" si="2251">IFERROR(IF(COUNTIF($K$220:$K$223,LEFT(KR220,FIND("·",KR220)-1))&gt;0,IF(INDEX($L$220:$L$223,MATCH(LEFT(KR220,FIND("·",KR220)-1),$K$220:$K$223,0))=IFERROR(VALUE(MID(KR220,FIND("·",KR220)+1,1)),0),($D$24+(INDEX($M$220:$M$223,MATCH(LEFT(KR220,FIND("·",KR220)-1),$K$220:$K$223,0))=MID(KR220,FIND("|",KR220)+1,10))*$D$26+MAX(0,IF($D$50=1,$D$25*(1-(ABS(INDEX($P$220:$P$223,MATCH(LEFT(KR220,FIND("·",KR220)-1),$K$220:$K$223,0))-(VALUE(MID(KR220,FIND("|",KR220)+1,FIND("-",KR220,FIND("|",KR220))-FIND("|",KR220)-1))-VALUE(MID(KR220,FIND("-",KR220,FIND("|",KR220))+1,10)))))*$D$50),$D$25*(1-(IF(INDEX($L$220:$L$223,MATCH(LEFT(KR220,FIND("·",KR220)-1),$K$220:$K$223,0))=0,ABS(INDEX($N$220:$N$223,MATCH(LEFT(KR220,FIND("·",KR220)-1),$K$220:$K$223,0))-VALUE(MID(KR220,FIND("|",KR220)+1,FIND("-",KR220,FIND("|",KR220))-FIND("|",KR220)-1))),ABS(INDEX($P$220:$P$223,MATCH(LEFT(KR220,FIND("·",KR220)-1),$K$220:$K$223,0))-(VALUE(MID(KR220,FIND("|",KR220)+1,FIND("-",KR220,FIND("|",KR220))-FIND("|",KR220)-1))-VALUE(MID(KR220,FIND("-",KR220,FIND("|",KR220))+1,10)))))*$D$50)))))*INDEX($I$220:$I$223,MATCH(LEFT(KR220,FIND("·",KR220)-1),$K$220:$K$223,0)),0),0),0)+IFERROR(IF(COUNTIF($C$220:$C$223,LEFT(KR220,FIND("·",KR220)-1))&gt;0,IF(INDEX($D$220:$D$223,MATCH(LEFT(KR220,FIND("·",KR220)-1),$C$220:$C$223,0))=IFERROR(VALUE(MID(KR220,FIND("·",KR220)+1,1)),0),($D$24+(INDEX($E$220:$E$223,MATCH(LEFT(KR220,FIND("·",KR220)-1),$C$220:$C$223,0))=MID(KR220,FIND("|",KR220)+1,10))*$D$26+MAX(0,IF($D$50=1,$D$25*(1-(ABS(INDEX($Q$220:$Q$223,MATCH(LEFT(KR220,FIND("·",KR220)-1),$C$220:$C$223,0))-(VALUE(MID(KR220,FIND("|",KR220)+1,FIND("-",KR220,FIND("|",KR220))-FIND("|",KR220)-1))-VALUE(MID(KR220,FIND("-",KR220,FIND("|",KR220))+1,10)))))*$D$50),$D$25*(1-(IF(INDEX($D$220:$D$223,MATCH(LEFT(KR220,FIND("·",KR220)-1),$C$220:$C$223,0))=0,ABS(INDEX($A$220:$A$223,MATCH(LEFT(KR220,FIND("·",KR220)-1),$C$220:$C$223,0))-VALUE(MID(KR220,FIND("|",KR220)+1,FIND("-",KR220,FIND("|",KR220))-FIND("|",KR220)-1))),ABS(INDEX($Q$220:$Q$223,MATCH(LEFT(KR220,FIND("·",KR220)-1),$C$220:$C$223,0))-(VALUE(MID(KR220,FIND("|",KR220)+1,FIND("-",KR220,FIND("|",KR220))-FIND("|",KR220)-1))-VALUE(MID(KR220,FIND("-",KR220,FIND("|",KR220))+1,10)))))*$D$50)))))*INDEX($I$220:$I$223,MATCH(LEFT(KR220,FIND("·",KR220)-1),$C$220:$C$223,0)),0),0),0)</f>
        <v>0</v>
      </c>
      <c r="KT220" s="110"/>
      <c r="KU220" s="76" t="str">
        <f>Idiomas!$D$369</f>
        <v>Paste Values Quarterfinals</v>
      </c>
      <c r="KV220" s="77">
        <f t="shared" ref="KV220" ca="1" si="2252">IFERROR(IF(COUNTIF($K$220:$K$223,LEFT(KU220,FIND("·",KU220)-1))&gt;0,IF(INDEX($L$220:$L$223,MATCH(LEFT(KU220,FIND("·",KU220)-1),$K$220:$K$223,0))=IFERROR(VALUE(MID(KU220,FIND("·",KU220)+1,1)),0),($D$24+(INDEX($M$220:$M$223,MATCH(LEFT(KU220,FIND("·",KU220)-1),$K$220:$K$223,0))=MID(KU220,FIND("|",KU220)+1,10))*$D$26+MAX(0,IF($D$50=1,$D$25*(1-(ABS(INDEX($P$220:$P$223,MATCH(LEFT(KU220,FIND("·",KU220)-1),$K$220:$K$223,0))-(VALUE(MID(KU220,FIND("|",KU220)+1,FIND("-",KU220,FIND("|",KU220))-FIND("|",KU220)-1))-VALUE(MID(KU220,FIND("-",KU220,FIND("|",KU220))+1,10)))))*$D$50),$D$25*(1-(IF(INDEX($L$220:$L$223,MATCH(LEFT(KU220,FIND("·",KU220)-1),$K$220:$K$223,0))=0,ABS(INDEX($N$220:$N$223,MATCH(LEFT(KU220,FIND("·",KU220)-1),$K$220:$K$223,0))-VALUE(MID(KU220,FIND("|",KU220)+1,FIND("-",KU220,FIND("|",KU220))-FIND("|",KU220)-1))),ABS(INDEX($P$220:$P$223,MATCH(LEFT(KU220,FIND("·",KU220)-1),$K$220:$K$223,0))-(VALUE(MID(KU220,FIND("|",KU220)+1,FIND("-",KU220,FIND("|",KU220))-FIND("|",KU220)-1))-VALUE(MID(KU220,FIND("-",KU220,FIND("|",KU220))+1,10)))))*$D$50)))))*INDEX($I$220:$I$223,MATCH(LEFT(KU220,FIND("·",KU220)-1),$K$220:$K$223,0)),0),0),0)+IFERROR(IF(COUNTIF($C$220:$C$223,LEFT(KU220,FIND("·",KU220)-1))&gt;0,IF(INDEX($D$220:$D$223,MATCH(LEFT(KU220,FIND("·",KU220)-1),$C$220:$C$223,0))=IFERROR(VALUE(MID(KU220,FIND("·",KU220)+1,1)),0),($D$24+(INDEX($E$220:$E$223,MATCH(LEFT(KU220,FIND("·",KU220)-1),$C$220:$C$223,0))=MID(KU220,FIND("|",KU220)+1,10))*$D$26+MAX(0,IF($D$50=1,$D$25*(1-(ABS(INDEX($Q$220:$Q$223,MATCH(LEFT(KU220,FIND("·",KU220)-1),$C$220:$C$223,0))-(VALUE(MID(KU220,FIND("|",KU220)+1,FIND("-",KU220,FIND("|",KU220))-FIND("|",KU220)-1))-VALUE(MID(KU220,FIND("-",KU220,FIND("|",KU220))+1,10)))))*$D$50),$D$25*(1-(IF(INDEX($D$220:$D$223,MATCH(LEFT(KU220,FIND("·",KU220)-1),$C$220:$C$223,0))=0,ABS(INDEX($A$220:$A$223,MATCH(LEFT(KU220,FIND("·",KU220)-1),$C$220:$C$223,0))-VALUE(MID(KU220,FIND("|",KU220)+1,FIND("-",KU220,FIND("|",KU220))-FIND("|",KU220)-1))),ABS(INDEX($Q$220:$Q$223,MATCH(LEFT(KU220,FIND("·",KU220)-1),$C$220:$C$223,0))-(VALUE(MID(KU220,FIND("|",KU220)+1,FIND("-",KU220,FIND("|",KU220))-FIND("|",KU220)-1))-VALUE(MID(KU220,FIND("-",KU220,FIND("|",KU220))+1,10)))))*$D$50)))))*INDEX($I$220:$I$223,MATCH(LEFT(KU220,FIND("·",KU220)-1),$C$220:$C$223,0)),0),0),0)</f>
        <v>0</v>
      </c>
      <c r="KW220" s="110"/>
      <c r="KX220" s="76" t="str">
        <f>Idiomas!$D$369</f>
        <v>Paste Values Quarterfinals</v>
      </c>
      <c r="KY220" s="77">
        <f t="shared" ref="KY220" ca="1" si="2253">IFERROR(IF(COUNTIF($K$220:$K$223,LEFT(KX220,FIND("·",KX220)-1))&gt;0,IF(INDEX($L$220:$L$223,MATCH(LEFT(KX220,FIND("·",KX220)-1),$K$220:$K$223,0))=IFERROR(VALUE(MID(KX220,FIND("·",KX220)+1,1)),0),($D$24+(INDEX($M$220:$M$223,MATCH(LEFT(KX220,FIND("·",KX220)-1),$K$220:$K$223,0))=MID(KX220,FIND("|",KX220)+1,10))*$D$26+MAX(0,IF($D$50=1,$D$25*(1-(ABS(INDEX($P$220:$P$223,MATCH(LEFT(KX220,FIND("·",KX220)-1),$K$220:$K$223,0))-(VALUE(MID(KX220,FIND("|",KX220)+1,FIND("-",KX220,FIND("|",KX220))-FIND("|",KX220)-1))-VALUE(MID(KX220,FIND("-",KX220,FIND("|",KX220))+1,10)))))*$D$50),$D$25*(1-(IF(INDEX($L$220:$L$223,MATCH(LEFT(KX220,FIND("·",KX220)-1),$K$220:$K$223,0))=0,ABS(INDEX($N$220:$N$223,MATCH(LEFT(KX220,FIND("·",KX220)-1),$K$220:$K$223,0))-VALUE(MID(KX220,FIND("|",KX220)+1,FIND("-",KX220,FIND("|",KX220))-FIND("|",KX220)-1))),ABS(INDEX($P$220:$P$223,MATCH(LEFT(KX220,FIND("·",KX220)-1),$K$220:$K$223,0))-(VALUE(MID(KX220,FIND("|",KX220)+1,FIND("-",KX220,FIND("|",KX220))-FIND("|",KX220)-1))-VALUE(MID(KX220,FIND("-",KX220,FIND("|",KX220))+1,10)))))*$D$50)))))*INDEX($I$220:$I$223,MATCH(LEFT(KX220,FIND("·",KX220)-1),$K$220:$K$223,0)),0),0),0)+IFERROR(IF(COUNTIF($C$220:$C$223,LEFT(KX220,FIND("·",KX220)-1))&gt;0,IF(INDEX($D$220:$D$223,MATCH(LEFT(KX220,FIND("·",KX220)-1),$C$220:$C$223,0))=IFERROR(VALUE(MID(KX220,FIND("·",KX220)+1,1)),0),($D$24+(INDEX($E$220:$E$223,MATCH(LEFT(KX220,FIND("·",KX220)-1),$C$220:$C$223,0))=MID(KX220,FIND("|",KX220)+1,10))*$D$26+MAX(0,IF($D$50=1,$D$25*(1-(ABS(INDEX($Q$220:$Q$223,MATCH(LEFT(KX220,FIND("·",KX220)-1),$C$220:$C$223,0))-(VALUE(MID(KX220,FIND("|",KX220)+1,FIND("-",KX220,FIND("|",KX220))-FIND("|",KX220)-1))-VALUE(MID(KX220,FIND("-",KX220,FIND("|",KX220))+1,10)))))*$D$50),$D$25*(1-(IF(INDEX($D$220:$D$223,MATCH(LEFT(KX220,FIND("·",KX220)-1),$C$220:$C$223,0))=0,ABS(INDEX($A$220:$A$223,MATCH(LEFT(KX220,FIND("·",KX220)-1),$C$220:$C$223,0))-VALUE(MID(KX220,FIND("|",KX220)+1,FIND("-",KX220,FIND("|",KX220))-FIND("|",KX220)-1))),ABS(INDEX($Q$220:$Q$223,MATCH(LEFT(KX220,FIND("·",KX220)-1),$C$220:$C$223,0))-(VALUE(MID(KX220,FIND("|",KX220)+1,FIND("-",KX220,FIND("|",KX220))-FIND("|",KX220)-1))-VALUE(MID(KX220,FIND("-",KX220,FIND("|",KX220))+1,10)))))*$D$50)))))*INDEX($I$220:$I$223,MATCH(LEFT(KX220,FIND("·",KX220)-1),$C$220:$C$223,0)),0),0),0)</f>
        <v>0</v>
      </c>
      <c r="KZ220" s="110"/>
      <c r="LA220" s="76" t="str">
        <f>Idiomas!$D$369</f>
        <v>Paste Values Quarterfinals</v>
      </c>
      <c r="LB220" s="77">
        <f t="shared" ref="LB220" ca="1" si="2254">IFERROR(IF(COUNTIF($K$220:$K$223,LEFT(LA220,FIND("·",LA220)-1))&gt;0,IF(INDEX($L$220:$L$223,MATCH(LEFT(LA220,FIND("·",LA220)-1),$K$220:$K$223,0))=IFERROR(VALUE(MID(LA220,FIND("·",LA220)+1,1)),0),($D$24+(INDEX($M$220:$M$223,MATCH(LEFT(LA220,FIND("·",LA220)-1),$K$220:$K$223,0))=MID(LA220,FIND("|",LA220)+1,10))*$D$26+MAX(0,IF($D$50=1,$D$25*(1-(ABS(INDEX($P$220:$P$223,MATCH(LEFT(LA220,FIND("·",LA220)-1),$K$220:$K$223,0))-(VALUE(MID(LA220,FIND("|",LA220)+1,FIND("-",LA220,FIND("|",LA220))-FIND("|",LA220)-1))-VALUE(MID(LA220,FIND("-",LA220,FIND("|",LA220))+1,10)))))*$D$50),$D$25*(1-(IF(INDEX($L$220:$L$223,MATCH(LEFT(LA220,FIND("·",LA220)-1),$K$220:$K$223,0))=0,ABS(INDEX($N$220:$N$223,MATCH(LEFT(LA220,FIND("·",LA220)-1),$K$220:$K$223,0))-VALUE(MID(LA220,FIND("|",LA220)+1,FIND("-",LA220,FIND("|",LA220))-FIND("|",LA220)-1))),ABS(INDEX($P$220:$P$223,MATCH(LEFT(LA220,FIND("·",LA220)-1),$K$220:$K$223,0))-(VALUE(MID(LA220,FIND("|",LA220)+1,FIND("-",LA220,FIND("|",LA220))-FIND("|",LA220)-1))-VALUE(MID(LA220,FIND("-",LA220,FIND("|",LA220))+1,10)))))*$D$50)))))*INDEX($I$220:$I$223,MATCH(LEFT(LA220,FIND("·",LA220)-1),$K$220:$K$223,0)),0),0),0)+IFERROR(IF(COUNTIF($C$220:$C$223,LEFT(LA220,FIND("·",LA220)-1))&gt;0,IF(INDEX($D$220:$D$223,MATCH(LEFT(LA220,FIND("·",LA220)-1),$C$220:$C$223,0))=IFERROR(VALUE(MID(LA220,FIND("·",LA220)+1,1)),0),($D$24+(INDEX($E$220:$E$223,MATCH(LEFT(LA220,FIND("·",LA220)-1),$C$220:$C$223,0))=MID(LA220,FIND("|",LA220)+1,10))*$D$26+MAX(0,IF($D$50=1,$D$25*(1-(ABS(INDEX($Q$220:$Q$223,MATCH(LEFT(LA220,FIND("·",LA220)-1),$C$220:$C$223,0))-(VALUE(MID(LA220,FIND("|",LA220)+1,FIND("-",LA220,FIND("|",LA220))-FIND("|",LA220)-1))-VALUE(MID(LA220,FIND("-",LA220,FIND("|",LA220))+1,10)))))*$D$50),$D$25*(1-(IF(INDEX($D$220:$D$223,MATCH(LEFT(LA220,FIND("·",LA220)-1),$C$220:$C$223,0))=0,ABS(INDEX($A$220:$A$223,MATCH(LEFT(LA220,FIND("·",LA220)-1),$C$220:$C$223,0))-VALUE(MID(LA220,FIND("|",LA220)+1,FIND("-",LA220,FIND("|",LA220))-FIND("|",LA220)-1))),ABS(INDEX($Q$220:$Q$223,MATCH(LEFT(LA220,FIND("·",LA220)-1),$C$220:$C$223,0))-(VALUE(MID(LA220,FIND("|",LA220)+1,FIND("-",LA220,FIND("|",LA220))-FIND("|",LA220)-1))-VALUE(MID(LA220,FIND("-",LA220,FIND("|",LA220))+1,10)))))*$D$50)))))*INDEX($I$220:$I$223,MATCH(LEFT(LA220,FIND("·",LA220)-1),$C$220:$C$223,0)),0),0),0)</f>
        <v>0</v>
      </c>
      <c r="LC220" s="110"/>
      <c r="LD220" s="76" t="str">
        <f>Idiomas!$D$369</f>
        <v>Paste Values Quarterfinals</v>
      </c>
      <c r="LE220" s="77">
        <f t="shared" ref="LE220" ca="1" si="2255">IFERROR(IF(COUNTIF($K$220:$K$223,LEFT(LD220,FIND("·",LD220)-1))&gt;0,IF(INDEX($L$220:$L$223,MATCH(LEFT(LD220,FIND("·",LD220)-1),$K$220:$K$223,0))=IFERROR(VALUE(MID(LD220,FIND("·",LD220)+1,1)),0),($D$24+(INDEX($M$220:$M$223,MATCH(LEFT(LD220,FIND("·",LD220)-1),$K$220:$K$223,0))=MID(LD220,FIND("|",LD220)+1,10))*$D$26+MAX(0,IF($D$50=1,$D$25*(1-(ABS(INDEX($P$220:$P$223,MATCH(LEFT(LD220,FIND("·",LD220)-1),$K$220:$K$223,0))-(VALUE(MID(LD220,FIND("|",LD220)+1,FIND("-",LD220,FIND("|",LD220))-FIND("|",LD220)-1))-VALUE(MID(LD220,FIND("-",LD220,FIND("|",LD220))+1,10)))))*$D$50),$D$25*(1-(IF(INDEX($L$220:$L$223,MATCH(LEFT(LD220,FIND("·",LD220)-1),$K$220:$K$223,0))=0,ABS(INDEX($N$220:$N$223,MATCH(LEFT(LD220,FIND("·",LD220)-1),$K$220:$K$223,0))-VALUE(MID(LD220,FIND("|",LD220)+1,FIND("-",LD220,FIND("|",LD220))-FIND("|",LD220)-1))),ABS(INDEX($P$220:$P$223,MATCH(LEFT(LD220,FIND("·",LD220)-1),$K$220:$K$223,0))-(VALUE(MID(LD220,FIND("|",LD220)+1,FIND("-",LD220,FIND("|",LD220))-FIND("|",LD220)-1))-VALUE(MID(LD220,FIND("-",LD220,FIND("|",LD220))+1,10)))))*$D$50)))))*INDEX($I$220:$I$223,MATCH(LEFT(LD220,FIND("·",LD220)-1),$K$220:$K$223,0)),0),0),0)+IFERROR(IF(COUNTIF($C$220:$C$223,LEFT(LD220,FIND("·",LD220)-1))&gt;0,IF(INDEX($D$220:$D$223,MATCH(LEFT(LD220,FIND("·",LD220)-1),$C$220:$C$223,0))=IFERROR(VALUE(MID(LD220,FIND("·",LD220)+1,1)),0),($D$24+(INDEX($E$220:$E$223,MATCH(LEFT(LD220,FIND("·",LD220)-1),$C$220:$C$223,0))=MID(LD220,FIND("|",LD220)+1,10))*$D$26+MAX(0,IF($D$50=1,$D$25*(1-(ABS(INDEX($Q$220:$Q$223,MATCH(LEFT(LD220,FIND("·",LD220)-1),$C$220:$C$223,0))-(VALUE(MID(LD220,FIND("|",LD220)+1,FIND("-",LD220,FIND("|",LD220))-FIND("|",LD220)-1))-VALUE(MID(LD220,FIND("-",LD220,FIND("|",LD220))+1,10)))))*$D$50),$D$25*(1-(IF(INDEX($D$220:$D$223,MATCH(LEFT(LD220,FIND("·",LD220)-1),$C$220:$C$223,0))=0,ABS(INDEX($A$220:$A$223,MATCH(LEFT(LD220,FIND("·",LD220)-1),$C$220:$C$223,0))-VALUE(MID(LD220,FIND("|",LD220)+1,FIND("-",LD220,FIND("|",LD220))-FIND("|",LD220)-1))),ABS(INDEX($Q$220:$Q$223,MATCH(LEFT(LD220,FIND("·",LD220)-1),$C$220:$C$223,0))-(VALUE(MID(LD220,FIND("|",LD220)+1,FIND("-",LD220,FIND("|",LD220))-FIND("|",LD220)-1))-VALUE(MID(LD220,FIND("-",LD220,FIND("|",LD220))+1,10)))))*$D$50)))))*INDEX($I$220:$I$223,MATCH(LEFT(LD220,FIND("·",LD220)-1),$C$220:$C$223,0)),0),0),0)</f>
        <v>0</v>
      </c>
      <c r="LF220" s="110"/>
      <c r="LG220" s="110"/>
    </row>
    <row r="221" spans="1:319">
      <c r="A221" s="25">
        <f>WORLDCUP!AD132</f>
        <v>1</v>
      </c>
      <c r="B221" s="25">
        <f>WORLDCUP!AC132</f>
        <v>2</v>
      </c>
      <c r="C221" s="25" t="str">
        <f ca="1">CONCATENATE(WORLDCUP!AF132,"-",WORLDCUP!AA132)</f>
        <v>Belgium-Spain</v>
      </c>
      <c r="D221" s="25">
        <f>IF(WORLDCUP!AC132&gt;WORLDCUP!AD132,2,IF(WORLDCUP!AC132&lt;WORLDCUP!AD132,1,IF(AND(WORLDCUP!AC132=WORLDCUP!AD132,WORLDCUP!AC132&lt;&gt;"",WORLDCUP!AD132&lt;&gt;""),0,"PD")))</f>
        <v>2</v>
      </c>
      <c r="E221" s="25" t="str">
        <f>IF(OR(WORLDCUP!AD132="",WORLDCUP!AC132=""),"-",A221&amp;"-"&amp;B221)</f>
        <v>1-2</v>
      </c>
      <c r="F221" s="407">
        <f t="shared" ref="F221:F223" si="2256">SUM($D$24:$D$26)*I221</f>
        <v>20</v>
      </c>
      <c r="G221" s="407">
        <f ca="1">VLOOKUP(H221,Equipos!$Q$1:$R$25,2,0)</f>
        <v>22</v>
      </c>
      <c r="H221" s="65" t="str">
        <f>Idiomas!$D$262</f>
        <v>Quarterfinals</v>
      </c>
      <c r="I221" s="43">
        <v>1</v>
      </c>
      <c r="J221" s="845"/>
      <c r="K221" s="56" t="str">
        <f ca="1">CONCATENATE(WORLDCUP!AA132,"-",WORLDCUP!AF132)</f>
        <v>Spain-Belgium</v>
      </c>
      <c r="L221" s="53">
        <f>IF(OR(WORLDCUP!AC132="",WORLDCUP!AD132=""),"PD",IF(WORLDCUP!AC132&gt;WORLDCUP!AD132,1,IF(WORLDCUP!AC132&lt;WORLDCUP!AD132,2,0)))</f>
        <v>1</v>
      </c>
      <c r="M221" s="55" t="str">
        <f t="shared" si="2155"/>
        <v>2-1</v>
      </c>
      <c r="N221" s="25">
        <f>WORLDCUP!AC132</f>
        <v>2</v>
      </c>
      <c r="O221" s="25">
        <f>WORLDCUP!AD132</f>
        <v>1</v>
      </c>
      <c r="P221" s="25">
        <f t="shared" si="2156"/>
        <v>1</v>
      </c>
      <c r="Q221" s="25">
        <f>+A221-B221</f>
        <v>-1</v>
      </c>
      <c r="R221" s="110"/>
      <c r="S221" s="74" t="s">
        <v>1987</v>
      </c>
      <c r="T221" s="77">
        <f t="shared" ref="T221:T223" ca="1" si="2257">IFERROR(IF(COUNTIF($K$220:$K$223,LEFT(S221,FIND("·",S221)-1))&gt;0,IF(INDEX($L$220:$L$223,MATCH(LEFT(S221,FIND("·",S221)-1),$K$220:$K$223,0))=IFERROR(VALUE(MID(S221,FIND("·",S221)+1,1)),0),($D$24+(INDEX($M$220:$M$223,MATCH(LEFT(S221,FIND("·",S221)-1),$K$220:$K$223,0))=MID(S221,FIND("|",S221)+1,10))*$D$26+MAX(0,IF($D$50=1,$D$25*(1-(ABS(INDEX($P$220:$P$223,MATCH(LEFT(S221,FIND("·",S221)-1),$K$220:$K$223,0))-(VALUE(MID(S221,FIND("|",S221)+1,FIND("-",S221,FIND("|",S221))-FIND("|",S221)-1))-VALUE(MID(S221,FIND("-",S221,FIND("|",S221))+1,10)))))*$D$50),$D$25*(1-(IF(INDEX($L$220:$L$223,MATCH(LEFT(S221,FIND("·",S221)-1),$K$220:$K$223,0))=0,ABS(INDEX($N$220:$N$223,MATCH(LEFT(S221,FIND("·",S221)-1),$K$220:$K$223,0))-VALUE(MID(S221,FIND("|",S221)+1,FIND("-",S221,FIND("|",S221))-FIND("|",S221)-1))),ABS(INDEX($P$220:$P$223,MATCH(LEFT(S221,FIND("·",S221)-1),$K$220:$K$223,0))-(VALUE(MID(S221,FIND("|",S221)+1,FIND("-",S221,FIND("|",S221))-FIND("|",S221)-1))-VALUE(MID(S221,FIND("-",S221,FIND("|",S221))+1,10)))))*$D$50)))))*INDEX($I$220:$I$223,MATCH(LEFT(S221,FIND("·",S221)-1),$K$220:$K$223,0)),0),0),0)+IFERROR(IF(COUNTIF($C$220:$C$223,LEFT(S221,FIND("·",S221)-1))&gt;0,IF(INDEX($D$220:$D$223,MATCH(LEFT(S221,FIND("·",S221)-1),$C$220:$C$223,0))=IFERROR(VALUE(MID(S221,FIND("·",S221)+1,1)),0),($D$24+(INDEX($E$220:$E$223,MATCH(LEFT(S221,FIND("·",S221)-1),$C$220:$C$223,0))=MID(S221,FIND("|",S221)+1,10))*$D$26+MAX(0,IF($D$50=1,$D$25*(1-(ABS(INDEX($Q$220:$Q$223,MATCH(LEFT(S221,FIND("·",S221)-1),$C$220:$C$223,0))-(VALUE(MID(S221,FIND("|",S221)+1,FIND("-",S221,FIND("|",S221))-FIND("|",S221)-1))-VALUE(MID(S221,FIND("-",S221,FIND("|",S221))+1,10)))))*$D$50),$D$25*(1-(IF(INDEX($D$220:$D$223,MATCH(LEFT(S221,FIND("·",S221)-1),$C$220:$C$223,0))=0,ABS(INDEX($A$220:$A$223,MATCH(LEFT(S221,FIND("·",S221)-1),$C$220:$C$223,0))-VALUE(MID(S221,FIND("|",S221)+1,FIND("-",S221,FIND("|",S221))-FIND("|",S221)-1))),ABS(INDEX($Q$220:$Q$223,MATCH(LEFT(S221,FIND("·",S221)-1),$C$220:$C$223,0))-(VALUE(MID(S221,FIND("|",S221)+1,FIND("-",S221,FIND("|",S221))-FIND("|",S221)-1))-VALUE(MID(S221,FIND("-",S221,FIND("|",S221))+1,10)))))*$D$50)))))*INDEX($I$220:$I$223,MATCH(LEFT(S221,FIND("·",S221)-1),$C$220:$C$223,0)),0),0),0)</f>
        <v>0</v>
      </c>
      <c r="U221" s="110"/>
      <c r="V221" s="74" t="s">
        <v>2026</v>
      </c>
      <c r="W221" s="77">
        <f t="shared" ca="1" si="2157"/>
        <v>12</v>
      </c>
      <c r="X221" s="110"/>
      <c r="Y221" s="74" t="s">
        <v>2060</v>
      </c>
      <c r="Z221" s="77">
        <f t="shared" ca="1" si="2157"/>
        <v>0</v>
      </c>
      <c r="AA221" s="110"/>
      <c r="AB221" s="74" t="s">
        <v>2094</v>
      </c>
      <c r="AC221" s="77">
        <f t="shared" ca="1" si="2157"/>
        <v>20</v>
      </c>
      <c r="AD221" s="110"/>
      <c r="AE221" s="74" t="s">
        <v>2121</v>
      </c>
      <c r="AF221" s="77">
        <f t="shared" ca="1" si="2157"/>
        <v>10</v>
      </c>
      <c r="AG221" s="110"/>
      <c r="AH221" s="74" t="s">
        <v>2094</v>
      </c>
      <c r="AI221" s="77">
        <f t="shared" ca="1" si="2157"/>
        <v>20</v>
      </c>
      <c r="AJ221" s="110"/>
      <c r="AK221" s="74" t="s">
        <v>2094</v>
      </c>
      <c r="AL221" s="77">
        <f t="shared" ca="1" si="2157"/>
        <v>20</v>
      </c>
      <c r="AM221" s="110"/>
      <c r="AN221" s="74" t="s">
        <v>2213</v>
      </c>
      <c r="AO221" s="77">
        <f t="shared" ca="1" si="2157"/>
        <v>0</v>
      </c>
      <c r="AP221" s="110"/>
      <c r="AQ221" s="74" t="s">
        <v>2121</v>
      </c>
      <c r="AR221" s="77">
        <f t="shared" ca="1" si="2157"/>
        <v>10</v>
      </c>
      <c r="AS221" s="110"/>
      <c r="AT221" s="74" t="s">
        <v>2121</v>
      </c>
      <c r="AU221" s="77">
        <f t="shared" ca="1" si="2157"/>
        <v>10</v>
      </c>
      <c r="AV221" s="110"/>
      <c r="AW221" s="74" t="s">
        <v>2299</v>
      </c>
      <c r="AX221" s="77">
        <f t="shared" ca="1" si="2157"/>
        <v>0</v>
      </c>
      <c r="AY221" s="110"/>
      <c r="AZ221" s="74" t="s">
        <v>2121</v>
      </c>
      <c r="BA221" s="77">
        <f t="shared" ca="1" si="2157"/>
        <v>10</v>
      </c>
      <c r="BB221" s="110"/>
      <c r="BC221" s="74" t="s">
        <v>2340</v>
      </c>
      <c r="BD221" s="77">
        <f t="shared" ca="1" si="2157"/>
        <v>10</v>
      </c>
      <c r="BE221" s="110"/>
      <c r="BF221" s="74" t="s">
        <v>2121</v>
      </c>
      <c r="BG221" s="77">
        <f t="shared" ca="1" si="2157"/>
        <v>10</v>
      </c>
      <c r="BH221" s="110"/>
      <c r="BI221" s="74" t="s">
        <v>2392</v>
      </c>
      <c r="BJ221" s="77">
        <f t="shared" ca="1" si="2157"/>
        <v>0</v>
      </c>
      <c r="BK221" s="110"/>
      <c r="BL221" s="74" t="s">
        <v>2094</v>
      </c>
      <c r="BM221" s="77">
        <f t="shared" ca="1" si="2157"/>
        <v>20</v>
      </c>
      <c r="BN221" s="110"/>
      <c r="BO221" s="74" t="s">
        <v>2438</v>
      </c>
      <c r="BP221" s="77">
        <f t="shared" ca="1" si="2157"/>
        <v>0</v>
      </c>
      <c r="BQ221" s="110"/>
      <c r="BR221" s="74" t="s">
        <v>2392</v>
      </c>
      <c r="BS221" s="77">
        <f t="shared" ca="1" si="2157"/>
        <v>0</v>
      </c>
      <c r="BT221" s="110"/>
      <c r="BU221" s="74" t="s">
        <v>2094</v>
      </c>
      <c r="BV221" s="77">
        <f t="shared" ca="1" si="2157"/>
        <v>20</v>
      </c>
      <c r="BW221" s="110"/>
      <c r="BX221" s="74" t="s">
        <v>2121</v>
      </c>
      <c r="BY221" s="77">
        <f t="shared" ca="1" si="2157"/>
        <v>10</v>
      </c>
      <c r="BZ221" s="110"/>
      <c r="CA221" s="74" t="s">
        <v>2094</v>
      </c>
      <c r="CB221" s="77">
        <f t="shared" ca="1" si="2157"/>
        <v>20</v>
      </c>
      <c r="CC221" s="110"/>
      <c r="CD221" s="74" t="s">
        <v>2525</v>
      </c>
      <c r="CE221" s="77">
        <f t="shared" ca="1" si="2157"/>
        <v>0</v>
      </c>
      <c r="CF221" s="110"/>
      <c r="CG221" s="74" t="s">
        <v>2438</v>
      </c>
      <c r="CH221" s="77">
        <f t="shared" ca="1" si="2157"/>
        <v>0</v>
      </c>
      <c r="CI221" s="110"/>
      <c r="CJ221" s="74" t="s">
        <v>2563</v>
      </c>
      <c r="CK221" s="77">
        <f t="shared" ca="1" si="2179"/>
        <v>0</v>
      </c>
      <c r="CL221" s="110"/>
      <c r="CM221" s="74" t="s">
        <v>2585</v>
      </c>
      <c r="CN221" s="77">
        <f t="shared" ca="1" si="2179"/>
        <v>0</v>
      </c>
      <c r="CO221" s="110"/>
      <c r="CP221" s="74" t="s">
        <v>2340</v>
      </c>
      <c r="CQ221" s="77">
        <f t="shared" ca="1" si="2179"/>
        <v>10</v>
      </c>
      <c r="CR221" s="110"/>
      <c r="CS221" s="74" t="s">
        <v>2627</v>
      </c>
      <c r="CT221" s="77">
        <f t="shared" ca="1" si="2179"/>
        <v>0</v>
      </c>
      <c r="CU221" s="110"/>
      <c r="CV221" s="74" t="s">
        <v>2121</v>
      </c>
      <c r="CW221" s="77">
        <f t="shared" ca="1" si="2179"/>
        <v>10</v>
      </c>
      <c r="CX221" s="110"/>
      <c r="CY221" s="74" t="s">
        <v>2684</v>
      </c>
      <c r="CZ221" s="77">
        <f t="shared" ca="1" si="2179"/>
        <v>0</v>
      </c>
      <c r="DA221" s="110"/>
      <c r="DB221" s="74" t="s">
        <v>2340</v>
      </c>
      <c r="DC221" s="77">
        <f t="shared" ca="1" si="2179"/>
        <v>10</v>
      </c>
      <c r="DD221" s="110"/>
      <c r="DE221" s="74" t="s">
        <v>2121</v>
      </c>
      <c r="DF221" s="77">
        <f t="shared" ca="1" si="2179"/>
        <v>10</v>
      </c>
      <c r="DG221" s="110"/>
      <c r="DH221" s="74" t="s">
        <v>2121</v>
      </c>
      <c r="DI221" s="77">
        <f t="shared" ca="1" si="2179"/>
        <v>10</v>
      </c>
      <c r="DJ221" s="110"/>
      <c r="DK221" s="74" t="s">
        <v>2094</v>
      </c>
      <c r="DL221" s="77">
        <f t="shared" ca="1" si="2179"/>
        <v>20</v>
      </c>
      <c r="DM221" s="110"/>
      <c r="DN221" s="74" t="s">
        <v>2770</v>
      </c>
      <c r="DO221" s="77">
        <f t="shared" ca="1" si="2179"/>
        <v>0</v>
      </c>
      <c r="DP221" s="110"/>
      <c r="DQ221" s="74" t="s">
        <v>2121</v>
      </c>
      <c r="DR221" s="77">
        <f t="shared" ca="1" si="2179"/>
        <v>10</v>
      </c>
      <c r="DS221" s="110"/>
      <c r="DT221" s="74" t="s">
        <v>2798</v>
      </c>
      <c r="DU221" s="77">
        <f t="shared" ca="1" si="2179"/>
        <v>0</v>
      </c>
      <c r="DV221" s="110"/>
      <c r="DW221" s="74" t="s">
        <v>2438</v>
      </c>
      <c r="DX221" s="77">
        <f t="shared" ca="1" si="2179"/>
        <v>0</v>
      </c>
      <c r="DY221" s="110"/>
      <c r="DZ221" s="74" t="s">
        <v>2094</v>
      </c>
      <c r="EA221" s="77">
        <f t="shared" ca="1" si="2179"/>
        <v>20</v>
      </c>
      <c r="EB221" s="110"/>
      <c r="EC221" s="74" t="s">
        <v>2094</v>
      </c>
      <c r="ED221" s="77">
        <f t="shared" ca="1" si="2179"/>
        <v>20</v>
      </c>
      <c r="EE221" s="110"/>
      <c r="EF221" s="74" t="s">
        <v>2847</v>
      </c>
      <c r="EG221" s="77">
        <f t="shared" ca="1" si="2179"/>
        <v>0</v>
      </c>
      <c r="EH221" s="110"/>
      <c r="EI221" s="74" t="s">
        <v>2094</v>
      </c>
      <c r="EJ221" s="77">
        <f t="shared" ca="1" si="2179"/>
        <v>20</v>
      </c>
      <c r="EK221" s="110"/>
      <c r="EL221" s="74" t="s">
        <v>2392</v>
      </c>
      <c r="EM221" s="77">
        <f t="shared" ca="1" si="2179"/>
        <v>0</v>
      </c>
      <c r="EN221" s="110"/>
      <c r="EO221" s="74" t="s">
        <v>2094</v>
      </c>
      <c r="EP221" s="77">
        <f t="shared" ca="1" si="2179"/>
        <v>20</v>
      </c>
      <c r="EQ221" s="110"/>
      <c r="ER221" s="74" t="s">
        <v>2094</v>
      </c>
      <c r="ES221" s="77">
        <f t="shared" ca="1" si="2179"/>
        <v>20</v>
      </c>
      <c r="ET221" s="110"/>
      <c r="EU221" s="74" t="s">
        <v>2094</v>
      </c>
      <c r="EV221" s="77">
        <f t="shared" ca="1" si="2179"/>
        <v>20</v>
      </c>
      <c r="EW221" s="110"/>
      <c r="EX221" s="74" t="s">
        <v>2392</v>
      </c>
      <c r="EY221" s="77">
        <f t="shared" ca="1" si="2201"/>
        <v>0</v>
      </c>
      <c r="EZ221" s="110"/>
      <c r="FA221" s="74" t="s">
        <v>2932</v>
      </c>
      <c r="FB221" s="77">
        <f t="shared" ca="1" si="2201"/>
        <v>0</v>
      </c>
      <c r="FC221" s="110"/>
      <c r="FD221" s="74" t="s">
        <v>2094</v>
      </c>
      <c r="FE221" s="77">
        <f t="shared" ca="1" si="2201"/>
        <v>20</v>
      </c>
      <c r="FF221" s="110"/>
      <c r="FG221" s="74" t="s">
        <v>2094</v>
      </c>
      <c r="FH221" s="77">
        <f t="shared" ca="1" si="2201"/>
        <v>20</v>
      </c>
      <c r="FI221" s="110"/>
      <c r="FJ221" s="74" t="s">
        <v>2094</v>
      </c>
      <c r="FK221" s="77">
        <f t="shared" ca="1" si="2201"/>
        <v>20</v>
      </c>
      <c r="FL221" s="110"/>
      <c r="FM221" s="74" t="s">
        <v>2094</v>
      </c>
      <c r="FN221" s="77">
        <f t="shared" ca="1" si="2201"/>
        <v>20</v>
      </c>
      <c r="FO221" s="110"/>
      <c r="FP221" s="74" t="s">
        <v>2094</v>
      </c>
      <c r="FQ221" s="77">
        <f t="shared" ca="1" si="2201"/>
        <v>20</v>
      </c>
      <c r="FR221" s="110"/>
      <c r="FS221" s="74" t="s">
        <v>2392</v>
      </c>
      <c r="FT221" s="77">
        <f t="shared" ca="1" si="2201"/>
        <v>0</v>
      </c>
      <c r="FU221" s="110"/>
      <c r="FV221" s="74" t="s">
        <v>2997</v>
      </c>
      <c r="FW221" s="77">
        <f t="shared" ca="1" si="2201"/>
        <v>0</v>
      </c>
      <c r="FX221" s="110"/>
      <c r="FY221" s="74" t="s">
        <v>3011</v>
      </c>
      <c r="FZ221" s="77">
        <f t="shared" ca="1" si="2201"/>
        <v>0</v>
      </c>
      <c r="GA221" s="110"/>
      <c r="GB221" s="74" t="s">
        <v>2340</v>
      </c>
      <c r="GC221" s="77">
        <f t="shared" ca="1" si="2201"/>
        <v>10</v>
      </c>
      <c r="GD221" s="110"/>
      <c r="GE221" s="74" t="s">
        <v>2094</v>
      </c>
      <c r="GF221" s="77">
        <f t="shared" ca="1" si="2201"/>
        <v>20</v>
      </c>
      <c r="GG221" s="110"/>
      <c r="GH221" s="74" t="s">
        <v>2121</v>
      </c>
      <c r="GI221" s="77">
        <f t="shared" ca="1" si="2201"/>
        <v>10</v>
      </c>
      <c r="GJ221" s="110"/>
      <c r="GK221" s="74" t="s">
        <v>3064</v>
      </c>
      <c r="GL221" s="77">
        <f t="shared" ca="1" si="2201"/>
        <v>0</v>
      </c>
      <c r="GM221" s="110"/>
      <c r="GN221" s="74"/>
      <c r="GO221" s="77">
        <f t="shared" ca="1" si="2201"/>
        <v>0</v>
      </c>
      <c r="GP221" s="110"/>
      <c r="GQ221" s="74"/>
      <c r="GR221" s="77">
        <f t="shared" ca="1" si="2201"/>
        <v>0</v>
      </c>
      <c r="GS221" s="110"/>
      <c r="GT221" s="74"/>
      <c r="GU221" s="77">
        <f t="shared" ca="1" si="2201"/>
        <v>0</v>
      </c>
      <c r="GV221" s="110"/>
      <c r="GW221" s="74"/>
      <c r="GX221" s="77">
        <f t="shared" ca="1" si="2201"/>
        <v>0</v>
      </c>
      <c r="GY221" s="110"/>
      <c r="GZ221" s="74"/>
      <c r="HA221" s="77">
        <f t="shared" ca="1" si="2201"/>
        <v>0</v>
      </c>
      <c r="HB221" s="110"/>
      <c r="HC221" s="74"/>
      <c r="HD221" s="77">
        <f t="shared" ca="1" si="2201"/>
        <v>0</v>
      </c>
      <c r="HE221" s="110"/>
      <c r="HF221" s="74"/>
      <c r="HG221" s="77">
        <f t="shared" ca="1" si="2201"/>
        <v>0</v>
      </c>
      <c r="HH221" s="110"/>
      <c r="HI221" s="74"/>
      <c r="HJ221" s="77">
        <f t="shared" ca="1" si="2201"/>
        <v>0</v>
      </c>
      <c r="HK221" s="110"/>
      <c r="HL221" s="74"/>
      <c r="HM221" s="77">
        <f t="shared" ca="1" si="2223"/>
        <v>0</v>
      </c>
      <c r="HN221" s="110"/>
      <c r="HO221" s="74"/>
      <c r="HP221" s="77">
        <f t="shared" ca="1" si="2223"/>
        <v>0</v>
      </c>
      <c r="HQ221" s="110"/>
      <c r="HR221" s="74"/>
      <c r="HS221" s="77">
        <f t="shared" ca="1" si="2223"/>
        <v>0</v>
      </c>
      <c r="HT221" s="110"/>
      <c r="HU221" s="74"/>
      <c r="HV221" s="77">
        <f t="shared" ca="1" si="2223"/>
        <v>0</v>
      </c>
      <c r="HW221" s="110"/>
      <c r="HX221" s="74"/>
      <c r="HY221" s="77">
        <f t="shared" ca="1" si="2223"/>
        <v>0</v>
      </c>
      <c r="HZ221" s="110"/>
      <c r="IA221" s="74"/>
      <c r="IB221" s="77">
        <f t="shared" ca="1" si="2223"/>
        <v>0</v>
      </c>
      <c r="IC221" s="110"/>
      <c r="ID221" s="74"/>
      <c r="IE221" s="77">
        <f t="shared" ca="1" si="2223"/>
        <v>0</v>
      </c>
      <c r="IF221" s="110"/>
      <c r="IG221" s="74"/>
      <c r="IH221" s="77">
        <f t="shared" ca="1" si="2223"/>
        <v>0</v>
      </c>
      <c r="II221" s="110"/>
      <c r="IJ221" s="74"/>
      <c r="IK221" s="77">
        <f t="shared" ca="1" si="2223"/>
        <v>0</v>
      </c>
      <c r="IL221" s="110"/>
      <c r="IM221" s="74"/>
      <c r="IN221" s="77">
        <f t="shared" ca="1" si="2223"/>
        <v>0</v>
      </c>
      <c r="IO221" s="110"/>
      <c r="IP221" s="74"/>
      <c r="IQ221" s="77">
        <f t="shared" ca="1" si="2223"/>
        <v>0</v>
      </c>
      <c r="IR221" s="110"/>
      <c r="IS221" s="74"/>
      <c r="IT221" s="77">
        <f t="shared" ca="1" si="2223"/>
        <v>0</v>
      </c>
      <c r="IU221" s="110"/>
      <c r="IV221" s="74"/>
      <c r="IW221" s="77">
        <f t="shared" ca="1" si="2223"/>
        <v>0</v>
      </c>
      <c r="IX221" s="110"/>
      <c r="IY221" s="74"/>
      <c r="IZ221" s="77">
        <f t="shared" ca="1" si="2223"/>
        <v>0</v>
      </c>
      <c r="JA221" s="110"/>
      <c r="JB221" s="74"/>
      <c r="JC221" s="77">
        <f t="shared" ca="1" si="2223"/>
        <v>0</v>
      </c>
      <c r="JD221" s="110"/>
      <c r="JE221" s="74"/>
      <c r="JF221" s="77">
        <f t="shared" ca="1" si="2223"/>
        <v>0</v>
      </c>
      <c r="JG221" s="110"/>
      <c r="JH221" s="74"/>
      <c r="JI221" s="77">
        <f t="shared" ca="1" si="2223"/>
        <v>0</v>
      </c>
      <c r="JJ221" s="110"/>
      <c r="JK221" s="74"/>
      <c r="JL221" s="77">
        <f t="shared" ca="1" si="2223"/>
        <v>0</v>
      </c>
      <c r="JM221" s="110"/>
      <c r="JN221" s="74"/>
      <c r="JO221" s="77">
        <f t="shared" ca="1" si="2223"/>
        <v>0</v>
      </c>
      <c r="JP221" s="110"/>
      <c r="JQ221" s="74"/>
      <c r="JR221" s="77">
        <f t="shared" ca="1" si="2223"/>
        <v>0</v>
      </c>
      <c r="JS221" s="110"/>
      <c r="JT221" s="74"/>
      <c r="JU221" s="77">
        <f t="shared" ca="1" si="2223"/>
        <v>0</v>
      </c>
      <c r="JV221" s="110"/>
      <c r="JW221" s="74"/>
      <c r="JX221" s="77">
        <f t="shared" ca="1" si="2223"/>
        <v>0</v>
      </c>
      <c r="JY221" s="110"/>
      <c r="JZ221" s="74"/>
      <c r="KA221" s="77">
        <f t="shared" ca="1" si="2245"/>
        <v>0</v>
      </c>
      <c r="KB221" s="110"/>
      <c r="KC221" s="74"/>
      <c r="KD221" s="77">
        <f t="shared" ca="1" si="2245"/>
        <v>0</v>
      </c>
      <c r="KE221" s="110"/>
      <c r="KF221" s="74"/>
      <c r="KG221" s="77">
        <f t="shared" ca="1" si="2245"/>
        <v>0</v>
      </c>
      <c r="KH221" s="110"/>
      <c r="KI221" s="74"/>
      <c r="KJ221" s="77">
        <f t="shared" ca="1" si="2245"/>
        <v>0</v>
      </c>
      <c r="KK221" s="110"/>
      <c r="KL221" s="74"/>
      <c r="KM221" s="77">
        <f t="shared" ca="1" si="2245"/>
        <v>0</v>
      </c>
      <c r="KN221" s="110"/>
      <c r="KO221" s="74"/>
      <c r="KP221" s="77">
        <f t="shared" ca="1" si="2245"/>
        <v>0</v>
      </c>
      <c r="KQ221" s="110"/>
      <c r="KR221" s="74"/>
      <c r="KS221" s="77">
        <f t="shared" ca="1" si="2245"/>
        <v>0</v>
      </c>
      <c r="KT221" s="110"/>
      <c r="KU221" s="74"/>
      <c r="KV221" s="77">
        <f t="shared" ca="1" si="2245"/>
        <v>0</v>
      </c>
      <c r="KW221" s="110"/>
      <c r="KX221" s="74"/>
      <c r="KY221" s="77">
        <f t="shared" ca="1" si="2245"/>
        <v>0</v>
      </c>
      <c r="KZ221" s="110"/>
      <c r="LA221" s="74"/>
      <c r="LB221" s="77">
        <f t="shared" ca="1" si="2245"/>
        <v>0</v>
      </c>
      <c r="LC221" s="110"/>
      <c r="LD221" s="74"/>
      <c r="LE221" s="77">
        <f t="shared" ca="1" si="2245"/>
        <v>0</v>
      </c>
      <c r="LF221" s="110"/>
      <c r="LG221" s="110"/>
    </row>
    <row r="222" spans="1:319">
      <c r="A222" s="25">
        <f>WORLDCUP!AD133</f>
        <v>2</v>
      </c>
      <c r="B222" s="25">
        <f>WORLDCUP!AC133</f>
        <v>1</v>
      </c>
      <c r="C222" s="25" t="str">
        <f ca="1">CONCATENATE(WORLDCUP!AF133,"-",WORLDCUP!AA133)</f>
        <v>England-Norway</v>
      </c>
      <c r="D222" s="25">
        <f>IF(WORLDCUP!AC133&gt;WORLDCUP!AD133,2,IF(WORLDCUP!AC133&lt;WORLDCUP!AD133,1,IF(AND(WORLDCUP!AC133=WORLDCUP!AD133,WORLDCUP!AC133&lt;&gt;"",WORLDCUP!AD133&lt;&gt;""),0,"PD")))</f>
        <v>1</v>
      </c>
      <c r="E222" s="25" t="str">
        <f>IF(OR(WORLDCUP!AD133="",WORLDCUP!AC133=""),"-",A222&amp;"-"&amp;B222)</f>
        <v>2-1</v>
      </c>
      <c r="F222" s="407">
        <f t="shared" si="2256"/>
        <v>20</v>
      </c>
      <c r="G222" s="407">
        <f ca="1">VLOOKUP(H222,Equipos!$Q$1:$R$25,2,0)</f>
        <v>22</v>
      </c>
      <c r="H222" s="65" t="str">
        <f>Idiomas!$D$262</f>
        <v>Quarterfinals</v>
      </c>
      <c r="I222" s="43">
        <v>1</v>
      </c>
      <c r="J222" s="845"/>
      <c r="K222" s="56" t="str">
        <f ca="1">CONCATENATE(WORLDCUP!AA133,"-",WORLDCUP!AF133)</f>
        <v>Norway-England</v>
      </c>
      <c r="L222" s="53">
        <f>IF(OR(WORLDCUP!AC133="",WORLDCUP!AD133=""),"PD",IF(WORLDCUP!AC133&gt;WORLDCUP!AD133,1,IF(WORLDCUP!AC133&lt;WORLDCUP!AD133,2,0)))</f>
        <v>2</v>
      </c>
      <c r="M222" s="55" t="str">
        <f t="shared" si="2155"/>
        <v>1-2</v>
      </c>
      <c r="N222" s="25">
        <f>WORLDCUP!AC133</f>
        <v>1</v>
      </c>
      <c r="O222" s="25">
        <f>WORLDCUP!AD133</f>
        <v>2</v>
      </c>
      <c r="P222" s="25">
        <f t="shared" si="2156"/>
        <v>-1</v>
      </c>
      <c r="Q222" s="25">
        <f>+A222-B222</f>
        <v>1</v>
      </c>
      <c r="R222" s="110"/>
      <c r="S222" s="74" t="s">
        <v>1988</v>
      </c>
      <c r="T222" s="77">
        <f t="shared" ca="1" si="2257"/>
        <v>0</v>
      </c>
      <c r="U222" s="110"/>
      <c r="V222" s="74" t="s">
        <v>2027</v>
      </c>
      <c r="W222" s="77">
        <f t="shared" ca="1" si="2157"/>
        <v>0</v>
      </c>
      <c r="X222" s="110"/>
      <c r="Y222" s="74" t="s">
        <v>2061</v>
      </c>
      <c r="Z222" s="77">
        <f t="shared" ca="1" si="2157"/>
        <v>0</v>
      </c>
      <c r="AA222" s="110"/>
      <c r="AB222" s="74" t="s">
        <v>2095</v>
      </c>
      <c r="AC222" s="77">
        <f t="shared" ca="1" si="2157"/>
        <v>0</v>
      </c>
      <c r="AD222" s="110"/>
      <c r="AE222" s="74" t="s">
        <v>2122</v>
      </c>
      <c r="AF222" s="77">
        <f t="shared" ca="1" si="2157"/>
        <v>0</v>
      </c>
      <c r="AG222" s="110"/>
      <c r="AH222" s="74" t="s">
        <v>2061</v>
      </c>
      <c r="AI222" s="77">
        <f t="shared" ca="1" si="2157"/>
        <v>0</v>
      </c>
      <c r="AJ222" s="110"/>
      <c r="AK222" s="74" t="s">
        <v>2181</v>
      </c>
      <c r="AL222" s="77">
        <f t="shared" ca="1" si="2157"/>
        <v>0</v>
      </c>
      <c r="AM222" s="110"/>
      <c r="AN222" s="74" t="s">
        <v>2214</v>
      </c>
      <c r="AO222" s="77">
        <f t="shared" ca="1" si="2157"/>
        <v>0</v>
      </c>
      <c r="AP222" s="110"/>
      <c r="AQ222" s="74" t="s">
        <v>2242</v>
      </c>
      <c r="AR222" s="77">
        <f t="shared" ca="1" si="2157"/>
        <v>0</v>
      </c>
      <c r="AS222" s="110"/>
      <c r="AT222" s="74" t="s">
        <v>2271</v>
      </c>
      <c r="AU222" s="77">
        <f t="shared" ca="1" si="2157"/>
        <v>0</v>
      </c>
      <c r="AV222" s="110"/>
      <c r="AW222" s="74" t="s">
        <v>2122</v>
      </c>
      <c r="AX222" s="77">
        <f t="shared" ca="1" si="2157"/>
        <v>0</v>
      </c>
      <c r="AY222" s="110"/>
      <c r="AZ222" s="74" t="s">
        <v>2061</v>
      </c>
      <c r="BA222" s="77">
        <f t="shared" ca="1" si="2157"/>
        <v>0</v>
      </c>
      <c r="BB222" s="110"/>
      <c r="BC222" s="74" t="s">
        <v>2341</v>
      </c>
      <c r="BD222" s="77">
        <f t="shared" ca="1" si="2157"/>
        <v>0</v>
      </c>
      <c r="BE222" s="110"/>
      <c r="BF222" s="74" t="s">
        <v>2181</v>
      </c>
      <c r="BG222" s="77">
        <f t="shared" ca="1" si="2157"/>
        <v>0</v>
      </c>
      <c r="BH222" s="110"/>
      <c r="BI222" s="74" t="s">
        <v>2393</v>
      </c>
      <c r="BJ222" s="77">
        <f t="shared" ca="1" si="2157"/>
        <v>0</v>
      </c>
      <c r="BK222" s="110"/>
      <c r="BL222" s="74" t="s">
        <v>2122</v>
      </c>
      <c r="BM222" s="77">
        <f t="shared" ca="1" si="2157"/>
        <v>0</v>
      </c>
      <c r="BN222" s="110"/>
      <c r="BO222" s="74" t="s">
        <v>2122</v>
      </c>
      <c r="BP222" s="77">
        <f t="shared" ca="1" si="2157"/>
        <v>0</v>
      </c>
      <c r="BQ222" s="110"/>
      <c r="BR222" s="74" t="s">
        <v>2461</v>
      </c>
      <c r="BS222" s="77">
        <f t="shared" ca="1" si="2157"/>
        <v>0</v>
      </c>
      <c r="BT222" s="110"/>
      <c r="BU222" s="74" t="s">
        <v>2122</v>
      </c>
      <c r="BV222" s="77">
        <f t="shared" ca="1" si="2157"/>
        <v>0</v>
      </c>
      <c r="BW222" s="110"/>
      <c r="BX222" s="74" t="s">
        <v>2061</v>
      </c>
      <c r="BY222" s="77">
        <f t="shared" ca="1" si="2157"/>
        <v>0</v>
      </c>
      <c r="BZ222" s="110"/>
      <c r="CA222" s="74" t="s">
        <v>2507</v>
      </c>
      <c r="CB222" s="77">
        <f t="shared" ca="1" si="2157"/>
        <v>0</v>
      </c>
      <c r="CC222" s="110"/>
      <c r="CD222" s="74" t="s">
        <v>2526</v>
      </c>
      <c r="CE222" s="77">
        <f t="shared" ca="1" si="2157"/>
        <v>0</v>
      </c>
      <c r="CF222" s="110"/>
      <c r="CG222" s="74" t="s">
        <v>2540</v>
      </c>
      <c r="CH222" s="77">
        <f t="shared" ca="1" si="2157"/>
        <v>0</v>
      </c>
      <c r="CI222" s="110"/>
      <c r="CJ222" s="74" t="s">
        <v>2564</v>
      </c>
      <c r="CK222" s="77">
        <f t="shared" ca="1" si="2179"/>
        <v>0</v>
      </c>
      <c r="CL222" s="110"/>
      <c r="CM222" s="74" t="s">
        <v>2586</v>
      </c>
      <c r="CN222" s="77">
        <f t="shared" ca="1" si="2179"/>
        <v>0</v>
      </c>
      <c r="CO222" s="110"/>
      <c r="CP222" s="74" t="s">
        <v>2598</v>
      </c>
      <c r="CQ222" s="77">
        <f t="shared" ca="1" si="2179"/>
        <v>0</v>
      </c>
      <c r="CR222" s="110"/>
      <c r="CS222" s="74" t="s">
        <v>2181</v>
      </c>
      <c r="CT222" s="77">
        <f t="shared" ca="1" si="2179"/>
        <v>0</v>
      </c>
      <c r="CU222" s="110"/>
      <c r="CV222" s="74" t="s">
        <v>2650</v>
      </c>
      <c r="CW222" s="77">
        <f t="shared" ca="1" si="2179"/>
        <v>0</v>
      </c>
      <c r="CX222" s="110"/>
      <c r="CY222" s="74" t="s">
        <v>2685</v>
      </c>
      <c r="CZ222" s="77">
        <f t="shared" ca="1" si="2179"/>
        <v>0</v>
      </c>
      <c r="DA222" s="110"/>
      <c r="DB222" s="74" t="s">
        <v>2507</v>
      </c>
      <c r="DC222" s="77">
        <f t="shared" ca="1" si="2179"/>
        <v>0</v>
      </c>
      <c r="DD222" s="110"/>
      <c r="DE222" s="74" t="s">
        <v>2715</v>
      </c>
      <c r="DF222" s="77">
        <f t="shared" ca="1" si="2179"/>
        <v>0</v>
      </c>
      <c r="DG222" s="110"/>
      <c r="DH222" s="74" t="s">
        <v>2181</v>
      </c>
      <c r="DI222" s="77">
        <f t="shared" ca="1" si="2179"/>
        <v>0</v>
      </c>
      <c r="DJ222" s="110"/>
      <c r="DK222" s="74" t="s">
        <v>2715</v>
      </c>
      <c r="DL222" s="77">
        <f t="shared" ca="1" si="2179"/>
        <v>0</v>
      </c>
      <c r="DM222" s="110"/>
      <c r="DN222" s="74" t="s">
        <v>2771</v>
      </c>
      <c r="DO222" s="77">
        <f t="shared" ca="1" si="2179"/>
        <v>0</v>
      </c>
      <c r="DP222" s="110"/>
      <c r="DQ222" s="74" t="s">
        <v>2783</v>
      </c>
      <c r="DR222" s="77">
        <f t="shared" ca="1" si="2179"/>
        <v>20</v>
      </c>
      <c r="DS222" s="110"/>
      <c r="DT222" s="74" t="s">
        <v>2650</v>
      </c>
      <c r="DU222" s="77">
        <f t="shared" ca="1" si="2179"/>
        <v>0</v>
      </c>
      <c r="DV222" s="110"/>
      <c r="DW222" s="74" t="s">
        <v>2813</v>
      </c>
      <c r="DX222" s="77">
        <f t="shared" ca="1" si="2179"/>
        <v>0</v>
      </c>
      <c r="DY222" s="110"/>
      <c r="DZ222" s="74" t="s">
        <v>2095</v>
      </c>
      <c r="EA222" s="77">
        <f t="shared" ca="1" si="2179"/>
        <v>0</v>
      </c>
      <c r="EB222" s="110"/>
      <c r="EC222" s="74" t="s">
        <v>2061</v>
      </c>
      <c r="ED222" s="77">
        <f t="shared" ca="1" si="2179"/>
        <v>0</v>
      </c>
      <c r="EE222" s="110"/>
      <c r="EF222" s="74" t="s">
        <v>2848</v>
      </c>
      <c r="EG222" s="77">
        <f t="shared" ca="1" si="2179"/>
        <v>0</v>
      </c>
      <c r="EH222" s="110"/>
      <c r="EI222" s="74" t="s">
        <v>2122</v>
      </c>
      <c r="EJ222" s="77">
        <f t="shared" ca="1" si="2179"/>
        <v>0</v>
      </c>
      <c r="EK222" s="110"/>
      <c r="EL222" s="74" t="s">
        <v>2868</v>
      </c>
      <c r="EM222" s="77">
        <f t="shared" ca="1" si="2179"/>
        <v>0</v>
      </c>
      <c r="EN222" s="110"/>
      <c r="EO222" s="74" t="s">
        <v>2122</v>
      </c>
      <c r="EP222" s="77">
        <f t="shared" ca="1" si="2179"/>
        <v>0</v>
      </c>
      <c r="EQ222" s="110"/>
      <c r="ER222" s="74" t="s">
        <v>2061</v>
      </c>
      <c r="ES222" s="77">
        <f t="shared" ca="1" si="2179"/>
        <v>0</v>
      </c>
      <c r="ET222" s="110"/>
      <c r="EU222" s="74" t="s">
        <v>2910</v>
      </c>
      <c r="EV222" s="77">
        <f t="shared" ca="1" si="2179"/>
        <v>0</v>
      </c>
      <c r="EW222" s="110"/>
      <c r="EX222" s="74" t="s">
        <v>2061</v>
      </c>
      <c r="EY222" s="77">
        <f t="shared" ca="1" si="2201"/>
        <v>0</v>
      </c>
      <c r="EZ222" s="110"/>
      <c r="FA222" s="74" t="s">
        <v>2122</v>
      </c>
      <c r="FB222" s="77">
        <f t="shared" ca="1" si="2201"/>
        <v>0</v>
      </c>
      <c r="FC222" s="110"/>
      <c r="FD222" s="74" t="s">
        <v>2540</v>
      </c>
      <c r="FE222" s="77">
        <f t="shared" ca="1" si="2201"/>
        <v>0</v>
      </c>
      <c r="FF222" s="110"/>
      <c r="FG222" s="74" t="s">
        <v>2963</v>
      </c>
      <c r="FH222" s="77">
        <f t="shared" ca="1" si="2201"/>
        <v>0</v>
      </c>
      <c r="FI222" s="110"/>
      <c r="FJ222" s="74" t="s">
        <v>2061</v>
      </c>
      <c r="FK222" s="77">
        <f t="shared" ca="1" si="2201"/>
        <v>0</v>
      </c>
      <c r="FL222" s="110"/>
      <c r="FM222" s="74" t="s">
        <v>2122</v>
      </c>
      <c r="FN222" s="77">
        <f t="shared" ca="1" si="2201"/>
        <v>0</v>
      </c>
      <c r="FO222" s="110"/>
      <c r="FP222" s="74" t="s">
        <v>2061</v>
      </c>
      <c r="FQ222" s="77">
        <f t="shared" ca="1" si="2201"/>
        <v>0</v>
      </c>
      <c r="FR222" s="110"/>
      <c r="FS222" s="74" t="s">
        <v>2061</v>
      </c>
      <c r="FT222" s="77">
        <f t="shared" ca="1" si="2201"/>
        <v>0</v>
      </c>
      <c r="FU222" s="110"/>
      <c r="FV222" s="74" t="s">
        <v>2783</v>
      </c>
      <c r="FW222" s="77">
        <f t="shared" ca="1" si="2201"/>
        <v>20</v>
      </c>
      <c r="FX222" s="110"/>
      <c r="FY222" s="74" t="s">
        <v>2122</v>
      </c>
      <c r="FZ222" s="77">
        <f t="shared" ca="1" si="2201"/>
        <v>0</v>
      </c>
      <c r="GA222" s="110"/>
      <c r="GB222" s="74" t="s">
        <v>3025</v>
      </c>
      <c r="GC222" s="77">
        <f t="shared" ca="1" si="2201"/>
        <v>0</v>
      </c>
      <c r="GD222" s="110"/>
      <c r="GE222" s="74" t="s">
        <v>2122</v>
      </c>
      <c r="GF222" s="77">
        <f t="shared" ca="1" si="2201"/>
        <v>0</v>
      </c>
      <c r="GG222" s="110"/>
      <c r="GH222" s="74" t="s">
        <v>3050</v>
      </c>
      <c r="GI222" s="77">
        <f t="shared" ca="1" si="2201"/>
        <v>0</v>
      </c>
      <c r="GJ222" s="110"/>
      <c r="GK222" s="74" t="s">
        <v>2122</v>
      </c>
      <c r="GL222" s="77">
        <f t="shared" ca="1" si="2201"/>
        <v>0</v>
      </c>
      <c r="GM222" s="110"/>
      <c r="GN222" s="74"/>
      <c r="GO222" s="77">
        <f t="shared" ca="1" si="2201"/>
        <v>0</v>
      </c>
      <c r="GP222" s="110"/>
      <c r="GQ222" s="74"/>
      <c r="GR222" s="77">
        <f t="shared" ca="1" si="2201"/>
        <v>0</v>
      </c>
      <c r="GS222" s="110"/>
      <c r="GT222" s="74"/>
      <c r="GU222" s="77">
        <f t="shared" ca="1" si="2201"/>
        <v>0</v>
      </c>
      <c r="GV222" s="110"/>
      <c r="GW222" s="74"/>
      <c r="GX222" s="77">
        <f t="shared" ca="1" si="2201"/>
        <v>0</v>
      </c>
      <c r="GY222" s="110"/>
      <c r="GZ222" s="74"/>
      <c r="HA222" s="77">
        <f t="shared" ca="1" si="2201"/>
        <v>0</v>
      </c>
      <c r="HB222" s="110"/>
      <c r="HC222" s="74"/>
      <c r="HD222" s="77">
        <f t="shared" ca="1" si="2201"/>
        <v>0</v>
      </c>
      <c r="HE222" s="110"/>
      <c r="HF222" s="74"/>
      <c r="HG222" s="77">
        <f t="shared" ca="1" si="2201"/>
        <v>0</v>
      </c>
      <c r="HH222" s="110"/>
      <c r="HI222" s="74"/>
      <c r="HJ222" s="77">
        <f t="shared" ca="1" si="2201"/>
        <v>0</v>
      </c>
      <c r="HK222" s="110"/>
      <c r="HL222" s="74"/>
      <c r="HM222" s="77">
        <f t="shared" ca="1" si="2223"/>
        <v>0</v>
      </c>
      <c r="HN222" s="110"/>
      <c r="HO222" s="74"/>
      <c r="HP222" s="77">
        <f t="shared" ca="1" si="2223"/>
        <v>0</v>
      </c>
      <c r="HQ222" s="110"/>
      <c r="HR222" s="74"/>
      <c r="HS222" s="77">
        <f t="shared" ca="1" si="2223"/>
        <v>0</v>
      </c>
      <c r="HT222" s="110"/>
      <c r="HU222" s="74"/>
      <c r="HV222" s="77">
        <f t="shared" ca="1" si="2223"/>
        <v>0</v>
      </c>
      <c r="HW222" s="110"/>
      <c r="HX222" s="74"/>
      <c r="HY222" s="77">
        <f t="shared" ca="1" si="2223"/>
        <v>0</v>
      </c>
      <c r="HZ222" s="110"/>
      <c r="IA222" s="74"/>
      <c r="IB222" s="77">
        <f t="shared" ca="1" si="2223"/>
        <v>0</v>
      </c>
      <c r="IC222" s="110"/>
      <c r="ID222" s="74"/>
      <c r="IE222" s="77">
        <f t="shared" ca="1" si="2223"/>
        <v>0</v>
      </c>
      <c r="IF222" s="110"/>
      <c r="IG222" s="74"/>
      <c r="IH222" s="77">
        <f t="shared" ca="1" si="2223"/>
        <v>0</v>
      </c>
      <c r="II222" s="110"/>
      <c r="IJ222" s="74"/>
      <c r="IK222" s="77">
        <f t="shared" ca="1" si="2223"/>
        <v>0</v>
      </c>
      <c r="IL222" s="110"/>
      <c r="IM222" s="74"/>
      <c r="IN222" s="77">
        <f t="shared" ca="1" si="2223"/>
        <v>0</v>
      </c>
      <c r="IO222" s="110"/>
      <c r="IP222" s="74"/>
      <c r="IQ222" s="77">
        <f t="shared" ca="1" si="2223"/>
        <v>0</v>
      </c>
      <c r="IR222" s="110"/>
      <c r="IS222" s="74"/>
      <c r="IT222" s="77">
        <f t="shared" ca="1" si="2223"/>
        <v>0</v>
      </c>
      <c r="IU222" s="110"/>
      <c r="IV222" s="74"/>
      <c r="IW222" s="77">
        <f t="shared" ca="1" si="2223"/>
        <v>0</v>
      </c>
      <c r="IX222" s="110"/>
      <c r="IY222" s="74"/>
      <c r="IZ222" s="77">
        <f t="shared" ca="1" si="2223"/>
        <v>0</v>
      </c>
      <c r="JA222" s="110"/>
      <c r="JB222" s="74"/>
      <c r="JC222" s="77">
        <f t="shared" ca="1" si="2223"/>
        <v>0</v>
      </c>
      <c r="JD222" s="110"/>
      <c r="JE222" s="74"/>
      <c r="JF222" s="77">
        <f t="shared" ca="1" si="2223"/>
        <v>0</v>
      </c>
      <c r="JG222" s="110"/>
      <c r="JH222" s="74"/>
      <c r="JI222" s="77">
        <f t="shared" ca="1" si="2223"/>
        <v>0</v>
      </c>
      <c r="JJ222" s="110"/>
      <c r="JK222" s="74"/>
      <c r="JL222" s="77">
        <f t="shared" ca="1" si="2223"/>
        <v>0</v>
      </c>
      <c r="JM222" s="110"/>
      <c r="JN222" s="74"/>
      <c r="JO222" s="77">
        <f t="shared" ca="1" si="2223"/>
        <v>0</v>
      </c>
      <c r="JP222" s="110"/>
      <c r="JQ222" s="74"/>
      <c r="JR222" s="77">
        <f t="shared" ca="1" si="2223"/>
        <v>0</v>
      </c>
      <c r="JS222" s="110"/>
      <c r="JT222" s="74"/>
      <c r="JU222" s="77">
        <f t="shared" ca="1" si="2223"/>
        <v>0</v>
      </c>
      <c r="JV222" s="110"/>
      <c r="JW222" s="74"/>
      <c r="JX222" s="77">
        <f t="shared" ca="1" si="2223"/>
        <v>0</v>
      </c>
      <c r="JY222" s="110"/>
      <c r="JZ222" s="74"/>
      <c r="KA222" s="77">
        <f t="shared" ca="1" si="2245"/>
        <v>0</v>
      </c>
      <c r="KB222" s="110"/>
      <c r="KC222" s="74"/>
      <c r="KD222" s="77">
        <f t="shared" ca="1" si="2245"/>
        <v>0</v>
      </c>
      <c r="KE222" s="110"/>
      <c r="KF222" s="74"/>
      <c r="KG222" s="77">
        <f t="shared" ca="1" si="2245"/>
        <v>0</v>
      </c>
      <c r="KH222" s="110"/>
      <c r="KI222" s="74"/>
      <c r="KJ222" s="77">
        <f t="shared" ca="1" si="2245"/>
        <v>0</v>
      </c>
      <c r="KK222" s="110"/>
      <c r="KL222" s="74"/>
      <c r="KM222" s="77">
        <f t="shared" ca="1" si="2245"/>
        <v>0</v>
      </c>
      <c r="KN222" s="110"/>
      <c r="KO222" s="74"/>
      <c r="KP222" s="77">
        <f t="shared" ca="1" si="2245"/>
        <v>0</v>
      </c>
      <c r="KQ222" s="110"/>
      <c r="KR222" s="74"/>
      <c r="KS222" s="77">
        <f t="shared" ca="1" si="2245"/>
        <v>0</v>
      </c>
      <c r="KT222" s="110"/>
      <c r="KU222" s="74"/>
      <c r="KV222" s="77">
        <f t="shared" ca="1" si="2245"/>
        <v>0</v>
      </c>
      <c r="KW222" s="110"/>
      <c r="KX222" s="74"/>
      <c r="KY222" s="77">
        <f t="shared" ca="1" si="2245"/>
        <v>0</v>
      </c>
      <c r="KZ222" s="110"/>
      <c r="LA222" s="74"/>
      <c r="LB222" s="77">
        <f t="shared" ca="1" si="2245"/>
        <v>0</v>
      </c>
      <c r="LC222" s="110"/>
      <c r="LD222" s="74"/>
      <c r="LE222" s="77">
        <f t="shared" ca="1" si="2245"/>
        <v>0</v>
      </c>
      <c r="LF222" s="110"/>
      <c r="LG222" s="110"/>
    </row>
    <row r="223" spans="1:319">
      <c r="A223" s="25">
        <f>WORLDCUP!AD134</f>
        <v>1</v>
      </c>
      <c r="B223" s="25">
        <f>WORLDCUP!AC134</f>
        <v>3</v>
      </c>
      <c r="C223" s="25" t="str">
        <f ca="1">CONCATENATE(WORLDCUP!AF134,"-",WORLDCUP!AA134)</f>
        <v>Switzerland-Argentina</v>
      </c>
      <c r="D223" s="25">
        <f>IF(WORLDCUP!AC134&gt;WORLDCUP!AD134,2,IF(WORLDCUP!AC134&lt;WORLDCUP!AD134,1,IF(AND(WORLDCUP!AC134=WORLDCUP!AD134,WORLDCUP!AC134&lt;&gt;"",WORLDCUP!AD134&lt;&gt;""),0,"PD")))</f>
        <v>2</v>
      </c>
      <c r="E223" s="25" t="str">
        <f>IF(OR(WORLDCUP!AD134="",WORLDCUP!AC134=""),"-",A223&amp;"-"&amp;B223)</f>
        <v>1-3</v>
      </c>
      <c r="F223" s="407">
        <f t="shared" si="2256"/>
        <v>20</v>
      </c>
      <c r="G223" s="407">
        <f ca="1">VLOOKUP(H223,Equipos!$Q$1:$R$25,2,0)</f>
        <v>22</v>
      </c>
      <c r="H223" s="65" t="str">
        <f>Idiomas!$D$262</f>
        <v>Quarterfinals</v>
      </c>
      <c r="I223" s="43">
        <v>1</v>
      </c>
      <c r="J223" s="845"/>
      <c r="K223" s="115" t="str">
        <f ca="1">CONCATENATE(WORLDCUP!AA134,"-",WORLDCUP!AF134)</f>
        <v>Argentina-Switzerland</v>
      </c>
      <c r="L223" s="115">
        <f>IF(OR(WORLDCUP!AC134="",WORLDCUP!AD134=""),"PD",IF(WORLDCUP!AC134&gt;WORLDCUP!AD134,1,IF(WORLDCUP!AC134&lt;WORLDCUP!AD134,2,0)))</f>
        <v>1</v>
      </c>
      <c r="M223" s="116" t="str">
        <f t="shared" si="2155"/>
        <v>3-1</v>
      </c>
      <c r="N223" s="25">
        <f>WORLDCUP!AC134</f>
        <v>3</v>
      </c>
      <c r="O223" s="25">
        <f>WORLDCUP!AD134</f>
        <v>1</v>
      </c>
      <c r="P223" s="25">
        <f t="shared" si="2156"/>
        <v>2</v>
      </c>
      <c r="Q223" s="25">
        <f>+A223-B223</f>
        <v>-2</v>
      </c>
      <c r="R223" s="110"/>
      <c r="S223" s="80" t="s">
        <v>1989</v>
      </c>
      <c r="T223" s="81">
        <f t="shared" ca="1" si="2257"/>
        <v>0</v>
      </c>
      <c r="U223" s="110"/>
      <c r="V223" s="80" t="s">
        <v>2028</v>
      </c>
      <c r="W223" s="81">
        <f t="shared" ca="1" si="2157"/>
        <v>12</v>
      </c>
      <c r="X223" s="110"/>
      <c r="Y223" s="80" t="s">
        <v>2062</v>
      </c>
      <c r="Z223" s="81">
        <f t="shared" ca="1" si="2157"/>
        <v>0</v>
      </c>
      <c r="AA223" s="110"/>
      <c r="AB223" s="80" t="s">
        <v>2096</v>
      </c>
      <c r="AC223" s="81">
        <f t="shared" ca="1" si="2157"/>
        <v>0</v>
      </c>
      <c r="AD223" s="110"/>
      <c r="AE223" s="80" t="s">
        <v>2123</v>
      </c>
      <c r="AF223" s="81">
        <f t="shared" ca="1" si="2157"/>
        <v>0</v>
      </c>
      <c r="AG223" s="110"/>
      <c r="AH223" s="80" t="s">
        <v>2123</v>
      </c>
      <c r="AI223" s="81">
        <f t="shared" ca="1" si="2157"/>
        <v>0</v>
      </c>
      <c r="AJ223" s="110"/>
      <c r="AK223" s="80" t="s">
        <v>2096</v>
      </c>
      <c r="AL223" s="81">
        <f t="shared" ca="1" si="2157"/>
        <v>0</v>
      </c>
      <c r="AM223" s="110"/>
      <c r="AN223" s="80" t="s">
        <v>2215</v>
      </c>
      <c r="AO223" s="81">
        <f t="shared" ca="1" si="2157"/>
        <v>0</v>
      </c>
      <c r="AP223" s="110"/>
      <c r="AQ223" s="80" t="s">
        <v>2096</v>
      </c>
      <c r="AR223" s="81">
        <f t="shared" ca="1" si="2157"/>
        <v>0</v>
      </c>
      <c r="AS223" s="110"/>
      <c r="AT223" s="80" t="s">
        <v>2272</v>
      </c>
      <c r="AU223" s="81">
        <f t="shared" ca="1" si="2157"/>
        <v>0</v>
      </c>
      <c r="AV223" s="110"/>
      <c r="AW223" s="80" t="s">
        <v>2300</v>
      </c>
      <c r="AX223" s="81">
        <f t="shared" ca="1" si="2157"/>
        <v>0</v>
      </c>
      <c r="AY223" s="110"/>
      <c r="AZ223" s="80" t="s">
        <v>2096</v>
      </c>
      <c r="BA223" s="81">
        <f t="shared" ca="1" si="2157"/>
        <v>0</v>
      </c>
      <c r="BB223" s="110"/>
      <c r="BC223" s="80" t="s">
        <v>2096</v>
      </c>
      <c r="BD223" s="81">
        <f t="shared" ca="1" si="2157"/>
        <v>0</v>
      </c>
      <c r="BE223" s="110"/>
      <c r="BF223" s="80" t="s">
        <v>2123</v>
      </c>
      <c r="BG223" s="81">
        <f t="shared" ca="1" si="2157"/>
        <v>0</v>
      </c>
      <c r="BH223" s="110"/>
      <c r="BI223" s="80" t="s">
        <v>2394</v>
      </c>
      <c r="BJ223" s="81">
        <f t="shared" ca="1" si="2157"/>
        <v>0</v>
      </c>
      <c r="BK223" s="110"/>
      <c r="BL223" s="80" t="s">
        <v>2096</v>
      </c>
      <c r="BM223" s="81">
        <f t="shared" ca="1" si="2157"/>
        <v>0</v>
      </c>
      <c r="BN223" s="110"/>
      <c r="BO223" s="80" t="s">
        <v>2028</v>
      </c>
      <c r="BP223" s="81">
        <f t="shared" ca="1" si="2157"/>
        <v>12</v>
      </c>
      <c r="BQ223" s="110"/>
      <c r="BR223" s="80" t="s">
        <v>2462</v>
      </c>
      <c r="BS223" s="81">
        <f t="shared" ca="1" si="2157"/>
        <v>0</v>
      </c>
      <c r="BT223" s="110"/>
      <c r="BU223" s="80" t="s">
        <v>2462</v>
      </c>
      <c r="BV223" s="81">
        <f t="shared" ca="1" si="2157"/>
        <v>0</v>
      </c>
      <c r="BW223" s="110"/>
      <c r="BX223" s="80" t="s">
        <v>2462</v>
      </c>
      <c r="BY223" s="81">
        <f t="shared" ca="1" si="2157"/>
        <v>0</v>
      </c>
      <c r="BZ223" s="110"/>
      <c r="CA223" s="80" t="s">
        <v>2462</v>
      </c>
      <c r="CB223" s="81">
        <f t="shared" ca="1" si="2157"/>
        <v>0</v>
      </c>
      <c r="CC223" s="110"/>
      <c r="CD223" s="80" t="s">
        <v>2123</v>
      </c>
      <c r="CE223" s="81">
        <f t="shared" ca="1" si="2157"/>
        <v>0</v>
      </c>
      <c r="CF223" s="110"/>
      <c r="CG223" s="80" t="s">
        <v>2541</v>
      </c>
      <c r="CH223" s="81">
        <f t="shared" ca="1" si="2157"/>
        <v>0</v>
      </c>
      <c r="CI223" s="110"/>
      <c r="CJ223" s="80" t="s">
        <v>2565</v>
      </c>
      <c r="CK223" s="81">
        <f t="shared" ca="1" si="2179"/>
        <v>0</v>
      </c>
      <c r="CL223" s="110"/>
      <c r="CM223" s="80" t="s">
        <v>2462</v>
      </c>
      <c r="CN223" s="81">
        <f t="shared" ca="1" si="2179"/>
        <v>0</v>
      </c>
      <c r="CO223" s="110"/>
      <c r="CP223" s="80" t="s">
        <v>2599</v>
      </c>
      <c r="CQ223" s="81">
        <f t="shared" ca="1" si="2179"/>
        <v>0</v>
      </c>
      <c r="CR223" s="110"/>
      <c r="CS223" s="80" t="s">
        <v>2599</v>
      </c>
      <c r="CT223" s="81">
        <f t="shared" ca="1" si="2179"/>
        <v>0</v>
      </c>
      <c r="CU223" s="110"/>
      <c r="CV223" s="80" t="s">
        <v>2651</v>
      </c>
      <c r="CW223" s="81">
        <f t="shared" ca="1" si="2179"/>
        <v>0</v>
      </c>
      <c r="CX223" s="110"/>
      <c r="CY223" s="80" t="s">
        <v>2686</v>
      </c>
      <c r="CZ223" s="81">
        <f t="shared" ca="1" si="2179"/>
        <v>0</v>
      </c>
      <c r="DA223" s="110"/>
      <c r="DB223" s="80" t="s">
        <v>2707</v>
      </c>
      <c r="DC223" s="81">
        <f t="shared" ca="1" si="2179"/>
        <v>0</v>
      </c>
      <c r="DD223" s="110"/>
      <c r="DE223" s="80" t="s">
        <v>2462</v>
      </c>
      <c r="DF223" s="81">
        <f t="shared" ca="1" si="2179"/>
        <v>0</v>
      </c>
      <c r="DG223" s="110"/>
      <c r="DH223" s="80" t="s">
        <v>2096</v>
      </c>
      <c r="DI223" s="81">
        <f t="shared" ca="1" si="2179"/>
        <v>0</v>
      </c>
      <c r="DJ223" s="110"/>
      <c r="DK223" s="80" t="s">
        <v>2756</v>
      </c>
      <c r="DL223" s="81">
        <f t="shared" ca="1" si="2179"/>
        <v>0</v>
      </c>
      <c r="DM223" s="110"/>
      <c r="DN223" s="80" t="s">
        <v>2651</v>
      </c>
      <c r="DO223" s="81">
        <f t="shared" ca="1" si="2179"/>
        <v>0</v>
      </c>
      <c r="DP223" s="110"/>
      <c r="DQ223" s="80" t="s">
        <v>2462</v>
      </c>
      <c r="DR223" s="81">
        <f t="shared" ca="1" si="2179"/>
        <v>0</v>
      </c>
      <c r="DS223" s="110"/>
      <c r="DT223" s="80" t="s">
        <v>2799</v>
      </c>
      <c r="DU223" s="81">
        <f t="shared" ca="1" si="2179"/>
        <v>0</v>
      </c>
      <c r="DV223" s="110"/>
      <c r="DW223" s="80" t="s">
        <v>2738</v>
      </c>
      <c r="DX223" s="81">
        <f t="shared" ca="1" si="2179"/>
        <v>0</v>
      </c>
      <c r="DY223" s="110"/>
      <c r="DZ223" s="80" t="s">
        <v>2096</v>
      </c>
      <c r="EA223" s="81">
        <f t="shared" ca="1" si="2179"/>
        <v>0</v>
      </c>
      <c r="EB223" s="110"/>
      <c r="EC223" s="80" t="s">
        <v>2096</v>
      </c>
      <c r="ED223" s="81">
        <f t="shared" ca="1" si="2179"/>
        <v>0</v>
      </c>
      <c r="EE223" s="110"/>
      <c r="EF223" s="80" t="s">
        <v>2462</v>
      </c>
      <c r="EG223" s="81">
        <f t="shared" ca="1" si="2179"/>
        <v>0</v>
      </c>
      <c r="EH223" s="110"/>
      <c r="EI223" s="80" t="s">
        <v>2462</v>
      </c>
      <c r="EJ223" s="81">
        <f t="shared" ca="1" si="2179"/>
        <v>0</v>
      </c>
      <c r="EK223" s="110"/>
      <c r="EL223" s="80" t="s">
        <v>2462</v>
      </c>
      <c r="EM223" s="81">
        <f t="shared" ca="1" si="2179"/>
        <v>0</v>
      </c>
      <c r="EN223" s="110"/>
      <c r="EO223" s="80" t="s">
        <v>2462</v>
      </c>
      <c r="EP223" s="81">
        <f t="shared" ca="1" si="2179"/>
        <v>0</v>
      </c>
      <c r="EQ223" s="110"/>
      <c r="ER223" s="80" t="s">
        <v>2893</v>
      </c>
      <c r="ES223" s="81">
        <f t="shared" ca="1" si="2179"/>
        <v>0</v>
      </c>
      <c r="ET223" s="110"/>
      <c r="EU223" s="80" t="s">
        <v>2911</v>
      </c>
      <c r="EV223" s="81">
        <f t="shared" ca="1" si="2179"/>
        <v>0</v>
      </c>
      <c r="EW223" s="110"/>
      <c r="EX223" s="80" t="s">
        <v>2462</v>
      </c>
      <c r="EY223" s="81">
        <f t="shared" ca="1" si="2201"/>
        <v>0</v>
      </c>
      <c r="EZ223" s="110"/>
      <c r="FA223" s="80" t="s">
        <v>2062</v>
      </c>
      <c r="FB223" s="81">
        <f t="shared" ca="1" si="2201"/>
        <v>0</v>
      </c>
      <c r="FC223" s="110"/>
      <c r="FD223" s="80" t="s">
        <v>2944</v>
      </c>
      <c r="FE223" s="81">
        <f t="shared" ca="1" si="2201"/>
        <v>0</v>
      </c>
      <c r="FF223" s="110"/>
      <c r="FG223" s="80" t="s">
        <v>2462</v>
      </c>
      <c r="FH223" s="81">
        <f t="shared" ca="1" si="2201"/>
        <v>0</v>
      </c>
      <c r="FI223" s="110"/>
      <c r="FJ223" s="80" t="s">
        <v>2462</v>
      </c>
      <c r="FK223" s="81">
        <f t="shared" ca="1" si="2201"/>
        <v>0</v>
      </c>
      <c r="FL223" s="110"/>
      <c r="FM223" s="80" t="s">
        <v>2462</v>
      </c>
      <c r="FN223" s="81">
        <f t="shared" ca="1" si="2201"/>
        <v>0</v>
      </c>
      <c r="FO223" s="110"/>
      <c r="FP223" s="80" t="s">
        <v>2799</v>
      </c>
      <c r="FQ223" s="81">
        <f t="shared" ca="1" si="2201"/>
        <v>0</v>
      </c>
      <c r="FR223" s="110"/>
      <c r="FS223" s="80" t="s">
        <v>2096</v>
      </c>
      <c r="FT223" s="81">
        <f t="shared" ca="1" si="2201"/>
        <v>0</v>
      </c>
      <c r="FU223" s="110"/>
      <c r="FV223" s="80" t="s">
        <v>2096</v>
      </c>
      <c r="FW223" s="81">
        <f t="shared" ca="1" si="2201"/>
        <v>0</v>
      </c>
      <c r="FX223" s="110"/>
      <c r="FY223" s="80" t="s">
        <v>2462</v>
      </c>
      <c r="FZ223" s="81">
        <f t="shared" ca="1" si="2201"/>
        <v>0</v>
      </c>
      <c r="GA223" s="110"/>
      <c r="GB223" s="80" t="s">
        <v>3026</v>
      </c>
      <c r="GC223" s="81">
        <f t="shared" ca="1" si="2201"/>
        <v>0</v>
      </c>
      <c r="GD223" s="110"/>
      <c r="GE223" s="80" t="s">
        <v>2096</v>
      </c>
      <c r="GF223" s="81">
        <f t="shared" ca="1" si="2201"/>
        <v>0</v>
      </c>
      <c r="GG223" s="110"/>
      <c r="GH223" s="80" t="s">
        <v>3051</v>
      </c>
      <c r="GI223" s="81">
        <f t="shared" ca="1" si="2201"/>
        <v>0</v>
      </c>
      <c r="GJ223" s="110"/>
      <c r="GK223" s="80" t="s">
        <v>2462</v>
      </c>
      <c r="GL223" s="81">
        <f t="shared" ca="1" si="2201"/>
        <v>0</v>
      </c>
      <c r="GM223" s="110"/>
      <c r="GN223" s="80"/>
      <c r="GO223" s="81">
        <f t="shared" ca="1" si="2201"/>
        <v>0</v>
      </c>
      <c r="GP223" s="110"/>
      <c r="GQ223" s="80"/>
      <c r="GR223" s="81">
        <f t="shared" ca="1" si="2201"/>
        <v>0</v>
      </c>
      <c r="GS223" s="110"/>
      <c r="GT223" s="80"/>
      <c r="GU223" s="81">
        <f t="shared" ca="1" si="2201"/>
        <v>0</v>
      </c>
      <c r="GV223" s="110"/>
      <c r="GW223" s="80"/>
      <c r="GX223" s="81">
        <f t="shared" ca="1" si="2201"/>
        <v>0</v>
      </c>
      <c r="GY223" s="110"/>
      <c r="GZ223" s="80"/>
      <c r="HA223" s="81">
        <f t="shared" ca="1" si="2201"/>
        <v>0</v>
      </c>
      <c r="HB223" s="110"/>
      <c r="HC223" s="80"/>
      <c r="HD223" s="81">
        <f t="shared" ca="1" si="2201"/>
        <v>0</v>
      </c>
      <c r="HE223" s="110"/>
      <c r="HF223" s="80"/>
      <c r="HG223" s="81">
        <f t="shared" ca="1" si="2201"/>
        <v>0</v>
      </c>
      <c r="HH223" s="110"/>
      <c r="HI223" s="80"/>
      <c r="HJ223" s="81">
        <f t="shared" ca="1" si="2201"/>
        <v>0</v>
      </c>
      <c r="HK223" s="110"/>
      <c r="HL223" s="80"/>
      <c r="HM223" s="81">
        <f t="shared" ca="1" si="2223"/>
        <v>0</v>
      </c>
      <c r="HN223" s="110"/>
      <c r="HO223" s="80"/>
      <c r="HP223" s="81">
        <f t="shared" ca="1" si="2223"/>
        <v>0</v>
      </c>
      <c r="HQ223" s="110"/>
      <c r="HR223" s="80"/>
      <c r="HS223" s="81">
        <f t="shared" ca="1" si="2223"/>
        <v>0</v>
      </c>
      <c r="HT223" s="110"/>
      <c r="HU223" s="80"/>
      <c r="HV223" s="81">
        <f t="shared" ca="1" si="2223"/>
        <v>0</v>
      </c>
      <c r="HW223" s="110"/>
      <c r="HX223" s="80"/>
      <c r="HY223" s="81">
        <f t="shared" ca="1" si="2223"/>
        <v>0</v>
      </c>
      <c r="HZ223" s="110"/>
      <c r="IA223" s="80"/>
      <c r="IB223" s="81">
        <f t="shared" ca="1" si="2223"/>
        <v>0</v>
      </c>
      <c r="IC223" s="110"/>
      <c r="ID223" s="80"/>
      <c r="IE223" s="81">
        <f t="shared" ca="1" si="2223"/>
        <v>0</v>
      </c>
      <c r="IF223" s="110"/>
      <c r="IG223" s="80"/>
      <c r="IH223" s="81">
        <f t="shared" ca="1" si="2223"/>
        <v>0</v>
      </c>
      <c r="II223" s="110"/>
      <c r="IJ223" s="80"/>
      <c r="IK223" s="81">
        <f t="shared" ca="1" si="2223"/>
        <v>0</v>
      </c>
      <c r="IL223" s="110"/>
      <c r="IM223" s="80"/>
      <c r="IN223" s="81">
        <f t="shared" ca="1" si="2223"/>
        <v>0</v>
      </c>
      <c r="IO223" s="110"/>
      <c r="IP223" s="80"/>
      <c r="IQ223" s="81">
        <f t="shared" ca="1" si="2223"/>
        <v>0</v>
      </c>
      <c r="IR223" s="110"/>
      <c r="IS223" s="80"/>
      <c r="IT223" s="81">
        <f t="shared" ca="1" si="2223"/>
        <v>0</v>
      </c>
      <c r="IU223" s="110"/>
      <c r="IV223" s="80"/>
      <c r="IW223" s="81">
        <f t="shared" ca="1" si="2223"/>
        <v>0</v>
      </c>
      <c r="IX223" s="110"/>
      <c r="IY223" s="80"/>
      <c r="IZ223" s="81">
        <f t="shared" ca="1" si="2223"/>
        <v>0</v>
      </c>
      <c r="JA223" s="110"/>
      <c r="JB223" s="80"/>
      <c r="JC223" s="81">
        <f t="shared" ca="1" si="2223"/>
        <v>0</v>
      </c>
      <c r="JD223" s="110"/>
      <c r="JE223" s="80"/>
      <c r="JF223" s="81">
        <f t="shared" ca="1" si="2223"/>
        <v>0</v>
      </c>
      <c r="JG223" s="110"/>
      <c r="JH223" s="80"/>
      <c r="JI223" s="81">
        <f t="shared" ca="1" si="2223"/>
        <v>0</v>
      </c>
      <c r="JJ223" s="110"/>
      <c r="JK223" s="80"/>
      <c r="JL223" s="81">
        <f t="shared" ca="1" si="2223"/>
        <v>0</v>
      </c>
      <c r="JM223" s="110"/>
      <c r="JN223" s="80"/>
      <c r="JO223" s="81">
        <f t="shared" ca="1" si="2223"/>
        <v>0</v>
      </c>
      <c r="JP223" s="110"/>
      <c r="JQ223" s="80"/>
      <c r="JR223" s="81">
        <f t="shared" ca="1" si="2223"/>
        <v>0</v>
      </c>
      <c r="JS223" s="110"/>
      <c r="JT223" s="80"/>
      <c r="JU223" s="81">
        <f t="shared" ca="1" si="2223"/>
        <v>0</v>
      </c>
      <c r="JV223" s="110"/>
      <c r="JW223" s="80"/>
      <c r="JX223" s="81">
        <f t="shared" ca="1" si="2223"/>
        <v>0</v>
      </c>
      <c r="JY223" s="110"/>
      <c r="JZ223" s="80"/>
      <c r="KA223" s="81">
        <f t="shared" ca="1" si="2245"/>
        <v>0</v>
      </c>
      <c r="KB223" s="110"/>
      <c r="KC223" s="80"/>
      <c r="KD223" s="81">
        <f t="shared" ca="1" si="2245"/>
        <v>0</v>
      </c>
      <c r="KE223" s="110"/>
      <c r="KF223" s="80"/>
      <c r="KG223" s="81">
        <f t="shared" ca="1" si="2245"/>
        <v>0</v>
      </c>
      <c r="KH223" s="110"/>
      <c r="KI223" s="80"/>
      <c r="KJ223" s="81">
        <f t="shared" ca="1" si="2245"/>
        <v>0</v>
      </c>
      <c r="KK223" s="110"/>
      <c r="KL223" s="80"/>
      <c r="KM223" s="81">
        <f t="shared" ca="1" si="2245"/>
        <v>0</v>
      </c>
      <c r="KN223" s="110"/>
      <c r="KO223" s="80"/>
      <c r="KP223" s="81">
        <f t="shared" ca="1" si="2245"/>
        <v>0</v>
      </c>
      <c r="KQ223" s="110"/>
      <c r="KR223" s="80"/>
      <c r="KS223" s="81">
        <f t="shared" ca="1" si="2245"/>
        <v>0</v>
      </c>
      <c r="KT223" s="110"/>
      <c r="KU223" s="80"/>
      <c r="KV223" s="81">
        <f t="shared" ca="1" si="2245"/>
        <v>0</v>
      </c>
      <c r="KW223" s="110"/>
      <c r="KX223" s="80"/>
      <c r="KY223" s="81">
        <f t="shared" ca="1" si="2245"/>
        <v>0</v>
      </c>
      <c r="KZ223" s="110"/>
      <c r="LA223" s="80"/>
      <c r="LB223" s="81">
        <f t="shared" ca="1" si="2245"/>
        <v>0</v>
      </c>
      <c r="LC223" s="110"/>
      <c r="LD223" s="80"/>
      <c r="LE223" s="81">
        <f t="shared" ca="1" si="2245"/>
        <v>0</v>
      </c>
      <c r="LF223" s="110"/>
      <c r="LG223" s="110"/>
    </row>
    <row r="224" spans="1:319">
      <c r="A224" s="25"/>
      <c r="B224" s="25"/>
      <c r="C224" s="25"/>
      <c r="D224" s="25"/>
      <c r="E224" s="25"/>
      <c r="F224" s="407"/>
      <c r="G224" s="407"/>
      <c r="H224" s="65"/>
      <c r="I224" s="50"/>
      <c r="J224" s="94"/>
      <c r="K224" s="434" t="str">
        <f>Idiomas!D462</f>
        <v>QF Match-ups</v>
      </c>
      <c r="L224" s="435"/>
      <c r="M224" s="434" t="str">
        <f>"Max: "&amp;SUM($D$24:$D$26)*SUM($I$220:$I$223)</f>
        <v>Max: 80</v>
      </c>
      <c r="N224" s="25"/>
      <c r="O224" s="25"/>
      <c r="P224" s="25"/>
      <c r="Q224" s="25"/>
      <c r="R224" s="49"/>
      <c r="S224" s="84"/>
      <c r="T224" s="71">
        <f ca="1">SUM(T220:T223)</f>
        <v>0</v>
      </c>
      <c r="U224" s="65"/>
      <c r="V224" s="84"/>
      <c r="W224" s="71">
        <f t="shared" ref="W224" ca="1" si="2258">SUM(W220:W223)</f>
        <v>24</v>
      </c>
      <c r="X224" s="65"/>
      <c r="Y224" s="84"/>
      <c r="Z224" s="71">
        <f t="shared" ref="Z224" ca="1" si="2259">SUM(Z220:Z223)</f>
        <v>0</v>
      </c>
      <c r="AA224" s="65"/>
      <c r="AB224" s="84"/>
      <c r="AC224" s="71">
        <f t="shared" ref="AC224" ca="1" si="2260">SUM(AC220:AC223)</f>
        <v>20</v>
      </c>
      <c r="AD224" s="65"/>
      <c r="AE224" s="84"/>
      <c r="AF224" s="71">
        <f t="shared" ref="AF224" ca="1" si="2261">SUM(AF220:AF223)</f>
        <v>10</v>
      </c>
      <c r="AG224" s="65"/>
      <c r="AH224" s="84"/>
      <c r="AI224" s="71">
        <f t="shared" ref="AI224" ca="1" si="2262">SUM(AI220:AI223)</f>
        <v>20</v>
      </c>
      <c r="AJ224" s="65"/>
      <c r="AK224" s="84"/>
      <c r="AL224" s="71">
        <f t="shared" ref="AL224" ca="1" si="2263">SUM(AL220:AL223)</f>
        <v>20</v>
      </c>
      <c r="AM224" s="65"/>
      <c r="AN224" s="84"/>
      <c r="AO224" s="71">
        <f t="shared" ref="AO224" ca="1" si="2264">SUM(AO220:AO223)</f>
        <v>0</v>
      </c>
      <c r="AP224" s="65"/>
      <c r="AQ224" s="84"/>
      <c r="AR224" s="71">
        <f t="shared" ref="AR224" ca="1" si="2265">SUM(AR220:AR223)</f>
        <v>10</v>
      </c>
      <c r="AS224" s="65"/>
      <c r="AT224" s="84"/>
      <c r="AU224" s="71">
        <f t="shared" ref="AU224" ca="1" si="2266">SUM(AU220:AU223)</f>
        <v>10</v>
      </c>
      <c r="AV224" s="65"/>
      <c r="AW224" s="84"/>
      <c r="AX224" s="71">
        <f t="shared" ref="AX224" ca="1" si="2267">SUM(AX220:AX223)</f>
        <v>0</v>
      </c>
      <c r="AY224" s="65"/>
      <c r="AZ224" s="84"/>
      <c r="BA224" s="71">
        <f t="shared" ref="BA224" ca="1" si="2268">SUM(BA220:BA223)</f>
        <v>10</v>
      </c>
      <c r="BB224" s="65"/>
      <c r="BC224" s="84"/>
      <c r="BD224" s="71">
        <f t="shared" ref="BD224" ca="1" si="2269">SUM(BD220:BD223)</f>
        <v>10</v>
      </c>
      <c r="BE224" s="65"/>
      <c r="BF224" s="84"/>
      <c r="BG224" s="71">
        <f t="shared" ref="BG224" ca="1" si="2270">SUM(BG220:BG223)</f>
        <v>10</v>
      </c>
      <c r="BH224" s="65"/>
      <c r="BI224" s="84"/>
      <c r="BJ224" s="71">
        <f t="shared" ref="BJ224" ca="1" si="2271">SUM(BJ220:BJ223)</f>
        <v>0</v>
      </c>
      <c r="BK224" s="65"/>
      <c r="BL224" s="84"/>
      <c r="BM224" s="71">
        <f t="shared" ref="BM224" ca="1" si="2272">SUM(BM220:BM223)</f>
        <v>20</v>
      </c>
      <c r="BN224" s="65"/>
      <c r="BO224" s="84"/>
      <c r="BP224" s="71">
        <f t="shared" ref="BP224" ca="1" si="2273">SUM(BP220:BP223)</f>
        <v>12</v>
      </c>
      <c r="BQ224" s="65"/>
      <c r="BR224" s="84"/>
      <c r="BS224" s="71">
        <f t="shared" ref="BS224" ca="1" si="2274">SUM(BS220:BS223)</f>
        <v>0</v>
      </c>
      <c r="BT224" s="65"/>
      <c r="BU224" s="84"/>
      <c r="BV224" s="71">
        <f t="shared" ref="BV224" ca="1" si="2275">SUM(BV220:BV223)</f>
        <v>20</v>
      </c>
      <c r="BW224" s="65"/>
      <c r="BX224" s="84"/>
      <c r="BY224" s="71">
        <f t="shared" ref="BY224" ca="1" si="2276">SUM(BY220:BY223)</f>
        <v>10</v>
      </c>
      <c r="BZ224" s="65"/>
      <c r="CA224" s="84"/>
      <c r="CB224" s="71">
        <f t="shared" ref="CB224" ca="1" si="2277">SUM(CB220:CB223)</f>
        <v>40</v>
      </c>
      <c r="CC224" s="65"/>
      <c r="CD224" s="84"/>
      <c r="CE224" s="71">
        <f t="shared" ref="CE224" ca="1" si="2278">SUM(CE220:CE223)</f>
        <v>0</v>
      </c>
      <c r="CF224" s="65"/>
      <c r="CG224" s="84"/>
      <c r="CH224" s="71">
        <f t="shared" ref="CH224" ca="1" si="2279">SUM(CH220:CH223)</f>
        <v>0</v>
      </c>
      <c r="CI224" s="65"/>
      <c r="CJ224" s="84"/>
      <c r="CK224" s="71">
        <f t="shared" ref="CK224" ca="1" si="2280">SUM(CK220:CK223)</f>
        <v>0</v>
      </c>
      <c r="CL224" s="65"/>
      <c r="CM224" s="84"/>
      <c r="CN224" s="71">
        <f t="shared" ref="CN224" ca="1" si="2281">SUM(CN220:CN223)</f>
        <v>0</v>
      </c>
      <c r="CO224" s="65"/>
      <c r="CP224" s="84"/>
      <c r="CQ224" s="71">
        <f t="shared" ref="CQ224" ca="1" si="2282">SUM(CQ220:CQ223)</f>
        <v>10</v>
      </c>
      <c r="CR224" s="65"/>
      <c r="CS224" s="84"/>
      <c r="CT224" s="71">
        <f t="shared" ref="CT224" ca="1" si="2283">SUM(CT220:CT223)</f>
        <v>0</v>
      </c>
      <c r="CU224" s="65"/>
      <c r="CV224" s="84"/>
      <c r="CW224" s="71">
        <f t="shared" ref="CW224" ca="1" si="2284">SUM(CW220:CW223)</f>
        <v>10</v>
      </c>
      <c r="CX224" s="65"/>
      <c r="CY224" s="84"/>
      <c r="CZ224" s="71">
        <f t="shared" ref="CZ224" ca="1" si="2285">SUM(CZ220:CZ223)</f>
        <v>0</v>
      </c>
      <c r="DA224" s="65"/>
      <c r="DB224" s="84"/>
      <c r="DC224" s="71">
        <f t="shared" ref="DC224" ca="1" si="2286">SUM(DC220:DC223)</f>
        <v>10</v>
      </c>
      <c r="DD224" s="65"/>
      <c r="DE224" s="84"/>
      <c r="DF224" s="71">
        <f t="shared" ref="DF224" ca="1" si="2287">SUM(DF220:DF223)</f>
        <v>10</v>
      </c>
      <c r="DG224" s="65"/>
      <c r="DH224" s="84"/>
      <c r="DI224" s="71">
        <f t="shared" ref="DI224" ca="1" si="2288">SUM(DI220:DI223)</f>
        <v>10</v>
      </c>
      <c r="DJ224" s="65"/>
      <c r="DK224" s="84"/>
      <c r="DL224" s="71">
        <f t="shared" ref="DL224" ca="1" si="2289">SUM(DL220:DL223)</f>
        <v>20</v>
      </c>
      <c r="DM224" s="65"/>
      <c r="DN224" s="84"/>
      <c r="DO224" s="71">
        <f t="shared" ref="DO224" ca="1" si="2290">SUM(DO220:DO223)</f>
        <v>0</v>
      </c>
      <c r="DP224" s="65"/>
      <c r="DQ224" s="84"/>
      <c r="DR224" s="71">
        <f t="shared" ref="DR224" ca="1" si="2291">SUM(DR220:DR223)</f>
        <v>30</v>
      </c>
      <c r="DS224" s="65"/>
      <c r="DT224" s="84"/>
      <c r="DU224" s="71">
        <f t="shared" ref="DU224" ca="1" si="2292">SUM(DU220:DU223)</f>
        <v>0</v>
      </c>
      <c r="DV224" s="65"/>
      <c r="DW224" s="84"/>
      <c r="DX224" s="71">
        <f t="shared" ref="DX224" ca="1" si="2293">SUM(DX220:DX223)</f>
        <v>0</v>
      </c>
      <c r="DY224" s="65"/>
      <c r="DZ224" s="84"/>
      <c r="EA224" s="71">
        <f t="shared" ref="EA224" ca="1" si="2294">SUM(EA220:EA223)</f>
        <v>20</v>
      </c>
      <c r="EB224" s="65"/>
      <c r="EC224" s="84"/>
      <c r="ED224" s="71">
        <f t="shared" ref="ED224" ca="1" si="2295">SUM(ED220:ED223)</f>
        <v>20</v>
      </c>
      <c r="EE224" s="65"/>
      <c r="EF224" s="84"/>
      <c r="EG224" s="71">
        <f t="shared" ref="EG224" ca="1" si="2296">SUM(EG220:EG223)</f>
        <v>0</v>
      </c>
      <c r="EH224" s="65"/>
      <c r="EI224" s="84"/>
      <c r="EJ224" s="71">
        <f t="shared" ref="EJ224" ca="1" si="2297">SUM(EJ220:EJ223)</f>
        <v>20</v>
      </c>
      <c r="EK224" s="65"/>
      <c r="EL224" s="84"/>
      <c r="EM224" s="71">
        <f t="shared" ref="EM224" ca="1" si="2298">SUM(EM220:EM223)</f>
        <v>10</v>
      </c>
      <c r="EN224" s="65"/>
      <c r="EO224" s="84"/>
      <c r="EP224" s="71">
        <f t="shared" ref="EP224" ca="1" si="2299">SUM(EP220:EP223)</f>
        <v>20</v>
      </c>
      <c r="EQ224" s="65"/>
      <c r="ER224" s="84"/>
      <c r="ES224" s="71">
        <f t="shared" ref="ES224" ca="1" si="2300">SUM(ES220:ES223)</f>
        <v>20</v>
      </c>
      <c r="ET224" s="65"/>
      <c r="EU224" s="84"/>
      <c r="EV224" s="71">
        <f t="shared" ref="EV224" ca="1" si="2301">SUM(EV220:EV223)</f>
        <v>40</v>
      </c>
      <c r="EW224" s="65"/>
      <c r="EX224" s="84"/>
      <c r="EY224" s="71">
        <f t="shared" ref="EY224" ca="1" si="2302">SUM(EY220:EY223)</f>
        <v>0</v>
      </c>
      <c r="EZ224" s="65"/>
      <c r="FA224" s="84"/>
      <c r="FB224" s="71">
        <f t="shared" ref="FB224" ca="1" si="2303">SUM(FB220:FB223)</f>
        <v>0</v>
      </c>
      <c r="FC224" s="65"/>
      <c r="FD224" s="84"/>
      <c r="FE224" s="71">
        <f t="shared" ref="FE224" ca="1" si="2304">SUM(FE220:FE223)</f>
        <v>20</v>
      </c>
      <c r="FF224" s="65"/>
      <c r="FG224" s="84"/>
      <c r="FH224" s="71">
        <f t="shared" ref="FH224" ca="1" si="2305">SUM(FH220:FH223)</f>
        <v>20</v>
      </c>
      <c r="FI224" s="65"/>
      <c r="FJ224" s="84"/>
      <c r="FK224" s="71">
        <f t="shared" ref="FK224" ca="1" si="2306">SUM(FK220:FK223)</f>
        <v>20</v>
      </c>
      <c r="FL224" s="65"/>
      <c r="FM224" s="84"/>
      <c r="FN224" s="71">
        <f t="shared" ref="FN224" ca="1" si="2307">SUM(FN220:FN223)</f>
        <v>20</v>
      </c>
      <c r="FO224" s="65"/>
      <c r="FP224" s="84"/>
      <c r="FQ224" s="71">
        <f t="shared" ref="FQ224" ca="1" si="2308">SUM(FQ220:FQ223)</f>
        <v>20</v>
      </c>
      <c r="FR224" s="65"/>
      <c r="FS224" s="84"/>
      <c r="FT224" s="71">
        <f t="shared" ref="FT224" ca="1" si="2309">SUM(FT220:FT223)</f>
        <v>0</v>
      </c>
      <c r="FU224" s="65"/>
      <c r="FV224" s="84"/>
      <c r="FW224" s="71">
        <f t="shared" ref="FW224" ca="1" si="2310">SUM(FW220:FW223)</f>
        <v>20</v>
      </c>
      <c r="FX224" s="65"/>
      <c r="FY224" s="84"/>
      <c r="FZ224" s="71">
        <f t="shared" ref="FZ224" ca="1" si="2311">SUM(FZ220:FZ223)</f>
        <v>0</v>
      </c>
      <c r="GA224" s="65"/>
      <c r="GB224" s="84"/>
      <c r="GC224" s="71">
        <f t="shared" ref="GC224" ca="1" si="2312">SUM(GC220:GC223)</f>
        <v>10</v>
      </c>
      <c r="GD224" s="65"/>
      <c r="GE224" s="84"/>
      <c r="GF224" s="71">
        <f t="shared" ref="GF224" ca="1" si="2313">SUM(GF220:GF223)</f>
        <v>20</v>
      </c>
      <c r="GG224" s="65"/>
      <c r="GH224" s="84"/>
      <c r="GI224" s="71">
        <f t="shared" ref="GI224" ca="1" si="2314">SUM(GI220:GI223)</f>
        <v>10</v>
      </c>
      <c r="GJ224" s="65"/>
      <c r="GK224" s="84"/>
      <c r="GL224" s="71">
        <f t="shared" ref="GL224" ca="1" si="2315">SUM(GL220:GL223)</f>
        <v>0</v>
      </c>
      <c r="GM224" s="65"/>
      <c r="GN224" s="84"/>
      <c r="GO224" s="71">
        <f t="shared" ref="GO224" ca="1" si="2316">SUM(GO220:GO223)</f>
        <v>0</v>
      </c>
      <c r="GP224" s="65"/>
      <c r="GQ224" s="84"/>
      <c r="GR224" s="71">
        <f t="shared" ref="GR224" ca="1" si="2317">SUM(GR220:GR223)</f>
        <v>0</v>
      </c>
      <c r="GS224" s="65"/>
      <c r="GT224" s="84"/>
      <c r="GU224" s="71">
        <f t="shared" ref="GU224" ca="1" si="2318">SUM(GU220:GU223)</f>
        <v>0</v>
      </c>
      <c r="GV224" s="65"/>
      <c r="GW224" s="84"/>
      <c r="GX224" s="71">
        <f t="shared" ref="GX224" ca="1" si="2319">SUM(GX220:GX223)</f>
        <v>0</v>
      </c>
      <c r="GY224" s="65"/>
      <c r="GZ224" s="84"/>
      <c r="HA224" s="71">
        <f t="shared" ref="HA224" ca="1" si="2320">SUM(HA220:HA223)</f>
        <v>0</v>
      </c>
      <c r="HB224" s="65"/>
      <c r="HC224" s="84"/>
      <c r="HD224" s="71">
        <f t="shared" ref="HD224" ca="1" si="2321">SUM(HD220:HD223)</f>
        <v>0</v>
      </c>
      <c r="HE224" s="65"/>
      <c r="HF224" s="84"/>
      <c r="HG224" s="71">
        <f t="shared" ref="HG224" ca="1" si="2322">SUM(HG220:HG223)</f>
        <v>0</v>
      </c>
      <c r="HH224" s="65"/>
      <c r="HI224" s="84"/>
      <c r="HJ224" s="71">
        <f t="shared" ref="HJ224" ca="1" si="2323">SUM(HJ220:HJ223)</f>
        <v>0</v>
      </c>
      <c r="HK224" s="65"/>
      <c r="HL224" s="84"/>
      <c r="HM224" s="71">
        <f t="shared" ref="HM224" ca="1" si="2324">SUM(HM220:HM223)</f>
        <v>0</v>
      </c>
      <c r="HN224" s="65"/>
      <c r="HO224" s="84"/>
      <c r="HP224" s="71">
        <f t="shared" ref="HP224" ca="1" si="2325">SUM(HP220:HP223)</f>
        <v>0</v>
      </c>
      <c r="HQ224" s="65"/>
      <c r="HR224" s="84"/>
      <c r="HS224" s="71">
        <f t="shared" ref="HS224" ca="1" si="2326">SUM(HS220:HS223)</f>
        <v>0</v>
      </c>
      <c r="HT224" s="65"/>
      <c r="HU224" s="84"/>
      <c r="HV224" s="71">
        <f t="shared" ref="HV224" ca="1" si="2327">SUM(HV220:HV223)</f>
        <v>0</v>
      </c>
      <c r="HW224" s="65"/>
      <c r="HX224" s="84"/>
      <c r="HY224" s="71">
        <f t="shared" ref="HY224" ca="1" si="2328">SUM(HY220:HY223)</f>
        <v>0</v>
      </c>
      <c r="HZ224" s="65"/>
      <c r="IA224" s="84"/>
      <c r="IB224" s="71">
        <f t="shared" ref="IB224" ca="1" si="2329">SUM(IB220:IB223)</f>
        <v>0</v>
      </c>
      <c r="IC224" s="65"/>
      <c r="ID224" s="84"/>
      <c r="IE224" s="71">
        <f t="shared" ref="IE224" ca="1" si="2330">SUM(IE220:IE223)</f>
        <v>0</v>
      </c>
      <c r="IF224" s="65"/>
      <c r="IG224" s="84"/>
      <c r="IH224" s="71">
        <f t="shared" ref="IH224" ca="1" si="2331">SUM(IH220:IH223)</f>
        <v>0</v>
      </c>
      <c r="II224" s="65"/>
      <c r="IJ224" s="84"/>
      <c r="IK224" s="71">
        <f t="shared" ref="IK224" ca="1" si="2332">SUM(IK220:IK223)</f>
        <v>0</v>
      </c>
      <c r="IL224" s="65"/>
      <c r="IM224" s="84"/>
      <c r="IN224" s="71">
        <f t="shared" ref="IN224" ca="1" si="2333">SUM(IN220:IN223)</f>
        <v>0</v>
      </c>
      <c r="IO224" s="65"/>
      <c r="IP224" s="84"/>
      <c r="IQ224" s="71">
        <f t="shared" ref="IQ224" ca="1" si="2334">SUM(IQ220:IQ223)</f>
        <v>0</v>
      </c>
      <c r="IR224" s="65"/>
      <c r="IS224" s="84"/>
      <c r="IT224" s="71">
        <f t="shared" ref="IT224" ca="1" si="2335">SUM(IT220:IT223)</f>
        <v>0</v>
      </c>
      <c r="IU224" s="65"/>
      <c r="IV224" s="84"/>
      <c r="IW224" s="71">
        <f t="shared" ref="IW224" ca="1" si="2336">SUM(IW220:IW223)</f>
        <v>0</v>
      </c>
      <c r="IX224" s="65"/>
      <c r="IY224" s="84"/>
      <c r="IZ224" s="71">
        <f t="shared" ref="IZ224" ca="1" si="2337">SUM(IZ220:IZ223)</f>
        <v>0</v>
      </c>
      <c r="JA224" s="65"/>
      <c r="JB224" s="84"/>
      <c r="JC224" s="71">
        <f t="shared" ref="JC224" ca="1" si="2338">SUM(JC220:JC223)</f>
        <v>0</v>
      </c>
      <c r="JD224" s="65"/>
      <c r="JE224" s="84"/>
      <c r="JF224" s="71">
        <f t="shared" ref="JF224" ca="1" si="2339">SUM(JF220:JF223)</f>
        <v>0</v>
      </c>
      <c r="JG224" s="65"/>
      <c r="JH224" s="84"/>
      <c r="JI224" s="71">
        <f t="shared" ref="JI224" ca="1" si="2340">SUM(JI220:JI223)</f>
        <v>0</v>
      </c>
      <c r="JJ224" s="65"/>
      <c r="JK224" s="84"/>
      <c r="JL224" s="71">
        <f t="shared" ref="JL224" ca="1" si="2341">SUM(JL220:JL223)</f>
        <v>0</v>
      </c>
      <c r="JM224" s="65"/>
      <c r="JN224" s="84"/>
      <c r="JO224" s="71">
        <f t="shared" ref="JO224" ca="1" si="2342">SUM(JO220:JO223)</f>
        <v>0</v>
      </c>
      <c r="JP224" s="65"/>
      <c r="JQ224" s="84"/>
      <c r="JR224" s="71">
        <f t="shared" ref="JR224" ca="1" si="2343">SUM(JR220:JR223)</f>
        <v>0</v>
      </c>
      <c r="JS224" s="65"/>
      <c r="JT224" s="84"/>
      <c r="JU224" s="71">
        <f t="shared" ref="JU224" ca="1" si="2344">SUM(JU220:JU223)</f>
        <v>0</v>
      </c>
      <c r="JV224" s="65"/>
      <c r="JW224" s="84"/>
      <c r="JX224" s="71">
        <f t="shared" ref="JX224" ca="1" si="2345">SUM(JX220:JX223)</f>
        <v>0</v>
      </c>
      <c r="JY224" s="65"/>
      <c r="JZ224" s="84"/>
      <c r="KA224" s="71">
        <f t="shared" ref="KA224" ca="1" si="2346">SUM(KA220:KA223)</f>
        <v>0</v>
      </c>
      <c r="KB224" s="65"/>
      <c r="KC224" s="84"/>
      <c r="KD224" s="71">
        <f t="shared" ref="KD224" ca="1" si="2347">SUM(KD220:KD223)</f>
        <v>0</v>
      </c>
      <c r="KE224" s="65"/>
      <c r="KF224" s="84"/>
      <c r="KG224" s="71">
        <f t="shared" ref="KG224" ca="1" si="2348">SUM(KG220:KG223)</f>
        <v>0</v>
      </c>
      <c r="KH224" s="65"/>
      <c r="KI224" s="84"/>
      <c r="KJ224" s="71">
        <f t="shared" ref="KJ224" ca="1" si="2349">SUM(KJ220:KJ223)</f>
        <v>0</v>
      </c>
      <c r="KK224" s="65"/>
      <c r="KL224" s="84"/>
      <c r="KM224" s="71">
        <f t="shared" ref="KM224" ca="1" si="2350">SUM(KM220:KM223)</f>
        <v>0</v>
      </c>
      <c r="KN224" s="65"/>
      <c r="KO224" s="84"/>
      <c r="KP224" s="71">
        <f t="shared" ref="KP224" ca="1" si="2351">SUM(KP220:KP223)</f>
        <v>0</v>
      </c>
      <c r="KQ224" s="65"/>
      <c r="KR224" s="84"/>
      <c r="KS224" s="71">
        <f t="shared" ref="KS224" ca="1" si="2352">SUM(KS220:KS223)</f>
        <v>0</v>
      </c>
      <c r="KT224" s="65"/>
      <c r="KU224" s="84"/>
      <c r="KV224" s="71">
        <f t="shared" ref="KV224" ca="1" si="2353">SUM(KV220:KV223)</f>
        <v>0</v>
      </c>
      <c r="KW224" s="65"/>
      <c r="KX224" s="84"/>
      <c r="KY224" s="71">
        <f t="shared" ref="KY224" ca="1" si="2354">SUM(KY220:KY223)</f>
        <v>0</v>
      </c>
      <c r="KZ224" s="65"/>
      <c r="LA224" s="84"/>
      <c r="LB224" s="71">
        <f t="shared" ref="LB224" ca="1" si="2355">SUM(LB220:LB223)</f>
        <v>0</v>
      </c>
      <c r="LC224" s="65"/>
      <c r="LD224" s="84"/>
      <c r="LE224" s="71">
        <f t="shared" ref="LE224" ca="1" si="2356">SUM(LE220:LE223)</f>
        <v>0</v>
      </c>
      <c r="LF224" s="65"/>
      <c r="LG224" s="65"/>
    </row>
    <row r="225" spans="1:319">
      <c r="A225" s="25"/>
      <c r="B225" s="25"/>
      <c r="C225" s="25"/>
      <c r="D225" s="25"/>
      <c r="E225" s="25"/>
      <c r="F225" s="407"/>
      <c r="G225" s="407"/>
      <c r="H225" s="65"/>
      <c r="I225" s="50"/>
      <c r="J225" s="94"/>
      <c r="K225" s="113" t="str">
        <f>Idiomas!D143</f>
        <v>QUALIFIED FOR SEMIFINALS</v>
      </c>
      <c r="L225" s="50"/>
      <c r="M225" s="71"/>
      <c r="N225" s="25"/>
      <c r="O225" s="25"/>
      <c r="P225" s="25"/>
      <c r="Q225" s="25"/>
      <c r="R225" s="49"/>
      <c r="S225" s="84"/>
      <c r="T225" s="71"/>
      <c r="U225" s="65"/>
      <c r="V225" s="84"/>
      <c r="W225" s="71"/>
      <c r="X225" s="65"/>
      <c r="Y225" s="84"/>
      <c r="Z225" s="71"/>
      <c r="AA225" s="65"/>
      <c r="AB225" s="84"/>
      <c r="AC225" s="71"/>
      <c r="AD225" s="65"/>
      <c r="AE225" s="84"/>
      <c r="AF225" s="71"/>
      <c r="AG225" s="65"/>
      <c r="AH225" s="84"/>
      <c r="AI225" s="71"/>
      <c r="AJ225" s="65"/>
      <c r="AK225" s="84"/>
      <c r="AL225" s="71"/>
      <c r="AM225" s="65"/>
      <c r="AN225" s="84"/>
      <c r="AO225" s="71"/>
      <c r="AP225" s="65"/>
      <c r="AQ225" s="84"/>
      <c r="AR225" s="71"/>
      <c r="AS225" s="65"/>
      <c r="AT225" s="84"/>
      <c r="AU225" s="71"/>
      <c r="AV225" s="65"/>
      <c r="AW225" s="84"/>
      <c r="AX225" s="71"/>
      <c r="AY225" s="65"/>
      <c r="AZ225" s="84"/>
      <c r="BA225" s="71"/>
      <c r="BB225" s="65"/>
      <c r="BC225" s="84"/>
      <c r="BD225" s="71"/>
      <c r="BE225" s="65"/>
      <c r="BF225" s="84"/>
      <c r="BG225" s="71"/>
      <c r="BH225" s="65"/>
      <c r="BI225" s="84"/>
      <c r="BJ225" s="71"/>
      <c r="BK225" s="65"/>
      <c r="BL225" s="84"/>
      <c r="BM225" s="71"/>
      <c r="BN225" s="65"/>
      <c r="BO225" s="84"/>
      <c r="BP225" s="71"/>
      <c r="BQ225" s="65"/>
      <c r="BR225" s="84"/>
      <c r="BS225" s="71"/>
      <c r="BT225" s="65"/>
      <c r="BU225" s="84"/>
      <c r="BV225" s="71"/>
      <c r="BW225" s="65"/>
      <c r="BX225" s="84"/>
      <c r="BY225" s="71"/>
      <c r="BZ225" s="65"/>
      <c r="CA225" s="84"/>
      <c r="CB225" s="71"/>
      <c r="CC225" s="65"/>
      <c r="CD225" s="84"/>
      <c r="CE225" s="71"/>
      <c r="CF225" s="65"/>
      <c r="CG225" s="84"/>
      <c r="CH225" s="71"/>
      <c r="CI225" s="65"/>
      <c r="CJ225" s="84"/>
      <c r="CK225" s="71"/>
      <c r="CL225" s="65"/>
      <c r="CM225" s="84"/>
      <c r="CN225" s="71"/>
      <c r="CO225" s="65"/>
      <c r="CP225" s="84"/>
      <c r="CQ225" s="71"/>
      <c r="CR225" s="65"/>
      <c r="CS225" s="84"/>
      <c r="CT225" s="71"/>
      <c r="CU225" s="65"/>
      <c r="CV225" s="84"/>
      <c r="CW225" s="71"/>
      <c r="CX225" s="65"/>
      <c r="CY225" s="84"/>
      <c r="CZ225" s="71"/>
      <c r="DA225" s="65"/>
      <c r="DB225" s="84"/>
      <c r="DC225" s="71"/>
      <c r="DD225" s="65"/>
      <c r="DE225" s="84"/>
      <c r="DF225" s="71"/>
      <c r="DG225" s="65"/>
      <c r="DH225" s="84"/>
      <c r="DI225" s="71"/>
      <c r="DJ225" s="65"/>
      <c r="DK225" s="84"/>
      <c r="DL225" s="71"/>
      <c r="DM225" s="65"/>
      <c r="DN225" s="84"/>
      <c r="DO225" s="71"/>
      <c r="DP225" s="65"/>
      <c r="DQ225" s="84"/>
      <c r="DR225" s="71"/>
      <c r="DS225" s="65"/>
      <c r="DT225" s="84"/>
      <c r="DU225" s="71"/>
      <c r="DV225" s="65"/>
      <c r="DW225" s="84"/>
      <c r="DX225" s="71"/>
      <c r="DY225" s="65"/>
      <c r="DZ225" s="84"/>
      <c r="EA225" s="71"/>
      <c r="EB225" s="65"/>
      <c r="EC225" s="84"/>
      <c r="ED225" s="71"/>
      <c r="EE225" s="65"/>
      <c r="EF225" s="84"/>
      <c r="EG225" s="71"/>
      <c r="EH225" s="65"/>
      <c r="EI225" s="84"/>
      <c r="EJ225" s="71"/>
      <c r="EK225" s="65"/>
      <c r="EL225" s="84"/>
      <c r="EM225" s="71"/>
      <c r="EN225" s="65"/>
      <c r="EO225" s="84"/>
      <c r="EP225" s="71"/>
      <c r="EQ225" s="65"/>
      <c r="ER225" s="84"/>
      <c r="ES225" s="71"/>
      <c r="ET225" s="65"/>
      <c r="EU225" s="84"/>
      <c r="EV225" s="71"/>
      <c r="EW225" s="65"/>
      <c r="EX225" s="84"/>
      <c r="EY225" s="71"/>
      <c r="EZ225" s="65"/>
      <c r="FA225" s="84"/>
      <c r="FB225" s="71"/>
      <c r="FC225" s="65"/>
      <c r="FD225" s="84"/>
      <c r="FE225" s="71"/>
      <c r="FF225" s="65"/>
      <c r="FG225" s="84"/>
      <c r="FH225" s="71"/>
      <c r="FI225" s="65"/>
      <c r="FJ225" s="84"/>
      <c r="FK225" s="71"/>
      <c r="FL225" s="65"/>
      <c r="FM225" s="84"/>
      <c r="FN225" s="71"/>
      <c r="FO225" s="65"/>
      <c r="FP225" s="84"/>
      <c r="FQ225" s="71"/>
      <c r="FR225" s="65"/>
      <c r="FS225" s="84"/>
      <c r="FT225" s="71"/>
      <c r="FU225" s="65"/>
      <c r="FV225" s="84"/>
      <c r="FW225" s="71"/>
      <c r="FX225" s="65"/>
      <c r="FY225" s="84"/>
      <c r="FZ225" s="71"/>
      <c r="GA225" s="65"/>
      <c r="GB225" s="84"/>
      <c r="GC225" s="71"/>
      <c r="GD225" s="65"/>
      <c r="GE225" s="84"/>
      <c r="GF225" s="71"/>
      <c r="GG225" s="65"/>
      <c r="GH225" s="84"/>
      <c r="GI225" s="71"/>
      <c r="GJ225" s="65"/>
      <c r="GK225" s="84"/>
      <c r="GL225" s="71"/>
      <c r="GM225" s="65"/>
      <c r="GN225" s="84"/>
      <c r="GO225" s="71"/>
      <c r="GP225" s="65"/>
      <c r="GQ225" s="84"/>
      <c r="GR225" s="71"/>
      <c r="GS225" s="65"/>
      <c r="GT225" s="84"/>
      <c r="GU225" s="71"/>
      <c r="GV225" s="65"/>
      <c r="GW225" s="84"/>
      <c r="GX225" s="71"/>
      <c r="GY225" s="65"/>
      <c r="GZ225" s="84"/>
      <c r="HA225" s="71"/>
      <c r="HB225" s="65"/>
      <c r="HC225" s="84"/>
      <c r="HD225" s="71"/>
      <c r="HE225" s="65"/>
      <c r="HF225" s="84"/>
      <c r="HG225" s="71"/>
      <c r="HH225" s="65"/>
      <c r="HI225" s="84"/>
      <c r="HJ225" s="71"/>
      <c r="HK225" s="65"/>
      <c r="HL225" s="84"/>
      <c r="HM225" s="71"/>
      <c r="HN225" s="65"/>
      <c r="HO225" s="84"/>
      <c r="HP225" s="71"/>
      <c r="HQ225" s="65"/>
      <c r="HR225" s="84"/>
      <c r="HS225" s="71"/>
      <c r="HT225" s="65"/>
      <c r="HU225" s="84"/>
      <c r="HV225" s="71"/>
      <c r="HW225" s="65"/>
      <c r="HX225" s="84"/>
      <c r="HY225" s="71"/>
      <c r="HZ225" s="65"/>
      <c r="IA225" s="84"/>
      <c r="IB225" s="71"/>
      <c r="IC225" s="65"/>
      <c r="ID225" s="84"/>
      <c r="IE225" s="71"/>
      <c r="IF225" s="65"/>
      <c r="IG225" s="84"/>
      <c r="IH225" s="71"/>
      <c r="II225" s="65"/>
      <c r="IJ225" s="84"/>
      <c r="IK225" s="71"/>
      <c r="IL225" s="65"/>
      <c r="IM225" s="84"/>
      <c r="IN225" s="71"/>
      <c r="IO225" s="65"/>
      <c r="IP225" s="84"/>
      <c r="IQ225" s="71"/>
      <c r="IR225" s="65"/>
      <c r="IS225" s="84"/>
      <c r="IT225" s="71"/>
      <c r="IU225" s="65"/>
      <c r="IV225" s="84"/>
      <c r="IW225" s="71"/>
      <c r="IX225" s="65"/>
      <c r="IY225" s="84"/>
      <c r="IZ225" s="71"/>
      <c r="JA225" s="65"/>
      <c r="JB225" s="84"/>
      <c r="JC225" s="71"/>
      <c r="JD225" s="65"/>
      <c r="JE225" s="84"/>
      <c r="JF225" s="71"/>
      <c r="JG225" s="65"/>
      <c r="JH225" s="84"/>
      <c r="JI225" s="71"/>
      <c r="JJ225" s="65"/>
      <c r="JK225" s="84"/>
      <c r="JL225" s="71"/>
      <c r="JM225" s="65"/>
      <c r="JN225" s="84"/>
      <c r="JO225" s="71"/>
      <c r="JP225" s="65"/>
      <c r="JQ225" s="84"/>
      <c r="JR225" s="71"/>
      <c r="JS225" s="65"/>
      <c r="JT225" s="84"/>
      <c r="JU225" s="71"/>
      <c r="JV225" s="65"/>
      <c r="JW225" s="84"/>
      <c r="JX225" s="71"/>
      <c r="JY225" s="65"/>
      <c r="JZ225" s="84"/>
      <c r="KA225" s="71"/>
      <c r="KB225" s="65"/>
      <c r="KC225" s="84"/>
      <c r="KD225" s="71"/>
      <c r="KE225" s="65"/>
      <c r="KF225" s="84"/>
      <c r="KG225" s="71"/>
      <c r="KH225" s="65"/>
      <c r="KI225" s="84"/>
      <c r="KJ225" s="71"/>
      <c r="KK225" s="65"/>
      <c r="KL225" s="84"/>
      <c r="KM225" s="71"/>
      <c r="KN225" s="65"/>
      <c r="KO225" s="84"/>
      <c r="KP225" s="71"/>
      <c r="KQ225" s="65"/>
      <c r="KR225" s="84"/>
      <c r="KS225" s="71"/>
      <c r="KT225" s="65"/>
      <c r="KU225" s="84"/>
      <c r="KV225" s="71"/>
      <c r="KW225" s="65"/>
      <c r="KX225" s="84"/>
      <c r="KY225" s="71"/>
      <c r="KZ225" s="65"/>
      <c r="LA225" s="84"/>
      <c r="LB225" s="71"/>
      <c r="LC225" s="65"/>
      <c r="LD225" s="84"/>
      <c r="LE225" s="71"/>
      <c r="LF225" s="65"/>
      <c r="LG225" s="65"/>
    </row>
    <row r="226" spans="1:319">
      <c r="A226" s="25"/>
      <c r="B226" s="25"/>
      <c r="C226" s="25"/>
      <c r="D226" s="25"/>
      <c r="E226" s="25"/>
      <c r="F226" s="407">
        <f>$D$27</f>
        <v>30</v>
      </c>
      <c r="G226" s="407">
        <f ca="1">VLOOKUP(H226,Equipos!$Q$1:$R$25,2,0)</f>
        <v>22</v>
      </c>
      <c r="H226" s="65" t="str">
        <f>Idiomas!$D$262</f>
        <v>Quarterfinals</v>
      </c>
      <c r="I226" s="50"/>
      <c r="J226" s="845" t="s">
        <v>35</v>
      </c>
      <c r="K226" s="53" t="str">
        <f>Idiomas!$D$201&amp;"-"&amp;ROWS($L$226:L226)</f>
        <v>Semifinalist-1</v>
      </c>
      <c r="L226" s="53"/>
      <c r="M226" s="55" t="str">
        <f ca="1">WORLDCUP!AA138</f>
        <v>France</v>
      </c>
      <c r="N226" s="25"/>
      <c r="O226" s="25"/>
      <c r="P226" s="25"/>
      <c r="Q226" s="25"/>
      <c r="R226" s="110"/>
      <c r="S226" s="76" t="s">
        <v>297</v>
      </c>
      <c r="T226" s="77">
        <f ca="1">COUNTIF($M$226:$M$229,S226)*$D$27</f>
        <v>0</v>
      </c>
      <c r="U226" s="64"/>
      <c r="V226" s="76" t="s">
        <v>291</v>
      </c>
      <c r="W226" s="77">
        <f t="shared" ref="W226" ca="1" si="2357">COUNTIF($M$226:$M$229,V226)*$D$27</f>
        <v>0</v>
      </c>
      <c r="X226" s="64"/>
      <c r="Y226" s="76" t="s">
        <v>1282</v>
      </c>
      <c r="Z226" s="77">
        <f t="shared" ref="Z226" ca="1" si="2358">COUNTIF($M$226:$M$229,Y226)*$D$27</f>
        <v>0</v>
      </c>
      <c r="AA226" s="64"/>
      <c r="AB226" s="76" t="s">
        <v>294</v>
      </c>
      <c r="AC226" s="77">
        <f t="shared" ref="AC226" ca="1" si="2359">COUNTIF($M$226:$M$229,AB226)*$D$27</f>
        <v>30</v>
      </c>
      <c r="AD226" s="64"/>
      <c r="AE226" s="76" t="s">
        <v>294</v>
      </c>
      <c r="AF226" s="77">
        <f t="shared" ref="AF226" ca="1" si="2360">COUNTIF($M$226:$M$229,AE226)*$D$27</f>
        <v>30</v>
      </c>
      <c r="AG226" s="64"/>
      <c r="AH226" s="76" t="s">
        <v>297</v>
      </c>
      <c r="AI226" s="77">
        <f t="shared" ref="AI226" ca="1" si="2361">COUNTIF($M$226:$M$229,AH226)*$D$27</f>
        <v>0</v>
      </c>
      <c r="AJ226" s="64"/>
      <c r="AK226" s="76" t="s">
        <v>294</v>
      </c>
      <c r="AL226" s="77">
        <f t="shared" ref="AL226" ca="1" si="2362">COUNTIF($M$226:$M$229,AK226)*$D$27</f>
        <v>30</v>
      </c>
      <c r="AM226" s="64"/>
      <c r="AN226" s="76" t="s">
        <v>1278</v>
      </c>
      <c r="AO226" s="77">
        <f t="shared" ref="AO226" ca="1" si="2363">COUNTIF($M$226:$M$229,AN226)*$D$27</f>
        <v>0</v>
      </c>
      <c r="AP226" s="64"/>
      <c r="AQ226" s="76" t="s">
        <v>291</v>
      </c>
      <c r="AR226" s="77">
        <f t="shared" ref="AR226" ca="1" si="2364">COUNTIF($M$226:$M$229,AQ226)*$D$27</f>
        <v>0</v>
      </c>
      <c r="AS226" s="64"/>
      <c r="AT226" s="76" t="s">
        <v>294</v>
      </c>
      <c r="AU226" s="77">
        <f t="shared" ref="AU226" ca="1" si="2365">COUNTIF($M$226:$M$229,AT226)*$D$27</f>
        <v>30</v>
      </c>
      <c r="AV226" s="64"/>
      <c r="AW226" s="76" t="s">
        <v>297</v>
      </c>
      <c r="AX226" s="77">
        <f t="shared" ref="AX226" ca="1" si="2366">COUNTIF($M$226:$M$229,AW226)*$D$27</f>
        <v>0</v>
      </c>
      <c r="AY226" s="64"/>
      <c r="AZ226" s="76" t="s">
        <v>294</v>
      </c>
      <c r="BA226" s="77">
        <f t="shared" ref="BA226" ca="1" si="2367">COUNTIF($M$226:$M$229,AZ226)*$D$27</f>
        <v>30</v>
      </c>
      <c r="BB226" s="64"/>
      <c r="BC226" s="76" t="s">
        <v>294</v>
      </c>
      <c r="BD226" s="77">
        <f t="shared" ref="BD226" ca="1" si="2368">COUNTIF($M$226:$M$229,BC226)*$D$27</f>
        <v>30</v>
      </c>
      <c r="BE226" s="64"/>
      <c r="BF226" s="76" t="s">
        <v>294</v>
      </c>
      <c r="BG226" s="77">
        <f t="shared" ref="BG226" ca="1" si="2369">COUNTIF($M$226:$M$229,BF226)*$D$27</f>
        <v>30</v>
      </c>
      <c r="BH226" s="64"/>
      <c r="BI226" s="76" t="s">
        <v>291</v>
      </c>
      <c r="BJ226" s="77">
        <f t="shared" ref="BJ226" ca="1" si="2370">COUNTIF($M$226:$M$229,BI226)*$D$27</f>
        <v>0</v>
      </c>
      <c r="BK226" s="64"/>
      <c r="BL226" s="76" t="s">
        <v>294</v>
      </c>
      <c r="BM226" s="77">
        <f t="shared" ref="BM226" ca="1" si="2371">COUNTIF($M$226:$M$229,BL226)*$D$27</f>
        <v>30</v>
      </c>
      <c r="BN226" s="64"/>
      <c r="BO226" s="76" t="s">
        <v>294</v>
      </c>
      <c r="BP226" s="77">
        <f t="shared" ref="BP226" ca="1" si="2372">COUNTIF($M$226:$M$229,BO226)*$D$27</f>
        <v>30</v>
      </c>
      <c r="BQ226" s="64"/>
      <c r="BR226" s="76" t="s">
        <v>294</v>
      </c>
      <c r="BS226" s="77">
        <f t="shared" ref="BS226" ca="1" si="2373">COUNTIF($M$226:$M$229,BR226)*$D$27</f>
        <v>30</v>
      </c>
      <c r="BT226" s="64"/>
      <c r="BU226" s="76" t="s">
        <v>294</v>
      </c>
      <c r="BV226" s="77">
        <f t="shared" ref="BV226" ca="1" si="2374">COUNTIF($M$226:$M$229,BU226)*$D$27</f>
        <v>30</v>
      </c>
      <c r="BW226" s="64"/>
      <c r="BX226" s="76" t="s">
        <v>297</v>
      </c>
      <c r="BY226" s="77">
        <f t="shared" ref="BY226" ca="1" si="2375">COUNTIF($M$226:$M$229,BX226)*$D$27</f>
        <v>0</v>
      </c>
      <c r="BZ226" s="64"/>
      <c r="CA226" s="76" t="s">
        <v>294</v>
      </c>
      <c r="CB226" s="77">
        <f t="shared" ref="CB226" ca="1" si="2376">COUNTIF($M$226:$M$229,CA226)*$D$27</f>
        <v>30</v>
      </c>
      <c r="CC226" s="64"/>
      <c r="CD226" s="76" t="s">
        <v>294</v>
      </c>
      <c r="CE226" s="77">
        <f t="shared" ref="CE226" ca="1" si="2377">COUNTIF($M$226:$M$229,CD226)*$D$27</f>
        <v>30</v>
      </c>
      <c r="CF226" s="64"/>
      <c r="CG226" s="76" t="s">
        <v>294</v>
      </c>
      <c r="CH226" s="77">
        <f t="shared" ref="CH226" ca="1" si="2378">COUNTIF($M$226:$M$229,CG226)*$D$27</f>
        <v>30</v>
      </c>
      <c r="CI226" s="64"/>
      <c r="CJ226" s="76" t="s">
        <v>291</v>
      </c>
      <c r="CK226" s="77">
        <f t="shared" ref="CK226" ca="1" si="2379">COUNTIF($M$226:$M$229,CJ226)*$D$27</f>
        <v>0</v>
      </c>
      <c r="CL226" s="64"/>
      <c r="CM226" s="76" t="s">
        <v>297</v>
      </c>
      <c r="CN226" s="77">
        <f t="shared" ref="CN226" ca="1" si="2380">COUNTIF($M$226:$M$229,CM226)*$D$27</f>
        <v>0</v>
      </c>
      <c r="CO226" s="64"/>
      <c r="CP226" s="76" t="s">
        <v>297</v>
      </c>
      <c r="CQ226" s="77">
        <f t="shared" ref="CQ226" ca="1" si="2381">COUNTIF($M$226:$M$229,CP226)*$D$27</f>
        <v>0</v>
      </c>
      <c r="CR226" s="64"/>
      <c r="CS226" s="76" t="s">
        <v>297</v>
      </c>
      <c r="CT226" s="77">
        <f t="shared" ref="CT226" ca="1" si="2382">COUNTIF($M$226:$M$229,CS226)*$D$27</f>
        <v>0</v>
      </c>
      <c r="CU226" s="64"/>
      <c r="CV226" s="76" t="s">
        <v>291</v>
      </c>
      <c r="CW226" s="77">
        <f t="shared" ref="CW226" ca="1" si="2383">COUNTIF($M$226:$M$229,CV226)*$D$27</f>
        <v>0</v>
      </c>
      <c r="CX226" s="64"/>
      <c r="CY226" s="76" t="s">
        <v>291</v>
      </c>
      <c r="CZ226" s="77">
        <f t="shared" ref="CZ226" ca="1" si="2384">COUNTIF($M$226:$M$229,CY226)*$D$27</f>
        <v>0</v>
      </c>
      <c r="DA226" s="64"/>
      <c r="DB226" s="76" t="s">
        <v>294</v>
      </c>
      <c r="DC226" s="77">
        <f t="shared" ref="DC226" ca="1" si="2385">COUNTIF($M$226:$M$229,DB226)*$D$27</f>
        <v>30</v>
      </c>
      <c r="DD226" s="64"/>
      <c r="DE226" s="76" t="s">
        <v>294</v>
      </c>
      <c r="DF226" s="77">
        <f t="shared" ref="DF226" ca="1" si="2386">COUNTIF($M$226:$M$229,DE226)*$D$27</f>
        <v>30</v>
      </c>
      <c r="DG226" s="64"/>
      <c r="DH226" s="76" t="s">
        <v>294</v>
      </c>
      <c r="DI226" s="77">
        <f t="shared" ref="DI226" ca="1" si="2387">COUNTIF($M$226:$M$229,DH226)*$D$27</f>
        <v>30</v>
      </c>
      <c r="DJ226" s="64"/>
      <c r="DK226" s="76" t="s">
        <v>294</v>
      </c>
      <c r="DL226" s="77">
        <f t="shared" ref="DL226" ca="1" si="2388">COUNTIF($M$226:$M$229,DK226)*$D$27</f>
        <v>30</v>
      </c>
      <c r="DM226" s="64"/>
      <c r="DN226" s="76" t="s">
        <v>297</v>
      </c>
      <c r="DO226" s="77">
        <f t="shared" ref="DO226" ca="1" si="2389">COUNTIF($M$226:$M$229,DN226)*$D$27</f>
        <v>0</v>
      </c>
      <c r="DP226" s="64"/>
      <c r="DQ226" s="76" t="s">
        <v>294</v>
      </c>
      <c r="DR226" s="77">
        <f t="shared" ref="DR226" ca="1" si="2390">COUNTIF($M$226:$M$229,DQ226)*$D$27</f>
        <v>30</v>
      </c>
      <c r="DS226" s="64"/>
      <c r="DT226" s="76" t="s">
        <v>294</v>
      </c>
      <c r="DU226" s="77">
        <f t="shared" ref="DU226" ca="1" si="2391">COUNTIF($M$226:$M$229,DT226)*$D$27</f>
        <v>30</v>
      </c>
      <c r="DV226" s="64"/>
      <c r="DW226" s="76" t="s">
        <v>294</v>
      </c>
      <c r="DX226" s="77">
        <f t="shared" ref="DX226" ca="1" si="2392">COUNTIF($M$226:$M$229,DW226)*$D$27</f>
        <v>30</v>
      </c>
      <c r="DY226" s="64"/>
      <c r="DZ226" s="76" t="s">
        <v>294</v>
      </c>
      <c r="EA226" s="77">
        <f t="shared" ref="EA226" ca="1" si="2393">COUNTIF($M$226:$M$229,DZ226)*$D$27</f>
        <v>30</v>
      </c>
      <c r="EB226" s="64"/>
      <c r="EC226" s="76" t="s">
        <v>294</v>
      </c>
      <c r="ED226" s="77">
        <f t="shared" ref="ED226" ca="1" si="2394">COUNTIF($M$226:$M$229,EC226)*$D$27</f>
        <v>30</v>
      </c>
      <c r="EE226" s="64"/>
      <c r="EF226" s="76" t="s">
        <v>297</v>
      </c>
      <c r="EG226" s="77">
        <f t="shared" ref="EG226" ca="1" si="2395">COUNTIF($M$226:$M$229,EF226)*$D$27</f>
        <v>0</v>
      </c>
      <c r="EH226" s="64"/>
      <c r="EI226" s="76" t="s">
        <v>294</v>
      </c>
      <c r="EJ226" s="77">
        <f t="shared" ref="EJ226" ca="1" si="2396">COUNTIF($M$226:$M$229,EI226)*$D$27</f>
        <v>30</v>
      </c>
      <c r="EK226" s="64"/>
      <c r="EL226" s="76" t="s">
        <v>294</v>
      </c>
      <c r="EM226" s="77">
        <f t="shared" ref="EM226" ca="1" si="2397">COUNTIF($M$226:$M$229,EL226)*$D$27</f>
        <v>30</v>
      </c>
      <c r="EN226" s="64"/>
      <c r="EO226" s="76" t="s">
        <v>294</v>
      </c>
      <c r="EP226" s="77">
        <f t="shared" ref="EP226" ca="1" si="2398">COUNTIF($M$226:$M$229,EO226)*$D$27</f>
        <v>30</v>
      </c>
      <c r="EQ226" s="64"/>
      <c r="ER226" s="76" t="s">
        <v>294</v>
      </c>
      <c r="ES226" s="77">
        <f t="shared" ref="ES226" ca="1" si="2399">COUNTIF($M$226:$M$229,ER226)*$D$27</f>
        <v>30</v>
      </c>
      <c r="ET226" s="64"/>
      <c r="EU226" s="76" t="s">
        <v>294</v>
      </c>
      <c r="EV226" s="77">
        <f t="shared" ref="EV226" ca="1" si="2400">COUNTIF($M$226:$M$229,EU226)*$D$27</f>
        <v>30</v>
      </c>
      <c r="EW226" s="64"/>
      <c r="EX226" s="76" t="s">
        <v>294</v>
      </c>
      <c r="EY226" s="77">
        <f t="shared" ref="EY226" ca="1" si="2401">COUNTIF($M$226:$M$229,EX226)*$D$27</f>
        <v>30</v>
      </c>
      <c r="EZ226" s="64"/>
      <c r="FA226" s="76" t="s">
        <v>294</v>
      </c>
      <c r="FB226" s="77">
        <f t="shared" ref="FB226" ca="1" si="2402">COUNTIF($M$226:$M$229,FA226)*$D$27</f>
        <v>30</v>
      </c>
      <c r="FC226" s="64"/>
      <c r="FD226" s="76" t="s">
        <v>291</v>
      </c>
      <c r="FE226" s="77">
        <f t="shared" ref="FE226" ca="1" si="2403">COUNTIF($M$226:$M$229,FD226)*$D$27</f>
        <v>0</v>
      </c>
      <c r="FF226" s="64"/>
      <c r="FG226" s="76" t="s">
        <v>294</v>
      </c>
      <c r="FH226" s="77">
        <f t="shared" ref="FH226" ca="1" si="2404">COUNTIF($M$226:$M$229,FG226)*$D$27</f>
        <v>30</v>
      </c>
      <c r="FI226" s="64"/>
      <c r="FJ226" s="76" t="s">
        <v>294</v>
      </c>
      <c r="FK226" s="77">
        <f t="shared" ref="FK226" ca="1" si="2405">COUNTIF($M$226:$M$229,FJ226)*$D$27</f>
        <v>30</v>
      </c>
      <c r="FL226" s="64"/>
      <c r="FM226" s="76" t="s">
        <v>294</v>
      </c>
      <c r="FN226" s="77">
        <f t="shared" ref="FN226" ca="1" si="2406">COUNTIF($M$226:$M$229,FM226)*$D$27</f>
        <v>30</v>
      </c>
      <c r="FO226" s="64"/>
      <c r="FP226" s="76" t="s">
        <v>294</v>
      </c>
      <c r="FQ226" s="77">
        <f t="shared" ref="FQ226" ca="1" si="2407">COUNTIF($M$226:$M$229,FP226)*$D$27</f>
        <v>30</v>
      </c>
      <c r="FR226" s="64"/>
      <c r="FS226" s="76" t="s">
        <v>291</v>
      </c>
      <c r="FT226" s="77">
        <f t="shared" ref="FT226" ca="1" si="2408">COUNTIF($M$226:$M$229,FS226)*$D$27</f>
        <v>0</v>
      </c>
      <c r="FU226" s="64"/>
      <c r="FV226" s="76" t="s">
        <v>291</v>
      </c>
      <c r="FW226" s="77">
        <f t="shared" ref="FW226" ca="1" si="2409">COUNTIF($M$226:$M$229,FV226)*$D$27</f>
        <v>0</v>
      </c>
      <c r="FX226" s="64"/>
      <c r="FY226" s="76" t="s">
        <v>294</v>
      </c>
      <c r="FZ226" s="77">
        <f t="shared" ref="FZ226" ca="1" si="2410">COUNTIF($M$226:$M$229,FY226)*$D$27</f>
        <v>30</v>
      </c>
      <c r="GA226" s="64"/>
      <c r="GB226" s="76" t="s">
        <v>294</v>
      </c>
      <c r="GC226" s="77">
        <f t="shared" ref="GC226" ca="1" si="2411">COUNTIF($M$226:$M$229,GB226)*$D$27</f>
        <v>30</v>
      </c>
      <c r="GD226" s="64"/>
      <c r="GE226" s="76" t="s">
        <v>291</v>
      </c>
      <c r="GF226" s="77">
        <f t="shared" ref="GF226" ca="1" si="2412">COUNTIF($M$226:$M$229,GE226)*$D$27</f>
        <v>0</v>
      </c>
      <c r="GG226" s="64"/>
      <c r="GH226" s="76" t="s">
        <v>294</v>
      </c>
      <c r="GI226" s="77">
        <f t="shared" ref="GI226" ca="1" si="2413">COUNTIF($M$226:$M$229,GH226)*$D$27</f>
        <v>30</v>
      </c>
      <c r="GJ226" s="64"/>
      <c r="GK226" s="76" t="s">
        <v>291</v>
      </c>
      <c r="GL226" s="77">
        <f t="shared" ref="GL226" ca="1" si="2414">COUNTIF($M$226:$M$229,GK226)*$D$27</f>
        <v>0</v>
      </c>
      <c r="GM226" s="64"/>
      <c r="GN226" s="76"/>
      <c r="GO226" s="77">
        <f t="shared" ref="GO226" ca="1" si="2415">COUNTIF($M$226:$M$229,GN226)*$D$27</f>
        <v>0</v>
      </c>
      <c r="GP226" s="64"/>
      <c r="GQ226" s="76"/>
      <c r="GR226" s="77">
        <f t="shared" ref="GR226" ca="1" si="2416">COUNTIF($M$226:$M$229,GQ226)*$D$27</f>
        <v>0</v>
      </c>
      <c r="GS226" s="64"/>
      <c r="GT226" s="76"/>
      <c r="GU226" s="77">
        <f t="shared" ref="GU226" ca="1" si="2417">COUNTIF($M$226:$M$229,GT226)*$D$27</f>
        <v>0</v>
      </c>
      <c r="GV226" s="64"/>
      <c r="GW226" s="76"/>
      <c r="GX226" s="77">
        <f t="shared" ref="GX226" ca="1" si="2418">COUNTIF($M$226:$M$229,GW226)*$D$27</f>
        <v>0</v>
      </c>
      <c r="GY226" s="64"/>
      <c r="GZ226" s="76"/>
      <c r="HA226" s="77">
        <f t="shared" ref="HA226" ca="1" si="2419">COUNTIF($M$226:$M$229,GZ226)*$D$27</f>
        <v>0</v>
      </c>
      <c r="HB226" s="64"/>
      <c r="HC226" s="76"/>
      <c r="HD226" s="77">
        <f t="shared" ref="HD226" ca="1" si="2420">COUNTIF($M$226:$M$229,HC226)*$D$27</f>
        <v>0</v>
      </c>
      <c r="HE226" s="64"/>
      <c r="HF226" s="76"/>
      <c r="HG226" s="77">
        <f t="shared" ref="HG226" ca="1" si="2421">COUNTIF($M$226:$M$229,HF226)*$D$27</f>
        <v>0</v>
      </c>
      <c r="HH226" s="64"/>
      <c r="HI226" s="76"/>
      <c r="HJ226" s="77">
        <f t="shared" ref="HJ226" ca="1" si="2422">COUNTIF($M$226:$M$229,HI226)*$D$27</f>
        <v>0</v>
      </c>
      <c r="HK226" s="64"/>
      <c r="HL226" s="76"/>
      <c r="HM226" s="77">
        <f t="shared" ref="HM226" ca="1" si="2423">COUNTIF($M$226:$M$229,HL226)*$D$27</f>
        <v>0</v>
      </c>
      <c r="HN226" s="64"/>
      <c r="HO226" s="76"/>
      <c r="HP226" s="77">
        <f t="shared" ref="HP226" ca="1" si="2424">COUNTIF($M$226:$M$229,HO226)*$D$27</f>
        <v>0</v>
      </c>
      <c r="HQ226" s="64"/>
      <c r="HR226" s="76"/>
      <c r="HS226" s="77">
        <f t="shared" ref="HS226" ca="1" si="2425">COUNTIF($M$226:$M$229,HR226)*$D$27</f>
        <v>0</v>
      </c>
      <c r="HT226" s="64"/>
      <c r="HU226" s="76"/>
      <c r="HV226" s="77">
        <f t="shared" ref="HV226" ca="1" si="2426">COUNTIF($M$226:$M$229,HU226)*$D$27</f>
        <v>0</v>
      </c>
      <c r="HW226" s="64"/>
      <c r="HX226" s="76"/>
      <c r="HY226" s="77">
        <f t="shared" ref="HY226" ca="1" si="2427">COUNTIF($M$226:$M$229,HX226)*$D$27</f>
        <v>0</v>
      </c>
      <c r="HZ226" s="64"/>
      <c r="IA226" s="76"/>
      <c r="IB226" s="77">
        <f t="shared" ref="IB226" ca="1" si="2428">COUNTIF($M$226:$M$229,IA226)*$D$27</f>
        <v>0</v>
      </c>
      <c r="IC226" s="64"/>
      <c r="ID226" s="76"/>
      <c r="IE226" s="77">
        <f t="shared" ref="IE226" ca="1" si="2429">COUNTIF($M$226:$M$229,ID226)*$D$27</f>
        <v>0</v>
      </c>
      <c r="IF226" s="64"/>
      <c r="IG226" s="76"/>
      <c r="IH226" s="77">
        <f t="shared" ref="IH226" ca="1" si="2430">COUNTIF($M$226:$M$229,IG226)*$D$27</f>
        <v>0</v>
      </c>
      <c r="II226" s="64"/>
      <c r="IJ226" s="76"/>
      <c r="IK226" s="77">
        <f t="shared" ref="IK226" ca="1" si="2431">COUNTIF($M$226:$M$229,IJ226)*$D$27</f>
        <v>0</v>
      </c>
      <c r="IL226" s="64"/>
      <c r="IM226" s="76"/>
      <c r="IN226" s="77">
        <f t="shared" ref="IN226" ca="1" si="2432">COUNTIF($M$226:$M$229,IM226)*$D$27</f>
        <v>0</v>
      </c>
      <c r="IO226" s="64"/>
      <c r="IP226" s="76"/>
      <c r="IQ226" s="77">
        <f t="shared" ref="IQ226" ca="1" si="2433">COUNTIF($M$226:$M$229,IP226)*$D$27</f>
        <v>0</v>
      </c>
      <c r="IR226" s="64"/>
      <c r="IS226" s="76"/>
      <c r="IT226" s="77">
        <f t="shared" ref="IT226" ca="1" si="2434">COUNTIF($M$226:$M$229,IS226)*$D$27</f>
        <v>0</v>
      </c>
      <c r="IU226" s="64"/>
      <c r="IV226" s="76"/>
      <c r="IW226" s="77">
        <f t="shared" ref="IW226" ca="1" si="2435">COUNTIF($M$226:$M$229,IV226)*$D$27</f>
        <v>0</v>
      </c>
      <c r="IX226" s="64"/>
      <c r="IY226" s="76"/>
      <c r="IZ226" s="77">
        <f t="shared" ref="IZ226" ca="1" si="2436">COUNTIF($M$226:$M$229,IY226)*$D$27</f>
        <v>0</v>
      </c>
      <c r="JA226" s="64"/>
      <c r="JB226" s="76"/>
      <c r="JC226" s="77">
        <f t="shared" ref="JC226" ca="1" si="2437">COUNTIF($M$226:$M$229,JB226)*$D$27</f>
        <v>0</v>
      </c>
      <c r="JD226" s="64"/>
      <c r="JE226" s="76"/>
      <c r="JF226" s="77">
        <f t="shared" ref="JF226" ca="1" si="2438">COUNTIF($M$226:$M$229,JE226)*$D$27</f>
        <v>0</v>
      </c>
      <c r="JG226" s="64"/>
      <c r="JH226" s="76"/>
      <c r="JI226" s="77">
        <f t="shared" ref="JI226" ca="1" si="2439">COUNTIF($M$226:$M$229,JH226)*$D$27</f>
        <v>0</v>
      </c>
      <c r="JJ226" s="64"/>
      <c r="JK226" s="76"/>
      <c r="JL226" s="77">
        <f t="shared" ref="JL226" ca="1" si="2440">COUNTIF($M$226:$M$229,JK226)*$D$27</f>
        <v>0</v>
      </c>
      <c r="JM226" s="64"/>
      <c r="JN226" s="76"/>
      <c r="JO226" s="77">
        <f t="shared" ref="JO226" ca="1" si="2441">COUNTIF($M$226:$M$229,JN226)*$D$27</f>
        <v>0</v>
      </c>
      <c r="JP226" s="64"/>
      <c r="JQ226" s="76"/>
      <c r="JR226" s="77">
        <f t="shared" ref="JR226" ca="1" si="2442">COUNTIF($M$226:$M$229,JQ226)*$D$27</f>
        <v>0</v>
      </c>
      <c r="JS226" s="64"/>
      <c r="JT226" s="76"/>
      <c r="JU226" s="77">
        <f t="shared" ref="JU226" ca="1" si="2443">COUNTIF($M$226:$M$229,JT226)*$D$27</f>
        <v>0</v>
      </c>
      <c r="JV226" s="64"/>
      <c r="JW226" s="76"/>
      <c r="JX226" s="77">
        <f t="shared" ref="JX226" ca="1" si="2444">COUNTIF($M$226:$M$229,JW226)*$D$27</f>
        <v>0</v>
      </c>
      <c r="JY226" s="64"/>
      <c r="JZ226" s="76"/>
      <c r="KA226" s="77">
        <f t="shared" ref="KA226" ca="1" si="2445">COUNTIF($M$226:$M$229,JZ226)*$D$27</f>
        <v>0</v>
      </c>
      <c r="KB226" s="64"/>
      <c r="KC226" s="76"/>
      <c r="KD226" s="77">
        <f t="shared" ref="KD226" ca="1" si="2446">COUNTIF($M$226:$M$229,KC226)*$D$27</f>
        <v>0</v>
      </c>
      <c r="KE226" s="64"/>
      <c r="KF226" s="76"/>
      <c r="KG226" s="77">
        <f t="shared" ref="KG226" ca="1" si="2447">COUNTIF($M$226:$M$229,KF226)*$D$27</f>
        <v>0</v>
      </c>
      <c r="KH226" s="64"/>
      <c r="KI226" s="76"/>
      <c r="KJ226" s="77">
        <f t="shared" ref="KJ226" ca="1" si="2448">COUNTIF($M$226:$M$229,KI226)*$D$27</f>
        <v>0</v>
      </c>
      <c r="KK226" s="64"/>
      <c r="KL226" s="76"/>
      <c r="KM226" s="77">
        <f t="shared" ref="KM226" ca="1" si="2449">COUNTIF($M$226:$M$229,KL226)*$D$27</f>
        <v>0</v>
      </c>
      <c r="KN226" s="64"/>
      <c r="KO226" s="76"/>
      <c r="KP226" s="77">
        <f t="shared" ref="KP226" ca="1" si="2450">COUNTIF($M$226:$M$229,KO226)*$D$27</f>
        <v>0</v>
      </c>
      <c r="KQ226" s="64"/>
      <c r="KR226" s="76"/>
      <c r="KS226" s="77">
        <f t="shared" ref="KS226" ca="1" si="2451">COUNTIF($M$226:$M$229,KR226)*$D$27</f>
        <v>0</v>
      </c>
      <c r="KT226" s="64"/>
      <c r="KU226" s="76"/>
      <c r="KV226" s="77">
        <f t="shared" ref="KV226" ca="1" si="2452">COUNTIF($M$226:$M$229,KU226)*$D$27</f>
        <v>0</v>
      </c>
      <c r="KW226" s="64"/>
      <c r="KX226" s="76"/>
      <c r="KY226" s="77">
        <f t="shared" ref="KY226" ca="1" si="2453">COUNTIF($M$226:$M$229,KX226)*$D$27</f>
        <v>0</v>
      </c>
      <c r="KZ226" s="64"/>
      <c r="LA226" s="76"/>
      <c r="LB226" s="77">
        <f t="shared" ref="LB226" ca="1" si="2454">COUNTIF($M$226:$M$229,LA226)*$D$27</f>
        <v>0</v>
      </c>
      <c r="LC226" s="64"/>
      <c r="LD226" s="76"/>
      <c r="LE226" s="77">
        <f t="shared" ref="LE226" ca="1" si="2455">COUNTIF($M$226:$M$229,LD226)*$D$27</f>
        <v>0</v>
      </c>
      <c r="LF226" s="64"/>
      <c r="LG226" s="64"/>
    </row>
    <row r="227" spans="1:319">
      <c r="A227" s="25"/>
      <c r="B227" s="25"/>
      <c r="C227" s="25"/>
      <c r="D227" s="25"/>
      <c r="E227" s="25"/>
      <c r="F227" s="407">
        <f t="shared" ref="F227:F229" si="2456">$D$27</f>
        <v>30</v>
      </c>
      <c r="G227" s="407">
        <f ca="1">VLOOKUP(H227,Equipos!$Q$1:$R$25,2,0)</f>
        <v>22</v>
      </c>
      <c r="H227" s="65" t="str">
        <f>Idiomas!$D$262</f>
        <v>Quarterfinals</v>
      </c>
      <c r="I227" s="50"/>
      <c r="J227" s="845"/>
      <c r="K227" s="56" t="str">
        <f>Idiomas!$D$201&amp;"-"&amp;ROWS($L$226:L227)</f>
        <v>Semifinalist-2</v>
      </c>
      <c r="L227" s="53"/>
      <c r="M227" s="55" t="str">
        <f ca="1">WORLDCUP!AA139</f>
        <v>England</v>
      </c>
      <c r="N227" s="25"/>
      <c r="O227" s="25"/>
      <c r="P227" s="25"/>
      <c r="Q227" s="25"/>
      <c r="R227" s="110"/>
      <c r="S227" s="74" t="s">
        <v>1274</v>
      </c>
      <c r="T227" s="73">
        <f ca="1">COUNTIF($M$226:$M$229,S227)*$D$27</f>
        <v>0</v>
      </c>
      <c r="U227" s="64"/>
      <c r="V227" s="74" t="s">
        <v>296</v>
      </c>
      <c r="W227" s="73">
        <f t="shared" ref="W227" ca="1" si="2457">COUNTIF($M$226:$M$229,V227)*$D$27</f>
        <v>0</v>
      </c>
      <c r="X227" s="64"/>
      <c r="Y227" s="74" t="s">
        <v>1274</v>
      </c>
      <c r="Z227" s="73">
        <f t="shared" ref="Z227" ca="1" si="2458">COUNTIF($M$226:$M$229,Y227)*$D$27</f>
        <v>0</v>
      </c>
      <c r="AA227" s="64"/>
      <c r="AB227" s="74" t="s">
        <v>1274</v>
      </c>
      <c r="AC227" s="73">
        <f t="shared" ref="AC227" ca="1" si="2459">COUNTIF($M$226:$M$229,AB227)*$D$27</f>
        <v>0</v>
      </c>
      <c r="AD227" s="64"/>
      <c r="AE227" s="74" t="s">
        <v>292</v>
      </c>
      <c r="AF227" s="73">
        <f t="shared" ref="AF227" ca="1" si="2460">COUNTIF($M$226:$M$229,AE227)*$D$27</f>
        <v>30</v>
      </c>
      <c r="AG227" s="64"/>
      <c r="AH227" s="74" t="s">
        <v>1274</v>
      </c>
      <c r="AI227" s="73">
        <f t="shared" ref="AI227" ca="1" si="2461">COUNTIF($M$226:$M$229,AH227)*$D$27</f>
        <v>0</v>
      </c>
      <c r="AJ227" s="64"/>
      <c r="AK227" s="74" t="s">
        <v>1274</v>
      </c>
      <c r="AL227" s="73">
        <f t="shared" ref="AL227" ca="1" si="2462">COUNTIF($M$226:$M$229,AK227)*$D$27</f>
        <v>0</v>
      </c>
      <c r="AM227" s="64"/>
      <c r="AN227" s="74" t="s">
        <v>1634</v>
      </c>
      <c r="AO227" s="73">
        <f t="shared" ref="AO227" ca="1" si="2463">COUNTIF($M$226:$M$229,AN227)*$D$27</f>
        <v>0</v>
      </c>
      <c r="AP227" s="64"/>
      <c r="AQ227" s="74" t="s">
        <v>1274</v>
      </c>
      <c r="AR227" s="73">
        <f t="shared" ref="AR227" ca="1" si="2464">COUNTIF($M$226:$M$229,AQ227)*$D$27</f>
        <v>0</v>
      </c>
      <c r="AS227" s="64"/>
      <c r="AT227" s="74" t="s">
        <v>1274</v>
      </c>
      <c r="AU227" s="73">
        <f t="shared" ref="AU227" ca="1" si="2465">COUNTIF($M$226:$M$229,AT227)*$D$27</f>
        <v>0</v>
      </c>
      <c r="AV227" s="64"/>
      <c r="AW227" s="74" t="s">
        <v>292</v>
      </c>
      <c r="AX227" s="73">
        <f t="shared" ref="AX227" ca="1" si="2466">COUNTIF($M$226:$M$229,AW227)*$D$27</f>
        <v>30</v>
      </c>
      <c r="AY227" s="64"/>
      <c r="AZ227" s="74" t="s">
        <v>1274</v>
      </c>
      <c r="BA227" s="73">
        <f t="shared" ref="BA227" ca="1" si="2467">COUNTIF($M$226:$M$229,AZ227)*$D$27</f>
        <v>0</v>
      </c>
      <c r="BB227" s="64"/>
      <c r="BC227" s="74" t="s">
        <v>291</v>
      </c>
      <c r="BD227" s="73">
        <f t="shared" ref="BD227" ca="1" si="2468">COUNTIF($M$226:$M$229,BC227)*$D$27</f>
        <v>0</v>
      </c>
      <c r="BE227" s="64"/>
      <c r="BF227" s="74" t="s">
        <v>1274</v>
      </c>
      <c r="BG227" s="73">
        <f t="shared" ref="BG227" ca="1" si="2469">COUNTIF($M$226:$M$229,BF227)*$D$27</f>
        <v>0</v>
      </c>
      <c r="BH227" s="64"/>
      <c r="BI227" s="74" t="s">
        <v>294</v>
      </c>
      <c r="BJ227" s="73">
        <f t="shared" ref="BJ227" ca="1" si="2470">COUNTIF($M$226:$M$229,BI227)*$D$27</f>
        <v>30</v>
      </c>
      <c r="BK227" s="64"/>
      <c r="BL227" s="74" t="s">
        <v>292</v>
      </c>
      <c r="BM227" s="73">
        <f t="shared" ref="BM227" ca="1" si="2471">COUNTIF($M$226:$M$229,BL227)*$D$27</f>
        <v>30</v>
      </c>
      <c r="BN227" s="64"/>
      <c r="BO227" s="74" t="s">
        <v>292</v>
      </c>
      <c r="BP227" s="73">
        <f t="shared" ref="BP227" ca="1" si="2472">COUNTIF($M$226:$M$229,BO227)*$D$27</f>
        <v>30</v>
      </c>
      <c r="BQ227" s="64"/>
      <c r="BR227" s="74" t="s">
        <v>292</v>
      </c>
      <c r="BS227" s="73">
        <f t="shared" ref="BS227" ca="1" si="2473">COUNTIF($M$226:$M$229,BR227)*$D$27</f>
        <v>30</v>
      </c>
      <c r="BT227" s="64"/>
      <c r="BU227" s="74" t="s">
        <v>292</v>
      </c>
      <c r="BV227" s="73">
        <f t="shared" ref="BV227" ca="1" si="2474">COUNTIF($M$226:$M$229,BU227)*$D$27</f>
        <v>30</v>
      </c>
      <c r="BW227" s="64"/>
      <c r="BX227" s="74" t="s">
        <v>1274</v>
      </c>
      <c r="BY227" s="73">
        <f t="shared" ref="BY227" ca="1" si="2475">COUNTIF($M$226:$M$229,BX227)*$D$27</f>
        <v>0</v>
      </c>
      <c r="BZ227" s="64"/>
      <c r="CA227" s="74" t="s">
        <v>292</v>
      </c>
      <c r="CB227" s="73">
        <f t="shared" ref="CB227" ca="1" si="2476">COUNTIF($M$226:$M$229,CA227)*$D$27</f>
        <v>30</v>
      </c>
      <c r="CC227" s="64"/>
      <c r="CD227" s="74" t="s">
        <v>1274</v>
      </c>
      <c r="CE227" s="73">
        <f t="shared" ref="CE227" ca="1" si="2477">COUNTIF($M$226:$M$229,CD227)*$D$27</f>
        <v>0</v>
      </c>
      <c r="CF227" s="64"/>
      <c r="CG227" s="74" t="s">
        <v>292</v>
      </c>
      <c r="CH227" s="73">
        <f t="shared" ref="CH227" ca="1" si="2478">COUNTIF($M$226:$M$229,CG227)*$D$27</f>
        <v>30</v>
      </c>
      <c r="CI227" s="64"/>
      <c r="CJ227" s="74" t="s">
        <v>292</v>
      </c>
      <c r="CK227" s="73">
        <f t="shared" ref="CK227" ca="1" si="2479">COUNTIF($M$226:$M$229,CJ227)*$D$27</f>
        <v>30</v>
      </c>
      <c r="CL227" s="64"/>
      <c r="CM227" s="74" t="s">
        <v>292</v>
      </c>
      <c r="CN227" s="73">
        <f t="shared" ref="CN227" ca="1" si="2480">COUNTIF($M$226:$M$229,CM227)*$D$27</f>
        <v>30</v>
      </c>
      <c r="CO227" s="64"/>
      <c r="CP227" s="74" t="s">
        <v>299</v>
      </c>
      <c r="CQ227" s="73">
        <f t="shared" ref="CQ227" ca="1" si="2481">COUNTIF($M$226:$M$229,CP227)*$D$27</f>
        <v>0</v>
      </c>
      <c r="CR227" s="64"/>
      <c r="CS227" s="74" t="s">
        <v>1274</v>
      </c>
      <c r="CT227" s="73">
        <f t="shared" ref="CT227" ca="1" si="2482">COUNTIF($M$226:$M$229,CS227)*$D$27</f>
        <v>0</v>
      </c>
      <c r="CU227" s="64"/>
      <c r="CV227" s="74" t="s">
        <v>1288</v>
      </c>
      <c r="CW227" s="73">
        <f t="shared" ref="CW227" ca="1" si="2483">COUNTIF($M$226:$M$229,CV227)*$D$27</f>
        <v>0</v>
      </c>
      <c r="CX227" s="64"/>
      <c r="CY227" s="74" t="s">
        <v>292</v>
      </c>
      <c r="CZ227" s="73">
        <f t="shared" ref="CZ227" ca="1" si="2484">COUNTIF($M$226:$M$229,CY227)*$D$27</f>
        <v>30</v>
      </c>
      <c r="DA227" s="64"/>
      <c r="DB227" s="74" t="s">
        <v>292</v>
      </c>
      <c r="DC227" s="73">
        <f t="shared" ref="DC227" ca="1" si="2485">COUNTIF($M$226:$M$229,DB227)*$D$27</f>
        <v>30</v>
      </c>
      <c r="DD227" s="64"/>
      <c r="DE227" s="74" t="s">
        <v>1274</v>
      </c>
      <c r="DF227" s="73">
        <f t="shared" ref="DF227" ca="1" si="2486">COUNTIF($M$226:$M$229,DE227)*$D$27</f>
        <v>0</v>
      </c>
      <c r="DG227" s="64"/>
      <c r="DH227" s="74" t="s">
        <v>1274</v>
      </c>
      <c r="DI227" s="73">
        <f t="shared" ref="DI227" ca="1" si="2487">COUNTIF($M$226:$M$229,DH227)*$D$27</f>
        <v>0</v>
      </c>
      <c r="DJ227" s="64"/>
      <c r="DK227" s="74" t="s">
        <v>1274</v>
      </c>
      <c r="DL227" s="73">
        <f t="shared" ref="DL227" ca="1" si="2488">COUNTIF($M$226:$M$229,DK227)*$D$27</f>
        <v>0</v>
      </c>
      <c r="DM227" s="64"/>
      <c r="DN227" s="74" t="s">
        <v>292</v>
      </c>
      <c r="DO227" s="73">
        <f t="shared" ref="DO227" ca="1" si="2489">COUNTIF($M$226:$M$229,DN227)*$D$27</f>
        <v>30</v>
      </c>
      <c r="DP227" s="64"/>
      <c r="DQ227" s="74" t="s">
        <v>292</v>
      </c>
      <c r="DR227" s="73">
        <f t="shared" ref="DR227" ca="1" si="2490">COUNTIF($M$226:$M$229,DQ227)*$D$27</f>
        <v>30</v>
      </c>
      <c r="DS227" s="64"/>
      <c r="DT227" s="74" t="s">
        <v>1274</v>
      </c>
      <c r="DU227" s="73">
        <f t="shared" ref="DU227" ca="1" si="2491">COUNTIF($M$226:$M$229,DT227)*$D$27</f>
        <v>0</v>
      </c>
      <c r="DV227" s="64"/>
      <c r="DW227" s="74" t="s">
        <v>292</v>
      </c>
      <c r="DX227" s="73">
        <f t="shared" ref="DX227" ca="1" si="2492">COUNTIF($M$226:$M$229,DW227)*$D$27</f>
        <v>30</v>
      </c>
      <c r="DY227" s="64"/>
      <c r="DZ227" s="74" t="s">
        <v>1274</v>
      </c>
      <c r="EA227" s="73">
        <f t="shared" ref="EA227" ca="1" si="2493">COUNTIF($M$226:$M$229,DZ227)*$D$27</f>
        <v>0</v>
      </c>
      <c r="EB227" s="64"/>
      <c r="EC227" s="74" t="s">
        <v>1274</v>
      </c>
      <c r="ED227" s="73">
        <f t="shared" ref="ED227" ca="1" si="2494">COUNTIF($M$226:$M$229,EC227)*$D$27</f>
        <v>0</v>
      </c>
      <c r="EE227" s="64"/>
      <c r="EF227" s="74" t="s">
        <v>1274</v>
      </c>
      <c r="EG227" s="73">
        <f t="shared" ref="EG227" ca="1" si="2495">COUNTIF($M$226:$M$229,EF227)*$D$27</f>
        <v>0</v>
      </c>
      <c r="EH227" s="64"/>
      <c r="EI227" s="74" t="s">
        <v>292</v>
      </c>
      <c r="EJ227" s="73">
        <f t="shared" ref="EJ227" ca="1" si="2496">COUNTIF($M$226:$M$229,EI227)*$D$27</f>
        <v>30</v>
      </c>
      <c r="EK227" s="64"/>
      <c r="EL227" s="74" t="s">
        <v>292</v>
      </c>
      <c r="EM227" s="73">
        <f t="shared" ref="EM227" ca="1" si="2497">COUNTIF($M$226:$M$229,EL227)*$D$27</f>
        <v>30</v>
      </c>
      <c r="EN227" s="64"/>
      <c r="EO227" s="74" t="s">
        <v>292</v>
      </c>
      <c r="EP227" s="73">
        <f t="shared" ref="EP227" ca="1" si="2498">COUNTIF($M$226:$M$229,EO227)*$D$27</f>
        <v>30</v>
      </c>
      <c r="EQ227" s="64"/>
      <c r="ER227" s="74" t="s">
        <v>1274</v>
      </c>
      <c r="ES227" s="73">
        <f t="shared" ref="ES227" ca="1" si="2499">COUNTIF($M$226:$M$229,ER227)*$D$27</f>
        <v>0</v>
      </c>
      <c r="ET227" s="64"/>
      <c r="EU227" s="74" t="s">
        <v>292</v>
      </c>
      <c r="EV227" s="73">
        <f t="shared" ref="EV227" ca="1" si="2500">COUNTIF($M$226:$M$229,EU227)*$D$27</f>
        <v>30</v>
      </c>
      <c r="EW227" s="64"/>
      <c r="EX227" s="74" t="s">
        <v>1274</v>
      </c>
      <c r="EY227" s="73">
        <f t="shared" ref="EY227" ca="1" si="2501">COUNTIF($M$226:$M$229,EX227)*$D$27</f>
        <v>0</v>
      </c>
      <c r="EZ227" s="64"/>
      <c r="FA227" s="74" t="s">
        <v>292</v>
      </c>
      <c r="FB227" s="73">
        <f t="shared" ref="FB227" ca="1" si="2502">COUNTIF($M$226:$M$229,FA227)*$D$27</f>
        <v>30</v>
      </c>
      <c r="FC227" s="64"/>
      <c r="FD227" s="74" t="s">
        <v>292</v>
      </c>
      <c r="FE227" s="73">
        <f t="shared" ref="FE227" ca="1" si="2503">COUNTIF($M$226:$M$229,FD227)*$D$27</f>
        <v>30</v>
      </c>
      <c r="FF227" s="64"/>
      <c r="FG227" s="74" t="s">
        <v>292</v>
      </c>
      <c r="FH227" s="73">
        <f t="shared" ref="FH227" ca="1" si="2504">COUNTIF($M$226:$M$229,FG227)*$D$27</f>
        <v>30</v>
      </c>
      <c r="FI227" s="64"/>
      <c r="FJ227" s="74" t="s">
        <v>1274</v>
      </c>
      <c r="FK227" s="73">
        <f t="shared" ref="FK227" ca="1" si="2505">COUNTIF($M$226:$M$229,FJ227)*$D$27</f>
        <v>0</v>
      </c>
      <c r="FL227" s="64"/>
      <c r="FM227" s="74" t="s">
        <v>292</v>
      </c>
      <c r="FN227" s="73">
        <f t="shared" ref="FN227" ca="1" si="2506">COUNTIF($M$226:$M$229,FM227)*$D$27</f>
        <v>30</v>
      </c>
      <c r="FO227" s="64"/>
      <c r="FP227" s="74" t="s">
        <v>1274</v>
      </c>
      <c r="FQ227" s="73">
        <f t="shared" ref="FQ227" ca="1" si="2507">COUNTIF($M$226:$M$229,FP227)*$D$27</f>
        <v>0</v>
      </c>
      <c r="FR227" s="64"/>
      <c r="FS227" s="74" t="s">
        <v>1274</v>
      </c>
      <c r="FT227" s="73">
        <f t="shared" ref="FT227" ca="1" si="2508">COUNTIF($M$226:$M$229,FS227)*$D$27</f>
        <v>0</v>
      </c>
      <c r="FU227" s="64"/>
      <c r="FV227" s="74" t="s">
        <v>292</v>
      </c>
      <c r="FW227" s="73">
        <f t="shared" ref="FW227" ca="1" si="2509">COUNTIF($M$226:$M$229,FV227)*$D$27</f>
        <v>30</v>
      </c>
      <c r="FX227" s="64"/>
      <c r="FY227" s="74" t="s">
        <v>292</v>
      </c>
      <c r="FZ227" s="73">
        <f t="shared" ref="FZ227" ca="1" si="2510">COUNTIF($M$226:$M$229,FY227)*$D$27</f>
        <v>30</v>
      </c>
      <c r="GA227" s="64"/>
      <c r="GB227" s="74" t="s">
        <v>1274</v>
      </c>
      <c r="GC227" s="73">
        <f t="shared" ref="GC227" ca="1" si="2511">COUNTIF($M$226:$M$229,GB227)*$D$27</f>
        <v>0</v>
      </c>
      <c r="GD227" s="64"/>
      <c r="GE227" s="74" t="s">
        <v>292</v>
      </c>
      <c r="GF227" s="73">
        <f t="shared" ref="GF227" ca="1" si="2512">COUNTIF($M$226:$M$229,GE227)*$D$27</f>
        <v>30</v>
      </c>
      <c r="GG227" s="64"/>
      <c r="GH227" s="74" t="s">
        <v>1274</v>
      </c>
      <c r="GI227" s="73">
        <f t="shared" ref="GI227" ca="1" si="2513">COUNTIF($M$226:$M$229,GH227)*$D$27</f>
        <v>0</v>
      </c>
      <c r="GJ227" s="64"/>
      <c r="GK227" s="74" t="s">
        <v>292</v>
      </c>
      <c r="GL227" s="73">
        <f t="shared" ref="GL227" ca="1" si="2514">COUNTIF($M$226:$M$229,GK227)*$D$27</f>
        <v>30</v>
      </c>
      <c r="GM227" s="64"/>
      <c r="GN227" s="74"/>
      <c r="GO227" s="73">
        <f t="shared" ref="GO227" ca="1" si="2515">COUNTIF($M$226:$M$229,GN227)*$D$27</f>
        <v>0</v>
      </c>
      <c r="GP227" s="64"/>
      <c r="GQ227" s="74"/>
      <c r="GR227" s="73">
        <f t="shared" ref="GR227" ca="1" si="2516">COUNTIF($M$226:$M$229,GQ227)*$D$27</f>
        <v>0</v>
      </c>
      <c r="GS227" s="64"/>
      <c r="GT227" s="74"/>
      <c r="GU227" s="73">
        <f t="shared" ref="GU227" ca="1" si="2517">COUNTIF($M$226:$M$229,GT227)*$D$27</f>
        <v>0</v>
      </c>
      <c r="GV227" s="64"/>
      <c r="GW227" s="74"/>
      <c r="GX227" s="73">
        <f t="shared" ref="GX227" ca="1" si="2518">COUNTIF($M$226:$M$229,GW227)*$D$27</f>
        <v>0</v>
      </c>
      <c r="GY227" s="64"/>
      <c r="GZ227" s="74"/>
      <c r="HA227" s="73">
        <f t="shared" ref="HA227" ca="1" si="2519">COUNTIF($M$226:$M$229,GZ227)*$D$27</f>
        <v>0</v>
      </c>
      <c r="HB227" s="64"/>
      <c r="HC227" s="74"/>
      <c r="HD227" s="73">
        <f t="shared" ref="HD227" ca="1" si="2520">COUNTIF($M$226:$M$229,HC227)*$D$27</f>
        <v>0</v>
      </c>
      <c r="HE227" s="64"/>
      <c r="HF227" s="74"/>
      <c r="HG227" s="73">
        <f t="shared" ref="HG227" ca="1" si="2521">COUNTIF($M$226:$M$229,HF227)*$D$27</f>
        <v>0</v>
      </c>
      <c r="HH227" s="64"/>
      <c r="HI227" s="74"/>
      <c r="HJ227" s="73">
        <f t="shared" ref="HJ227" ca="1" si="2522">COUNTIF($M$226:$M$229,HI227)*$D$27</f>
        <v>0</v>
      </c>
      <c r="HK227" s="64"/>
      <c r="HL227" s="74"/>
      <c r="HM227" s="73">
        <f t="shared" ref="HM227" ca="1" si="2523">COUNTIF($M$226:$M$229,HL227)*$D$27</f>
        <v>0</v>
      </c>
      <c r="HN227" s="64"/>
      <c r="HO227" s="74"/>
      <c r="HP227" s="73">
        <f t="shared" ref="HP227" ca="1" si="2524">COUNTIF($M$226:$M$229,HO227)*$D$27</f>
        <v>0</v>
      </c>
      <c r="HQ227" s="64"/>
      <c r="HR227" s="74"/>
      <c r="HS227" s="73">
        <f t="shared" ref="HS227" ca="1" si="2525">COUNTIF($M$226:$M$229,HR227)*$D$27</f>
        <v>0</v>
      </c>
      <c r="HT227" s="64"/>
      <c r="HU227" s="74"/>
      <c r="HV227" s="73">
        <f t="shared" ref="HV227" ca="1" si="2526">COUNTIF($M$226:$M$229,HU227)*$D$27</f>
        <v>0</v>
      </c>
      <c r="HW227" s="64"/>
      <c r="HX227" s="74"/>
      <c r="HY227" s="73">
        <f t="shared" ref="HY227" ca="1" si="2527">COUNTIF($M$226:$M$229,HX227)*$D$27</f>
        <v>0</v>
      </c>
      <c r="HZ227" s="64"/>
      <c r="IA227" s="74"/>
      <c r="IB227" s="73">
        <f t="shared" ref="IB227" ca="1" si="2528">COUNTIF($M$226:$M$229,IA227)*$D$27</f>
        <v>0</v>
      </c>
      <c r="IC227" s="64"/>
      <c r="ID227" s="74"/>
      <c r="IE227" s="73">
        <f t="shared" ref="IE227" ca="1" si="2529">COUNTIF($M$226:$M$229,ID227)*$D$27</f>
        <v>0</v>
      </c>
      <c r="IF227" s="64"/>
      <c r="IG227" s="74"/>
      <c r="IH227" s="73">
        <f t="shared" ref="IH227" ca="1" si="2530">COUNTIF($M$226:$M$229,IG227)*$D$27</f>
        <v>0</v>
      </c>
      <c r="II227" s="64"/>
      <c r="IJ227" s="74"/>
      <c r="IK227" s="73">
        <f t="shared" ref="IK227" ca="1" si="2531">COUNTIF($M$226:$M$229,IJ227)*$D$27</f>
        <v>0</v>
      </c>
      <c r="IL227" s="64"/>
      <c r="IM227" s="74"/>
      <c r="IN227" s="73">
        <f t="shared" ref="IN227" ca="1" si="2532">COUNTIF($M$226:$M$229,IM227)*$D$27</f>
        <v>0</v>
      </c>
      <c r="IO227" s="64"/>
      <c r="IP227" s="74"/>
      <c r="IQ227" s="73">
        <f t="shared" ref="IQ227" ca="1" si="2533">COUNTIF($M$226:$M$229,IP227)*$D$27</f>
        <v>0</v>
      </c>
      <c r="IR227" s="64"/>
      <c r="IS227" s="74"/>
      <c r="IT227" s="73">
        <f t="shared" ref="IT227" ca="1" si="2534">COUNTIF($M$226:$M$229,IS227)*$D$27</f>
        <v>0</v>
      </c>
      <c r="IU227" s="64"/>
      <c r="IV227" s="74"/>
      <c r="IW227" s="73">
        <f t="shared" ref="IW227" ca="1" si="2535">COUNTIF($M$226:$M$229,IV227)*$D$27</f>
        <v>0</v>
      </c>
      <c r="IX227" s="64"/>
      <c r="IY227" s="74"/>
      <c r="IZ227" s="73">
        <f t="shared" ref="IZ227" ca="1" si="2536">COUNTIF($M$226:$M$229,IY227)*$D$27</f>
        <v>0</v>
      </c>
      <c r="JA227" s="64"/>
      <c r="JB227" s="74"/>
      <c r="JC227" s="73">
        <f t="shared" ref="JC227" ca="1" si="2537">COUNTIF($M$226:$M$229,JB227)*$D$27</f>
        <v>0</v>
      </c>
      <c r="JD227" s="64"/>
      <c r="JE227" s="74"/>
      <c r="JF227" s="73">
        <f t="shared" ref="JF227" ca="1" si="2538">COUNTIF($M$226:$M$229,JE227)*$D$27</f>
        <v>0</v>
      </c>
      <c r="JG227" s="64"/>
      <c r="JH227" s="74"/>
      <c r="JI227" s="73">
        <f t="shared" ref="JI227" ca="1" si="2539">COUNTIF($M$226:$M$229,JH227)*$D$27</f>
        <v>0</v>
      </c>
      <c r="JJ227" s="64"/>
      <c r="JK227" s="74"/>
      <c r="JL227" s="73">
        <f t="shared" ref="JL227" ca="1" si="2540">COUNTIF($M$226:$M$229,JK227)*$D$27</f>
        <v>0</v>
      </c>
      <c r="JM227" s="64"/>
      <c r="JN227" s="74"/>
      <c r="JO227" s="73">
        <f t="shared" ref="JO227" ca="1" si="2541">COUNTIF($M$226:$M$229,JN227)*$D$27</f>
        <v>0</v>
      </c>
      <c r="JP227" s="64"/>
      <c r="JQ227" s="74"/>
      <c r="JR227" s="73">
        <f t="shared" ref="JR227" ca="1" si="2542">COUNTIF($M$226:$M$229,JQ227)*$D$27</f>
        <v>0</v>
      </c>
      <c r="JS227" s="64"/>
      <c r="JT227" s="74"/>
      <c r="JU227" s="73">
        <f t="shared" ref="JU227" ca="1" si="2543">COUNTIF($M$226:$M$229,JT227)*$D$27</f>
        <v>0</v>
      </c>
      <c r="JV227" s="64"/>
      <c r="JW227" s="74"/>
      <c r="JX227" s="73">
        <f t="shared" ref="JX227" ca="1" si="2544">COUNTIF($M$226:$M$229,JW227)*$D$27</f>
        <v>0</v>
      </c>
      <c r="JY227" s="64"/>
      <c r="JZ227" s="74"/>
      <c r="KA227" s="73">
        <f t="shared" ref="KA227" ca="1" si="2545">COUNTIF($M$226:$M$229,JZ227)*$D$27</f>
        <v>0</v>
      </c>
      <c r="KB227" s="64"/>
      <c r="KC227" s="74"/>
      <c r="KD227" s="73">
        <f t="shared" ref="KD227" ca="1" si="2546">COUNTIF($M$226:$M$229,KC227)*$D$27</f>
        <v>0</v>
      </c>
      <c r="KE227" s="64"/>
      <c r="KF227" s="74"/>
      <c r="KG227" s="73">
        <f t="shared" ref="KG227" ca="1" si="2547">COUNTIF($M$226:$M$229,KF227)*$D$27</f>
        <v>0</v>
      </c>
      <c r="KH227" s="64"/>
      <c r="KI227" s="74"/>
      <c r="KJ227" s="73">
        <f t="shared" ref="KJ227" ca="1" si="2548">COUNTIF($M$226:$M$229,KI227)*$D$27</f>
        <v>0</v>
      </c>
      <c r="KK227" s="64"/>
      <c r="KL227" s="74"/>
      <c r="KM227" s="73">
        <f t="shared" ref="KM227" ca="1" si="2549">COUNTIF($M$226:$M$229,KL227)*$D$27</f>
        <v>0</v>
      </c>
      <c r="KN227" s="64"/>
      <c r="KO227" s="74"/>
      <c r="KP227" s="73">
        <f t="shared" ref="KP227" ca="1" si="2550">COUNTIF($M$226:$M$229,KO227)*$D$27</f>
        <v>0</v>
      </c>
      <c r="KQ227" s="64"/>
      <c r="KR227" s="74"/>
      <c r="KS227" s="73">
        <f t="shared" ref="KS227" ca="1" si="2551">COUNTIF($M$226:$M$229,KR227)*$D$27</f>
        <v>0</v>
      </c>
      <c r="KT227" s="64"/>
      <c r="KU227" s="74"/>
      <c r="KV227" s="73">
        <f t="shared" ref="KV227" ca="1" si="2552">COUNTIF($M$226:$M$229,KU227)*$D$27</f>
        <v>0</v>
      </c>
      <c r="KW227" s="64"/>
      <c r="KX227" s="74"/>
      <c r="KY227" s="73">
        <f t="shared" ref="KY227" ca="1" si="2553">COUNTIF($M$226:$M$229,KX227)*$D$27</f>
        <v>0</v>
      </c>
      <c r="KZ227" s="64"/>
      <c r="LA227" s="74"/>
      <c r="LB227" s="73">
        <f t="shared" ref="LB227" ca="1" si="2554">COUNTIF($M$226:$M$229,LA227)*$D$27</f>
        <v>0</v>
      </c>
      <c r="LC227" s="64"/>
      <c r="LD227" s="74"/>
      <c r="LE227" s="73">
        <f t="shared" ref="LE227" ca="1" si="2555">COUNTIF($M$226:$M$229,LD227)*$D$27</f>
        <v>0</v>
      </c>
      <c r="LF227" s="64"/>
      <c r="LG227" s="64"/>
    </row>
    <row r="228" spans="1:319">
      <c r="A228" s="25"/>
      <c r="B228" s="25"/>
      <c r="C228" s="25"/>
      <c r="D228" s="25"/>
      <c r="E228" s="25"/>
      <c r="F228" s="407">
        <f t="shared" si="2456"/>
        <v>30</v>
      </c>
      <c r="G228" s="407">
        <f ca="1">VLOOKUP(H228,Equipos!$Q$1:$R$25,2,0)</f>
        <v>22</v>
      </c>
      <c r="H228" s="65" t="str">
        <f>Idiomas!$D$262</f>
        <v>Quarterfinals</v>
      </c>
      <c r="I228" s="50"/>
      <c r="J228" s="845"/>
      <c r="K228" s="56" t="str">
        <f>Idiomas!$D$201&amp;"-"&amp;ROWS($L$226:L228)</f>
        <v>Semifinalist-3</v>
      </c>
      <c r="L228" s="53"/>
      <c r="M228" s="55" t="str">
        <f ca="1">WORLDCUP!AF138</f>
        <v>Spain</v>
      </c>
      <c r="N228" s="25"/>
      <c r="O228" s="25"/>
      <c r="P228" s="25"/>
      <c r="Q228" s="25"/>
      <c r="R228" s="110"/>
      <c r="S228" s="74" t="s">
        <v>295</v>
      </c>
      <c r="T228" s="73">
        <f ca="1">COUNTIF($M$226:$M$229,S228)*$D$27</f>
        <v>30</v>
      </c>
      <c r="U228" s="64"/>
      <c r="V228" s="74" t="s">
        <v>295</v>
      </c>
      <c r="W228" s="73">
        <f t="shared" ref="W228" ca="1" si="2556">COUNTIF($M$226:$M$229,V228)*$D$27</f>
        <v>30</v>
      </c>
      <c r="X228" s="64"/>
      <c r="Y228" s="74" t="s">
        <v>80</v>
      </c>
      <c r="Z228" s="73">
        <f t="shared" ref="Z228" ca="1" si="2557">COUNTIF($M$226:$M$229,Y228)*$D$27</f>
        <v>0</v>
      </c>
      <c r="AA228" s="64"/>
      <c r="AB228" s="74" t="s">
        <v>295</v>
      </c>
      <c r="AC228" s="73">
        <f t="shared" ref="AC228" ca="1" si="2558">COUNTIF($M$226:$M$229,AB228)*$D$27</f>
        <v>30</v>
      </c>
      <c r="AD228" s="64"/>
      <c r="AE228" s="74" t="s">
        <v>295</v>
      </c>
      <c r="AF228" s="73">
        <f t="shared" ref="AF228" ca="1" si="2559">COUNTIF($M$226:$M$229,AE228)*$D$27</f>
        <v>30</v>
      </c>
      <c r="AG228" s="64"/>
      <c r="AH228" s="74" t="s">
        <v>295</v>
      </c>
      <c r="AI228" s="73">
        <f t="shared" ref="AI228" ca="1" si="2560">COUNTIF($M$226:$M$229,AH228)*$D$27</f>
        <v>30</v>
      </c>
      <c r="AJ228" s="64"/>
      <c r="AK228" s="74" t="s">
        <v>295</v>
      </c>
      <c r="AL228" s="73">
        <f t="shared" ref="AL228" ca="1" si="2561">COUNTIF($M$226:$M$229,AK228)*$D$27</f>
        <v>30</v>
      </c>
      <c r="AM228" s="64"/>
      <c r="AN228" s="74" t="s">
        <v>1319</v>
      </c>
      <c r="AO228" s="73">
        <f t="shared" ref="AO228" ca="1" si="2562">COUNTIF($M$226:$M$229,AN228)*$D$27</f>
        <v>0</v>
      </c>
      <c r="AP228" s="64"/>
      <c r="AQ228" s="74" t="s">
        <v>295</v>
      </c>
      <c r="AR228" s="73">
        <f t="shared" ref="AR228" ca="1" si="2563">COUNTIF($M$226:$M$229,AQ228)*$D$27</f>
        <v>30</v>
      </c>
      <c r="AS228" s="64"/>
      <c r="AT228" s="74" t="s">
        <v>295</v>
      </c>
      <c r="AU228" s="73">
        <f t="shared" ref="AU228" ca="1" si="2564">COUNTIF($M$226:$M$229,AT228)*$D$27</f>
        <v>30</v>
      </c>
      <c r="AV228" s="64"/>
      <c r="AW228" s="74" t="s">
        <v>295</v>
      </c>
      <c r="AX228" s="73">
        <f t="shared" ref="AX228" ca="1" si="2565">COUNTIF($M$226:$M$229,AW228)*$D$27</f>
        <v>30</v>
      </c>
      <c r="AY228" s="64"/>
      <c r="AZ228" s="74" t="s">
        <v>295</v>
      </c>
      <c r="BA228" s="73">
        <f t="shared" ref="BA228" ca="1" si="2566">COUNTIF($M$226:$M$229,AZ228)*$D$27</f>
        <v>30</v>
      </c>
      <c r="BB228" s="64"/>
      <c r="BC228" s="74" t="s">
        <v>295</v>
      </c>
      <c r="BD228" s="73">
        <f t="shared" ref="BD228" ca="1" si="2567">COUNTIF($M$226:$M$229,BC228)*$D$27</f>
        <v>30</v>
      </c>
      <c r="BE228" s="64"/>
      <c r="BF228" s="74" t="s">
        <v>295</v>
      </c>
      <c r="BG228" s="73">
        <f t="shared" ref="BG228" ca="1" si="2568">COUNTIF($M$226:$M$229,BF228)*$D$27</f>
        <v>30</v>
      </c>
      <c r="BH228" s="64"/>
      <c r="BI228" s="74" t="s">
        <v>295</v>
      </c>
      <c r="BJ228" s="73">
        <f t="shared" ref="BJ228" ca="1" si="2569">COUNTIF($M$226:$M$229,BI228)*$D$27</f>
        <v>30</v>
      </c>
      <c r="BK228" s="64"/>
      <c r="BL228" s="74" t="s">
        <v>295</v>
      </c>
      <c r="BM228" s="73">
        <f t="shared" ref="BM228" ca="1" si="2570">COUNTIF($M$226:$M$229,BL228)*$D$27</f>
        <v>30</v>
      </c>
      <c r="BN228" s="64"/>
      <c r="BO228" s="74" t="s">
        <v>295</v>
      </c>
      <c r="BP228" s="73">
        <f t="shared" ref="BP228" ca="1" si="2571">COUNTIF($M$226:$M$229,BO228)*$D$27</f>
        <v>30</v>
      </c>
      <c r="BQ228" s="64"/>
      <c r="BR228" s="74" t="s">
        <v>295</v>
      </c>
      <c r="BS228" s="73">
        <f t="shared" ref="BS228" ca="1" si="2572">COUNTIF($M$226:$M$229,BR228)*$D$27</f>
        <v>30</v>
      </c>
      <c r="BT228" s="64"/>
      <c r="BU228" s="74" t="s">
        <v>295</v>
      </c>
      <c r="BV228" s="73">
        <f t="shared" ref="BV228" ca="1" si="2573">COUNTIF($M$226:$M$229,BU228)*$D$27</f>
        <v>30</v>
      </c>
      <c r="BW228" s="64"/>
      <c r="BX228" s="74" t="s">
        <v>295</v>
      </c>
      <c r="BY228" s="73">
        <f t="shared" ref="BY228" ca="1" si="2574">COUNTIF($M$226:$M$229,BX228)*$D$27</f>
        <v>30</v>
      </c>
      <c r="BZ228" s="64"/>
      <c r="CA228" s="74" t="s">
        <v>295</v>
      </c>
      <c r="CB228" s="73">
        <f t="shared" ref="CB228" ca="1" si="2575">COUNTIF($M$226:$M$229,CA228)*$D$27</f>
        <v>30</v>
      </c>
      <c r="CC228" s="64"/>
      <c r="CD228" s="74" t="s">
        <v>295</v>
      </c>
      <c r="CE228" s="73">
        <f t="shared" ref="CE228" ca="1" si="2576">COUNTIF($M$226:$M$229,CD228)*$D$27</f>
        <v>30</v>
      </c>
      <c r="CF228" s="64"/>
      <c r="CG228" s="74" t="s">
        <v>295</v>
      </c>
      <c r="CH228" s="73">
        <f t="shared" ref="CH228" ca="1" si="2577">COUNTIF($M$226:$M$229,CG228)*$D$27</f>
        <v>30</v>
      </c>
      <c r="CI228" s="64"/>
      <c r="CJ228" s="74" t="s">
        <v>295</v>
      </c>
      <c r="CK228" s="73">
        <f t="shared" ref="CK228" ca="1" si="2578">COUNTIF($M$226:$M$229,CJ228)*$D$27</f>
        <v>30</v>
      </c>
      <c r="CL228" s="64"/>
      <c r="CM228" s="74" t="s">
        <v>295</v>
      </c>
      <c r="CN228" s="73">
        <f t="shared" ref="CN228" ca="1" si="2579">COUNTIF($M$226:$M$229,CM228)*$D$27</f>
        <v>30</v>
      </c>
      <c r="CO228" s="64"/>
      <c r="CP228" s="74" t="s">
        <v>295</v>
      </c>
      <c r="CQ228" s="73">
        <f t="shared" ref="CQ228" ca="1" si="2580">COUNTIF($M$226:$M$229,CP228)*$D$27</f>
        <v>30</v>
      </c>
      <c r="CR228" s="64"/>
      <c r="CS228" s="74" t="s">
        <v>295</v>
      </c>
      <c r="CT228" s="73">
        <f t="shared" ref="CT228" ca="1" si="2581">COUNTIF($M$226:$M$229,CS228)*$D$27</f>
        <v>30</v>
      </c>
      <c r="CU228" s="64"/>
      <c r="CV228" s="74" t="s">
        <v>295</v>
      </c>
      <c r="CW228" s="73">
        <f t="shared" ref="CW228" ca="1" si="2582">COUNTIF($M$226:$M$229,CV228)*$D$27</f>
        <v>30</v>
      </c>
      <c r="CX228" s="64"/>
      <c r="CY228" s="74" t="s">
        <v>1256</v>
      </c>
      <c r="CZ228" s="73">
        <f t="shared" ref="CZ228" ca="1" si="2583">COUNTIF($M$226:$M$229,CY228)*$D$27</f>
        <v>30</v>
      </c>
      <c r="DA228" s="64"/>
      <c r="DB228" s="74" t="s">
        <v>295</v>
      </c>
      <c r="DC228" s="73">
        <f t="shared" ref="DC228" ca="1" si="2584">COUNTIF($M$226:$M$229,DB228)*$D$27</f>
        <v>30</v>
      </c>
      <c r="DD228" s="64"/>
      <c r="DE228" s="74" t="s">
        <v>295</v>
      </c>
      <c r="DF228" s="73">
        <f t="shared" ref="DF228" ca="1" si="2585">COUNTIF($M$226:$M$229,DE228)*$D$27</f>
        <v>30</v>
      </c>
      <c r="DG228" s="64"/>
      <c r="DH228" s="74" t="s">
        <v>295</v>
      </c>
      <c r="DI228" s="73">
        <f t="shared" ref="DI228" ca="1" si="2586">COUNTIF($M$226:$M$229,DH228)*$D$27</f>
        <v>30</v>
      </c>
      <c r="DJ228" s="64"/>
      <c r="DK228" s="74" t="s">
        <v>295</v>
      </c>
      <c r="DL228" s="73">
        <f t="shared" ref="DL228" ca="1" si="2587">COUNTIF($M$226:$M$229,DK228)*$D$27</f>
        <v>30</v>
      </c>
      <c r="DM228" s="64"/>
      <c r="DN228" s="74" t="s">
        <v>295</v>
      </c>
      <c r="DO228" s="73">
        <f t="shared" ref="DO228" ca="1" si="2588">COUNTIF($M$226:$M$229,DN228)*$D$27</f>
        <v>30</v>
      </c>
      <c r="DP228" s="64"/>
      <c r="DQ228" s="74" t="s">
        <v>295</v>
      </c>
      <c r="DR228" s="73">
        <f t="shared" ref="DR228" ca="1" si="2589">COUNTIF($M$226:$M$229,DQ228)*$D$27</f>
        <v>30</v>
      </c>
      <c r="DS228" s="64"/>
      <c r="DT228" s="74" t="s">
        <v>295</v>
      </c>
      <c r="DU228" s="73">
        <f t="shared" ref="DU228" ca="1" si="2590">COUNTIF($M$226:$M$229,DT228)*$D$27</f>
        <v>30</v>
      </c>
      <c r="DV228" s="64"/>
      <c r="DW228" s="74" t="s">
        <v>295</v>
      </c>
      <c r="DX228" s="73">
        <f t="shared" ref="DX228" ca="1" si="2591">COUNTIF($M$226:$M$229,DW228)*$D$27</f>
        <v>30</v>
      </c>
      <c r="DY228" s="64"/>
      <c r="DZ228" s="74" t="s">
        <v>295</v>
      </c>
      <c r="EA228" s="73">
        <f t="shared" ref="EA228" ca="1" si="2592">COUNTIF($M$226:$M$229,DZ228)*$D$27</f>
        <v>30</v>
      </c>
      <c r="EB228" s="64"/>
      <c r="EC228" s="74" t="s">
        <v>295</v>
      </c>
      <c r="ED228" s="73">
        <f t="shared" ref="ED228" ca="1" si="2593">COUNTIF($M$226:$M$229,EC228)*$D$27</f>
        <v>30</v>
      </c>
      <c r="EE228" s="64"/>
      <c r="EF228" s="74" t="s">
        <v>1553</v>
      </c>
      <c r="EG228" s="73">
        <f t="shared" ref="EG228" ca="1" si="2594">COUNTIF($M$226:$M$229,EF228)*$D$27</f>
        <v>0</v>
      </c>
      <c r="EH228" s="64"/>
      <c r="EI228" s="74" t="s">
        <v>295</v>
      </c>
      <c r="EJ228" s="73">
        <f t="shared" ref="EJ228" ca="1" si="2595">COUNTIF($M$226:$M$229,EI228)*$D$27</f>
        <v>30</v>
      </c>
      <c r="EK228" s="64"/>
      <c r="EL228" s="74" t="s">
        <v>295</v>
      </c>
      <c r="EM228" s="73">
        <f t="shared" ref="EM228" ca="1" si="2596">COUNTIF($M$226:$M$229,EL228)*$D$27</f>
        <v>30</v>
      </c>
      <c r="EN228" s="64"/>
      <c r="EO228" s="74" t="s">
        <v>295</v>
      </c>
      <c r="EP228" s="73">
        <f t="shared" ref="EP228" ca="1" si="2597">COUNTIF($M$226:$M$229,EO228)*$D$27</f>
        <v>30</v>
      </c>
      <c r="EQ228" s="64"/>
      <c r="ER228" s="74" t="s">
        <v>295</v>
      </c>
      <c r="ES228" s="73">
        <f t="shared" ref="ES228" ca="1" si="2598">COUNTIF($M$226:$M$229,ER228)*$D$27</f>
        <v>30</v>
      </c>
      <c r="ET228" s="64"/>
      <c r="EU228" s="74" t="s">
        <v>295</v>
      </c>
      <c r="EV228" s="73">
        <f t="shared" ref="EV228" ca="1" si="2599">COUNTIF($M$226:$M$229,EU228)*$D$27</f>
        <v>30</v>
      </c>
      <c r="EW228" s="64"/>
      <c r="EX228" s="74" t="s">
        <v>295</v>
      </c>
      <c r="EY228" s="73">
        <f t="shared" ref="EY228" ca="1" si="2600">COUNTIF($M$226:$M$229,EX228)*$D$27</f>
        <v>30</v>
      </c>
      <c r="EZ228" s="64"/>
      <c r="FA228" s="74" t="s">
        <v>1842</v>
      </c>
      <c r="FB228" s="73">
        <f t="shared" ref="FB228" ca="1" si="2601">COUNTIF($M$226:$M$229,FA228)*$D$27</f>
        <v>0</v>
      </c>
      <c r="FC228" s="64"/>
      <c r="FD228" s="74" t="s">
        <v>295</v>
      </c>
      <c r="FE228" s="73">
        <f t="shared" ref="FE228" ca="1" si="2602">COUNTIF($M$226:$M$229,FD228)*$D$27</f>
        <v>30</v>
      </c>
      <c r="FF228" s="64"/>
      <c r="FG228" s="74" t="s">
        <v>295</v>
      </c>
      <c r="FH228" s="73">
        <f t="shared" ref="FH228" ca="1" si="2603">COUNTIF($M$226:$M$229,FG228)*$D$27</f>
        <v>30</v>
      </c>
      <c r="FI228" s="64"/>
      <c r="FJ228" s="74" t="s">
        <v>295</v>
      </c>
      <c r="FK228" s="73">
        <f t="shared" ref="FK228" ca="1" si="2604">COUNTIF($M$226:$M$229,FJ228)*$D$27</f>
        <v>30</v>
      </c>
      <c r="FL228" s="64"/>
      <c r="FM228" s="74" t="s">
        <v>295</v>
      </c>
      <c r="FN228" s="73">
        <f t="shared" ref="FN228" ca="1" si="2605">COUNTIF($M$226:$M$229,FM228)*$D$27</f>
        <v>30</v>
      </c>
      <c r="FO228" s="64"/>
      <c r="FP228" s="74" t="s">
        <v>295</v>
      </c>
      <c r="FQ228" s="73">
        <f t="shared" ref="FQ228" ca="1" si="2606">COUNTIF($M$226:$M$229,FP228)*$D$27</f>
        <v>30</v>
      </c>
      <c r="FR228" s="64"/>
      <c r="FS228" s="74" t="s">
        <v>295</v>
      </c>
      <c r="FT228" s="73">
        <f t="shared" ref="FT228" ca="1" si="2607">COUNTIF($M$226:$M$229,FS228)*$D$27</f>
        <v>30</v>
      </c>
      <c r="FU228" s="64"/>
      <c r="FV228" s="74" t="s">
        <v>295</v>
      </c>
      <c r="FW228" s="73">
        <f t="shared" ref="FW228" ca="1" si="2608">COUNTIF($M$226:$M$229,FV228)*$D$27</f>
        <v>30</v>
      </c>
      <c r="FX228" s="64"/>
      <c r="FY228" s="74" t="s">
        <v>295</v>
      </c>
      <c r="FZ228" s="73">
        <f t="shared" ref="FZ228" ca="1" si="2609">COUNTIF($M$226:$M$229,FY228)*$D$27</f>
        <v>30</v>
      </c>
      <c r="GA228" s="64"/>
      <c r="GB228" s="74" t="s">
        <v>295</v>
      </c>
      <c r="GC228" s="73">
        <f t="shared" ref="GC228" ca="1" si="2610">COUNTIF($M$226:$M$229,GB228)*$D$27</f>
        <v>30</v>
      </c>
      <c r="GD228" s="64"/>
      <c r="GE228" s="74" t="s">
        <v>295</v>
      </c>
      <c r="GF228" s="73">
        <f t="shared" ref="GF228" ca="1" si="2611">COUNTIF($M$226:$M$229,GE228)*$D$27</f>
        <v>30</v>
      </c>
      <c r="GG228" s="64"/>
      <c r="GH228" s="74" t="s">
        <v>295</v>
      </c>
      <c r="GI228" s="73">
        <f t="shared" ref="GI228" ca="1" si="2612">COUNTIF($M$226:$M$229,GH228)*$D$27</f>
        <v>30</v>
      </c>
      <c r="GJ228" s="64"/>
      <c r="GK228" s="74" t="s">
        <v>295</v>
      </c>
      <c r="GL228" s="73">
        <f t="shared" ref="GL228" ca="1" si="2613">COUNTIF($M$226:$M$229,GK228)*$D$27</f>
        <v>30</v>
      </c>
      <c r="GM228" s="64"/>
      <c r="GN228" s="74"/>
      <c r="GO228" s="73">
        <f t="shared" ref="GO228" ca="1" si="2614">COUNTIF($M$226:$M$229,GN228)*$D$27</f>
        <v>0</v>
      </c>
      <c r="GP228" s="64"/>
      <c r="GQ228" s="74"/>
      <c r="GR228" s="73">
        <f t="shared" ref="GR228" ca="1" si="2615">COUNTIF($M$226:$M$229,GQ228)*$D$27</f>
        <v>0</v>
      </c>
      <c r="GS228" s="64"/>
      <c r="GT228" s="74"/>
      <c r="GU228" s="73">
        <f t="shared" ref="GU228" ca="1" si="2616">COUNTIF($M$226:$M$229,GT228)*$D$27</f>
        <v>0</v>
      </c>
      <c r="GV228" s="64"/>
      <c r="GW228" s="74"/>
      <c r="GX228" s="73">
        <f t="shared" ref="GX228" ca="1" si="2617">COUNTIF($M$226:$M$229,GW228)*$D$27</f>
        <v>0</v>
      </c>
      <c r="GY228" s="64"/>
      <c r="GZ228" s="74"/>
      <c r="HA228" s="73">
        <f t="shared" ref="HA228" ca="1" si="2618">COUNTIF($M$226:$M$229,GZ228)*$D$27</f>
        <v>0</v>
      </c>
      <c r="HB228" s="64"/>
      <c r="HC228" s="74"/>
      <c r="HD228" s="73">
        <f t="shared" ref="HD228" ca="1" si="2619">COUNTIF($M$226:$M$229,HC228)*$D$27</f>
        <v>0</v>
      </c>
      <c r="HE228" s="64"/>
      <c r="HF228" s="74"/>
      <c r="HG228" s="73">
        <f t="shared" ref="HG228" ca="1" si="2620">COUNTIF($M$226:$M$229,HF228)*$D$27</f>
        <v>0</v>
      </c>
      <c r="HH228" s="64"/>
      <c r="HI228" s="74"/>
      <c r="HJ228" s="73">
        <f t="shared" ref="HJ228" ca="1" si="2621">COUNTIF($M$226:$M$229,HI228)*$D$27</f>
        <v>0</v>
      </c>
      <c r="HK228" s="64"/>
      <c r="HL228" s="74"/>
      <c r="HM228" s="73">
        <f t="shared" ref="HM228" ca="1" si="2622">COUNTIF($M$226:$M$229,HL228)*$D$27</f>
        <v>0</v>
      </c>
      <c r="HN228" s="64"/>
      <c r="HO228" s="74"/>
      <c r="HP228" s="73">
        <f t="shared" ref="HP228" ca="1" si="2623">COUNTIF($M$226:$M$229,HO228)*$D$27</f>
        <v>0</v>
      </c>
      <c r="HQ228" s="64"/>
      <c r="HR228" s="74"/>
      <c r="HS228" s="73">
        <f t="shared" ref="HS228" ca="1" si="2624">COUNTIF($M$226:$M$229,HR228)*$D$27</f>
        <v>0</v>
      </c>
      <c r="HT228" s="64"/>
      <c r="HU228" s="74"/>
      <c r="HV228" s="73">
        <f t="shared" ref="HV228" ca="1" si="2625">COUNTIF($M$226:$M$229,HU228)*$D$27</f>
        <v>0</v>
      </c>
      <c r="HW228" s="64"/>
      <c r="HX228" s="74"/>
      <c r="HY228" s="73">
        <f t="shared" ref="HY228" ca="1" si="2626">COUNTIF($M$226:$M$229,HX228)*$D$27</f>
        <v>0</v>
      </c>
      <c r="HZ228" s="64"/>
      <c r="IA228" s="74"/>
      <c r="IB228" s="73">
        <f t="shared" ref="IB228" ca="1" si="2627">COUNTIF($M$226:$M$229,IA228)*$D$27</f>
        <v>0</v>
      </c>
      <c r="IC228" s="64"/>
      <c r="ID228" s="74"/>
      <c r="IE228" s="73">
        <f t="shared" ref="IE228" ca="1" si="2628">COUNTIF($M$226:$M$229,ID228)*$D$27</f>
        <v>0</v>
      </c>
      <c r="IF228" s="64"/>
      <c r="IG228" s="74"/>
      <c r="IH228" s="73">
        <f t="shared" ref="IH228" ca="1" si="2629">COUNTIF($M$226:$M$229,IG228)*$D$27</f>
        <v>0</v>
      </c>
      <c r="II228" s="64"/>
      <c r="IJ228" s="74"/>
      <c r="IK228" s="73">
        <f t="shared" ref="IK228" ca="1" si="2630">COUNTIF($M$226:$M$229,IJ228)*$D$27</f>
        <v>0</v>
      </c>
      <c r="IL228" s="64"/>
      <c r="IM228" s="74"/>
      <c r="IN228" s="73">
        <f t="shared" ref="IN228" ca="1" si="2631">COUNTIF($M$226:$M$229,IM228)*$D$27</f>
        <v>0</v>
      </c>
      <c r="IO228" s="64"/>
      <c r="IP228" s="74"/>
      <c r="IQ228" s="73">
        <f t="shared" ref="IQ228" ca="1" si="2632">COUNTIF($M$226:$M$229,IP228)*$D$27</f>
        <v>0</v>
      </c>
      <c r="IR228" s="64"/>
      <c r="IS228" s="74"/>
      <c r="IT228" s="73">
        <f t="shared" ref="IT228" ca="1" si="2633">COUNTIF($M$226:$M$229,IS228)*$D$27</f>
        <v>0</v>
      </c>
      <c r="IU228" s="64"/>
      <c r="IV228" s="74"/>
      <c r="IW228" s="73">
        <f t="shared" ref="IW228" ca="1" si="2634">COUNTIF($M$226:$M$229,IV228)*$D$27</f>
        <v>0</v>
      </c>
      <c r="IX228" s="64"/>
      <c r="IY228" s="74"/>
      <c r="IZ228" s="73">
        <f t="shared" ref="IZ228" ca="1" si="2635">COUNTIF($M$226:$M$229,IY228)*$D$27</f>
        <v>0</v>
      </c>
      <c r="JA228" s="64"/>
      <c r="JB228" s="74"/>
      <c r="JC228" s="73">
        <f t="shared" ref="JC228" ca="1" si="2636">COUNTIF($M$226:$M$229,JB228)*$D$27</f>
        <v>0</v>
      </c>
      <c r="JD228" s="64"/>
      <c r="JE228" s="74"/>
      <c r="JF228" s="73">
        <f t="shared" ref="JF228" ca="1" si="2637">COUNTIF($M$226:$M$229,JE228)*$D$27</f>
        <v>0</v>
      </c>
      <c r="JG228" s="64"/>
      <c r="JH228" s="74"/>
      <c r="JI228" s="73">
        <f t="shared" ref="JI228" ca="1" si="2638">COUNTIF($M$226:$M$229,JH228)*$D$27</f>
        <v>0</v>
      </c>
      <c r="JJ228" s="64"/>
      <c r="JK228" s="74"/>
      <c r="JL228" s="73">
        <f t="shared" ref="JL228" ca="1" si="2639">COUNTIF($M$226:$M$229,JK228)*$D$27</f>
        <v>0</v>
      </c>
      <c r="JM228" s="64"/>
      <c r="JN228" s="74"/>
      <c r="JO228" s="73">
        <f t="shared" ref="JO228" ca="1" si="2640">COUNTIF($M$226:$M$229,JN228)*$D$27</f>
        <v>0</v>
      </c>
      <c r="JP228" s="64"/>
      <c r="JQ228" s="74"/>
      <c r="JR228" s="73">
        <f t="shared" ref="JR228" ca="1" si="2641">COUNTIF($M$226:$M$229,JQ228)*$D$27</f>
        <v>0</v>
      </c>
      <c r="JS228" s="64"/>
      <c r="JT228" s="74"/>
      <c r="JU228" s="73">
        <f t="shared" ref="JU228" ca="1" si="2642">COUNTIF($M$226:$M$229,JT228)*$D$27</f>
        <v>0</v>
      </c>
      <c r="JV228" s="64"/>
      <c r="JW228" s="74"/>
      <c r="JX228" s="73">
        <f t="shared" ref="JX228" ca="1" si="2643">COUNTIF($M$226:$M$229,JW228)*$D$27</f>
        <v>0</v>
      </c>
      <c r="JY228" s="64"/>
      <c r="JZ228" s="74"/>
      <c r="KA228" s="73">
        <f t="shared" ref="KA228" ca="1" si="2644">COUNTIF($M$226:$M$229,JZ228)*$D$27</f>
        <v>0</v>
      </c>
      <c r="KB228" s="64"/>
      <c r="KC228" s="74"/>
      <c r="KD228" s="73">
        <f t="shared" ref="KD228" ca="1" si="2645">COUNTIF($M$226:$M$229,KC228)*$D$27</f>
        <v>0</v>
      </c>
      <c r="KE228" s="64"/>
      <c r="KF228" s="74"/>
      <c r="KG228" s="73">
        <f t="shared" ref="KG228" ca="1" si="2646">COUNTIF($M$226:$M$229,KF228)*$D$27</f>
        <v>0</v>
      </c>
      <c r="KH228" s="64"/>
      <c r="KI228" s="74"/>
      <c r="KJ228" s="73">
        <f t="shared" ref="KJ228" ca="1" si="2647">COUNTIF($M$226:$M$229,KI228)*$D$27</f>
        <v>0</v>
      </c>
      <c r="KK228" s="64"/>
      <c r="KL228" s="74"/>
      <c r="KM228" s="73">
        <f t="shared" ref="KM228" ca="1" si="2648">COUNTIF($M$226:$M$229,KL228)*$D$27</f>
        <v>0</v>
      </c>
      <c r="KN228" s="64"/>
      <c r="KO228" s="74"/>
      <c r="KP228" s="73">
        <f t="shared" ref="KP228" ca="1" si="2649">COUNTIF($M$226:$M$229,KO228)*$D$27</f>
        <v>0</v>
      </c>
      <c r="KQ228" s="64"/>
      <c r="KR228" s="74"/>
      <c r="KS228" s="73">
        <f t="shared" ref="KS228" ca="1" si="2650">COUNTIF($M$226:$M$229,KR228)*$D$27</f>
        <v>0</v>
      </c>
      <c r="KT228" s="64"/>
      <c r="KU228" s="74"/>
      <c r="KV228" s="73">
        <f t="shared" ref="KV228" ca="1" si="2651">COUNTIF($M$226:$M$229,KU228)*$D$27</f>
        <v>0</v>
      </c>
      <c r="KW228" s="64"/>
      <c r="KX228" s="74"/>
      <c r="KY228" s="73">
        <f t="shared" ref="KY228" ca="1" si="2652">COUNTIF($M$226:$M$229,KX228)*$D$27</f>
        <v>0</v>
      </c>
      <c r="KZ228" s="64"/>
      <c r="LA228" s="74"/>
      <c r="LB228" s="73">
        <f t="shared" ref="LB228" ca="1" si="2653">COUNTIF($M$226:$M$229,LA228)*$D$27</f>
        <v>0</v>
      </c>
      <c r="LC228" s="64"/>
      <c r="LD228" s="74"/>
      <c r="LE228" s="73">
        <f t="shared" ref="LE228" ca="1" si="2654">COUNTIF($M$226:$M$229,LD228)*$D$27</f>
        <v>0</v>
      </c>
      <c r="LF228" s="64"/>
      <c r="LG228" s="64"/>
    </row>
    <row r="229" spans="1:319">
      <c r="A229" s="25"/>
      <c r="B229" s="25"/>
      <c r="C229" s="25"/>
      <c r="D229" s="25"/>
      <c r="E229" s="25"/>
      <c r="F229" s="407">
        <f t="shared" si="2456"/>
        <v>30</v>
      </c>
      <c r="G229" s="407">
        <f ca="1">VLOOKUP(H229,Equipos!$Q$1:$R$25,2,0)</f>
        <v>22</v>
      </c>
      <c r="H229" s="65" t="str">
        <f>Idiomas!$D$262</f>
        <v>Quarterfinals</v>
      </c>
      <c r="I229" s="50"/>
      <c r="J229" s="845"/>
      <c r="K229" s="56" t="str">
        <f>Idiomas!$D$201&amp;"-"&amp;ROWS($L$226:L229)</f>
        <v>Semifinalist-4</v>
      </c>
      <c r="L229" s="53"/>
      <c r="M229" s="55" t="str">
        <f ca="1">WORLDCUP!AF139</f>
        <v>Argentina</v>
      </c>
      <c r="N229" s="25"/>
      <c r="O229" s="25"/>
      <c r="P229" s="25"/>
      <c r="Q229" s="25"/>
      <c r="R229" s="110"/>
      <c r="S229" s="80" t="s">
        <v>290</v>
      </c>
      <c r="T229" s="81">
        <f ca="1">COUNTIF($M$226:$M$229,S229)*$D$27</f>
        <v>0</v>
      </c>
      <c r="U229" s="64"/>
      <c r="V229" s="80" t="s">
        <v>1256</v>
      </c>
      <c r="W229" s="81">
        <f t="shared" ref="W229" ca="1" si="2655">COUNTIF($M$226:$M$229,V229)*$D$27</f>
        <v>30</v>
      </c>
      <c r="X229" s="64"/>
      <c r="Y229" s="80" t="s">
        <v>79</v>
      </c>
      <c r="Z229" s="81">
        <f t="shared" ref="Z229" ca="1" si="2656">COUNTIF($M$226:$M$229,Y229)*$D$27</f>
        <v>0</v>
      </c>
      <c r="AA229" s="64"/>
      <c r="AB229" s="80" t="s">
        <v>1256</v>
      </c>
      <c r="AC229" s="81">
        <f t="shared" ref="AC229" ca="1" si="2657">COUNTIF($M$226:$M$229,AB229)*$D$27</f>
        <v>30</v>
      </c>
      <c r="AD229" s="64"/>
      <c r="AE229" s="80" t="s">
        <v>79</v>
      </c>
      <c r="AF229" s="81">
        <f t="shared" ref="AF229" ca="1" si="2658">COUNTIF($M$226:$M$229,AE229)*$D$27</f>
        <v>0</v>
      </c>
      <c r="AG229" s="64"/>
      <c r="AH229" s="80" t="s">
        <v>79</v>
      </c>
      <c r="AI229" s="81">
        <f t="shared" ref="AI229" ca="1" si="2659">COUNTIF($M$226:$M$229,AH229)*$D$27</f>
        <v>0</v>
      </c>
      <c r="AJ229" s="64"/>
      <c r="AK229" s="80" t="s">
        <v>1256</v>
      </c>
      <c r="AL229" s="81">
        <f t="shared" ref="AL229" ca="1" si="2660">COUNTIF($M$226:$M$229,AK229)*$D$27</f>
        <v>30</v>
      </c>
      <c r="AM229" s="64"/>
      <c r="AN229" s="80" t="s">
        <v>1559</v>
      </c>
      <c r="AO229" s="81">
        <f t="shared" ref="AO229" ca="1" si="2661">COUNTIF($M$226:$M$229,AN229)*$D$27</f>
        <v>0</v>
      </c>
      <c r="AP229" s="64"/>
      <c r="AQ229" s="80" t="s">
        <v>1256</v>
      </c>
      <c r="AR229" s="81">
        <f t="shared" ref="AR229" ca="1" si="2662">COUNTIF($M$226:$M$229,AQ229)*$D$27</f>
        <v>30</v>
      </c>
      <c r="AS229" s="64"/>
      <c r="AT229" s="80" t="s">
        <v>290</v>
      </c>
      <c r="AU229" s="81">
        <f t="shared" ref="AU229" ca="1" si="2663">COUNTIF($M$226:$M$229,AT229)*$D$27</f>
        <v>0</v>
      </c>
      <c r="AV229" s="64"/>
      <c r="AW229" s="80" t="s">
        <v>498</v>
      </c>
      <c r="AX229" s="81">
        <f t="shared" ref="AX229" ca="1" si="2664">COUNTIF($M$226:$M$229,AW229)*$D$27</f>
        <v>0</v>
      </c>
      <c r="AY229" s="64"/>
      <c r="AZ229" s="80" t="s">
        <v>1256</v>
      </c>
      <c r="BA229" s="81">
        <f t="shared" ref="BA229" ca="1" si="2665">COUNTIF($M$226:$M$229,AZ229)*$D$27</f>
        <v>30</v>
      </c>
      <c r="BB229" s="64"/>
      <c r="BC229" s="80" t="s">
        <v>1256</v>
      </c>
      <c r="BD229" s="81">
        <f t="shared" ref="BD229" ca="1" si="2666">COUNTIF($M$226:$M$229,BC229)*$D$27</f>
        <v>30</v>
      </c>
      <c r="BE229" s="64"/>
      <c r="BF229" s="80" t="s">
        <v>79</v>
      </c>
      <c r="BG229" s="81">
        <f t="shared" ref="BG229" ca="1" si="2667">COUNTIF($M$226:$M$229,BF229)*$D$27</f>
        <v>0</v>
      </c>
      <c r="BH229" s="64"/>
      <c r="BI229" s="80" t="s">
        <v>79</v>
      </c>
      <c r="BJ229" s="81">
        <f t="shared" ref="BJ229" ca="1" si="2668">COUNTIF($M$226:$M$229,BI229)*$D$27</f>
        <v>0</v>
      </c>
      <c r="BK229" s="64"/>
      <c r="BL229" s="80" t="s">
        <v>1256</v>
      </c>
      <c r="BM229" s="81">
        <f t="shared" ref="BM229" ca="1" si="2669">COUNTIF($M$226:$M$229,BL229)*$D$27</f>
        <v>30</v>
      </c>
      <c r="BN229" s="64"/>
      <c r="BO229" s="80" t="s">
        <v>1256</v>
      </c>
      <c r="BP229" s="81">
        <f t="shared" ref="BP229" ca="1" si="2670">COUNTIF($M$226:$M$229,BO229)*$D$27</f>
        <v>30</v>
      </c>
      <c r="BQ229" s="64"/>
      <c r="BR229" s="80" t="s">
        <v>79</v>
      </c>
      <c r="BS229" s="81">
        <f t="shared" ref="BS229" ca="1" si="2671">COUNTIF($M$226:$M$229,BR229)*$D$27</f>
        <v>0</v>
      </c>
      <c r="BT229" s="64"/>
      <c r="BU229" s="80" t="s">
        <v>79</v>
      </c>
      <c r="BV229" s="81">
        <f t="shared" ref="BV229" ca="1" si="2672">COUNTIF($M$226:$M$229,BU229)*$D$27</f>
        <v>0</v>
      </c>
      <c r="BW229" s="64"/>
      <c r="BX229" s="80" t="s">
        <v>79</v>
      </c>
      <c r="BY229" s="81">
        <f t="shared" ref="BY229" ca="1" si="2673">COUNTIF($M$226:$M$229,BX229)*$D$27</f>
        <v>0</v>
      </c>
      <c r="BZ229" s="64"/>
      <c r="CA229" s="80" t="s">
        <v>79</v>
      </c>
      <c r="CB229" s="81">
        <f t="shared" ref="CB229" ca="1" si="2674">COUNTIF($M$226:$M$229,CA229)*$D$27</f>
        <v>0</v>
      </c>
      <c r="CC229" s="64"/>
      <c r="CD229" s="80" t="s">
        <v>79</v>
      </c>
      <c r="CE229" s="81">
        <f t="shared" ref="CE229" ca="1" si="2675">COUNTIF($M$226:$M$229,CD229)*$D$27</f>
        <v>0</v>
      </c>
      <c r="CF229" s="64"/>
      <c r="CG229" s="80" t="s">
        <v>1256</v>
      </c>
      <c r="CH229" s="81">
        <f t="shared" ref="CH229" ca="1" si="2676">COUNTIF($M$226:$M$229,CG229)*$D$27</f>
        <v>30</v>
      </c>
      <c r="CI229" s="64"/>
      <c r="CJ229" s="80" t="s">
        <v>1256</v>
      </c>
      <c r="CK229" s="81">
        <f t="shared" ref="CK229" ca="1" si="2677">COUNTIF($M$226:$M$229,CJ229)*$D$27</f>
        <v>30</v>
      </c>
      <c r="CL229" s="64"/>
      <c r="CM229" s="80" t="s">
        <v>79</v>
      </c>
      <c r="CN229" s="81">
        <f t="shared" ref="CN229" ca="1" si="2678">COUNTIF($M$226:$M$229,CM229)*$D$27</f>
        <v>0</v>
      </c>
      <c r="CO229" s="64"/>
      <c r="CP229" s="80" t="s">
        <v>79</v>
      </c>
      <c r="CQ229" s="81">
        <f t="shared" ref="CQ229" ca="1" si="2679">COUNTIF($M$226:$M$229,CP229)*$D$27</f>
        <v>0</v>
      </c>
      <c r="CR229" s="64"/>
      <c r="CS229" s="80" t="s">
        <v>79</v>
      </c>
      <c r="CT229" s="81">
        <f t="shared" ref="CT229" ca="1" si="2680">COUNTIF($M$226:$M$229,CS229)*$D$27</f>
        <v>0</v>
      </c>
      <c r="CU229" s="64"/>
      <c r="CV229" s="80" t="s">
        <v>1256</v>
      </c>
      <c r="CW229" s="81">
        <f t="shared" ref="CW229" ca="1" si="2681">COUNTIF($M$226:$M$229,CV229)*$D$27</f>
        <v>30</v>
      </c>
      <c r="CX229" s="64"/>
      <c r="CY229" s="80" t="s">
        <v>1318</v>
      </c>
      <c r="CZ229" s="81">
        <f t="shared" ref="CZ229" ca="1" si="2682">COUNTIF($M$226:$M$229,CY229)*$D$27</f>
        <v>0</v>
      </c>
      <c r="DA229" s="64"/>
      <c r="DB229" s="80" t="s">
        <v>1256</v>
      </c>
      <c r="DC229" s="81">
        <f t="shared" ref="DC229" ca="1" si="2683">COUNTIF($M$226:$M$229,DB229)*$D$27</f>
        <v>30</v>
      </c>
      <c r="DD229" s="64"/>
      <c r="DE229" s="80" t="s">
        <v>79</v>
      </c>
      <c r="DF229" s="81">
        <f t="shared" ref="DF229" ca="1" si="2684">COUNTIF($M$226:$M$229,DE229)*$D$27</f>
        <v>0</v>
      </c>
      <c r="DG229" s="64"/>
      <c r="DH229" s="80" t="s">
        <v>1256</v>
      </c>
      <c r="DI229" s="81">
        <f t="shared" ref="DI229" ca="1" si="2685">COUNTIF($M$226:$M$229,DH229)*$D$27</f>
        <v>30</v>
      </c>
      <c r="DJ229" s="64"/>
      <c r="DK229" s="80" t="s">
        <v>79</v>
      </c>
      <c r="DL229" s="81">
        <f t="shared" ref="DL229" ca="1" si="2686">COUNTIF($M$226:$M$229,DK229)*$D$27</f>
        <v>0</v>
      </c>
      <c r="DM229" s="64"/>
      <c r="DN229" s="80" t="s">
        <v>1256</v>
      </c>
      <c r="DO229" s="81">
        <f t="shared" ref="DO229" ca="1" si="2687">COUNTIF($M$226:$M$229,DN229)*$D$27</f>
        <v>30</v>
      </c>
      <c r="DP229" s="64"/>
      <c r="DQ229" s="80" t="s">
        <v>79</v>
      </c>
      <c r="DR229" s="81">
        <f t="shared" ref="DR229" ca="1" si="2688">COUNTIF($M$226:$M$229,DQ229)*$D$27</f>
        <v>0</v>
      </c>
      <c r="DS229" s="64"/>
      <c r="DT229" s="80" t="s">
        <v>79</v>
      </c>
      <c r="DU229" s="81">
        <f t="shared" ref="DU229" ca="1" si="2689">COUNTIF($M$226:$M$229,DT229)*$D$27</f>
        <v>0</v>
      </c>
      <c r="DV229" s="64"/>
      <c r="DW229" s="80" t="s">
        <v>79</v>
      </c>
      <c r="DX229" s="81">
        <f t="shared" ref="DX229" ca="1" si="2690">COUNTIF($M$226:$M$229,DW229)*$D$27</f>
        <v>0</v>
      </c>
      <c r="DY229" s="64"/>
      <c r="DZ229" s="80" t="s">
        <v>1256</v>
      </c>
      <c r="EA229" s="81">
        <f t="shared" ref="EA229" ca="1" si="2691">COUNTIF($M$226:$M$229,DZ229)*$D$27</f>
        <v>30</v>
      </c>
      <c r="EB229" s="64"/>
      <c r="EC229" s="80" t="s">
        <v>1256</v>
      </c>
      <c r="ED229" s="81">
        <f t="shared" ref="ED229" ca="1" si="2692">COUNTIF($M$226:$M$229,EC229)*$D$27</f>
        <v>30</v>
      </c>
      <c r="EE229" s="64"/>
      <c r="EF229" s="80" t="s">
        <v>79</v>
      </c>
      <c r="EG229" s="81">
        <f t="shared" ref="EG229" ca="1" si="2693">COUNTIF($M$226:$M$229,EF229)*$D$27</f>
        <v>0</v>
      </c>
      <c r="EH229" s="64"/>
      <c r="EI229" s="80" t="s">
        <v>79</v>
      </c>
      <c r="EJ229" s="81">
        <f t="shared" ref="EJ229" ca="1" si="2694">COUNTIF($M$226:$M$229,EI229)*$D$27</f>
        <v>0</v>
      </c>
      <c r="EK229" s="64"/>
      <c r="EL229" s="80" t="s">
        <v>79</v>
      </c>
      <c r="EM229" s="81">
        <f t="shared" ref="EM229" ca="1" si="2695">COUNTIF($M$226:$M$229,EL229)*$D$27</f>
        <v>0</v>
      </c>
      <c r="EN229" s="64"/>
      <c r="EO229" s="80" t="s">
        <v>79</v>
      </c>
      <c r="EP229" s="81">
        <f t="shared" ref="EP229" ca="1" si="2696">COUNTIF($M$226:$M$229,EO229)*$D$27</f>
        <v>0</v>
      </c>
      <c r="EQ229" s="64"/>
      <c r="ER229" s="80" t="s">
        <v>1256</v>
      </c>
      <c r="ES229" s="81">
        <f t="shared" ref="ES229" ca="1" si="2697">COUNTIF($M$226:$M$229,ER229)*$D$27</f>
        <v>30</v>
      </c>
      <c r="ET229" s="64"/>
      <c r="EU229" s="80" t="s">
        <v>299</v>
      </c>
      <c r="EV229" s="81">
        <f t="shared" ref="EV229" ca="1" si="2698">COUNTIF($M$226:$M$229,EU229)*$D$27</f>
        <v>0</v>
      </c>
      <c r="EW229" s="64"/>
      <c r="EX229" s="80" t="s">
        <v>79</v>
      </c>
      <c r="EY229" s="81">
        <f t="shared" ref="EY229" ca="1" si="2699">COUNTIF($M$226:$M$229,EX229)*$D$27</f>
        <v>0</v>
      </c>
      <c r="EZ229" s="64"/>
      <c r="FA229" s="80" t="s">
        <v>79</v>
      </c>
      <c r="FB229" s="81">
        <f t="shared" ref="FB229" ca="1" si="2700">COUNTIF($M$226:$M$229,FA229)*$D$27</f>
        <v>0</v>
      </c>
      <c r="FC229" s="64"/>
      <c r="FD229" s="80" t="s">
        <v>1256</v>
      </c>
      <c r="FE229" s="81">
        <f t="shared" ref="FE229" ca="1" si="2701">COUNTIF($M$226:$M$229,FD229)*$D$27</f>
        <v>30</v>
      </c>
      <c r="FF229" s="64"/>
      <c r="FG229" s="80" t="s">
        <v>79</v>
      </c>
      <c r="FH229" s="81">
        <f t="shared" ref="FH229" ca="1" si="2702">COUNTIF($M$226:$M$229,FG229)*$D$27</f>
        <v>0</v>
      </c>
      <c r="FI229" s="64"/>
      <c r="FJ229" s="80" t="s">
        <v>79</v>
      </c>
      <c r="FK229" s="81">
        <f t="shared" ref="FK229" ca="1" si="2703">COUNTIF($M$226:$M$229,FJ229)*$D$27</f>
        <v>0</v>
      </c>
      <c r="FL229" s="64"/>
      <c r="FM229" s="80" t="s">
        <v>79</v>
      </c>
      <c r="FN229" s="81">
        <f t="shared" ref="FN229" ca="1" si="2704">COUNTIF($M$226:$M$229,FM229)*$D$27</f>
        <v>0</v>
      </c>
      <c r="FO229" s="64"/>
      <c r="FP229" s="80" t="s">
        <v>79</v>
      </c>
      <c r="FQ229" s="81">
        <f t="shared" ref="FQ229" ca="1" si="2705">COUNTIF($M$226:$M$229,FP229)*$D$27</f>
        <v>0</v>
      </c>
      <c r="FR229" s="64"/>
      <c r="FS229" s="80" t="s">
        <v>1256</v>
      </c>
      <c r="FT229" s="81">
        <f t="shared" ref="FT229" ca="1" si="2706">COUNTIF($M$226:$M$229,FS229)*$D$27</f>
        <v>30</v>
      </c>
      <c r="FU229" s="64"/>
      <c r="FV229" s="80" t="s">
        <v>1256</v>
      </c>
      <c r="FW229" s="81">
        <f t="shared" ref="FW229" ca="1" si="2707">COUNTIF($M$226:$M$229,FV229)*$D$27</f>
        <v>30</v>
      </c>
      <c r="FX229" s="64"/>
      <c r="FY229" s="80" t="s">
        <v>79</v>
      </c>
      <c r="FZ229" s="81">
        <f t="shared" ref="FZ229" ca="1" si="2708">COUNTIF($M$226:$M$229,FY229)*$D$27</f>
        <v>0</v>
      </c>
      <c r="GA229" s="64"/>
      <c r="GB229" s="80" t="s">
        <v>1256</v>
      </c>
      <c r="GC229" s="81">
        <f t="shared" ref="GC229" ca="1" si="2709">COUNTIF($M$226:$M$229,GB229)*$D$27</f>
        <v>30</v>
      </c>
      <c r="GD229" s="64"/>
      <c r="GE229" s="80" t="s">
        <v>1256</v>
      </c>
      <c r="GF229" s="81">
        <f t="shared" ref="GF229" ca="1" si="2710">COUNTIF($M$226:$M$229,GE229)*$D$27</f>
        <v>30</v>
      </c>
      <c r="GG229" s="64"/>
      <c r="GH229" s="80" t="s">
        <v>79</v>
      </c>
      <c r="GI229" s="81">
        <f t="shared" ref="GI229" ca="1" si="2711">COUNTIF($M$226:$M$229,GH229)*$D$27</f>
        <v>0</v>
      </c>
      <c r="GJ229" s="64"/>
      <c r="GK229" s="80" t="s">
        <v>79</v>
      </c>
      <c r="GL229" s="81">
        <f t="shared" ref="GL229" ca="1" si="2712">COUNTIF($M$226:$M$229,GK229)*$D$27</f>
        <v>0</v>
      </c>
      <c r="GM229" s="64"/>
      <c r="GN229" s="80"/>
      <c r="GO229" s="81">
        <f t="shared" ref="GO229" ca="1" si="2713">COUNTIF($M$226:$M$229,GN229)*$D$27</f>
        <v>0</v>
      </c>
      <c r="GP229" s="64"/>
      <c r="GQ229" s="80"/>
      <c r="GR229" s="81">
        <f t="shared" ref="GR229" ca="1" si="2714">COUNTIF($M$226:$M$229,GQ229)*$D$27</f>
        <v>0</v>
      </c>
      <c r="GS229" s="64"/>
      <c r="GT229" s="80"/>
      <c r="GU229" s="81">
        <f t="shared" ref="GU229" ca="1" si="2715">COUNTIF($M$226:$M$229,GT229)*$D$27</f>
        <v>0</v>
      </c>
      <c r="GV229" s="64"/>
      <c r="GW229" s="80"/>
      <c r="GX229" s="81">
        <f t="shared" ref="GX229" ca="1" si="2716">COUNTIF($M$226:$M$229,GW229)*$D$27</f>
        <v>0</v>
      </c>
      <c r="GY229" s="64"/>
      <c r="GZ229" s="80"/>
      <c r="HA229" s="81">
        <f t="shared" ref="HA229" ca="1" si="2717">COUNTIF($M$226:$M$229,GZ229)*$D$27</f>
        <v>0</v>
      </c>
      <c r="HB229" s="64"/>
      <c r="HC229" s="80"/>
      <c r="HD229" s="81">
        <f t="shared" ref="HD229" ca="1" si="2718">COUNTIF($M$226:$M$229,HC229)*$D$27</f>
        <v>0</v>
      </c>
      <c r="HE229" s="64"/>
      <c r="HF229" s="80"/>
      <c r="HG229" s="81">
        <f t="shared" ref="HG229" ca="1" si="2719">COUNTIF($M$226:$M$229,HF229)*$D$27</f>
        <v>0</v>
      </c>
      <c r="HH229" s="64"/>
      <c r="HI229" s="80"/>
      <c r="HJ229" s="81">
        <f t="shared" ref="HJ229" ca="1" si="2720">COUNTIF($M$226:$M$229,HI229)*$D$27</f>
        <v>0</v>
      </c>
      <c r="HK229" s="64"/>
      <c r="HL229" s="80"/>
      <c r="HM229" s="81">
        <f t="shared" ref="HM229" ca="1" si="2721">COUNTIF($M$226:$M$229,HL229)*$D$27</f>
        <v>0</v>
      </c>
      <c r="HN229" s="64"/>
      <c r="HO229" s="80"/>
      <c r="HP229" s="81">
        <f t="shared" ref="HP229" ca="1" si="2722">COUNTIF($M$226:$M$229,HO229)*$D$27</f>
        <v>0</v>
      </c>
      <c r="HQ229" s="64"/>
      <c r="HR229" s="80"/>
      <c r="HS229" s="81">
        <f t="shared" ref="HS229" ca="1" si="2723">COUNTIF($M$226:$M$229,HR229)*$D$27</f>
        <v>0</v>
      </c>
      <c r="HT229" s="64"/>
      <c r="HU229" s="80"/>
      <c r="HV229" s="81">
        <f t="shared" ref="HV229" ca="1" si="2724">COUNTIF($M$226:$M$229,HU229)*$D$27</f>
        <v>0</v>
      </c>
      <c r="HW229" s="64"/>
      <c r="HX229" s="80"/>
      <c r="HY229" s="81">
        <f t="shared" ref="HY229" ca="1" si="2725">COUNTIF($M$226:$M$229,HX229)*$D$27</f>
        <v>0</v>
      </c>
      <c r="HZ229" s="64"/>
      <c r="IA229" s="80"/>
      <c r="IB229" s="81">
        <f t="shared" ref="IB229" ca="1" si="2726">COUNTIF($M$226:$M$229,IA229)*$D$27</f>
        <v>0</v>
      </c>
      <c r="IC229" s="64"/>
      <c r="ID229" s="80"/>
      <c r="IE229" s="81">
        <f t="shared" ref="IE229" ca="1" si="2727">COUNTIF($M$226:$M$229,ID229)*$D$27</f>
        <v>0</v>
      </c>
      <c r="IF229" s="64"/>
      <c r="IG229" s="80"/>
      <c r="IH229" s="81">
        <f t="shared" ref="IH229" ca="1" si="2728">COUNTIF($M$226:$M$229,IG229)*$D$27</f>
        <v>0</v>
      </c>
      <c r="II229" s="64"/>
      <c r="IJ229" s="80"/>
      <c r="IK229" s="81">
        <f t="shared" ref="IK229" ca="1" si="2729">COUNTIF($M$226:$M$229,IJ229)*$D$27</f>
        <v>0</v>
      </c>
      <c r="IL229" s="64"/>
      <c r="IM229" s="80"/>
      <c r="IN229" s="81">
        <f t="shared" ref="IN229" ca="1" si="2730">COUNTIF($M$226:$M$229,IM229)*$D$27</f>
        <v>0</v>
      </c>
      <c r="IO229" s="64"/>
      <c r="IP229" s="80"/>
      <c r="IQ229" s="81">
        <f t="shared" ref="IQ229" ca="1" si="2731">COUNTIF($M$226:$M$229,IP229)*$D$27</f>
        <v>0</v>
      </c>
      <c r="IR229" s="64"/>
      <c r="IS229" s="80"/>
      <c r="IT229" s="81">
        <f t="shared" ref="IT229" ca="1" si="2732">COUNTIF($M$226:$M$229,IS229)*$D$27</f>
        <v>0</v>
      </c>
      <c r="IU229" s="64"/>
      <c r="IV229" s="80"/>
      <c r="IW229" s="81">
        <f t="shared" ref="IW229" ca="1" si="2733">COUNTIF($M$226:$M$229,IV229)*$D$27</f>
        <v>0</v>
      </c>
      <c r="IX229" s="64"/>
      <c r="IY229" s="80"/>
      <c r="IZ229" s="81">
        <f t="shared" ref="IZ229" ca="1" si="2734">COUNTIF($M$226:$M$229,IY229)*$D$27</f>
        <v>0</v>
      </c>
      <c r="JA229" s="64"/>
      <c r="JB229" s="80"/>
      <c r="JC229" s="81">
        <f t="shared" ref="JC229" ca="1" si="2735">COUNTIF($M$226:$M$229,JB229)*$D$27</f>
        <v>0</v>
      </c>
      <c r="JD229" s="64"/>
      <c r="JE229" s="80"/>
      <c r="JF229" s="81">
        <f t="shared" ref="JF229" ca="1" si="2736">COUNTIF($M$226:$M$229,JE229)*$D$27</f>
        <v>0</v>
      </c>
      <c r="JG229" s="64"/>
      <c r="JH229" s="80"/>
      <c r="JI229" s="81">
        <f t="shared" ref="JI229" ca="1" si="2737">COUNTIF($M$226:$M$229,JH229)*$D$27</f>
        <v>0</v>
      </c>
      <c r="JJ229" s="64"/>
      <c r="JK229" s="80"/>
      <c r="JL229" s="81">
        <f t="shared" ref="JL229" ca="1" si="2738">COUNTIF($M$226:$M$229,JK229)*$D$27</f>
        <v>0</v>
      </c>
      <c r="JM229" s="64"/>
      <c r="JN229" s="80"/>
      <c r="JO229" s="81">
        <f t="shared" ref="JO229" ca="1" si="2739">COUNTIF($M$226:$M$229,JN229)*$D$27</f>
        <v>0</v>
      </c>
      <c r="JP229" s="64"/>
      <c r="JQ229" s="80"/>
      <c r="JR229" s="81">
        <f t="shared" ref="JR229" ca="1" si="2740">COUNTIF($M$226:$M$229,JQ229)*$D$27</f>
        <v>0</v>
      </c>
      <c r="JS229" s="64"/>
      <c r="JT229" s="80"/>
      <c r="JU229" s="81">
        <f t="shared" ref="JU229" ca="1" si="2741">COUNTIF($M$226:$M$229,JT229)*$D$27</f>
        <v>0</v>
      </c>
      <c r="JV229" s="64"/>
      <c r="JW229" s="80"/>
      <c r="JX229" s="81">
        <f t="shared" ref="JX229" ca="1" si="2742">COUNTIF($M$226:$M$229,JW229)*$D$27</f>
        <v>0</v>
      </c>
      <c r="JY229" s="64"/>
      <c r="JZ229" s="80"/>
      <c r="KA229" s="81">
        <f t="shared" ref="KA229" ca="1" si="2743">COUNTIF($M$226:$M$229,JZ229)*$D$27</f>
        <v>0</v>
      </c>
      <c r="KB229" s="64"/>
      <c r="KC229" s="80"/>
      <c r="KD229" s="81">
        <f t="shared" ref="KD229" ca="1" si="2744">COUNTIF($M$226:$M$229,KC229)*$D$27</f>
        <v>0</v>
      </c>
      <c r="KE229" s="64"/>
      <c r="KF229" s="80"/>
      <c r="KG229" s="81">
        <f t="shared" ref="KG229" ca="1" si="2745">COUNTIF($M$226:$M$229,KF229)*$D$27</f>
        <v>0</v>
      </c>
      <c r="KH229" s="64"/>
      <c r="KI229" s="80"/>
      <c r="KJ229" s="81">
        <f t="shared" ref="KJ229" ca="1" si="2746">COUNTIF($M$226:$M$229,KI229)*$D$27</f>
        <v>0</v>
      </c>
      <c r="KK229" s="64"/>
      <c r="KL229" s="80"/>
      <c r="KM229" s="81">
        <f t="shared" ref="KM229" ca="1" si="2747">COUNTIF($M$226:$M$229,KL229)*$D$27</f>
        <v>0</v>
      </c>
      <c r="KN229" s="64"/>
      <c r="KO229" s="80"/>
      <c r="KP229" s="81">
        <f t="shared" ref="KP229" ca="1" si="2748">COUNTIF($M$226:$M$229,KO229)*$D$27</f>
        <v>0</v>
      </c>
      <c r="KQ229" s="64"/>
      <c r="KR229" s="80"/>
      <c r="KS229" s="81">
        <f t="shared" ref="KS229" ca="1" si="2749">COUNTIF($M$226:$M$229,KR229)*$D$27</f>
        <v>0</v>
      </c>
      <c r="KT229" s="64"/>
      <c r="KU229" s="80"/>
      <c r="KV229" s="81">
        <f t="shared" ref="KV229" ca="1" si="2750">COUNTIF($M$226:$M$229,KU229)*$D$27</f>
        <v>0</v>
      </c>
      <c r="KW229" s="64"/>
      <c r="KX229" s="80"/>
      <c r="KY229" s="81">
        <f t="shared" ref="KY229" ca="1" si="2751">COUNTIF($M$226:$M$229,KX229)*$D$27</f>
        <v>0</v>
      </c>
      <c r="KZ229" s="64"/>
      <c r="LA229" s="80"/>
      <c r="LB229" s="81">
        <f t="shared" ref="LB229" ca="1" si="2752">COUNTIF($M$226:$M$229,LA229)*$D$27</f>
        <v>0</v>
      </c>
      <c r="LC229" s="64"/>
      <c r="LD229" s="80"/>
      <c r="LE229" s="81">
        <f t="shared" ref="LE229" ca="1" si="2753">COUNTIF($M$226:$M$229,LD229)*$D$27</f>
        <v>0</v>
      </c>
      <c r="LF229" s="64"/>
      <c r="LG229" s="64"/>
    </row>
    <row r="230" spans="1:319">
      <c r="A230" s="25"/>
      <c r="B230" s="25"/>
      <c r="C230" s="25"/>
      <c r="D230" s="25"/>
      <c r="E230" s="25"/>
      <c r="F230" s="407"/>
      <c r="G230" s="407"/>
      <c r="H230" s="65"/>
      <c r="I230" s="50"/>
      <c r="J230" s="94"/>
      <c r="K230" s="434" t="str">
        <f>Idiomas!D463</f>
        <v>SF Teams</v>
      </c>
      <c r="L230" s="435"/>
      <c r="M230" s="434" t="str">
        <f ca="1">"Max: "&amp;$D$27*COUNT(T226:T229)</f>
        <v>Max: 120</v>
      </c>
      <c r="N230" s="25"/>
      <c r="O230" s="25"/>
      <c r="P230" s="25"/>
      <c r="Q230" s="25"/>
      <c r="R230" s="49"/>
      <c r="S230" s="84"/>
      <c r="T230" s="71">
        <f ca="1">SUM(T226:T229)</f>
        <v>30</v>
      </c>
      <c r="U230" s="65"/>
      <c r="V230" s="84"/>
      <c r="W230" s="71">
        <f t="shared" ref="W230" ca="1" si="2754">SUM(W226:W229)</f>
        <v>60</v>
      </c>
      <c r="X230" s="65"/>
      <c r="Y230" s="84"/>
      <c r="Z230" s="71">
        <f t="shared" ref="Z230" ca="1" si="2755">SUM(Z226:Z229)</f>
        <v>0</v>
      </c>
      <c r="AA230" s="65"/>
      <c r="AB230" s="84"/>
      <c r="AC230" s="71">
        <f t="shared" ref="AC230" ca="1" si="2756">SUM(AC226:AC229)</f>
        <v>90</v>
      </c>
      <c r="AD230" s="65"/>
      <c r="AE230" s="84"/>
      <c r="AF230" s="71">
        <f t="shared" ref="AF230" ca="1" si="2757">SUM(AF226:AF229)</f>
        <v>90</v>
      </c>
      <c r="AG230" s="65"/>
      <c r="AH230" s="84"/>
      <c r="AI230" s="71">
        <f t="shared" ref="AI230" ca="1" si="2758">SUM(AI226:AI229)</f>
        <v>30</v>
      </c>
      <c r="AJ230" s="65"/>
      <c r="AK230" s="84"/>
      <c r="AL230" s="71">
        <f t="shared" ref="AL230" ca="1" si="2759">SUM(AL226:AL229)</f>
        <v>90</v>
      </c>
      <c r="AM230" s="65"/>
      <c r="AN230" s="84"/>
      <c r="AO230" s="71">
        <f t="shared" ref="AO230" ca="1" si="2760">SUM(AO226:AO229)</f>
        <v>0</v>
      </c>
      <c r="AP230" s="65"/>
      <c r="AQ230" s="84"/>
      <c r="AR230" s="71">
        <f t="shared" ref="AR230" ca="1" si="2761">SUM(AR226:AR229)</f>
        <v>60</v>
      </c>
      <c r="AS230" s="65"/>
      <c r="AT230" s="84"/>
      <c r="AU230" s="71">
        <f t="shared" ref="AU230" ca="1" si="2762">SUM(AU226:AU229)</f>
        <v>60</v>
      </c>
      <c r="AV230" s="65"/>
      <c r="AW230" s="84"/>
      <c r="AX230" s="71">
        <f t="shared" ref="AX230" ca="1" si="2763">SUM(AX226:AX229)</f>
        <v>60</v>
      </c>
      <c r="AY230" s="65"/>
      <c r="AZ230" s="84"/>
      <c r="BA230" s="71">
        <f t="shared" ref="BA230" ca="1" si="2764">SUM(BA226:BA229)</f>
        <v>90</v>
      </c>
      <c r="BB230" s="65"/>
      <c r="BC230" s="84"/>
      <c r="BD230" s="71">
        <f t="shared" ref="BD230" ca="1" si="2765">SUM(BD226:BD229)</f>
        <v>90</v>
      </c>
      <c r="BE230" s="65"/>
      <c r="BF230" s="84"/>
      <c r="BG230" s="71">
        <f t="shared" ref="BG230" ca="1" si="2766">SUM(BG226:BG229)</f>
        <v>60</v>
      </c>
      <c r="BH230" s="65"/>
      <c r="BI230" s="84"/>
      <c r="BJ230" s="71">
        <f t="shared" ref="BJ230" ca="1" si="2767">SUM(BJ226:BJ229)</f>
        <v>60</v>
      </c>
      <c r="BK230" s="65"/>
      <c r="BL230" s="84"/>
      <c r="BM230" s="71">
        <f t="shared" ref="BM230" ca="1" si="2768">SUM(BM226:BM229)</f>
        <v>120</v>
      </c>
      <c r="BN230" s="65"/>
      <c r="BO230" s="84"/>
      <c r="BP230" s="71">
        <f t="shared" ref="BP230" ca="1" si="2769">SUM(BP226:BP229)</f>
        <v>120</v>
      </c>
      <c r="BQ230" s="65"/>
      <c r="BR230" s="84"/>
      <c r="BS230" s="71">
        <f t="shared" ref="BS230" ca="1" si="2770">SUM(BS226:BS229)</f>
        <v>90</v>
      </c>
      <c r="BT230" s="65"/>
      <c r="BU230" s="84"/>
      <c r="BV230" s="71">
        <f t="shared" ref="BV230" ca="1" si="2771">SUM(BV226:BV229)</f>
        <v>90</v>
      </c>
      <c r="BW230" s="65"/>
      <c r="BX230" s="84"/>
      <c r="BY230" s="71">
        <f t="shared" ref="BY230" ca="1" si="2772">SUM(BY226:BY229)</f>
        <v>30</v>
      </c>
      <c r="BZ230" s="65"/>
      <c r="CA230" s="84"/>
      <c r="CB230" s="71">
        <f t="shared" ref="CB230" ca="1" si="2773">SUM(CB226:CB229)</f>
        <v>90</v>
      </c>
      <c r="CC230" s="65"/>
      <c r="CD230" s="84"/>
      <c r="CE230" s="71">
        <f t="shared" ref="CE230" ca="1" si="2774">SUM(CE226:CE229)</f>
        <v>60</v>
      </c>
      <c r="CF230" s="65"/>
      <c r="CG230" s="84"/>
      <c r="CH230" s="71">
        <f t="shared" ref="CH230" ca="1" si="2775">SUM(CH226:CH229)</f>
        <v>120</v>
      </c>
      <c r="CI230" s="65"/>
      <c r="CJ230" s="84"/>
      <c r="CK230" s="71">
        <f t="shared" ref="CK230" ca="1" si="2776">SUM(CK226:CK229)</f>
        <v>90</v>
      </c>
      <c r="CL230" s="65"/>
      <c r="CM230" s="84"/>
      <c r="CN230" s="71">
        <f t="shared" ref="CN230" ca="1" si="2777">SUM(CN226:CN229)</f>
        <v>60</v>
      </c>
      <c r="CO230" s="65"/>
      <c r="CP230" s="84"/>
      <c r="CQ230" s="71">
        <f t="shared" ref="CQ230" ca="1" si="2778">SUM(CQ226:CQ229)</f>
        <v>30</v>
      </c>
      <c r="CR230" s="65"/>
      <c r="CS230" s="84"/>
      <c r="CT230" s="71">
        <f t="shared" ref="CT230" ca="1" si="2779">SUM(CT226:CT229)</f>
        <v>30</v>
      </c>
      <c r="CU230" s="65"/>
      <c r="CV230" s="84"/>
      <c r="CW230" s="71">
        <f t="shared" ref="CW230" ca="1" si="2780">SUM(CW226:CW229)</f>
        <v>60</v>
      </c>
      <c r="CX230" s="65"/>
      <c r="CY230" s="84"/>
      <c r="CZ230" s="71">
        <f t="shared" ref="CZ230" ca="1" si="2781">SUM(CZ226:CZ229)</f>
        <v>60</v>
      </c>
      <c r="DA230" s="65"/>
      <c r="DB230" s="84"/>
      <c r="DC230" s="71">
        <f t="shared" ref="DC230" ca="1" si="2782">SUM(DC226:DC229)</f>
        <v>120</v>
      </c>
      <c r="DD230" s="65"/>
      <c r="DE230" s="84"/>
      <c r="DF230" s="71">
        <f t="shared" ref="DF230" ca="1" si="2783">SUM(DF226:DF229)</f>
        <v>60</v>
      </c>
      <c r="DG230" s="65"/>
      <c r="DH230" s="84"/>
      <c r="DI230" s="71">
        <f t="shared" ref="DI230" ca="1" si="2784">SUM(DI226:DI229)</f>
        <v>90</v>
      </c>
      <c r="DJ230" s="65"/>
      <c r="DK230" s="84"/>
      <c r="DL230" s="71">
        <f t="shared" ref="DL230" ca="1" si="2785">SUM(DL226:DL229)</f>
        <v>60</v>
      </c>
      <c r="DM230" s="65"/>
      <c r="DN230" s="84"/>
      <c r="DO230" s="71">
        <f t="shared" ref="DO230" ca="1" si="2786">SUM(DO226:DO229)</f>
        <v>90</v>
      </c>
      <c r="DP230" s="65"/>
      <c r="DQ230" s="84"/>
      <c r="DR230" s="71">
        <f t="shared" ref="DR230" ca="1" si="2787">SUM(DR226:DR229)</f>
        <v>90</v>
      </c>
      <c r="DS230" s="65"/>
      <c r="DT230" s="84"/>
      <c r="DU230" s="71">
        <f t="shared" ref="DU230" ca="1" si="2788">SUM(DU226:DU229)</f>
        <v>60</v>
      </c>
      <c r="DV230" s="65"/>
      <c r="DW230" s="84"/>
      <c r="DX230" s="71">
        <f t="shared" ref="DX230" ca="1" si="2789">SUM(DX226:DX229)</f>
        <v>90</v>
      </c>
      <c r="DY230" s="65"/>
      <c r="DZ230" s="84"/>
      <c r="EA230" s="71">
        <f t="shared" ref="EA230" ca="1" si="2790">SUM(EA226:EA229)</f>
        <v>90</v>
      </c>
      <c r="EB230" s="65"/>
      <c r="EC230" s="84"/>
      <c r="ED230" s="71">
        <f t="shared" ref="ED230" ca="1" si="2791">SUM(ED226:ED229)</f>
        <v>90</v>
      </c>
      <c r="EE230" s="65"/>
      <c r="EF230" s="84"/>
      <c r="EG230" s="71">
        <f t="shared" ref="EG230" ca="1" si="2792">SUM(EG226:EG229)</f>
        <v>0</v>
      </c>
      <c r="EH230" s="65"/>
      <c r="EI230" s="84"/>
      <c r="EJ230" s="71">
        <f t="shared" ref="EJ230" ca="1" si="2793">SUM(EJ226:EJ229)</f>
        <v>90</v>
      </c>
      <c r="EK230" s="65"/>
      <c r="EL230" s="84"/>
      <c r="EM230" s="71">
        <f t="shared" ref="EM230" ca="1" si="2794">SUM(EM226:EM229)</f>
        <v>90</v>
      </c>
      <c r="EN230" s="65"/>
      <c r="EO230" s="84"/>
      <c r="EP230" s="71">
        <f t="shared" ref="EP230" ca="1" si="2795">SUM(EP226:EP229)</f>
        <v>90</v>
      </c>
      <c r="EQ230" s="65"/>
      <c r="ER230" s="84"/>
      <c r="ES230" s="71">
        <f t="shared" ref="ES230" ca="1" si="2796">SUM(ES226:ES229)</f>
        <v>90</v>
      </c>
      <c r="ET230" s="65"/>
      <c r="EU230" s="84"/>
      <c r="EV230" s="71">
        <f t="shared" ref="EV230" ca="1" si="2797">SUM(EV226:EV229)</f>
        <v>90</v>
      </c>
      <c r="EW230" s="65"/>
      <c r="EX230" s="84"/>
      <c r="EY230" s="71">
        <f t="shared" ref="EY230" ca="1" si="2798">SUM(EY226:EY229)</f>
        <v>60</v>
      </c>
      <c r="EZ230" s="65"/>
      <c r="FA230" s="84"/>
      <c r="FB230" s="71">
        <f t="shared" ref="FB230" ca="1" si="2799">SUM(FB226:FB229)</f>
        <v>60</v>
      </c>
      <c r="FC230" s="65"/>
      <c r="FD230" s="84"/>
      <c r="FE230" s="71">
        <f t="shared" ref="FE230" ca="1" si="2800">SUM(FE226:FE229)</f>
        <v>90</v>
      </c>
      <c r="FF230" s="65"/>
      <c r="FG230" s="84"/>
      <c r="FH230" s="71">
        <f t="shared" ref="FH230" ca="1" si="2801">SUM(FH226:FH229)</f>
        <v>90</v>
      </c>
      <c r="FI230" s="65"/>
      <c r="FJ230" s="84"/>
      <c r="FK230" s="71">
        <f t="shared" ref="FK230" ca="1" si="2802">SUM(FK226:FK229)</f>
        <v>60</v>
      </c>
      <c r="FL230" s="65"/>
      <c r="FM230" s="84"/>
      <c r="FN230" s="71">
        <f t="shared" ref="FN230" ca="1" si="2803">SUM(FN226:FN229)</f>
        <v>90</v>
      </c>
      <c r="FO230" s="65"/>
      <c r="FP230" s="84"/>
      <c r="FQ230" s="71">
        <f t="shared" ref="FQ230" ca="1" si="2804">SUM(FQ226:FQ229)</f>
        <v>60</v>
      </c>
      <c r="FR230" s="65"/>
      <c r="FS230" s="84"/>
      <c r="FT230" s="71">
        <f t="shared" ref="FT230" ca="1" si="2805">SUM(FT226:FT229)</f>
        <v>60</v>
      </c>
      <c r="FU230" s="65"/>
      <c r="FV230" s="84"/>
      <c r="FW230" s="71">
        <f t="shared" ref="FW230" ca="1" si="2806">SUM(FW226:FW229)</f>
        <v>90</v>
      </c>
      <c r="FX230" s="65"/>
      <c r="FY230" s="84"/>
      <c r="FZ230" s="71">
        <f t="shared" ref="FZ230" ca="1" si="2807">SUM(FZ226:FZ229)</f>
        <v>90</v>
      </c>
      <c r="GA230" s="65"/>
      <c r="GB230" s="84"/>
      <c r="GC230" s="71">
        <f t="shared" ref="GC230" ca="1" si="2808">SUM(GC226:GC229)</f>
        <v>90</v>
      </c>
      <c r="GD230" s="65"/>
      <c r="GE230" s="84"/>
      <c r="GF230" s="71">
        <f t="shared" ref="GF230" ca="1" si="2809">SUM(GF226:GF229)</f>
        <v>90</v>
      </c>
      <c r="GG230" s="65"/>
      <c r="GH230" s="84"/>
      <c r="GI230" s="71">
        <f t="shared" ref="GI230" ca="1" si="2810">SUM(GI226:GI229)</f>
        <v>60</v>
      </c>
      <c r="GJ230" s="65"/>
      <c r="GK230" s="84"/>
      <c r="GL230" s="71">
        <f t="shared" ref="GL230" ca="1" si="2811">SUM(GL226:GL229)</f>
        <v>60</v>
      </c>
      <c r="GM230" s="65"/>
      <c r="GN230" s="84"/>
      <c r="GO230" s="71">
        <f t="shared" ref="GO230" ca="1" si="2812">SUM(GO226:GO229)</f>
        <v>0</v>
      </c>
      <c r="GP230" s="65"/>
      <c r="GQ230" s="84"/>
      <c r="GR230" s="71">
        <f t="shared" ref="GR230" ca="1" si="2813">SUM(GR226:GR229)</f>
        <v>0</v>
      </c>
      <c r="GS230" s="65"/>
      <c r="GT230" s="84"/>
      <c r="GU230" s="71">
        <f t="shared" ref="GU230" ca="1" si="2814">SUM(GU226:GU229)</f>
        <v>0</v>
      </c>
      <c r="GV230" s="65"/>
      <c r="GW230" s="84"/>
      <c r="GX230" s="71">
        <f t="shared" ref="GX230" ca="1" si="2815">SUM(GX226:GX229)</f>
        <v>0</v>
      </c>
      <c r="GY230" s="65"/>
      <c r="GZ230" s="84"/>
      <c r="HA230" s="71">
        <f t="shared" ref="HA230" ca="1" si="2816">SUM(HA226:HA229)</f>
        <v>0</v>
      </c>
      <c r="HB230" s="65"/>
      <c r="HC230" s="84"/>
      <c r="HD230" s="71">
        <f t="shared" ref="HD230" ca="1" si="2817">SUM(HD226:HD229)</f>
        <v>0</v>
      </c>
      <c r="HE230" s="65"/>
      <c r="HF230" s="84"/>
      <c r="HG230" s="71">
        <f t="shared" ref="HG230" ca="1" si="2818">SUM(HG226:HG229)</f>
        <v>0</v>
      </c>
      <c r="HH230" s="65"/>
      <c r="HI230" s="84"/>
      <c r="HJ230" s="71">
        <f t="shared" ref="HJ230" ca="1" si="2819">SUM(HJ226:HJ229)</f>
        <v>0</v>
      </c>
      <c r="HK230" s="65"/>
      <c r="HL230" s="84"/>
      <c r="HM230" s="71">
        <f t="shared" ref="HM230" ca="1" si="2820">SUM(HM226:HM229)</f>
        <v>0</v>
      </c>
      <c r="HN230" s="65"/>
      <c r="HO230" s="84"/>
      <c r="HP230" s="71">
        <f t="shared" ref="HP230" ca="1" si="2821">SUM(HP226:HP229)</f>
        <v>0</v>
      </c>
      <c r="HQ230" s="65"/>
      <c r="HR230" s="84"/>
      <c r="HS230" s="71">
        <f t="shared" ref="HS230" ca="1" si="2822">SUM(HS226:HS229)</f>
        <v>0</v>
      </c>
      <c r="HT230" s="65"/>
      <c r="HU230" s="84"/>
      <c r="HV230" s="71">
        <f t="shared" ref="HV230" ca="1" si="2823">SUM(HV226:HV229)</f>
        <v>0</v>
      </c>
      <c r="HW230" s="65"/>
      <c r="HX230" s="84"/>
      <c r="HY230" s="71">
        <f t="shared" ref="HY230" ca="1" si="2824">SUM(HY226:HY229)</f>
        <v>0</v>
      </c>
      <c r="HZ230" s="65"/>
      <c r="IA230" s="84"/>
      <c r="IB230" s="71">
        <f t="shared" ref="IB230" ca="1" si="2825">SUM(IB226:IB229)</f>
        <v>0</v>
      </c>
      <c r="IC230" s="65"/>
      <c r="ID230" s="84"/>
      <c r="IE230" s="71">
        <f t="shared" ref="IE230" ca="1" si="2826">SUM(IE226:IE229)</f>
        <v>0</v>
      </c>
      <c r="IF230" s="65"/>
      <c r="IG230" s="84"/>
      <c r="IH230" s="71">
        <f t="shared" ref="IH230" ca="1" si="2827">SUM(IH226:IH229)</f>
        <v>0</v>
      </c>
      <c r="II230" s="65"/>
      <c r="IJ230" s="84"/>
      <c r="IK230" s="71">
        <f t="shared" ref="IK230" ca="1" si="2828">SUM(IK226:IK229)</f>
        <v>0</v>
      </c>
      <c r="IL230" s="65"/>
      <c r="IM230" s="84"/>
      <c r="IN230" s="71">
        <f t="shared" ref="IN230" ca="1" si="2829">SUM(IN226:IN229)</f>
        <v>0</v>
      </c>
      <c r="IO230" s="65"/>
      <c r="IP230" s="84"/>
      <c r="IQ230" s="71">
        <f t="shared" ref="IQ230" ca="1" si="2830">SUM(IQ226:IQ229)</f>
        <v>0</v>
      </c>
      <c r="IR230" s="65"/>
      <c r="IS230" s="84"/>
      <c r="IT230" s="71">
        <f t="shared" ref="IT230" ca="1" si="2831">SUM(IT226:IT229)</f>
        <v>0</v>
      </c>
      <c r="IU230" s="65"/>
      <c r="IV230" s="84"/>
      <c r="IW230" s="71">
        <f t="shared" ref="IW230" ca="1" si="2832">SUM(IW226:IW229)</f>
        <v>0</v>
      </c>
      <c r="IX230" s="65"/>
      <c r="IY230" s="84"/>
      <c r="IZ230" s="71">
        <f t="shared" ref="IZ230" ca="1" si="2833">SUM(IZ226:IZ229)</f>
        <v>0</v>
      </c>
      <c r="JA230" s="65"/>
      <c r="JB230" s="84"/>
      <c r="JC230" s="71">
        <f t="shared" ref="JC230" ca="1" si="2834">SUM(JC226:JC229)</f>
        <v>0</v>
      </c>
      <c r="JD230" s="65"/>
      <c r="JE230" s="84"/>
      <c r="JF230" s="71">
        <f t="shared" ref="JF230" ca="1" si="2835">SUM(JF226:JF229)</f>
        <v>0</v>
      </c>
      <c r="JG230" s="65"/>
      <c r="JH230" s="84"/>
      <c r="JI230" s="71">
        <f t="shared" ref="JI230" ca="1" si="2836">SUM(JI226:JI229)</f>
        <v>0</v>
      </c>
      <c r="JJ230" s="65"/>
      <c r="JK230" s="84"/>
      <c r="JL230" s="71">
        <f t="shared" ref="JL230" ca="1" si="2837">SUM(JL226:JL229)</f>
        <v>0</v>
      </c>
      <c r="JM230" s="65"/>
      <c r="JN230" s="84"/>
      <c r="JO230" s="71">
        <f t="shared" ref="JO230" ca="1" si="2838">SUM(JO226:JO229)</f>
        <v>0</v>
      </c>
      <c r="JP230" s="65"/>
      <c r="JQ230" s="84"/>
      <c r="JR230" s="71">
        <f t="shared" ref="JR230" ca="1" si="2839">SUM(JR226:JR229)</f>
        <v>0</v>
      </c>
      <c r="JS230" s="65"/>
      <c r="JT230" s="84"/>
      <c r="JU230" s="71">
        <f t="shared" ref="JU230" ca="1" si="2840">SUM(JU226:JU229)</f>
        <v>0</v>
      </c>
      <c r="JV230" s="65"/>
      <c r="JW230" s="84"/>
      <c r="JX230" s="71">
        <f t="shared" ref="JX230" ca="1" si="2841">SUM(JX226:JX229)</f>
        <v>0</v>
      </c>
      <c r="JY230" s="65"/>
      <c r="JZ230" s="84"/>
      <c r="KA230" s="71">
        <f t="shared" ref="KA230" ca="1" si="2842">SUM(KA226:KA229)</f>
        <v>0</v>
      </c>
      <c r="KB230" s="65"/>
      <c r="KC230" s="84"/>
      <c r="KD230" s="71">
        <f t="shared" ref="KD230" ca="1" si="2843">SUM(KD226:KD229)</f>
        <v>0</v>
      </c>
      <c r="KE230" s="65"/>
      <c r="KF230" s="84"/>
      <c r="KG230" s="71">
        <f t="shared" ref="KG230" ca="1" si="2844">SUM(KG226:KG229)</f>
        <v>0</v>
      </c>
      <c r="KH230" s="65"/>
      <c r="KI230" s="84"/>
      <c r="KJ230" s="71">
        <f t="shared" ref="KJ230" ca="1" si="2845">SUM(KJ226:KJ229)</f>
        <v>0</v>
      </c>
      <c r="KK230" s="65"/>
      <c r="KL230" s="84"/>
      <c r="KM230" s="71">
        <f t="shared" ref="KM230" ca="1" si="2846">SUM(KM226:KM229)</f>
        <v>0</v>
      </c>
      <c r="KN230" s="65"/>
      <c r="KO230" s="84"/>
      <c r="KP230" s="71">
        <f t="shared" ref="KP230" ca="1" si="2847">SUM(KP226:KP229)</f>
        <v>0</v>
      </c>
      <c r="KQ230" s="65"/>
      <c r="KR230" s="84"/>
      <c r="KS230" s="71">
        <f t="shared" ref="KS230" ca="1" si="2848">SUM(KS226:KS229)</f>
        <v>0</v>
      </c>
      <c r="KT230" s="65"/>
      <c r="KU230" s="84"/>
      <c r="KV230" s="71">
        <f t="shared" ref="KV230" ca="1" si="2849">SUM(KV226:KV229)</f>
        <v>0</v>
      </c>
      <c r="KW230" s="65"/>
      <c r="KX230" s="84"/>
      <c r="KY230" s="71">
        <f t="shared" ref="KY230" ca="1" si="2850">SUM(KY226:KY229)</f>
        <v>0</v>
      </c>
      <c r="KZ230" s="65"/>
      <c r="LA230" s="84"/>
      <c r="LB230" s="71">
        <f t="shared" ref="LB230" ca="1" si="2851">SUM(LB226:LB229)</f>
        <v>0</v>
      </c>
      <c r="LC230" s="65"/>
      <c r="LD230" s="84"/>
      <c r="LE230" s="71">
        <f t="shared" ref="LE230" ca="1" si="2852">SUM(LE226:LE229)</f>
        <v>0</v>
      </c>
      <c r="LF230" s="65"/>
      <c r="LG230" s="65"/>
    </row>
    <row r="231" spans="1:319">
      <c r="A231" s="25"/>
      <c r="B231" s="25"/>
      <c r="C231" s="25"/>
      <c r="D231" s="25"/>
      <c r="E231" s="25"/>
      <c r="F231" s="407"/>
      <c r="G231" s="407"/>
      <c r="H231" s="65"/>
      <c r="I231" s="52" t="s">
        <v>1578</v>
      </c>
      <c r="J231" s="94"/>
      <c r="K231" s="113" t="str">
        <f>Idiomas!D144</f>
        <v>SEMIFINALS</v>
      </c>
      <c r="L231" s="50"/>
      <c r="M231" s="71"/>
      <c r="N231" s="25"/>
      <c r="O231" s="25"/>
      <c r="P231" s="25"/>
      <c r="Q231" s="25"/>
      <c r="R231" s="49"/>
      <c r="S231" s="84"/>
      <c r="T231" s="71"/>
      <c r="U231" s="65"/>
      <c r="V231" s="84"/>
      <c r="W231" s="71"/>
      <c r="X231" s="65"/>
      <c r="Y231" s="84"/>
      <c r="Z231" s="71"/>
      <c r="AA231" s="65"/>
      <c r="AB231" s="767"/>
      <c r="AC231" s="111"/>
      <c r="AD231" s="111"/>
      <c r="AE231" s="84"/>
      <c r="AF231" s="71"/>
      <c r="AG231" s="65"/>
      <c r="AH231" s="84"/>
      <c r="AI231" s="71"/>
      <c r="AJ231" s="65"/>
      <c r="AK231" s="84"/>
      <c r="AL231" s="71"/>
      <c r="AM231" s="65"/>
      <c r="AN231" s="84"/>
      <c r="AO231" s="71"/>
      <c r="AP231" s="65"/>
      <c r="AQ231" s="84"/>
      <c r="AR231" s="71"/>
      <c r="AS231" s="65"/>
      <c r="AT231" s="84"/>
      <c r="AU231" s="71"/>
      <c r="AV231" s="65"/>
      <c r="AW231" s="84"/>
      <c r="AX231" s="71"/>
      <c r="AY231" s="65"/>
      <c r="AZ231" s="84"/>
      <c r="BA231" s="71"/>
      <c r="BB231" s="65"/>
      <c r="BC231" s="84"/>
      <c r="BD231" s="71"/>
      <c r="BE231" s="65"/>
      <c r="BF231" s="84"/>
      <c r="BG231" s="71"/>
      <c r="BH231" s="65"/>
      <c r="BI231" s="84"/>
      <c r="BJ231" s="71"/>
      <c r="BK231" s="65"/>
      <c r="BL231" s="84"/>
      <c r="BM231" s="71"/>
      <c r="BN231" s="65"/>
      <c r="BO231" s="84"/>
      <c r="BP231" s="71"/>
      <c r="BQ231" s="65"/>
      <c r="BR231" s="84"/>
      <c r="BS231" s="71"/>
      <c r="BT231" s="65"/>
      <c r="BU231" s="84"/>
      <c r="BV231" s="71"/>
      <c r="BW231" s="65"/>
      <c r="BX231" s="84"/>
      <c r="BY231" s="71"/>
      <c r="BZ231" s="65"/>
      <c r="CA231" s="84"/>
      <c r="CB231" s="71"/>
      <c r="CC231" s="65"/>
      <c r="CD231" s="84"/>
      <c r="CE231" s="71"/>
      <c r="CF231" s="65"/>
      <c r="CG231" s="84"/>
      <c r="CH231" s="71"/>
      <c r="CI231" s="65"/>
      <c r="CJ231" s="84"/>
      <c r="CK231" s="71"/>
      <c r="CL231" s="65"/>
      <c r="CM231" s="84"/>
      <c r="CN231" s="71"/>
      <c r="CO231" s="65"/>
      <c r="CP231" s="84"/>
      <c r="CQ231" s="71"/>
      <c r="CR231" s="65"/>
      <c r="CS231" s="84"/>
      <c r="CT231" s="71"/>
      <c r="CU231" s="65"/>
      <c r="CV231" s="84"/>
      <c r="CW231" s="71"/>
      <c r="CX231" s="65"/>
      <c r="CY231" s="84"/>
      <c r="CZ231" s="71"/>
      <c r="DA231" s="65"/>
      <c r="DB231" s="84"/>
      <c r="DC231" s="71"/>
      <c r="DD231" s="65"/>
      <c r="DE231" s="84"/>
      <c r="DF231" s="71"/>
      <c r="DG231" s="65"/>
      <c r="DH231" s="84"/>
      <c r="DI231" s="71"/>
      <c r="DJ231" s="65"/>
      <c r="DK231" s="84"/>
      <c r="DL231" s="71"/>
      <c r="DM231" s="65"/>
      <c r="DN231" s="84"/>
      <c r="DO231" s="71"/>
      <c r="DP231" s="65"/>
      <c r="DQ231" s="84"/>
      <c r="DR231" s="71"/>
      <c r="DS231" s="65"/>
      <c r="DT231" s="84"/>
      <c r="DU231" s="71"/>
      <c r="DV231" s="65"/>
      <c r="DW231" s="84"/>
      <c r="DX231" s="71"/>
      <c r="DY231" s="65"/>
      <c r="DZ231" s="84"/>
      <c r="EA231" s="71"/>
      <c r="EB231" s="65"/>
      <c r="EC231" s="84"/>
      <c r="ED231" s="71"/>
      <c r="EE231" s="65"/>
      <c r="EF231" s="84"/>
      <c r="EG231" s="71"/>
      <c r="EH231" s="65"/>
      <c r="EI231" s="84"/>
      <c r="EJ231" s="71"/>
      <c r="EK231" s="65"/>
      <c r="EL231" s="84"/>
      <c r="EM231" s="71"/>
      <c r="EN231" s="65"/>
      <c r="EO231" s="84"/>
      <c r="EP231" s="71"/>
      <c r="EQ231" s="65"/>
      <c r="ER231" s="84"/>
      <c r="ES231" s="71"/>
      <c r="ET231" s="65"/>
      <c r="EU231" s="84"/>
      <c r="EV231" s="71"/>
      <c r="EW231" s="65"/>
      <c r="EX231" s="84"/>
      <c r="EY231" s="71"/>
      <c r="EZ231" s="65"/>
      <c r="FA231" s="84"/>
      <c r="FB231" s="71"/>
      <c r="FC231" s="65"/>
      <c r="FD231" s="84"/>
      <c r="FE231" s="71"/>
      <c r="FF231" s="65"/>
      <c r="FG231" s="84"/>
      <c r="FH231" s="71"/>
      <c r="FI231" s="65"/>
      <c r="FJ231" s="84"/>
      <c r="FK231" s="71"/>
      <c r="FL231" s="65"/>
      <c r="FM231" s="84"/>
      <c r="FN231" s="71"/>
      <c r="FO231" s="65"/>
      <c r="FP231" s="84"/>
      <c r="FQ231" s="71"/>
      <c r="FR231" s="65"/>
      <c r="FS231" s="84"/>
      <c r="FT231" s="71"/>
      <c r="FU231" s="65"/>
      <c r="FV231" s="84"/>
      <c r="FW231" s="71"/>
      <c r="FX231" s="65"/>
      <c r="FY231" s="84"/>
      <c r="FZ231" s="71"/>
      <c r="GA231" s="65"/>
      <c r="GB231" s="84"/>
      <c r="GC231" s="71"/>
      <c r="GD231" s="65"/>
      <c r="GE231" s="84"/>
      <c r="GF231" s="71"/>
      <c r="GG231" s="65"/>
      <c r="GH231" s="84"/>
      <c r="GI231" s="71"/>
      <c r="GJ231" s="65"/>
      <c r="GK231" s="84"/>
      <c r="GL231" s="71"/>
      <c r="GM231" s="65"/>
      <c r="GN231" s="84"/>
      <c r="GO231" s="71"/>
      <c r="GP231" s="65"/>
      <c r="GQ231" s="84"/>
      <c r="GR231" s="71"/>
      <c r="GS231" s="65"/>
      <c r="GT231" s="84"/>
      <c r="GU231" s="71"/>
      <c r="GV231" s="65"/>
      <c r="GW231" s="84"/>
      <c r="GX231" s="71"/>
      <c r="GY231" s="65"/>
      <c r="GZ231" s="84"/>
      <c r="HA231" s="71"/>
      <c r="HB231" s="65"/>
      <c r="HC231" s="84"/>
      <c r="HD231" s="71"/>
      <c r="HE231" s="65"/>
      <c r="HF231" s="84"/>
      <c r="HG231" s="71"/>
      <c r="HH231" s="65"/>
      <c r="HI231" s="84"/>
      <c r="HJ231" s="71"/>
      <c r="HK231" s="65"/>
      <c r="HL231" s="84"/>
      <c r="HM231" s="71"/>
      <c r="HN231" s="65"/>
      <c r="HO231" s="84"/>
      <c r="HP231" s="71"/>
      <c r="HQ231" s="65"/>
      <c r="HR231" s="84"/>
      <c r="HS231" s="71"/>
      <c r="HT231" s="65"/>
      <c r="HU231" s="84"/>
      <c r="HV231" s="71"/>
      <c r="HW231" s="65"/>
      <c r="HX231" s="84"/>
      <c r="HY231" s="71"/>
      <c r="HZ231" s="65"/>
      <c r="IA231" s="84"/>
      <c r="IB231" s="71"/>
      <c r="IC231" s="65"/>
      <c r="ID231" s="84"/>
      <c r="IE231" s="71"/>
      <c r="IF231" s="65"/>
      <c r="IG231" s="84"/>
      <c r="IH231" s="71"/>
      <c r="II231" s="65"/>
      <c r="IJ231" s="84"/>
      <c r="IK231" s="71"/>
      <c r="IL231" s="65"/>
      <c r="IM231" s="84"/>
      <c r="IN231" s="71"/>
      <c r="IO231" s="65"/>
      <c r="IP231" s="84"/>
      <c r="IQ231" s="71"/>
      <c r="IR231" s="65"/>
      <c r="IS231" s="84"/>
      <c r="IT231" s="71"/>
      <c r="IU231" s="65"/>
      <c r="IV231" s="84"/>
      <c r="IW231" s="71"/>
      <c r="IX231" s="65"/>
      <c r="IY231" s="84"/>
      <c r="IZ231" s="71"/>
      <c r="JA231" s="65"/>
      <c r="JB231" s="84"/>
      <c r="JC231" s="71"/>
      <c r="JD231" s="65"/>
      <c r="JE231" s="84"/>
      <c r="JF231" s="71"/>
      <c r="JG231" s="65"/>
      <c r="JH231" s="84"/>
      <c r="JI231" s="71"/>
      <c r="JJ231" s="65"/>
      <c r="JK231" s="84"/>
      <c r="JL231" s="71"/>
      <c r="JM231" s="65"/>
      <c r="JN231" s="84"/>
      <c r="JO231" s="71"/>
      <c r="JP231" s="65"/>
      <c r="JQ231" s="84"/>
      <c r="JR231" s="71"/>
      <c r="JS231" s="65"/>
      <c r="JT231" s="84"/>
      <c r="JU231" s="71"/>
      <c r="JV231" s="65"/>
      <c r="JW231" s="84"/>
      <c r="JX231" s="71"/>
      <c r="JY231" s="65"/>
      <c r="JZ231" s="84"/>
      <c r="KA231" s="71"/>
      <c r="KB231" s="65"/>
      <c r="KC231" s="84"/>
      <c r="KD231" s="71"/>
      <c r="KE231" s="65"/>
      <c r="KF231" s="84"/>
      <c r="KG231" s="71"/>
      <c r="KH231" s="65"/>
      <c r="KI231" s="84"/>
      <c r="KJ231" s="71"/>
      <c r="KK231" s="65"/>
      <c r="KL231" s="84"/>
      <c r="KM231" s="71"/>
      <c r="KN231" s="65"/>
      <c r="KO231" s="84"/>
      <c r="KP231" s="71"/>
      <c r="KQ231" s="65"/>
      <c r="KR231" s="84"/>
      <c r="KS231" s="71"/>
      <c r="KT231" s="65"/>
      <c r="KU231" s="84"/>
      <c r="KV231" s="71"/>
      <c r="KW231" s="65"/>
      <c r="KX231" s="84"/>
      <c r="KY231" s="71"/>
      <c r="KZ231" s="65"/>
      <c r="LA231" s="84"/>
      <c r="LB231" s="71"/>
      <c r="LC231" s="65"/>
      <c r="LD231" s="84"/>
      <c r="LE231" s="71"/>
      <c r="LF231" s="65"/>
      <c r="LG231" s="65"/>
    </row>
    <row r="232" spans="1:319">
      <c r="A232" s="25">
        <f>WORLDCUP!AD138</f>
        <v>2</v>
      </c>
      <c r="B232" s="25">
        <f>WORLDCUP!AC138</f>
        <v>0</v>
      </c>
      <c r="C232" s="25" t="str">
        <f ca="1">CONCATENATE(WORLDCUP!AF138,"-",WORLDCUP!AA138)</f>
        <v>Spain-France</v>
      </c>
      <c r="D232" s="25">
        <f>IF(WORLDCUP!AC138&gt;WORLDCUP!AD138,2,IF(WORLDCUP!AC138&lt;WORLDCUP!AD138,1,IF(AND(WORLDCUP!AC138=WORLDCUP!AD138,WORLDCUP!AC138&lt;&gt;"",WORLDCUP!AD138&lt;&gt;""),0,"PD")))</f>
        <v>1</v>
      </c>
      <c r="E232" s="25" t="str">
        <f>IF(OR(WORLDCUP!AD138="",WORLDCUP!AC138=""),"-",A232&amp;"-"&amp;B232)</f>
        <v>2-0</v>
      </c>
      <c r="F232" s="407">
        <f>SUM($D$28:$D$30)*I232</f>
        <v>20</v>
      </c>
      <c r="G232" s="407">
        <f ca="1">VLOOKUP(H232,Equipos!$Q$1:$R$25,2,0)</f>
        <v>23</v>
      </c>
      <c r="H232" s="65" t="str">
        <f>Idiomas!$D$263</f>
        <v>Semifinals</v>
      </c>
      <c r="I232" s="43">
        <v>1</v>
      </c>
      <c r="J232" s="846" t="s">
        <v>35</v>
      </c>
      <c r="K232" s="53" t="str">
        <f ca="1">CONCATENATE(WORLDCUP!AA138,"-",WORLDCUP!AF138)</f>
        <v>France-Spain</v>
      </c>
      <c r="L232" s="53">
        <f>IF(OR(WORLDCUP!AC138="",WORLDCUP!AD138=""),"PD",IF(WORLDCUP!AC138&gt;WORLDCUP!AD138,1,IF(WORLDCUP!AC138&lt;WORLDCUP!AD138,2,0)))</f>
        <v>2</v>
      </c>
      <c r="M232" s="55" t="str">
        <f t="shared" ref="M232:M233" si="2853">IF(L232="PD","-",N232&amp;"-"&amp;O232)</f>
        <v>0-2</v>
      </c>
      <c r="N232" s="25">
        <f>WORLDCUP!AC138</f>
        <v>0</v>
      </c>
      <c r="O232" s="25">
        <f>WORLDCUP!AD138</f>
        <v>2</v>
      </c>
      <c r="P232" s="25">
        <f>+N232-O232</f>
        <v>-2</v>
      </c>
      <c r="Q232" s="25">
        <f>+A232-B232</f>
        <v>2</v>
      </c>
      <c r="R232" s="110"/>
      <c r="S232" s="76" t="s">
        <v>1990</v>
      </c>
      <c r="T232" s="77">
        <f ca="1">IFERROR(IF(COUNTIF($K$232:$K$233,LEFT(S232,FIND("·",S232)-1))&gt;0,IF(INDEX($L$232:$L$233,MATCH(LEFT(S232,FIND("·",S232)-1),$K$232:$K$233,0))=IFERROR(VALUE(MID(S232,FIND("·",S232)+1,1)),0),($D$28+(INDEX($M$232:$M$233,MATCH(LEFT(S232,FIND("·",S232)-1),$K$232:$K$233,0))=MID(S232,FIND("|",S232)+1,10))*$D$30+MAX(0,IF($D$50=1,$D$29*(1-(ABS(INDEX($P$232:$P$233,MATCH(LEFT(S232,FIND("·",S232)-1),$K$232:$K$233,0))-(VALUE(MID(S232,FIND("|",S232)+1,FIND("-",S232,FIND("|",S232))-FIND("|",S232)-1))-VALUE(MID(S232,FIND("-",S232,FIND("|",S232))+1,10)))))*$D$50),$D$29*(1-(IF(INDEX($L$232:$L$233,MATCH(LEFT(S232,FIND("·",S232)-1),$K$232:$K$233,0))=0,ABS(INDEX($N$232:$N$233,MATCH(LEFT(S232,FIND("·",S232)-1),$K$232:$K$233,0))-VALUE(MID(S232,FIND("|",S232)+1,FIND("-",S232,FIND("|",S232))-FIND("|",S232)-1))),ABS(INDEX($P$232:$P$233,MATCH(LEFT(S232,FIND("·",S232)-1),$K$232:$K$233,0))-(VALUE(MID(S232,FIND("|",S232)+1,FIND("-",S232,FIND("|",S232))-FIND("|",S232)-1))-VALUE(MID(S232,FIND("-",S232,FIND("|",S232))+1,10)))))*$D$50)))))*INDEX($I$232:$I$233,MATCH(LEFT(S232,FIND("·",S232)-1),$K$232:$K$233,0)),0),0),0)+IFERROR(IF(COUNTIF($C$232:$C$233,LEFT(S232,FIND("·",S232)-1))&gt;0,IF(INDEX($D$232:$D$233,MATCH(LEFT(S232,FIND("·",S232)-1),$C$232:$C$233,0))=IFERROR(VALUE(MID(S232,FIND("·",S232)+1,1)),0),($D$28+(INDEX($E$232:$E$233,MATCH(LEFT(S232,FIND("·",S232)-1),$C$232:$C$233,0))=MID(S232,FIND("|",S232)+1,10))*$D$30+MAX(0,IF($D$50=1,$D$29*(1-(ABS(INDEX($Q$232:$Q$233,MATCH(LEFT(S232,FIND("·",S232)-1),$C$232:$C$233,0))-(VALUE(MID(S232,FIND("|",S232)+1,FIND("-",S232,FIND("|",S232))-FIND("|",S232)-1))-VALUE(MID(S232,FIND("-",S232,FIND("|",S232))+1,10)))))*$D$50),$D$29*(1-(IF(INDEX($D$232:$D$233,MATCH(LEFT(S232,FIND("·",S232)-1),$C$232:$C$233,0))=0,ABS(INDEX($A$232:$A$233,MATCH(LEFT(S232,FIND("·",S232)-1),$C$232:$C$233,0))-VALUE(MID(S232,FIND("|",S232)+1,FIND("-",S232,FIND("|",S232))-FIND("|",S232)-1))),ABS(INDEX($Q$232:$Q$233,MATCH(LEFT(S232,FIND("·",S232)-1),$C$232:$C$233,0))-(VALUE(MID(S232,FIND("|",S232)+1,FIND("-",S232,FIND("|",S232))-FIND("|",S232)-1))-VALUE(MID(S232,FIND("-",S232,FIND("|",S232))+1,10)))))*$D$50)))))*INDEX($I$232:$I$233,MATCH(LEFT(S232,FIND("·",S232)-1),$C$232:$C$233,0)),0),0),0)</f>
        <v>0</v>
      </c>
      <c r="U232" s="110"/>
      <c r="V232" s="76" t="s">
        <v>2029</v>
      </c>
      <c r="W232" s="77">
        <f t="shared" ref="W232" ca="1" si="2854">IFERROR(IF(COUNTIF($K$232:$K$233,LEFT(V232,FIND("·",V232)-1))&gt;0,IF(INDEX($L$232:$L$233,MATCH(LEFT(V232,FIND("·",V232)-1),$K$232:$K$233,0))=IFERROR(VALUE(MID(V232,FIND("·",V232)+1,1)),0),($D$28+(INDEX($M$232:$M$233,MATCH(LEFT(V232,FIND("·",V232)-1),$K$232:$K$233,0))=MID(V232,FIND("|",V232)+1,10))*$D$30+MAX(0,IF($D$50=1,$D$29*(1-(ABS(INDEX($P$232:$P$233,MATCH(LEFT(V232,FIND("·",V232)-1),$K$232:$K$233,0))-(VALUE(MID(V232,FIND("|",V232)+1,FIND("-",V232,FIND("|",V232))-FIND("|",V232)-1))-VALUE(MID(V232,FIND("-",V232,FIND("|",V232))+1,10)))))*$D$50),$D$29*(1-(IF(INDEX($L$232:$L$233,MATCH(LEFT(V232,FIND("·",V232)-1),$K$232:$K$233,0))=0,ABS(INDEX($N$232:$N$233,MATCH(LEFT(V232,FIND("·",V232)-1),$K$232:$K$233,0))-VALUE(MID(V232,FIND("|",V232)+1,FIND("-",V232,FIND("|",V232))-FIND("|",V232)-1))),ABS(INDEX($P$232:$P$233,MATCH(LEFT(V232,FIND("·",V232)-1),$K$232:$K$233,0))-(VALUE(MID(V232,FIND("|",V232)+1,FIND("-",V232,FIND("|",V232))-FIND("|",V232)-1))-VALUE(MID(V232,FIND("-",V232,FIND("|",V232))+1,10)))))*$D$50)))))*INDEX($I$232:$I$233,MATCH(LEFT(V232,FIND("·",V232)-1),$K$232:$K$233,0)),0),0),0)+IFERROR(IF(COUNTIF($C$232:$C$233,LEFT(V232,FIND("·",V232)-1))&gt;0,IF(INDEX($D$232:$D$233,MATCH(LEFT(V232,FIND("·",V232)-1),$C$232:$C$233,0))=IFERROR(VALUE(MID(V232,FIND("·",V232)+1,1)),0),($D$28+(INDEX($E$232:$E$233,MATCH(LEFT(V232,FIND("·",V232)-1),$C$232:$C$233,0))=MID(V232,FIND("|",V232)+1,10))*$D$30+MAX(0,IF($D$50=1,$D$29*(1-(ABS(INDEX($Q$232:$Q$233,MATCH(LEFT(V232,FIND("·",V232)-1),$C$232:$C$233,0))-(VALUE(MID(V232,FIND("|",V232)+1,FIND("-",V232,FIND("|",V232))-FIND("|",V232)-1))-VALUE(MID(V232,FIND("-",V232,FIND("|",V232))+1,10)))))*$D$50),$D$29*(1-(IF(INDEX($D$232:$D$233,MATCH(LEFT(V232,FIND("·",V232)-1),$C$232:$C$233,0))=0,ABS(INDEX($A$232:$A$233,MATCH(LEFT(V232,FIND("·",V232)-1),$C$232:$C$233,0))-VALUE(MID(V232,FIND("|",V232)+1,FIND("-",V232,FIND("|",V232))-FIND("|",V232)-1))),ABS(INDEX($Q$232:$Q$233,MATCH(LEFT(V232,FIND("·",V232)-1),$C$232:$C$233,0))-(VALUE(MID(V232,FIND("|",V232)+1,FIND("-",V232,FIND("|",V232))-FIND("|",V232)-1))-VALUE(MID(V232,FIND("-",V232,FIND("|",V232))+1,10)))))*$D$50)))))*INDEX($I$232:$I$233,MATCH(LEFT(V232,FIND("·",V232)-1),$C$232:$C$233,0)),0),0),0)</f>
        <v>0</v>
      </c>
      <c r="X232" s="110"/>
      <c r="Y232" s="76" t="s">
        <v>2063</v>
      </c>
      <c r="Z232" s="77">
        <f t="shared" ref="Z232" ca="1" si="2855">IFERROR(IF(COUNTIF($K$232:$K$233,LEFT(Y232,FIND("·",Y232)-1))&gt;0,IF(INDEX($L$232:$L$233,MATCH(LEFT(Y232,FIND("·",Y232)-1),$K$232:$K$233,0))=IFERROR(VALUE(MID(Y232,FIND("·",Y232)+1,1)),0),($D$28+(INDEX($M$232:$M$233,MATCH(LEFT(Y232,FIND("·",Y232)-1),$K$232:$K$233,0))=MID(Y232,FIND("|",Y232)+1,10))*$D$30+MAX(0,IF($D$50=1,$D$29*(1-(ABS(INDEX($P$232:$P$233,MATCH(LEFT(Y232,FIND("·",Y232)-1),$K$232:$K$233,0))-(VALUE(MID(Y232,FIND("|",Y232)+1,FIND("-",Y232,FIND("|",Y232))-FIND("|",Y232)-1))-VALUE(MID(Y232,FIND("-",Y232,FIND("|",Y232))+1,10)))))*$D$50),$D$29*(1-(IF(INDEX($L$232:$L$233,MATCH(LEFT(Y232,FIND("·",Y232)-1),$K$232:$K$233,0))=0,ABS(INDEX($N$232:$N$233,MATCH(LEFT(Y232,FIND("·",Y232)-1),$K$232:$K$233,0))-VALUE(MID(Y232,FIND("|",Y232)+1,FIND("-",Y232,FIND("|",Y232))-FIND("|",Y232)-1))),ABS(INDEX($P$232:$P$233,MATCH(LEFT(Y232,FIND("·",Y232)-1),$K$232:$K$233,0))-(VALUE(MID(Y232,FIND("|",Y232)+1,FIND("-",Y232,FIND("|",Y232))-FIND("|",Y232)-1))-VALUE(MID(Y232,FIND("-",Y232,FIND("|",Y232))+1,10)))))*$D$50)))))*INDEX($I$232:$I$233,MATCH(LEFT(Y232,FIND("·",Y232)-1),$K$232:$K$233,0)),0),0),0)+IFERROR(IF(COUNTIF($C$232:$C$233,LEFT(Y232,FIND("·",Y232)-1))&gt;0,IF(INDEX($D$232:$D$233,MATCH(LEFT(Y232,FIND("·",Y232)-1),$C$232:$C$233,0))=IFERROR(VALUE(MID(Y232,FIND("·",Y232)+1,1)),0),($D$28+(INDEX($E$232:$E$233,MATCH(LEFT(Y232,FIND("·",Y232)-1),$C$232:$C$233,0))=MID(Y232,FIND("|",Y232)+1,10))*$D$30+MAX(0,IF($D$50=1,$D$29*(1-(ABS(INDEX($Q$232:$Q$233,MATCH(LEFT(Y232,FIND("·",Y232)-1),$C$232:$C$233,0))-(VALUE(MID(Y232,FIND("|",Y232)+1,FIND("-",Y232,FIND("|",Y232))-FIND("|",Y232)-1))-VALUE(MID(Y232,FIND("-",Y232,FIND("|",Y232))+1,10)))))*$D$50),$D$29*(1-(IF(INDEX($D$232:$D$233,MATCH(LEFT(Y232,FIND("·",Y232)-1),$C$232:$C$233,0))=0,ABS(INDEX($A$232:$A$233,MATCH(LEFT(Y232,FIND("·",Y232)-1),$C$232:$C$233,0))-VALUE(MID(Y232,FIND("|",Y232)+1,FIND("-",Y232,FIND("|",Y232))-FIND("|",Y232)-1))),ABS(INDEX($Q$232:$Q$233,MATCH(LEFT(Y232,FIND("·",Y232)-1),$C$232:$C$233,0))-(VALUE(MID(Y232,FIND("|",Y232)+1,FIND("-",Y232,FIND("|",Y232))-FIND("|",Y232)-1))-VALUE(MID(Y232,FIND("-",Y232,FIND("|",Y232))+1,10)))))*$D$50)))))*INDEX($I$232:$I$233,MATCH(LEFT(Y232,FIND("·",Y232)-1),$C$232:$C$233,0)),0),0),0)</f>
        <v>0</v>
      </c>
      <c r="AA232" s="110"/>
      <c r="AB232" s="76" t="s">
        <v>2097</v>
      </c>
      <c r="AC232" s="77">
        <f t="shared" ref="AC232" ca="1" si="2856">IFERROR(IF(COUNTIF($K$232:$K$233,LEFT(AB232,FIND("·",AB232)-1))&gt;0,IF(INDEX($L$232:$L$233,MATCH(LEFT(AB232,FIND("·",AB232)-1),$K$232:$K$233,0))=IFERROR(VALUE(MID(AB232,FIND("·",AB232)+1,1)),0),($D$28+(INDEX($M$232:$M$233,MATCH(LEFT(AB232,FIND("·",AB232)-1),$K$232:$K$233,0))=MID(AB232,FIND("|",AB232)+1,10))*$D$30+MAX(0,IF($D$50=1,$D$29*(1-(ABS(INDEX($P$232:$P$233,MATCH(LEFT(AB232,FIND("·",AB232)-1),$K$232:$K$233,0))-(VALUE(MID(AB232,FIND("|",AB232)+1,FIND("-",AB232,FIND("|",AB232))-FIND("|",AB232)-1))-VALUE(MID(AB232,FIND("-",AB232,FIND("|",AB232))+1,10)))))*$D$50),$D$29*(1-(IF(INDEX($L$232:$L$233,MATCH(LEFT(AB232,FIND("·",AB232)-1),$K$232:$K$233,0))=0,ABS(INDEX($N$232:$N$233,MATCH(LEFT(AB232,FIND("·",AB232)-1),$K$232:$K$233,0))-VALUE(MID(AB232,FIND("|",AB232)+1,FIND("-",AB232,FIND("|",AB232))-FIND("|",AB232)-1))),ABS(INDEX($P$232:$P$233,MATCH(LEFT(AB232,FIND("·",AB232)-1),$K$232:$K$233,0))-(VALUE(MID(AB232,FIND("|",AB232)+1,FIND("-",AB232,FIND("|",AB232))-FIND("|",AB232)-1))-VALUE(MID(AB232,FIND("-",AB232,FIND("|",AB232))+1,10)))))*$D$50)))))*INDEX($I$232:$I$233,MATCH(LEFT(AB232,FIND("·",AB232)-1),$K$232:$K$233,0)),0),0),0)+IFERROR(IF(COUNTIF($C$232:$C$233,LEFT(AB232,FIND("·",AB232)-1))&gt;0,IF(INDEX($D$232:$D$233,MATCH(LEFT(AB232,FIND("·",AB232)-1),$C$232:$C$233,0))=IFERROR(VALUE(MID(AB232,FIND("·",AB232)+1,1)),0),($D$28+(INDEX($E$232:$E$233,MATCH(LEFT(AB232,FIND("·",AB232)-1),$C$232:$C$233,0))=MID(AB232,FIND("|",AB232)+1,10))*$D$30+MAX(0,IF($D$50=1,$D$29*(1-(ABS(INDEX($Q$232:$Q$233,MATCH(LEFT(AB232,FIND("·",AB232)-1),$C$232:$C$233,0))-(VALUE(MID(AB232,FIND("|",AB232)+1,FIND("-",AB232,FIND("|",AB232))-FIND("|",AB232)-1))-VALUE(MID(AB232,FIND("-",AB232,FIND("|",AB232))+1,10)))))*$D$50),$D$29*(1-(IF(INDEX($D$232:$D$233,MATCH(LEFT(AB232,FIND("·",AB232)-1),$C$232:$C$233,0))=0,ABS(INDEX($A$232:$A$233,MATCH(LEFT(AB232,FIND("·",AB232)-1),$C$232:$C$233,0))-VALUE(MID(AB232,FIND("|",AB232)+1,FIND("-",AB232,FIND("|",AB232))-FIND("|",AB232)-1))),ABS(INDEX($Q$232:$Q$233,MATCH(LEFT(AB232,FIND("·",AB232)-1),$C$232:$C$233,0))-(VALUE(MID(AB232,FIND("|",AB232)+1,FIND("-",AB232,FIND("|",AB232))-FIND("|",AB232)-1))-VALUE(MID(AB232,FIND("-",AB232,FIND("|",AB232))+1,10)))))*$D$50)))))*INDEX($I$232:$I$233,MATCH(LEFT(AB232,FIND("·",AB232)-1),$C$232:$C$233,0)),0),0),0)</f>
        <v>0</v>
      </c>
      <c r="AD232" s="110"/>
      <c r="AE232" s="76" t="s">
        <v>2097</v>
      </c>
      <c r="AF232" s="77">
        <f t="shared" ref="AF232" ca="1" si="2857">IFERROR(IF(COUNTIF($K$232:$K$233,LEFT(AE232,FIND("·",AE232)-1))&gt;0,IF(INDEX($L$232:$L$233,MATCH(LEFT(AE232,FIND("·",AE232)-1),$K$232:$K$233,0))=IFERROR(VALUE(MID(AE232,FIND("·",AE232)+1,1)),0),($D$28+(INDEX($M$232:$M$233,MATCH(LEFT(AE232,FIND("·",AE232)-1),$K$232:$K$233,0))=MID(AE232,FIND("|",AE232)+1,10))*$D$30+MAX(0,IF($D$50=1,$D$29*(1-(ABS(INDEX($P$232:$P$233,MATCH(LEFT(AE232,FIND("·",AE232)-1),$K$232:$K$233,0))-(VALUE(MID(AE232,FIND("|",AE232)+1,FIND("-",AE232,FIND("|",AE232))-FIND("|",AE232)-1))-VALUE(MID(AE232,FIND("-",AE232,FIND("|",AE232))+1,10)))))*$D$50),$D$29*(1-(IF(INDEX($L$232:$L$233,MATCH(LEFT(AE232,FIND("·",AE232)-1),$K$232:$K$233,0))=0,ABS(INDEX($N$232:$N$233,MATCH(LEFT(AE232,FIND("·",AE232)-1),$K$232:$K$233,0))-VALUE(MID(AE232,FIND("|",AE232)+1,FIND("-",AE232,FIND("|",AE232))-FIND("|",AE232)-1))),ABS(INDEX($P$232:$P$233,MATCH(LEFT(AE232,FIND("·",AE232)-1),$K$232:$K$233,0))-(VALUE(MID(AE232,FIND("|",AE232)+1,FIND("-",AE232,FIND("|",AE232))-FIND("|",AE232)-1))-VALUE(MID(AE232,FIND("-",AE232,FIND("|",AE232))+1,10)))))*$D$50)))))*INDEX($I$232:$I$233,MATCH(LEFT(AE232,FIND("·",AE232)-1),$K$232:$K$233,0)),0),0),0)+IFERROR(IF(COUNTIF($C$232:$C$233,LEFT(AE232,FIND("·",AE232)-1))&gt;0,IF(INDEX($D$232:$D$233,MATCH(LEFT(AE232,FIND("·",AE232)-1),$C$232:$C$233,0))=IFERROR(VALUE(MID(AE232,FIND("·",AE232)+1,1)),0),($D$28+(INDEX($E$232:$E$233,MATCH(LEFT(AE232,FIND("·",AE232)-1),$C$232:$C$233,0))=MID(AE232,FIND("|",AE232)+1,10))*$D$30+MAX(0,IF($D$50=1,$D$29*(1-(ABS(INDEX($Q$232:$Q$233,MATCH(LEFT(AE232,FIND("·",AE232)-1),$C$232:$C$233,0))-(VALUE(MID(AE232,FIND("|",AE232)+1,FIND("-",AE232,FIND("|",AE232))-FIND("|",AE232)-1))-VALUE(MID(AE232,FIND("-",AE232,FIND("|",AE232))+1,10)))))*$D$50),$D$29*(1-(IF(INDEX($D$232:$D$233,MATCH(LEFT(AE232,FIND("·",AE232)-1),$C$232:$C$233,0))=0,ABS(INDEX($A$232:$A$233,MATCH(LEFT(AE232,FIND("·",AE232)-1),$C$232:$C$233,0))-VALUE(MID(AE232,FIND("|",AE232)+1,FIND("-",AE232,FIND("|",AE232))-FIND("|",AE232)-1))),ABS(INDEX($Q$232:$Q$233,MATCH(LEFT(AE232,FIND("·",AE232)-1),$C$232:$C$233,0))-(VALUE(MID(AE232,FIND("|",AE232)+1,FIND("-",AE232,FIND("|",AE232))-FIND("|",AE232)-1))-VALUE(MID(AE232,FIND("-",AE232,FIND("|",AE232))+1,10)))))*$D$50)))))*INDEX($I$232:$I$233,MATCH(LEFT(AE232,FIND("·",AE232)-1),$C$232:$C$233,0)),0),0),0)</f>
        <v>0</v>
      </c>
      <c r="AG232" s="110"/>
      <c r="AH232" s="76" t="s">
        <v>2156</v>
      </c>
      <c r="AI232" s="77">
        <f t="shared" ref="AI232" ca="1" si="2858">IFERROR(IF(COUNTIF($K$232:$K$233,LEFT(AH232,FIND("·",AH232)-1))&gt;0,IF(INDEX($L$232:$L$233,MATCH(LEFT(AH232,FIND("·",AH232)-1),$K$232:$K$233,0))=IFERROR(VALUE(MID(AH232,FIND("·",AH232)+1,1)),0),($D$28+(INDEX($M$232:$M$233,MATCH(LEFT(AH232,FIND("·",AH232)-1),$K$232:$K$233,0))=MID(AH232,FIND("|",AH232)+1,10))*$D$30+MAX(0,IF($D$50=1,$D$29*(1-(ABS(INDEX($P$232:$P$233,MATCH(LEFT(AH232,FIND("·",AH232)-1),$K$232:$K$233,0))-(VALUE(MID(AH232,FIND("|",AH232)+1,FIND("-",AH232,FIND("|",AH232))-FIND("|",AH232)-1))-VALUE(MID(AH232,FIND("-",AH232,FIND("|",AH232))+1,10)))))*$D$50),$D$29*(1-(IF(INDEX($L$232:$L$233,MATCH(LEFT(AH232,FIND("·",AH232)-1),$K$232:$K$233,0))=0,ABS(INDEX($N$232:$N$233,MATCH(LEFT(AH232,FIND("·",AH232)-1),$K$232:$K$233,0))-VALUE(MID(AH232,FIND("|",AH232)+1,FIND("-",AH232,FIND("|",AH232))-FIND("|",AH232)-1))),ABS(INDEX($P$232:$P$233,MATCH(LEFT(AH232,FIND("·",AH232)-1),$K$232:$K$233,0))-(VALUE(MID(AH232,FIND("|",AH232)+1,FIND("-",AH232,FIND("|",AH232))-FIND("|",AH232)-1))-VALUE(MID(AH232,FIND("-",AH232,FIND("|",AH232))+1,10)))))*$D$50)))))*INDEX($I$232:$I$233,MATCH(LEFT(AH232,FIND("·",AH232)-1),$K$232:$K$233,0)),0),0),0)+IFERROR(IF(COUNTIF($C$232:$C$233,LEFT(AH232,FIND("·",AH232)-1))&gt;0,IF(INDEX($D$232:$D$233,MATCH(LEFT(AH232,FIND("·",AH232)-1),$C$232:$C$233,0))=IFERROR(VALUE(MID(AH232,FIND("·",AH232)+1,1)),0),($D$28+(INDEX($E$232:$E$233,MATCH(LEFT(AH232,FIND("·",AH232)-1),$C$232:$C$233,0))=MID(AH232,FIND("|",AH232)+1,10))*$D$30+MAX(0,IF($D$50=1,$D$29*(1-(ABS(INDEX($Q$232:$Q$233,MATCH(LEFT(AH232,FIND("·",AH232)-1),$C$232:$C$233,0))-(VALUE(MID(AH232,FIND("|",AH232)+1,FIND("-",AH232,FIND("|",AH232))-FIND("|",AH232)-1))-VALUE(MID(AH232,FIND("-",AH232,FIND("|",AH232))+1,10)))))*$D$50),$D$29*(1-(IF(INDEX($D$232:$D$233,MATCH(LEFT(AH232,FIND("·",AH232)-1),$C$232:$C$233,0))=0,ABS(INDEX($A$232:$A$233,MATCH(LEFT(AH232,FIND("·",AH232)-1),$C$232:$C$233,0))-VALUE(MID(AH232,FIND("|",AH232)+1,FIND("-",AH232,FIND("|",AH232))-FIND("|",AH232)-1))),ABS(INDEX($Q$232:$Q$233,MATCH(LEFT(AH232,FIND("·",AH232)-1),$C$232:$C$233,0))-(VALUE(MID(AH232,FIND("|",AH232)+1,FIND("-",AH232,FIND("|",AH232))-FIND("|",AH232)-1))-VALUE(MID(AH232,FIND("-",AH232,FIND("|",AH232))+1,10)))))*$D$50)))))*INDEX($I$232:$I$233,MATCH(LEFT(AH232,FIND("·",AH232)-1),$C$232:$C$233,0)),0),0),0)</f>
        <v>0</v>
      </c>
      <c r="AJ232" s="110"/>
      <c r="AK232" s="76" t="s">
        <v>2182</v>
      </c>
      <c r="AL232" s="77">
        <f t="shared" ref="AL232" ca="1" si="2859">IFERROR(IF(COUNTIF($K$232:$K$233,LEFT(AK232,FIND("·",AK232)-1))&gt;0,IF(INDEX($L$232:$L$233,MATCH(LEFT(AK232,FIND("·",AK232)-1),$K$232:$K$233,0))=IFERROR(VALUE(MID(AK232,FIND("·",AK232)+1,1)),0),($D$28+(INDEX($M$232:$M$233,MATCH(LEFT(AK232,FIND("·",AK232)-1),$K$232:$K$233,0))=MID(AK232,FIND("|",AK232)+1,10))*$D$30+MAX(0,IF($D$50=1,$D$29*(1-(ABS(INDEX($P$232:$P$233,MATCH(LEFT(AK232,FIND("·",AK232)-1),$K$232:$K$233,0))-(VALUE(MID(AK232,FIND("|",AK232)+1,FIND("-",AK232,FIND("|",AK232))-FIND("|",AK232)-1))-VALUE(MID(AK232,FIND("-",AK232,FIND("|",AK232))+1,10)))))*$D$50),$D$29*(1-(IF(INDEX($L$232:$L$233,MATCH(LEFT(AK232,FIND("·",AK232)-1),$K$232:$K$233,0))=0,ABS(INDEX($N$232:$N$233,MATCH(LEFT(AK232,FIND("·",AK232)-1),$K$232:$K$233,0))-VALUE(MID(AK232,FIND("|",AK232)+1,FIND("-",AK232,FIND("|",AK232))-FIND("|",AK232)-1))),ABS(INDEX($P$232:$P$233,MATCH(LEFT(AK232,FIND("·",AK232)-1),$K$232:$K$233,0))-(VALUE(MID(AK232,FIND("|",AK232)+1,FIND("-",AK232,FIND("|",AK232))-FIND("|",AK232)-1))-VALUE(MID(AK232,FIND("-",AK232,FIND("|",AK232))+1,10)))))*$D$50)))))*INDEX($I$232:$I$233,MATCH(LEFT(AK232,FIND("·",AK232)-1),$K$232:$K$233,0)),0),0),0)+IFERROR(IF(COUNTIF($C$232:$C$233,LEFT(AK232,FIND("·",AK232)-1))&gt;0,IF(INDEX($D$232:$D$233,MATCH(LEFT(AK232,FIND("·",AK232)-1),$C$232:$C$233,0))=IFERROR(VALUE(MID(AK232,FIND("·",AK232)+1,1)),0),($D$28+(INDEX($E$232:$E$233,MATCH(LEFT(AK232,FIND("·",AK232)-1),$C$232:$C$233,0))=MID(AK232,FIND("|",AK232)+1,10))*$D$30+MAX(0,IF($D$50=1,$D$29*(1-(ABS(INDEX($Q$232:$Q$233,MATCH(LEFT(AK232,FIND("·",AK232)-1),$C$232:$C$233,0))-(VALUE(MID(AK232,FIND("|",AK232)+1,FIND("-",AK232,FIND("|",AK232))-FIND("|",AK232)-1))-VALUE(MID(AK232,FIND("-",AK232,FIND("|",AK232))+1,10)))))*$D$50),$D$29*(1-(IF(INDEX($D$232:$D$233,MATCH(LEFT(AK232,FIND("·",AK232)-1),$C$232:$C$233,0))=0,ABS(INDEX($A$232:$A$233,MATCH(LEFT(AK232,FIND("·",AK232)-1),$C$232:$C$233,0))-VALUE(MID(AK232,FIND("|",AK232)+1,FIND("-",AK232,FIND("|",AK232))-FIND("|",AK232)-1))),ABS(INDEX($Q$232:$Q$233,MATCH(LEFT(AK232,FIND("·",AK232)-1),$C$232:$C$233,0))-(VALUE(MID(AK232,FIND("|",AK232)+1,FIND("-",AK232,FIND("|",AK232))-FIND("|",AK232)-1))-VALUE(MID(AK232,FIND("-",AK232,FIND("|",AK232))+1,10)))))*$D$50)))))*INDEX($I$232:$I$233,MATCH(LEFT(AK232,FIND("·",AK232)-1),$C$232:$C$233,0)),0),0),0)</f>
        <v>0</v>
      </c>
      <c r="AM232" s="110"/>
      <c r="AN232" s="76" t="s">
        <v>2216</v>
      </c>
      <c r="AO232" s="77">
        <f t="shared" ref="AO232" ca="1" si="2860">IFERROR(IF(COUNTIF($K$232:$K$233,LEFT(AN232,FIND("·",AN232)-1))&gt;0,IF(INDEX($L$232:$L$233,MATCH(LEFT(AN232,FIND("·",AN232)-1),$K$232:$K$233,0))=IFERROR(VALUE(MID(AN232,FIND("·",AN232)+1,1)),0),($D$28+(INDEX($M$232:$M$233,MATCH(LEFT(AN232,FIND("·",AN232)-1),$K$232:$K$233,0))=MID(AN232,FIND("|",AN232)+1,10))*$D$30+MAX(0,IF($D$50=1,$D$29*(1-(ABS(INDEX($P$232:$P$233,MATCH(LEFT(AN232,FIND("·",AN232)-1),$K$232:$K$233,0))-(VALUE(MID(AN232,FIND("|",AN232)+1,FIND("-",AN232,FIND("|",AN232))-FIND("|",AN232)-1))-VALUE(MID(AN232,FIND("-",AN232,FIND("|",AN232))+1,10)))))*$D$50),$D$29*(1-(IF(INDEX($L$232:$L$233,MATCH(LEFT(AN232,FIND("·",AN232)-1),$K$232:$K$233,0))=0,ABS(INDEX($N$232:$N$233,MATCH(LEFT(AN232,FIND("·",AN232)-1),$K$232:$K$233,0))-VALUE(MID(AN232,FIND("|",AN232)+1,FIND("-",AN232,FIND("|",AN232))-FIND("|",AN232)-1))),ABS(INDEX($P$232:$P$233,MATCH(LEFT(AN232,FIND("·",AN232)-1),$K$232:$K$233,0))-(VALUE(MID(AN232,FIND("|",AN232)+1,FIND("-",AN232,FIND("|",AN232))-FIND("|",AN232)-1))-VALUE(MID(AN232,FIND("-",AN232,FIND("|",AN232))+1,10)))))*$D$50)))))*INDEX($I$232:$I$233,MATCH(LEFT(AN232,FIND("·",AN232)-1),$K$232:$K$233,0)),0),0),0)+IFERROR(IF(COUNTIF($C$232:$C$233,LEFT(AN232,FIND("·",AN232)-1))&gt;0,IF(INDEX($D$232:$D$233,MATCH(LEFT(AN232,FIND("·",AN232)-1),$C$232:$C$233,0))=IFERROR(VALUE(MID(AN232,FIND("·",AN232)+1,1)),0),($D$28+(INDEX($E$232:$E$233,MATCH(LEFT(AN232,FIND("·",AN232)-1),$C$232:$C$233,0))=MID(AN232,FIND("|",AN232)+1,10))*$D$30+MAX(0,IF($D$50=1,$D$29*(1-(ABS(INDEX($Q$232:$Q$233,MATCH(LEFT(AN232,FIND("·",AN232)-1),$C$232:$C$233,0))-(VALUE(MID(AN232,FIND("|",AN232)+1,FIND("-",AN232,FIND("|",AN232))-FIND("|",AN232)-1))-VALUE(MID(AN232,FIND("-",AN232,FIND("|",AN232))+1,10)))))*$D$50),$D$29*(1-(IF(INDEX($D$232:$D$233,MATCH(LEFT(AN232,FIND("·",AN232)-1),$C$232:$C$233,0))=0,ABS(INDEX($A$232:$A$233,MATCH(LEFT(AN232,FIND("·",AN232)-1),$C$232:$C$233,0))-VALUE(MID(AN232,FIND("|",AN232)+1,FIND("-",AN232,FIND("|",AN232))-FIND("|",AN232)-1))),ABS(INDEX($Q$232:$Q$233,MATCH(LEFT(AN232,FIND("·",AN232)-1),$C$232:$C$233,0))-(VALUE(MID(AN232,FIND("|",AN232)+1,FIND("-",AN232,FIND("|",AN232))-FIND("|",AN232)-1))-VALUE(MID(AN232,FIND("-",AN232,FIND("|",AN232))+1,10)))))*$D$50)))))*INDEX($I$232:$I$233,MATCH(LEFT(AN232,FIND("·",AN232)-1),$C$232:$C$233,0)),0),0),0)</f>
        <v>0</v>
      </c>
      <c r="AP232" s="110"/>
      <c r="AQ232" s="76" t="s">
        <v>2243</v>
      </c>
      <c r="AR232" s="77">
        <f t="shared" ref="AR232" ca="1" si="2861">IFERROR(IF(COUNTIF($K$232:$K$233,LEFT(AQ232,FIND("·",AQ232)-1))&gt;0,IF(INDEX($L$232:$L$233,MATCH(LEFT(AQ232,FIND("·",AQ232)-1),$K$232:$K$233,0))=IFERROR(VALUE(MID(AQ232,FIND("·",AQ232)+1,1)),0),($D$28+(INDEX($M$232:$M$233,MATCH(LEFT(AQ232,FIND("·",AQ232)-1),$K$232:$K$233,0))=MID(AQ232,FIND("|",AQ232)+1,10))*$D$30+MAX(0,IF($D$50=1,$D$29*(1-(ABS(INDEX($P$232:$P$233,MATCH(LEFT(AQ232,FIND("·",AQ232)-1),$K$232:$K$233,0))-(VALUE(MID(AQ232,FIND("|",AQ232)+1,FIND("-",AQ232,FIND("|",AQ232))-FIND("|",AQ232)-1))-VALUE(MID(AQ232,FIND("-",AQ232,FIND("|",AQ232))+1,10)))))*$D$50),$D$29*(1-(IF(INDEX($L$232:$L$233,MATCH(LEFT(AQ232,FIND("·",AQ232)-1),$K$232:$K$233,0))=0,ABS(INDEX($N$232:$N$233,MATCH(LEFT(AQ232,FIND("·",AQ232)-1),$K$232:$K$233,0))-VALUE(MID(AQ232,FIND("|",AQ232)+1,FIND("-",AQ232,FIND("|",AQ232))-FIND("|",AQ232)-1))),ABS(INDEX($P$232:$P$233,MATCH(LEFT(AQ232,FIND("·",AQ232)-1),$K$232:$K$233,0))-(VALUE(MID(AQ232,FIND("|",AQ232)+1,FIND("-",AQ232,FIND("|",AQ232))-FIND("|",AQ232)-1))-VALUE(MID(AQ232,FIND("-",AQ232,FIND("|",AQ232))+1,10)))))*$D$50)))))*INDEX($I$232:$I$233,MATCH(LEFT(AQ232,FIND("·",AQ232)-1),$K$232:$K$233,0)),0),0),0)+IFERROR(IF(COUNTIF($C$232:$C$233,LEFT(AQ232,FIND("·",AQ232)-1))&gt;0,IF(INDEX($D$232:$D$233,MATCH(LEFT(AQ232,FIND("·",AQ232)-1),$C$232:$C$233,0))=IFERROR(VALUE(MID(AQ232,FIND("·",AQ232)+1,1)),0),($D$28+(INDEX($E$232:$E$233,MATCH(LEFT(AQ232,FIND("·",AQ232)-1),$C$232:$C$233,0))=MID(AQ232,FIND("|",AQ232)+1,10))*$D$30+MAX(0,IF($D$50=1,$D$29*(1-(ABS(INDEX($Q$232:$Q$233,MATCH(LEFT(AQ232,FIND("·",AQ232)-1),$C$232:$C$233,0))-(VALUE(MID(AQ232,FIND("|",AQ232)+1,FIND("-",AQ232,FIND("|",AQ232))-FIND("|",AQ232)-1))-VALUE(MID(AQ232,FIND("-",AQ232,FIND("|",AQ232))+1,10)))))*$D$50),$D$29*(1-(IF(INDEX($D$232:$D$233,MATCH(LEFT(AQ232,FIND("·",AQ232)-1),$C$232:$C$233,0))=0,ABS(INDEX($A$232:$A$233,MATCH(LEFT(AQ232,FIND("·",AQ232)-1),$C$232:$C$233,0))-VALUE(MID(AQ232,FIND("|",AQ232)+1,FIND("-",AQ232,FIND("|",AQ232))-FIND("|",AQ232)-1))),ABS(INDEX($Q$232:$Q$233,MATCH(LEFT(AQ232,FIND("·",AQ232)-1),$C$232:$C$233,0))-(VALUE(MID(AQ232,FIND("|",AQ232)+1,FIND("-",AQ232,FIND("|",AQ232))-FIND("|",AQ232)-1))-VALUE(MID(AQ232,FIND("-",AQ232,FIND("|",AQ232))+1,10)))))*$D$50)))))*INDEX($I$232:$I$233,MATCH(LEFT(AQ232,FIND("·",AQ232)-1),$C$232:$C$233,0)),0),0),0)</f>
        <v>0</v>
      </c>
      <c r="AS232" s="110"/>
      <c r="AT232" s="76" t="s">
        <v>2273</v>
      </c>
      <c r="AU232" s="77">
        <f t="shared" ref="AU232" ca="1" si="2862">IFERROR(IF(COUNTIF($K$232:$K$233,LEFT(AT232,FIND("·",AT232)-1))&gt;0,IF(INDEX($L$232:$L$233,MATCH(LEFT(AT232,FIND("·",AT232)-1),$K$232:$K$233,0))=IFERROR(VALUE(MID(AT232,FIND("·",AT232)+1,1)),0),($D$28+(INDEX($M$232:$M$233,MATCH(LEFT(AT232,FIND("·",AT232)-1),$K$232:$K$233,0))=MID(AT232,FIND("|",AT232)+1,10))*$D$30+MAX(0,IF($D$50=1,$D$29*(1-(ABS(INDEX($P$232:$P$233,MATCH(LEFT(AT232,FIND("·",AT232)-1),$K$232:$K$233,0))-(VALUE(MID(AT232,FIND("|",AT232)+1,FIND("-",AT232,FIND("|",AT232))-FIND("|",AT232)-1))-VALUE(MID(AT232,FIND("-",AT232,FIND("|",AT232))+1,10)))))*$D$50),$D$29*(1-(IF(INDEX($L$232:$L$233,MATCH(LEFT(AT232,FIND("·",AT232)-1),$K$232:$K$233,0))=0,ABS(INDEX($N$232:$N$233,MATCH(LEFT(AT232,FIND("·",AT232)-1),$K$232:$K$233,0))-VALUE(MID(AT232,FIND("|",AT232)+1,FIND("-",AT232,FIND("|",AT232))-FIND("|",AT232)-1))),ABS(INDEX($P$232:$P$233,MATCH(LEFT(AT232,FIND("·",AT232)-1),$K$232:$K$233,0))-(VALUE(MID(AT232,FIND("|",AT232)+1,FIND("-",AT232,FIND("|",AT232))-FIND("|",AT232)-1))-VALUE(MID(AT232,FIND("-",AT232,FIND("|",AT232))+1,10)))))*$D$50)))))*INDEX($I$232:$I$233,MATCH(LEFT(AT232,FIND("·",AT232)-1),$K$232:$K$233,0)),0),0),0)+IFERROR(IF(COUNTIF($C$232:$C$233,LEFT(AT232,FIND("·",AT232)-1))&gt;0,IF(INDEX($D$232:$D$233,MATCH(LEFT(AT232,FIND("·",AT232)-1),$C$232:$C$233,0))=IFERROR(VALUE(MID(AT232,FIND("·",AT232)+1,1)),0),($D$28+(INDEX($E$232:$E$233,MATCH(LEFT(AT232,FIND("·",AT232)-1),$C$232:$C$233,0))=MID(AT232,FIND("|",AT232)+1,10))*$D$30+MAX(0,IF($D$50=1,$D$29*(1-(ABS(INDEX($Q$232:$Q$233,MATCH(LEFT(AT232,FIND("·",AT232)-1),$C$232:$C$233,0))-(VALUE(MID(AT232,FIND("|",AT232)+1,FIND("-",AT232,FIND("|",AT232))-FIND("|",AT232)-1))-VALUE(MID(AT232,FIND("-",AT232,FIND("|",AT232))+1,10)))))*$D$50),$D$29*(1-(IF(INDEX($D$232:$D$233,MATCH(LEFT(AT232,FIND("·",AT232)-1),$C$232:$C$233,0))=0,ABS(INDEX($A$232:$A$233,MATCH(LEFT(AT232,FIND("·",AT232)-1),$C$232:$C$233,0))-VALUE(MID(AT232,FIND("|",AT232)+1,FIND("-",AT232,FIND("|",AT232))-FIND("|",AT232)-1))),ABS(INDEX($Q$232:$Q$233,MATCH(LEFT(AT232,FIND("·",AT232)-1),$C$232:$C$233,0))-(VALUE(MID(AT232,FIND("|",AT232)+1,FIND("-",AT232,FIND("|",AT232))-FIND("|",AT232)-1))-VALUE(MID(AT232,FIND("-",AT232,FIND("|",AT232))+1,10)))))*$D$50)))))*INDEX($I$232:$I$233,MATCH(LEFT(AT232,FIND("·",AT232)-1),$C$232:$C$233,0)),0),0),0)</f>
        <v>0</v>
      </c>
      <c r="AV232" s="110"/>
      <c r="AW232" s="76" t="s">
        <v>2301</v>
      </c>
      <c r="AX232" s="77">
        <f t="shared" ref="AX232" ca="1" si="2863">IFERROR(IF(COUNTIF($K$232:$K$233,LEFT(AW232,FIND("·",AW232)-1))&gt;0,IF(INDEX($L$232:$L$233,MATCH(LEFT(AW232,FIND("·",AW232)-1),$K$232:$K$233,0))=IFERROR(VALUE(MID(AW232,FIND("·",AW232)+1,1)),0),($D$28+(INDEX($M$232:$M$233,MATCH(LEFT(AW232,FIND("·",AW232)-1),$K$232:$K$233,0))=MID(AW232,FIND("|",AW232)+1,10))*$D$30+MAX(0,IF($D$50=1,$D$29*(1-(ABS(INDEX($P$232:$P$233,MATCH(LEFT(AW232,FIND("·",AW232)-1),$K$232:$K$233,0))-(VALUE(MID(AW232,FIND("|",AW232)+1,FIND("-",AW232,FIND("|",AW232))-FIND("|",AW232)-1))-VALUE(MID(AW232,FIND("-",AW232,FIND("|",AW232))+1,10)))))*$D$50),$D$29*(1-(IF(INDEX($L$232:$L$233,MATCH(LEFT(AW232,FIND("·",AW232)-1),$K$232:$K$233,0))=0,ABS(INDEX($N$232:$N$233,MATCH(LEFT(AW232,FIND("·",AW232)-1),$K$232:$K$233,0))-VALUE(MID(AW232,FIND("|",AW232)+1,FIND("-",AW232,FIND("|",AW232))-FIND("|",AW232)-1))),ABS(INDEX($P$232:$P$233,MATCH(LEFT(AW232,FIND("·",AW232)-1),$K$232:$K$233,0))-(VALUE(MID(AW232,FIND("|",AW232)+1,FIND("-",AW232,FIND("|",AW232))-FIND("|",AW232)-1))-VALUE(MID(AW232,FIND("-",AW232,FIND("|",AW232))+1,10)))))*$D$50)))))*INDEX($I$232:$I$233,MATCH(LEFT(AW232,FIND("·",AW232)-1),$K$232:$K$233,0)),0),0),0)+IFERROR(IF(COUNTIF($C$232:$C$233,LEFT(AW232,FIND("·",AW232)-1))&gt;0,IF(INDEX($D$232:$D$233,MATCH(LEFT(AW232,FIND("·",AW232)-1),$C$232:$C$233,0))=IFERROR(VALUE(MID(AW232,FIND("·",AW232)+1,1)),0),($D$28+(INDEX($E$232:$E$233,MATCH(LEFT(AW232,FIND("·",AW232)-1),$C$232:$C$233,0))=MID(AW232,FIND("|",AW232)+1,10))*$D$30+MAX(0,IF($D$50=1,$D$29*(1-(ABS(INDEX($Q$232:$Q$233,MATCH(LEFT(AW232,FIND("·",AW232)-1),$C$232:$C$233,0))-(VALUE(MID(AW232,FIND("|",AW232)+1,FIND("-",AW232,FIND("|",AW232))-FIND("|",AW232)-1))-VALUE(MID(AW232,FIND("-",AW232,FIND("|",AW232))+1,10)))))*$D$50),$D$29*(1-(IF(INDEX($D$232:$D$233,MATCH(LEFT(AW232,FIND("·",AW232)-1),$C$232:$C$233,0))=0,ABS(INDEX($A$232:$A$233,MATCH(LEFT(AW232,FIND("·",AW232)-1),$C$232:$C$233,0))-VALUE(MID(AW232,FIND("|",AW232)+1,FIND("-",AW232,FIND("|",AW232))-FIND("|",AW232)-1))),ABS(INDEX($Q$232:$Q$233,MATCH(LEFT(AW232,FIND("·",AW232)-1),$C$232:$C$233,0))-(VALUE(MID(AW232,FIND("|",AW232)+1,FIND("-",AW232,FIND("|",AW232))-FIND("|",AW232)-1))-VALUE(MID(AW232,FIND("-",AW232,FIND("|",AW232))+1,10)))))*$D$50)))))*INDEX($I$232:$I$233,MATCH(LEFT(AW232,FIND("·",AW232)-1),$C$232:$C$233,0)),0),0),0)</f>
        <v>0</v>
      </c>
      <c r="AY232" s="110"/>
      <c r="AZ232" s="76" t="s">
        <v>2319</v>
      </c>
      <c r="BA232" s="77">
        <f t="shared" ref="BA232" ca="1" si="2864">IFERROR(IF(COUNTIF($K$232:$K$233,LEFT(AZ232,FIND("·",AZ232)-1))&gt;0,IF(INDEX($L$232:$L$233,MATCH(LEFT(AZ232,FIND("·",AZ232)-1),$K$232:$K$233,0))=IFERROR(VALUE(MID(AZ232,FIND("·",AZ232)+1,1)),0),($D$28+(INDEX($M$232:$M$233,MATCH(LEFT(AZ232,FIND("·",AZ232)-1),$K$232:$K$233,0))=MID(AZ232,FIND("|",AZ232)+1,10))*$D$30+MAX(0,IF($D$50=1,$D$29*(1-(ABS(INDEX($P$232:$P$233,MATCH(LEFT(AZ232,FIND("·",AZ232)-1),$K$232:$K$233,0))-(VALUE(MID(AZ232,FIND("|",AZ232)+1,FIND("-",AZ232,FIND("|",AZ232))-FIND("|",AZ232)-1))-VALUE(MID(AZ232,FIND("-",AZ232,FIND("|",AZ232))+1,10)))))*$D$50),$D$29*(1-(IF(INDEX($L$232:$L$233,MATCH(LEFT(AZ232,FIND("·",AZ232)-1),$K$232:$K$233,0))=0,ABS(INDEX($N$232:$N$233,MATCH(LEFT(AZ232,FIND("·",AZ232)-1),$K$232:$K$233,0))-VALUE(MID(AZ232,FIND("|",AZ232)+1,FIND("-",AZ232,FIND("|",AZ232))-FIND("|",AZ232)-1))),ABS(INDEX($P$232:$P$233,MATCH(LEFT(AZ232,FIND("·",AZ232)-1),$K$232:$K$233,0))-(VALUE(MID(AZ232,FIND("|",AZ232)+1,FIND("-",AZ232,FIND("|",AZ232))-FIND("|",AZ232)-1))-VALUE(MID(AZ232,FIND("-",AZ232,FIND("|",AZ232))+1,10)))))*$D$50)))))*INDEX($I$232:$I$233,MATCH(LEFT(AZ232,FIND("·",AZ232)-1),$K$232:$K$233,0)),0),0),0)+IFERROR(IF(COUNTIF($C$232:$C$233,LEFT(AZ232,FIND("·",AZ232)-1))&gt;0,IF(INDEX($D$232:$D$233,MATCH(LEFT(AZ232,FIND("·",AZ232)-1),$C$232:$C$233,0))=IFERROR(VALUE(MID(AZ232,FIND("·",AZ232)+1,1)),0),($D$28+(INDEX($E$232:$E$233,MATCH(LEFT(AZ232,FIND("·",AZ232)-1),$C$232:$C$233,0))=MID(AZ232,FIND("|",AZ232)+1,10))*$D$30+MAX(0,IF($D$50=1,$D$29*(1-(ABS(INDEX($Q$232:$Q$233,MATCH(LEFT(AZ232,FIND("·",AZ232)-1),$C$232:$C$233,0))-(VALUE(MID(AZ232,FIND("|",AZ232)+1,FIND("-",AZ232,FIND("|",AZ232))-FIND("|",AZ232)-1))-VALUE(MID(AZ232,FIND("-",AZ232,FIND("|",AZ232))+1,10)))))*$D$50),$D$29*(1-(IF(INDEX($D$232:$D$233,MATCH(LEFT(AZ232,FIND("·",AZ232)-1),$C$232:$C$233,0))=0,ABS(INDEX($A$232:$A$233,MATCH(LEFT(AZ232,FIND("·",AZ232)-1),$C$232:$C$233,0))-VALUE(MID(AZ232,FIND("|",AZ232)+1,FIND("-",AZ232,FIND("|",AZ232))-FIND("|",AZ232)-1))),ABS(INDEX($Q$232:$Q$233,MATCH(LEFT(AZ232,FIND("·",AZ232)-1),$C$232:$C$233,0))-(VALUE(MID(AZ232,FIND("|",AZ232)+1,FIND("-",AZ232,FIND("|",AZ232))-FIND("|",AZ232)-1))-VALUE(MID(AZ232,FIND("-",AZ232,FIND("|",AZ232))+1,10)))))*$D$50)))))*INDEX($I$232:$I$233,MATCH(LEFT(AZ232,FIND("·",AZ232)-1),$C$232:$C$233,0)),0),0),0)</f>
        <v>10</v>
      </c>
      <c r="BB232" s="110"/>
      <c r="BC232" s="76" t="s">
        <v>2342</v>
      </c>
      <c r="BD232" s="77">
        <f t="shared" ref="BD232" ca="1" si="2865">IFERROR(IF(COUNTIF($K$232:$K$233,LEFT(BC232,FIND("·",BC232)-1))&gt;0,IF(INDEX($L$232:$L$233,MATCH(LEFT(BC232,FIND("·",BC232)-1),$K$232:$K$233,0))=IFERROR(VALUE(MID(BC232,FIND("·",BC232)+1,1)),0),($D$28+(INDEX($M$232:$M$233,MATCH(LEFT(BC232,FIND("·",BC232)-1),$K$232:$K$233,0))=MID(BC232,FIND("|",BC232)+1,10))*$D$30+MAX(0,IF($D$50=1,$D$29*(1-(ABS(INDEX($P$232:$P$233,MATCH(LEFT(BC232,FIND("·",BC232)-1),$K$232:$K$233,0))-(VALUE(MID(BC232,FIND("|",BC232)+1,FIND("-",BC232,FIND("|",BC232))-FIND("|",BC232)-1))-VALUE(MID(BC232,FIND("-",BC232,FIND("|",BC232))+1,10)))))*$D$50),$D$29*(1-(IF(INDEX($L$232:$L$233,MATCH(LEFT(BC232,FIND("·",BC232)-1),$K$232:$K$233,0))=0,ABS(INDEX($N$232:$N$233,MATCH(LEFT(BC232,FIND("·",BC232)-1),$K$232:$K$233,0))-VALUE(MID(BC232,FIND("|",BC232)+1,FIND("-",BC232,FIND("|",BC232))-FIND("|",BC232)-1))),ABS(INDEX($P$232:$P$233,MATCH(LEFT(BC232,FIND("·",BC232)-1),$K$232:$K$233,0))-(VALUE(MID(BC232,FIND("|",BC232)+1,FIND("-",BC232,FIND("|",BC232))-FIND("|",BC232)-1))-VALUE(MID(BC232,FIND("-",BC232,FIND("|",BC232))+1,10)))))*$D$50)))))*INDEX($I$232:$I$233,MATCH(LEFT(BC232,FIND("·",BC232)-1),$K$232:$K$233,0)),0),0),0)+IFERROR(IF(COUNTIF($C$232:$C$233,LEFT(BC232,FIND("·",BC232)-1))&gt;0,IF(INDEX($D$232:$D$233,MATCH(LEFT(BC232,FIND("·",BC232)-1),$C$232:$C$233,0))=IFERROR(VALUE(MID(BC232,FIND("·",BC232)+1,1)),0),($D$28+(INDEX($E$232:$E$233,MATCH(LEFT(BC232,FIND("·",BC232)-1),$C$232:$C$233,0))=MID(BC232,FIND("|",BC232)+1,10))*$D$30+MAX(0,IF($D$50=1,$D$29*(1-(ABS(INDEX($Q$232:$Q$233,MATCH(LEFT(BC232,FIND("·",BC232)-1),$C$232:$C$233,0))-(VALUE(MID(BC232,FIND("|",BC232)+1,FIND("-",BC232,FIND("|",BC232))-FIND("|",BC232)-1))-VALUE(MID(BC232,FIND("-",BC232,FIND("|",BC232))+1,10)))))*$D$50),$D$29*(1-(IF(INDEX($D$232:$D$233,MATCH(LEFT(BC232,FIND("·",BC232)-1),$C$232:$C$233,0))=0,ABS(INDEX($A$232:$A$233,MATCH(LEFT(BC232,FIND("·",BC232)-1),$C$232:$C$233,0))-VALUE(MID(BC232,FIND("|",BC232)+1,FIND("-",BC232,FIND("|",BC232))-FIND("|",BC232)-1))),ABS(INDEX($Q$232:$Q$233,MATCH(LEFT(BC232,FIND("·",BC232)-1),$C$232:$C$233,0))-(VALUE(MID(BC232,FIND("|",BC232)+1,FIND("-",BC232,FIND("|",BC232))-FIND("|",BC232)-1))-VALUE(MID(BC232,FIND("-",BC232,FIND("|",BC232))+1,10)))))*$D$50)))))*INDEX($I$232:$I$233,MATCH(LEFT(BC232,FIND("·",BC232)-1),$C$232:$C$233,0)),0),0),0)</f>
        <v>10</v>
      </c>
      <c r="BE232" s="110"/>
      <c r="BF232" s="76" t="s">
        <v>2363</v>
      </c>
      <c r="BG232" s="77">
        <f t="shared" ref="BG232" ca="1" si="2866">IFERROR(IF(COUNTIF($K$232:$K$233,LEFT(BF232,FIND("·",BF232)-1))&gt;0,IF(INDEX($L$232:$L$233,MATCH(LEFT(BF232,FIND("·",BF232)-1),$K$232:$K$233,0))=IFERROR(VALUE(MID(BF232,FIND("·",BF232)+1,1)),0),($D$28+(INDEX($M$232:$M$233,MATCH(LEFT(BF232,FIND("·",BF232)-1),$K$232:$K$233,0))=MID(BF232,FIND("|",BF232)+1,10))*$D$30+MAX(0,IF($D$50=1,$D$29*(1-(ABS(INDEX($P$232:$P$233,MATCH(LEFT(BF232,FIND("·",BF232)-1),$K$232:$K$233,0))-(VALUE(MID(BF232,FIND("|",BF232)+1,FIND("-",BF232,FIND("|",BF232))-FIND("|",BF232)-1))-VALUE(MID(BF232,FIND("-",BF232,FIND("|",BF232))+1,10)))))*$D$50),$D$29*(1-(IF(INDEX($L$232:$L$233,MATCH(LEFT(BF232,FIND("·",BF232)-1),$K$232:$K$233,0))=0,ABS(INDEX($N$232:$N$233,MATCH(LEFT(BF232,FIND("·",BF232)-1),$K$232:$K$233,0))-VALUE(MID(BF232,FIND("|",BF232)+1,FIND("-",BF232,FIND("|",BF232))-FIND("|",BF232)-1))),ABS(INDEX($P$232:$P$233,MATCH(LEFT(BF232,FIND("·",BF232)-1),$K$232:$K$233,0))-(VALUE(MID(BF232,FIND("|",BF232)+1,FIND("-",BF232,FIND("|",BF232))-FIND("|",BF232)-1))-VALUE(MID(BF232,FIND("-",BF232,FIND("|",BF232))+1,10)))))*$D$50)))))*INDEX($I$232:$I$233,MATCH(LEFT(BF232,FIND("·",BF232)-1),$K$232:$K$233,0)),0),0),0)+IFERROR(IF(COUNTIF($C$232:$C$233,LEFT(BF232,FIND("·",BF232)-1))&gt;0,IF(INDEX($D$232:$D$233,MATCH(LEFT(BF232,FIND("·",BF232)-1),$C$232:$C$233,0))=IFERROR(VALUE(MID(BF232,FIND("·",BF232)+1,1)),0),($D$28+(INDEX($E$232:$E$233,MATCH(LEFT(BF232,FIND("·",BF232)-1),$C$232:$C$233,0))=MID(BF232,FIND("|",BF232)+1,10))*$D$30+MAX(0,IF($D$50=1,$D$29*(1-(ABS(INDEX($Q$232:$Q$233,MATCH(LEFT(BF232,FIND("·",BF232)-1),$C$232:$C$233,0))-(VALUE(MID(BF232,FIND("|",BF232)+1,FIND("-",BF232,FIND("|",BF232))-FIND("|",BF232)-1))-VALUE(MID(BF232,FIND("-",BF232,FIND("|",BF232))+1,10)))))*$D$50),$D$29*(1-(IF(INDEX($D$232:$D$233,MATCH(LEFT(BF232,FIND("·",BF232)-1),$C$232:$C$233,0))=0,ABS(INDEX($A$232:$A$233,MATCH(LEFT(BF232,FIND("·",BF232)-1),$C$232:$C$233,0))-VALUE(MID(BF232,FIND("|",BF232)+1,FIND("-",BF232,FIND("|",BF232))-FIND("|",BF232)-1))),ABS(INDEX($Q$232:$Q$233,MATCH(LEFT(BF232,FIND("·",BF232)-1),$C$232:$C$233,0))-(VALUE(MID(BF232,FIND("|",BF232)+1,FIND("-",BF232,FIND("|",BF232))-FIND("|",BF232)-1))-VALUE(MID(BF232,FIND("-",BF232,FIND("|",BF232))+1,10)))))*$D$50)))))*INDEX($I$232:$I$233,MATCH(LEFT(BF232,FIND("·",BF232)-1),$C$232:$C$233,0)),0),0),0)</f>
        <v>0</v>
      </c>
      <c r="BH232" s="110"/>
      <c r="BI232" s="76" t="s">
        <v>2395</v>
      </c>
      <c r="BJ232" s="77">
        <f t="shared" ref="BJ232" ca="1" si="2867">IFERROR(IF(COUNTIF($K$232:$K$233,LEFT(BI232,FIND("·",BI232)-1))&gt;0,IF(INDEX($L$232:$L$233,MATCH(LEFT(BI232,FIND("·",BI232)-1),$K$232:$K$233,0))=IFERROR(VALUE(MID(BI232,FIND("·",BI232)+1,1)),0),($D$28+(INDEX($M$232:$M$233,MATCH(LEFT(BI232,FIND("·",BI232)-1),$K$232:$K$233,0))=MID(BI232,FIND("|",BI232)+1,10))*$D$30+MAX(0,IF($D$50=1,$D$29*(1-(ABS(INDEX($P$232:$P$233,MATCH(LEFT(BI232,FIND("·",BI232)-1),$K$232:$K$233,0))-(VALUE(MID(BI232,FIND("|",BI232)+1,FIND("-",BI232,FIND("|",BI232))-FIND("|",BI232)-1))-VALUE(MID(BI232,FIND("-",BI232,FIND("|",BI232))+1,10)))))*$D$50),$D$29*(1-(IF(INDEX($L$232:$L$233,MATCH(LEFT(BI232,FIND("·",BI232)-1),$K$232:$K$233,0))=0,ABS(INDEX($N$232:$N$233,MATCH(LEFT(BI232,FIND("·",BI232)-1),$K$232:$K$233,0))-VALUE(MID(BI232,FIND("|",BI232)+1,FIND("-",BI232,FIND("|",BI232))-FIND("|",BI232)-1))),ABS(INDEX($P$232:$P$233,MATCH(LEFT(BI232,FIND("·",BI232)-1),$K$232:$K$233,0))-(VALUE(MID(BI232,FIND("|",BI232)+1,FIND("-",BI232,FIND("|",BI232))-FIND("|",BI232)-1))-VALUE(MID(BI232,FIND("-",BI232,FIND("|",BI232))+1,10)))))*$D$50)))))*INDEX($I$232:$I$233,MATCH(LEFT(BI232,FIND("·",BI232)-1),$K$232:$K$233,0)),0),0),0)+IFERROR(IF(COUNTIF($C$232:$C$233,LEFT(BI232,FIND("·",BI232)-1))&gt;0,IF(INDEX($D$232:$D$233,MATCH(LEFT(BI232,FIND("·",BI232)-1),$C$232:$C$233,0))=IFERROR(VALUE(MID(BI232,FIND("·",BI232)+1,1)),0),($D$28+(INDEX($E$232:$E$233,MATCH(LEFT(BI232,FIND("·",BI232)-1),$C$232:$C$233,0))=MID(BI232,FIND("|",BI232)+1,10))*$D$30+MAX(0,IF($D$50=1,$D$29*(1-(ABS(INDEX($Q$232:$Q$233,MATCH(LEFT(BI232,FIND("·",BI232)-1),$C$232:$C$233,0))-(VALUE(MID(BI232,FIND("|",BI232)+1,FIND("-",BI232,FIND("|",BI232))-FIND("|",BI232)-1))-VALUE(MID(BI232,FIND("-",BI232,FIND("|",BI232))+1,10)))))*$D$50),$D$29*(1-(IF(INDEX($D$232:$D$233,MATCH(LEFT(BI232,FIND("·",BI232)-1),$C$232:$C$233,0))=0,ABS(INDEX($A$232:$A$233,MATCH(LEFT(BI232,FIND("·",BI232)-1),$C$232:$C$233,0))-VALUE(MID(BI232,FIND("|",BI232)+1,FIND("-",BI232,FIND("|",BI232))-FIND("|",BI232)-1))),ABS(INDEX($Q$232:$Q$233,MATCH(LEFT(BI232,FIND("·",BI232)-1),$C$232:$C$233,0))-(VALUE(MID(BI232,FIND("|",BI232)+1,FIND("-",BI232,FIND("|",BI232))-FIND("|",BI232)-1))-VALUE(MID(BI232,FIND("-",BI232,FIND("|",BI232))+1,10)))))*$D$50)))))*INDEX($I$232:$I$233,MATCH(LEFT(BI232,FIND("·",BI232)-1),$C$232:$C$233,0)),0),0),0)</f>
        <v>0</v>
      </c>
      <c r="BK232" s="110"/>
      <c r="BL232" s="76" t="s">
        <v>2319</v>
      </c>
      <c r="BM232" s="77">
        <f t="shared" ref="BM232" ca="1" si="2868">IFERROR(IF(COUNTIF($K$232:$K$233,LEFT(BL232,FIND("·",BL232)-1))&gt;0,IF(INDEX($L$232:$L$233,MATCH(LEFT(BL232,FIND("·",BL232)-1),$K$232:$K$233,0))=IFERROR(VALUE(MID(BL232,FIND("·",BL232)+1,1)),0),($D$28+(INDEX($M$232:$M$233,MATCH(LEFT(BL232,FIND("·",BL232)-1),$K$232:$K$233,0))=MID(BL232,FIND("|",BL232)+1,10))*$D$30+MAX(0,IF($D$50=1,$D$29*(1-(ABS(INDEX($P$232:$P$233,MATCH(LEFT(BL232,FIND("·",BL232)-1),$K$232:$K$233,0))-(VALUE(MID(BL232,FIND("|",BL232)+1,FIND("-",BL232,FIND("|",BL232))-FIND("|",BL232)-1))-VALUE(MID(BL232,FIND("-",BL232,FIND("|",BL232))+1,10)))))*$D$50),$D$29*(1-(IF(INDEX($L$232:$L$233,MATCH(LEFT(BL232,FIND("·",BL232)-1),$K$232:$K$233,0))=0,ABS(INDEX($N$232:$N$233,MATCH(LEFT(BL232,FIND("·",BL232)-1),$K$232:$K$233,0))-VALUE(MID(BL232,FIND("|",BL232)+1,FIND("-",BL232,FIND("|",BL232))-FIND("|",BL232)-1))),ABS(INDEX($P$232:$P$233,MATCH(LEFT(BL232,FIND("·",BL232)-1),$K$232:$K$233,0))-(VALUE(MID(BL232,FIND("|",BL232)+1,FIND("-",BL232,FIND("|",BL232))-FIND("|",BL232)-1))-VALUE(MID(BL232,FIND("-",BL232,FIND("|",BL232))+1,10)))))*$D$50)))))*INDEX($I$232:$I$233,MATCH(LEFT(BL232,FIND("·",BL232)-1),$K$232:$K$233,0)),0),0),0)+IFERROR(IF(COUNTIF($C$232:$C$233,LEFT(BL232,FIND("·",BL232)-1))&gt;0,IF(INDEX($D$232:$D$233,MATCH(LEFT(BL232,FIND("·",BL232)-1),$C$232:$C$233,0))=IFERROR(VALUE(MID(BL232,FIND("·",BL232)+1,1)),0),($D$28+(INDEX($E$232:$E$233,MATCH(LEFT(BL232,FIND("·",BL232)-1),$C$232:$C$233,0))=MID(BL232,FIND("|",BL232)+1,10))*$D$30+MAX(0,IF($D$50=1,$D$29*(1-(ABS(INDEX($Q$232:$Q$233,MATCH(LEFT(BL232,FIND("·",BL232)-1),$C$232:$C$233,0))-(VALUE(MID(BL232,FIND("|",BL232)+1,FIND("-",BL232,FIND("|",BL232))-FIND("|",BL232)-1))-VALUE(MID(BL232,FIND("-",BL232,FIND("|",BL232))+1,10)))))*$D$50),$D$29*(1-(IF(INDEX($D$232:$D$233,MATCH(LEFT(BL232,FIND("·",BL232)-1),$C$232:$C$233,0))=0,ABS(INDEX($A$232:$A$233,MATCH(LEFT(BL232,FIND("·",BL232)-1),$C$232:$C$233,0))-VALUE(MID(BL232,FIND("|",BL232)+1,FIND("-",BL232,FIND("|",BL232))-FIND("|",BL232)-1))),ABS(INDEX($Q$232:$Q$233,MATCH(LEFT(BL232,FIND("·",BL232)-1),$C$232:$C$233,0))-(VALUE(MID(BL232,FIND("|",BL232)+1,FIND("-",BL232,FIND("|",BL232))-FIND("|",BL232)-1))-VALUE(MID(BL232,FIND("-",BL232,FIND("|",BL232))+1,10)))))*$D$50)))))*INDEX($I$232:$I$233,MATCH(LEFT(BL232,FIND("·",BL232)-1),$C$232:$C$233,0)),0),0),0)</f>
        <v>10</v>
      </c>
      <c r="BN232" s="110"/>
      <c r="BO232" s="76" t="s">
        <v>2097</v>
      </c>
      <c r="BP232" s="77">
        <f t="shared" ref="BP232" ca="1" si="2869">IFERROR(IF(COUNTIF($K$232:$K$233,LEFT(BO232,FIND("·",BO232)-1))&gt;0,IF(INDEX($L$232:$L$233,MATCH(LEFT(BO232,FIND("·",BO232)-1),$K$232:$K$233,0))=IFERROR(VALUE(MID(BO232,FIND("·",BO232)+1,1)),0),($D$28+(INDEX($M$232:$M$233,MATCH(LEFT(BO232,FIND("·",BO232)-1),$K$232:$K$233,0))=MID(BO232,FIND("|",BO232)+1,10))*$D$30+MAX(0,IF($D$50=1,$D$29*(1-(ABS(INDEX($P$232:$P$233,MATCH(LEFT(BO232,FIND("·",BO232)-1),$K$232:$K$233,0))-(VALUE(MID(BO232,FIND("|",BO232)+1,FIND("-",BO232,FIND("|",BO232))-FIND("|",BO232)-1))-VALUE(MID(BO232,FIND("-",BO232,FIND("|",BO232))+1,10)))))*$D$50),$D$29*(1-(IF(INDEX($L$232:$L$233,MATCH(LEFT(BO232,FIND("·",BO232)-1),$K$232:$K$233,0))=0,ABS(INDEX($N$232:$N$233,MATCH(LEFT(BO232,FIND("·",BO232)-1),$K$232:$K$233,0))-VALUE(MID(BO232,FIND("|",BO232)+1,FIND("-",BO232,FIND("|",BO232))-FIND("|",BO232)-1))),ABS(INDEX($P$232:$P$233,MATCH(LEFT(BO232,FIND("·",BO232)-1),$K$232:$K$233,0))-(VALUE(MID(BO232,FIND("|",BO232)+1,FIND("-",BO232,FIND("|",BO232))-FIND("|",BO232)-1))-VALUE(MID(BO232,FIND("-",BO232,FIND("|",BO232))+1,10)))))*$D$50)))))*INDEX($I$232:$I$233,MATCH(LEFT(BO232,FIND("·",BO232)-1),$K$232:$K$233,0)),0),0),0)+IFERROR(IF(COUNTIF($C$232:$C$233,LEFT(BO232,FIND("·",BO232)-1))&gt;0,IF(INDEX($D$232:$D$233,MATCH(LEFT(BO232,FIND("·",BO232)-1),$C$232:$C$233,0))=IFERROR(VALUE(MID(BO232,FIND("·",BO232)+1,1)),0),($D$28+(INDEX($E$232:$E$233,MATCH(LEFT(BO232,FIND("·",BO232)-1),$C$232:$C$233,0))=MID(BO232,FIND("|",BO232)+1,10))*$D$30+MAX(0,IF($D$50=1,$D$29*(1-(ABS(INDEX($Q$232:$Q$233,MATCH(LEFT(BO232,FIND("·",BO232)-1),$C$232:$C$233,0))-(VALUE(MID(BO232,FIND("|",BO232)+1,FIND("-",BO232,FIND("|",BO232))-FIND("|",BO232)-1))-VALUE(MID(BO232,FIND("-",BO232,FIND("|",BO232))+1,10)))))*$D$50),$D$29*(1-(IF(INDEX($D$232:$D$233,MATCH(LEFT(BO232,FIND("·",BO232)-1),$C$232:$C$233,0))=0,ABS(INDEX($A$232:$A$233,MATCH(LEFT(BO232,FIND("·",BO232)-1),$C$232:$C$233,0))-VALUE(MID(BO232,FIND("|",BO232)+1,FIND("-",BO232,FIND("|",BO232))-FIND("|",BO232)-1))),ABS(INDEX($Q$232:$Q$233,MATCH(LEFT(BO232,FIND("·",BO232)-1),$C$232:$C$233,0))-(VALUE(MID(BO232,FIND("|",BO232)+1,FIND("-",BO232,FIND("|",BO232))-FIND("|",BO232)-1))-VALUE(MID(BO232,FIND("-",BO232,FIND("|",BO232))+1,10)))))*$D$50)))))*INDEX($I$232:$I$233,MATCH(LEFT(BO232,FIND("·",BO232)-1),$C$232:$C$233,0)),0),0),0)</f>
        <v>0</v>
      </c>
      <c r="BQ232" s="110"/>
      <c r="BR232" s="76" t="s">
        <v>2463</v>
      </c>
      <c r="BS232" s="77">
        <f t="shared" ref="BS232" ca="1" si="2870">IFERROR(IF(COUNTIF($K$232:$K$233,LEFT(BR232,FIND("·",BR232)-1))&gt;0,IF(INDEX($L$232:$L$233,MATCH(LEFT(BR232,FIND("·",BR232)-1),$K$232:$K$233,0))=IFERROR(VALUE(MID(BR232,FIND("·",BR232)+1,1)),0),($D$28+(INDEX($M$232:$M$233,MATCH(LEFT(BR232,FIND("·",BR232)-1),$K$232:$K$233,0))=MID(BR232,FIND("|",BR232)+1,10))*$D$30+MAX(0,IF($D$50=1,$D$29*(1-(ABS(INDEX($P$232:$P$233,MATCH(LEFT(BR232,FIND("·",BR232)-1),$K$232:$K$233,0))-(VALUE(MID(BR232,FIND("|",BR232)+1,FIND("-",BR232,FIND("|",BR232))-FIND("|",BR232)-1))-VALUE(MID(BR232,FIND("-",BR232,FIND("|",BR232))+1,10)))))*$D$50),$D$29*(1-(IF(INDEX($L$232:$L$233,MATCH(LEFT(BR232,FIND("·",BR232)-1),$K$232:$K$233,0))=0,ABS(INDEX($N$232:$N$233,MATCH(LEFT(BR232,FIND("·",BR232)-1),$K$232:$K$233,0))-VALUE(MID(BR232,FIND("|",BR232)+1,FIND("-",BR232,FIND("|",BR232))-FIND("|",BR232)-1))),ABS(INDEX($P$232:$P$233,MATCH(LEFT(BR232,FIND("·",BR232)-1),$K$232:$K$233,0))-(VALUE(MID(BR232,FIND("|",BR232)+1,FIND("-",BR232,FIND("|",BR232))-FIND("|",BR232)-1))-VALUE(MID(BR232,FIND("-",BR232,FIND("|",BR232))+1,10)))))*$D$50)))))*INDEX($I$232:$I$233,MATCH(LEFT(BR232,FIND("·",BR232)-1),$K$232:$K$233,0)),0),0),0)+IFERROR(IF(COUNTIF($C$232:$C$233,LEFT(BR232,FIND("·",BR232)-1))&gt;0,IF(INDEX($D$232:$D$233,MATCH(LEFT(BR232,FIND("·",BR232)-1),$C$232:$C$233,0))=IFERROR(VALUE(MID(BR232,FIND("·",BR232)+1,1)),0),($D$28+(INDEX($E$232:$E$233,MATCH(LEFT(BR232,FIND("·",BR232)-1),$C$232:$C$233,0))=MID(BR232,FIND("|",BR232)+1,10))*$D$30+MAX(0,IF($D$50=1,$D$29*(1-(ABS(INDEX($Q$232:$Q$233,MATCH(LEFT(BR232,FIND("·",BR232)-1),$C$232:$C$233,0))-(VALUE(MID(BR232,FIND("|",BR232)+1,FIND("-",BR232,FIND("|",BR232))-FIND("|",BR232)-1))-VALUE(MID(BR232,FIND("-",BR232,FIND("|",BR232))+1,10)))))*$D$50),$D$29*(1-(IF(INDEX($D$232:$D$233,MATCH(LEFT(BR232,FIND("·",BR232)-1),$C$232:$C$233,0))=0,ABS(INDEX($A$232:$A$233,MATCH(LEFT(BR232,FIND("·",BR232)-1),$C$232:$C$233,0))-VALUE(MID(BR232,FIND("|",BR232)+1,FIND("-",BR232,FIND("|",BR232))-FIND("|",BR232)-1))),ABS(INDEX($Q$232:$Q$233,MATCH(LEFT(BR232,FIND("·",BR232)-1),$C$232:$C$233,0))-(VALUE(MID(BR232,FIND("|",BR232)+1,FIND("-",BR232,FIND("|",BR232))-FIND("|",BR232)-1))-VALUE(MID(BR232,FIND("-",BR232,FIND("|",BR232))+1,10)))))*$D$50)))))*INDEX($I$232:$I$233,MATCH(LEFT(BR232,FIND("·",BR232)-1),$C$232:$C$233,0)),0),0),0)</f>
        <v>0</v>
      </c>
      <c r="BT232" s="110"/>
      <c r="BU232" s="76" t="s">
        <v>2097</v>
      </c>
      <c r="BV232" s="77">
        <f t="shared" ref="BV232" ca="1" si="2871">IFERROR(IF(COUNTIF($K$232:$K$233,LEFT(BU232,FIND("·",BU232)-1))&gt;0,IF(INDEX($L$232:$L$233,MATCH(LEFT(BU232,FIND("·",BU232)-1),$K$232:$K$233,0))=IFERROR(VALUE(MID(BU232,FIND("·",BU232)+1,1)),0),($D$28+(INDEX($M$232:$M$233,MATCH(LEFT(BU232,FIND("·",BU232)-1),$K$232:$K$233,0))=MID(BU232,FIND("|",BU232)+1,10))*$D$30+MAX(0,IF($D$50=1,$D$29*(1-(ABS(INDEX($P$232:$P$233,MATCH(LEFT(BU232,FIND("·",BU232)-1),$K$232:$K$233,0))-(VALUE(MID(BU232,FIND("|",BU232)+1,FIND("-",BU232,FIND("|",BU232))-FIND("|",BU232)-1))-VALUE(MID(BU232,FIND("-",BU232,FIND("|",BU232))+1,10)))))*$D$50),$D$29*(1-(IF(INDEX($L$232:$L$233,MATCH(LEFT(BU232,FIND("·",BU232)-1),$K$232:$K$233,0))=0,ABS(INDEX($N$232:$N$233,MATCH(LEFT(BU232,FIND("·",BU232)-1),$K$232:$K$233,0))-VALUE(MID(BU232,FIND("|",BU232)+1,FIND("-",BU232,FIND("|",BU232))-FIND("|",BU232)-1))),ABS(INDEX($P$232:$P$233,MATCH(LEFT(BU232,FIND("·",BU232)-1),$K$232:$K$233,0))-(VALUE(MID(BU232,FIND("|",BU232)+1,FIND("-",BU232,FIND("|",BU232))-FIND("|",BU232)-1))-VALUE(MID(BU232,FIND("-",BU232,FIND("|",BU232))+1,10)))))*$D$50)))))*INDEX($I$232:$I$233,MATCH(LEFT(BU232,FIND("·",BU232)-1),$K$232:$K$233,0)),0),0),0)+IFERROR(IF(COUNTIF($C$232:$C$233,LEFT(BU232,FIND("·",BU232)-1))&gt;0,IF(INDEX($D$232:$D$233,MATCH(LEFT(BU232,FIND("·",BU232)-1),$C$232:$C$233,0))=IFERROR(VALUE(MID(BU232,FIND("·",BU232)+1,1)),0),($D$28+(INDEX($E$232:$E$233,MATCH(LEFT(BU232,FIND("·",BU232)-1),$C$232:$C$233,0))=MID(BU232,FIND("|",BU232)+1,10))*$D$30+MAX(0,IF($D$50=1,$D$29*(1-(ABS(INDEX($Q$232:$Q$233,MATCH(LEFT(BU232,FIND("·",BU232)-1),$C$232:$C$233,0))-(VALUE(MID(BU232,FIND("|",BU232)+1,FIND("-",BU232,FIND("|",BU232))-FIND("|",BU232)-1))-VALUE(MID(BU232,FIND("-",BU232,FIND("|",BU232))+1,10)))))*$D$50),$D$29*(1-(IF(INDEX($D$232:$D$233,MATCH(LEFT(BU232,FIND("·",BU232)-1),$C$232:$C$233,0))=0,ABS(INDEX($A$232:$A$233,MATCH(LEFT(BU232,FIND("·",BU232)-1),$C$232:$C$233,0))-VALUE(MID(BU232,FIND("|",BU232)+1,FIND("-",BU232,FIND("|",BU232))-FIND("|",BU232)-1))),ABS(INDEX($Q$232:$Q$233,MATCH(LEFT(BU232,FIND("·",BU232)-1),$C$232:$C$233,0))-(VALUE(MID(BU232,FIND("|",BU232)+1,FIND("-",BU232,FIND("|",BU232))-FIND("|",BU232)-1))-VALUE(MID(BU232,FIND("-",BU232,FIND("|",BU232))+1,10)))))*$D$50)))))*INDEX($I$232:$I$233,MATCH(LEFT(BU232,FIND("·",BU232)-1),$C$232:$C$233,0)),0),0),0)</f>
        <v>0</v>
      </c>
      <c r="BW232" s="110"/>
      <c r="BX232" s="76" t="s">
        <v>2486</v>
      </c>
      <c r="BY232" s="77">
        <f t="shared" ref="BY232" ca="1" si="2872">IFERROR(IF(COUNTIF($K$232:$K$233,LEFT(BX232,FIND("·",BX232)-1))&gt;0,IF(INDEX($L$232:$L$233,MATCH(LEFT(BX232,FIND("·",BX232)-1),$K$232:$K$233,0))=IFERROR(VALUE(MID(BX232,FIND("·",BX232)+1,1)),0),($D$28+(INDEX($M$232:$M$233,MATCH(LEFT(BX232,FIND("·",BX232)-1),$K$232:$K$233,0))=MID(BX232,FIND("|",BX232)+1,10))*$D$30+MAX(0,IF($D$50=1,$D$29*(1-(ABS(INDEX($P$232:$P$233,MATCH(LEFT(BX232,FIND("·",BX232)-1),$K$232:$K$233,0))-(VALUE(MID(BX232,FIND("|",BX232)+1,FIND("-",BX232,FIND("|",BX232))-FIND("|",BX232)-1))-VALUE(MID(BX232,FIND("-",BX232,FIND("|",BX232))+1,10)))))*$D$50),$D$29*(1-(IF(INDEX($L$232:$L$233,MATCH(LEFT(BX232,FIND("·",BX232)-1),$K$232:$K$233,0))=0,ABS(INDEX($N$232:$N$233,MATCH(LEFT(BX232,FIND("·",BX232)-1),$K$232:$K$233,0))-VALUE(MID(BX232,FIND("|",BX232)+1,FIND("-",BX232,FIND("|",BX232))-FIND("|",BX232)-1))),ABS(INDEX($P$232:$P$233,MATCH(LEFT(BX232,FIND("·",BX232)-1),$K$232:$K$233,0))-(VALUE(MID(BX232,FIND("|",BX232)+1,FIND("-",BX232,FIND("|",BX232))-FIND("|",BX232)-1))-VALUE(MID(BX232,FIND("-",BX232,FIND("|",BX232))+1,10)))))*$D$50)))))*INDEX($I$232:$I$233,MATCH(LEFT(BX232,FIND("·",BX232)-1),$K$232:$K$233,0)),0),0),0)+IFERROR(IF(COUNTIF($C$232:$C$233,LEFT(BX232,FIND("·",BX232)-1))&gt;0,IF(INDEX($D$232:$D$233,MATCH(LEFT(BX232,FIND("·",BX232)-1),$C$232:$C$233,0))=IFERROR(VALUE(MID(BX232,FIND("·",BX232)+1,1)),0),($D$28+(INDEX($E$232:$E$233,MATCH(LEFT(BX232,FIND("·",BX232)-1),$C$232:$C$233,0))=MID(BX232,FIND("|",BX232)+1,10))*$D$30+MAX(0,IF($D$50=1,$D$29*(1-(ABS(INDEX($Q$232:$Q$233,MATCH(LEFT(BX232,FIND("·",BX232)-1),$C$232:$C$233,0))-(VALUE(MID(BX232,FIND("|",BX232)+1,FIND("-",BX232,FIND("|",BX232))-FIND("|",BX232)-1))-VALUE(MID(BX232,FIND("-",BX232,FIND("|",BX232))+1,10)))))*$D$50),$D$29*(1-(IF(INDEX($D$232:$D$233,MATCH(LEFT(BX232,FIND("·",BX232)-1),$C$232:$C$233,0))=0,ABS(INDEX($A$232:$A$233,MATCH(LEFT(BX232,FIND("·",BX232)-1),$C$232:$C$233,0))-VALUE(MID(BX232,FIND("|",BX232)+1,FIND("-",BX232,FIND("|",BX232))-FIND("|",BX232)-1))),ABS(INDEX($Q$232:$Q$233,MATCH(LEFT(BX232,FIND("·",BX232)-1),$C$232:$C$233,0))-(VALUE(MID(BX232,FIND("|",BX232)+1,FIND("-",BX232,FIND("|",BX232))-FIND("|",BX232)-1))-VALUE(MID(BX232,FIND("-",BX232,FIND("|",BX232))+1,10)))))*$D$50)))))*INDEX($I$232:$I$233,MATCH(LEFT(BX232,FIND("·",BX232)-1),$C$232:$C$233,0)),0),0),0)</f>
        <v>0</v>
      </c>
      <c r="BZ232" s="110"/>
      <c r="CA232" s="76" t="s">
        <v>2319</v>
      </c>
      <c r="CB232" s="77">
        <f t="shared" ref="CB232" ca="1" si="2873">IFERROR(IF(COUNTIF($K$232:$K$233,LEFT(CA232,FIND("·",CA232)-1))&gt;0,IF(INDEX($L$232:$L$233,MATCH(LEFT(CA232,FIND("·",CA232)-1),$K$232:$K$233,0))=IFERROR(VALUE(MID(CA232,FIND("·",CA232)+1,1)),0),($D$28+(INDEX($M$232:$M$233,MATCH(LEFT(CA232,FIND("·",CA232)-1),$K$232:$K$233,0))=MID(CA232,FIND("|",CA232)+1,10))*$D$30+MAX(0,IF($D$50=1,$D$29*(1-(ABS(INDEX($P$232:$P$233,MATCH(LEFT(CA232,FIND("·",CA232)-1),$K$232:$K$233,0))-(VALUE(MID(CA232,FIND("|",CA232)+1,FIND("-",CA232,FIND("|",CA232))-FIND("|",CA232)-1))-VALUE(MID(CA232,FIND("-",CA232,FIND("|",CA232))+1,10)))))*$D$50),$D$29*(1-(IF(INDEX($L$232:$L$233,MATCH(LEFT(CA232,FIND("·",CA232)-1),$K$232:$K$233,0))=0,ABS(INDEX($N$232:$N$233,MATCH(LEFT(CA232,FIND("·",CA232)-1),$K$232:$K$233,0))-VALUE(MID(CA232,FIND("|",CA232)+1,FIND("-",CA232,FIND("|",CA232))-FIND("|",CA232)-1))),ABS(INDEX($P$232:$P$233,MATCH(LEFT(CA232,FIND("·",CA232)-1),$K$232:$K$233,0))-(VALUE(MID(CA232,FIND("|",CA232)+1,FIND("-",CA232,FIND("|",CA232))-FIND("|",CA232)-1))-VALUE(MID(CA232,FIND("-",CA232,FIND("|",CA232))+1,10)))))*$D$50)))))*INDEX($I$232:$I$233,MATCH(LEFT(CA232,FIND("·",CA232)-1),$K$232:$K$233,0)),0),0),0)+IFERROR(IF(COUNTIF($C$232:$C$233,LEFT(CA232,FIND("·",CA232)-1))&gt;0,IF(INDEX($D$232:$D$233,MATCH(LEFT(CA232,FIND("·",CA232)-1),$C$232:$C$233,0))=IFERROR(VALUE(MID(CA232,FIND("·",CA232)+1,1)),0),($D$28+(INDEX($E$232:$E$233,MATCH(LEFT(CA232,FIND("·",CA232)-1),$C$232:$C$233,0))=MID(CA232,FIND("|",CA232)+1,10))*$D$30+MAX(0,IF($D$50=1,$D$29*(1-(ABS(INDEX($Q$232:$Q$233,MATCH(LEFT(CA232,FIND("·",CA232)-1),$C$232:$C$233,0))-(VALUE(MID(CA232,FIND("|",CA232)+1,FIND("-",CA232,FIND("|",CA232))-FIND("|",CA232)-1))-VALUE(MID(CA232,FIND("-",CA232,FIND("|",CA232))+1,10)))))*$D$50),$D$29*(1-(IF(INDEX($D$232:$D$233,MATCH(LEFT(CA232,FIND("·",CA232)-1),$C$232:$C$233,0))=0,ABS(INDEX($A$232:$A$233,MATCH(LEFT(CA232,FIND("·",CA232)-1),$C$232:$C$233,0))-VALUE(MID(CA232,FIND("|",CA232)+1,FIND("-",CA232,FIND("|",CA232))-FIND("|",CA232)-1))),ABS(INDEX($Q$232:$Q$233,MATCH(LEFT(CA232,FIND("·",CA232)-1),$C$232:$C$233,0))-(VALUE(MID(CA232,FIND("|",CA232)+1,FIND("-",CA232,FIND("|",CA232))-FIND("|",CA232)-1))-VALUE(MID(CA232,FIND("-",CA232,FIND("|",CA232))+1,10)))))*$D$50)))))*INDEX($I$232:$I$233,MATCH(LEFT(CA232,FIND("·",CA232)-1),$C$232:$C$233,0)),0),0),0)</f>
        <v>10</v>
      </c>
      <c r="CC232" s="110"/>
      <c r="CD232" s="76" t="s">
        <v>2363</v>
      </c>
      <c r="CE232" s="77">
        <f t="shared" ref="CE232" ca="1" si="2874">IFERROR(IF(COUNTIF($K$232:$K$233,LEFT(CD232,FIND("·",CD232)-1))&gt;0,IF(INDEX($L$232:$L$233,MATCH(LEFT(CD232,FIND("·",CD232)-1),$K$232:$K$233,0))=IFERROR(VALUE(MID(CD232,FIND("·",CD232)+1,1)),0),($D$28+(INDEX($M$232:$M$233,MATCH(LEFT(CD232,FIND("·",CD232)-1),$K$232:$K$233,0))=MID(CD232,FIND("|",CD232)+1,10))*$D$30+MAX(0,IF($D$50=1,$D$29*(1-(ABS(INDEX($P$232:$P$233,MATCH(LEFT(CD232,FIND("·",CD232)-1),$K$232:$K$233,0))-(VALUE(MID(CD232,FIND("|",CD232)+1,FIND("-",CD232,FIND("|",CD232))-FIND("|",CD232)-1))-VALUE(MID(CD232,FIND("-",CD232,FIND("|",CD232))+1,10)))))*$D$50),$D$29*(1-(IF(INDEX($L$232:$L$233,MATCH(LEFT(CD232,FIND("·",CD232)-1),$K$232:$K$233,0))=0,ABS(INDEX($N$232:$N$233,MATCH(LEFT(CD232,FIND("·",CD232)-1),$K$232:$K$233,0))-VALUE(MID(CD232,FIND("|",CD232)+1,FIND("-",CD232,FIND("|",CD232))-FIND("|",CD232)-1))),ABS(INDEX($P$232:$P$233,MATCH(LEFT(CD232,FIND("·",CD232)-1),$K$232:$K$233,0))-(VALUE(MID(CD232,FIND("|",CD232)+1,FIND("-",CD232,FIND("|",CD232))-FIND("|",CD232)-1))-VALUE(MID(CD232,FIND("-",CD232,FIND("|",CD232))+1,10)))))*$D$50)))))*INDEX($I$232:$I$233,MATCH(LEFT(CD232,FIND("·",CD232)-1),$K$232:$K$233,0)),0),0),0)+IFERROR(IF(COUNTIF($C$232:$C$233,LEFT(CD232,FIND("·",CD232)-1))&gt;0,IF(INDEX($D$232:$D$233,MATCH(LEFT(CD232,FIND("·",CD232)-1),$C$232:$C$233,0))=IFERROR(VALUE(MID(CD232,FIND("·",CD232)+1,1)),0),($D$28+(INDEX($E$232:$E$233,MATCH(LEFT(CD232,FIND("·",CD232)-1),$C$232:$C$233,0))=MID(CD232,FIND("|",CD232)+1,10))*$D$30+MAX(0,IF($D$50=1,$D$29*(1-(ABS(INDEX($Q$232:$Q$233,MATCH(LEFT(CD232,FIND("·",CD232)-1),$C$232:$C$233,0))-(VALUE(MID(CD232,FIND("|",CD232)+1,FIND("-",CD232,FIND("|",CD232))-FIND("|",CD232)-1))-VALUE(MID(CD232,FIND("-",CD232,FIND("|",CD232))+1,10)))))*$D$50),$D$29*(1-(IF(INDEX($D$232:$D$233,MATCH(LEFT(CD232,FIND("·",CD232)-1),$C$232:$C$233,0))=0,ABS(INDEX($A$232:$A$233,MATCH(LEFT(CD232,FIND("·",CD232)-1),$C$232:$C$233,0))-VALUE(MID(CD232,FIND("|",CD232)+1,FIND("-",CD232,FIND("|",CD232))-FIND("|",CD232)-1))),ABS(INDEX($Q$232:$Q$233,MATCH(LEFT(CD232,FIND("·",CD232)-1),$C$232:$C$233,0))-(VALUE(MID(CD232,FIND("|",CD232)+1,FIND("-",CD232,FIND("|",CD232))-FIND("|",CD232)-1))-VALUE(MID(CD232,FIND("-",CD232,FIND("|",CD232))+1,10)))))*$D$50)))))*INDEX($I$232:$I$233,MATCH(LEFT(CD232,FIND("·",CD232)-1),$C$232:$C$233,0)),0),0),0)</f>
        <v>0</v>
      </c>
      <c r="CF232" s="110"/>
      <c r="CG232" s="76" t="s">
        <v>2097</v>
      </c>
      <c r="CH232" s="77">
        <f t="shared" ref="CH232" ca="1" si="2875">IFERROR(IF(COUNTIF($K$232:$K$233,LEFT(CG232,FIND("·",CG232)-1))&gt;0,IF(INDEX($L$232:$L$233,MATCH(LEFT(CG232,FIND("·",CG232)-1),$K$232:$K$233,0))=IFERROR(VALUE(MID(CG232,FIND("·",CG232)+1,1)),0),($D$28+(INDEX($M$232:$M$233,MATCH(LEFT(CG232,FIND("·",CG232)-1),$K$232:$K$233,0))=MID(CG232,FIND("|",CG232)+1,10))*$D$30+MAX(0,IF($D$50=1,$D$29*(1-(ABS(INDEX($P$232:$P$233,MATCH(LEFT(CG232,FIND("·",CG232)-1),$K$232:$K$233,0))-(VALUE(MID(CG232,FIND("|",CG232)+1,FIND("-",CG232,FIND("|",CG232))-FIND("|",CG232)-1))-VALUE(MID(CG232,FIND("-",CG232,FIND("|",CG232))+1,10)))))*$D$50),$D$29*(1-(IF(INDEX($L$232:$L$233,MATCH(LEFT(CG232,FIND("·",CG232)-1),$K$232:$K$233,0))=0,ABS(INDEX($N$232:$N$233,MATCH(LEFT(CG232,FIND("·",CG232)-1),$K$232:$K$233,0))-VALUE(MID(CG232,FIND("|",CG232)+1,FIND("-",CG232,FIND("|",CG232))-FIND("|",CG232)-1))),ABS(INDEX($P$232:$P$233,MATCH(LEFT(CG232,FIND("·",CG232)-1),$K$232:$K$233,0))-(VALUE(MID(CG232,FIND("|",CG232)+1,FIND("-",CG232,FIND("|",CG232))-FIND("|",CG232)-1))-VALUE(MID(CG232,FIND("-",CG232,FIND("|",CG232))+1,10)))))*$D$50)))))*INDEX($I$232:$I$233,MATCH(LEFT(CG232,FIND("·",CG232)-1),$K$232:$K$233,0)),0),0),0)+IFERROR(IF(COUNTIF($C$232:$C$233,LEFT(CG232,FIND("·",CG232)-1))&gt;0,IF(INDEX($D$232:$D$233,MATCH(LEFT(CG232,FIND("·",CG232)-1),$C$232:$C$233,0))=IFERROR(VALUE(MID(CG232,FIND("·",CG232)+1,1)),0),($D$28+(INDEX($E$232:$E$233,MATCH(LEFT(CG232,FIND("·",CG232)-1),$C$232:$C$233,0))=MID(CG232,FIND("|",CG232)+1,10))*$D$30+MAX(0,IF($D$50=1,$D$29*(1-(ABS(INDEX($Q$232:$Q$233,MATCH(LEFT(CG232,FIND("·",CG232)-1),$C$232:$C$233,0))-(VALUE(MID(CG232,FIND("|",CG232)+1,FIND("-",CG232,FIND("|",CG232))-FIND("|",CG232)-1))-VALUE(MID(CG232,FIND("-",CG232,FIND("|",CG232))+1,10)))))*$D$50),$D$29*(1-(IF(INDEX($D$232:$D$233,MATCH(LEFT(CG232,FIND("·",CG232)-1),$C$232:$C$233,0))=0,ABS(INDEX($A$232:$A$233,MATCH(LEFT(CG232,FIND("·",CG232)-1),$C$232:$C$233,0))-VALUE(MID(CG232,FIND("|",CG232)+1,FIND("-",CG232,FIND("|",CG232))-FIND("|",CG232)-1))),ABS(INDEX($Q$232:$Q$233,MATCH(LEFT(CG232,FIND("·",CG232)-1),$C$232:$C$233,0))-(VALUE(MID(CG232,FIND("|",CG232)+1,FIND("-",CG232,FIND("|",CG232))-FIND("|",CG232)-1))-VALUE(MID(CG232,FIND("-",CG232,FIND("|",CG232))+1,10)))))*$D$50)))))*INDEX($I$232:$I$233,MATCH(LEFT(CG232,FIND("·",CG232)-1),$C$232:$C$233,0)),0),0),0)</f>
        <v>0</v>
      </c>
      <c r="CI232" s="110"/>
      <c r="CJ232" s="76" t="s">
        <v>2029</v>
      </c>
      <c r="CK232" s="77">
        <f t="shared" ref="CK232" ca="1" si="2876">IFERROR(IF(COUNTIF($K$232:$K$233,LEFT(CJ232,FIND("·",CJ232)-1))&gt;0,IF(INDEX($L$232:$L$233,MATCH(LEFT(CJ232,FIND("·",CJ232)-1),$K$232:$K$233,0))=IFERROR(VALUE(MID(CJ232,FIND("·",CJ232)+1,1)),0),($D$28+(INDEX($M$232:$M$233,MATCH(LEFT(CJ232,FIND("·",CJ232)-1),$K$232:$K$233,0))=MID(CJ232,FIND("|",CJ232)+1,10))*$D$30+MAX(0,IF($D$50=1,$D$29*(1-(ABS(INDEX($P$232:$P$233,MATCH(LEFT(CJ232,FIND("·",CJ232)-1),$K$232:$K$233,0))-(VALUE(MID(CJ232,FIND("|",CJ232)+1,FIND("-",CJ232,FIND("|",CJ232))-FIND("|",CJ232)-1))-VALUE(MID(CJ232,FIND("-",CJ232,FIND("|",CJ232))+1,10)))))*$D$50),$D$29*(1-(IF(INDEX($L$232:$L$233,MATCH(LEFT(CJ232,FIND("·",CJ232)-1),$K$232:$K$233,0))=0,ABS(INDEX($N$232:$N$233,MATCH(LEFT(CJ232,FIND("·",CJ232)-1),$K$232:$K$233,0))-VALUE(MID(CJ232,FIND("|",CJ232)+1,FIND("-",CJ232,FIND("|",CJ232))-FIND("|",CJ232)-1))),ABS(INDEX($P$232:$P$233,MATCH(LEFT(CJ232,FIND("·",CJ232)-1),$K$232:$K$233,0))-(VALUE(MID(CJ232,FIND("|",CJ232)+1,FIND("-",CJ232,FIND("|",CJ232))-FIND("|",CJ232)-1))-VALUE(MID(CJ232,FIND("-",CJ232,FIND("|",CJ232))+1,10)))))*$D$50)))))*INDEX($I$232:$I$233,MATCH(LEFT(CJ232,FIND("·",CJ232)-1),$K$232:$K$233,0)),0),0),0)+IFERROR(IF(COUNTIF($C$232:$C$233,LEFT(CJ232,FIND("·",CJ232)-1))&gt;0,IF(INDEX($D$232:$D$233,MATCH(LEFT(CJ232,FIND("·",CJ232)-1),$C$232:$C$233,0))=IFERROR(VALUE(MID(CJ232,FIND("·",CJ232)+1,1)),0),($D$28+(INDEX($E$232:$E$233,MATCH(LEFT(CJ232,FIND("·",CJ232)-1),$C$232:$C$233,0))=MID(CJ232,FIND("|",CJ232)+1,10))*$D$30+MAX(0,IF($D$50=1,$D$29*(1-(ABS(INDEX($Q$232:$Q$233,MATCH(LEFT(CJ232,FIND("·",CJ232)-1),$C$232:$C$233,0))-(VALUE(MID(CJ232,FIND("|",CJ232)+1,FIND("-",CJ232,FIND("|",CJ232))-FIND("|",CJ232)-1))-VALUE(MID(CJ232,FIND("-",CJ232,FIND("|",CJ232))+1,10)))))*$D$50),$D$29*(1-(IF(INDEX($D$232:$D$233,MATCH(LEFT(CJ232,FIND("·",CJ232)-1),$C$232:$C$233,0))=0,ABS(INDEX($A$232:$A$233,MATCH(LEFT(CJ232,FIND("·",CJ232)-1),$C$232:$C$233,0))-VALUE(MID(CJ232,FIND("|",CJ232)+1,FIND("-",CJ232,FIND("|",CJ232))-FIND("|",CJ232)-1))),ABS(INDEX($Q$232:$Q$233,MATCH(LEFT(CJ232,FIND("·",CJ232)-1),$C$232:$C$233,0))-(VALUE(MID(CJ232,FIND("|",CJ232)+1,FIND("-",CJ232,FIND("|",CJ232))-FIND("|",CJ232)-1))-VALUE(MID(CJ232,FIND("-",CJ232,FIND("|",CJ232))+1,10)))))*$D$50)))))*INDEX($I$232:$I$233,MATCH(LEFT(CJ232,FIND("·",CJ232)-1),$C$232:$C$233,0)),0),0),0)</f>
        <v>0</v>
      </c>
      <c r="CL232" s="110"/>
      <c r="CM232" s="76" t="s">
        <v>2587</v>
      </c>
      <c r="CN232" s="77">
        <f t="shared" ref="CN232" ca="1" si="2877">IFERROR(IF(COUNTIF($K$232:$K$233,LEFT(CM232,FIND("·",CM232)-1))&gt;0,IF(INDEX($L$232:$L$233,MATCH(LEFT(CM232,FIND("·",CM232)-1),$K$232:$K$233,0))=IFERROR(VALUE(MID(CM232,FIND("·",CM232)+1,1)),0),($D$28+(INDEX($M$232:$M$233,MATCH(LEFT(CM232,FIND("·",CM232)-1),$K$232:$K$233,0))=MID(CM232,FIND("|",CM232)+1,10))*$D$30+MAX(0,IF($D$50=1,$D$29*(1-(ABS(INDEX($P$232:$P$233,MATCH(LEFT(CM232,FIND("·",CM232)-1),$K$232:$K$233,0))-(VALUE(MID(CM232,FIND("|",CM232)+1,FIND("-",CM232,FIND("|",CM232))-FIND("|",CM232)-1))-VALUE(MID(CM232,FIND("-",CM232,FIND("|",CM232))+1,10)))))*$D$50),$D$29*(1-(IF(INDEX($L$232:$L$233,MATCH(LEFT(CM232,FIND("·",CM232)-1),$K$232:$K$233,0))=0,ABS(INDEX($N$232:$N$233,MATCH(LEFT(CM232,FIND("·",CM232)-1),$K$232:$K$233,0))-VALUE(MID(CM232,FIND("|",CM232)+1,FIND("-",CM232,FIND("|",CM232))-FIND("|",CM232)-1))),ABS(INDEX($P$232:$P$233,MATCH(LEFT(CM232,FIND("·",CM232)-1),$K$232:$K$233,0))-(VALUE(MID(CM232,FIND("|",CM232)+1,FIND("-",CM232,FIND("|",CM232))-FIND("|",CM232)-1))-VALUE(MID(CM232,FIND("-",CM232,FIND("|",CM232))+1,10)))))*$D$50)))))*INDEX($I$232:$I$233,MATCH(LEFT(CM232,FIND("·",CM232)-1),$K$232:$K$233,0)),0),0),0)+IFERROR(IF(COUNTIF($C$232:$C$233,LEFT(CM232,FIND("·",CM232)-1))&gt;0,IF(INDEX($D$232:$D$233,MATCH(LEFT(CM232,FIND("·",CM232)-1),$C$232:$C$233,0))=IFERROR(VALUE(MID(CM232,FIND("·",CM232)+1,1)),0),($D$28+(INDEX($E$232:$E$233,MATCH(LEFT(CM232,FIND("·",CM232)-1),$C$232:$C$233,0))=MID(CM232,FIND("|",CM232)+1,10))*$D$30+MAX(0,IF($D$50=1,$D$29*(1-(ABS(INDEX($Q$232:$Q$233,MATCH(LEFT(CM232,FIND("·",CM232)-1),$C$232:$C$233,0))-(VALUE(MID(CM232,FIND("|",CM232)+1,FIND("-",CM232,FIND("|",CM232))-FIND("|",CM232)-1))-VALUE(MID(CM232,FIND("-",CM232,FIND("|",CM232))+1,10)))))*$D$50),$D$29*(1-(IF(INDEX($D$232:$D$233,MATCH(LEFT(CM232,FIND("·",CM232)-1),$C$232:$C$233,0))=0,ABS(INDEX($A$232:$A$233,MATCH(LEFT(CM232,FIND("·",CM232)-1),$C$232:$C$233,0))-VALUE(MID(CM232,FIND("|",CM232)+1,FIND("-",CM232,FIND("|",CM232))-FIND("|",CM232)-1))),ABS(INDEX($Q$232:$Q$233,MATCH(LEFT(CM232,FIND("·",CM232)-1),$C$232:$C$233,0))-(VALUE(MID(CM232,FIND("|",CM232)+1,FIND("-",CM232,FIND("|",CM232))-FIND("|",CM232)-1))-VALUE(MID(CM232,FIND("-",CM232,FIND("|",CM232))+1,10)))))*$D$50)))))*INDEX($I$232:$I$233,MATCH(LEFT(CM232,FIND("·",CM232)-1),$C$232:$C$233,0)),0),0),0)</f>
        <v>0</v>
      </c>
      <c r="CO232" s="110"/>
      <c r="CP232" s="76" t="s">
        <v>2600</v>
      </c>
      <c r="CQ232" s="77">
        <f t="shared" ref="CQ232" ca="1" si="2878">IFERROR(IF(COUNTIF($K$232:$K$233,LEFT(CP232,FIND("·",CP232)-1))&gt;0,IF(INDEX($L$232:$L$233,MATCH(LEFT(CP232,FIND("·",CP232)-1),$K$232:$K$233,0))=IFERROR(VALUE(MID(CP232,FIND("·",CP232)+1,1)),0),($D$28+(INDEX($M$232:$M$233,MATCH(LEFT(CP232,FIND("·",CP232)-1),$K$232:$K$233,0))=MID(CP232,FIND("|",CP232)+1,10))*$D$30+MAX(0,IF($D$50=1,$D$29*(1-(ABS(INDEX($P$232:$P$233,MATCH(LEFT(CP232,FIND("·",CP232)-1),$K$232:$K$233,0))-(VALUE(MID(CP232,FIND("|",CP232)+1,FIND("-",CP232,FIND("|",CP232))-FIND("|",CP232)-1))-VALUE(MID(CP232,FIND("-",CP232,FIND("|",CP232))+1,10)))))*$D$50),$D$29*(1-(IF(INDEX($L$232:$L$233,MATCH(LEFT(CP232,FIND("·",CP232)-1),$K$232:$K$233,0))=0,ABS(INDEX($N$232:$N$233,MATCH(LEFT(CP232,FIND("·",CP232)-1),$K$232:$K$233,0))-VALUE(MID(CP232,FIND("|",CP232)+1,FIND("-",CP232,FIND("|",CP232))-FIND("|",CP232)-1))),ABS(INDEX($P$232:$P$233,MATCH(LEFT(CP232,FIND("·",CP232)-1),$K$232:$K$233,0))-(VALUE(MID(CP232,FIND("|",CP232)+1,FIND("-",CP232,FIND("|",CP232))-FIND("|",CP232)-1))-VALUE(MID(CP232,FIND("-",CP232,FIND("|",CP232))+1,10)))))*$D$50)))))*INDEX($I$232:$I$233,MATCH(LEFT(CP232,FIND("·",CP232)-1),$K$232:$K$233,0)),0),0),0)+IFERROR(IF(COUNTIF($C$232:$C$233,LEFT(CP232,FIND("·",CP232)-1))&gt;0,IF(INDEX($D$232:$D$233,MATCH(LEFT(CP232,FIND("·",CP232)-1),$C$232:$C$233,0))=IFERROR(VALUE(MID(CP232,FIND("·",CP232)+1,1)),0),($D$28+(INDEX($E$232:$E$233,MATCH(LEFT(CP232,FIND("·",CP232)-1),$C$232:$C$233,0))=MID(CP232,FIND("|",CP232)+1,10))*$D$30+MAX(0,IF($D$50=1,$D$29*(1-(ABS(INDEX($Q$232:$Q$233,MATCH(LEFT(CP232,FIND("·",CP232)-1),$C$232:$C$233,0))-(VALUE(MID(CP232,FIND("|",CP232)+1,FIND("-",CP232,FIND("|",CP232))-FIND("|",CP232)-1))-VALUE(MID(CP232,FIND("-",CP232,FIND("|",CP232))+1,10)))))*$D$50),$D$29*(1-(IF(INDEX($D$232:$D$233,MATCH(LEFT(CP232,FIND("·",CP232)-1),$C$232:$C$233,0))=0,ABS(INDEX($A$232:$A$233,MATCH(LEFT(CP232,FIND("·",CP232)-1),$C$232:$C$233,0))-VALUE(MID(CP232,FIND("|",CP232)+1,FIND("-",CP232,FIND("|",CP232))-FIND("|",CP232)-1))),ABS(INDEX($Q$232:$Q$233,MATCH(LEFT(CP232,FIND("·",CP232)-1),$C$232:$C$233,0))-(VALUE(MID(CP232,FIND("|",CP232)+1,FIND("-",CP232,FIND("|",CP232))-FIND("|",CP232)-1))-VALUE(MID(CP232,FIND("-",CP232,FIND("|",CP232))+1,10)))))*$D$50)))))*INDEX($I$232:$I$233,MATCH(LEFT(CP232,FIND("·",CP232)-1),$C$232:$C$233,0)),0),0),0)</f>
        <v>0</v>
      </c>
      <c r="CR232" s="110"/>
      <c r="CS232" s="76" t="s">
        <v>2628</v>
      </c>
      <c r="CT232" s="77">
        <f t="shared" ref="CT232" ca="1" si="2879">IFERROR(IF(COUNTIF($K$232:$K$233,LEFT(CS232,FIND("·",CS232)-1))&gt;0,IF(INDEX($L$232:$L$233,MATCH(LEFT(CS232,FIND("·",CS232)-1),$K$232:$K$233,0))=IFERROR(VALUE(MID(CS232,FIND("·",CS232)+1,1)),0),($D$28+(INDEX($M$232:$M$233,MATCH(LEFT(CS232,FIND("·",CS232)-1),$K$232:$K$233,0))=MID(CS232,FIND("|",CS232)+1,10))*$D$30+MAX(0,IF($D$50=1,$D$29*(1-(ABS(INDEX($P$232:$P$233,MATCH(LEFT(CS232,FIND("·",CS232)-1),$K$232:$K$233,0))-(VALUE(MID(CS232,FIND("|",CS232)+1,FIND("-",CS232,FIND("|",CS232))-FIND("|",CS232)-1))-VALUE(MID(CS232,FIND("-",CS232,FIND("|",CS232))+1,10)))))*$D$50),$D$29*(1-(IF(INDEX($L$232:$L$233,MATCH(LEFT(CS232,FIND("·",CS232)-1),$K$232:$K$233,0))=0,ABS(INDEX($N$232:$N$233,MATCH(LEFT(CS232,FIND("·",CS232)-1),$K$232:$K$233,0))-VALUE(MID(CS232,FIND("|",CS232)+1,FIND("-",CS232,FIND("|",CS232))-FIND("|",CS232)-1))),ABS(INDEX($P$232:$P$233,MATCH(LEFT(CS232,FIND("·",CS232)-1),$K$232:$K$233,0))-(VALUE(MID(CS232,FIND("|",CS232)+1,FIND("-",CS232,FIND("|",CS232))-FIND("|",CS232)-1))-VALUE(MID(CS232,FIND("-",CS232,FIND("|",CS232))+1,10)))))*$D$50)))))*INDEX($I$232:$I$233,MATCH(LEFT(CS232,FIND("·",CS232)-1),$K$232:$K$233,0)),0),0),0)+IFERROR(IF(COUNTIF($C$232:$C$233,LEFT(CS232,FIND("·",CS232)-1))&gt;0,IF(INDEX($D$232:$D$233,MATCH(LEFT(CS232,FIND("·",CS232)-1),$C$232:$C$233,0))=IFERROR(VALUE(MID(CS232,FIND("·",CS232)+1,1)),0),($D$28+(INDEX($E$232:$E$233,MATCH(LEFT(CS232,FIND("·",CS232)-1),$C$232:$C$233,0))=MID(CS232,FIND("|",CS232)+1,10))*$D$30+MAX(0,IF($D$50=1,$D$29*(1-(ABS(INDEX($Q$232:$Q$233,MATCH(LEFT(CS232,FIND("·",CS232)-1),$C$232:$C$233,0))-(VALUE(MID(CS232,FIND("|",CS232)+1,FIND("-",CS232,FIND("|",CS232))-FIND("|",CS232)-1))-VALUE(MID(CS232,FIND("-",CS232,FIND("|",CS232))+1,10)))))*$D$50),$D$29*(1-(IF(INDEX($D$232:$D$233,MATCH(LEFT(CS232,FIND("·",CS232)-1),$C$232:$C$233,0))=0,ABS(INDEX($A$232:$A$233,MATCH(LEFT(CS232,FIND("·",CS232)-1),$C$232:$C$233,0))-VALUE(MID(CS232,FIND("|",CS232)+1,FIND("-",CS232,FIND("|",CS232))-FIND("|",CS232)-1))),ABS(INDEX($Q$232:$Q$233,MATCH(LEFT(CS232,FIND("·",CS232)-1),$C$232:$C$233,0))-(VALUE(MID(CS232,FIND("|",CS232)+1,FIND("-",CS232,FIND("|",CS232))-FIND("|",CS232)-1))-VALUE(MID(CS232,FIND("-",CS232,FIND("|",CS232))+1,10)))))*$D$50)))))*INDEX($I$232:$I$233,MATCH(LEFT(CS232,FIND("·",CS232)-1),$C$232:$C$233,0)),0),0),0)</f>
        <v>0</v>
      </c>
      <c r="CU232" s="110"/>
      <c r="CV232" s="76" t="s">
        <v>2029</v>
      </c>
      <c r="CW232" s="77">
        <f t="shared" ref="CW232" ca="1" si="2880">IFERROR(IF(COUNTIF($K$232:$K$233,LEFT(CV232,FIND("·",CV232)-1))&gt;0,IF(INDEX($L$232:$L$233,MATCH(LEFT(CV232,FIND("·",CV232)-1),$K$232:$K$233,0))=IFERROR(VALUE(MID(CV232,FIND("·",CV232)+1,1)),0),($D$28+(INDEX($M$232:$M$233,MATCH(LEFT(CV232,FIND("·",CV232)-1),$K$232:$K$233,0))=MID(CV232,FIND("|",CV232)+1,10))*$D$30+MAX(0,IF($D$50=1,$D$29*(1-(ABS(INDEX($P$232:$P$233,MATCH(LEFT(CV232,FIND("·",CV232)-1),$K$232:$K$233,0))-(VALUE(MID(CV232,FIND("|",CV232)+1,FIND("-",CV232,FIND("|",CV232))-FIND("|",CV232)-1))-VALUE(MID(CV232,FIND("-",CV232,FIND("|",CV232))+1,10)))))*$D$50),$D$29*(1-(IF(INDEX($L$232:$L$233,MATCH(LEFT(CV232,FIND("·",CV232)-1),$K$232:$K$233,0))=0,ABS(INDEX($N$232:$N$233,MATCH(LEFT(CV232,FIND("·",CV232)-1),$K$232:$K$233,0))-VALUE(MID(CV232,FIND("|",CV232)+1,FIND("-",CV232,FIND("|",CV232))-FIND("|",CV232)-1))),ABS(INDEX($P$232:$P$233,MATCH(LEFT(CV232,FIND("·",CV232)-1),$K$232:$K$233,0))-(VALUE(MID(CV232,FIND("|",CV232)+1,FIND("-",CV232,FIND("|",CV232))-FIND("|",CV232)-1))-VALUE(MID(CV232,FIND("-",CV232,FIND("|",CV232))+1,10)))))*$D$50)))))*INDEX($I$232:$I$233,MATCH(LEFT(CV232,FIND("·",CV232)-1),$K$232:$K$233,0)),0),0),0)+IFERROR(IF(COUNTIF($C$232:$C$233,LEFT(CV232,FIND("·",CV232)-1))&gt;0,IF(INDEX($D$232:$D$233,MATCH(LEFT(CV232,FIND("·",CV232)-1),$C$232:$C$233,0))=IFERROR(VALUE(MID(CV232,FIND("·",CV232)+1,1)),0),($D$28+(INDEX($E$232:$E$233,MATCH(LEFT(CV232,FIND("·",CV232)-1),$C$232:$C$233,0))=MID(CV232,FIND("|",CV232)+1,10))*$D$30+MAX(0,IF($D$50=1,$D$29*(1-(ABS(INDEX($Q$232:$Q$233,MATCH(LEFT(CV232,FIND("·",CV232)-1),$C$232:$C$233,0))-(VALUE(MID(CV232,FIND("|",CV232)+1,FIND("-",CV232,FIND("|",CV232))-FIND("|",CV232)-1))-VALUE(MID(CV232,FIND("-",CV232,FIND("|",CV232))+1,10)))))*$D$50),$D$29*(1-(IF(INDEX($D$232:$D$233,MATCH(LEFT(CV232,FIND("·",CV232)-1),$C$232:$C$233,0))=0,ABS(INDEX($A$232:$A$233,MATCH(LEFT(CV232,FIND("·",CV232)-1),$C$232:$C$233,0))-VALUE(MID(CV232,FIND("|",CV232)+1,FIND("-",CV232,FIND("|",CV232))-FIND("|",CV232)-1))),ABS(INDEX($Q$232:$Q$233,MATCH(LEFT(CV232,FIND("·",CV232)-1),$C$232:$C$233,0))-(VALUE(MID(CV232,FIND("|",CV232)+1,FIND("-",CV232,FIND("|",CV232))-FIND("|",CV232)-1))-VALUE(MID(CV232,FIND("-",CV232,FIND("|",CV232))+1,10)))))*$D$50)))))*INDEX($I$232:$I$233,MATCH(LEFT(CV232,FIND("·",CV232)-1),$C$232:$C$233,0)),0),0),0)</f>
        <v>0</v>
      </c>
      <c r="CX232" s="110"/>
      <c r="CY232" s="76" t="s">
        <v>2687</v>
      </c>
      <c r="CZ232" s="77">
        <f t="shared" ref="CZ232" ca="1" si="2881">IFERROR(IF(COUNTIF($K$232:$K$233,LEFT(CY232,FIND("·",CY232)-1))&gt;0,IF(INDEX($L$232:$L$233,MATCH(LEFT(CY232,FIND("·",CY232)-1),$K$232:$K$233,0))=IFERROR(VALUE(MID(CY232,FIND("·",CY232)+1,1)),0),($D$28+(INDEX($M$232:$M$233,MATCH(LEFT(CY232,FIND("·",CY232)-1),$K$232:$K$233,0))=MID(CY232,FIND("|",CY232)+1,10))*$D$30+MAX(0,IF($D$50=1,$D$29*(1-(ABS(INDEX($P$232:$P$233,MATCH(LEFT(CY232,FIND("·",CY232)-1),$K$232:$K$233,0))-(VALUE(MID(CY232,FIND("|",CY232)+1,FIND("-",CY232,FIND("|",CY232))-FIND("|",CY232)-1))-VALUE(MID(CY232,FIND("-",CY232,FIND("|",CY232))+1,10)))))*$D$50),$D$29*(1-(IF(INDEX($L$232:$L$233,MATCH(LEFT(CY232,FIND("·",CY232)-1),$K$232:$K$233,0))=0,ABS(INDEX($N$232:$N$233,MATCH(LEFT(CY232,FIND("·",CY232)-1),$K$232:$K$233,0))-VALUE(MID(CY232,FIND("|",CY232)+1,FIND("-",CY232,FIND("|",CY232))-FIND("|",CY232)-1))),ABS(INDEX($P$232:$P$233,MATCH(LEFT(CY232,FIND("·",CY232)-1),$K$232:$K$233,0))-(VALUE(MID(CY232,FIND("|",CY232)+1,FIND("-",CY232,FIND("|",CY232))-FIND("|",CY232)-1))-VALUE(MID(CY232,FIND("-",CY232,FIND("|",CY232))+1,10)))))*$D$50)))))*INDEX($I$232:$I$233,MATCH(LEFT(CY232,FIND("·",CY232)-1),$K$232:$K$233,0)),0),0),0)+IFERROR(IF(COUNTIF($C$232:$C$233,LEFT(CY232,FIND("·",CY232)-1))&gt;0,IF(INDEX($D$232:$D$233,MATCH(LEFT(CY232,FIND("·",CY232)-1),$C$232:$C$233,0))=IFERROR(VALUE(MID(CY232,FIND("·",CY232)+1,1)),0),($D$28+(INDEX($E$232:$E$233,MATCH(LEFT(CY232,FIND("·",CY232)-1),$C$232:$C$233,0))=MID(CY232,FIND("|",CY232)+1,10))*$D$30+MAX(0,IF($D$50=1,$D$29*(1-(ABS(INDEX($Q$232:$Q$233,MATCH(LEFT(CY232,FIND("·",CY232)-1),$C$232:$C$233,0))-(VALUE(MID(CY232,FIND("|",CY232)+1,FIND("-",CY232,FIND("|",CY232))-FIND("|",CY232)-1))-VALUE(MID(CY232,FIND("-",CY232,FIND("|",CY232))+1,10)))))*$D$50),$D$29*(1-(IF(INDEX($D$232:$D$233,MATCH(LEFT(CY232,FIND("·",CY232)-1),$C$232:$C$233,0))=0,ABS(INDEX($A$232:$A$233,MATCH(LEFT(CY232,FIND("·",CY232)-1),$C$232:$C$233,0))-VALUE(MID(CY232,FIND("|",CY232)+1,FIND("-",CY232,FIND("|",CY232))-FIND("|",CY232)-1))),ABS(INDEX($Q$232:$Q$233,MATCH(LEFT(CY232,FIND("·",CY232)-1),$C$232:$C$233,0))-(VALUE(MID(CY232,FIND("|",CY232)+1,FIND("-",CY232,FIND("|",CY232))-FIND("|",CY232)-1))-VALUE(MID(CY232,FIND("-",CY232,FIND("|",CY232))+1,10)))))*$D$50)))))*INDEX($I$232:$I$233,MATCH(LEFT(CY232,FIND("·",CY232)-1),$C$232:$C$233,0)),0),0),0)</f>
        <v>0</v>
      </c>
      <c r="DA232" s="110"/>
      <c r="DB232" s="76" t="s">
        <v>2097</v>
      </c>
      <c r="DC232" s="77">
        <f t="shared" ref="DC232" ca="1" si="2882">IFERROR(IF(COUNTIF($K$232:$K$233,LEFT(DB232,FIND("·",DB232)-1))&gt;0,IF(INDEX($L$232:$L$233,MATCH(LEFT(DB232,FIND("·",DB232)-1),$K$232:$K$233,0))=IFERROR(VALUE(MID(DB232,FIND("·",DB232)+1,1)),0),($D$28+(INDEX($M$232:$M$233,MATCH(LEFT(DB232,FIND("·",DB232)-1),$K$232:$K$233,0))=MID(DB232,FIND("|",DB232)+1,10))*$D$30+MAX(0,IF($D$50=1,$D$29*(1-(ABS(INDEX($P$232:$P$233,MATCH(LEFT(DB232,FIND("·",DB232)-1),$K$232:$K$233,0))-(VALUE(MID(DB232,FIND("|",DB232)+1,FIND("-",DB232,FIND("|",DB232))-FIND("|",DB232)-1))-VALUE(MID(DB232,FIND("-",DB232,FIND("|",DB232))+1,10)))))*$D$50),$D$29*(1-(IF(INDEX($L$232:$L$233,MATCH(LEFT(DB232,FIND("·",DB232)-1),$K$232:$K$233,0))=0,ABS(INDEX($N$232:$N$233,MATCH(LEFT(DB232,FIND("·",DB232)-1),$K$232:$K$233,0))-VALUE(MID(DB232,FIND("|",DB232)+1,FIND("-",DB232,FIND("|",DB232))-FIND("|",DB232)-1))),ABS(INDEX($P$232:$P$233,MATCH(LEFT(DB232,FIND("·",DB232)-1),$K$232:$K$233,0))-(VALUE(MID(DB232,FIND("|",DB232)+1,FIND("-",DB232,FIND("|",DB232))-FIND("|",DB232)-1))-VALUE(MID(DB232,FIND("-",DB232,FIND("|",DB232))+1,10)))))*$D$50)))))*INDEX($I$232:$I$233,MATCH(LEFT(DB232,FIND("·",DB232)-1),$K$232:$K$233,0)),0),0),0)+IFERROR(IF(COUNTIF($C$232:$C$233,LEFT(DB232,FIND("·",DB232)-1))&gt;0,IF(INDEX($D$232:$D$233,MATCH(LEFT(DB232,FIND("·",DB232)-1),$C$232:$C$233,0))=IFERROR(VALUE(MID(DB232,FIND("·",DB232)+1,1)),0),($D$28+(INDEX($E$232:$E$233,MATCH(LEFT(DB232,FIND("·",DB232)-1),$C$232:$C$233,0))=MID(DB232,FIND("|",DB232)+1,10))*$D$30+MAX(0,IF($D$50=1,$D$29*(1-(ABS(INDEX($Q$232:$Q$233,MATCH(LEFT(DB232,FIND("·",DB232)-1),$C$232:$C$233,0))-(VALUE(MID(DB232,FIND("|",DB232)+1,FIND("-",DB232,FIND("|",DB232))-FIND("|",DB232)-1))-VALUE(MID(DB232,FIND("-",DB232,FIND("|",DB232))+1,10)))))*$D$50),$D$29*(1-(IF(INDEX($D$232:$D$233,MATCH(LEFT(DB232,FIND("·",DB232)-1),$C$232:$C$233,0))=0,ABS(INDEX($A$232:$A$233,MATCH(LEFT(DB232,FIND("·",DB232)-1),$C$232:$C$233,0))-VALUE(MID(DB232,FIND("|",DB232)+1,FIND("-",DB232,FIND("|",DB232))-FIND("|",DB232)-1))),ABS(INDEX($Q$232:$Q$233,MATCH(LEFT(DB232,FIND("·",DB232)-1),$C$232:$C$233,0))-(VALUE(MID(DB232,FIND("|",DB232)+1,FIND("-",DB232,FIND("|",DB232))-FIND("|",DB232)-1))-VALUE(MID(DB232,FIND("-",DB232,FIND("|",DB232))+1,10)))))*$D$50)))))*INDEX($I$232:$I$233,MATCH(LEFT(DB232,FIND("·",DB232)-1),$C$232:$C$233,0)),0),0),0)</f>
        <v>0</v>
      </c>
      <c r="DD232" s="110"/>
      <c r="DE232" s="76" t="s">
        <v>2716</v>
      </c>
      <c r="DF232" s="77">
        <f t="shared" ref="DF232" ca="1" si="2883">IFERROR(IF(COUNTIF($K$232:$K$233,LEFT(DE232,FIND("·",DE232)-1))&gt;0,IF(INDEX($L$232:$L$233,MATCH(LEFT(DE232,FIND("·",DE232)-1),$K$232:$K$233,0))=IFERROR(VALUE(MID(DE232,FIND("·",DE232)+1,1)),0),($D$28+(INDEX($M$232:$M$233,MATCH(LEFT(DE232,FIND("·",DE232)-1),$K$232:$K$233,0))=MID(DE232,FIND("|",DE232)+1,10))*$D$30+MAX(0,IF($D$50=1,$D$29*(1-(ABS(INDEX($P$232:$P$233,MATCH(LEFT(DE232,FIND("·",DE232)-1),$K$232:$K$233,0))-(VALUE(MID(DE232,FIND("|",DE232)+1,FIND("-",DE232,FIND("|",DE232))-FIND("|",DE232)-1))-VALUE(MID(DE232,FIND("-",DE232,FIND("|",DE232))+1,10)))))*$D$50),$D$29*(1-(IF(INDEX($L$232:$L$233,MATCH(LEFT(DE232,FIND("·",DE232)-1),$K$232:$K$233,0))=0,ABS(INDEX($N$232:$N$233,MATCH(LEFT(DE232,FIND("·",DE232)-1),$K$232:$K$233,0))-VALUE(MID(DE232,FIND("|",DE232)+1,FIND("-",DE232,FIND("|",DE232))-FIND("|",DE232)-1))),ABS(INDEX($P$232:$P$233,MATCH(LEFT(DE232,FIND("·",DE232)-1),$K$232:$K$233,0))-(VALUE(MID(DE232,FIND("|",DE232)+1,FIND("-",DE232,FIND("|",DE232))-FIND("|",DE232)-1))-VALUE(MID(DE232,FIND("-",DE232,FIND("|",DE232))+1,10)))))*$D$50)))))*INDEX($I$232:$I$233,MATCH(LEFT(DE232,FIND("·",DE232)-1),$K$232:$K$233,0)),0),0),0)+IFERROR(IF(COUNTIF($C$232:$C$233,LEFT(DE232,FIND("·",DE232)-1))&gt;0,IF(INDEX($D$232:$D$233,MATCH(LEFT(DE232,FIND("·",DE232)-1),$C$232:$C$233,0))=IFERROR(VALUE(MID(DE232,FIND("·",DE232)+1,1)),0),($D$28+(INDEX($E$232:$E$233,MATCH(LEFT(DE232,FIND("·",DE232)-1),$C$232:$C$233,0))=MID(DE232,FIND("|",DE232)+1,10))*$D$30+MAX(0,IF($D$50=1,$D$29*(1-(ABS(INDEX($Q$232:$Q$233,MATCH(LEFT(DE232,FIND("·",DE232)-1),$C$232:$C$233,0))-(VALUE(MID(DE232,FIND("|",DE232)+1,FIND("-",DE232,FIND("|",DE232))-FIND("|",DE232)-1))-VALUE(MID(DE232,FIND("-",DE232,FIND("|",DE232))+1,10)))))*$D$50),$D$29*(1-(IF(INDEX($D$232:$D$233,MATCH(LEFT(DE232,FIND("·",DE232)-1),$C$232:$C$233,0))=0,ABS(INDEX($A$232:$A$233,MATCH(LEFT(DE232,FIND("·",DE232)-1),$C$232:$C$233,0))-VALUE(MID(DE232,FIND("|",DE232)+1,FIND("-",DE232,FIND("|",DE232))-FIND("|",DE232)-1))),ABS(INDEX($Q$232:$Q$233,MATCH(LEFT(DE232,FIND("·",DE232)-1),$C$232:$C$233,0))-(VALUE(MID(DE232,FIND("|",DE232)+1,FIND("-",DE232,FIND("|",DE232))-FIND("|",DE232)-1))-VALUE(MID(DE232,FIND("-",DE232,FIND("|",DE232))+1,10)))))*$D$50)))))*INDEX($I$232:$I$233,MATCH(LEFT(DE232,FIND("·",DE232)-1),$C$232:$C$233,0)),0),0),0)</f>
        <v>0</v>
      </c>
      <c r="DG232" s="110"/>
      <c r="DH232" s="76" t="s">
        <v>2273</v>
      </c>
      <c r="DI232" s="77">
        <f t="shared" ref="DI232" ca="1" si="2884">IFERROR(IF(COUNTIF($K$232:$K$233,LEFT(DH232,FIND("·",DH232)-1))&gt;0,IF(INDEX($L$232:$L$233,MATCH(LEFT(DH232,FIND("·",DH232)-1),$K$232:$K$233,0))=IFERROR(VALUE(MID(DH232,FIND("·",DH232)+1,1)),0),($D$28+(INDEX($M$232:$M$233,MATCH(LEFT(DH232,FIND("·",DH232)-1),$K$232:$K$233,0))=MID(DH232,FIND("|",DH232)+1,10))*$D$30+MAX(0,IF($D$50=1,$D$29*(1-(ABS(INDEX($P$232:$P$233,MATCH(LEFT(DH232,FIND("·",DH232)-1),$K$232:$K$233,0))-(VALUE(MID(DH232,FIND("|",DH232)+1,FIND("-",DH232,FIND("|",DH232))-FIND("|",DH232)-1))-VALUE(MID(DH232,FIND("-",DH232,FIND("|",DH232))+1,10)))))*$D$50),$D$29*(1-(IF(INDEX($L$232:$L$233,MATCH(LEFT(DH232,FIND("·",DH232)-1),$K$232:$K$233,0))=0,ABS(INDEX($N$232:$N$233,MATCH(LEFT(DH232,FIND("·",DH232)-1),$K$232:$K$233,0))-VALUE(MID(DH232,FIND("|",DH232)+1,FIND("-",DH232,FIND("|",DH232))-FIND("|",DH232)-1))),ABS(INDEX($P$232:$P$233,MATCH(LEFT(DH232,FIND("·",DH232)-1),$K$232:$K$233,0))-(VALUE(MID(DH232,FIND("|",DH232)+1,FIND("-",DH232,FIND("|",DH232))-FIND("|",DH232)-1))-VALUE(MID(DH232,FIND("-",DH232,FIND("|",DH232))+1,10)))))*$D$50)))))*INDEX($I$232:$I$233,MATCH(LEFT(DH232,FIND("·",DH232)-1),$K$232:$K$233,0)),0),0),0)+IFERROR(IF(COUNTIF($C$232:$C$233,LEFT(DH232,FIND("·",DH232)-1))&gt;0,IF(INDEX($D$232:$D$233,MATCH(LEFT(DH232,FIND("·",DH232)-1),$C$232:$C$233,0))=IFERROR(VALUE(MID(DH232,FIND("·",DH232)+1,1)),0),($D$28+(INDEX($E$232:$E$233,MATCH(LEFT(DH232,FIND("·",DH232)-1),$C$232:$C$233,0))=MID(DH232,FIND("|",DH232)+1,10))*$D$30+MAX(0,IF($D$50=1,$D$29*(1-(ABS(INDEX($Q$232:$Q$233,MATCH(LEFT(DH232,FIND("·",DH232)-1),$C$232:$C$233,0))-(VALUE(MID(DH232,FIND("|",DH232)+1,FIND("-",DH232,FIND("|",DH232))-FIND("|",DH232)-1))-VALUE(MID(DH232,FIND("-",DH232,FIND("|",DH232))+1,10)))))*$D$50),$D$29*(1-(IF(INDEX($D$232:$D$233,MATCH(LEFT(DH232,FIND("·",DH232)-1),$C$232:$C$233,0))=0,ABS(INDEX($A$232:$A$233,MATCH(LEFT(DH232,FIND("·",DH232)-1),$C$232:$C$233,0))-VALUE(MID(DH232,FIND("|",DH232)+1,FIND("-",DH232,FIND("|",DH232))-FIND("|",DH232)-1))),ABS(INDEX($Q$232:$Q$233,MATCH(LEFT(DH232,FIND("·",DH232)-1),$C$232:$C$233,0))-(VALUE(MID(DH232,FIND("|",DH232)+1,FIND("-",DH232,FIND("|",DH232))-FIND("|",DH232)-1))-VALUE(MID(DH232,FIND("-",DH232,FIND("|",DH232))+1,10)))))*$D$50)))))*INDEX($I$232:$I$233,MATCH(LEFT(DH232,FIND("·",DH232)-1),$C$232:$C$233,0)),0),0),0)</f>
        <v>0</v>
      </c>
      <c r="DJ232" s="110"/>
      <c r="DK232" s="76" t="s">
        <v>2342</v>
      </c>
      <c r="DL232" s="77">
        <f t="shared" ref="DL232" ca="1" si="2885">IFERROR(IF(COUNTIF($K$232:$K$233,LEFT(DK232,FIND("·",DK232)-1))&gt;0,IF(INDEX($L$232:$L$233,MATCH(LEFT(DK232,FIND("·",DK232)-1),$K$232:$K$233,0))=IFERROR(VALUE(MID(DK232,FIND("·",DK232)+1,1)),0),($D$28+(INDEX($M$232:$M$233,MATCH(LEFT(DK232,FIND("·",DK232)-1),$K$232:$K$233,0))=MID(DK232,FIND("|",DK232)+1,10))*$D$30+MAX(0,IF($D$50=1,$D$29*(1-(ABS(INDEX($P$232:$P$233,MATCH(LEFT(DK232,FIND("·",DK232)-1),$K$232:$K$233,0))-(VALUE(MID(DK232,FIND("|",DK232)+1,FIND("-",DK232,FIND("|",DK232))-FIND("|",DK232)-1))-VALUE(MID(DK232,FIND("-",DK232,FIND("|",DK232))+1,10)))))*$D$50),$D$29*(1-(IF(INDEX($L$232:$L$233,MATCH(LEFT(DK232,FIND("·",DK232)-1),$K$232:$K$233,0))=0,ABS(INDEX($N$232:$N$233,MATCH(LEFT(DK232,FIND("·",DK232)-1),$K$232:$K$233,0))-VALUE(MID(DK232,FIND("|",DK232)+1,FIND("-",DK232,FIND("|",DK232))-FIND("|",DK232)-1))),ABS(INDEX($P$232:$P$233,MATCH(LEFT(DK232,FIND("·",DK232)-1),$K$232:$K$233,0))-(VALUE(MID(DK232,FIND("|",DK232)+1,FIND("-",DK232,FIND("|",DK232))-FIND("|",DK232)-1))-VALUE(MID(DK232,FIND("-",DK232,FIND("|",DK232))+1,10)))))*$D$50)))))*INDEX($I$232:$I$233,MATCH(LEFT(DK232,FIND("·",DK232)-1),$K$232:$K$233,0)),0),0),0)+IFERROR(IF(COUNTIF($C$232:$C$233,LEFT(DK232,FIND("·",DK232)-1))&gt;0,IF(INDEX($D$232:$D$233,MATCH(LEFT(DK232,FIND("·",DK232)-1),$C$232:$C$233,0))=IFERROR(VALUE(MID(DK232,FIND("·",DK232)+1,1)),0),($D$28+(INDEX($E$232:$E$233,MATCH(LEFT(DK232,FIND("·",DK232)-1),$C$232:$C$233,0))=MID(DK232,FIND("|",DK232)+1,10))*$D$30+MAX(0,IF($D$50=1,$D$29*(1-(ABS(INDEX($Q$232:$Q$233,MATCH(LEFT(DK232,FIND("·",DK232)-1),$C$232:$C$233,0))-(VALUE(MID(DK232,FIND("|",DK232)+1,FIND("-",DK232,FIND("|",DK232))-FIND("|",DK232)-1))-VALUE(MID(DK232,FIND("-",DK232,FIND("|",DK232))+1,10)))))*$D$50),$D$29*(1-(IF(INDEX($D$232:$D$233,MATCH(LEFT(DK232,FIND("·",DK232)-1),$C$232:$C$233,0))=0,ABS(INDEX($A$232:$A$233,MATCH(LEFT(DK232,FIND("·",DK232)-1),$C$232:$C$233,0))-VALUE(MID(DK232,FIND("|",DK232)+1,FIND("-",DK232,FIND("|",DK232))-FIND("|",DK232)-1))),ABS(INDEX($Q$232:$Q$233,MATCH(LEFT(DK232,FIND("·",DK232)-1),$C$232:$C$233,0))-(VALUE(MID(DK232,FIND("|",DK232)+1,FIND("-",DK232,FIND("|",DK232))-FIND("|",DK232)-1))-VALUE(MID(DK232,FIND("-",DK232,FIND("|",DK232))+1,10)))))*$D$50)))))*INDEX($I$232:$I$233,MATCH(LEFT(DK232,FIND("·",DK232)-1),$C$232:$C$233,0)),0),0),0)</f>
        <v>10</v>
      </c>
      <c r="DM232" s="110"/>
      <c r="DN232" s="76" t="s">
        <v>2600</v>
      </c>
      <c r="DO232" s="77">
        <f t="shared" ref="DO232" ca="1" si="2886">IFERROR(IF(COUNTIF($K$232:$K$233,LEFT(DN232,FIND("·",DN232)-1))&gt;0,IF(INDEX($L$232:$L$233,MATCH(LEFT(DN232,FIND("·",DN232)-1),$K$232:$K$233,0))=IFERROR(VALUE(MID(DN232,FIND("·",DN232)+1,1)),0),($D$28+(INDEX($M$232:$M$233,MATCH(LEFT(DN232,FIND("·",DN232)-1),$K$232:$K$233,0))=MID(DN232,FIND("|",DN232)+1,10))*$D$30+MAX(0,IF($D$50=1,$D$29*(1-(ABS(INDEX($P$232:$P$233,MATCH(LEFT(DN232,FIND("·",DN232)-1),$K$232:$K$233,0))-(VALUE(MID(DN232,FIND("|",DN232)+1,FIND("-",DN232,FIND("|",DN232))-FIND("|",DN232)-1))-VALUE(MID(DN232,FIND("-",DN232,FIND("|",DN232))+1,10)))))*$D$50),$D$29*(1-(IF(INDEX($L$232:$L$233,MATCH(LEFT(DN232,FIND("·",DN232)-1),$K$232:$K$233,0))=0,ABS(INDEX($N$232:$N$233,MATCH(LEFT(DN232,FIND("·",DN232)-1),$K$232:$K$233,0))-VALUE(MID(DN232,FIND("|",DN232)+1,FIND("-",DN232,FIND("|",DN232))-FIND("|",DN232)-1))),ABS(INDEX($P$232:$P$233,MATCH(LEFT(DN232,FIND("·",DN232)-1),$K$232:$K$233,0))-(VALUE(MID(DN232,FIND("|",DN232)+1,FIND("-",DN232,FIND("|",DN232))-FIND("|",DN232)-1))-VALUE(MID(DN232,FIND("-",DN232,FIND("|",DN232))+1,10)))))*$D$50)))))*INDEX($I$232:$I$233,MATCH(LEFT(DN232,FIND("·",DN232)-1),$K$232:$K$233,0)),0),0),0)+IFERROR(IF(COUNTIF($C$232:$C$233,LEFT(DN232,FIND("·",DN232)-1))&gt;0,IF(INDEX($D$232:$D$233,MATCH(LEFT(DN232,FIND("·",DN232)-1),$C$232:$C$233,0))=IFERROR(VALUE(MID(DN232,FIND("·",DN232)+1,1)),0),($D$28+(INDEX($E$232:$E$233,MATCH(LEFT(DN232,FIND("·",DN232)-1),$C$232:$C$233,0))=MID(DN232,FIND("|",DN232)+1,10))*$D$30+MAX(0,IF($D$50=1,$D$29*(1-(ABS(INDEX($Q$232:$Q$233,MATCH(LEFT(DN232,FIND("·",DN232)-1),$C$232:$C$233,0))-(VALUE(MID(DN232,FIND("|",DN232)+1,FIND("-",DN232,FIND("|",DN232))-FIND("|",DN232)-1))-VALUE(MID(DN232,FIND("-",DN232,FIND("|",DN232))+1,10)))))*$D$50),$D$29*(1-(IF(INDEX($D$232:$D$233,MATCH(LEFT(DN232,FIND("·",DN232)-1),$C$232:$C$233,0))=0,ABS(INDEX($A$232:$A$233,MATCH(LEFT(DN232,FIND("·",DN232)-1),$C$232:$C$233,0))-VALUE(MID(DN232,FIND("|",DN232)+1,FIND("-",DN232,FIND("|",DN232))-FIND("|",DN232)-1))),ABS(INDEX($Q$232:$Q$233,MATCH(LEFT(DN232,FIND("·",DN232)-1),$C$232:$C$233,0))-(VALUE(MID(DN232,FIND("|",DN232)+1,FIND("-",DN232,FIND("|",DN232))-FIND("|",DN232)-1))-VALUE(MID(DN232,FIND("-",DN232,FIND("|",DN232))+1,10)))))*$D$50)))))*INDEX($I$232:$I$233,MATCH(LEFT(DN232,FIND("·",DN232)-1),$C$232:$C$233,0)),0),0),0)</f>
        <v>0</v>
      </c>
      <c r="DP232" s="110"/>
      <c r="DQ232" s="76" t="s">
        <v>2097</v>
      </c>
      <c r="DR232" s="77">
        <f t="shared" ref="DR232" ca="1" si="2887">IFERROR(IF(COUNTIF($K$232:$K$233,LEFT(DQ232,FIND("·",DQ232)-1))&gt;0,IF(INDEX($L$232:$L$233,MATCH(LEFT(DQ232,FIND("·",DQ232)-1),$K$232:$K$233,0))=IFERROR(VALUE(MID(DQ232,FIND("·",DQ232)+1,1)),0),($D$28+(INDEX($M$232:$M$233,MATCH(LEFT(DQ232,FIND("·",DQ232)-1),$K$232:$K$233,0))=MID(DQ232,FIND("|",DQ232)+1,10))*$D$30+MAX(0,IF($D$50=1,$D$29*(1-(ABS(INDEX($P$232:$P$233,MATCH(LEFT(DQ232,FIND("·",DQ232)-1),$K$232:$K$233,0))-(VALUE(MID(DQ232,FIND("|",DQ232)+1,FIND("-",DQ232,FIND("|",DQ232))-FIND("|",DQ232)-1))-VALUE(MID(DQ232,FIND("-",DQ232,FIND("|",DQ232))+1,10)))))*$D$50),$D$29*(1-(IF(INDEX($L$232:$L$233,MATCH(LEFT(DQ232,FIND("·",DQ232)-1),$K$232:$K$233,0))=0,ABS(INDEX($N$232:$N$233,MATCH(LEFT(DQ232,FIND("·",DQ232)-1),$K$232:$K$233,0))-VALUE(MID(DQ232,FIND("|",DQ232)+1,FIND("-",DQ232,FIND("|",DQ232))-FIND("|",DQ232)-1))),ABS(INDEX($P$232:$P$233,MATCH(LEFT(DQ232,FIND("·",DQ232)-1),$K$232:$K$233,0))-(VALUE(MID(DQ232,FIND("|",DQ232)+1,FIND("-",DQ232,FIND("|",DQ232))-FIND("|",DQ232)-1))-VALUE(MID(DQ232,FIND("-",DQ232,FIND("|",DQ232))+1,10)))))*$D$50)))))*INDEX($I$232:$I$233,MATCH(LEFT(DQ232,FIND("·",DQ232)-1),$K$232:$K$233,0)),0),0),0)+IFERROR(IF(COUNTIF($C$232:$C$233,LEFT(DQ232,FIND("·",DQ232)-1))&gt;0,IF(INDEX($D$232:$D$233,MATCH(LEFT(DQ232,FIND("·",DQ232)-1),$C$232:$C$233,0))=IFERROR(VALUE(MID(DQ232,FIND("·",DQ232)+1,1)),0),($D$28+(INDEX($E$232:$E$233,MATCH(LEFT(DQ232,FIND("·",DQ232)-1),$C$232:$C$233,0))=MID(DQ232,FIND("|",DQ232)+1,10))*$D$30+MAX(0,IF($D$50=1,$D$29*(1-(ABS(INDEX($Q$232:$Q$233,MATCH(LEFT(DQ232,FIND("·",DQ232)-1),$C$232:$C$233,0))-(VALUE(MID(DQ232,FIND("|",DQ232)+1,FIND("-",DQ232,FIND("|",DQ232))-FIND("|",DQ232)-1))-VALUE(MID(DQ232,FIND("-",DQ232,FIND("|",DQ232))+1,10)))))*$D$50),$D$29*(1-(IF(INDEX($D$232:$D$233,MATCH(LEFT(DQ232,FIND("·",DQ232)-1),$C$232:$C$233,0))=0,ABS(INDEX($A$232:$A$233,MATCH(LEFT(DQ232,FIND("·",DQ232)-1),$C$232:$C$233,0))-VALUE(MID(DQ232,FIND("|",DQ232)+1,FIND("-",DQ232,FIND("|",DQ232))-FIND("|",DQ232)-1))),ABS(INDEX($Q$232:$Q$233,MATCH(LEFT(DQ232,FIND("·",DQ232)-1),$C$232:$C$233,0))-(VALUE(MID(DQ232,FIND("|",DQ232)+1,FIND("-",DQ232,FIND("|",DQ232))-FIND("|",DQ232)-1))-VALUE(MID(DQ232,FIND("-",DQ232,FIND("|",DQ232))+1,10)))))*$D$50)))))*INDEX($I$232:$I$233,MATCH(LEFT(DQ232,FIND("·",DQ232)-1),$C$232:$C$233,0)),0),0),0)</f>
        <v>0</v>
      </c>
      <c r="DS232" s="110"/>
      <c r="DT232" s="76" t="s">
        <v>2716</v>
      </c>
      <c r="DU232" s="77">
        <f t="shared" ref="DU232" ca="1" si="2888">IFERROR(IF(COUNTIF($K$232:$K$233,LEFT(DT232,FIND("·",DT232)-1))&gt;0,IF(INDEX($L$232:$L$233,MATCH(LEFT(DT232,FIND("·",DT232)-1),$K$232:$K$233,0))=IFERROR(VALUE(MID(DT232,FIND("·",DT232)+1,1)),0),($D$28+(INDEX($M$232:$M$233,MATCH(LEFT(DT232,FIND("·",DT232)-1),$K$232:$K$233,0))=MID(DT232,FIND("|",DT232)+1,10))*$D$30+MAX(0,IF($D$50=1,$D$29*(1-(ABS(INDEX($P$232:$P$233,MATCH(LEFT(DT232,FIND("·",DT232)-1),$K$232:$K$233,0))-(VALUE(MID(DT232,FIND("|",DT232)+1,FIND("-",DT232,FIND("|",DT232))-FIND("|",DT232)-1))-VALUE(MID(DT232,FIND("-",DT232,FIND("|",DT232))+1,10)))))*$D$50),$D$29*(1-(IF(INDEX($L$232:$L$233,MATCH(LEFT(DT232,FIND("·",DT232)-1),$K$232:$K$233,0))=0,ABS(INDEX($N$232:$N$233,MATCH(LEFT(DT232,FIND("·",DT232)-1),$K$232:$K$233,0))-VALUE(MID(DT232,FIND("|",DT232)+1,FIND("-",DT232,FIND("|",DT232))-FIND("|",DT232)-1))),ABS(INDEX($P$232:$P$233,MATCH(LEFT(DT232,FIND("·",DT232)-1),$K$232:$K$233,0))-(VALUE(MID(DT232,FIND("|",DT232)+1,FIND("-",DT232,FIND("|",DT232))-FIND("|",DT232)-1))-VALUE(MID(DT232,FIND("-",DT232,FIND("|",DT232))+1,10)))))*$D$50)))))*INDEX($I$232:$I$233,MATCH(LEFT(DT232,FIND("·",DT232)-1),$K$232:$K$233,0)),0),0),0)+IFERROR(IF(COUNTIF($C$232:$C$233,LEFT(DT232,FIND("·",DT232)-1))&gt;0,IF(INDEX($D$232:$D$233,MATCH(LEFT(DT232,FIND("·",DT232)-1),$C$232:$C$233,0))=IFERROR(VALUE(MID(DT232,FIND("·",DT232)+1,1)),0),($D$28+(INDEX($E$232:$E$233,MATCH(LEFT(DT232,FIND("·",DT232)-1),$C$232:$C$233,0))=MID(DT232,FIND("|",DT232)+1,10))*$D$30+MAX(0,IF($D$50=1,$D$29*(1-(ABS(INDEX($Q$232:$Q$233,MATCH(LEFT(DT232,FIND("·",DT232)-1),$C$232:$C$233,0))-(VALUE(MID(DT232,FIND("|",DT232)+1,FIND("-",DT232,FIND("|",DT232))-FIND("|",DT232)-1))-VALUE(MID(DT232,FIND("-",DT232,FIND("|",DT232))+1,10)))))*$D$50),$D$29*(1-(IF(INDEX($D$232:$D$233,MATCH(LEFT(DT232,FIND("·",DT232)-1),$C$232:$C$233,0))=0,ABS(INDEX($A$232:$A$233,MATCH(LEFT(DT232,FIND("·",DT232)-1),$C$232:$C$233,0))-VALUE(MID(DT232,FIND("|",DT232)+1,FIND("-",DT232,FIND("|",DT232))-FIND("|",DT232)-1))),ABS(INDEX($Q$232:$Q$233,MATCH(LEFT(DT232,FIND("·",DT232)-1),$C$232:$C$233,0))-(VALUE(MID(DT232,FIND("|",DT232)+1,FIND("-",DT232,FIND("|",DT232))-FIND("|",DT232)-1))-VALUE(MID(DT232,FIND("-",DT232,FIND("|",DT232))+1,10)))))*$D$50)))))*INDEX($I$232:$I$233,MATCH(LEFT(DT232,FIND("·",DT232)-1),$C$232:$C$233,0)),0),0),0)</f>
        <v>0</v>
      </c>
      <c r="DV232" s="110"/>
      <c r="DW232" s="76" t="s">
        <v>2814</v>
      </c>
      <c r="DX232" s="77">
        <f t="shared" ref="DX232" ca="1" si="2889">IFERROR(IF(COUNTIF($K$232:$K$233,LEFT(DW232,FIND("·",DW232)-1))&gt;0,IF(INDEX($L$232:$L$233,MATCH(LEFT(DW232,FIND("·",DW232)-1),$K$232:$K$233,0))=IFERROR(VALUE(MID(DW232,FIND("·",DW232)+1,1)),0),($D$28+(INDEX($M$232:$M$233,MATCH(LEFT(DW232,FIND("·",DW232)-1),$K$232:$K$233,0))=MID(DW232,FIND("|",DW232)+1,10))*$D$30+MAX(0,IF($D$50=1,$D$29*(1-(ABS(INDEX($P$232:$P$233,MATCH(LEFT(DW232,FIND("·",DW232)-1),$K$232:$K$233,0))-(VALUE(MID(DW232,FIND("|",DW232)+1,FIND("-",DW232,FIND("|",DW232))-FIND("|",DW232)-1))-VALUE(MID(DW232,FIND("-",DW232,FIND("|",DW232))+1,10)))))*$D$50),$D$29*(1-(IF(INDEX($L$232:$L$233,MATCH(LEFT(DW232,FIND("·",DW232)-1),$K$232:$K$233,0))=0,ABS(INDEX($N$232:$N$233,MATCH(LEFT(DW232,FIND("·",DW232)-1),$K$232:$K$233,0))-VALUE(MID(DW232,FIND("|",DW232)+1,FIND("-",DW232,FIND("|",DW232))-FIND("|",DW232)-1))),ABS(INDEX($P$232:$P$233,MATCH(LEFT(DW232,FIND("·",DW232)-1),$K$232:$K$233,0))-(VALUE(MID(DW232,FIND("|",DW232)+1,FIND("-",DW232,FIND("|",DW232))-FIND("|",DW232)-1))-VALUE(MID(DW232,FIND("-",DW232,FIND("|",DW232))+1,10)))))*$D$50)))))*INDEX($I$232:$I$233,MATCH(LEFT(DW232,FIND("·",DW232)-1),$K$232:$K$233,0)),0),0),0)+IFERROR(IF(COUNTIF($C$232:$C$233,LEFT(DW232,FIND("·",DW232)-1))&gt;0,IF(INDEX($D$232:$D$233,MATCH(LEFT(DW232,FIND("·",DW232)-1),$C$232:$C$233,0))=IFERROR(VALUE(MID(DW232,FIND("·",DW232)+1,1)),0),($D$28+(INDEX($E$232:$E$233,MATCH(LEFT(DW232,FIND("·",DW232)-1),$C$232:$C$233,0))=MID(DW232,FIND("|",DW232)+1,10))*$D$30+MAX(0,IF($D$50=1,$D$29*(1-(ABS(INDEX($Q$232:$Q$233,MATCH(LEFT(DW232,FIND("·",DW232)-1),$C$232:$C$233,0))-(VALUE(MID(DW232,FIND("|",DW232)+1,FIND("-",DW232,FIND("|",DW232))-FIND("|",DW232)-1))-VALUE(MID(DW232,FIND("-",DW232,FIND("|",DW232))+1,10)))))*$D$50),$D$29*(1-(IF(INDEX($D$232:$D$233,MATCH(LEFT(DW232,FIND("·",DW232)-1),$C$232:$C$233,0))=0,ABS(INDEX($A$232:$A$233,MATCH(LEFT(DW232,FIND("·",DW232)-1),$C$232:$C$233,0))-VALUE(MID(DW232,FIND("|",DW232)+1,FIND("-",DW232,FIND("|",DW232))-FIND("|",DW232)-1))),ABS(INDEX($Q$232:$Q$233,MATCH(LEFT(DW232,FIND("·",DW232)-1),$C$232:$C$233,0))-(VALUE(MID(DW232,FIND("|",DW232)+1,FIND("-",DW232,FIND("|",DW232))-FIND("|",DW232)-1))-VALUE(MID(DW232,FIND("-",DW232,FIND("|",DW232))+1,10)))))*$D$50)))))*INDEX($I$232:$I$233,MATCH(LEFT(DW232,FIND("·",DW232)-1),$C$232:$C$233,0)),0),0),0)</f>
        <v>10</v>
      </c>
      <c r="DY232" s="110"/>
      <c r="DZ232" s="76" t="s">
        <v>2097</v>
      </c>
      <c r="EA232" s="77">
        <f t="shared" ref="EA232" ca="1" si="2890">IFERROR(IF(COUNTIF($K$232:$K$233,LEFT(DZ232,FIND("·",DZ232)-1))&gt;0,IF(INDEX($L$232:$L$233,MATCH(LEFT(DZ232,FIND("·",DZ232)-1),$K$232:$K$233,0))=IFERROR(VALUE(MID(DZ232,FIND("·",DZ232)+1,1)),0),($D$28+(INDEX($M$232:$M$233,MATCH(LEFT(DZ232,FIND("·",DZ232)-1),$K$232:$K$233,0))=MID(DZ232,FIND("|",DZ232)+1,10))*$D$30+MAX(0,IF($D$50=1,$D$29*(1-(ABS(INDEX($P$232:$P$233,MATCH(LEFT(DZ232,FIND("·",DZ232)-1),$K$232:$K$233,0))-(VALUE(MID(DZ232,FIND("|",DZ232)+1,FIND("-",DZ232,FIND("|",DZ232))-FIND("|",DZ232)-1))-VALUE(MID(DZ232,FIND("-",DZ232,FIND("|",DZ232))+1,10)))))*$D$50),$D$29*(1-(IF(INDEX($L$232:$L$233,MATCH(LEFT(DZ232,FIND("·",DZ232)-1),$K$232:$K$233,0))=0,ABS(INDEX($N$232:$N$233,MATCH(LEFT(DZ232,FIND("·",DZ232)-1),$K$232:$K$233,0))-VALUE(MID(DZ232,FIND("|",DZ232)+1,FIND("-",DZ232,FIND("|",DZ232))-FIND("|",DZ232)-1))),ABS(INDEX($P$232:$P$233,MATCH(LEFT(DZ232,FIND("·",DZ232)-1),$K$232:$K$233,0))-(VALUE(MID(DZ232,FIND("|",DZ232)+1,FIND("-",DZ232,FIND("|",DZ232))-FIND("|",DZ232)-1))-VALUE(MID(DZ232,FIND("-",DZ232,FIND("|",DZ232))+1,10)))))*$D$50)))))*INDEX($I$232:$I$233,MATCH(LEFT(DZ232,FIND("·",DZ232)-1),$K$232:$K$233,0)),0),0),0)+IFERROR(IF(COUNTIF($C$232:$C$233,LEFT(DZ232,FIND("·",DZ232)-1))&gt;0,IF(INDEX($D$232:$D$233,MATCH(LEFT(DZ232,FIND("·",DZ232)-1),$C$232:$C$233,0))=IFERROR(VALUE(MID(DZ232,FIND("·",DZ232)+1,1)),0),($D$28+(INDEX($E$232:$E$233,MATCH(LEFT(DZ232,FIND("·",DZ232)-1),$C$232:$C$233,0))=MID(DZ232,FIND("|",DZ232)+1,10))*$D$30+MAX(0,IF($D$50=1,$D$29*(1-(ABS(INDEX($Q$232:$Q$233,MATCH(LEFT(DZ232,FIND("·",DZ232)-1),$C$232:$C$233,0))-(VALUE(MID(DZ232,FIND("|",DZ232)+1,FIND("-",DZ232,FIND("|",DZ232))-FIND("|",DZ232)-1))-VALUE(MID(DZ232,FIND("-",DZ232,FIND("|",DZ232))+1,10)))))*$D$50),$D$29*(1-(IF(INDEX($D$232:$D$233,MATCH(LEFT(DZ232,FIND("·",DZ232)-1),$C$232:$C$233,0))=0,ABS(INDEX($A$232:$A$233,MATCH(LEFT(DZ232,FIND("·",DZ232)-1),$C$232:$C$233,0))-VALUE(MID(DZ232,FIND("|",DZ232)+1,FIND("-",DZ232,FIND("|",DZ232))-FIND("|",DZ232)-1))),ABS(INDEX($Q$232:$Q$233,MATCH(LEFT(DZ232,FIND("·",DZ232)-1),$C$232:$C$233,0))-(VALUE(MID(DZ232,FIND("|",DZ232)+1,FIND("-",DZ232,FIND("|",DZ232))-FIND("|",DZ232)-1))-VALUE(MID(DZ232,FIND("-",DZ232,FIND("|",DZ232))+1,10)))))*$D$50)))))*INDEX($I$232:$I$233,MATCH(LEFT(DZ232,FIND("·",DZ232)-1),$C$232:$C$233,0)),0),0),0)</f>
        <v>0</v>
      </c>
      <c r="EB232" s="110"/>
      <c r="EC232" s="76" t="s">
        <v>2273</v>
      </c>
      <c r="ED232" s="77">
        <f t="shared" ref="ED232" ca="1" si="2891">IFERROR(IF(COUNTIF($K$232:$K$233,LEFT(EC232,FIND("·",EC232)-1))&gt;0,IF(INDEX($L$232:$L$233,MATCH(LEFT(EC232,FIND("·",EC232)-1),$K$232:$K$233,0))=IFERROR(VALUE(MID(EC232,FIND("·",EC232)+1,1)),0),($D$28+(INDEX($M$232:$M$233,MATCH(LEFT(EC232,FIND("·",EC232)-1),$K$232:$K$233,0))=MID(EC232,FIND("|",EC232)+1,10))*$D$30+MAX(0,IF($D$50=1,$D$29*(1-(ABS(INDEX($P$232:$P$233,MATCH(LEFT(EC232,FIND("·",EC232)-1),$K$232:$K$233,0))-(VALUE(MID(EC232,FIND("|",EC232)+1,FIND("-",EC232,FIND("|",EC232))-FIND("|",EC232)-1))-VALUE(MID(EC232,FIND("-",EC232,FIND("|",EC232))+1,10)))))*$D$50),$D$29*(1-(IF(INDEX($L$232:$L$233,MATCH(LEFT(EC232,FIND("·",EC232)-1),$K$232:$K$233,0))=0,ABS(INDEX($N$232:$N$233,MATCH(LEFT(EC232,FIND("·",EC232)-1),$K$232:$K$233,0))-VALUE(MID(EC232,FIND("|",EC232)+1,FIND("-",EC232,FIND("|",EC232))-FIND("|",EC232)-1))),ABS(INDEX($P$232:$P$233,MATCH(LEFT(EC232,FIND("·",EC232)-1),$K$232:$K$233,0))-(VALUE(MID(EC232,FIND("|",EC232)+1,FIND("-",EC232,FIND("|",EC232))-FIND("|",EC232)-1))-VALUE(MID(EC232,FIND("-",EC232,FIND("|",EC232))+1,10)))))*$D$50)))))*INDEX($I$232:$I$233,MATCH(LEFT(EC232,FIND("·",EC232)-1),$K$232:$K$233,0)),0),0),0)+IFERROR(IF(COUNTIF($C$232:$C$233,LEFT(EC232,FIND("·",EC232)-1))&gt;0,IF(INDEX($D$232:$D$233,MATCH(LEFT(EC232,FIND("·",EC232)-1),$C$232:$C$233,0))=IFERROR(VALUE(MID(EC232,FIND("·",EC232)+1,1)),0),($D$28+(INDEX($E$232:$E$233,MATCH(LEFT(EC232,FIND("·",EC232)-1),$C$232:$C$233,0))=MID(EC232,FIND("|",EC232)+1,10))*$D$30+MAX(0,IF($D$50=1,$D$29*(1-(ABS(INDEX($Q$232:$Q$233,MATCH(LEFT(EC232,FIND("·",EC232)-1),$C$232:$C$233,0))-(VALUE(MID(EC232,FIND("|",EC232)+1,FIND("-",EC232,FIND("|",EC232))-FIND("|",EC232)-1))-VALUE(MID(EC232,FIND("-",EC232,FIND("|",EC232))+1,10)))))*$D$50),$D$29*(1-(IF(INDEX($D$232:$D$233,MATCH(LEFT(EC232,FIND("·",EC232)-1),$C$232:$C$233,0))=0,ABS(INDEX($A$232:$A$233,MATCH(LEFT(EC232,FIND("·",EC232)-1),$C$232:$C$233,0))-VALUE(MID(EC232,FIND("|",EC232)+1,FIND("-",EC232,FIND("|",EC232))-FIND("|",EC232)-1))),ABS(INDEX($Q$232:$Q$233,MATCH(LEFT(EC232,FIND("·",EC232)-1),$C$232:$C$233,0))-(VALUE(MID(EC232,FIND("|",EC232)+1,FIND("-",EC232,FIND("|",EC232))-FIND("|",EC232)-1))-VALUE(MID(EC232,FIND("-",EC232,FIND("|",EC232))+1,10)))))*$D$50)))))*INDEX($I$232:$I$233,MATCH(LEFT(EC232,FIND("·",EC232)-1),$C$232:$C$233,0)),0),0),0)</f>
        <v>0</v>
      </c>
      <c r="EE232" s="110"/>
      <c r="EF232" s="76" t="s">
        <v>2849</v>
      </c>
      <c r="EG232" s="77">
        <f t="shared" ref="EG232" ca="1" si="2892">IFERROR(IF(COUNTIF($K$232:$K$233,LEFT(EF232,FIND("·",EF232)-1))&gt;0,IF(INDEX($L$232:$L$233,MATCH(LEFT(EF232,FIND("·",EF232)-1),$K$232:$K$233,0))=IFERROR(VALUE(MID(EF232,FIND("·",EF232)+1,1)),0),($D$28+(INDEX($M$232:$M$233,MATCH(LEFT(EF232,FIND("·",EF232)-1),$K$232:$K$233,0))=MID(EF232,FIND("|",EF232)+1,10))*$D$30+MAX(0,IF($D$50=1,$D$29*(1-(ABS(INDEX($P$232:$P$233,MATCH(LEFT(EF232,FIND("·",EF232)-1),$K$232:$K$233,0))-(VALUE(MID(EF232,FIND("|",EF232)+1,FIND("-",EF232,FIND("|",EF232))-FIND("|",EF232)-1))-VALUE(MID(EF232,FIND("-",EF232,FIND("|",EF232))+1,10)))))*$D$50),$D$29*(1-(IF(INDEX($L$232:$L$233,MATCH(LEFT(EF232,FIND("·",EF232)-1),$K$232:$K$233,0))=0,ABS(INDEX($N$232:$N$233,MATCH(LEFT(EF232,FIND("·",EF232)-1),$K$232:$K$233,0))-VALUE(MID(EF232,FIND("|",EF232)+1,FIND("-",EF232,FIND("|",EF232))-FIND("|",EF232)-1))),ABS(INDEX($P$232:$P$233,MATCH(LEFT(EF232,FIND("·",EF232)-1),$K$232:$K$233,0))-(VALUE(MID(EF232,FIND("|",EF232)+1,FIND("-",EF232,FIND("|",EF232))-FIND("|",EF232)-1))-VALUE(MID(EF232,FIND("-",EF232,FIND("|",EF232))+1,10)))))*$D$50)))))*INDEX($I$232:$I$233,MATCH(LEFT(EF232,FIND("·",EF232)-1),$K$232:$K$233,0)),0),0),0)+IFERROR(IF(COUNTIF($C$232:$C$233,LEFT(EF232,FIND("·",EF232)-1))&gt;0,IF(INDEX($D$232:$D$233,MATCH(LEFT(EF232,FIND("·",EF232)-1),$C$232:$C$233,0))=IFERROR(VALUE(MID(EF232,FIND("·",EF232)+1,1)),0),($D$28+(INDEX($E$232:$E$233,MATCH(LEFT(EF232,FIND("·",EF232)-1),$C$232:$C$233,0))=MID(EF232,FIND("|",EF232)+1,10))*$D$30+MAX(0,IF($D$50=1,$D$29*(1-(ABS(INDEX($Q$232:$Q$233,MATCH(LEFT(EF232,FIND("·",EF232)-1),$C$232:$C$233,0))-(VALUE(MID(EF232,FIND("|",EF232)+1,FIND("-",EF232,FIND("|",EF232))-FIND("|",EF232)-1))-VALUE(MID(EF232,FIND("-",EF232,FIND("|",EF232))+1,10)))))*$D$50),$D$29*(1-(IF(INDEX($D$232:$D$233,MATCH(LEFT(EF232,FIND("·",EF232)-1),$C$232:$C$233,0))=0,ABS(INDEX($A$232:$A$233,MATCH(LEFT(EF232,FIND("·",EF232)-1),$C$232:$C$233,0))-VALUE(MID(EF232,FIND("|",EF232)+1,FIND("-",EF232,FIND("|",EF232))-FIND("|",EF232)-1))),ABS(INDEX($Q$232:$Q$233,MATCH(LEFT(EF232,FIND("·",EF232)-1),$C$232:$C$233,0))-(VALUE(MID(EF232,FIND("|",EF232)+1,FIND("-",EF232,FIND("|",EF232))-FIND("|",EF232)-1))-VALUE(MID(EF232,FIND("-",EF232,FIND("|",EF232))+1,10)))))*$D$50)))))*INDEX($I$232:$I$233,MATCH(LEFT(EF232,FIND("·",EF232)-1),$C$232:$C$233,0)),0),0),0)</f>
        <v>0</v>
      </c>
      <c r="EH232" s="110"/>
      <c r="EI232" s="76" t="s">
        <v>2319</v>
      </c>
      <c r="EJ232" s="77">
        <f t="shared" ref="EJ232" ca="1" si="2893">IFERROR(IF(COUNTIF($K$232:$K$233,LEFT(EI232,FIND("·",EI232)-1))&gt;0,IF(INDEX($L$232:$L$233,MATCH(LEFT(EI232,FIND("·",EI232)-1),$K$232:$K$233,0))=IFERROR(VALUE(MID(EI232,FIND("·",EI232)+1,1)),0),($D$28+(INDEX($M$232:$M$233,MATCH(LEFT(EI232,FIND("·",EI232)-1),$K$232:$K$233,0))=MID(EI232,FIND("|",EI232)+1,10))*$D$30+MAX(0,IF($D$50=1,$D$29*(1-(ABS(INDEX($P$232:$P$233,MATCH(LEFT(EI232,FIND("·",EI232)-1),$K$232:$K$233,0))-(VALUE(MID(EI232,FIND("|",EI232)+1,FIND("-",EI232,FIND("|",EI232))-FIND("|",EI232)-1))-VALUE(MID(EI232,FIND("-",EI232,FIND("|",EI232))+1,10)))))*$D$50),$D$29*(1-(IF(INDEX($L$232:$L$233,MATCH(LEFT(EI232,FIND("·",EI232)-1),$K$232:$K$233,0))=0,ABS(INDEX($N$232:$N$233,MATCH(LEFT(EI232,FIND("·",EI232)-1),$K$232:$K$233,0))-VALUE(MID(EI232,FIND("|",EI232)+1,FIND("-",EI232,FIND("|",EI232))-FIND("|",EI232)-1))),ABS(INDEX($P$232:$P$233,MATCH(LEFT(EI232,FIND("·",EI232)-1),$K$232:$K$233,0))-(VALUE(MID(EI232,FIND("|",EI232)+1,FIND("-",EI232,FIND("|",EI232))-FIND("|",EI232)-1))-VALUE(MID(EI232,FIND("-",EI232,FIND("|",EI232))+1,10)))))*$D$50)))))*INDEX($I$232:$I$233,MATCH(LEFT(EI232,FIND("·",EI232)-1),$K$232:$K$233,0)),0),0),0)+IFERROR(IF(COUNTIF($C$232:$C$233,LEFT(EI232,FIND("·",EI232)-1))&gt;0,IF(INDEX($D$232:$D$233,MATCH(LEFT(EI232,FIND("·",EI232)-1),$C$232:$C$233,0))=IFERROR(VALUE(MID(EI232,FIND("·",EI232)+1,1)),0),($D$28+(INDEX($E$232:$E$233,MATCH(LEFT(EI232,FIND("·",EI232)-1),$C$232:$C$233,0))=MID(EI232,FIND("|",EI232)+1,10))*$D$30+MAX(0,IF($D$50=1,$D$29*(1-(ABS(INDEX($Q$232:$Q$233,MATCH(LEFT(EI232,FIND("·",EI232)-1),$C$232:$C$233,0))-(VALUE(MID(EI232,FIND("|",EI232)+1,FIND("-",EI232,FIND("|",EI232))-FIND("|",EI232)-1))-VALUE(MID(EI232,FIND("-",EI232,FIND("|",EI232))+1,10)))))*$D$50),$D$29*(1-(IF(INDEX($D$232:$D$233,MATCH(LEFT(EI232,FIND("·",EI232)-1),$C$232:$C$233,0))=0,ABS(INDEX($A$232:$A$233,MATCH(LEFT(EI232,FIND("·",EI232)-1),$C$232:$C$233,0))-VALUE(MID(EI232,FIND("|",EI232)+1,FIND("-",EI232,FIND("|",EI232))-FIND("|",EI232)-1))),ABS(INDEX($Q$232:$Q$233,MATCH(LEFT(EI232,FIND("·",EI232)-1),$C$232:$C$233,0))-(VALUE(MID(EI232,FIND("|",EI232)+1,FIND("-",EI232,FIND("|",EI232))-FIND("|",EI232)-1))-VALUE(MID(EI232,FIND("-",EI232,FIND("|",EI232))+1,10)))))*$D$50)))))*INDEX($I$232:$I$233,MATCH(LEFT(EI232,FIND("·",EI232)-1),$C$232:$C$233,0)),0),0),0)</f>
        <v>10</v>
      </c>
      <c r="EK232" s="110"/>
      <c r="EL232" s="76" t="s">
        <v>2319</v>
      </c>
      <c r="EM232" s="77">
        <f t="shared" ref="EM232" ca="1" si="2894">IFERROR(IF(COUNTIF($K$232:$K$233,LEFT(EL232,FIND("·",EL232)-1))&gt;0,IF(INDEX($L$232:$L$233,MATCH(LEFT(EL232,FIND("·",EL232)-1),$K$232:$K$233,0))=IFERROR(VALUE(MID(EL232,FIND("·",EL232)+1,1)),0),($D$28+(INDEX($M$232:$M$233,MATCH(LEFT(EL232,FIND("·",EL232)-1),$K$232:$K$233,0))=MID(EL232,FIND("|",EL232)+1,10))*$D$30+MAX(0,IF($D$50=1,$D$29*(1-(ABS(INDEX($P$232:$P$233,MATCH(LEFT(EL232,FIND("·",EL232)-1),$K$232:$K$233,0))-(VALUE(MID(EL232,FIND("|",EL232)+1,FIND("-",EL232,FIND("|",EL232))-FIND("|",EL232)-1))-VALUE(MID(EL232,FIND("-",EL232,FIND("|",EL232))+1,10)))))*$D$50),$D$29*(1-(IF(INDEX($L$232:$L$233,MATCH(LEFT(EL232,FIND("·",EL232)-1),$K$232:$K$233,0))=0,ABS(INDEX($N$232:$N$233,MATCH(LEFT(EL232,FIND("·",EL232)-1),$K$232:$K$233,0))-VALUE(MID(EL232,FIND("|",EL232)+1,FIND("-",EL232,FIND("|",EL232))-FIND("|",EL232)-1))),ABS(INDEX($P$232:$P$233,MATCH(LEFT(EL232,FIND("·",EL232)-1),$K$232:$K$233,0))-(VALUE(MID(EL232,FIND("|",EL232)+1,FIND("-",EL232,FIND("|",EL232))-FIND("|",EL232)-1))-VALUE(MID(EL232,FIND("-",EL232,FIND("|",EL232))+1,10)))))*$D$50)))))*INDEX($I$232:$I$233,MATCH(LEFT(EL232,FIND("·",EL232)-1),$K$232:$K$233,0)),0),0),0)+IFERROR(IF(COUNTIF($C$232:$C$233,LEFT(EL232,FIND("·",EL232)-1))&gt;0,IF(INDEX($D$232:$D$233,MATCH(LEFT(EL232,FIND("·",EL232)-1),$C$232:$C$233,0))=IFERROR(VALUE(MID(EL232,FIND("·",EL232)+1,1)),0),($D$28+(INDEX($E$232:$E$233,MATCH(LEFT(EL232,FIND("·",EL232)-1),$C$232:$C$233,0))=MID(EL232,FIND("|",EL232)+1,10))*$D$30+MAX(0,IF($D$50=1,$D$29*(1-(ABS(INDEX($Q$232:$Q$233,MATCH(LEFT(EL232,FIND("·",EL232)-1),$C$232:$C$233,0))-(VALUE(MID(EL232,FIND("|",EL232)+1,FIND("-",EL232,FIND("|",EL232))-FIND("|",EL232)-1))-VALUE(MID(EL232,FIND("-",EL232,FIND("|",EL232))+1,10)))))*$D$50),$D$29*(1-(IF(INDEX($D$232:$D$233,MATCH(LEFT(EL232,FIND("·",EL232)-1),$C$232:$C$233,0))=0,ABS(INDEX($A$232:$A$233,MATCH(LEFT(EL232,FIND("·",EL232)-1),$C$232:$C$233,0))-VALUE(MID(EL232,FIND("|",EL232)+1,FIND("-",EL232,FIND("|",EL232))-FIND("|",EL232)-1))),ABS(INDEX($Q$232:$Q$233,MATCH(LEFT(EL232,FIND("·",EL232)-1),$C$232:$C$233,0))-(VALUE(MID(EL232,FIND("|",EL232)+1,FIND("-",EL232,FIND("|",EL232))-FIND("|",EL232)-1))-VALUE(MID(EL232,FIND("-",EL232,FIND("|",EL232))+1,10)))))*$D$50)))))*INDEX($I$232:$I$233,MATCH(LEFT(EL232,FIND("·",EL232)-1),$C$232:$C$233,0)),0),0),0)</f>
        <v>10</v>
      </c>
      <c r="EN232" s="110"/>
      <c r="EO232" s="76" t="s">
        <v>2097</v>
      </c>
      <c r="EP232" s="77">
        <f t="shared" ref="EP232" ca="1" si="2895">IFERROR(IF(COUNTIF($K$232:$K$233,LEFT(EO232,FIND("·",EO232)-1))&gt;0,IF(INDEX($L$232:$L$233,MATCH(LEFT(EO232,FIND("·",EO232)-1),$K$232:$K$233,0))=IFERROR(VALUE(MID(EO232,FIND("·",EO232)+1,1)),0),($D$28+(INDEX($M$232:$M$233,MATCH(LEFT(EO232,FIND("·",EO232)-1),$K$232:$K$233,0))=MID(EO232,FIND("|",EO232)+1,10))*$D$30+MAX(0,IF($D$50=1,$D$29*(1-(ABS(INDEX($P$232:$P$233,MATCH(LEFT(EO232,FIND("·",EO232)-1),$K$232:$K$233,0))-(VALUE(MID(EO232,FIND("|",EO232)+1,FIND("-",EO232,FIND("|",EO232))-FIND("|",EO232)-1))-VALUE(MID(EO232,FIND("-",EO232,FIND("|",EO232))+1,10)))))*$D$50),$D$29*(1-(IF(INDEX($L$232:$L$233,MATCH(LEFT(EO232,FIND("·",EO232)-1),$K$232:$K$233,0))=0,ABS(INDEX($N$232:$N$233,MATCH(LEFT(EO232,FIND("·",EO232)-1),$K$232:$K$233,0))-VALUE(MID(EO232,FIND("|",EO232)+1,FIND("-",EO232,FIND("|",EO232))-FIND("|",EO232)-1))),ABS(INDEX($P$232:$P$233,MATCH(LEFT(EO232,FIND("·",EO232)-1),$K$232:$K$233,0))-(VALUE(MID(EO232,FIND("|",EO232)+1,FIND("-",EO232,FIND("|",EO232))-FIND("|",EO232)-1))-VALUE(MID(EO232,FIND("-",EO232,FIND("|",EO232))+1,10)))))*$D$50)))))*INDEX($I$232:$I$233,MATCH(LEFT(EO232,FIND("·",EO232)-1),$K$232:$K$233,0)),0),0),0)+IFERROR(IF(COUNTIF($C$232:$C$233,LEFT(EO232,FIND("·",EO232)-1))&gt;0,IF(INDEX($D$232:$D$233,MATCH(LEFT(EO232,FIND("·",EO232)-1),$C$232:$C$233,0))=IFERROR(VALUE(MID(EO232,FIND("·",EO232)+1,1)),0),($D$28+(INDEX($E$232:$E$233,MATCH(LEFT(EO232,FIND("·",EO232)-1),$C$232:$C$233,0))=MID(EO232,FIND("|",EO232)+1,10))*$D$30+MAX(0,IF($D$50=1,$D$29*(1-(ABS(INDEX($Q$232:$Q$233,MATCH(LEFT(EO232,FIND("·",EO232)-1),$C$232:$C$233,0))-(VALUE(MID(EO232,FIND("|",EO232)+1,FIND("-",EO232,FIND("|",EO232))-FIND("|",EO232)-1))-VALUE(MID(EO232,FIND("-",EO232,FIND("|",EO232))+1,10)))))*$D$50),$D$29*(1-(IF(INDEX($D$232:$D$233,MATCH(LEFT(EO232,FIND("·",EO232)-1),$C$232:$C$233,0))=0,ABS(INDEX($A$232:$A$233,MATCH(LEFT(EO232,FIND("·",EO232)-1),$C$232:$C$233,0))-VALUE(MID(EO232,FIND("|",EO232)+1,FIND("-",EO232,FIND("|",EO232))-FIND("|",EO232)-1))),ABS(INDEX($Q$232:$Q$233,MATCH(LEFT(EO232,FIND("·",EO232)-1),$C$232:$C$233,0))-(VALUE(MID(EO232,FIND("|",EO232)+1,FIND("-",EO232,FIND("|",EO232))-FIND("|",EO232)-1))-VALUE(MID(EO232,FIND("-",EO232,FIND("|",EO232))+1,10)))))*$D$50)))))*INDEX($I$232:$I$233,MATCH(LEFT(EO232,FIND("·",EO232)-1),$C$232:$C$233,0)),0),0),0)</f>
        <v>0</v>
      </c>
      <c r="EQ232" s="110"/>
      <c r="ER232" s="76" t="s">
        <v>2319</v>
      </c>
      <c r="ES232" s="77">
        <f t="shared" ref="ES232" ca="1" si="2896">IFERROR(IF(COUNTIF($K$232:$K$233,LEFT(ER232,FIND("·",ER232)-1))&gt;0,IF(INDEX($L$232:$L$233,MATCH(LEFT(ER232,FIND("·",ER232)-1),$K$232:$K$233,0))=IFERROR(VALUE(MID(ER232,FIND("·",ER232)+1,1)),0),($D$28+(INDEX($M$232:$M$233,MATCH(LEFT(ER232,FIND("·",ER232)-1),$K$232:$K$233,0))=MID(ER232,FIND("|",ER232)+1,10))*$D$30+MAX(0,IF($D$50=1,$D$29*(1-(ABS(INDEX($P$232:$P$233,MATCH(LEFT(ER232,FIND("·",ER232)-1),$K$232:$K$233,0))-(VALUE(MID(ER232,FIND("|",ER232)+1,FIND("-",ER232,FIND("|",ER232))-FIND("|",ER232)-1))-VALUE(MID(ER232,FIND("-",ER232,FIND("|",ER232))+1,10)))))*$D$50),$D$29*(1-(IF(INDEX($L$232:$L$233,MATCH(LEFT(ER232,FIND("·",ER232)-1),$K$232:$K$233,0))=0,ABS(INDEX($N$232:$N$233,MATCH(LEFT(ER232,FIND("·",ER232)-1),$K$232:$K$233,0))-VALUE(MID(ER232,FIND("|",ER232)+1,FIND("-",ER232,FIND("|",ER232))-FIND("|",ER232)-1))),ABS(INDEX($P$232:$P$233,MATCH(LEFT(ER232,FIND("·",ER232)-1),$K$232:$K$233,0))-(VALUE(MID(ER232,FIND("|",ER232)+1,FIND("-",ER232,FIND("|",ER232))-FIND("|",ER232)-1))-VALUE(MID(ER232,FIND("-",ER232,FIND("|",ER232))+1,10)))))*$D$50)))))*INDEX($I$232:$I$233,MATCH(LEFT(ER232,FIND("·",ER232)-1),$K$232:$K$233,0)),0),0),0)+IFERROR(IF(COUNTIF($C$232:$C$233,LEFT(ER232,FIND("·",ER232)-1))&gt;0,IF(INDEX($D$232:$D$233,MATCH(LEFT(ER232,FIND("·",ER232)-1),$C$232:$C$233,0))=IFERROR(VALUE(MID(ER232,FIND("·",ER232)+1,1)),0),($D$28+(INDEX($E$232:$E$233,MATCH(LEFT(ER232,FIND("·",ER232)-1),$C$232:$C$233,0))=MID(ER232,FIND("|",ER232)+1,10))*$D$30+MAX(0,IF($D$50=1,$D$29*(1-(ABS(INDEX($Q$232:$Q$233,MATCH(LEFT(ER232,FIND("·",ER232)-1),$C$232:$C$233,0))-(VALUE(MID(ER232,FIND("|",ER232)+1,FIND("-",ER232,FIND("|",ER232))-FIND("|",ER232)-1))-VALUE(MID(ER232,FIND("-",ER232,FIND("|",ER232))+1,10)))))*$D$50),$D$29*(1-(IF(INDEX($D$232:$D$233,MATCH(LEFT(ER232,FIND("·",ER232)-1),$C$232:$C$233,0))=0,ABS(INDEX($A$232:$A$233,MATCH(LEFT(ER232,FIND("·",ER232)-1),$C$232:$C$233,0))-VALUE(MID(ER232,FIND("|",ER232)+1,FIND("-",ER232,FIND("|",ER232))-FIND("|",ER232)-1))),ABS(INDEX($Q$232:$Q$233,MATCH(LEFT(ER232,FIND("·",ER232)-1),$C$232:$C$233,0))-(VALUE(MID(ER232,FIND("|",ER232)+1,FIND("-",ER232,FIND("|",ER232))-FIND("|",ER232)-1))-VALUE(MID(ER232,FIND("-",ER232,FIND("|",ER232))+1,10)))))*$D$50)))))*INDEX($I$232:$I$233,MATCH(LEFT(ER232,FIND("·",ER232)-1),$C$232:$C$233,0)),0),0),0)</f>
        <v>10</v>
      </c>
      <c r="ET232" s="110"/>
      <c r="EU232" s="76" t="s">
        <v>2097</v>
      </c>
      <c r="EV232" s="77">
        <f t="shared" ref="EV232" ca="1" si="2897">IFERROR(IF(COUNTIF($K$232:$K$233,LEFT(EU232,FIND("·",EU232)-1))&gt;0,IF(INDEX($L$232:$L$233,MATCH(LEFT(EU232,FIND("·",EU232)-1),$K$232:$K$233,0))=IFERROR(VALUE(MID(EU232,FIND("·",EU232)+1,1)),0),($D$28+(INDEX($M$232:$M$233,MATCH(LEFT(EU232,FIND("·",EU232)-1),$K$232:$K$233,0))=MID(EU232,FIND("|",EU232)+1,10))*$D$30+MAX(0,IF($D$50=1,$D$29*(1-(ABS(INDEX($P$232:$P$233,MATCH(LEFT(EU232,FIND("·",EU232)-1),$K$232:$K$233,0))-(VALUE(MID(EU232,FIND("|",EU232)+1,FIND("-",EU232,FIND("|",EU232))-FIND("|",EU232)-1))-VALUE(MID(EU232,FIND("-",EU232,FIND("|",EU232))+1,10)))))*$D$50),$D$29*(1-(IF(INDEX($L$232:$L$233,MATCH(LEFT(EU232,FIND("·",EU232)-1),$K$232:$K$233,0))=0,ABS(INDEX($N$232:$N$233,MATCH(LEFT(EU232,FIND("·",EU232)-1),$K$232:$K$233,0))-VALUE(MID(EU232,FIND("|",EU232)+1,FIND("-",EU232,FIND("|",EU232))-FIND("|",EU232)-1))),ABS(INDEX($P$232:$P$233,MATCH(LEFT(EU232,FIND("·",EU232)-1),$K$232:$K$233,0))-(VALUE(MID(EU232,FIND("|",EU232)+1,FIND("-",EU232,FIND("|",EU232))-FIND("|",EU232)-1))-VALUE(MID(EU232,FIND("-",EU232,FIND("|",EU232))+1,10)))))*$D$50)))))*INDEX($I$232:$I$233,MATCH(LEFT(EU232,FIND("·",EU232)-1),$K$232:$K$233,0)),0),0),0)+IFERROR(IF(COUNTIF($C$232:$C$233,LEFT(EU232,FIND("·",EU232)-1))&gt;0,IF(INDEX($D$232:$D$233,MATCH(LEFT(EU232,FIND("·",EU232)-1),$C$232:$C$233,0))=IFERROR(VALUE(MID(EU232,FIND("·",EU232)+1,1)),0),($D$28+(INDEX($E$232:$E$233,MATCH(LEFT(EU232,FIND("·",EU232)-1),$C$232:$C$233,0))=MID(EU232,FIND("|",EU232)+1,10))*$D$30+MAX(0,IF($D$50=1,$D$29*(1-(ABS(INDEX($Q$232:$Q$233,MATCH(LEFT(EU232,FIND("·",EU232)-1),$C$232:$C$233,0))-(VALUE(MID(EU232,FIND("|",EU232)+1,FIND("-",EU232,FIND("|",EU232))-FIND("|",EU232)-1))-VALUE(MID(EU232,FIND("-",EU232,FIND("|",EU232))+1,10)))))*$D$50),$D$29*(1-(IF(INDEX($D$232:$D$233,MATCH(LEFT(EU232,FIND("·",EU232)-1),$C$232:$C$233,0))=0,ABS(INDEX($A$232:$A$233,MATCH(LEFT(EU232,FIND("·",EU232)-1),$C$232:$C$233,0))-VALUE(MID(EU232,FIND("|",EU232)+1,FIND("-",EU232,FIND("|",EU232))-FIND("|",EU232)-1))),ABS(INDEX($Q$232:$Q$233,MATCH(LEFT(EU232,FIND("·",EU232)-1),$C$232:$C$233,0))-(VALUE(MID(EU232,FIND("|",EU232)+1,FIND("-",EU232,FIND("|",EU232))-FIND("|",EU232)-1))-VALUE(MID(EU232,FIND("-",EU232,FIND("|",EU232))+1,10)))))*$D$50)))))*INDEX($I$232:$I$233,MATCH(LEFT(EU232,FIND("·",EU232)-1),$C$232:$C$233,0)),0),0),0)</f>
        <v>0</v>
      </c>
      <c r="EW232" s="110"/>
      <c r="EX232" s="76" t="s">
        <v>2097</v>
      </c>
      <c r="EY232" s="77">
        <f t="shared" ref="EY232" ca="1" si="2898">IFERROR(IF(COUNTIF($K$232:$K$233,LEFT(EX232,FIND("·",EX232)-1))&gt;0,IF(INDEX($L$232:$L$233,MATCH(LEFT(EX232,FIND("·",EX232)-1),$K$232:$K$233,0))=IFERROR(VALUE(MID(EX232,FIND("·",EX232)+1,1)),0),($D$28+(INDEX($M$232:$M$233,MATCH(LEFT(EX232,FIND("·",EX232)-1),$K$232:$K$233,0))=MID(EX232,FIND("|",EX232)+1,10))*$D$30+MAX(0,IF($D$50=1,$D$29*(1-(ABS(INDEX($P$232:$P$233,MATCH(LEFT(EX232,FIND("·",EX232)-1),$K$232:$K$233,0))-(VALUE(MID(EX232,FIND("|",EX232)+1,FIND("-",EX232,FIND("|",EX232))-FIND("|",EX232)-1))-VALUE(MID(EX232,FIND("-",EX232,FIND("|",EX232))+1,10)))))*$D$50),$D$29*(1-(IF(INDEX($L$232:$L$233,MATCH(LEFT(EX232,FIND("·",EX232)-1),$K$232:$K$233,0))=0,ABS(INDEX($N$232:$N$233,MATCH(LEFT(EX232,FIND("·",EX232)-1),$K$232:$K$233,0))-VALUE(MID(EX232,FIND("|",EX232)+1,FIND("-",EX232,FIND("|",EX232))-FIND("|",EX232)-1))),ABS(INDEX($P$232:$P$233,MATCH(LEFT(EX232,FIND("·",EX232)-1),$K$232:$K$233,0))-(VALUE(MID(EX232,FIND("|",EX232)+1,FIND("-",EX232,FIND("|",EX232))-FIND("|",EX232)-1))-VALUE(MID(EX232,FIND("-",EX232,FIND("|",EX232))+1,10)))))*$D$50)))))*INDEX($I$232:$I$233,MATCH(LEFT(EX232,FIND("·",EX232)-1),$K$232:$K$233,0)),0),0),0)+IFERROR(IF(COUNTIF($C$232:$C$233,LEFT(EX232,FIND("·",EX232)-1))&gt;0,IF(INDEX($D$232:$D$233,MATCH(LEFT(EX232,FIND("·",EX232)-1),$C$232:$C$233,0))=IFERROR(VALUE(MID(EX232,FIND("·",EX232)+1,1)),0),($D$28+(INDEX($E$232:$E$233,MATCH(LEFT(EX232,FIND("·",EX232)-1),$C$232:$C$233,0))=MID(EX232,FIND("|",EX232)+1,10))*$D$30+MAX(0,IF($D$50=1,$D$29*(1-(ABS(INDEX($Q$232:$Q$233,MATCH(LEFT(EX232,FIND("·",EX232)-1),$C$232:$C$233,0))-(VALUE(MID(EX232,FIND("|",EX232)+1,FIND("-",EX232,FIND("|",EX232))-FIND("|",EX232)-1))-VALUE(MID(EX232,FIND("-",EX232,FIND("|",EX232))+1,10)))))*$D$50),$D$29*(1-(IF(INDEX($D$232:$D$233,MATCH(LEFT(EX232,FIND("·",EX232)-1),$C$232:$C$233,0))=0,ABS(INDEX($A$232:$A$233,MATCH(LEFT(EX232,FIND("·",EX232)-1),$C$232:$C$233,0))-VALUE(MID(EX232,FIND("|",EX232)+1,FIND("-",EX232,FIND("|",EX232))-FIND("|",EX232)-1))),ABS(INDEX($Q$232:$Q$233,MATCH(LEFT(EX232,FIND("·",EX232)-1),$C$232:$C$233,0))-(VALUE(MID(EX232,FIND("|",EX232)+1,FIND("-",EX232,FIND("|",EX232))-FIND("|",EX232)-1))-VALUE(MID(EX232,FIND("-",EX232,FIND("|",EX232))+1,10)))))*$D$50)))))*INDEX($I$232:$I$233,MATCH(LEFT(EX232,FIND("·",EX232)-1),$C$232:$C$233,0)),0),0),0)</f>
        <v>0</v>
      </c>
      <c r="EZ232" s="110"/>
      <c r="FA232" s="76" t="s">
        <v>2933</v>
      </c>
      <c r="FB232" s="77">
        <f t="shared" ref="FB232" ca="1" si="2899">IFERROR(IF(COUNTIF($K$232:$K$233,LEFT(FA232,FIND("·",FA232)-1))&gt;0,IF(INDEX($L$232:$L$233,MATCH(LEFT(FA232,FIND("·",FA232)-1),$K$232:$K$233,0))=IFERROR(VALUE(MID(FA232,FIND("·",FA232)+1,1)),0),($D$28+(INDEX($M$232:$M$233,MATCH(LEFT(FA232,FIND("·",FA232)-1),$K$232:$K$233,0))=MID(FA232,FIND("|",FA232)+1,10))*$D$30+MAX(0,IF($D$50=1,$D$29*(1-(ABS(INDEX($P$232:$P$233,MATCH(LEFT(FA232,FIND("·",FA232)-1),$K$232:$K$233,0))-(VALUE(MID(FA232,FIND("|",FA232)+1,FIND("-",FA232,FIND("|",FA232))-FIND("|",FA232)-1))-VALUE(MID(FA232,FIND("-",FA232,FIND("|",FA232))+1,10)))))*$D$50),$D$29*(1-(IF(INDEX($L$232:$L$233,MATCH(LEFT(FA232,FIND("·",FA232)-1),$K$232:$K$233,0))=0,ABS(INDEX($N$232:$N$233,MATCH(LEFT(FA232,FIND("·",FA232)-1),$K$232:$K$233,0))-VALUE(MID(FA232,FIND("|",FA232)+1,FIND("-",FA232,FIND("|",FA232))-FIND("|",FA232)-1))),ABS(INDEX($P$232:$P$233,MATCH(LEFT(FA232,FIND("·",FA232)-1),$K$232:$K$233,0))-(VALUE(MID(FA232,FIND("|",FA232)+1,FIND("-",FA232,FIND("|",FA232))-FIND("|",FA232)-1))-VALUE(MID(FA232,FIND("-",FA232,FIND("|",FA232))+1,10)))))*$D$50)))))*INDEX($I$232:$I$233,MATCH(LEFT(FA232,FIND("·",FA232)-1),$K$232:$K$233,0)),0),0),0)+IFERROR(IF(COUNTIF($C$232:$C$233,LEFT(FA232,FIND("·",FA232)-1))&gt;0,IF(INDEX($D$232:$D$233,MATCH(LEFT(FA232,FIND("·",FA232)-1),$C$232:$C$233,0))=IFERROR(VALUE(MID(FA232,FIND("·",FA232)+1,1)),0),($D$28+(INDEX($E$232:$E$233,MATCH(LEFT(FA232,FIND("·",FA232)-1),$C$232:$C$233,0))=MID(FA232,FIND("|",FA232)+1,10))*$D$30+MAX(0,IF($D$50=1,$D$29*(1-(ABS(INDEX($Q$232:$Q$233,MATCH(LEFT(FA232,FIND("·",FA232)-1),$C$232:$C$233,0))-(VALUE(MID(FA232,FIND("|",FA232)+1,FIND("-",FA232,FIND("|",FA232))-FIND("|",FA232)-1))-VALUE(MID(FA232,FIND("-",FA232,FIND("|",FA232))+1,10)))))*$D$50),$D$29*(1-(IF(INDEX($D$232:$D$233,MATCH(LEFT(FA232,FIND("·",FA232)-1),$C$232:$C$233,0))=0,ABS(INDEX($A$232:$A$233,MATCH(LEFT(FA232,FIND("·",FA232)-1),$C$232:$C$233,0))-VALUE(MID(FA232,FIND("|",FA232)+1,FIND("-",FA232,FIND("|",FA232))-FIND("|",FA232)-1))),ABS(INDEX($Q$232:$Q$233,MATCH(LEFT(FA232,FIND("·",FA232)-1),$C$232:$C$233,0))-(VALUE(MID(FA232,FIND("|",FA232)+1,FIND("-",FA232,FIND("|",FA232))-FIND("|",FA232)-1))-VALUE(MID(FA232,FIND("-",FA232,FIND("|",FA232))+1,10)))))*$D$50)))))*INDEX($I$232:$I$233,MATCH(LEFT(FA232,FIND("·",FA232)-1),$C$232:$C$233,0)),0),0),0)</f>
        <v>0</v>
      </c>
      <c r="FC232" s="110"/>
      <c r="FD232" s="76" t="s">
        <v>2029</v>
      </c>
      <c r="FE232" s="77">
        <f t="shared" ref="FE232" ca="1" si="2900">IFERROR(IF(COUNTIF($K$232:$K$233,LEFT(FD232,FIND("·",FD232)-1))&gt;0,IF(INDEX($L$232:$L$233,MATCH(LEFT(FD232,FIND("·",FD232)-1),$K$232:$K$233,0))=IFERROR(VALUE(MID(FD232,FIND("·",FD232)+1,1)),0),($D$28+(INDEX($M$232:$M$233,MATCH(LEFT(FD232,FIND("·",FD232)-1),$K$232:$K$233,0))=MID(FD232,FIND("|",FD232)+1,10))*$D$30+MAX(0,IF($D$50=1,$D$29*(1-(ABS(INDEX($P$232:$P$233,MATCH(LEFT(FD232,FIND("·",FD232)-1),$K$232:$K$233,0))-(VALUE(MID(FD232,FIND("|",FD232)+1,FIND("-",FD232,FIND("|",FD232))-FIND("|",FD232)-1))-VALUE(MID(FD232,FIND("-",FD232,FIND("|",FD232))+1,10)))))*$D$50),$D$29*(1-(IF(INDEX($L$232:$L$233,MATCH(LEFT(FD232,FIND("·",FD232)-1),$K$232:$K$233,0))=0,ABS(INDEX($N$232:$N$233,MATCH(LEFT(FD232,FIND("·",FD232)-1),$K$232:$K$233,0))-VALUE(MID(FD232,FIND("|",FD232)+1,FIND("-",FD232,FIND("|",FD232))-FIND("|",FD232)-1))),ABS(INDEX($P$232:$P$233,MATCH(LEFT(FD232,FIND("·",FD232)-1),$K$232:$K$233,0))-(VALUE(MID(FD232,FIND("|",FD232)+1,FIND("-",FD232,FIND("|",FD232))-FIND("|",FD232)-1))-VALUE(MID(FD232,FIND("-",FD232,FIND("|",FD232))+1,10)))))*$D$50)))))*INDEX($I$232:$I$233,MATCH(LEFT(FD232,FIND("·",FD232)-1),$K$232:$K$233,0)),0),0),0)+IFERROR(IF(COUNTIF($C$232:$C$233,LEFT(FD232,FIND("·",FD232)-1))&gt;0,IF(INDEX($D$232:$D$233,MATCH(LEFT(FD232,FIND("·",FD232)-1),$C$232:$C$233,0))=IFERROR(VALUE(MID(FD232,FIND("·",FD232)+1,1)),0),($D$28+(INDEX($E$232:$E$233,MATCH(LEFT(FD232,FIND("·",FD232)-1),$C$232:$C$233,0))=MID(FD232,FIND("|",FD232)+1,10))*$D$30+MAX(0,IF($D$50=1,$D$29*(1-(ABS(INDEX($Q$232:$Q$233,MATCH(LEFT(FD232,FIND("·",FD232)-1),$C$232:$C$233,0))-(VALUE(MID(FD232,FIND("|",FD232)+1,FIND("-",FD232,FIND("|",FD232))-FIND("|",FD232)-1))-VALUE(MID(FD232,FIND("-",FD232,FIND("|",FD232))+1,10)))))*$D$50),$D$29*(1-(IF(INDEX($D$232:$D$233,MATCH(LEFT(FD232,FIND("·",FD232)-1),$C$232:$C$233,0))=0,ABS(INDEX($A$232:$A$233,MATCH(LEFT(FD232,FIND("·",FD232)-1),$C$232:$C$233,0))-VALUE(MID(FD232,FIND("|",FD232)+1,FIND("-",FD232,FIND("|",FD232))-FIND("|",FD232)-1))),ABS(INDEX($Q$232:$Q$233,MATCH(LEFT(FD232,FIND("·",FD232)-1),$C$232:$C$233,0))-(VALUE(MID(FD232,FIND("|",FD232)+1,FIND("-",FD232,FIND("|",FD232))-FIND("|",FD232)-1))-VALUE(MID(FD232,FIND("-",FD232,FIND("|",FD232))+1,10)))))*$D$50)))))*INDEX($I$232:$I$233,MATCH(LEFT(FD232,FIND("·",FD232)-1),$C$232:$C$233,0)),0),0),0)</f>
        <v>0</v>
      </c>
      <c r="FF232" s="110"/>
      <c r="FG232" s="76" t="s">
        <v>2097</v>
      </c>
      <c r="FH232" s="77">
        <f t="shared" ref="FH232" ca="1" si="2901">IFERROR(IF(COUNTIF($K$232:$K$233,LEFT(FG232,FIND("·",FG232)-1))&gt;0,IF(INDEX($L$232:$L$233,MATCH(LEFT(FG232,FIND("·",FG232)-1),$K$232:$K$233,0))=IFERROR(VALUE(MID(FG232,FIND("·",FG232)+1,1)),0),($D$28+(INDEX($M$232:$M$233,MATCH(LEFT(FG232,FIND("·",FG232)-1),$K$232:$K$233,0))=MID(FG232,FIND("|",FG232)+1,10))*$D$30+MAX(0,IF($D$50=1,$D$29*(1-(ABS(INDEX($P$232:$P$233,MATCH(LEFT(FG232,FIND("·",FG232)-1),$K$232:$K$233,0))-(VALUE(MID(FG232,FIND("|",FG232)+1,FIND("-",FG232,FIND("|",FG232))-FIND("|",FG232)-1))-VALUE(MID(FG232,FIND("-",FG232,FIND("|",FG232))+1,10)))))*$D$50),$D$29*(1-(IF(INDEX($L$232:$L$233,MATCH(LEFT(FG232,FIND("·",FG232)-1),$K$232:$K$233,0))=0,ABS(INDEX($N$232:$N$233,MATCH(LEFT(FG232,FIND("·",FG232)-1),$K$232:$K$233,0))-VALUE(MID(FG232,FIND("|",FG232)+1,FIND("-",FG232,FIND("|",FG232))-FIND("|",FG232)-1))),ABS(INDEX($P$232:$P$233,MATCH(LEFT(FG232,FIND("·",FG232)-1),$K$232:$K$233,0))-(VALUE(MID(FG232,FIND("|",FG232)+1,FIND("-",FG232,FIND("|",FG232))-FIND("|",FG232)-1))-VALUE(MID(FG232,FIND("-",FG232,FIND("|",FG232))+1,10)))))*$D$50)))))*INDEX($I$232:$I$233,MATCH(LEFT(FG232,FIND("·",FG232)-1),$K$232:$K$233,0)),0),0),0)+IFERROR(IF(COUNTIF($C$232:$C$233,LEFT(FG232,FIND("·",FG232)-1))&gt;0,IF(INDEX($D$232:$D$233,MATCH(LEFT(FG232,FIND("·",FG232)-1),$C$232:$C$233,0))=IFERROR(VALUE(MID(FG232,FIND("·",FG232)+1,1)),0),($D$28+(INDEX($E$232:$E$233,MATCH(LEFT(FG232,FIND("·",FG232)-1),$C$232:$C$233,0))=MID(FG232,FIND("|",FG232)+1,10))*$D$30+MAX(0,IF($D$50=1,$D$29*(1-(ABS(INDEX($Q$232:$Q$233,MATCH(LEFT(FG232,FIND("·",FG232)-1),$C$232:$C$233,0))-(VALUE(MID(FG232,FIND("|",FG232)+1,FIND("-",FG232,FIND("|",FG232))-FIND("|",FG232)-1))-VALUE(MID(FG232,FIND("-",FG232,FIND("|",FG232))+1,10)))))*$D$50),$D$29*(1-(IF(INDEX($D$232:$D$233,MATCH(LEFT(FG232,FIND("·",FG232)-1),$C$232:$C$233,0))=0,ABS(INDEX($A$232:$A$233,MATCH(LEFT(FG232,FIND("·",FG232)-1),$C$232:$C$233,0))-VALUE(MID(FG232,FIND("|",FG232)+1,FIND("-",FG232,FIND("|",FG232))-FIND("|",FG232)-1))),ABS(INDEX($Q$232:$Q$233,MATCH(LEFT(FG232,FIND("·",FG232)-1),$C$232:$C$233,0))-(VALUE(MID(FG232,FIND("|",FG232)+1,FIND("-",FG232,FIND("|",FG232))-FIND("|",FG232)-1))-VALUE(MID(FG232,FIND("-",FG232,FIND("|",FG232))+1,10)))))*$D$50)))))*INDEX($I$232:$I$233,MATCH(LEFT(FG232,FIND("·",FG232)-1),$C$232:$C$233,0)),0),0),0)</f>
        <v>0</v>
      </c>
      <c r="FI232" s="110"/>
      <c r="FJ232" s="76" t="s">
        <v>2319</v>
      </c>
      <c r="FK232" s="77">
        <f t="shared" ref="FK232" ca="1" si="2902">IFERROR(IF(COUNTIF($K$232:$K$233,LEFT(FJ232,FIND("·",FJ232)-1))&gt;0,IF(INDEX($L$232:$L$233,MATCH(LEFT(FJ232,FIND("·",FJ232)-1),$K$232:$K$233,0))=IFERROR(VALUE(MID(FJ232,FIND("·",FJ232)+1,1)),0),($D$28+(INDEX($M$232:$M$233,MATCH(LEFT(FJ232,FIND("·",FJ232)-1),$K$232:$K$233,0))=MID(FJ232,FIND("|",FJ232)+1,10))*$D$30+MAX(0,IF($D$50=1,$D$29*(1-(ABS(INDEX($P$232:$P$233,MATCH(LEFT(FJ232,FIND("·",FJ232)-1),$K$232:$K$233,0))-(VALUE(MID(FJ232,FIND("|",FJ232)+1,FIND("-",FJ232,FIND("|",FJ232))-FIND("|",FJ232)-1))-VALUE(MID(FJ232,FIND("-",FJ232,FIND("|",FJ232))+1,10)))))*$D$50),$D$29*(1-(IF(INDEX($L$232:$L$233,MATCH(LEFT(FJ232,FIND("·",FJ232)-1),$K$232:$K$233,0))=0,ABS(INDEX($N$232:$N$233,MATCH(LEFT(FJ232,FIND("·",FJ232)-1),$K$232:$K$233,0))-VALUE(MID(FJ232,FIND("|",FJ232)+1,FIND("-",FJ232,FIND("|",FJ232))-FIND("|",FJ232)-1))),ABS(INDEX($P$232:$P$233,MATCH(LEFT(FJ232,FIND("·",FJ232)-1),$K$232:$K$233,0))-(VALUE(MID(FJ232,FIND("|",FJ232)+1,FIND("-",FJ232,FIND("|",FJ232))-FIND("|",FJ232)-1))-VALUE(MID(FJ232,FIND("-",FJ232,FIND("|",FJ232))+1,10)))))*$D$50)))))*INDEX($I$232:$I$233,MATCH(LEFT(FJ232,FIND("·",FJ232)-1),$K$232:$K$233,0)),0),0),0)+IFERROR(IF(COUNTIF($C$232:$C$233,LEFT(FJ232,FIND("·",FJ232)-1))&gt;0,IF(INDEX($D$232:$D$233,MATCH(LEFT(FJ232,FIND("·",FJ232)-1),$C$232:$C$233,0))=IFERROR(VALUE(MID(FJ232,FIND("·",FJ232)+1,1)),0),($D$28+(INDEX($E$232:$E$233,MATCH(LEFT(FJ232,FIND("·",FJ232)-1),$C$232:$C$233,0))=MID(FJ232,FIND("|",FJ232)+1,10))*$D$30+MAX(0,IF($D$50=1,$D$29*(1-(ABS(INDEX($Q$232:$Q$233,MATCH(LEFT(FJ232,FIND("·",FJ232)-1),$C$232:$C$233,0))-(VALUE(MID(FJ232,FIND("|",FJ232)+1,FIND("-",FJ232,FIND("|",FJ232))-FIND("|",FJ232)-1))-VALUE(MID(FJ232,FIND("-",FJ232,FIND("|",FJ232))+1,10)))))*$D$50),$D$29*(1-(IF(INDEX($D$232:$D$233,MATCH(LEFT(FJ232,FIND("·",FJ232)-1),$C$232:$C$233,0))=0,ABS(INDEX($A$232:$A$233,MATCH(LEFT(FJ232,FIND("·",FJ232)-1),$C$232:$C$233,0))-VALUE(MID(FJ232,FIND("|",FJ232)+1,FIND("-",FJ232,FIND("|",FJ232))-FIND("|",FJ232)-1))),ABS(INDEX($Q$232:$Q$233,MATCH(LEFT(FJ232,FIND("·",FJ232)-1),$C$232:$C$233,0))-(VALUE(MID(FJ232,FIND("|",FJ232)+1,FIND("-",FJ232,FIND("|",FJ232))-FIND("|",FJ232)-1))-VALUE(MID(FJ232,FIND("-",FJ232,FIND("|",FJ232))+1,10)))))*$D$50)))))*INDEX($I$232:$I$233,MATCH(LEFT(FJ232,FIND("·",FJ232)-1),$C$232:$C$233,0)),0),0),0)</f>
        <v>10</v>
      </c>
      <c r="FL232" s="110"/>
      <c r="FM232" s="76" t="s">
        <v>2097</v>
      </c>
      <c r="FN232" s="77">
        <f t="shared" ref="FN232" ca="1" si="2903">IFERROR(IF(COUNTIF($K$232:$K$233,LEFT(FM232,FIND("·",FM232)-1))&gt;0,IF(INDEX($L$232:$L$233,MATCH(LEFT(FM232,FIND("·",FM232)-1),$K$232:$K$233,0))=IFERROR(VALUE(MID(FM232,FIND("·",FM232)+1,1)),0),($D$28+(INDEX($M$232:$M$233,MATCH(LEFT(FM232,FIND("·",FM232)-1),$K$232:$K$233,0))=MID(FM232,FIND("|",FM232)+1,10))*$D$30+MAX(0,IF($D$50=1,$D$29*(1-(ABS(INDEX($P$232:$P$233,MATCH(LEFT(FM232,FIND("·",FM232)-1),$K$232:$K$233,0))-(VALUE(MID(FM232,FIND("|",FM232)+1,FIND("-",FM232,FIND("|",FM232))-FIND("|",FM232)-1))-VALUE(MID(FM232,FIND("-",FM232,FIND("|",FM232))+1,10)))))*$D$50),$D$29*(1-(IF(INDEX($L$232:$L$233,MATCH(LEFT(FM232,FIND("·",FM232)-1),$K$232:$K$233,0))=0,ABS(INDEX($N$232:$N$233,MATCH(LEFT(FM232,FIND("·",FM232)-1),$K$232:$K$233,0))-VALUE(MID(FM232,FIND("|",FM232)+1,FIND("-",FM232,FIND("|",FM232))-FIND("|",FM232)-1))),ABS(INDEX($P$232:$P$233,MATCH(LEFT(FM232,FIND("·",FM232)-1),$K$232:$K$233,0))-(VALUE(MID(FM232,FIND("|",FM232)+1,FIND("-",FM232,FIND("|",FM232))-FIND("|",FM232)-1))-VALUE(MID(FM232,FIND("-",FM232,FIND("|",FM232))+1,10)))))*$D$50)))))*INDEX($I$232:$I$233,MATCH(LEFT(FM232,FIND("·",FM232)-1),$K$232:$K$233,0)),0),0),0)+IFERROR(IF(COUNTIF($C$232:$C$233,LEFT(FM232,FIND("·",FM232)-1))&gt;0,IF(INDEX($D$232:$D$233,MATCH(LEFT(FM232,FIND("·",FM232)-1),$C$232:$C$233,0))=IFERROR(VALUE(MID(FM232,FIND("·",FM232)+1,1)),0),($D$28+(INDEX($E$232:$E$233,MATCH(LEFT(FM232,FIND("·",FM232)-1),$C$232:$C$233,0))=MID(FM232,FIND("|",FM232)+1,10))*$D$30+MAX(0,IF($D$50=1,$D$29*(1-(ABS(INDEX($Q$232:$Q$233,MATCH(LEFT(FM232,FIND("·",FM232)-1),$C$232:$C$233,0))-(VALUE(MID(FM232,FIND("|",FM232)+1,FIND("-",FM232,FIND("|",FM232))-FIND("|",FM232)-1))-VALUE(MID(FM232,FIND("-",FM232,FIND("|",FM232))+1,10)))))*$D$50),$D$29*(1-(IF(INDEX($D$232:$D$233,MATCH(LEFT(FM232,FIND("·",FM232)-1),$C$232:$C$233,0))=0,ABS(INDEX($A$232:$A$233,MATCH(LEFT(FM232,FIND("·",FM232)-1),$C$232:$C$233,0))-VALUE(MID(FM232,FIND("|",FM232)+1,FIND("-",FM232,FIND("|",FM232))-FIND("|",FM232)-1))),ABS(INDEX($Q$232:$Q$233,MATCH(LEFT(FM232,FIND("·",FM232)-1),$C$232:$C$233,0))-(VALUE(MID(FM232,FIND("|",FM232)+1,FIND("-",FM232,FIND("|",FM232))-FIND("|",FM232)-1))-VALUE(MID(FM232,FIND("-",FM232,FIND("|",FM232))+1,10)))))*$D$50)))))*INDEX($I$232:$I$233,MATCH(LEFT(FM232,FIND("·",FM232)-1),$C$232:$C$233,0)),0),0),0)</f>
        <v>0</v>
      </c>
      <c r="FO232" s="110"/>
      <c r="FP232" s="76" t="s">
        <v>2097</v>
      </c>
      <c r="FQ232" s="77">
        <f t="shared" ref="FQ232" ca="1" si="2904">IFERROR(IF(COUNTIF($K$232:$K$233,LEFT(FP232,FIND("·",FP232)-1))&gt;0,IF(INDEX($L$232:$L$233,MATCH(LEFT(FP232,FIND("·",FP232)-1),$K$232:$K$233,0))=IFERROR(VALUE(MID(FP232,FIND("·",FP232)+1,1)),0),($D$28+(INDEX($M$232:$M$233,MATCH(LEFT(FP232,FIND("·",FP232)-1),$K$232:$K$233,0))=MID(FP232,FIND("|",FP232)+1,10))*$D$30+MAX(0,IF($D$50=1,$D$29*(1-(ABS(INDEX($P$232:$P$233,MATCH(LEFT(FP232,FIND("·",FP232)-1),$K$232:$K$233,0))-(VALUE(MID(FP232,FIND("|",FP232)+1,FIND("-",FP232,FIND("|",FP232))-FIND("|",FP232)-1))-VALUE(MID(FP232,FIND("-",FP232,FIND("|",FP232))+1,10)))))*$D$50),$D$29*(1-(IF(INDEX($L$232:$L$233,MATCH(LEFT(FP232,FIND("·",FP232)-1),$K$232:$K$233,0))=0,ABS(INDEX($N$232:$N$233,MATCH(LEFT(FP232,FIND("·",FP232)-1),$K$232:$K$233,0))-VALUE(MID(FP232,FIND("|",FP232)+1,FIND("-",FP232,FIND("|",FP232))-FIND("|",FP232)-1))),ABS(INDEX($P$232:$P$233,MATCH(LEFT(FP232,FIND("·",FP232)-1),$K$232:$K$233,0))-(VALUE(MID(FP232,FIND("|",FP232)+1,FIND("-",FP232,FIND("|",FP232))-FIND("|",FP232)-1))-VALUE(MID(FP232,FIND("-",FP232,FIND("|",FP232))+1,10)))))*$D$50)))))*INDEX($I$232:$I$233,MATCH(LEFT(FP232,FIND("·",FP232)-1),$K$232:$K$233,0)),0),0),0)+IFERROR(IF(COUNTIF($C$232:$C$233,LEFT(FP232,FIND("·",FP232)-1))&gt;0,IF(INDEX($D$232:$D$233,MATCH(LEFT(FP232,FIND("·",FP232)-1),$C$232:$C$233,0))=IFERROR(VALUE(MID(FP232,FIND("·",FP232)+1,1)),0),($D$28+(INDEX($E$232:$E$233,MATCH(LEFT(FP232,FIND("·",FP232)-1),$C$232:$C$233,0))=MID(FP232,FIND("|",FP232)+1,10))*$D$30+MAX(0,IF($D$50=1,$D$29*(1-(ABS(INDEX($Q$232:$Q$233,MATCH(LEFT(FP232,FIND("·",FP232)-1),$C$232:$C$233,0))-(VALUE(MID(FP232,FIND("|",FP232)+1,FIND("-",FP232,FIND("|",FP232))-FIND("|",FP232)-1))-VALUE(MID(FP232,FIND("-",FP232,FIND("|",FP232))+1,10)))))*$D$50),$D$29*(1-(IF(INDEX($D$232:$D$233,MATCH(LEFT(FP232,FIND("·",FP232)-1),$C$232:$C$233,0))=0,ABS(INDEX($A$232:$A$233,MATCH(LEFT(FP232,FIND("·",FP232)-1),$C$232:$C$233,0))-VALUE(MID(FP232,FIND("|",FP232)+1,FIND("-",FP232,FIND("|",FP232))-FIND("|",FP232)-1))),ABS(INDEX($Q$232:$Q$233,MATCH(LEFT(FP232,FIND("·",FP232)-1),$C$232:$C$233,0))-(VALUE(MID(FP232,FIND("|",FP232)+1,FIND("-",FP232,FIND("|",FP232))-FIND("|",FP232)-1))-VALUE(MID(FP232,FIND("-",FP232,FIND("|",FP232))+1,10)))))*$D$50)))))*INDEX($I$232:$I$233,MATCH(LEFT(FP232,FIND("·",FP232)-1),$C$232:$C$233,0)),0),0),0)</f>
        <v>0</v>
      </c>
      <c r="FR232" s="110"/>
      <c r="FS232" s="76" t="s">
        <v>2989</v>
      </c>
      <c r="FT232" s="77">
        <f t="shared" ref="FT232" ca="1" si="2905">IFERROR(IF(COUNTIF($K$232:$K$233,LEFT(FS232,FIND("·",FS232)-1))&gt;0,IF(INDEX($L$232:$L$233,MATCH(LEFT(FS232,FIND("·",FS232)-1),$K$232:$K$233,0))=IFERROR(VALUE(MID(FS232,FIND("·",FS232)+1,1)),0),($D$28+(INDEX($M$232:$M$233,MATCH(LEFT(FS232,FIND("·",FS232)-1),$K$232:$K$233,0))=MID(FS232,FIND("|",FS232)+1,10))*$D$30+MAX(0,IF($D$50=1,$D$29*(1-(ABS(INDEX($P$232:$P$233,MATCH(LEFT(FS232,FIND("·",FS232)-1),$K$232:$K$233,0))-(VALUE(MID(FS232,FIND("|",FS232)+1,FIND("-",FS232,FIND("|",FS232))-FIND("|",FS232)-1))-VALUE(MID(FS232,FIND("-",FS232,FIND("|",FS232))+1,10)))))*$D$50),$D$29*(1-(IF(INDEX($L$232:$L$233,MATCH(LEFT(FS232,FIND("·",FS232)-1),$K$232:$K$233,0))=0,ABS(INDEX($N$232:$N$233,MATCH(LEFT(FS232,FIND("·",FS232)-1),$K$232:$K$233,0))-VALUE(MID(FS232,FIND("|",FS232)+1,FIND("-",FS232,FIND("|",FS232))-FIND("|",FS232)-1))),ABS(INDEX($P$232:$P$233,MATCH(LEFT(FS232,FIND("·",FS232)-1),$K$232:$K$233,0))-(VALUE(MID(FS232,FIND("|",FS232)+1,FIND("-",FS232,FIND("|",FS232))-FIND("|",FS232)-1))-VALUE(MID(FS232,FIND("-",FS232,FIND("|",FS232))+1,10)))))*$D$50)))))*INDEX($I$232:$I$233,MATCH(LEFT(FS232,FIND("·",FS232)-1),$K$232:$K$233,0)),0),0),0)+IFERROR(IF(COUNTIF($C$232:$C$233,LEFT(FS232,FIND("·",FS232)-1))&gt;0,IF(INDEX($D$232:$D$233,MATCH(LEFT(FS232,FIND("·",FS232)-1),$C$232:$C$233,0))=IFERROR(VALUE(MID(FS232,FIND("·",FS232)+1,1)),0),($D$28+(INDEX($E$232:$E$233,MATCH(LEFT(FS232,FIND("·",FS232)-1),$C$232:$C$233,0))=MID(FS232,FIND("|",FS232)+1,10))*$D$30+MAX(0,IF($D$50=1,$D$29*(1-(ABS(INDEX($Q$232:$Q$233,MATCH(LEFT(FS232,FIND("·",FS232)-1),$C$232:$C$233,0))-(VALUE(MID(FS232,FIND("|",FS232)+1,FIND("-",FS232,FIND("|",FS232))-FIND("|",FS232)-1))-VALUE(MID(FS232,FIND("-",FS232,FIND("|",FS232))+1,10)))))*$D$50),$D$29*(1-(IF(INDEX($D$232:$D$233,MATCH(LEFT(FS232,FIND("·",FS232)-1),$C$232:$C$233,0))=0,ABS(INDEX($A$232:$A$233,MATCH(LEFT(FS232,FIND("·",FS232)-1),$C$232:$C$233,0))-VALUE(MID(FS232,FIND("|",FS232)+1,FIND("-",FS232,FIND("|",FS232))-FIND("|",FS232)-1))),ABS(INDEX($Q$232:$Q$233,MATCH(LEFT(FS232,FIND("·",FS232)-1),$C$232:$C$233,0))-(VALUE(MID(FS232,FIND("|",FS232)+1,FIND("-",FS232,FIND("|",FS232))-FIND("|",FS232)-1))-VALUE(MID(FS232,FIND("-",FS232,FIND("|",FS232))+1,10)))))*$D$50)))))*INDEX($I$232:$I$233,MATCH(LEFT(FS232,FIND("·",FS232)-1),$C$232:$C$233,0)),0),0),0)</f>
        <v>0</v>
      </c>
      <c r="FU232" s="110"/>
      <c r="FV232" s="76" t="s">
        <v>2989</v>
      </c>
      <c r="FW232" s="77">
        <f t="shared" ref="FW232" ca="1" si="2906">IFERROR(IF(COUNTIF($K$232:$K$233,LEFT(FV232,FIND("·",FV232)-1))&gt;0,IF(INDEX($L$232:$L$233,MATCH(LEFT(FV232,FIND("·",FV232)-1),$K$232:$K$233,0))=IFERROR(VALUE(MID(FV232,FIND("·",FV232)+1,1)),0),($D$28+(INDEX($M$232:$M$233,MATCH(LEFT(FV232,FIND("·",FV232)-1),$K$232:$K$233,0))=MID(FV232,FIND("|",FV232)+1,10))*$D$30+MAX(0,IF($D$50=1,$D$29*(1-(ABS(INDEX($P$232:$P$233,MATCH(LEFT(FV232,FIND("·",FV232)-1),$K$232:$K$233,0))-(VALUE(MID(FV232,FIND("|",FV232)+1,FIND("-",FV232,FIND("|",FV232))-FIND("|",FV232)-1))-VALUE(MID(FV232,FIND("-",FV232,FIND("|",FV232))+1,10)))))*$D$50),$D$29*(1-(IF(INDEX($L$232:$L$233,MATCH(LEFT(FV232,FIND("·",FV232)-1),$K$232:$K$233,0))=0,ABS(INDEX($N$232:$N$233,MATCH(LEFT(FV232,FIND("·",FV232)-1),$K$232:$K$233,0))-VALUE(MID(FV232,FIND("|",FV232)+1,FIND("-",FV232,FIND("|",FV232))-FIND("|",FV232)-1))),ABS(INDEX($P$232:$P$233,MATCH(LEFT(FV232,FIND("·",FV232)-1),$K$232:$K$233,0))-(VALUE(MID(FV232,FIND("|",FV232)+1,FIND("-",FV232,FIND("|",FV232))-FIND("|",FV232)-1))-VALUE(MID(FV232,FIND("-",FV232,FIND("|",FV232))+1,10)))))*$D$50)))))*INDEX($I$232:$I$233,MATCH(LEFT(FV232,FIND("·",FV232)-1),$K$232:$K$233,0)),0),0),0)+IFERROR(IF(COUNTIF($C$232:$C$233,LEFT(FV232,FIND("·",FV232)-1))&gt;0,IF(INDEX($D$232:$D$233,MATCH(LEFT(FV232,FIND("·",FV232)-1),$C$232:$C$233,0))=IFERROR(VALUE(MID(FV232,FIND("·",FV232)+1,1)),0),($D$28+(INDEX($E$232:$E$233,MATCH(LEFT(FV232,FIND("·",FV232)-1),$C$232:$C$233,0))=MID(FV232,FIND("|",FV232)+1,10))*$D$30+MAX(0,IF($D$50=1,$D$29*(1-(ABS(INDEX($Q$232:$Q$233,MATCH(LEFT(FV232,FIND("·",FV232)-1),$C$232:$C$233,0))-(VALUE(MID(FV232,FIND("|",FV232)+1,FIND("-",FV232,FIND("|",FV232))-FIND("|",FV232)-1))-VALUE(MID(FV232,FIND("-",FV232,FIND("|",FV232))+1,10)))))*$D$50),$D$29*(1-(IF(INDEX($D$232:$D$233,MATCH(LEFT(FV232,FIND("·",FV232)-1),$C$232:$C$233,0))=0,ABS(INDEX($A$232:$A$233,MATCH(LEFT(FV232,FIND("·",FV232)-1),$C$232:$C$233,0))-VALUE(MID(FV232,FIND("|",FV232)+1,FIND("-",FV232,FIND("|",FV232))-FIND("|",FV232)-1))),ABS(INDEX($Q$232:$Q$233,MATCH(LEFT(FV232,FIND("·",FV232)-1),$C$232:$C$233,0))-(VALUE(MID(FV232,FIND("|",FV232)+1,FIND("-",FV232,FIND("|",FV232))-FIND("|",FV232)-1))-VALUE(MID(FV232,FIND("-",FV232,FIND("|",FV232))+1,10)))))*$D$50)))))*INDEX($I$232:$I$233,MATCH(LEFT(FV232,FIND("·",FV232)-1),$C$232:$C$233,0)),0),0),0)</f>
        <v>0</v>
      </c>
      <c r="FX232" s="110"/>
      <c r="FY232" s="76" t="s">
        <v>3012</v>
      </c>
      <c r="FZ232" s="77">
        <f t="shared" ref="FZ232" ca="1" si="2907">IFERROR(IF(COUNTIF($K$232:$K$233,LEFT(FY232,FIND("·",FY232)-1))&gt;0,IF(INDEX($L$232:$L$233,MATCH(LEFT(FY232,FIND("·",FY232)-1),$K$232:$K$233,0))=IFERROR(VALUE(MID(FY232,FIND("·",FY232)+1,1)),0),($D$28+(INDEX($M$232:$M$233,MATCH(LEFT(FY232,FIND("·",FY232)-1),$K$232:$K$233,0))=MID(FY232,FIND("|",FY232)+1,10))*$D$30+MAX(0,IF($D$50=1,$D$29*(1-(ABS(INDEX($P$232:$P$233,MATCH(LEFT(FY232,FIND("·",FY232)-1),$K$232:$K$233,0))-(VALUE(MID(FY232,FIND("|",FY232)+1,FIND("-",FY232,FIND("|",FY232))-FIND("|",FY232)-1))-VALUE(MID(FY232,FIND("-",FY232,FIND("|",FY232))+1,10)))))*$D$50),$D$29*(1-(IF(INDEX($L$232:$L$233,MATCH(LEFT(FY232,FIND("·",FY232)-1),$K$232:$K$233,0))=0,ABS(INDEX($N$232:$N$233,MATCH(LEFT(FY232,FIND("·",FY232)-1),$K$232:$K$233,0))-VALUE(MID(FY232,FIND("|",FY232)+1,FIND("-",FY232,FIND("|",FY232))-FIND("|",FY232)-1))),ABS(INDEX($P$232:$P$233,MATCH(LEFT(FY232,FIND("·",FY232)-1),$K$232:$K$233,0))-(VALUE(MID(FY232,FIND("|",FY232)+1,FIND("-",FY232,FIND("|",FY232))-FIND("|",FY232)-1))-VALUE(MID(FY232,FIND("-",FY232,FIND("|",FY232))+1,10)))))*$D$50)))))*INDEX($I$232:$I$233,MATCH(LEFT(FY232,FIND("·",FY232)-1),$K$232:$K$233,0)),0),0),0)+IFERROR(IF(COUNTIF($C$232:$C$233,LEFT(FY232,FIND("·",FY232)-1))&gt;0,IF(INDEX($D$232:$D$233,MATCH(LEFT(FY232,FIND("·",FY232)-1),$C$232:$C$233,0))=IFERROR(VALUE(MID(FY232,FIND("·",FY232)+1,1)),0),($D$28+(INDEX($E$232:$E$233,MATCH(LEFT(FY232,FIND("·",FY232)-1),$C$232:$C$233,0))=MID(FY232,FIND("|",FY232)+1,10))*$D$30+MAX(0,IF($D$50=1,$D$29*(1-(ABS(INDEX($Q$232:$Q$233,MATCH(LEFT(FY232,FIND("·",FY232)-1),$C$232:$C$233,0))-(VALUE(MID(FY232,FIND("|",FY232)+1,FIND("-",FY232,FIND("|",FY232))-FIND("|",FY232)-1))-VALUE(MID(FY232,FIND("-",FY232,FIND("|",FY232))+1,10)))))*$D$50),$D$29*(1-(IF(INDEX($D$232:$D$233,MATCH(LEFT(FY232,FIND("·",FY232)-1),$C$232:$C$233,0))=0,ABS(INDEX($A$232:$A$233,MATCH(LEFT(FY232,FIND("·",FY232)-1),$C$232:$C$233,0))-VALUE(MID(FY232,FIND("|",FY232)+1,FIND("-",FY232,FIND("|",FY232))-FIND("|",FY232)-1))),ABS(INDEX($Q$232:$Q$233,MATCH(LEFT(FY232,FIND("·",FY232)-1),$C$232:$C$233,0))-(VALUE(MID(FY232,FIND("|",FY232)+1,FIND("-",FY232,FIND("|",FY232))-FIND("|",FY232)-1))-VALUE(MID(FY232,FIND("-",FY232,FIND("|",FY232))+1,10)))))*$D$50)))))*INDEX($I$232:$I$233,MATCH(LEFT(FY232,FIND("·",FY232)-1),$C$232:$C$233,0)),0),0),0)</f>
        <v>12</v>
      </c>
      <c r="GA232" s="110"/>
      <c r="GB232" s="76" t="s">
        <v>2319</v>
      </c>
      <c r="GC232" s="77">
        <f t="shared" ref="GC232" ca="1" si="2908">IFERROR(IF(COUNTIF($K$232:$K$233,LEFT(GB232,FIND("·",GB232)-1))&gt;0,IF(INDEX($L$232:$L$233,MATCH(LEFT(GB232,FIND("·",GB232)-1),$K$232:$K$233,0))=IFERROR(VALUE(MID(GB232,FIND("·",GB232)+1,1)),0),($D$28+(INDEX($M$232:$M$233,MATCH(LEFT(GB232,FIND("·",GB232)-1),$K$232:$K$233,0))=MID(GB232,FIND("|",GB232)+1,10))*$D$30+MAX(0,IF($D$50=1,$D$29*(1-(ABS(INDEX($P$232:$P$233,MATCH(LEFT(GB232,FIND("·",GB232)-1),$K$232:$K$233,0))-(VALUE(MID(GB232,FIND("|",GB232)+1,FIND("-",GB232,FIND("|",GB232))-FIND("|",GB232)-1))-VALUE(MID(GB232,FIND("-",GB232,FIND("|",GB232))+1,10)))))*$D$50),$D$29*(1-(IF(INDEX($L$232:$L$233,MATCH(LEFT(GB232,FIND("·",GB232)-1),$K$232:$K$233,0))=0,ABS(INDEX($N$232:$N$233,MATCH(LEFT(GB232,FIND("·",GB232)-1),$K$232:$K$233,0))-VALUE(MID(GB232,FIND("|",GB232)+1,FIND("-",GB232,FIND("|",GB232))-FIND("|",GB232)-1))),ABS(INDEX($P$232:$P$233,MATCH(LEFT(GB232,FIND("·",GB232)-1),$K$232:$K$233,0))-(VALUE(MID(GB232,FIND("|",GB232)+1,FIND("-",GB232,FIND("|",GB232))-FIND("|",GB232)-1))-VALUE(MID(GB232,FIND("-",GB232,FIND("|",GB232))+1,10)))))*$D$50)))))*INDEX($I$232:$I$233,MATCH(LEFT(GB232,FIND("·",GB232)-1),$K$232:$K$233,0)),0),0),0)+IFERROR(IF(COUNTIF($C$232:$C$233,LEFT(GB232,FIND("·",GB232)-1))&gt;0,IF(INDEX($D$232:$D$233,MATCH(LEFT(GB232,FIND("·",GB232)-1),$C$232:$C$233,0))=IFERROR(VALUE(MID(GB232,FIND("·",GB232)+1,1)),0),($D$28+(INDEX($E$232:$E$233,MATCH(LEFT(GB232,FIND("·",GB232)-1),$C$232:$C$233,0))=MID(GB232,FIND("|",GB232)+1,10))*$D$30+MAX(0,IF($D$50=1,$D$29*(1-(ABS(INDEX($Q$232:$Q$233,MATCH(LEFT(GB232,FIND("·",GB232)-1),$C$232:$C$233,0))-(VALUE(MID(GB232,FIND("|",GB232)+1,FIND("-",GB232,FIND("|",GB232))-FIND("|",GB232)-1))-VALUE(MID(GB232,FIND("-",GB232,FIND("|",GB232))+1,10)))))*$D$50),$D$29*(1-(IF(INDEX($D$232:$D$233,MATCH(LEFT(GB232,FIND("·",GB232)-1),$C$232:$C$233,0))=0,ABS(INDEX($A$232:$A$233,MATCH(LEFT(GB232,FIND("·",GB232)-1),$C$232:$C$233,0))-VALUE(MID(GB232,FIND("|",GB232)+1,FIND("-",GB232,FIND("|",GB232))-FIND("|",GB232)-1))),ABS(INDEX($Q$232:$Q$233,MATCH(LEFT(GB232,FIND("·",GB232)-1),$C$232:$C$233,0))-(VALUE(MID(GB232,FIND("|",GB232)+1,FIND("-",GB232,FIND("|",GB232))-FIND("|",GB232)-1))-VALUE(MID(GB232,FIND("-",GB232,FIND("|",GB232))+1,10)))))*$D$50)))))*INDEX($I$232:$I$233,MATCH(LEFT(GB232,FIND("·",GB232)-1),$C$232:$C$233,0)),0),0),0)</f>
        <v>10</v>
      </c>
      <c r="GD232" s="110"/>
      <c r="GE232" s="76" t="s">
        <v>3038</v>
      </c>
      <c r="GF232" s="77">
        <f t="shared" ref="GF232" ca="1" si="2909">IFERROR(IF(COUNTIF($K$232:$K$233,LEFT(GE232,FIND("·",GE232)-1))&gt;0,IF(INDEX($L$232:$L$233,MATCH(LEFT(GE232,FIND("·",GE232)-1),$K$232:$K$233,0))=IFERROR(VALUE(MID(GE232,FIND("·",GE232)+1,1)),0),($D$28+(INDEX($M$232:$M$233,MATCH(LEFT(GE232,FIND("·",GE232)-1),$K$232:$K$233,0))=MID(GE232,FIND("|",GE232)+1,10))*$D$30+MAX(0,IF($D$50=1,$D$29*(1-(ABS(INDEX($P$232:$P$233,MATCH(LEFT(GE232,FIND("·",GE232)-1),$K$232:$K$233,0))-(VALUE(MID(GE232,FIND("|",GE232)+1,FIND("-",GE232,FIND("|",GE232))-FIND("|",GE232)-1))-VALUE(MID(GE232,FIND("-",GE232,FIND("|",GE232))+1,10)))))*$D$50),$D$29*(1-(IF(INDEX($L$232:$L$233,MATCH(LEFT(GE232,FIND("·",GE232)-1),$K$232:$K$233,0))=0,ABS(INDEX($N$232:$N$233,MATCH(LEFT(GE232,FIND("·",GE232)-1),$K$232:$K$233,0))-VALUE(MID(GE232,FIND("|",GE232)+1,FIND("-",GE232,FIND("|",GE232))-FIND("|",GE232)-1))),ABS(INDEX($P$232:$P$233,MATCH(LEFT(GE232,FIND("·",GE232)-1),$K$232:$K$233,0))-(VALUE(MID(GE232,FIND("|",GE232)+1,FIND("-",GE232,FIND("|",GE232))-FIND("|",GE232)-1))-VALUE(MID(GE232,FIND("-",GE232,FIND("|",GE232))+1,10)))))*$D$50)))))*INDEX($I$232:$I$233,MATCH(LEFT(GE232,FIND("·",GE232)-1),$K$232:$K$233,0)),0),0),0)+IFERROR(IF(COUNTIF($C$232:$C$233,LEFT(GE232,FIND("·",GE232)-1))&gt;0,IF(INDEX($D$232:$D$233,MATCH(LEFT(GE232,FIND("·",GE232)-1),$C$232:$C$233,0))=IFERROR(VALUE(MID(GE232,FIND("·",GE232)+1,1)),0),($D$28+(INDEX($E$232:$E$233,MATCH(LEFT(GE232,FIND("·",GE232)-1),$C$232:$C$233,0))=MID(GE232,FIND("|",GE232)+1,10))*$D$30+MAX(0,IF($D$50=1,$D$29*(1-(ABS(INDEX($Q$232:$Q$233,MATCH(LEFT(GE232,FIND("·",GE232)-1),$C$232:$C$233,0))-(VALUE(MID(GE232,FIND("|",GE232)+1,FIND("-",GE232,FIND("|",GE232))-FIND("|",GE232)-1))-VALUE(MID(GE232,FIND("-",GE232,FIND("|",GE232))+1,10)))))*$D$50),$D$29*(1-(IF(INDEX($D$232:$D$233,MATCH(LEFT(GE232,FIND("·",GE232)-1),$C$232:$C$233,0))=0,ABS(INDEX($A$232:$A$233,MATCH(LEFT(GE232,FIND("·",GE232)-1),$C$232:$C$233,0))-VALUE(MID(GE232,FIND("|",GE232)+1,FIND("-",GE232,FIND("|",GE232))-FIND("|",GE232)-1))),ABS(INDEX($Q$232:$Q$233,MATCH(LEFT(GE232,FIND("·",GE232)-1),$C$232:$C$233,0))-(VALUE(MID(GE232,FIND("|",GE232)+1,FIND("-",GE232,FIND("|",GE232))-FIND("|",GE232)-1))-VALUE(MID(GE232,FIND("-",GE232,FIND("|",GE232))+1,10)))))*$D$50)))))*INDEX($I$232:$I$233,MATCH(LEFT(GE232,FIND("·",GE232)-1),$C$232:$C$233,0)),0),0),0)</f>
        <v>0</v>
      </c>
      <c r="GG232" s="110"/>
      <c r="GH232" s="76" t="s">
        <v>2463</v>
      </c>
      <c r="GI232" s="77">
        <f t="shared" ref="GI232" ca="1" si="2910">IFERROR(IF(COUNTIF($K$232:$K$233,LEFT(GH232,FIND("·",GH232)-1))&gt;0,IF(INDEX($L$232:$L$233,MATCH(LEFT(GH232,FIND("·",GH232)-1),$K$232:$K$233,0))=IFERROR(VALUE(MID(GH232,FIND("·",GH232)+1,1)),0),($D$28+(INDEX($M$232:$M$233,MATCH(LEFT(GH232,FIND("·",GH232)-1),$K$232:$K$233,0))=MID(GH232,FIND("|",GH232)+1,10))*$D$30+MAX(0,IF($D$50=1,$D$29*(1-(ABS(INDEX($P$232:$P$233,MATCH(LEFT(GH232,FIND("·",GH232)-1),$K$232:$K$233,0))-(VALUE(MID(GH232,FIND("|",GH232)+1,FIND("-",GH232,FIND("|",GH232))-FIND("|",GH232)-1))-VALUE(MID(GH232,FIND("-",GH232,FIND("|",GH232))+1,10)))))*$D$50),$D$29*(1-(IF(INDEX($L$232:$L$233,MATCH(LEFT(GH232,FIND("·",GH232)-1),$K$232:$K$233,0))=0,ABS(INDEX($N$232:$N$233,MATCH(LEFT(GH232,FIND("·",GH232)-1),$K$232:$K$233,0))-VALUE(MID(GH232,FIND("|",GH232)+1,FIND("-",GH232,FIND("|",GH232))-FIND("|",GH232)-1))),ABS(INDEX($P$232:$P$233,MATCH(LEFT(GH232,FIND("·",GH232)-1),$K$232:$K$233,0))-(VALUE(MID(GH232,FIND("|",GH232)+1,FIND("-",GH232,FIND("|",GH232))-FIND("|",GH232)-1))-VALUE(MID(GH232,FIND("-",GH232,FIND("|",GH232))+1,10)))))*$D$50)))))*INDEX($I$232:$I$233,MATCH(LEFT(GH232,FIND("·",GH232)-1),$K$232:$K$233,0)),0),0),0)+IFERROR(IF(COUNTIF($C$232:$C$233,LEFT(GH232,FIND("·",GH232)-1))&gt;0,IF(INDEX($D$232:$D$233,MATCH(LEFT(GH232,FIND("·",GH232)-1),$C$232:$C$233,0))=IFERROR(VALUE(MID(GH232,FIND("·",GH232)+1,1)),0),($D$28+(INDEX($E$232:$E$233,MATCH(LEFT(GH232,FIND("·",GH232)-1),$C$232:$C$233,0))=MID(GH232,FIND("|",GH232)+1,10))*$D$30+MAX(0,IF($D$50=1,$D$29*(1-(ABS(INDEX($Q$232:$Q$233,MATCH(LEFT(GH232,FIND("·",GH232)-1),$C$232:$C$233,0))-(VALUE(MID(GH232,FIND("|",GH232)+1,FIND("-",GH232,FIND("|",GH232))-FIND("|",GH232)-1))-VALUE(MID(GH232,FIND("-",GH232,FIND("|",GH232))+1,10)))))*$D$50),$D$29*(1-(IF(INDEX($D$232:$D$233,MATCH(LEFT(GH232,FIND("·",GH232)-1),$C$232:$C$233,0))=0,ABS(INDEX($A$232:$A$233,MATCH(LEFT(GH232,FIND("·",GH232)-1),$C$232:$C$233,0))-VALUE(MID(GH232,FIND("|",GH232)+1,FIND("-",GH232,FIND("|",GH232))-FIND("|",GH232)-1))),ABS(INDEX($Q$232:$Q$233,MATCH(LEFT(GH232,FIND("·",GH232)-1),$C$232:$C$233,0))-(VALUE(MID(GH232,FIND("|",GH232)+1,FIND("-",GH232,FIND("|",GH232))-FIND("|",GH232)-1))-VALUE(MID(GH232,FIND("-",GH232,FIND("|",GH232))+1,10)))))*$D$50)))))*INDEX($I$232:$I$233,MATCH(LEFT(GH232,FIND("·",GH232)-1),$C$232:$C$233,0)),0),0),0)</f>
        <v>0</v>
      </c>
      <c r="GJ232" s="110"/>
      <c r="GK232" s="76" t="s">
        <v>3038</v>
      </c>
      <c r="GL232" s="77">
        <f t="shared" ref="GL232" ca="1" si="2911">IFERROR(IF(COUNTIF($K$232:$K$233,LEFT(GK232,FIND("·",GK232)-1))&gt;0,IF(INDEX($L$232:$L$233,MATCH(LEFT(GK232,FIND("·",GK232)-1),$K$232:$K$233,0))=IFERROR(VALUE(MID(GK232,FIND("·",GK232)+1,1)),0),($D$28+(INDEX($M$232:$M$233,MATCH(LEFT(GK232,FIND("·",GK232)-1),$K$232:$K$233,0))=MID(GK232,FIND("|",GK232)+1,10))*$D$30+MAX(0,IF($D$50=1,$D$29*(1-(ABS(INDEX($P$232:$P$233,MATCH(LEFT(GK232,FIND("·",GK232)-1),$K$232:$K$233,0))-(VALUE(MID(GK232,FIND("|",GK232)+1,FIND("-",GK232,FIND("|",GK232))-FIND("|",GK232)-1))-VALUE(MID(GK232,FIND("-",GK232,FIND("|",GK232))+1,10)))))*$D$50),$D$29*(1-(IF(INDEX($L$232:$L$233,MATCH(LEFT(GK232,FIND("·",GK232)-1),$K$232:$K$233,0))=0,ABS(INDEX($N$232:$N$233,MATCH(LEFT(GK232,FIND("·",GK232)-1),$K$232:$K$233,0))-VALUE(MID(GK232,FIND("|",GK232)+1,FIND("-",GK232,FIND("|",GK232))-FIND("|",GK232)-1))),ABS(INDEX($P$232:$P$233,MATCH(LEFT(GK232,FIND("·",GK232)-1),$K$232:$K$233,0))-(VALUE(MID(GK232,FIND("|",GK232)+1,FIND("-",GK232,FIND("|",GK232))-FIND("|",GK232)-1))-VALUE(MID(GK232,FIND("-",GK232,FIND("|",GK232))+1,10)))))*$D$50)))))*INDEX($I$232:$I$233,MATCH(LEFT(GK232,FIND("·",GK232)-1),$K$232:$K$233,0)),0),0),0)+IFERROR(IF(COUNTIF($C$232:$C$233,LEFT(GK232,FIND("·",GK232)-1))&gt;0,IF(INDEX($D$232:$D$233,MATCH(LEFT(GK232,FIND("·",GK232)-1),$C$232:$C$233,0))=IFERROR(VALUE(MID(GK232,FIND("·",GK232)+1,1)),0),($D$28+(INDEX($E$232:$E$233,MATCH(LEFT(GK232,FIND("·",GK232)-1),$C$232:$C$233,0))=MID(GK232,FIND("|",GK232)+1,10))*$D$30+MAX(0,IF($D$50=1,$D$29*(1-(ABS(INDEX($Q$232:$Q$233,MATCH(LEFT(GK232,FIND("·",GK232)-1),$C$232:$C$233,0))-(VALUE(MID(GK232,FIND("|",GK232)+1,FIND("-",GK232,FIND("|",GK232))-FIND("|",GK232)-1))-VALUE(MID(GK232,FIND("-",GK232,FIND("|",GK232))+1,10)))))*$D$50),$D$29*(1-(IF(INDEX($D$232:$D$233,MATCH(LEFT(GK232,FIND("·",GK232)-1),$C$232:$C$233,0))=0,ABS(INDEX($A$232:$A$233,MATCH(LEFT(GK232,FIND("·",GK232)-1),$C$232:$C$233,0))-VALUE(MID(GK232,FIND("|",GK232)+1,FIND("-",GK232,FIND("|",GK232))-FIND("|",GK232)-1))),ABS(INDEX($Q$232:$Q$233,MATCH(LEFT(GK232,FIND("·",GK232)-1),$C$232:$C$233,0))-(VALUE(MID(GK232,FIND("|",GK232)+1,FIND("-",GK232,FIND("|",GK232))-FIND("|",GK232)-1))-VALUE(MID(GK232,FIND("-",GK232,FIND("|",GK232))+1,10)))))*$D$50)))))*INDEX($I$232:$I$233,MATCH(LEFT(GK232,FIND("·",GK232)-1),$C$232:$C$233,0)),0),0),0)</f>
        <v>0</v>
      </c>
      <c r="GM232" s="110"/>
      <c r="GN232" s="76" t="str">
        <f>Idiomas!$D$370</f>
        <v>Paste Values Semifinals</v>
      </c>
      <c r="GO232" s="77">
        <f t="shared" ref="GO232" ca="1" si="2912">IFERROR(IF(COUNTIF($K$232:$K$233,LEFT(GN232,FIND("·",GN232)-1))&gt;0,IF(INDEX($L$232:$L$233,MATCH(LEFT(GN232,FIND("·",GN232)-1),$K$232:$K$233,0))=IFERROR(VALUE(MID(GN232,FIND("·",GN232)+1,1)),0),($D$28+(INDEX($M$232:$M$233,MATCH(LEFT(GN232,FIND("·",GN232)-1),$K$232:$K$233,0))=MID(GN232,FIND("|",GN232)+1,10))*$D$30+MAX(0,IF($D$50=1,$D$29*(1-(ABS(INDEX($P$232:$P$233,MATCH(LEFT(GN232,FIND("·",GN232)-1),$K$232:$K$233,0))-(VALUE(MID(GN232,FIND("|",GN232)+1,FIND("-",GN232,FIND("|",GN232))-FIND("|",GN232)-1))-VALUE(MID(GN232,FIND("-",GN232,FIND("|",GN232))+1,10)))))*$D$50),$D$29*(1-(IF(INDEX($L$232:$L$233,MATCH(LEFT(GN232,FIND("·",GN232)-1),$K$232:$K$233,0))=0,ABS(INDEX($N$232:$N$233,MATCH(LEFT(GN232,FIND("·",GN232)-1),$K$232:$K$233,0))-VALUE(MID(GN232,FIND("|",GN232)+1,FIND("-",GN232,FIND("|",GN232))-FIND("|",GN232)-1))),ABS(INDEX($P$232:$P$233,MATCH(LEFT(GN232,FIND("·",GN232)-1),$K$232:$K$233,0))-(VALUE(MID(GN232,FIND("|",GN232)+1,FIND("-",GN232,FIND("|",GN232))-FIND("|",GN232)-1))-VALUE(MID(GN232,FIND("-",GN232,FIND("|",GN232))+1,10)))))*$D$50)))))*INDEX($I$232:$I$233,MATCH(LEFT(GN232,FIND("·",GN232)-1),$K$232:$K$233,0)),0),0),0)+IFERROR(IF(COUNTIF($C$232:$C$233,LEFT(GN232,FIND("·",GN232)-1))&gt;0,IF(INDEX($D$232:$D$233,MATCH(LEFT(GN232,FIND("·",GN232)-1),$C$232:$C$233,0))=IFERROR(VALUE(MID(GN232,FIND("·",GN232)+1,1)),0),($D$28+(INDEX($E$232:$E$233,MATCH(LEFT(GN232,FIND("·",GN232)-1),$C$232:$C$233,0))=MID(GN232,FIND("|",GN232)+1,10))*$D$30+MAX(0,IF($D$50=1,$D$29*(1-(ABS(INDEX($Q$232:$Q$233,MATCH(LEFT(GN232,FIND("·",GN232)-1),$C$232:$C$233,0))-(VALUE(MID(GN232,FIND("|",GN232)+1,FIND("-",GN232,FIND("|",GN232))-FIND("|",GN232)-1))-VALUE(MID(GN232,FIND("-",GN232,FIND("|",GN232))+1,10)))))*$D$50),$D$29*(1-(IF(INDEX($D$232:$D$233,MATCH(LEFT(GN232,FIND("·",GN232)-1),$C$232:$C$233,0))=0,ABS(INDEX($A$232:$A$233,MATCH(LEFT(GN232,FIND("·",GN232)-1),$C$232:$C$233,0))-VALUE(MID(GN232,FIND("|",GN232)+1,FIND("-",GN232,FIND("|",GN232))-FIND("|",GN232)-1))),ABS(INDEX($Q$232:$Q$233,MATCH(LEFT(GN232,FIND("·",GN232)-1),$C$232:$C$233,0))-(VALUE(MID(GN232,FIND("|",GN232)+1,FIND("-",GN232,FIND("|",GN232))-FIND("|",GN232)-1))-VALUE(MID(GN232,FIND("-",GN232,FIND("|",GN232))+1,10)))))*$D$50)))))*INDEX($I$232:$I$233,MATCH(LEFT(GN232,FIND("·",GN232)-1),$C$232:$C$233,0)),0),0),0)</f>
        <v>0</v>
      </c>
      <c r="GP232" s="110"/>
      <c r="GQ232" s="76" t="str">
        <f>Idiomas!$D$370</f>
        <v>Paste Values Semifinals</v>
      </c>
      <c r="GR232" s="77">
        <f t="shared" ref="GR232" ca="1" si="2913">IFERROR(IF(COUNTIF($K$232:$K$233,LEFT(GQ232,FIND("·",GQ232)-1))&gt;0,IF(INDEX($L$232:$L$233,MATCH(LEFT(GQ232,FIND("·",GQ232)-1),$K$232:$K$233,0))=IFERROR(VALUE(MID(GQ232,FIND("·",GQ232)+1,1)),0),($D$28+(INDEX($M$232:$M$233,MATCH(LEFT(GQ232,FIND("·",GQ232)-1),$K$232:$K$233,0))=MID(GQ232,FIND("|",GQ232)+1,10))*$D$30+MAX(0,IF($D$50=1,$D$29*(1-(ABS(INDEX($P$232:$P$233,MATCH(LEFT(GQ232,FIND("·",GQ232)-1),$K$232:$K$233,0))-(VALUE(MID(GQ232,FIND("|",GQ232)+1,FIND("-",GQ232,FIND("|",GQ232))-FIND("|",GQ232)-1))-VALUE(MID(GQ232,FIND("-",GQ232,FIND("|",GQ232))+1,10)))))*$D$50),$D$29*(1-(IF(INDEX($L$232:$L$233,MATCH(LEFT(GQ232,FIND("·",GQ232)-1),$K$232:$K$233,0))=0,ABS(INDEX($N$232:$N$233,MATCH(LEFT(GQ232,FIND("·",GQ232)-1),$K$232:$K$233,0))-VALUE(MID(GQ232,FIND("|",GQ232)+1,FIND("-",GQ232,FIND("|",GQ232))-FIND("|",GQ232)-1))),ABS(INDEX($P$232:$P$233,MATCH(LEFT(GQ232,FIND("·",GQ232)-1),$K$232:$K$233,0))-(VALUE(MID(GQ232,FIND("|",GQ232)+1,FIND("-",GQ232,FIND("|",GQ232))-FIND("|",GQ232)-1))-VALUE(MID(GQ232,FIND("-",GQ232,FIND("|",GQ232))+1,10)))))*$D$50)))))*INDEX($I$232:$I$233,MATCH(LEFT(GQ232,FIND("·",GQ232)-1),$K$232:$K$233,0)),0),0),0)+IFERROR(IF(COUNTIF($C$232:$C$233,LEFT(GQ232,FIND("·",GQ232)-1))&gt;0,IF(INDEX($D$232:$D$233,MATCH(LEFT(GQ232,FIND("·",GQ232)-1),$C$232:$C$233,0))=IFERROR(VALUE(MID(GQ232,FIND("·",GQ232)+1,1)),0),($D$28+(INDEX($E$232:$E$233,MATCH(LEFT(GQ232,FIND("·",GQ232)-1),$C$232:$C$233,0))=MID(GQ232,FIND("|",GQ232)+1,10))*$D$30+MAX(0,IF($D$50=1,$D$29*(1-(ABS(INDEX($Q$232:$Q$233,MATCH(LEFT(GQ232,FIND("·",GQ232)-1),$C$232:$C$233,0))-(VALUE(MID(GQ232,FIND("|",GQ232)+1,FIND("-",GQ232,FIND("|",GQ232))-FIND("|",GQ232)-1))-VALUE(MID(GQ232,FIND("-",GQ232,FIND("|",GQ232))+1,10)))))*$D$50),$D$29*(1-(IF(INDEX($D$232:$D$233,MATCH(LEFT(GQ232,FIND("·",GQ232)-1),$C$232:$C$233,0))=0,ABS(INDEX($A$232:$A$233,MATCH(LEFT(GQ232,FIND("·",GQ232)-1),$C$232:$C$233,0))-VALUE(MID(GQ232,FIND("|",GQ232)+1,FIND("-",GQ232,FIND("|",GQ232))-FIND("|",GQ232)-1))),ABS(INDEX($Q$232:$Q$233,MATCH(LEFT(GQ232,FIND("·",GQ232)-1),$C$232:$C$233,0))-(VALUE(MID(GQ232,FIND("|",GQ232)+1,FIND("-",GQ232,FIND("|",GQ232))-FIND("|",GQ232)-1))-VALUE(MID(GQ232,FIND("-",GQ232,FIND("|",GQ232))+1,10)))))*$D$50)))))*INDEX($I$232:$I$233,MATCH(LEFT(GQ232,FIND("·",GQ232)-1),$C$232:$C$233,0)),0),0),0)</f>
        <v>0</v>
      </c>
      <c r="GS232" s="110"/>
      <c r="GT232" s="76" t="str">
        <f>Idiomas!$D$370</f>
        <v>Paste Values Semifinals</v>
      </c>
      <c r="GU232" s="77">
        <f t="shared" ref="GU232" ca="1" si="2914">IFERROR(IF(COUNTIF($K$232:$K$233,LEFT(GT232,FIND("·",GT232)-1))&gt;0,IF(INDEX($L$232:$L$233,MATCH(LEFT(GT232,FIND("·",GT232)-1),$K$232:$K$233,0))=IFERROR(VALUE(MID(GT232,FIND("·",GT232)+1,1)),0),($D$28+(INDEX($M$232:$M$233,MATCH(LEFT(GT232,FIND("·",GT232)-1),$K$232:$K$233,0))=MID(GT232,FIND("|",GT232)+1,10))*$D$30+MAX(0,IF($D$50=1,$D$29*(1-(ABS(INDEX($P$232:$P$233,MATCH(LEFT(GT232,FIND("·",GT232)-1),$K$232:$K$233,0))-(VALUE(MID(GT232,FIND("|",GT232)+1,FIND("-",GT232,FIND("|",GT232))-FIND("|",GT232)-1))-VALUE(MID(GT232,FIND("-",GT232,FIND("|",GT232))+1,10)))))*$D$50),$D$29*(1-(IF(INDEX($L$232:$L$233,MATCH(LEFT(GT232,FIND("·",GT232)-1),$K$232:$K$233,0))=0,ABS(INDEX($N$232:$N$233,MATCH(LEFT(GT232,FIND("·",GT232)-1),$K$232:$K$233,0))-VALUE(MID(GT232,FIND("|",GT232)+1,FIND("-",GT232,FIND("|",GT232))-FIND("|",GT232)-1))),ABS(INDEX($P$232:$P$233,MATCH(LEFT(GT232,FIND("·",GT232)-1),$K$232:$K$233,0))-(VALUE(MID(GT232,FIND("|",GT232)+1,FIND("-",GT232,FIND("|",GT232))-FIND("|",GT232)-1))-VALUE(MID(GT232,FIND("-",GT232,FIND("|",GT232))+1,10)))))*$D$50)))))*INDEX($I$232:$I$233,MATCH(LEFT(GT232,FIND("·",GT232)-1),$K$232:$K$233,0)),0),0),0)+IFERROR(IF(COUNTIF($C$232:$C$233,LEFT(GT232,FIND("·",GT232)-1))&gt;0,IF(INDEX($D$232:$D$233,MATCH(LEFT(GT232,FIND("·",GT232)-1),$C$232:$C$233,0))=IFERROR(VALUE(MID(GT232,FIND("·",GT232)+1,1)),0),($D$28+(INDEX($E$232:$E$233,MATCH(LEFT(GT232,FIND("·",GT232)-1),$C$232:$C$233,0))=MID(GT232,FIND("|",GT232)+1,10))*$D$30+MAX(0,IF($D$50=1,$D$29*(1-(ABS(INDEX($Q$232:$Q$233,MATCH(LEFT(GT232,FIND("·",GT232)-1),$C$232:$C$233,0))-(VALUE(MID(GT232,FIND("|",GT232)+1,FIND("-",GT232,FIND("|",GT232))-FIND("|",GT232)-1))-VALUE(MID(GT232,FIND("-",GT232,FIND("|",GT232))+1,10)))))*$D$50),$D$29*(1-(IF(INDEX($D$232:$D$233,MATCH(LEFT(GT232,FIND("·",GT232)-1),$C$232:$C$233,0))=0,ABS(INDEX($A$232:$A$233,MATCH(LEFT(GT232,FIND("·",GT232)-1),$C$232:$C$233,0))-VALUE(MID(GT232,FIND("|",GT232)+1,FIND("-",GT232,FIND("|",GT232))-FIND("|",GT232)-1))),ABS(INDEX($Q$232:$Q$233,MATCH(LEFT(GT232,FIND("·",GT232)-1),$C$232:$C$233,0))-(VALUE(MID(GT232,FIND("|",GT232)+1,FIND("-",GT232,FIND("|",GT232))-FIND("|",GT232)-1))-VALUE(MID(GT232,FIND("-",GT232,FIND("|",GT232))+1,10)))))*$D$50)))))*INDEX($I$232:$I$233,MATCH(LEFT(GT232,FIND("·",GT232)-1),$C$232:$C$233,0)),0),0),0)</f>
        <v>0</v>
      </c>
      <c r="GV232" s="110"/>
      <c r="GW232" s="76" t="str">
        <f>Idiomas!$D$370</f>
        <v>Paste Values Semifinals</v>
      </c>
      <c r="GX232" s="77">
        <f t="shared" ref="GX232" ca="1" si="2915">IFERROR(IF(COUNTIF($K$232:$K$233,LEFT(GW232,FIND("·",GW232)-1))&gt;0,IF(INDEX($L$232:$L$233,MATCH(LEFT(GW232,FIND("·",GW232)-1),$K$232:$K$233,0))=IFERROR(VALUE(MID(GW232,FIND("·",GW232)+1,1)),0),($D$28+(INDEX($M$232:$M$233,MATCH(LEFT(GW232,FIND("·",GW232)-1),$K$232:$K$233,0))=MID(GW232,FIND("|",GW232)+1,10))*$D$30+MAX(0,IF($D$50=1,$D$29*(1-(ABS(INDEX($P$232:$P$233,MATCH(LEFT(GW232,FIND("·",GW232)-1),$K$232:$K$233,0))-(VALUE(MID(GW232,FIND("|",GW232)+1,FIND("-",GW232,FIND("|",GW232))-FIND("|",GW232)-1))-VALUE(MID(GW232,FIND("-",GW232,FIND("|",GW232))+1,10)))))*$D$50),$D$29*(1-(IF(INDEX($L$232:$L$233,MATCH(LEFT(GW232,FIND("·",GW232)-1),$K$232:$K$233,0))=0,ABS(INDEX($N$232:$N$233,MATCH(LEFT(GW232,FIND("·",GW232)-1),$K$232:$K$233,0))-VALUE(MID(GW232,FIND("|",GW232)+1,FIND("-",GW232,FIND("|",GW232))-FIND("|",GW232)-1))),ABS(INDEX($P$232:$P$233,MATCH(LEFT(GW232,FIND("·",GW232)-1),$K$232:$K$233,0))-(VALUE(MID(GW232,FIND("|",GW232)+1,FIND("-",GW232,FIND("|",GW232))-FIND("|",GW232)-1))-VALUE(MID(GW232,FIND("-",GW232,FIND("|",GW232))+1,10)))))*$D$50)))))*INDEX($I$232:$I$233,MATCH(LEFT(GW232,FIND("·",GW232)-1),$K$232:$K$233,0)),0),0),0)+IFERROR(IF(COUNTIF($C$232:$C$233,LEFT(GW232,FIND("·",GW232)-1))&gt;0,IF(INDEX($D$232:$D$233,MATCH(LEFT(GW232,FIND("·",GW232)-1),$C$232:$C$233,0))=IFERROR(VALUE(MID(GW232,FIND("·",GW232)+1,1)),0),($D$28+(INDEX($E$232:$E$233,MATCH(LEFT(GW232,FIND("·",GW232)-1),$C$232:$C$233,0))=MID(GW232,FIND("|",GW232)+1,10))*$D$30+MAX(0,IF($D$50=1,$D$29*(1-(ABS(INDEX($Q$232:$Q$233,MATCH(LEFT(GW232,FIND("·",GW232)-1),$C$232:$C$233,0))-(VALUE(MID(GW232,FIND("|",GW232)+1,FIND("-",GW232,FIND("|",GW232))-FIND("|",GW232)-1))-VALUE(MID(GW232,FIND("-",GW232,FIND("|",GW232))+1,10)))))*$D$50),$D$29*(1-(IF(INDEX($D$232:$D$233,MATCH(LEFT(GW232,FIND("·",GW232)-1),$C$232:$C$233,0))=0,ABS(INDEX($A$232:$A$233,MATCH(LEFT(GW232,FIND("·",GW232)-1),$C$232:$C$233,0))-VALUE(MID(GW232,FIND("|",GW232)+1,FIND("-",GW232,FIND("|",GW232))-FIND("|",GW232)-1))),ABS(INDEX($Q$232:$Q$233,MATCH(LEFT(GW232,FIND("·",GW232)-1),$C$232:$C$233,0))-(VALUE(MID(GW232,FIND("|",GW232)+1,FIND("-",GW232,FIND("|",GW232))-FIND("|",GW232)-1))-VALUE(MID(GW232,FIND("-",GW232,FIND("|",GW232))+1,10)))))*$D$50)))))*INDEX($I$232:$I$233,MATCH(LEFT(GW232,FIND("·",GW232)-1),$C$232:$C$233,0)),0),0),0)</f>
        <v>0</v>
      </c>
      <c r="GY232" s="110"/>
      <c r="GZ232" s="76" t="str">
        <f>Idiomas!$D$370</f>
        <v>Paste Values Semifinals</v>
      </c>
      <c r="HA232" s="77">
        <f t="shared" ref="HA232" ca="1" si="2916">IFERROR(IF(COUNTIF($K$232:$K$233,LEFT(GZ232,FIND("·",GZ232)-1))&gt;0,IF(INDEX($L$232:$L$233,MATCH(LEFT(GZ232,FIND("·",GZ232)-1),$K$232:$K$233,0))=IFERROR(VALUE(MID(GZ232,FIND("·",GZ232)+1,1)),0),($D$28+(INDEX($M$232:$M$233,MATCH(LEFT(GZ232,FIND("·",GZ232)-1),$K$232:$K$233,0))=MID(GZ232,FIND("|",GZ232)+1,10))*$D$30+MAX(0,IF($D$50=1,$D$29*(1-(ABS(INDEX($P$232:$P$233,MATCH(LEFT(GZ232,FIND("·",GZ232)-1),$K$232:$K$233,0))-(VALUE(MID(GZ232,FIND("|",GZ232)+1,FIND("-",GZ232,FIND("|",GZ232))-FIND("|",GZ232)-1))-VALUE(MID(GZ232,FIND("-",GZ232,FIND("|",GZ232))+1,10)))))*$D$50),$D$29*(1-(IF(INDEX($L$232:$L$233,MATCH(LEFT(GZ232,FIND("·",GZ232)-1),$K$232:$K$233,0))=0,ABS(INDEX($N$232:$N$233,MATCH(LEFT(GZ232,FIND("·",GZ232)-1),$K$232:$K$233,0))-VALUE(MID(GZ232,FIND("|",GZ232)+1,FIND("-",GZ232,FIND("|",GZ232))-FIND("|",GZ232)-1))),ABS(INDEX($P$232:$P$233,MATCH(LEFT(GZ232,FIND("·",GZ232)-1),$K$232:$K$233,0))-(VALUE(MID(GZ232,FIND("|",GZ232)+1,FIND("-",GZ232,FIND("|",GZ232))-FIND("|",GZ232)-1))-VALUE(MID(GZ232,FIND("-",GZ232,FIND("|",GZ232))+1,10)))))*$D$50)))))*INDEX($I$232:$I$233,MATCH(LEFT(GZ232,FIND("·",GZ232)-1),$K$232:$K$233,0)),0),0),0)+IFERROR(IF(COUNTIF($C$232:$C$233,LEFT(GZ232,FIND("·",GZ232)-1))&gt;0,IF(INDEX($D$232:$D$233,MATCH(LEFT(GZ232,FIND("·",GZ232)-1),$C$232:$C$233,0))=IFERROR(VALUE(MID(GZ232,FIND("·",GZ232)+1,1)),0),($D$28+(INDEX($E$232:$E$233,MATCH(LEFT(GZ232,FIND("·",GZ232)-1),$C$232:$C$233,0))=MID(GZ232,FIND("|",GZ232)+1,10))*$D$30+MAX(0,IF($D$50=1,$D$29*(1-(ABS(INDEX($Q$232:$Q$233,MATCH(LEFT(GZ232,FIND("·",GZ232)-1),$C$232:$C$233,0))-(VALUE(MID(GZ232,FIND("|",GZ232)+1,FIND("-",GZ232,FIND("|",GZ232))-FIND("|",GZ232)-1))-VALUE(MID(GZ232,FIND("-",GZ232,FIND("|",GZ232))+1,10)))))*$D$50),$D$29*(1-(IF(INDEX($D$232:$D$233,MATCH(LEFT(GZ232,FIND("·",GZ232)-1),$C$232:$C$233,0))=0,ABS(INDEX($A$232:$A$233,MATCH(LEFT(GZ232,FIND("·",GZ232)-1),$C$232:$C$233,0))-VALUE(MID(GZ232,FIND("|",GZ232)+1,FIND("-",GZ232,FIND("|",GZ232))-FIND("|",GZ232)-1))),ABS(INDEX($Q$232:$Q$233,MATCH(LEFT(GZ232,FIND("·",GZ232)-1),$C$232:$C$233,0))-(VALUE(MID(GZ232,FIND("|",GZ232)+1,FIND("-",GZ232,FIND("|",GZ232))-FIND("|",GZ232)-1))-VALUE(MID(GZ232,FIND("-",GZ232,FIND("|",GZ232))+1,10)))))*$D$50)))))*INDEX($I$232:$I$233,MATCH(LEFT(GZ232,FIND("·",GZ232)-1),$C$232:$C$233,0)),0),0),0)</f>
        <v>0</v>
      </c>
      <c r="HB232" s="110"/>
      <c r="HC232" s="76" t="str">
        <f>Idiomas!$D$370</f>
        <v>Paste Values Semifinals</v>
      </c>
      <c r="HD232" s="77">
        <f t="shared" ref="HD232" ca="1" si="2917">IFERROR(IF(COUNTIF($K$232:$K$233,LEFT(HC232,FIND("·",HC232)-1))&gt;0,IF(INDEX($L$232:$L$233,MATCH(LEFT(HC232,FIND("·",HC232)-1),$K$232:$K$233,0))=IFERROR(VALUE(MID(HC232,FIND("·",HC232)+1,1)),0),($D$28+(INDEX($M$232:$M$233,MATCH(LEFT(HC232,FIND("·",HC232)-1),$K$232:$K$233,0))=MID(HC232,FIND("|",HC232)+1,10))*$D$30+MAX(0,IF($D$50=1,$D$29*(1-(ABS(INDEX($P$232:$P$233,MATCH(LEFT(HC232,FIND("·",HC232)-1),$K$232:$K$233,0))-(VALUE(MID(HC232,FIND("|",HC232)+1,FIND("-",HC232,FIND("|",HC232))-FIND("|",HC232)-1))-VALUE(MID(HC232,FIND("-",HC232,FIND("|",HC232))+1,10)))))*$D$50),$D$29*(1-(IF(INDEX($L$232:$L$233,MATCH(LEFT(HC232,FIND("·",HC232)-1),$K$232:$K$233,0))=0,ABS(INDEX($N$232:$N$233,MATCH(LEFT(HC232,FIND("·",HC232)-1),$K$232:$K$233,0))-VALUE(MID(HC232,FIND("|",HC232)+1,FIND("-",HC232,FIND("|",HC232))-FIND("|",HC232)-1))),ABS(INDEX($P$232:$P$233,MATCH(LEFT(HC232,FIND("·",HC232)-1),$K$232:$K$233,0))-(VALUE(MID(HC232,FIND("|",HC232)+1,FIND("-",HC232,FIND("|",HC232))-FIND("|",HC232)-1))-VALUE(MID(HC232,FIND("-",HC232,FIND("|",HC232))+1,10)))))*$D$50)))))*INDEX($I$232:$I$233,MATCH(LEFT(HC232,FIND("·",HC232)-1),$K$232:$K$233,0)),0),0),0)+IFERROR(IF(COUNTIF($C$232:$C$233,LEFT(HC232,FIND("·",HC232)-1))&gt;0,IF(INDEX($D$232:$D$233,MATCH(LEFT(HC232,FIND("·",HC232)-1),$C$232:$C$233,0))=IFERROR(VALUE(MID(HC232,FIND("·",HC232)+1,1)),0),($D$28+(INDEX($E$232:$E$233,MATCH(LEFT(HC232,FIND("·",HC232)-1),$C$232:$C$233,0))=MID(HC232,FIND("|",HC232)+1,10))*$D$30+MAX(0,IF($D$50=1,$D$29*(1-(ABS(INDEX($Q$232:$Q$233,MATCH(LEFT(HC232,FIND("·",HC232)-1),$C$232:$C$233,0))-(VALUE(MID(HC232,FIND("|",HC232)+1,FIND("-",HC232,FIND("|",HC232))-FIND("|",HC232)-1))-VALUE(MID(HC232,FIND("-",HC232,FIND("|",HC232))+1,10)))))*$D$50),$D$29*(1-(IF(INDEX($D$232:$D$233,MATCH(LEFT(HC232,FIND("·",HC232)-1),$C$232:$C$233,0))=0,ABS(INDEX($A$232:$A$233,MATCH(LEFT(HC232,FIND("·",HC232)-1),$C$232:$C$233,0))-VALUE(MID(HC232,FIND("|",HC232)+1,FIND("-",HC232,FIND("|",HC232))-FIND("|",HC232)-1))),ABS(INDEX($Q$232:$Q$233,MATCH(LEFT(HC232,FIND("·",HC232)-1),$C$232:$C$233,0))-(VALUE(MID(HC232,FIND("|",HC232)+1,FIND("-",HC232,FIND("|",HC232))-FIND("|",HC232)-1))-VALUE(MID(HC232,FIND("-",HC232,FIND("|",HC232))+1,10)))))*$D$50)))))*INDEX($I$232:$I$233,MATCH(LEFT(HC232,FIND("·",HC232)-1),$C$232:$C$233,0)),0),0),0)</f>
        <v>0</v>
      </c>
      <c r="HE232" s="110"/>
      <c r="HF232" s="76" t="str">
        <f>Idiomas!$D$370</f>
        <v>Paste Values Semifinals</v>
      </c>
      <c r="HG232" s="77">
        <f t="shared" ref="HG232" ca="1" si="2918">IFERROR(IF(COUNTIF($K$232:$K$233,LEFT(HF232,FIND("·",HF232)-1))&gt;0,IF(INDEX($L$232:$L$233,MATCH(LEFT(HF232,FIND("·",HF232)-1),$K$232:$K$233,0))=IFERROR(VALUE(MID(HF232,FIND("·",HF232)+1,1)),0),($D$28+(INDEX($M$232:$M$233,MATCH(LEFT(HF232,FIND("·",HF232)-1),$K$232:$K$233,0))=MID(HF232,FIND("|",HF232)+1,10))*$D$30+MAX(0,IF($D$50=1,$D$29*(1-(ABS(INDEX($P$232:$P$233,MATCH(LEFT(HF232,FIND("·",HF232)-1),$K$232:$K$233,0))-(VALUE(MID(HF232,FIND("|",HF232)+1,FIND("-",HF232,FIND("|",HF232))-FIND("|",HF232)-1))-VALUE(MID(HF232,FIND("-",HF232,FIND("|",HF232))+1,10)))))*$D$50),$D$29*(1-(IF(INDEX($L$232:$L$233,MATCH(LEFT(HF232,FIND("·",HF232)-1),$K$232:$K$233,0))=0,ABS(INDEX($N$232:$N$233,MATCH(LEFT(HF232,FIND("·",HF232)-1),$K$232:$K$233,0))-VALUE(MID(HF232,FIND("|",HF232)+1,FIND("-",HF232,FIND("|",HF232))-FIND("|",HF232)-1))),ABS(INDEX($P$232:$P$233,MATCH(LEFT(HF232,FIND("·",HF232)-1),$K$232:$K$233,0))-(VALUE(MID(HF232,FIND("|",HF232)+1,FIND("-",HF232,FIND("|",HF232))-FIND("|",HF232)-1))-VALUE(MID(HF232,FIND("-",HF232,FIND("|",HF232))+1,10)))))*$D$50)))))*INDEX($I$232:$I$233,MATCH(LEFT(HF232,FIND("·",HF232)-1),$K$232:$K$233,0)),0),0),0)+IFERROR(IF(COUNTIF($C$232:$C$233,LEFT(HF232,FIND("·",HF232)-1))&gt;0,IF(INDEX($D$232:$D$233,MATCH(LEFT(HF232,FIND("·",HF232)-1),$C$232:$C$233,0))=IFERROR(VALUE(MID(HF232,FIND("·",HF232)+1,1)),0),($D$28+(INDEX($E$232:$E$233,MATCH(LEFT(HF232,FIND("·",HF232)-1),$C$232:$C$233,0))=MID(HF232,FIND("|",HF232)+1,10))*$D$30+MAX(0,IF($D$50=1,$D$29*(1-(ABS(INDEX($Q$232:$Q$233,MATCH(LEFT(HF232,FIND("·",HF232)-1),$C$232:$C$233,0))-(VALUE(MID(HF232,FIND("|",HF232)+1,FIND("-",HF232,FIND("|",HF232))-FIND("|",HF232)-1))-VALUE(MID(HF232,FIND("-",HF232,FIND("|",HF232))+1,10)))))*$D$50),$D$29*(1-(IF(INDEX($D$232:$D$233,MATCH(LEFT(HF232,FIND("·",HF232)-1),$C$232:$C$233,0))=0,ABS(INDEX($A$232:$A$233,MATCH(LEFT(HF232,FIND("·",HF232)-1),$C$232:$C$233,0))-VALUE(MID(HF232,FIND("|",HF232)+1,FIND("-",HF232,FIND("|",HF232))-FIND("|",HF232)-1))),ABS(INDEX($Q$232:$Q$233,MATCH(LEFT(HF232,FIND("·",HF232)-1),$C$232:$C$233,0))-(VALUE(MID(HF232,FIND("|",HF232)+1,FIND("-",HF232,FIND("|",HF232))-FIND("|",HF232)-1))-VALUE(MID(HF232,FIND("-",HF232,FIND("|",HF232))+1,10)))))*$D$50)))))*INDEX($I$232:$I$233,MATCH(LEFT(HF232,FIND("·",HF232)-1),$C$232:$C$233,0)),0),0),0)</f>
        <v>0</v>
      </c>
      <c r="HH232" s="110"/>
      <c r="HI232" s="76" t="str">
        <f>Idiomas!$D$370</f>
        <v>Paste Values Semifinals</v>
      </c>
      <c r="HJ232" s="77">
        <f t="shared" ref="HJ232" ca="1" si="2919">IFERROR(IF(COUNTIF($K$232:$K$233,LEFT(HI232,FIND("·",HI232)-1))&gt;0,IF(INDEX($L$232:$L$233,MATCH(LEFT(HI232,FIND("·",HI232)-1),$K$232:$K$233,0))=IFERROR(VALUE(MID(HI232,FIND("·",HI232)+1,1)),0),($D$28+(INDEX($M$232:$M$233,MATCH(LEFT(HI232,FIND("·",HI232)-1),$K$232:$K$233,0))=MID(HI232,FIND("|",HI232)+1,10))*$D$30+MAX(0,IF($D$50=1,$D$29*(1-(ABS(INDEX($P$232:$P$233,MATCH(LEFT(HI232,FIND("·",HI232)-1),$K$232:$K$233,0))-(VALUE(MID(HI232,FIND("|",HI232)+1,FIND("-",HI232,FIND("|",HI232))-FIND("|",HI232)-1))-VALUE(MID(HI232,FIND("-",HI232,FIND("|",HI232))+1,10)))))*$D$50),$D$29*(1-(IF(INDEX($L$232:$L$233,MATCH(LEFT(HI232,FIND("·",HI232)-1),$K$232:$K$233,0))=0,ABS(INDEX($N$232:$N$233,MATCH(LEFT(HI232,FIND("·",HI232)-1),$K$232:$K$233,0))-VALUE(MID(HI232,FIND("|",HI232)+1,FIND("-",HI232,FIND("|",HI232))-FIND("|",HI232)-1))),ABS(INDEX($P$232:$P$233,MATCH(LEFT(HI232,FIND("·",HI232)-1),$K$232:$K$233,0))-(VALUE(MID(HI232,FIND("|",HI232)+1,FIND("-",HI232,FIND("|",HI232))-FIND("|",HI232)-1))-VALUE(MID(HI232,FIND("-",HI232,FIND("|",HI232))+1,10)))))*$D$50)))))*INDEX($I$232:$I$233,MATCH(LEFT(HI232,FIND("·",HI232)-1),$K$232:$K$233,0)),0),0),0)+IFERROR(IF(COUNTIF($C$232:$C$233,LEFT(HI232,FIND("·",HI232)-1))&gt;0,IF(INDEX($D$232:$D$233,MATCH(LEFT(HI232,FIND("·",HI232)-1),$C$232:$C$233,0))=IFERROR(VALUE(MID(HI232,FIND("·",HI232)+1,1)),0),($D$28+(INDEX($E$232:$E$233,MATCH(LEFT(HI232,FIND("·",HI232)-1),$C$232:$C$233,0))=MID(HI232,FIND("|",HI232)+1,10))*$D$30+MAX(0,IF($D$50=1,$D$29*(1-(ABS(INDEX($Q$232:$Q$233,MATCH(LEFT(HI232,FIND("·",HI232)-1),$C$232:$C$233,0))-(VALUE(MID(HI232,FIND("|",HI232)+1,FIND("-",HI232,FIND("|",HI232))-FIND("|",HI232)-1))-VALUE(MID(HI232,FIND("-",HI232,FIND("|",HI232))+1,10)))))*$D$50),$D$29*(1-(IF(INDEX($D$232:$D$233,MATCH(LEFT(HI232,FIND("·",HI232)-1),$C$232:$C$233,0))=0,ABS(INDEX($A$232:$A$233,MATCH(LEFT(HI232,FIND("·",HI232)-1),$C$232:$C$233,0))-VALUE(MID(HI232,FIND("|",HI232)+1,FIND("-",HI232,FIND("|",HI232))-FIND("|",HI232)-1))),ABS(INDEX($Q$232:$Q$233,MATCH(LEFT(HI232,FIND("·",HI232)-1),$C$232:$C$233,0))-(VALUE(MID(HI232,FIND("|",HI232)+1,FIND("-",HI232,FIND("|",HI232))-FIND("|",HI232)-1))-VALUE(MID(HI232,FIND("-",HI232,FIND("|",HI232))+1,10)))))*$D$50)))))*INDEX($I$232:$I$233,MATCH(LEFT(HI232,FIND("·",HI232)-1),$C$232:$C$233,0)),0),0),0)</f>
        <v>0</v>
      </c>
      <c r="HK232" s="110"/>
      <c r="HL232" s="76" t="str">
        <f>Idiomas!$D$370</f>
        <v>Paste Values Semifinals</v>
      </c>
      <c r="HM232" s="77">
        <f t="shared" ref="HM232" ca="1" si="2920">IFERROR(IF(COUNTIF($K$232:$K$233,LEFT(HL232,FIND("·",HL232)-1))&gt;0,IF(INDEX($L$232:$L$233,MATCH(LEFT(HL232,FIND("·",HL232)-1),$K$232:$K$233,0))=IFERROR(VALUE(MID(HL232,FIND("·",HL232)+1,1)),0),($D$28+(INDEX($M$232:$M$233,MATCH(LEFT(HL232,FIND("·",HL232)-1),$K$232:$K$233,0))=MID(HL232,FIND("|",HL232)+1,10))*$D$30+MAX(0,IF($D$50=1,$D$29*(1-(ABS(INDEX($P$232:$P$233,MATCH(LEFT(HL232,FIND("·",HL232)-1),$K$232:$K$233,0))-(VALUE(MID(HL232,FIND("|",HL232)+1,FIND("-",HL232,FIND("|",HL232))-FIND("|",HL232)-1))-VALUE(MID(HL232,FIND("-",HL232,FIND("|",HL232))+1,10)))))*$D$50),$D$29*(1-(IF(INDEX($L$232:$L$233,MATCH(LEFT(HL232,FIND("·",HL232)-1),$K$232:$K$233,0))=0,ABS(INDEX($N$232:$N$233,MATCH(LEFT(HL232,FIND("·",HL232)-1),$K$232:$K$233,0))-VALUE(MID(HL232,FIND("|",HL232)+1,FIND("-",HL232,FIND("|",HL232))-FIND("|",HL232)-1))),ABS(INDEX($P$232:$P$233,MATCH(LEFT(HL232,FIND("·",HL232)-1),$K$232:$K$233,0))-(VALUE(MID(HL232,FIND("|",HL232)+1,FIND("-",HL232,FIND("|",HL232))-FIND("|",HL232)-1))-VALUE(MID(HL232,FIND("-",HL232,FIND("|",HL232))+1,10)))))*$D$50)))))*INDEX($I$232:$I$233,MATCH(LEFT(HL232,FIND("·",HL232)-1),$K$232:$K$233,0)),0),0),0)+IFERROR(IF(COUNTIF($C$232:$C$233,LEFT(HL232,FIND("·",HL232)-1))&gt;0,IF(INDEX($D$232:$D$233,MATCH(LEFT(HL232,FIND("·",HL232)-1),$C$232:$C$233,0))=IFERROR(VALUE(MID(HL232,FIND("·",HL232)+1,1)),0),($D$28+(INDEX($E$232:$E$233,MATCH(LEFT(HL232,FIND("·",HL232)-1),$C$232:$C$233,0))=MID(HL232,FIND("|",HL232)+1,10))*$D$30+MAX(0,IF($D$50=1,$D$29*(1-(ABS(INDEX($Q$232:$Q$233,MATCH(LEFT(HL232,FIND("·",HL232)-1),$C$232:$C$233,0))-(VALUE(MID(HL232,FIND("|",HL232)+1,FIND("-",HL232,FIND("|",HL232))-FIND("|",HL232)-1))-VALUE(MID(HL232,FIND("-",HL232,FIND("|",HL232))+1,10)))))*$D$50),$D$29*(1-(IF(INDEX($D$232:$D$233,MATCH(LEFT(HL232,FIND("·",HL232)-1),$C$232:$C$233,0))=0,ABS(INDEX($A$232:$A$233,MATCH(LEFT(HL232,FIND("·",HL232)-1),$C$232:$C$233,0))-VALUE(MID(HL232,FIND("|",HL232)+1,FIND("-",HL232,FIND("|",HL232))-FIND("|",HL232)-1))),ABS(INDEX($Q$232:$Q$233,MATCH(LEFT(HL232,FIND("·",HL232)-1),$C$232:$C$233,0))-(VALUE(MID(HL232,FIND("|",HL232)+1,FIND("-",HL232,FIND("|",HL232))-FIND("|",HL232)-1))-VALUE(MID(HL232,FIND("-",HL232,FIND("|",HL232))+1,10)))))*$D$50)))))*INDEX($I$232:$I$233,MATCH(LEFT(HL232,FIND("·",HL232)-1),$C$232:$C$233,0)),0),0),0)</f>
        <v>0</v>
      </c>
      <c r="HN232" s="110"/>
      <c r="HO232" s="76" t="str">
        <f>Idiomas!$D$370</f>
        <v>Paste Values Semifinals</v>
      </c>
      <c r="HP232" s="77">
        <f t="shared" ref="HP232" ca="1" si="2921">IFERROR(IF(COUNTIF($K$232:$K$233,LEFT(HO232,FIND("·",HO232)-1))&gt;0,IF(INDEX($L$232:$L$233,MATCH(LEFT(HO232,FIND("·",HO232)-1),$K$232:$K$233,0))=IFERROR(VALUE(MID(HO232,FIND("·",HO232)+1,1)),0),($D$28+(INDEX($M$232:$M$233,MATCH(LEFT(HO232,FIND("·",HO232)-1),$K$232:$K$233,0))=MID(HO232,FIND("|",HO232)+1,10))*$D$30+MAX(0,IF($D$50=1,$D$29*(1-(ABS(INDEX($P$232:$P$233,MATCH(LEFT(HO232,FIND("·",HO232)-1),$K$232:$K$233,0))-(VALUE(MID(HO232,FIND("|",HO232)+1,FIND("-",HO232,FIND("|",HO232))-FIND("|",HO232)-1))-VALUE(MID(HO232,FIND("-",HO232,FIND("|",HO232))+1,10)))))*$D$50),$D$29*(1-(IF(INDEX($L$232:$L$233,MATCH(LEFT(HO232,FIND("·",HO232)-1),$K$232:$K$233,0))=0,ABS(INDEX($N$232:$N$233,MATCH(LEFT(HO232,FIND("·",HO232)-1),$K$232:$K$233,0))-VALUE(MID(HO232,FIND("|",HO232)+1,FIND("-",HO232,FIND("|",HO232))-FIND("|",HO232)-1))),ABS(INDEX($P$232:$P$233,MATCH(LEFT(HO232,FIND("·",HO232)-1),$K$232:$K$233,0))-(VALUE(MID(HO232,FIND("|",HO232)+1,FIND("-",HO232,FIND("|",HO232))-FIND("|",HO232)-1))-VALUE(MID(HO232,FIND("-",HO232,FIND("|",HO232))+1,10)))))*$D$50)))))*INDEX($I$232:$I$233,MATCH(LEFT(HO232,FIND("·",HO232)-1),$K$232:$K$233,0)),0),0),0)+IFERROR(IF(COUNTIF($C$232:$C$233,LEFT(HO232,FIND("·",HO232)-1))&gt;0,IF(INDEX($D$232:$D$233,MATCH(LEFT(HO232,FIND("·",HO232)-1),$C$232:$C$233,0))=IFERROR(VALUE(MID(HO232,FIND("·",HO232)+1,1)),0),($D$28+(INDEX($E$232:$E$233,MATCH(LEFT(HO232,FIND("·",HO232)-1),$C$232:$C$233,0))=MID(HO232,FIND("|",HO232)+1,10))*$D$30+MAX(0,IF($D$50=1,$D$29*(1-(ABS(INDEX($Q$232:$Q$233,MATCH(LEFT(HO232,FIND("·",HO232)-1),$C$232:$C$233,0))-(VALUE(MID(HO232,FIND("|",HO232)+1,FIND("-",HO232,FIND("|",HO232))-FIND("|",HO232)-1))-VALUE(MID(HO232,FIND("-",HO232,FIND("|",HO232))+1,10)))))*$D$50),$D$29*(1-(IF(INDEX($D$232:$D$233,MATCH(LEFT(HO232,FIND("·",HO232)-1),$C$232:$C$233,0))=0,ABS(INDEX($A$232:$A$233,MATCH(LEFT(HO232,FIND("·",HO232)-1),$C$232:$C$233,0))-VALUE(MID(HO232,FIND("|",HO232)+1,FIND("-",HO232,FIND("|",HO232))-FIND("|",HO232)-1))),ABS(INDEX($Q$232:$Q$233,MATCH(LEFT(HO232,FIND("·",HO232)-1),$C$232:$C$233,0))-(VALUE(MID(HO232,FIND("|",HO232)+1,FIND("-",HO232,FIND("|",HO232))-FIND("|",HO232)-1))-VALUE(MID(HO232,FIND("-",HO232,FIND("|",HO232))+1,10)))))*$D$50)))))*INDEX($I$232:$I$233,MATCH(LEFT(HO232,FIND("·",HO232)-1),$C$232:$C$233,0)),0),0),0)</f>
        <v>0</v>
      </c>
      <c r="HQ232" s="110"/>
      <c r="HR232" s="76" t="str">
        <f>Idiomas!$D$370</f>
        <v>Paste Values Semifinals</v>
      </c>
      <c r="HS232" s="77">
        <f t="shared" ref="HS232" ca="1" si="2922">IFERROR(IF(COUNTIF($K$232:$K$233,LEFT(HR232,FIND("·",HR232)-1))&gt;0,IF(INDEX($L$232:$L$233,MATCH(LEFT(HR232,FIND("·",HR232)-1),$K$232:$K$233,0))=IFERROR(VALUE(MID(HR232,FIND("·",HR232)+1,1)),0),($D$28+(INDEX($M$232:$M$233,MATCH(LEFT(HR232,FIND("·",HR232)-1),$K$232:$K$233,0))=MID(HR232,FIND("|",HR232)+1,10))*$D$30+MAX(0,IF($D$50=1,$D$29*(1-(ABS(INDEX($P$232:$P$233,MATCH(LEFT(HR232,FIND("·",HR232)-1),$K$232:$K$233,0))-(VALUE(MID(HR232,FIND("|",HR232)+1,FIND("-",HR232,FIND("|",HR232))-FIND("|",HR232)-1))-VALUE(MID(HR232,FIND("-",HR232,FIND("|",HR232))+1,10)))))*$D$50),$D$29*(1-(IF(INDEX($L$232:$L$233,MATCH(LEFT(HR232,FIND("·",HR232)-1),$K$232:$K$233,0))=0,ABS(INDEX($N$232:$N$233,MATCH(LEFT(HR232,FIND("·",HR232)-1),$K$232:$K$233,0))-VALUE(MID(HR232,FIND("|",HR232)+1,FIND("-",HR232,FIND("|",HR232))-FIND("|",HR232)-1))),ABS(INDEX($P$232:$P$233,MATCH(LEFT(HR232,FIND("·",HR232)-1),$K$232:$K$233,0))-(VALUE(MID(HR232,FIND("|",HR232)+1,FIND("-",HR232,FIND("|",HR232))-FIND("|",HR232)-1))-VALUE(MID(HR232,FIND("-",HR232,FIND("|",HR232))+1,10)))))*$D$50)))))*INDEX($I$232:$I$233,MATCH(LEFT(HR232,FIND("·",HR232)-1),$K$232:$K$233,0)),0),0),0)+IFERROR(IF(COUNTIF($C$232:$C$233,LEFT(HR232,FIND("·",HR232)-1))&gt;0,IF(INDEX($D$232:$D$233,MATCH(LEFT(HR232,FIND("·",HR232)-1),$C$232:$C$233,0))=IFERROR(VALUE(MID(HR232,FIND("·",HR232)+1,1)),0),($D$28+(INDEX($E$232:$E$233,MATCH(LEFT(HR232,FIND("·",HR232)-1),$C$232:$C$233,0))=MID(HR232,FIND("|",HR232)+1,10))*$D$30+MAX(0,IF($D$50=1,$D$29*(1-(ABS(INDEX($Q$232:$Q$233,MATCH(LEFT(HR232,FIND("·",HR232)-1),$C$232:$C$233,0))-(VALUE(MID(HR232,FIND("|",HR232)+1,FIND("-",HR232,FIND("|",HR232))-FIND("|",HR232)-1))-VALUE(MID(HR232,FIND("-",HR232,FIND("|",HR232))+1,10)))))*$D$50),$D$29*(1-(IF(INDEX($D$232:$D$233,MATCH(LEFT(HR232,FIND("·",HR232)-1),$C$232:$C$233,0))=0,ABS(INDEX($A$232:$A$233,MATCH(LEFT(HR232,FIND("·",HR232)-1),$C$232:$C$233,0))-VALUE(MID(HR232,FIND("|",HR232)+1,FIND("-",HR232,FIND("|",HR232))-FIND("|",HR232)-1))),ABS(INDEX($Q$232:$Q$233,MATCH(LEFT(HR232,FIND("·",HR232)-1),$C$232:$C$233,0))-(VALUE(MID(HR232,FIND("|",HR232)+1,FIND("-",HR232,FIND("|",HR232))-FIND("|",HR232)-1))-VALUE(MID(HR232,FIND("-",HR232,FIND("|",HR232))+1,10)))))*$D$50)))))*INDEX($I$232:$I$233,MATCH(LEFT(HR232,FIND("·",HR232)-1),$C$232:$C$233,0)),0),0),0)</f>
        <v>0</v>
      </c>
      <c r="HT232" s="110"/>
      <c r="HU232" s="76" t="str">
        <f>Idiomas!$D$370</f>
        <v>Paste Values Semifinals</v>
      </c>
      <c r="HV232" s="77">
        <f t="shared" ref="HV232" ca="1" si="2923">IFERROR(IF(COUNTIF($K$232:$K$233,LEFT(HU232,FIND("·",HU232)-1))&gt;0,IF(INDEX($L$232:$L$233,MATCH(LEFT(HU232,FIND("·",HU232)-1),$K$232:$K$233,0))=IFERROR(VALUE(MID(HU232,FIND("·",HU232)+1,1)),0),($D$28+(INDEX($M$232:$M$233,MATCH(LEFT(HU232,FIND("·",HU232)-1),$K$232:$K$233,0))=MID(HU232,FIND("|",HU232)+1,10))*$D$30+MAX(0,IF($D$50=1,$D$29*(1-(ABS(INDEX($P$232:$P$233,MATCH(LEFT(HU232,FIND("·",HU232)-1),$K$232:$K$233,0))-(VALUE(MID(HU232,FIND("|",HU232)+1,FIND("-",HU232,FIND("|",HU232))-FIND("|",HU232)-1))-VALUE(MID(HU232,FIND("-",HU232,FIND("|",HU232))+1,10)))))*$D$50),$D$29*(1-(IF(INDEX($L$232:$L$233,MATCH(LEFT(HU232,FIND("·",HU232)-1),$K$232:$K$233,0))=0,ABS(INDEX($N$232:$N$233,MATCH(LEFT(HU232,FIND("·",HU232)-1),$K$232:$K$233,0))-VALUE(MID(HU232,FIND("|",HU232)+1,FIND("-",HU232,FIND("|",HU232))-FIND("|",HU232)-1))),ABS(INDEX($P$232:$P$233,MATCH(LEFT(HU232,FIND("·",HU232)-1),$K$232:$K$233,0))-(VALUE(MID(HU232,FIND("|",HU232)+1,FIND("-",HU232,FIND("|",HU232))-FIND("|",HU232)-1))-VALUE(MID(HU232,FIND("-",HU232,FIND("|",HU232))+1,10)))))*$D$50)))))*INDEX($I$232:$I$233,MATCH(LEFT(HU232,FIND("·",HU232)-1),$K$232:$K$233,0)),0),0),0)+IFERROR(IF(COUNTIF($C$232:$C$233,LEFT(HU232,FIND("·",HU232)-1))&gt;0,IF(INDEX($D$232:$D$233,MATCH(LEFT(HU232,FIND("·",HU232)-1),$C$232:$C$233,0))=IFERROR(VALUE(MID(HU232,FIND("·",HU232)+1,1)),0),($D$28+(INDEX($E$232:$E$233,MATCH(LEFT(HU232,FIND("·",HU232)-1),$C$232:$C$233,0))=MID(HU232,FIND("|",HU232)+1,10))*$D$30+MAX(0,IF($D$50=1,$D$29*(1-(ABS(INDEX($Q$232:$Q$233,MATCH(LEFT(HU232,FIND("·",HU232)-1),$C$232:$C$233,0))-(VALUE(MID(HU232,FIND("|",HU232)+1,FIND("-",HU232,FIND("|",HU232))-FIND("|",HU232)-1))-VALUE(MID(HU232,FIND("-",HU232,FIND("|",HU232))+1,10)))))*$D$50),$D$29*(1-(IF(INDEX($D$232:$D$233,MATCH(LEFT(HU232,FIND("·",HU232)-1),$C$232:$C$233,0))=0,ABS(INDEX($A$232:$A$233,MATCH(LEFT(HU232,FIND("·",HU232)-1),$C$232:$C$233,0))-VALUE(MID(HU232,FIND("|",HU232)+1,FIND("-",HU232,FIND("|",HU232))-FIND("|",HU232)-1))),ABS(INDEX($Q$232:$Q$233,MATCH(LEFT(HU232,FIND("·",HU232)-1),$C$232:$C$233,0))-(VALUE(MID(HU232,FIND("|",HU232)+1,FIND("-",HU232,FIND("|",HU232))-FIND("|",HU232)-1))-VALUE(MID(HU232,FIND("-",HU232,FIND("|",HU232))+1,10)))))*$D$50)))))*INDEX($I$232:$I$233,MATCH(LEFT(HU232,FIND("·",HU232)-1),$C$232:$C$233,0)),0),0),0)</f>
        <v>0</v>
      </c>
      <c r="HW232" s="110"/>
      <c r="HX232" s="76" t="str">
        <f>Idiomas!$D$370</f>
        <v>Paste Values Semifinals</v>
      </c>
      <c r="HY232" s="77">
        <f t="shared" ref="HY232" ca="1" si="2924">IFERROR(IF(COUNTIF($K$232:$K$233,LEFT(HX232,FIND("·",HX232)-1))&gt;0,IF(INDEX($L$232:$L$233,MATCH(LEFT(HX232,FIND("·",HX232)-1),$K$232:$K$233,0))=IFERROR(VALUE(MID(HX232,FIND("·",HX232)+1,1)),0),($D$28+(INDEX($M$232:$M$233,MATCH(LEFT(HX232,FIND("·",HX232)-1),$K$232:$K$233,0))=MID(HX232,FIND("|",HX232)+1,10))*$D$30+MAX(0,IF($D$50=1,$D$29*(1-(ABS(INDEX($P$232:$P$233,MATCH(LEFT(HX232,FIND("·",HX232)-1),$K$232:$K$233,0))-(VALUE(MID(HX232,FIND("|",HX232)+1,FIND("-",HX232,FIND("|",HX232))-FIND("|",HX232)-1))-VALUE(MID(HX232,FIND("-",HX232,FIND("|",HX232))+1,10)))))*$D$50),$D$29*(1-(IF(INDEX($L$232:$L$233,MATCH(LEFT(HX232,FIND("·",HX232)-1),$K$232:$K$233,0))=0,ABS(INDEX($N$232:$N$233,MATCH(LEFT(HX232,FIND("·",HX232)-1),$K$232:$K$233,0))-VALUE(MID(HX232,FIND("|",HX232)+1,FIND("-",HX232,FIND("|",HX232))-FIND("|",HX232)-1))),ABS(INDEX($P$232:$P$233,MATCH(LEFT(HX232,FIND("·",HX232)-1),$K$232:$K$233,0))-(VALUE(MID(HX232,FIND("|",HX232)+1,FIND("-",HX232,FIND("|",HX232))-FIND("|",HX232)-1))-VALUE(MID(HX232,FIND("-",HX232,FIND("|",HX232))+1,10)))))*$D$50)))))*INDEX($I$232:$I$233,MATCH(LEFT(HX232,FIND("·",HX232)-1),$K$232:$K$233,0)),0),0),0)+IFERROR(IF(COUNTIF($C$232:$C$233,LEFT(HX232,FIND("·",HX232)-1))&gt;0,IF(INDEX($D$232:$D$233,MATCH(LEFT(HX232,FIND("·",HX232)-1),$C$232:$C$233,0))=IFERROR(VALUE(MID(HX232,FIND("·",HX232)+1,1)),0),($D$28+(INDEX($E$232:$E$233,MATCH(LEFT(HX232,FIND("·",HX232)-1),$C$232:$C$233,0))=MID(HX232,FIND("|",HX232)+1,10))*$D$30+MAX(0,IF($D$50=1,$D$29*(1-(ABS(INDEX($Q$232:$Q$233,MATCH(LEFT(HX232,FIND("·",HX232)-1),$C$232:$C$233,0))-(VALUE(MID(HX232,FIND("|",HX232)+1,FIND("-",HX232,FIND("|",HX232))-FIND("|",HX232)-1))-VALUE(MID(HX232,FIND("-",HX232,FIND("|",HX232))+1,10)))))*$D$50),$D$29*(1-(IF(INDEX($D$232:$D$233,MATCH(LEFT(HX232,FIND("·",HX232)-1),$C$232:$C$233,0))=0,ABS(INDEX($A$232:$A$233,MATCH(LEFT(HX232,FIND("·",HX232)-1),$C$232:$C$233,0))-VALUE(MID(HX232,FIND("|",HX232)+1,FIND("-",HX232,FIND("|",HX232))-FIND("|",HX232)-1))),ABS(INDEX($Q$232:$Q$233,MATCH(LEFT(HX232,FIND("·",HX232)-1),$C$232:$C$233,0))-(VALUE(MID(HX232,FIND("|",HX232)+1,FIND("-",HX232,FIND("|",HX232))-FIND("|",HX232)-1))-VALUE(MID(HX232,FIND("-",HX232,FIND("|",HX232))+1,10)))))*$D$50)))))*INDEX($I$232:$I$233,MATCH(LEFT(HX232,FIND("·",HX232)-1),$C$232:$C$233,0)),0),0),0)</f>
        <v>0</v>
      </c>
      <c r="HZ232" s="110"/>
      <c r="IA232" s="76" t="str">
        <f>Idiomas!$D$370</f>
        <v>Paste Values Semifinals</v>
      </c>
      <c r="IB232" s="77">
        <f t="shared" ref="IB232" ca="1" si="2925">IFERROR(IF(COUNTIF($K$232:$K$233,LEFT(IA232,FIND("·",IA232)-1))&gt;0,IF(INDEX($L$232:$L$233,MATCH(LEFT(IA232,FIND("·",IA232)-1),$K$232:$K$233,0))=IFERROR(VALUE(MID(IA232,FIND("·",IA232)+1,1)),0),($D$28+(INDEX($M$232:$M$233,MATCH(LEFT(IA232,FIND("·",IA232)-1),$K$232:$K$233,0))=MID(IA232,FIND("|",IA232)+1,10))*$D$30+MAX(0,IF($D$50=1,$D$29*(1-(ABS(INDEX($P$232:$P$233,MATCH(LEFT(IA232,FIND("·",IA232)-1),$K$232:$K$233,0))-(VALUE(MID(IA232,FIND("|",IA232)+1,FIND("-",IA232,FIND("|",IA232))-FIND("|",IA232)-1))-VALUE(MID(IA232,FIND("-",IA232,FIND("|",IA232))+1,10)))))*$D$50),$D$29*(1-(IF(INDEX($L$232:$L$233,MATCH(LEFT(IA232,FIND("·",IA232)-1),$K$232:$K$233,0))=0,ABS(INDEX($N$232:$N$233,MATCH(LEFT(IA232,FIND("·",IA232)-1),$K$232:$K$233,0))-VALUE(MID(IA232,FIND("|",IA232)+1,FIND("-",IA232,FIND("|",IA232))-FIND("|",IA232)-1))),ABS(INDEX($P$232:$P$233,MATCH(LEFT(IA232,FIND("·",IA232)-1),$K$232:$K$233,0))-(VALUE(MID(IA232,FIND("|",IA232)+1,FIND("-",IA232,FIND("|",IA232))-FIND("|",IA232)-1))-VALUE(MID(IA232,FIND("-",IA232,FIND("|",IA232))+1,10)))))*$D$50)))))*INDEX($I$232:$I$233,MATCH(LEFT(IA232,FIND("·",IA232)-1),$K$232:$K$233,0)),0),0),0)+IFERROR(IF(COUNTIF($C$232:$C$233,LEFT(IA232,FIND("·",IA232)-1))&gt;0,IF(INDEX($D$232:$D$233,MATCH(LEFT(IA232,FIND("·",IA232)-1),$C$232:$C$233,0))=IFERROR(VALUE(MID(IA232,FIND("·",IA232)+1,1)),0),($D$28+(INDEX($E$232:$E$233,MATCH(LEFT(IA232,FIND("·",IA232)-1),$C$232:$C$233,0))=MID(IA232,FIND("|",IA232)+1,10))*$D$30+MAX(0,IF($D$50=1,$D$29*(1-(ABS(INDEX($Q$232:$Q$233,MATCH(LEFT(IA232,FIND("·",IA232)-1),$C$232:$C$233,0))-(VALUE(MID(IA232,FIND("|",IA232)+1,FIND("-",IA232,FIND("|",IA232))-FIND("|",IA232)-1))-VALUE(MID(IA232,FIND("-",IA232,FIND("|",IA232))+1,10)))))*$D$50),$D$29*(1-(IF(INDEX($D$232:$D$233,MATCH(LEFT(IA232,FIND("·",IA232)-1),$C$232:$C$233,0))=0,ABS(INDEX($A$232:$A$233,MATCH(LEFT(IA232,FIND("·",IA232)-1),$C$232:$C$233,0))-VALUE(MID(IA232,FIND("|",IA232)+1,FIND("-",IA232,FIND("|",IA232))-FIND("|",IA232)-1))),ABS(INDEX($Q$232:$Q$233,MATCH(LEFT(IA232,FIND("·",IA232)-1),$C$232:$C$233,0))-(VALUE(MID(IA232,FIND("|",IA232)+1,FIND("-",IA232,FIND("|",IA232))-FIND("|",IA232)-1))-VALUE(MID(IA232,FIND("-",IA232,FIND("|",IA232))+1,10)))))*$D$50)))))*INDEX($I$232:$I$233,MATCH(LEFT(IA232,FIND("·",IA232)-1),$C$232:$C$233,0)),0),0),0)</f>
        <v>0</v>
      </c>
      <c r="IC232" s="110"/>
      <c r="ID232" s="76" t="str">
        <f>Idiomas!$D$370</f>
        <v>Paste Values Semifinals</v>
      </c>
      <c r="IE232" s="77">
        <f t="shared" ref="IE232" ca="1" si="2926">IFERROR(IF(COUNTIF($K$232:$K$233,LEFT(ID232,FIND("·",ID232)-1))&gt;0,IF(INDEX($L$232:$L$233,MATCH(LEFT(ID232,FIND("·",ID232)-1),$K$232:$K$233,0))=IFERROR(VALUE(MID(ID232,FIND("·",ID232)+1,1)),0),($D$28+(INDEX($M$232:$M$233,MATCH(LEFT(ID232,FIND("·",ID232)-1),$K$232:$K$233,0))=MID(ID232,FIND("|",ID232)+1,10))*$D$30+MAX(0,IF($D$50=1,$D$29*(1-(ABS(INDEX($P$232:$P$233,MATCH(LEFT(ID232,FIND("·",ID232)-1),$K$232:$K$233,0))-(VALUE(MID(ID232,FIND("|",ID232)+1,FIND("-",ID232,FIND("|",ID232))-FIND("|",ID232)-1))-VALUE(MID(ID232,FIND("-",ID232,FIND("|",ID232))+1,10)))))*$D$50),$D$29*(1-(IF(INDEX($L$232:$L$233,MATCH(LEFT(ID232,FIND("·",ID232)-1),$K$232:$K$233,0))=0,ABS(INDEX($N$232:$N$233,MATCH(LEFT(ID232,FIND("·",ID232)-1),$K$232:$K$233,0))-VALUE(MID(ID232,FIND("|",ID232)+1,FIND("-",ID232,FIND("|",ID232))-FIND("|",ID232)-1))),ABS(INDEX($P$232:$P$233,MATCH(LEFT(ID232,FIND("·",ID232)-1),$K$232:$K$233,0))-(VALUE(MID(ID232,FIND("|",ID232)+1,FIND("-",ID232,FIND("|",ID232))-FIND("|",ID232)-1))-VALUE(MID(ID232,FIND("-",ID232,FIND("|",ID232))+1,10)))))*$D$50)))))*INDEX($I$232:$I$233,MATCH(LEFT(ID232,FIND("·",ID232)-1),$K$232:$K$233,0)),0),0),0)+IFERROR(IF(COUNTIF($C$232:$C$233,LEFT(ID232,FIND("·",ID232)-1))&gt;0,IF(INDEX($D$232:$D$233,MATCH(LEFT(ID232,FIND("·",ID232)-1),$C$232:$C$233,0))=IFERROR(VALUE(MID(ID232,FIND("·",ID232)+1,1)),0),($D$28+(INDEX($E$232:$E$233,MATCH(LEFT(ID232,FIND("·",ID232)-1),$C$232:$C$233,0))=MID(ID232,FIND("|",ID232)+1,10))*$D$30+MAX(0,IF($D$50=1,$D$29*(1-(ABS(INDEX($Q$232:$Q$233,MATCH(LEFT(ID232,FIND("·",ID232)-1),$C$232:$C$233,0))-(VALUE(MID(ID232,FIND("|",ID232)+1,FIND("-",ID232,FIND("|",ID232))-FIND("|",ID232)-1))-VALUE(MID(ID232,FIND("-",ID232,FIND("|",ID232))+1,10)))))*$D$50),$D$29*(1-(IF(INDEX($D$232:$D$233,MATCH(LEFT(ID232,FIND("·",ID232)-1),$C$232:$C$233,0))=0,ABS(INDEX($A$232:$A$233,MATCH(LEFT(ID232,FIND("·",ID232)-1),$C$232:$C$233,0))-VALUE(MID(ID232,FIND("|",ID232)+1,FIND("-",ID232,FIND("|",ID232))-FIND("|",ID232)-1))),ABS(INDEX($Q$232:$Q$233,MATCH(LEFT(ID232,FIND("·",ID232)-1),$C$232:$C$233,0))-(VALUE(MID(ID232,FIND("|",ID232)+1,FIND("-",ID232,FIND("|",ID232))-FIND("|",ID232)-1))-VALUE(MID(ID232,FIND("-",ID232,FIND("|",ID232))+1,10)))))*$D$50)))))*INDEX($I$232:$I$233,MATCH(LEFT(ID232,FIND("·",ID232)-1),$C$232:$C$233,0)),0),0),0)</f>
        <v>0</v>
      </c>
      <c r="IF232" s="110"/>
      <c r="IG232" s="76" t="str">
        <f>Idiomas!$D$370</f>
        <v>Paste Values Semifinals</v>
      </c>
      <c r="IH232" s="77">
        <f t="shared" ref="IH232" ca="1" si="2927">IFERROR(IF(COUNTIF($K$232:$K$233,LEFT(IG232,FIND("·",IG232)-1))&gt;0,IF(INDEX($L$232:$L$233,MATCH(LEFT(IG232,FIND("·",IG232)-1),$K$232:$K$233,0))=IFERROR(VALUE(MID(IG232,FIND("·",IG232)+1,1)),0),($D$28+(INDEX($M$232:$M$233,MATCH(LEFT(IG232,FIND("·",IG232)-1),$K$232:$K$233,0))=MID(IG232,FIND("|",IG232)+1,10))*$D$30+MAX(0,IF($D$50=1,$D$29*(1-(ABS(INDEX($P$232:$P$233,MATCH(LEFT(IG232,FIND("·",IG232)-1),$K$232:$K$233,0))-(VALUE(MID(IG232,FIND("|",IG232)+1,FIND("-",IG232,FIND("|",IG232))-FIND("|",IG232)-1))-VALUE(MID(IG232,FIND("-",IG232,FIND("|",IG232))+1,10)))))*$D$50),$D$29*(1-(IF(INDEX($L$232:$L$233,MATCH(LEFT(IG232,FIND("·",IG232)-1),$K$232:$K$233,0))=0,ABS(INDEX($N$232:$N$233,MATCH(LEFT(IG232,FIND("·",IG232)-1),$K$232:$K$233,0))-VALUE(MID(IG232,FIND("|",IG232)+1,FIND("-",IG232,FIND("|",IG232))-FIND("|",IG232)-1))),ABS(INDEX($P$232:$P$233,MATCH(LEFT(IG232,FIND("·",IG232)-1),$K$232:$K$233,0))-(VALUE(MID(IG232,FIND("|",IG232)+1,FIND("-",IG232,FIND("|",IG232))-FIND("|",IG232)-1))-VALUE(MID(IG232,FIND("-",IG232,FIND("|",IG232))+1,10)))))*$D$50)))))*INDEX($I$232:$I$233,MATCH(LEFT(IG232,FIND("·",IG232)-1),$K$232:$K$233,0)),0),0),0)+IFERROR(IF(COUNTIF($C$232:$C$233,LEFT(IG232,FIND("·",IG232)-1))&gt;0,IF(INDEX($D$232:$D$233,MATCH(LEFT(IG232,FIND("·",IG232)-1),$C$232:$C$233,0))=IFERROR(VALUE(MID(IG232,FIND("·",IG232)+1,1)),0),($D$28+(INDEX($E$232:$E$233,MATCH(LEFT(IG232,FIND("·",IG232)-1),$C$232:$C$233,0))=MID(IG232,FIND("|",IG232)+1,10))*$D$30+MAX(0,IF($D$50=1,$D$29*(1-(ABS(INDEX($Q$232:$Q$233,MATCH(LEFT(IG232,FIND("·",IG232)-1),$C$232:$C$233,0))-(VALUE(MID(IG232,FIND("|",IG232)+1,FIND("-",IG232,FIND("|",IG232))-FIND("|",IG232)-1))-VALUE(MID(IG232,FIND("-",IG232,FIND("|",IG232))+1,10)))))*$D$50),$D$29*(1-(IF(INDEX($D$232:$D$233,MATCH(LEFT(IG232,FIND("·",IG232)-1),$C$232:$C$233,0))=0,ABS(INDEX($A$232:$A$233,MATCH(LEFT(IG232,FIND("·",IG232)-1),$C$232:$C$233,0))-VALUE(MID(IG232,FIND("|",IG232)+1,FIND("-",IG232,FIND("|",IG232))-FIND("|",IG232)-1))),ABS(INDEX($Q$232:$Q$233,MATCH(LEFT(IG232,FIND("·",IG232)-1),$C$232:$C$233,0))-(VALUE(MID(IG232,FIND("|",IG232)+1,FIND("-",IG232,FIND("|",IG232))-FIND("|",IG232)-1))-VALUE(MID(IG232,FIND("-",IG232,FIND("|",IG232))+1,10)))))*$D$50)))))*INDEX($I$232:$I$233,MATCH(LEFT(IG232,FIND("·",IG232)-1),$C$232:$C$233,0)),0),0),0)</f>
        <v>0</v>
      </c>
      <c r="II232" s="110"/>
      <c r="IJ232" s="76" t="str">
        <f>Idiomas!$D$370</f>
        <v>Paste Values Semifinals</v>
      </c>
      <c r="IK232" s="77">
        <f t="shared" ref="IK232" ca="1" si="2928">IFERROR(IF(COUNTIF($K$232:$K$233,LEFT(IJ232,FIND("·",IJ232)-1))&gt;0,IF(INDEX($L$232:$L$233,MATCH(LEFT(IJ232,FIND("·",IJ232)-1),$K$232:$K$233,0))=IFERROR(VALUE(MID(IJ232,FIND("·",IJ232)+1,1)),0),($D$28+(INDEX($M$232:$M$233,MATCH(LEFT(IJ232,FIND("·",IJ232)-1),$K$232:$K$233,0))=MID(IJ232,FIND("|",IJ232)+1,10))*$D$30+MAX(0,IF($D$50=1,$D$29*(1-(ABS(INDEX($P$232:$P$233,MATCH(LEFT(IJ232,FIND("·",IJ232)-1),$K$232:$K$233,0))-(VALUE(MID(IJ232,FIND("|",IJ232)+1,FIND("-",IJ232,FIND("|",IJ232))-FIND("|",IJ232)-1))-VALUE(MID(IJ232,FIND("-",IJ232,FIND("|",IJ232))+1,10)))))*$D$50),$D$29*(1-(IF(INDEX($L$232:$L$233,MATCH(LEFT(IJ232,FIND("·",IJ232)-1),$K$232:$K$233,0))=0,ABS(INDEX($N$232:$N$233,MATCH(LEFT(IJ232,FIND("·",IJ232)-1),$K$232:$K$233,0))-VALUE(MID(IJ232,FIND("|",IJ232)+1,FIND("-",IJ232,FIND("|",IJ232))-FIND("|",IJ232)-1))),ABS(INDEX($P$232:$P$233,MATCH(LEFT(IJ232,FIND("·",IJ232)-1),$K$232:$K$233,0))-(VALUE(MID(IJ232,FIND("|",IJ232)+1,FIND("-",IJ232,FIND("|",IJ232))-FIND("|",IJ232)-1))-VALUE(MID(IJ232,FIND("-",IJ232,FIND("|",IJ232))+1,10)))))*$D$50)))))*INDEX($I$232:$I$233,MATCH(LEFT(IJ232,FIND("·",IJ232)-1),$K$232:$K$233,0)),0),0),0)+IFERROR(IF(COUNTIF($C$232:$C$233,LEFT(IJ232,FIND("·",IJ232)-1))&gt;0,IF(INDEX($D$232:$D$233,MATCH(LEFT(IJ232,FIND("·",IJ232)-1),$C$232:$C$233,0))=IFERROR(VALUE(MID(IJ232,FIND("·",IJ232)+1,1)),0),($D$28+(INDEX($E$232:$E$233,MATCH(LEFT(IJ232,FIND("·",IJ232)-1),$C$232:$C$233,0))=MID(IJ232,FIND("|",IJ232)+1,10))*$D$30+MAX(0,IF($D$50=1,$D$29*(1-(ABS(INDEX($Q$232:$Q$233,MATCH(LEFT(IJ232,FIND("·",IJ232)-1),$C$232:$C$233,0))-(VALUE(MID(IJ232,FIND("|",IJ232)+1,FIND("-",IJ232,FIND("|",IJ232))-FIND("|",IJ232)-1))-VALUE(MID(IJ232,FIND("-",IJ232,FIND("|",IJ232))+1,10)))))*$D$50),$D$29*(1-(IF(INDEX($D$232:$D$233,MATCH(LEFT(IJ232,FIND("·",IJ232)-1),$C$232:$C$233,0))=0,ABS(INDEX($A$232:$A$233,MATCH(LEFT(IJ232,FIND("·",IJ232)-1),$C$232:$C$233,0))-VALUE(MID(IJ232,FIND("|",IJ232)+1,FIND("-",IJ232,FIND("|",IJ232))-FIND("|",IJ232)-1))),ABS(INDEX($Q$232:$Q$233,MATCH(LEFT(IJ232,FIND("·",IJ232)-1),$C$232:$C$233,0))-(VALUE(MID(IJ232,FIND("|",IJ232)+1,FIND("-",IJ232,FIND("|",IJ232))-FIND("|",IJ232)-1))-VALUE(MID(IJ232,FIND("-",IJ232,FIND("|",IJ232))+1,10)))))*$D$50)))))*INDEX($I$232:$I$233,MATCH(LEFT(IJ232,FIND("·",IJ232)-1),$C$232:$C$233,0)),0),0),0)</f>
        <v>0</v>
      </c>
      <c r="IL232" s="110"/>
      <c r="IM232" s="76" t="str">
        <f>Idiomas!$D$370</f>
        <v>Paste Values Semifinals</v>
      </c>
      <c r="IN232" s="77">
        <f t="shared" ref="IN232" ca="1" si="2929">IFERROR(IF(COUNTIF($K$232:$K$233,LEFT(IM232,FIND("·",IM232)-1))&gt;0,IF(INDEX($L$232:$L$233,MATCH(LEFT(IM232,FIND("·",IM232)-1),$K$232:$K$233,0))=IFERROR(VALUE(MID(IM232,FIND("·",IM232)+1,1)),0),($D$28+(INDEX($M$232:$M$233,MATCH(LEFT(IM232,FIND("·",IM232)-1),$K$232:$K$233,0))=MID(IM232,FIND("|",IM232)+1,10))*$D$30+MAX(0,IF($D$50=1,$D$29*(1-(ABS(INDEX($P$232:$P$233,MATCH(LEFT(IM232,FIND("·",IM232)-1),$K$232:$K$233,0))-(VALUE(MID(IM232,FIND("|",IM232)+1,FIND("-",IM232,FIND("|",IM232))-FIND("|",IM232)-1))-VALUE(MID(IM232,FIND("-",IM232,FIND("|",IM232))+1,10)))))*$D$50),$D$29*(1-(IF(INDEX($L$232:$L$233,MATCH(LEFT(IM232,FIND("·",IM232)-1),$K$232:$K$233,0))=0,ABS(INDEX($N$232:$N$233,MATCH(LEFT(IM232,FIND("·",IM232)-1),$K$232:$K$233,0))-VALUE(MID(IM232,FIND("|",IM232)+1,FIND("-",IM232,FIND("|",IM232))-FIND("|",IM232)-1))),ABS(INDEX($P$232:$P$233,MATCH(LEFT(IM232,FIND("·",IM232)-1),$K$232:$K$233,0))-(VALUE(MID(IM232,FIND("|",IM232)+1,FIND("-",IM232,FIND("|",IM232))-FIND("|",IM232)-1))-VALUE(MID(IM232,FIND("-",IM232,FIND("|",IM232))+1,10)))))*$D$50)))))*INDEX($I$232:$I$233,MATCH(LEFT(IM232,FIND("·",IM232)-1),$K$232:$K$233,0)),0),0),0)+IFERROR(IF(COUNTIF($C$232:$C$233,LEFT(IM232,FIND("·",IM232)-1))&gt;0,IF(INDEX($D$232:$D$233,MATCH(LEFT(IM232,FIND("·",IM232)-1),$C$232:$C$233,0))=IFERROR(VALUE(MID(IM232,FIND("·",IM232)+1,1)),0),($D$28+(INDEX($E$232:$E$233,MATCH(LEFT(IM232,FIND("·",IM232)-1),$C$232:$C$233,0))=MID(IM232,FIND("|",IM232)+1,10))*$D$30+MAX(0,IF($D$50=1,$D$29*(1-(ABS(INDEX($Q$232:$Q$233,MATCH(LEFT(IM232,FIND("·",IM232)-1),$C$232:$C$233,0))-(VALUE(MID(IM232,FIND("|",IM232)+1,FIND("-",IM232,FIND("|",IM232))-FIND("|",IM232)-1))-VALUE(MID(IM232,FIND("-",IM232,FIND("|",IM232))+1,10)))))*$D$50),$D$29*(1-(IF(INDEX($D$232:$D$233,MATCH(LEFT(IM232,FIND("·",IM232)-1),$C$232:$C$233,0))=0,ABS(INDEX($A$232:$A$233,MATCH(LEFT(IM232,FIND("·",IM232)-1),$C$232:$C$233,0))-VALUE(MID(IM232,FIND("|",IM232)+1,FIND("-",IM232,FIND("|",IM232))-FIND("|",IM232)-1))),ABS(INDEX($Q$232:$Q$233,MATCH(LEFT(IM232,FIND("·",IM232)-1),$C$232:$C$233,0))-(VALUE(MID(IM232,FIND("|",IM232)+1,FIND("-",IM232,FIND("|",IM232))-FIND("|",IM232)-1))-VALUE(MID(IM232,FIND("-",IM232,FIND("|",IM232))+1,10)))))*$D$50)))))*INDEX($I$232:$I$233,MATCH(LEFT(IM232,FIND("·",IM232)-1),$C$232:$C$233,0)),0),0),0)</f>
        <v>0</v>
      </c>
      <c r="IO232" s="110"/>
      <c r="IP232" s="76" t="str">
        <f>Idiomas!$D$370</f>
        <v>Paste Values Semifinals</v>
      </c>
      <c r="IQ232" s="77">
        <f t="shared" ref="IQ232" ca="1" si="2930">IFERROR(IF(COUNTIF($K$232:$K$233,LEFT(IP232,FIND("·",IP232)-1))&gt;0,IF(INDEX($L$232:$L$233,MATCH(LEFT(IP232,FIND("·",IP232)-1),$K$232:$K$233,0))=IFERROR(VALUE(MID(IP232,FIND("·",IP232)+1,1)),0),($D$28+(INDEX($M$232:$M$233,MATCH(LEFT(IP232,FIND("·",IP232)-1),$K$232:$K$233,0))=MID(IP232,FIND("|",IP232)+1,10))*$D$30+MAX(0,IF($D$50=1,$D$29*(1-(ABS(INDEX($P$232:$P$233,MATCH(LEFT(IP232,FIND("·",IP232)-1),$K$232:$K$233,0))-(VALUE(MID(IP232,FIND("|",IP232)+1,FIND("-",IP232,FIND("|",IP232))-FIND("|",IP232)-1))-VALUE(MID(IP232,FIND("-",IP232,FIND("|",IP232))+1,10)))))*$D$50),$D$29*(1-(IF(INDEX($L$232:$L$233,MATCH(LEFT(IP232,FIND("·",IP232)-1),$K$232:$K$233,0))=0,ABS(INDEX($N$232:$N$233,MATCH(LEFT(IP232,FIND("·",IP232)-1),$K$232:$K$233,0))-VALUE(MID(IP232,FIND("|",IP232)+1,FIND("-",IP232,FIND("|",IP232))-FIND("|",IP232)-1))),ABS(INDEX($P$232:$P$233,MATCH(LEFT(IP232,FIND("·",IP232)-1),$K$232:$K$233,0))-(VALUE(MID(IP232,FIND("|",IP232)+1,FIND("-",IP232,FIND("|",IP232))-FIND("|",IP232)-1))-VALUE(MID(IP232,FIND("-",IP232,FIND("|",IP232))+1,10)))))*$D$50)))))*INDEX($I$232:$I$233,MATCH(LEFT(IP232,FIND("·",IP232)-1),$K$232:$K$233,0)),0),0),0)+IFERROR(IF(COUNTIF($C$232:$C$233,LEFT(IP232,FIND("·",IP232)-1))&gt;0,IF(INDEX($D$232:$D$233,MATCH(LEFT(IP232,FIND("·",IP232)-1),$C$232:$C$233,0))=IFERROR(VALUE(MID(IP232,FIND("·",IP232)+1,1)),0),($D$28+(INDEX($E$232:$E$233,MATCH(LEFT(IP232,FIND("·",IP232)-1),$C$232:$C$233,0))=MID(IP232,FIND("|",IP232)+1,10))*$D$30+MAX(0,IF($D$50=1,$D$29*(1-(ABS(INDEX($Q$232:$Q$233,MATCH(LEFT(IP232,FIND("·",IP232)-1),$C$232:$C$233,0))-(VALUE(MID(IP232,FIND("|",IP232)+1,FIND("-",IP232,FIND("|",IP232))-FIND("|",IP232)-1))-VALUE(MID(IP232,FIND("-",IP232,FIND("|",IP232))+1,10)))))*$D$50),$D$29*(1-(IF(INDEX($D$232:$D$233,MATCH(LEFT(IP232,FIND("·",IP232)-1),$C$232:$C$233,0))=0,ABS(INDEX($A$232:$A$233,MATCH(LEFT(IP232,FIND("·",IP232)-1),$C$232:$C$233,0))-VALUE(MID(IP232,FIND("|",IP232)+1,FIND("-",IP232,FIND("|",IP232))-FIND("|",IP232)-1))),ABS(INDEX($Q$232:$Q$233,MATCH(LEFT(IP232,FIND("·",IP232)-1),$C$232:$C$233,0))-(VALUE(MID(IP232,FIND("|",IP232)+1,FIND("-",IP232,FIND("|",IP232))-FIND("|",IP232)-1))-VALUE(MID(IP232,FIND("-",IP232,FIND("|",IP232))+1,10)))))*$D$50)))))*INDEX($I$232:$I$233,MATCH(LEFT(IP232,FIND("·",IP232)-1),$C$232:$C$233,0)),0),0),0)</f>
        <v>0</v>
      </c>
      <c r="IR232" s="110"/>
      <c r="IS232" s="76" t="str">
        <f>Idiomas!$D$370</f>
        <v>Paste Values Semifinals</v>
      </c>
      <c r="IT232" s="77">
        <f t="shared" ref="IT232" ca="1" si="2931">IFERROR(IF(COUNTIF($K$232:$K$233,LEFT(IS232,FIND("·",IS232)-1))&gt;0,IF(INDEX($L$232:$L$233,MATCH(LEFT(IS232,FIND("·",IS232)-1),$K$232:$K$233,0))=IFERROR(VALUE(MID(IS232,FIND("·",IS232)+1,1)),0),($D$28+(INDEX($M$232:$M$233,MATCH(LEFT(IS232,FIND("·",IS232)-1),$K$232:$K$233,0))=MID(IS232,FIND("|",IS232)+1,10))*$D$30+MAX(0,IF($D$50=1,$D$29*(1-(ABS(INDEX($P$232:$P$233,MATCH(LEFT(IS232,FIND("·",IS232)-1),$K$232:$K$233,0))-(VALUE(MID(IS232,FIND("|",IS232)+1,FIND("-",IS232,FIND("|",IS232))-FIND("|",IS232)-1))-VALUE(MID(IS232,FIND("-",IS232,FIND("|",IS232))+1,10)))))*$D$50),$D$29*(1-(IF(INDEX($L$232:$L$233,MATCH(LEFT(IS232,FIND("·",IS232)-1),$K$232:$K$233,0))=0,ABS(INDEX($N$232:$N$233,MATCH(LEFT(IS232,FIND("·",IS232)-1),$K$232:$K$233,0))-VALUE(MID(IS232,FIND("|",IS232)+1,FIND("-",IS232,FIND("|",IS232))-FIND("|",IS232)-1))),ABS(INDEX($P$232:$P$233,MATCH(LEFT(IS232,FIND("·",IS232)-1),$K$232:$K$233,0))-(VALUE(MID(IS232,FIND("|",IS232)+1,FIND("-",IS232,FIND("|",IS232))-FIND("|",IS232)-1))-VALUE(MID(IS232,FIND("-",IS232,FIND("|",IS232))+1,10)))))*$D$50)))))*INDEX($I$232:$I$233,MATCH(LEFT(IS232,FIND("·",IS232)-1),$K$232:$K$233,0)),0),0),0)+IFERROR(IF(COUNTIF($C$232:$C$233,LEFT(IS232,FIND("·",IS232)-1))&gt;0,IF(INDEX($D$232:$D$233,MATCH(LEFT(IS232,FIND("·",IS232)-1),$C$232:$C$233,0))=IFERROR(VALUE(MID(IS232,FIND("·",IS232)+1,1)),0),($D$28+(INDEX($E$232:$E$233,MATCH(LEFT(IS232,FIND("·",IS232)-1),$C$232:$C$233,0))=MID(IS232,FIND("|",IS232)+1,10))*$D$30+MAX(0,IF($D$50=1,$D$29*(1-(ABS(INDEX($Q$232:$Q$233,MATCH(LEFT(IS232,FIND("·",IS232)-1),$C$232:$C$233,0))-(VALUE(MID(IS232,FIND("|",IS232)+1,FIND("-",IS232,FIND("|",IS232))-FIND("|",IS232)-1))-VALUE(MID(IS232,FIND("-",IS232,FIND("|",IS232))+1,10)))))*$D$50),$D$29*(1-(IF(INDEX($D$232:$D$233,MATCH(LEFT(IS232,FIND("·",IS232)-1),$C$232:$C$233,0))=0,ABS(INDEX($A$232:$A$233,MATCH(LEFT(IS232,FIND("·",IS232)-1),$C$232:$C$233,0))-VALUE(MID(IS232,FIND("|",IS232)+1,FIND("-",IS232,FIND("|",IS232))-FIND("|",IS232)-1))),ABS(INDEX($Q$232:$Q$233,MATCH(LEFT(IS232,FIND("·",IS232)-1),$C$232:$C$233,0))-(VALUE(MID(IS232,FIND("|",IS232)+1,FIND("-",IS232,FIND("|",IS232))-FIND("|",IS232)-1))-VALUE(MID(IS232,FIND("-",IS232,FIND("|",IS232))+1,10)))))*$D$50)))))*INDEX($I$232:$I$233,MATCH(LEFT(IS232,FIND("·",IS232)-1),$C$232:$C$233,0)),0),0),0)</f>
        <v>0</v>
      </c>
      <c r="IU232" s="110"/>
      <c r="IV232" s="76" t="str">
        <f>Idiomas!$D$370</f>
        <v>Paste Values Semifinals</v>
      </c>
      <c r="IW232" s="77">
        <f t="shared" ref="IW232" ca="1" si="2932">IFERROR(IF(COUNTIF($K$232:$K$233,LEFT(IV232,FIND("·",IV232)-1))&gt;0,IF(INDEX($L$232:$L$233,MATCH(LEFT(IV232,FIND("·",IV232)-1),$K$232:$K$233,0))=IFERROR(VALUE(MID(IV232,FIND("·",IV232)+1,1)),0),($D$28+(INDEX($M$232:$M$233,MATCH(LEFT(IV232,FIND("·",IV232)-1),$K$232:$K$233,0))=MID(IV232,FIND("|",IV232)+1,10))*$D$30+MAX(0,IF($D$50=1,$D$29*(1-(ABS(INDEX($P$232:$P$233,MATCH(LEFT(IV232,FIND("·",IV232)-1),$K$232:$K$233,0))-(VALUE(MID(IV232,FIND("|",IV232)+1,FIND("-",IV232,FIND("|",IV232))-FIND("|",IV232)-1))-VALUE(MID(IV232,FIND("-",IV232,FIND("|",IV232))+1,10)))))*$D$50),$D$29*(1-(IF(INDEX($L$232:$L$233,MATCH(LEFT(IV232,FIND("·",IV232)-1),$K$232:$K$233,0))=0,ABS(INDEX($N$232:$N$233,MATCH(LEFT(IV232,FIND("·",IV232)-1),$K$232:$K$233,0))-VALUE(MID(IV232,FIND("|",IV232)+1,FIND("-",IV232,FIND("|",IV232))-FIND("|",IV232)-1))),ABS(INDEX($P$232:$P$233,MATCH(LEFT(IV232,FIND("·",IV232)-1),$K$232:$K$233,0))-(VALUE(MID(IV232,FIND("|",IV232)+1,FIND("-",IV232,FIND("|",IV232))-FIND("|",IV232)-1))-VALUE(MID(IV232,FIND("-",IV232,FIND("|",IV232))+1,10)))))*$D$50)))))*INDEX($I$232:$I$233,MATCH(LEFT(IV232,FIND("·",IV232)-1),$K$232:$K$233,0)),0),0),0)+IFERROR(IF(COUNTIF($C$232:$C$233,LEFT(IV232,FIND("·",IV232)-1))&gt;0,IF(INDEX($D$232:$D$233,MATCH(LEFT(IV232,FIND("·",IV232)-1),$C$232:$C$233,0))=IFERROR(VALUE(MID(IV232,FIND("·",IV232)+1,1)),0),($D$28+(INDEX($E$232:$E$233,MATCH(LEFT(IV232,FIND("·",IV232)-1),$C$232:$C$233,0))=MID(IV232,FIND("|",IV232)+1,10))*$D$30+MAX(0,IF($D$50=1,$D$29*(1-(ABS(INDEX($Q$232:$Q$233,MATCH(LEFT(IV232,FIND("·",IV232)-1),$C$232:$C$233,0))-(VALUE(MID(IV232,FIND("|",IV232)+1,FIND("-",IV232,FIND("|",IV232))-FIND("|",IV232)-1))-VALUE(MID(IV232,FIND("-",IV232,FIND("|",IV232))+1,10)))))*$D$50),$D$29*(1-(IF(INDEX($D$232:$D$233,MATCH(LEFT(IV232,FIND("·",IV232)-1),$C$232:$C$233,0))=0,ABS(INDEX($A$232:$A$233,MATCH(LEFT(IV232,FIND("·",IV232)-1),$C$232:$C$233,0))-VALUE(MID(IV232,FIND("|",IV232)+1,FIND("-",IV232,FIND("|",IV232))-FIND("|",IV232)-1))),ABS(INDEX($Q$232:$Q$233,MATCH(LEFT(IV232,FIND("·",IV232)-1),$C$232:$C$233,0))-(VALUE(MID(IV232,FIND("|",IV232)+1,FIND("-",IV232,FIND("|",IV232))-FIND("|",IV232)-1))-VALUE(MID(IV232,FIND("-",IV232,FIND("|",IV232))+1,10)))))*$D$50)))))*INDEX($I$232:$I$233,MATCH(LEFT(IV232,FIND("·",IV232)-1),$C$232:$C$233,0)),0),0),0)</f>
        <v>0</v>
      </c>
      <c r="IX232" s="110"/>
      <c r="IY232" s="76" t="str">
        <f>Idiomas!$D$370</f>
        <v>Paste Values Semifinals</v>
      </c>
      <c r="IZ232" s="77">
        <f t="shared" ref="IZ232" ca="1" si="2933">IFERROR(IF(COUNTIF($K$232:$K$233,LEFT(IY232,FIND("·",IY232)-1))&gt;0,IF(INDEX($L$232:$L$233,MATCH(LEFT(IY232,FIND("·",IY232)-1),$K$232:$K$233,0))=IFERROR(VALUE(MID(IY232,FIND("·",IY232)+1,1)),0),($D$28+(INDEX($M$232:$M$233,MATCH(LEFT(IY232,FIND("·",IY232)-1),$K$232:$K$233,0))=MID(IY232,FIND("|",IY232)+1,10))*$D$30+MAX(0,IF($D$50=1,$D$29*(1-(ABS(INDEX($P$232:$P$233,MATCH(LEFT(IY232,FIND("·",IY232)-1),$K$232:$K$233,0))-(VALUE(MID(IY232,FIND("|",IY232)+1,FIND("-",IY232,FIND("|",IY232))-FIND("|",IY232)-1))-VALUE(MID(IY232,FIND("-",IY232,FIND("|",IY232))+1,10)))))*$D$50),$D$29*(1-(IF(INDEX($L$232:$L$233,MATCH(LEFT(IY232,FIND("·",IY232)-1),$K$232:$K$233,0))=0,ABS(INDEX($N$232:$N$233,MATCH(LEFT(IY232,FIND("·",IY232)-1),$K$232:$K$233,0))-VALUE(MID(IY232,FIND("|",IY232)+1,FIND("-",IY232,FIND("|",IY232))-FIND("|",IY232)-1))),ABS(INDEX($P$232:$P$233,MATCH(LEFT(IY232,FIND("·",IY232)-1),$K$232:$K$233,0))-(VALUE(MID(IY232,FIND("|",IY232)+1,FIND("-",IY232,FIND("|",IY232))-FIND("|",IY232)-1))-VALUE(MID(IY232,FIND("-",IY232,FIND("|",IY232))+1,10)))))*$D$50)))))*INDEX($I$232:$I$233,MATCH(LEFT(IY232,FIND("·",IY232)-1),$K$232:$K$233,0)),0),0),0)+IFERROR(IF(COUNTIF($C$232:$C$233,LEFT(IY232,FIND("·",IY232)-1))&gt;0,IF(INDEX($D$232:$D$233,MATCH(LEFT(IY232,FIND("·",IY232)-1),$C$232:$C$233,0))=IFERROR(VALUE(MID(IY232,FIND("·",IY232)+1,1)),0),($D$28+(INDEX($E$232:$E$233,MATCH(LEFT(IY232,FIND("·",IY232)-1),$C$232:$C$233,0))=MID(IY232,FIND("|",IY232)+1,10))*$D$30+MAX(0,IF($D$50=1,$D$29*(1-(ABS(INDEX($Q$232:$Q$233,MATCH(LEFT(IY232,FIND("·",IY232)-1),$C$232:$C$233,0))-(VALUE(MID(IY232,FIND("|",IY232)+1,FIND("-",IY232,FIND("|",IY232))-FIND("|",IY232)-1))-VALUE(MID(IY232,FIND("-",IY232,FIND("|",IY232))+1,10)))))*$D$50),$D$29*(1-(IF(INDEX($D$232:$D$233,MATCH(LEFT(IY232,FIND("·",IY232)-1),$C$232:$C$233,0))=0,ABS(INDEX($A$232:$A$233,MATCH(LEFT(IY232,FIND("·",IY232)-1),$C$232:$C$233,0))-VALUE(MID(IY232,FIND("|",IY232)+1,FIND("-",IY232,FIND("|",IY232))-FIND("|",IY232)-1))),ABS(INDEX($Q$232:$Q$233,MATCH(LEFT(IY232,FIND("·",IY232)-1),$C$232:$C$233,0))-(VALUE(MID(IY232,FIND("|",IY232)+1,FIND("-",IY232,FIND("|",IY232))-FIND("|",IY232)-1))-VALUE(MID(IY232,FIND("-",IY232,FIND("|",IY232))+1,10)))))*$D$50)))))*INDEX($I$232:$I$233,MATCH(LEFT(IY232,FIND("·",IY232)-1),$C$232:$C$233,0)),0),0),0)</f>
        <v>0</v>
      </c>
      <c r="JA232" s="110"/>
      <c r="JB232" s="76" t="str">
        <f>Idiomas!$D$370</f>
        <v>Paste Values Semifinals</v>
      </c>
      <c r="JC232" s="77">
        <f t="shared" ref="JC232" ca="1" si="2934">IFERROR(IF(COUNTIF($K$232:$K$233,LEFT(JB232,FIND("·",JB232)-1))&gt;0,IF(INDEX($L$232:$L$233,MATCH(LEFT(JB232,FIND("·",JB232)-1),$K$232:$K$233,0))=IFERROR(VALUE(MID(JB232,FIND("·",JB232)+1,1)),0),($D$28+(INDEX($M$232:$M$233,MATCH(LEFT(JB232,FIND("·",JB232)-1),$K$232:$K$233,0))=MID(JB232,FIND("|",JB232)+1,10))*$D$30+MAX(0,IF($D$50=1,$D$29*(1-(ABS(INDEX($P$232:$P$233,MATCH(LEFT(JB232,FIND("·",JB232)-1),$K$232:$K$233,0))-(VALUE(MID(JB232,FIND("|",JB232)+1,FIND("-",JB232,FIND("|",JB232))-FIND("|",JB232)-1))-VALUE(MID(JB232,FIND("-",JB232,FIND("|",JB232))+1,10)))))*$D$50),$D$29*(1-(IF(INDEX($L$232:$L$233,MATCH(LEFT(JB232,FIND("·",JB232)-1),$K$232:$K$233,0))=0,ABS(INDEX($N$232:$N$233,MATCH(LEFT(JB232,FIND("·",JB232)-1),$K$232:$K$233,0))-VALUE(MID(JB232,FIND("|",JB232)+1,FIND("-",JB232,FIND("|",JB232))-FIND("|",JB232)-1))),ABS(INDEX($P$232:$P$233,MATCH(LEFT(JB232,FIND("·",JB232)-1),$K$232:$K$233,0))-(VALUE(MID(JB232,FIND("|",JB232)+1,FIND("-",JB232,FIND("|",JB232))-FIND("|",JB232)-1))-VALUE(MID(JB232,FIND("-",JB232,FIND("|",JB232))+1,10)))))*$D$50)))))*INDEX($I$232:$I$233,MATCH(LEFT(JB232,FIND("·",JB232)-1),$K$232:$K$233,0)),0),0),0)+IFERROR(IF(COUNTIF($C$232:$C$233,LEFT(JB232,FIND("·",JB232)-1))&gt;0,IF(INDEX($D$232:$D$233,MATCH(LEFT(JB232,FIND("·",JB232)-1),$C$232:$C$233,0))=IFERROR(VALUE(MID(JB232,FIND("·",JB232)+1,1)),0),($D$28+(INDEX($E$232:$E$233,MATCH(LEFT(JB232,FIND("·",JB232)-1),$C$232:$C$233,0))=MID(JB232,FIND("|",JB232)+1,10))*$D$30+MAX(0,IF($D$50=1,$D$29*(1-(ABS(INDEX($Q$232:$Q$233,MATCH(LEFT(JB232,FIND("·",JB232)-1),$C$232:$C$233,0))-(VALUE(MID(JB232,FIND("|",JB232)+1,FIND("-",JB232,FIND("|",JB232))-FIND("|",JB232)-1))-VALUE(MID(JB232,FIND("-",JB232,FIND("|",JB232))+1,10)))))*$D$50),$D$29*(1-(IF(INDEX($D$232:$D$233,MATCH(LEFT(JB232,FIND("·",JB232)-1),$C$232:$C$233,0))=0,ABS(INDEX($A$232:$A$233,MATCH(LEFT(JB232,FIND("·",JB232)-1),$C$232:$C$233,0))-VALUE(MID(JB232,FIND("|",JB232)+1,FIND("-",JB232,FIND("|",JB232))-FIND("|",JB232)-1))),ABS(INDEX($Q$232:$Q$233,MATCH(LEFT(JB232,FIND("·",JB232)-1),$C$232:$C$233,0))-(VALUE(MID(JB232,FIND("|",JB232)+1,FIND("-",JB232,FIND("|",JB232))-FIND("|",JB232)-1))-VALUE(MID(JB232,FIND("-",JB232,FIND("|",JB232))+1,10)))))*$D$50)))))*INDEX($I$232:$I$233,MATCH(LEFT(JB232,FIND("·",JB232)-1),$C$232:$C$233,0)),0),0),0)</f>
        <v>0</v>
      </c>
      <c r="JD232" s="110"/>
      <c r="JE232" s="76" t="str">
        <f>Idiomas!$D$370</f>
        <v>Paste Values Semifinals</v>
      </c>
      <c r="JF232" s="77">
        <f t="shared" ref="JF232" ca="1" si="2935">IFERROR(IF(COUNTIF($K$232:$K$233,LEFT(JE232,FIND("·",JE232)-1))&gt;0,IF(INDEX($L$232:$L$233,MATCH(LEFT(JE232,FIND("·",JE232)-1),$K$232:$K$233,0))=IFERROR(VALUE(MID(JE232,FIND("·",JE232)+1,1)),0),($D$28+(INDEX($M$232:$M$233,MATCH(LEFT(JE232,FIND("·",JE232)-1),$K$232:$K$233,0))=MID(JE232,FIND("|",JE232)+1,10))*$D$30+MAX(0,IF($D$50=1,$D$29*(1-(ABS(INDEX($P$232:$P$233,MATCH(LEFT(JE232,FIND("·",JE232)-1),$K$232:$K$233,0))-(VALUE(MID(JE232,FIND("|",JE232)+1,FIND("-",JE232,FIND("|",JE232))-FIND("|",JE232)-1))-VALUE(MID(JE232,FIND("-",JE232,FIND("|",JE232))+1,10)))))*$D$50),$D$29*(1-(IF(INDEX($L$232:$L$233,MATCH(LEFT(JE232,FIND("·",JE232)-1),$K$232:$K$233,0))=0,ABS(INDEX($N$232:$N$233,MATCH(LEFT(JE232,FIND("·",JE232)-1),$K$232:$K$233,0))-VALUE(MID(JE232,FIND("|",JE232)+1,FIND("-",JE232,FIND("|",JE232))-FIND("|",JE232)-1))),ABS(INDEX($P$232:$P$233,MATCH(LEFT(JE232,FIND("·",JE232)-1),$K$232:$K$233,0))-(VALUE(MID(JE232,FIND("|",JE232)+1,FIND("-",JE232,FIND("|",JE232))-FIND("|",JE232)-1))-VALUE(MID(JE232,FIND("-",JE232,FIND("|",JE232))+1,10)))))*$D$50)))))*INDEX($I$232:$I$233,MATCH(LEFT(JE232,FIND("·",JE232)-1),$K$232:$K$233,0)),0),0),0)+IFERROR(IF(COUNTIF($C$232:$C$233,LEFT(JE232,FIND("·",JE232)-1))&gt;0,IF(INDEX($D$232:$D$233,MATCH(LEFT(JE232,FIND("·",JE232)-1),$C$232:$C$233,0))=IFERROR(VALUE(MID(JE232,FIND("·",JE232)+1,1)),0),($D$28+(INDEX($E$232:$E$233,MATCH(LEFT(JE232,FIND("·",JE232)-1),$C$232:$C$233,0))=MID(JE232,FIND("|",JE232)+1,10))*$D$30+MAX(0,IF($D$50=1,$D$29*(1-(ABS(INDEX($Q$232:$Q$233,MATCH(LEFT(JE232,FIND("·",JE232)-1),$C$232:$C$233,0))-(VALUE(MID(JE232,FIND("|",JE232)+1,FIND("-",JE232,FIND("|",JE232))-FIND("|",JE232)-1))-VALUE(MID(JE232,FIND("-",JE232,FIND("|",JE232))+1,10)))))*$D$50),$D$29*(1-(IF(INDEX($D$232:$D$233,MATCH(LEFT(JE232,FIND("·",JE232)-1),$C$232:$C$233,0))=0,ABS(INDEX($A$232:$A$233,MATCH(LEFT(JE232,FIND("·",JE232)-1),$C$232:$C$233,0))-VALUE(MID(JE232,FIND("|",JE232)+1,FIND("-",JE232,FIND("|",JE232))-FIND("|",JE232)-1))),ABS(INDEX($Q$232:$Q$233,MATCH(LEFT(JE232,FIND("·",JE232)-1),$C$232:$C$233,0))-(VALUE(MID(JE232,FIND("|",JE232)+1,FIND("-",JE232,FIND("|",JE232))-FIND("|",JE232)-1))-VALUE(MID(JE232,FIND("-",JE232,FIND("|",JE232))+1,10)))))*$D$50)))))*INDEX($I$232:$I$233,MATCH(LEFT(JE232,FIND("·",JE232)-1),$C$232:$C$233,0)),0),0),0)</f>
        <v>0</v>
      </c>
      <c r="JG232" s="110"/>
      <c r="JH232" s="76" t="str">
        <f>Idiomas!$D$370</f>
        <v>Paste Values Semifinals</v>
      </c>
      <c r="JI232" s="77">
        <f t="shared" ref="JI232" ca="1" si="2936">IFERROR(IF(COUNTIF($K$232:$K$233,LEFT(JH232,FIND("·",JH232)-1))&gt;0,IF(INDEX($L$232:$L$233,MATCH(LEFT(JH232,FIND("·",JH232)-1),$K$232:$K$233,0))=IFERROR(VALUE(MID(JH232,FIND("·",JH232)+1,1)),0),($D$28+(INDEX($M$232:$M$233,MATCH(LEFT(JH232,FIND("·",JH232)-1),$K$232:$K$233,0))=MID(JH232,FIND("|",JH232)+1,10))*$D$30+MAX(0,IF($D$50=1,$D$29*(1-(ABS(INDEX($P$232:$P$233,MATCH(LEFT(JH232,FIND("·",JH232)-1),$K$232:$K$233,0))-(VALUE(MID(JH232,FIND("|",JH232)+1,FIND("-",JH232,FIND("|",JH232))-FIND("|",JH232)-1))-VALUE(MID(JH232,FIND("-",JH232,FIND("|",JH232))+1,10)))))*$D$50),$D$29*(1-(IF(INDEX($L$232:$L$233,MATCH(LEFT(JH232,FIND("·",JH232)-1),$K$232:$K$233,0))=0,ABS(INDEX($N$232:$N$233,MATCH(LEFT(JH232,FIND("·",JH232)-1),$K$232:$K$233,0))-VALUE(MID(JH232,FIND("|",JH232)+1,FIND("-",JH232,FIND("|",JH232))-FIND("|",JH232)-1))),ABS(INDEX($P$232:$P$233,MATCH(LEFT(JH232,FIND("·",JH232)-1),$K$232:$K$233,0))-(VALUE(MID(JH232,FIND("|",JH232)+1,FIND("-",JH232,FIND("|",JH232))-FIND("|",JH232)-1))-VALUE(MID(JH232,FIND("-",JH232,FIND("|",JH232))+1,10)))))*$D$50)))))*INDEX($I$232:$I$233,MATCH(LEFT(JH232,FIND("·",JH232)-1),$K$232:$K$233,0)),0),0),0)+IFERROR(IF(COUNTIF($C$232:$C$233,LEFT(JH232,FIND("·",JH232)-1))&gt;0,IF(INDEX($D$232:$D$233,MATCH(LEFT(JH232,FIND("·",JH232)-1),$C$232:$C$233,0))=IFERROR(VALUE(MID(JH232,FIND("·",JH232)+1,1)),0),($D$28+(INDEX($E$232:$E$233,MATCH(LEFT(JH232,FIND("·",JH232)-1),$C$232:$C$233,0))=MID(JH232,FIND("|",JH232)+1,10))*$D$30+MAX(0,IF($D$50=1,$D$29*(1-(ABS(INDEX($Q$232:$Q$233,MATCH(LEFT(JH232,FIND("·",JH232)-1),$C$232:$C$233,0))-(VALUE(MID(JH232,FIND("|",JH232)+1,FIND("-",JH232,FIND("|",JH232))-FIND("|",JH232)-1))-VALUE(MID(JH232,FIND("-",JH232,FIND("|",JH232))+1,10)))))*$D$50),$D$29*(1-(IF(INDEX($D$232:$D$233,MATCH(LEFT(JH232,FIND("·",JH232)-1),$C$232:$C$233,0))=0,ABS(INDEX($A$232:$A$233,MATCH(LEFT(JH232,FIND("·",JH232)-1),$C$232:$C$233,0))-VALUE(MID(JH232,FIND("|",JH232)+1,FIND("-",JH232,FIND("|",JH232))-FIND("|",JH232)-1))),ABS(INDEX($Q$232:$Q$233,MATCH(LEFT(JH232,FIND("·",JH232)-1),$C$232:$C$233,0))-(VALUE(MID(JH232,FIND("|",JH232)+1,FIND("-",JH232,FIND("|",JH232))-FIND("|",JH232)-1))-VALUE(MID(JH232,FIND("-",JH232,FIND("|",JH232))+1,10)))))*$D$50)))))*INDEX($I$232:$I$233,MATCH(LEFT(JH232,FIND("·",JH232)-1),$C$232:$C$233,0)),0),0),0)</f>
        <v>0</v>
      </c>
      <c r="JJ232" s="110"/>
      <c r="JK232" s="76" t="str">
        <f>Idiomas!$D$370</f>
        <v>Paste Values Semifinals</v>
      </c>
      <c r="JL232" s="77">
        <f t="shared" ref="JL232" ca="1" si="2937">IFERROR(IF(COUNTIF($K$232:$K$233,LEFT(JK232,FIND("·",JK232)-1))&gt;0,IF(INDEX($L$232:$L$233,MATCH(LEFT(JK232,FIND("·",JK232)-1),$K$232:$K$233,0))=IFERROR(VALUE(MID(JK232,FIND("·",JK232)+1,1)),0),($D$28+(INDEX($M$232:$M$233,MATCH(LEFT(JK232,FIND("·",JK232)-1),$K$232:$K$233,0))=MID(JK232,FIND("|",JK232)+1,10))*$D$30+MAX(0,IF($D$50=1,$D$29*(1-(ABS(INDEX($P$232:$P$233,MATCH(LEFT(JK232,FIND("·",JK232)-1),$K$232:$K$233,0))-(VALUE(MID(JK232,FIND("|",JK232)+1,FIND("-",JK232,FIND("|",JK232))-FIND("|",JK232)-1))-VALUE(MID(JK232,FIND("-",JK232,FIND("|",JK232))+1,10)))))*$D$50),$D$29*(1-(IF(INDEX($L$232:$L$233,MATCH(LEFT(JK232,FIND("·",JK232)-1),$K$232:$K$233,0))=0,ABS(INDEX($N$232:$N$233,MATCH(LEFT(JK232,FIND("·",JK232)-1),$K$232:$K$233,0))-VALUE(MID(JK232,FIND("|",JK232)+1,FIND("-",JK232,FIND("|",JK232))-FIND("|",JK232)-1))),ABS(INDEX($P$232:$P$233,MATCH(LEFT(JK232,FIND("·",JK232)-1),$K$232:$K$233,0))-(VALUE(MID(JK232,FIND("|",JK232)+1,FIND("-",JK232,FIND("|",JK232))-FIND("|",JK232)-1))-VALUE(MID(JK232,FIND("-",JK232,FIND("|",JK232))+1,10)))))*$D$50)))))*INDEX($I$232:$I$233,MATCH(LEFT(JK232,FIND("·",JK232)-1),$K$232:$K$233,0)),0),0),0)+IFERROR(IF(COUNTIF($C$232:$C$233,LEFT(JK232,FIND("·",JK232)-1))&gt;0,IF(INDEX($D$232:$D$233,MATCH(LEFT(JK232,FIND("·",JK232)-1),$C$232:$C$233,0))=IFERROR(VALUE(MID(JK232,FIND("·",JK232)+1,1)),0),($D$28+(INDEX($E$232:$E$233,MATCH(LEFT(JK232,FIND("·",JK232)-1),$C$232:$C$233,0))=MID(JK232,FIND("|",JK232)+1,10))*$D$30+MAX(0,IF($D$50=1,$D$29*(1-(ABS(INDEX($Q$232:$Q$233,MATCH(LEFT(JK232,FIND("·",JK232)-1),$C$232:$C$233,0))-(VALUE(MID(JK232,FIND("|",JK232)+1,FIND("-",JK232,FIND("|",JK232))-FIND("|",JK232)-1))-VALUE(MID(JK232,FIND("-",JK232,FIND("|",JK232))+1,10)))))*$D$50),$D$29*(1-(IF(INDEX($D$232:$D$233,MATCH(LEFT(JK232,FIND("·",JK232)-1),$C$232:$C$233,0))=0,ABS(INDEX($A$232:$A$233,MATCH(LEFT(JK232,FIND("·",JK232)-1),$C$232:$C$233,0))-VALUE(MID(JK232,FIND("|",JK232)+1,FIND("-",JK232,FIND("|",JK232))-FIND("|",JK232)-1))),ABS(INDEX($Q$232:$Q$233,MATCH(LEFT(JK232,FIND("·",JK232)-1),$C$232:$C$233,0))-(VALUE(MID(JK232,FIND("|",JK232)+1,FIND("-",JK232,FIND("|",JK232))-FIND("|",JK232)-1))-VALUE(MID(JK232,FIND("-",JK232,FIND("|",JK232))+1,10)))))*$D$50)))))*INDEX($I$232:$I$233,MATCH(LEFT(JK232,FIND("·",JK232)-1),$C$232:$C$233,0)),0),0),0)</f>
        <v>0</v>
      </c>
      <c r="JM232" s="110"/>
      <c r="JN232" s="76" t="str">
        <f>Idiomas!$D$370</f>
        <v>Paste Values Semifinals</v>
      </c>
      <c r="JO232" s="77">
        <f t="shared" ref="JO232" ca="1" si="2938">IFERROR(IF(COUNTIF($K$232:$K$233,LEFT(JN232,FIND("·",JN232)-1))&gt;0,IF(INDEX($L$232:$L$233,MATCH(LEFT(JN232,FIND("·",JN232)-1),$K$232:$K$233,0))=IFERROR(VALUE(MID(JN232,FIND("·",JN232)+1,1)),0),($D$28+(INDEX($M$232:$M$233,MATCH(LEFT(JN232,FIND("·",JN232)-1),$K$232:$K$233,0))=MID(JN232,FIND("|",JN232)+1,10))*$D$30+MAX(0,IF($D$50=1,$D$29*(1-(ABS(INDEX($P$232:$P$233,MATCH(LEFT(JN232,FIND("·",JN232)-1),$K$232:$K$233,0))-(VALUE(MID(JN232,FIND("|",JN232)+1,FIND("-",JN232,FIND("|",JN232))-FIND("|",JN232)-1))-VALUE(MID(JN232,FIND("-",JN232,FIND("|",JN232))+1,10)))))*$D$50),$D$29*(1-(IF(INDEX($L$232:$L$233,MATCH(LEFT(JN232,FIND("·",JN232)-1),$K$232:$K$233,0))=0,ABS(INDEX($N$232:$N$233,MATCH(LEFT(JN232,FIND("·",JN232)-1),$K$232:$K$233,0))-VALUE(MID(JN232,FIND("|",JN232)+1,FIND("-",JN232,FIND("|",JN232))-FIND("|",JN232)-1))),ABS(INDEX($P$232:$P$233,MATCH(LEFT(JN232,FIND("·",JN232)-1),$K$232:$K$233,0))-(VALUE(MID(JN232,FIND("|",JN232)+1,FIND("-",JN232,FIND("|",JN232))-FIND("|",JN232)-1))-VALUE(MID(JN232,FIND("-",JN232,FIND("|",JN232))+1,10)))))*$D$50)))))*INDEX($I$232:$I$233,MATCH(LEFT(JN232,FIND("·",JN232)-1),$K$232:$K$233,0)),0),0),0)+IFERROR(IF(COUNTIF($C$232:$C$233,LEFT(JN232,FIND("·",JN232)-1))&gt;0,IF(INDEX($D$232:$D$233,MATCH(LEFT(JN232,FIND("·",JN232)-1),$C$232:$C$233,0))=IFERROR(VALUE(MID(JN232,FIND("·",JN232)+1,1)),0),($D$28+(INDEX($E$232:$E$233,MATCH(LEFT(JN232,FIND("·",JN232)-1),$C$232:$C$233,0))=MID(JN232,FIND("|",JN232)+1,10))*$D$30+MAX(0,IF($D$50=1,$D$29*(1-(ABS(INDEX($Q$232:$Q$233,MATCH(LEFT(JN232,FIND("·",JN232)-1),$C$232:$C$233,0))-(VALUE(MID(JN232,FIND("|",JN232)+1,FIND("-",JN232,FIND("|",JN232))-FIND("|",JN232)-1))-VALUE(MID(JN232,FIND("-",JN232,FIND("|",JN232))+1,10)))))*$D$50),$D$29*(1-(IF(INDEX($D$232:$D$233,MATCH(LEFT(JN232,FIND("·",JN232)-1),$C$232:$C$233,0))=0,ABS(INDEX($A$232:$A$233,MATCH(LEFT(JN232,FIND("·",JN232)-1),$C$232:$C$233,0))-VALUE(MID(JN232,FIND("|",JN232)+1,FIND("-",JN232,FIND("|",JN232))-FIND("|",JN232)-1))),ABS(INDEX($Q$232:$Q$233,MATCH(LEFT(JN232,FIND("·",JN232)-1),$C$232:$C$233,0))-(VALUE(MID(JN232,FIND("|",JN232)+1,FIND("-",JN232,FIND("|",JN232))-FIND("|",JN232)-1))-VALUE(MID(JN232,FIND("-",JN232,FIND("|",JN232))+1,10)))))*$D$50)))))*INDEX($I$232:$I$233,MATCH(LEFT(JN232,FIND("·",JN232)-1),$C$232:$C$233,0)),0),0),0)</f>
        <v>0</v>
      </c>
      <c r="JP232" s="110"/>
      <c r="JQ232" s="76" t="str">
        <f>Idiomas!$D$370</f>
        <v>Paste Values Semifinals</v>
      </c>
      <c r="JR232" s="77">
        <f t="shared" ref="JR232" ca="1" si="2939">IFERROR(IF(COUNTIF($K$232:$K$233,LEFT(JQ232,FIND("·",JQ232)-1))&gt;0,IF(INDEX($L$232:$L$233,MATCH(LEFT(JQ232,FIND("·",JQ232)-1),$K$232:$K$233,0))=IFERROR(VALUE(MID(JQ232,FIND("·",JQ232)+1,1)),0),($D$28+(INDEX($M$232:$M$233,MATCH(LEFT(JQ232,FIND("·",JQ232)-1),$K$232:$K$233,0))=MID(JQ232,FIND("|",JQ232)+1,10))*$D$30+MAX(0,IF($D$50=1,$D$29*(1-(ABS(INDEX($P$232:$P$233,MATCH(LEFT(JQ232,FIND("·",JQ232)-1),$K$232:$K$233,0))-(VALUE(MID(JQ232,FIND("|",JQ232)+1,FIND("-",JQ232,FIND("|",JQ232))-FIND("|",JQ232)-1))-VALUE(MID(JQ232,FIND("-",JQ232,FIND("|",JQ232))+1,10)))))*$D$50),$D$29*(1-(IF(INDEX($L$232:$L$233,MATCH(LEFT(JQ232,FIND("·",JQ232)-1),$K$232:$K$233,0))=0,ABS(INDEX($N$232:$N$233,MATCH(LEFT(JQ232,FIND("·",JQ232)-1),$K$232:$K$233,0))-VALUE(MID(JQ232,FIND("|",JQ232)+1,FIND("-",JQ232,FIND("|",JQ232))-FIND("|",JQ232)-1))),ABS(INDEX($P$232:$P$233,MATCH(LEFT(JQ232,FIND("·",JQ232)-1),$K$232:$K$233,0))-(VALUE(MID(JQ232,FIND("|",JQ232)+1,FIND("-",JQ232,FIND("|",JQ232))-FIND("|",JQ232)-1))-VALUE(MID(JQ232,FIND("-",JQ232,FIND("|",JQ232))+1,10)))))*$D$50)))))*INDEX($I$232:$I$233,MATCH(LEFT(JQ232,FIND("·",JQ232)-1),$K$232:$K$233,0)),0),0),0)+IFERROR(IF(COUNTIF($C$232:$C$233,LEFT(JQ232,FIND("·",JQ232)-1))&gt;0,IF(INDEX($D$232:$D$233,MATCH(LEFT(JQ232,FIND("·",JQ232)-1),$C$232:$C$233,0))=IFERROR(VALUE(MID(JQ232,FIND("·",JQ232)+1,1)),0),($D$28+(INDEX($E$232:$E$233,MATCH(LEFT(JQ232,FIND("·",JQ232)-1),$C$232:$C$233,0))=MID(JQ232,FIND("|",JQ232)+1,10))*$D$30+MAX(0,IF($D$50=1,$D$29*(1-(ABS(INDEX($Q$232:$Q$233,MATCH(LEFT(JQ232,FIND("·",JQ232)-1),$C$232:$C$233,0))-(VALUE(MID(JQ232,FIND("|",JQ232)+1,FIND("-",JQ232,FIND("|",JQ232))-FIND("|",JQ232)-1))-VALUE(MID(JQ232,FIND("-",JQ232,FIND("|",JQ232))+1,10)))))*$D$50),$D$29*(1-(IF(INDEX($D$232:$D$233,MATCH(LEFT(JQ232,FIND("·",JQ232)-1),$C$232:$C$233,0))=0,ABS(INDEX($A$232:$A$233,MATCH(LEFT(JQ232,FIND("·",JQ232)-1),$C$232:$C$233,0))-VALUE(MID(JQ232,FIND("|",JQ232)+1,FIND("-",JQ232,FIND("|",JQ232))-FIND("|",JQ232)-1))),ABS(INDEX($Q$232:$Q$233,MATCH(LEFT(JQ232,FIND("·",JQ232)-1),$C$232:$C$233,0))-(VALUE(MID(JQ232,FIND("|",JQ232)+1,FIND("-",JQ232,FIND("|",JQ232))-FIND("|",JQ232)-1))-VALUE(MID(JQ232,FIND("-",JQ232,FIND("|",JQ232))+1,10)))))*$D$50)))))*INDEX($I$232:$I$233,MATCH(LEFT(JQ232,FIND("·",JQ232)-1),$C$232:$C$233,0)),0),0),0)</f>
        <v>0</v>
      </c>
      <c r="JS232" s="110"/>
      <c r="JT232" s="76" t="str">
        <f>Idiomas!$D$370</f>
        <v>Paste Values Semifinals</v>
      </c>
      <c r="JU232" s="77">
        <f t="shared" ref="JU232" ca="1" si="2940">IFERROR(IF(COUNTIF($K$232:$K$233,LEFT(JT232,FIND("·",JT232)-1))&gt;0,IF(INDEX($L$232:$L$233,MATCH(LEFT(JT232,FIND("·",JT232)-1),$K$232:$K$233,0))=IFERROR(VALUE(MID(JT232,FIND("·",JT232)+1,1)),0),($D$28+(INDEX($M$232:$M$233,MATCH(LEFT(JT232,FIND("·",JT232)-1),$K$232:$K$233,0))=MID(JT232,FIND("|",JT232)+1,10))*$D$30+MAX(0,IF($D$50=1,$D$29*(1-(ABS(INDEX($P$232:$P$233,MATCH(LEFT(JT232,FIND("·",JT232)-1),$K$232:$K$233,0))-(VALUE(MID(JT232,FIND("|",JT232)+1,FIND("-",JT232,FIND("|",JT232))-FIND("|",JT232)-1))-VALUE(MID(JT232,FIND("-",JT232,FIND("|",JT232))+1,10)))))*$D$50),$D$29*(1-(IF(INDEX($L$232:$L$233,MATCH(LEFT(JT232,FIND("·",JT232)-1),$K$232:$K$233,0))=0,ABS(INDEX($N$232:$N$233,MATCH(LEFT(JT232,FIND("·",JT232)-1),$K$232:$K$233,0))-VALUE(MID(JT232,FIND("|",JT232)+1,FIND("-",JT232,FIND("|",JT232))-FIND("|",JT232)-1))),ABS(INDEX($P$232:$P$233,MATCH(LEFT(JT232,FIND("·",JT232)-1),$K$232:$K$233,0))-(VALUE(MID(JT232,FIND("|",JT232)+1,FIND("-",JT232,FIND("|",JT232))-FIND("|",JT232)-1))-VALUE(MID(JT232,FIND("-",JT232,FIND("|",JT232))+1,10)))))*$D$50)))))*INDEX($I$232:$I$233,MATCH(LEFT(JT232,FIND("·",JT232)-1),$K$232:$K$233,0)),0),0),0)+IFERROR(IF(COUNTIF($C$232:$C$233,LEFT(JT232,FIND("·",JT232)-1))&gt;0,IF(INDEX($D$232:$D$233,MATCH(LEFT(JT232,FIND("·",JT232)-1),$C$232:$C$233,0))=IFERROR(VALUE(MID(JT232,FIND("·",JT232)+1,1)),0),($D$28+(INDEX($E$232:$E$233,MATCH(LEFT(JT232,FIND("·",JT232)-1),$C$232:$C$233,0))=MID(JT232,FIND("|",JT232)+1,10))*$D$30+MAX(0,IF($D$50=1,$D$29*(1-(ABS(INDEX($Q$232:$Q$233,MATCH(LEFT(JT232,FIND("·",JT232)-1),$C$232:$C$233,0))-(VALUE(MID(JT232,FIND("|",JT232)+1,FIND("-",JT232,FIND("|",JT232))-FIND("|",JT232)-1))-VALUE(MID(JT232,FIND("-",JT232,FIND("|",JT232))+1,10)))))*$D$50),$D$29*(1-(IF(INDEX($D$232:$D$233,MATCH(LEFT(JT232,FIND("·",JT232)-1),$C$232:$C$233,0))=0,ABS(INDEX($A$232:$A$233,MATCH(LEFT(JT232,FIND("·",JT232)-1),$C$232:$C$233,0))-VALUE(MID(JT232,FIND("|",JT232)+1,FIND("-",JT232,FIND("|",JT232))-FIND("|",JT232)-1))),ABS(INDEX($Q$232:$Q$233,MATCH(LEFT(JT232,FIND("·",JT232)-1),$C$232:$C$233,0))-(VALUE(MID(JT232,FIND("|",JT232)+1,FIND("-",JT232,FIND("|",JT232))-FIND("|",JT232)-1))-VALUE(MID(JT232,FIND("-",JT232,FIND("|",JT232))+1,10)))))*$D$50)))))*INDEX($I$232:$I$233,MATCH(LEFT(JT232,FIND("·",JT232)-1),$C$232:$C$233,0)),0),0),0)</f>
        <v>0</v>
      </c>
      <c r="JV232" s="110"/>
      <c r="JW232" s="76" t="str">
        <f>Idiomas!$D$370</f>
        <v>Paste Values Semifinals</v>
      </c>
      <c r="JX232" s="77">
        <f t="shared" ref="JX232" ca="1" si="2941">IFERROR(IF(COUNTIF($K$232:$K$233,LEFT(JW232,FIND("·",JW232)-1))&gt;0,IF(INDEX($L$232:$L$233,MATCH(LEFT(JW232,FIND("·",JW232)-1),$K$232:$K$233,0))=IFERROR(VALUE(MID(JW232,FIND("·",JW232)+1,1)),0),($D$28+(INDEX($M$232:$M$233,MATCH(LEFT(JW232,FIND("·",JW232)-1),$K$232:$K$233,0))=MID(JW232,FIND("|",JW232)+1,10))*$D$30+MAX(0,IF($D$50=1,$D$29*(1-(ABS(INDEX($P$232:$P$233,MATCH(LEFT(JW232,FIND("·",JW232)-1),$K$232:$K$233,0))-(VALUE(MID(JW232,FIND("|",JW232)+1,FIND("-",JW232,FIND("|",JW232))-FIND("|",JW232)-1))-VALUE(MID(JW232,FIND("-",JW232,FIND("|",JW232))+1,10)))))*$D$50),$D$29*(1-(IF(INDEX($L$232:$L$233,MATCH(LEFT(JW232,FIND("·",JW232)-1),$K$232:$K$233,0))=0,ABS(INDEX($N$232:$N$233,MATCH(LEFT(JW232,FIND("·",JW232)-1),$K$232:$K$233,0))-VALUE(MID(JW232,FIND("|",JW232)+1,FIND("-",JW232,FIND("|",JW232))-FIND("|",JW232)-1))),ABS(INDEX($P$232:$P$233,MATCH(LEFT(JW232,FIND("·",JW232)-1),$K$232:$K$233,0))-(VALUE(MID(JW232,FIND("|",JW232)+1,FIND("-",JW232,FIND("|",JW232))-FIND("|",JW232)-1))-VALUE(MID(JW232,FIND("-",JW232,FIND("|",JW232))+1,10)))))*$D$50)))))*INDEX($I$232:$I$233,MATCH(LEFT(JW232,FIND("·",JW232)-1),$K$232:$K$233,0)),0),0),0)+IFERROR(IF(COUNTIF($C$232:$C$233,LEFT(JW232,FIND("·",JW232)-1))&gt;0,IF(INDEX($D$232:$D$233,MATCH(LEFT(JW232,FIND("·",JW232)-1),$C$232:$C$233,0))=IFERROR(VALUE(MID(JW232,FIND("·",JW232)+1,1)),0),($D$28+(INDEX($E$232:$E$233,MATCH(LEFT(JW232,FIND("·",JW232)-1),$C$232:$C$233,0))=MID(JW232,FIND("|",JW232)+1,10))*$D$30+MAX(0,IF($D$50=1,$D$29*(1-(ABS(INDEX($Q$232:$Q$233,MATCH(LEFT(JW232,FIND("·",JW232)-1),$C$232:$C$233,0))-(VALUE(MID(JW232,FIND("|",JW232)+1,FIND("-",JW232,FIND("|",JW232))-FIND("|",JW232)-1))-VALUE(MID(JW232,FIND("-",JW232,FIND("|",JW232))+1,10)))))*$D$50),$D$29*(1-(IF(INDEX($D$232:$D$233,MATCH(LEFT(JW232,FIND("·",JW232)-1),$C$232:$C$233,0))=0,ABS(INDEX($A$232:$A$233,MATCH(LEFT(JW232,FIND("·",JW232)-1),$C$232:$C$233,0))-VALUE(MID(JW232,FIND("|",JW232)+1,FIND("-",JW232,FIND("|",JW232))-FIND("|",JW232)-1))),ABS(INDEX($Q$232:$Q$233,MATCH(LEFT(JW232,FIND("·",JW232)-1),$C$232:$C$233,0))-(VALUE(MID(JW232,FIND("|",JW232)+1,FIND("-",JW232,FIND("|",JW232))-FIND("|",JW232)-1))-VALUE(MID(JW232,FIND("-",JW232,FIND("|",JW232))+1,10)))))*$D$50)))))*INDEX($I$232:$I$233,MATCH(LEFT(JW232,FIND("·",JW232)-1),$C$232:$C$233,0)),0),0),0)</f>
        <v>0</v>
      </c>
      <c r="JY232" s="110"/>
      <c r="JZ232" s="76" t="str">
        <f>Idiomas!$D$370</f>
        <v>Paste Values Semifinals</v>
      </c>
      <c r="KA232" s="77">
        <f t="shared" ref="KA232" ca="1" si="2942">IFERROR(IF(COUNTIF($K$232:$K$233,LEFT(JZ232,FIND("·",JZ232)-1))&gt;0,IF(INDEX($L$232:$L$233,MATCH(LEFT(JZ232,FIND("·",JZ232)-1),$K$232:$K$233,0))=IFERROR(VALUE(MID(JZ232,FIND("·",JZ232)+1,1)),0),($D$28+(INDEX($M$232:$M$233,MATCH(LEFT(JZ232,FIND("·",JZ232)-1),$K$232:$K$233,0))=MID(JZ232,FIND("|",JZ232)+1,10))*$D$30+MAX(0,IF($D$50=1,$D$29*(1-(ABS(INDEX($P$232:$P$233,MATCH(LEFT(JZ232,FIND("·",JZ232)-1),$K$232:$K$233,0))-(VALUE(MID(JZ232,FIND("|",JZ232)+1,FIND("-",JZ232,FIND("|",JZ232))-FIND("|",JZ232)-1))-VALUE(MID(JZ232,FIND("-",JZ232,FIND("|",JZ232))+1,10)))))*$D$50),$D$29*(1-(IF(INDEX($L$232:$L$233,MATCH(LEFT(JZ232,FIND("·",JZ232)-1),$K$232:$K$233,0))=0,ABS(INDEX($N$232:$N$233,MATCH(LEFT(JZ232,FIND("·",JZ232)-1),$K$232:$K$233,0))-VALUE(MID(JZ232,FIND("|",JZ232)+1,FIND("-",JZ232,FIND("|",JZ232))-FIND("|",JZ232)-1))),ABS(INDEX($P$232:$P$233,MATCH(LEFT(JZ232,FIND("·",JZ232)-1),$K$232:$K$233,0))-(VALUE(MID(JZ232,FIND("|",JZ232)+1,FIND("-",JZ232,FIND("|",JZ232))-FIND("|",JZ232)-1))-VALUE(MID(JZ232,FIND("-",JZ232,FIND("|",JZ232))+1,10)))))*$D$50)))))*INDEX($I$232:$I$233,MATCH(LEFT(JZ232,FIND("·",JZ232)-1),$K$232:$K$233,0)),0),0),0)+IFERROR(IF(COUNTIF($C$232:$C$233,LEFT(JZ232,FIND("·",JZ232)-1))&gt;0,IF(INDEX($D$232:$D$233,MATCH(LEFT(JZ232,FIND("·",JZ232)-1),$C$232:$C$233,0))=IFERROR(VALUE(MID(JZ232,FIND("·",JZ232)+1,1)),0),($D$28+(INDEX($E$232:$E$233,MATCH(LEFT(JZ232,FIND("·",JZ232)-1),$C$232:$C$233,0))=MID(JZ232,FIND("|",JZ232)+1,10))*$D$30+MAX(0,IF($D$50=1,$D$29*(1-(ABS(INDEX($Q$232:$Q$233,MATCH(LEFT(JZ232,FIND("·",JZ232)-1),$C$232:$C$233,0))-(VALUE(MID(JZ232,FIND("|",JZ232)+1,FIND("-",JZ232,FIND("|",JZ232))-FIND("|",JZ232)-1))-VALUE(MID(JZ232,FIND("-",JZ232,FIND("|",JZ232))+1,10)))))*$D$50),$D$29*(1-(IF(INDEX($D$232:$D$233,MATCH(LEFT(JZ232,FIND("·",JZ232)-1),$C$232:$C$233,0))=0,ABS(INDEX($A$232:$A$233,MATCH(LEFT(JZ232,FIND("·",JZ232)-1),$C$232:$C$233,0))-VALUE(MID(JZ232,FIND("|",JZ232)+1,FIND("-",JZ232,FIND("|",JZ232))-FIND("|",JZ232)-1))),ABS(INDEX($Q$232:$Q$233,MATCH(LEFT(JZ232,FIND("·",JZ232)-1),$C$232:$C$233,0))-(VALUE(MID(JZ232,FIND("|",JZ232)+1,FIND("-",JZ232,FIND("|",JZ232))-FIND("|",JZ232)-1))-VALUE(MID(JZ232,FIND("-",JZ232,FIND("|",JZ232))+1,10)))))*$D$50)))))*INDEX($I$232:$I$233,MATCH(LEFT(JZ232,FIND("·",JZ232)-1),$C$232:$C$233,0)),0),0),0)</f>
        <v>0</v>
      </c>
      <c r="KB232" s="110"/>
      <c r="KC232" s="76" t="str">
        <f>Idiomas!$D$370</f>
        <v>Paste Values Semifinals</v>
      </c>
      <c r="KD232" s="77">
        <f t="shared" ref="KD232" ca="1" si="2943">IFERROR(IF(COUNTIF($K$232:$K$233,LEFT(KC232,FIND("·",KC232)-1))&gt;0,IF(INDEX($L$232:$L$233,MATCH(LEFT(KC232,FIND("·",KC232)-1),$K$232:$K$233,0))=IFERROR(VALUE(MID(KC232,FIND("·",KC232)+1,1)),0),($D$28+(INDEX($M$232:$M$233,MATCH(LEFT(KC232,FIND("·",KC232)-1),$K$232:$K$233,0))=MID(KC232,FIND("|",KC232)+1,10))*$D$30+MAX(0,IF($D$50=1,$D$29*(1-(ABS(INDEX($P$232:$P$233,MATCH(LEFT(KC232,FIND("·",KC232)-1),$K$232:$K$233,0))-(VALUE(MID(KC232,FIND("|",KC232)+1,FIND("-",KC232,FIND("|",KC232))-FIND("|",KC232)-1))-VALUE(MID(KC232,FIND("-",KC232,FIND("|",KC232))+1,10)))))*$D$50),$D$29*(1-(IF(INDEX($L$232:$L$233,MATCH(LEFT(KC232,FIND("·",KC232)-1),$K$232:$K$233,0))=0,ABS(INDEX($N$232:$N$233,MATCH(LEFT(KC232,FIND("·",KC232)-1),$K$232:$K$233,0))-VALUE(MID(KC232,FIND("|",KC232)+1,FIND("-",KC232,FIND("|",KC232))-FIND("|",KC232)-1))),ABS(INDEX($P$232:$P$233,MATCH(LEFT(KC232,FIND("·",KC232)-1),$K$232:$K$233,0))-(VALUE(MID(KC232,FIND("|",KC232)+1,FIND("-",KC232,FIND("|",KC232))-FIND("|",KC232)-1))-VALUE(MID(KC232,FIND("-",KC232,FIND("|",KC232))+1,10)))))*$D$50)))))*INDEX($I$232:$I$233,MATCH(LEFT(KC232,FIND("·",KC232)-1),$K$232:$K$233,0)),0),0),0)+IFERROR(IF(COUNTIF($C$232:$C$233,LEFT(KC232,FIND("·",KC232)-1))&gt;0,IF(INDEX($D$232:$D$233,MATCH(LEFT(KC232,FIND("·",KC232)-1),$C$232:$C$233,0))=IFERROR(VALUE(MID(KC232,FIND("·",KC232)+1,1)),0),($D$28+(INDEX($E$232:$E$233,MATCH(LEFT(KC232,FIND("·",KC232)-1),$C$232:$C$233,0))=MID(KC232,FIND("|",KC232)+1,10))*$D$30+MAX(0,IF($D$50=1,$D$29*(1-(ABS(INDEX($Q$232:$Q$233,MATCH(LEFT(KC232,FIND("·",KC232)-1),$C$232:$C$233,0))-(VALUE(MID(KC232,FIND("|",KC232)+1,FIND("-",KC232,FIND("|",KC232))-FIND("|",KC232)-1))-VALUE(MID(KC232,FIND("-",KC232,FIND("|",KC232))+1,10)))))*$D$50),$D$29*(1-(IF(INDEX($D$232:$D$233,MATCH(LEFT(KC232,FIND("·",KC232)-1),$C$232:$C$233,0))=0,ABS(INDEX($A$232:$A$233,MATCH(LEFT(KC232,FIND("·",KC232)-1),$C$232:$C$233,0))-VALUE(MID(KC232,FIND("|",KC232)+1,FIND("-",KC232,FIND("|",KC232))-FIND("|",KC232)-1))),ABS(INDEX($Q$232:$Q$233,MATCH(LEFT(KC232,FIND("·",KC232)-1),$C$232:$C$233,0))-(VALUE(MID(KC232,FIND("|",KC232)+1,FIND("-",KC232,FIND("|",KC232))-FIND("|",KC232)-1))-VALUE(MID(KC232,FIND("-",KC232,FIND("|",KC232))+1,10)))))*$D$50)))))*INDEX($I$232:$I$233,MATCH(LEFT(KC232,FIND("·",KC232)-1),$C$232:$C$233,0)),0),0),0)</f>
        <v>0</v>
      </c>
      <c r="KE232" s="110"/>
      <c r="KF232" s="76" t="str">
        <f>Idiomas!$D$370</f>
        <v>Paste Values Semifinals</v>
      </c>
      <c r="KG232" s="77">
        <f t="shared" ref="KG232" ca="1" si="2944">IFERROR(IF(COUNTIF($K$232:$K$233,LEFT(KF232,FIND("·",KF232)-1))&gt;0,IF(INDEX($L$232:$L$233,MATCH(LEFT(KF232,FIND("·",KF232)-1),$K$232:$K$233,0))=IFERROR(VALUE(MID(KF232,FIND("·",KF232)+1,1)),0),($D$28+(INDEX($M$232:$M$233,MATCH(LEFT(KF232,FIND("·",KF232)-1),$K$232:$K$233,0))=MID(KF232,FIND("|",KF232)+1,10))*$D$30+MAX(0,IF($D$50=1,$D$29*(1-(ABS(INDEX($P$232:$P$233,MATCH(LEFT(KF232,FIND("·",KF232)-1),$K$232:$K$233,0))-(VALUE(MID(KF232,FIND("|",KF232)+1,FIND("-",KF232,FIND("|",KF232))-FIND("|",KF232)-1))-VALUE(MID(KF232,FIND("-",KF232,FIND("|",KF232))+1,10)))))*$D$50),$D$29*(1-(IF(INDEX($L$232:$L$233,MATCH(LEFT(KF232,FIND("·",KF232)-1),$K$232:$K$233,0))=0,ABS(INDEX($N$232:$N$233,MATCH(LEFT(KF232,FIND("·",KF232)-1),$K$232:$K$233,0))-VALUE(MID(KF232,FIND("|",KF232)+1,FIND("-",KF232,FIND("|",KF232))-FIND("|",KF232)-1))),ABS(INDEX($P$232:$P$233,MATCH(LEFT(KF232,FIND("·",KF232)-1),$K$232:$K$233,0))-(VALUE(MID(KF232,FIND("|",KF232)+1,FIND("-",KF232,FIND("|",KF232))-FIND("|",KF232)-1))-VALUE(MID(KF232,FIND("-",KF232,FIND("|",KF232))+1,10)))))*$D$50)))))*INDEX($I$232:$I$233,MATCH(LEFT(KF232,FIND("·",KF232)-1),$K$232:$K$233,0)),0),0),0)+IFERROR(IF(COUNTIF($C$232:$C$233,LEFT(KF232,FIND("·",KF232)-1))&gt;0,IF(INDEX($D$232:$D$233,MATCH(LEFT(KF232,FIND("·",KF232)-1),$C$232:$C$233,0))=IFERROR(VALUE(MID(KF232,FIND("·",KF232)+1,1)),0),($D$28+(INDEX($E$232:$E$233,MATCH(LEFT(KF232,FIND("·",KF232)-1),$C$232:$C$233,0))=MID(KF232,FIND("|",KF232)+1,10))*$D$30+MAX(0,IF($D$50=1,$D$29*(1-(ABS(INDEX($Q$232:$Q$233,MATCH(LEFT(KF232,FIND("·",KF232)-1),$C$232:$C$233,0))-(VALUE(MID(KF232,FIND("|",KF232)+1,FIND("-",KF232,FIND("|",KF232))-FIND("|",KF232)-1))-VALUE(MID(KF232,FIND("-",KF232,FIND("|",KF232))+1,10)))))*$D$50),$D$29*(1-(IF(INDEX($D$232:$D$233,MATCH(LEFT(KF232,FIND("·",KF232)-1),$C$232:$C$233,0))=0,ABS(INDEX($A$232:$A$233,MATCH(LEFT(KF232,FIND("·",KF232)-1),$C$232:$C$233,0))-VALUE(MID(KF232,FIND("|",KF232)+1,FIND("-",KF232,FIND("|",KF232))-FIND("|",KF232)-1))),ABS(INDEX($Q$232:$Q$233,MATCH(LEFT(KF232,FIND("·",KF232)-1),$C$232:$C$233,0))-(VALUE(MID(KF232,FIND("|",KF232)+1,FIND("-",KF232,FIND("|",KF232))-FIND("|",KF232)-1))-VALUE(MID(KF232,FIND("-",KF232,FIND("|",KF232))+1,10)))))*$D$50)))))*INDEX($I$232:$I$233,MATCH(LEFT(KF232,FIND("·",KF232)-1),$C$232:$C$233,0)),0),0),0)</f>
        <v>0</v>
      </c>
      <c r="KH232" s="110"/>
      <c r="KI232" s="76" t="str">
        <f>Idiomas!$D$370</f>
        <v>Paste Values Semifinals</v>
      </c>
      <c r="KJ232" s="77">
        <f t="shared" ref="KJ232" ca="1" si="2945">IFERROR(IF(COUNTIF($K$232:$K$233,LEFT(KI232,FIND("·",KI232)-1))&gt;0,IF(INDEX($L$232:$L$233,MATCH(LEFT(KI232,FIND("·",KI232)-1),$K$232:$K$233,0))=IFERROR(VALUE(MID(KI232,FIND("·",KI232)+1,1)),0),($D$28+(INDEX($M$232:$M$233,MATCH(LEFT(KI232,FIND("·",KI232)-1),$K$232:$K$233,0))=MID(KI232,FIND("|",KI232)+1,10))*$D$30+MAX(0,IF($D$50=1,$D$29*(1-(ABS(INDEX($P$232:$P$233,MATCH(LEFT(KI232,FIND("·",KI232)-1),$K$232:$K$233,0))-(VALUE(MID(KI232,FIND("|",KI232)+1,FIND("-",KI232,FIND("|",KI232))-FIND("|",KI232)-1))-VALUE(MID(KI232,FIND("-",KI232,FIND("|",KI232))+1,10)))))*$D$50),$D$29*(1-(IF(INDEX($L$232:$L$233,MATCH(LEFT(KI232,FIND("·",KI232)-1),$K$232:$K$233,0))=0,ABS(INDEX($N$232:$N$233,MATCH(LEFT(KI232,FIND("·",KI232)-1),$K$232:$K$233,0))-VALUE(MID(KI232,FIND("|",KI232)+1,FIND("-",KI232,FIND("|",KI232))-FIND("|",KI232)-1))),ABS(INDEX($P$232:$P$233,MATCH(LEFT(KI232,FIND("·",KI232)-1),$K$232:$K$233,0))-(VALUE(MID(KI232,FIND("|",KI232)+1,FIND("-",KI232,FIND("|",KI232))-FIND("|",KI232)-1))-VALUE(MID(KI232,FIND("-",KI232,FIND("|",KI232))+1,10)))))*$D$50)))))*INDEX($I$232:$I$233,MATCH(LEFT(KI232,FIND("·",KI232)-1),$K$232:$K$233,0)),0),0),0)+IFERROR(IF(COUNTIF($C$232:$C$233,LEFT(KI232,FIND("·",KI232)-1))&gt;0,IF(INDEX($D$232:$D$233,MATCH(LEFT(KI232,FIND("·",KI232)-1),$C$232:$C$233,0))=IFERROR(VALUE(MID(KI232,FIND("·",KI232)+1,1)),0),($D$28+(INDEX($E$232:$E$233,MATCH(LEFT(KI232,FIND("·",KI232)-1),$C$232:$C$233,0))=MID(KI232,FIND("|",KI232)+1,10))*$D$30+MAX(0,IF($D$50=1,$D$29*(1-(ABS(INDEX($Q$232:$Q$233,MATCH(LEFT(KI232,FIND("·",KI232)-1),$C$232:$C$233,0))-(VALUE(MID(KI232,FIND("|",KI232)+1,FIND("-",KI232,FIND("|",KI232))-FIND("|",KI232)-1))-VALUE(MID(KI232,FIND("-",KI232,FIND("|",KI232))+1,10)))))*$D$50),$D$29*(1-(IF(INDEX($D$232:$D$233,MATCH(LEFT(KI232,FIND("·",KI232)-1),$C$232:$C$233,0))=0,ABS(INDEX($A$232:$A$233,MATCH(LEFT(KI232,FIND("·",KI232)-1),$C$232:$C$233,0))-VALUE(MID(KI232,FIND("|",KI232)+1,FIND("-",KI232,FIND("|",KI232))-FIND("|",KI232)-1))),ABS(INDEX($Q$232:$Q$233,MATCH(LEFT(KI232,FIND("·",KI232)-1),$C$232:$C$233,0))-(VALUE(MID(KI232,FIND("|",KI232)+1,FIND("-",KI232,FIND("|",KI232))-FIND("|",KI232)-1))-VALUE(MID(KI232,FIND("-",KI232,FIND("|",KI232))+1,10)))))*$D$50)))))*INDEX($I$232:$I$233,MATCH(LEFT(KI232,FIND("·",KI232)-1),$C$232:$C$233,0)),0),0),0)</f>
        <v>0</v>
      </c>
      <c r="KK232" s="110"/>
      <c r="KL232" s="76" t="str">
        <f>Idiomas!$D$370</f>
        <v>Paste Values Semifinals</v>
      </c>
      <c r="KM232" s="77">
        <f t="shared" ref="KM232" ca="1" si="2946">IFERROR(IF(COUNTIF($K$232:$K$233,LEFT(KL232,FIND("·",KL232)-1))&gt;0,IF(INDEX($L$232:$L$233,MATCH(LEFT(KL232,FIND("·",KL232)-1),$K$232:$K$233,0))=IFERROR(VALUE(MID(KL232,FIND("·",KL232)+1,1)),0),($D$28+(INDEX($M$232:$M$233,MATCH(LEFT(KL232,FIND("·",KL232)-1),$K$232:$K$233,0))=MID(KL232,FIND("|",KL232)+1,10))*$D$30+MAX(0,IF($D$50=1,$D$29*(1-(ABS(INDEX($P$232:$P$233,MATCH(LEFT(KL232,FIND("·",KL232)-1),$K$232:$K$233,0))-(VALUE(MID(KL232,FIND("|",KL232)+1,FIND("-",KL232,FIND("|",KL232))-FIND("|",KL232)-1))-VALUE(MID(KL232,FIND("-",KL232,FIND("|",KL232))+1,10)))))*$D$50),$D$29*(1-(IF(INDEX($L$232:$L$233,MATCH(LEFT(KL232,FIND("·",KL232)-1),$K$232:$K$233,0))=0,ABS(INDEX($N$232:$N$233,MATCH(LEFT(KL232,FIND("·",KL232)-1),$K$232:$K$233,0))-VALUE(MID(KL232,FIND("|",KL232)+1,FIND("-",KL232,FIND("|",KL232))-FIND("|",KL232)-1))),ABS(INDEX($P$232:$P$233,MATCH(LEFT(KL232,FIND("·",KL232)-1),$K$232:$K$233,0))-(VALUE(MID(KL232,FIND("|",KL232)+1,FIND("-",KL232,FIND("|",KL232))-FIND("|",KL232)-1))-VALUE(MID(KL232,FIND("-",KL232,FIND("|",KL232))+1,10)))))*$D$50)))))*INDEX($I$232:$I$233,MATCH(LEFT(KL232,FIND("·",KL232)-1),$K$232:$K$233,0)),0),0),0)+IFERROR(IF(COUNTIF($C$232:$C$233,LEFT(KL232,FIND("·",KL232)-1))&gt;0,IF(INDEX($D$232:$D$233,MATCH(LEFT(KL232,FIND("·",KL232)-1),$C$232:$C$233,0))=IFERROR(VALUE(MID(KL232,FIND("·",KL232)+1,1)),0),($D$28+(INDEX($E$232:$E$233,MATCH(LEFT(KL232,FIND("·",KL232)-1),$C$232:$C$233,0))=MID(KL232,FIND("|",KL232)+1,10))*$D$30+MAX(0,IF($D$50=1,$D$29*(1-(ABS(INDEX($Q$232:$Q$233,MATCH(LEFT(KL232,FIND("·",KL232)-1),$C$232:$C$233,0))-(VALUE(MID(KL232,FIND("|",KL232)+1,FIND("-",KL232,FIND("|",KL232))-FIND("|",KL232)-1))-VALUE(MID(KL232,FIND("-",KL232,FIND("|",KL232))+1,10)))))*$D$50),$D$29*(1-(IF(INDEX($D$232:$D$233,MATCH(LEFT(KL232,FIND("·",KL232)-1),$C$232:$C$233,0))=0,ABS(INDEX($A$232:$A$233,MATCH(LEFT(KL232,FIND("·",KL232)-1),$C$232:$C$233,0))-VALUE(MID(KL232,FIND("|",KL232)+1,FIND("-",KL232,FIND("|",KL232))-FIND("|",KL232)-1))),ABS(INDEX($Q$232:$Q$233,MATCH(LEFT(KL232,FIND("·",KL232)-1),$C$232:$C$233,0))-(VALUE(MID(KL232,FIND("|",KL232)+1,FIND("-",KL232,FIND("|",KL232))-FIND("|",KL232)-1))-VALUE(MID(KL232,FIND("-",KL232,FIND("|",KL232))+1,10)))))*$D$50)))))*INDEX($I$232:$I$233,MATCH(LEFT(KL232,FIND("·",KL232)-1),$C$232:$C$233,0)),0),0),0)</f>
        <v>0</v>
      </c>
      <c r="KN232" s="110"/>
      <c r="KO232" s="76" t="str">
        <f>Idiomas!$D$370</f>
        <v>Paste Values Semifinals</v>
      </c>
      <c r="KP232" s="77">
        <f t="shared" ref="KP232" ca="1" si="2947">IFERROR(IF(COUNTIF($K$232:$K$233,LEFT(KO232,FIND("·",KO232)-1))&gt;0,IF(INDEX($L$232:$L$233,MATCH(LEFT(KO232,FIND("·",KO232)-1),$K$232:$K$233,0))=IFERROR(VALUE(MID(KO232,FIND("·",KO232)+1,1)),0),($D$28+(INDEX($M$232:$M$233,MATCH(LEFT(KO232,FIND("·",KO232)-1),$K$232:$K$233,0))=MID(KO232,FIND("|",KO232)+1,10))*$D$30+MAX(0,IF($D$50=1,$D$29*(1-(ABS(INDEX($P$232:$P$233,MATCH(LEFT(KO232,FIND("·",KO232)-1),$K$232:$K$233,0))-(VALUE(MID(KO232,FIND("|",KO232)+1,FIND("-",KO232,FIND("|",KO232))-FIND("|",KO232)-1))-VALUE(MID(KO232,FIND("-",KO232,FIND("|",KO232))+1,10)))))*$D$50),$D$29*(1-(IF(INDEX($L$232:$L$233,MATCH(LEFT(KO232,FIND("·",KO232)-1),$K$232:$K$233,0))=0,ABS(INDEX($N$232:$N$233,MATCH(LEFT(KO232,FIND("·",KO232)-1),$K$232:$K$233,0))-VALUE(MID(KO232,FIND("|",KO232)+1,FIND("-",KO232,FIND("|",KO232))-FIND("|",KO232)-1))),ABS(INDEX($P$232:$P$233,MATCH(LEFT(KO232,FIND("·",KO232)-1),$K$232:$K$233,0))-(VALUE(MID(KO232,FIND("|",KO232)+1,FIND("-",KO232,FIND("|",KO232))-FIND("|",KO232)-1))-VALUE(MID(KO232,FIND("-",KO232,FIND("|",KO232))+1,10)))))*$D$50)))))*INDEX($I$232:$I$233,MATCH(LEFT(KO232,FIND("·",KO232)-1),$K$232:$K$233,0)),0),0),0)+IFERROR(IF(COUNTIF($C$232:$C$233,LEFT(KO232,FIND("·",KO232)-1))&gt;0,IF(INDEX($D$232:$D$233,MATCH(LEFT(KO232,FIND("·",KO232)-1),$C$232:$C$233,0))=IFERROR(VALUE(MID(KO232,FIND("·",KO232)+1,1)),0),($D$28+(INDEX($E$232:$E$233,MATCH(LEFT(KO232,FIND("·",KO232)-1),$C$232:$C$233,0))=MID(KO232,FIND("|",KO232)+1,10))*$D$30+MAX(0,IF($D$50=1,$D$29*(1-(ABS(INDEX($Q$232:$Q$233,MATCH(LEFT(KO232,FIND("·",KO232)-1),$C$232:$C$233,0))-(VALUE(MID(KO232,FIND("|",KO232)+1,FIND("-",KO232,FIND("|",KO232))-FIND("|",KO232)-1))-VALUE(MID(KO232,FIND("-",KO232,FIND("|",KO232))+1,10)))))*$D$50),$D$29*(1-(IF(INDEX($D$232:$D$233,MATCH(LEFT(KO232,FIND("·",KO232)-1),$C$232:$C$233,0))=0,ABS(INDEX($A$232:$A$233,MATCH(LEFT(KO232,FIND("·",KO232)-1),$C$232:$C$233,0))-VALUE(MID(KO232,FIND("|",KO232)+1,FIND("-",KO232,FIND("|",KO232))-FIND("|",KO232)-1))),ABS(INDEX($Q$232:$Q$233,MATCH(LEFT(KO232,FIND("·",KO232)-1),$C$232:$C$233,0))-(VALUE(MID(KO232,FIND("|",KO232)+1,FIND("-",KO232,FIND("|",KO232))-FIND("|",KO232)-1))-VALUE(MID(KO232,FIND("-",KO232,FIND("|",KO232))+1,10)))))*$D$50)))))*INDEX($I$232:$I$233,MATCH(LEFT(KO232,FIND("·",KO232)-1),$C$232:$C$233,0)),0),0),0)</f>
        <v>0</v>
      </c>
      <c r="KQ232" s="110"/>
      <c r="KR232" s="76" t="str">
        <f>Idiomas!$D$370</f>
        <v>Paste Values Semifinals</v>
      </c>
      <c r="KS232" s="77">
        <f t="shared" ref="KS232" ca="1" si="2948">IFERROR(IF(COUNTIF($K$232:$K$233,LEFT(KR232,FIND("·",KR232)-1))&gt;0,IF(INDEX($L$232:$L$233,MATCH(LEFT(KR232,FIND("·",KR232)-1),$K$232:$K$233,0))=IFERROR(VALUE(MID(KR232,FIND("·",KR232)+1,1)),0),($D$28+(INDEX($M$232:$M$233,MATCH(LEFT(KR232,FIND("·",KR232)-1),$K$232:$K$233,0))=MID(KR232,FIND("|",KR232)+1,10))*$D$30+MAX(0,IF($D$50=1,$D$29*(1-(ABS(INDEX($P$232:$P$233,MATCH(LEFT(KR232,FIND("·",KR232)-1),$K$232:$K$233,0))-(VALUE(MID(KR232,FIND("|",KR232)+1,FIND("-",KR232,FIND("|",KR232))-FIND("|",KR232)-1))-VALUE(MID(KR232,FIND("-",KR232,FIND("|",KR232))+1,10)))))*$D$50),$D$29*(1-(IF(INDEX($L$232:$L$233,MATCH(LEFT(KR232,FIND("·",KR232)-1),$K$232:$K$233,0))=0,ABS(INDEX($N$232:$N$233,MATCH(LEFT(KR232,FIND("·",KR232)-1),$K$232:$K$233,0))-VALUE(MID(KR232,FIND("|",KR232)+1,FIND("-",KR232,FIND("|",KR232))-FIND("|",KR232)-1))),ABS(INDEX($P$232:$P$233,MATCH(LEFT(KR232,FIND("·",KR232)-1),$K$232:$K$233,0))-(VALUE(MID(KR232,FIND("|",KR232)+1,FIND("-",KR232,FIND("|",KR232))-FIND("|",KR232)-1))-VALUE(MID(KR232,FIND("-",KR232,FIND("|",KR232))+1,10)))))*$D$50)))))*INDEX($I$232:$I$233,MATCH(LEFT(KR232,FIND("·",KR232)-1),$K$232:$K$233,0)),0),0),0)+IFERROR(IF(COUNTIF($C$232:$C$233,LEFT(KR232,FIND("·",KR232)-1))&gt;0,IF(INDEX($D$232:$D$233,MATCH(LEFT(KR232,FIND("·",KR232)-1),$C$232:$C$233,0))=IFERROR(VALUE(MID(KR232,FIND("·",KR232)+1,1)),0),($D$28+(INDEX($E$232:$E$233,MATCH(LEFT(KR232,FIND("·",KR232)-1),$C$232:$C$233,0))=MID(KR232,FIND("|",KR232)+1,10))*$D$30+MAX(0,IF($D$50=1,$D$29*(1-(ABS(INDEX($Q$232:$Q$233,MATCH(LEFT(KR232,FIND("·",KR232)-1),$C$232:$C$233,0))-(VALUE(MID(KR232,FIND("|",KR232)+1,FIND("-",KR232,FIND("|",KR232))-FIND("|",KR232)-1))-VALUE(MID(KR232,FIND("-",KR232,FIND("|",KR232))+1,10)))))*$D$50),$D$29*(1-(IF(INDEX($D$232:$D$233,MATCH(LEFT(KR232,FIND("·",KR232)-1),$C$232:$C$233,0))=0,ABS(INDEX($A$232:$A$233,MATCH(LEFT(KR232,FIND("·",KR232)-1),$C$232:$C$233,0))-VALUE(MID(KR232,FIND("|",KR232)+1,FIND("-",KR232,FIND("|",KR232))-FIND("|",KR232)-1))),ABS(INDEX($Q$232:$Q$233,MATCH(LEFT(KR232,FIND("·",KR232)-1),$C$232:$C$233,0))-(VALUE(MID(KR232,FIND("|",KR232)+1,FIND("-",KR232,FIND("|",KR232))-FIND("|",KR232)-1))-VALUE(MID(KR232,FIND("-",KR232,FIND("|",KR232))+1,10)))))*$D$50)))))*INDEX($I$232:$I$233,MATCH(LEFT(KR232,FIND("·",KR232)-1),$C$232:$C$233,0)),0),0),0)</f>
        <v>0</v>
      </c>
      <c r="KT232" s="110"/>
      <c r="KU232" s="76" t="str">
        <f>Idiomas!$D$370</f>
        <v>Paste Values Semifinals</v>
      </c>
      <c r="KV232" s="77">
        <f t="shared" ref="KV232" ca="1" si="2949">IFERROR(IF(COUNTIF($K$232:$K$233,LEFT(KU232,FIND("·",KU232)-1))&gt;0,IF(INDEX($L$232:$L$233,MATCH(LEFT(KU232,FIND("·",KU232)-1),$K$232:$K$233,0))=IFERROR(VALUE(MID(KU232,FIND("·",KU232)+1,1)),0),($D$28+(INDEX($M$232:$M$233,MATCH(LEFT(KU232,FIND("·",KU232)-1),$K$232:$K$233,0))=MID(KU232,FIND("|",KU232)+1,10))*$D$30+MAX(0,IF($D$50=1,$D$29*(1-(ABS(INDEX($P$232:$P$233,MATCH(LEFT(KU232,FIND("·",KU232)-1),$K$232:$K$233,0))-(VALUE(MID(KU232,FIND("|",KU232)+1,FIND("-",KU232,FIND("|",KU232))-FIND("|",KU232)-1))-VALUE(MID(KU232,FIND("-",KU232,FIND("|",KU232))+1,10)))))*$D$50),$D$29*(1-(IF(INDEX($L$232:$L$233,MATCH(LEFT(KU232,FIND("·",KU232)-1),$K$232:$K$233,0))=0,ABS(INDEX($N$232:$N$233,MATCH(LEFT(KU232,FIND("·",KU232)-1),$K$232:$K$233,0))-VALUE(MID(KU232,FIND("|",KU232)+1,FIND("-",KU232,FIND("|",KU232))-FIND("|",KU232)-1))),ABS(INDEX($P$232:$P$233,MATCH(LEFT(KU232,FIND("·",KU232)-1),$K$232:$K$233,0))-(VALUE(MID(KU232,FIND("|",KU232)+1,FIND("-",KU232,FIND("|",KU232))-FIND("|",KU232)-1))-VALUE(MID(KU232,FIND("-",KU232,FIND("|",KU232))+1,10)))))*$D$50)))))*INDEX($I$232:$I$233,MATCH(LEFT(KU232,FIND("·",KU232)-1),$K$232:$K$233,0)),0),0),0)+IFERROR(IF(COUNTIF($C$232:$C$233,LEFT(KU232,FIND("·",KU232)-1))&gt;0,IF(INDEX($D$232:$D$233,MATCH(LEFT(KU232,FIND("·",KU232)-1),$C$232:$C$233,0))=IFERROR(VALUE(MID(KU232,FIND("·",KU232)+1,1)),0),($D$28+(INDEX($E$232:$E$233,MATCH(LEFT(KU232,FIND("·",KU232)-1),$C$232:$C$233,0))=MID(KU232,FIND("|",KU232)+1,10))*$D$30+MAX(0,IF($D$50=1,$D$29*(1-(ABS(INDEX($Q$232:$Q$233,MATCH(LEFT(KU232,FIND("·",KU232)-1),$C$232:$C$233,0))-(VALUE(MID(KU232,FIND("|",KU232)+1,FIND("-",KU232,FIND("|",KU232))-FIND("|",KU232)-1))-VALUE(MID(KU232,FIND("-",KU232,FIND("|",KU232))+1,10)))))*$D$50),$D$29*(1-(IF(INDEX($D$232:$D$233,MATCH(LEFT(KU232,FIND("·",KU232)-1),$C$232:$C$233,0))=0,ABS(INDEX($A$232:$A$233,MATCH(LEFT(KU232,FIND("·",KU232)-1),$C$232:$C$233,0))-VALUE(MID(KU232,FIND("|",KU232)+1,FIND("-",KU232,FIND("|",KU232))-FIND("|",KU232)-1))),ABS(INDEX($Q$232:$Q$233,MATCH(LEFT(KU232,FIND("·",KU232)-1),$C$232:$C$233,0))-(VALUE(MID(KU232,FIND("|",KU232)+1,FIND("-",KU232,FIND("|",KU232))-FIND("|",KU232)-1))-VALUE(MID(KU232,FIND("-",KU232,FIND("|",KU232))+1,10)))))*$D$50)))))*INDEX($I$232:$I$233,MATCH(LEFT(KU232,FIND("·",KU232)-1),$C$232:$C$233,0)),0),0),0)</f>
        <v>0</v>
      </c>
      <c r="KW232" s="110"/>
      <c r="KX232" s="76" t="str">
        <f>Idiomas!$D$370</f>
        <v>Paste Values Semifinals</v>
      </c>
      <c r="KY232" s="77">
        <f t="shared" ref="KY232" ca="1" si="2950">IFERROR(IF(COUNTIF($K$232:$K$233,LEFT(KX232,FIND("·",KX232)-1))&gt;0,IF(INDEX($L$232:$L$233,MATCH(LEFT(KX232,FIND("·",KX232)-1),$K$232:$K$233,0))=IFERROR(VALUE(MID(KX232,FIND("·",KX232)+1,1)),0),($D$28+(INDEX($M$232:$M$233,MATCH(LEFT(KX232,FIND("·",KX232)-1),$K$232:$K$233,0))=MID(KX232,FIND("|",KX232)+1,10))*$D$30+MAX(0,IF($D$50=1,$D$29*(1-(ABS(INDEX($P$232:$P$233,MATCH(LEFT(KX232,FIND("·",KX232)-1),$K$232:$K$233,0))-(VALUE(MID(KX232,FIND("|",KX232)+1,FIND("-",KX232,FIND("|",KX232))-FIND("|",KX232)-1))-VALUE(MID(KX232,FIND("-",KX232,FIND("|",KX232))+1,10)))))*$D$50),$D$29*(1-(IF(INDEX($L$232:$L$233,MATCH(LEFT(KX232,FIND("·",KX232)-1),$K$232:$K$233,0))=0,ABS(INDEX($N$232:$N$233,MATCH(LEFT(KX232,FIND("·",KX232)-1),$K$232:$K$233,0))-VALUE(MID(KX232,FIND("|",KX232)+1,FIND("-",KX232,FIND("|",KX232))-FIND("|",KX232)-1))),ABS(INDEX($P$232:$P$233,MATCH(LEFT(KX232,FIND("·",KX232)-1),$K$232:$K$233,0))-(VALUE(MID(KX232,FIND("|",KX232)+1,FIND("-",KX232,FIND("|",KX232))-FIND("|",KX232)-1))-VALUE(MID(KX232,FIND("-",KX232,FIND("|",KX232))+1,10)))))*$D$50)))))*INDEX($I$232:$I$233,MATCH(LEFT(KX232,FIND("·",KX232)-1),$K$232:$K$233,0)),0),0),0)+IFERROR(IF(COUNTIF($C$232:$C$233,LEFT(KX232,FIND("·",KX232)-1))&gt;0,IF(INDEX($D$232:$D$233,MATCH(LEFT(KX232,FIND("·",KX232)-1),$C$232:$C$233,0))=IFERROR(VALUE(MID(KX232,FIND("·",KX232)+1,1)),0),($D$28+(INDEX($E$232:$E$233,MATCH(LEFT(KX232,FIND("·",KX232)-1),$C$232:$C$233,0))=MID(KX232,FIND("|",KX232)+1,10))*$D$30+MAX(0,IF($D$50=1,$D$29*(1-(ABS(INDEX($Q$232:$Q$233,MATCH(LEFT(KX232,FIND("·",KX232)-1),$C$232:$C$233,0))-(VALUE(MID(KX232,FIND("|",KX232)+1,FIND("-",KX232,FIND("|",KX232))-FIND("|",KX232)-1))-VALUE(MID(KX232,FIND("-",KX232,FIND("|",KX232))+1,10)))))*$D$50),$D$29*(1-(IF(INDEX($D$232:$D$233,MATCH(LEFT(KX232,FIND("·",KX232)-1),$C$232:$C$233,0))=0,ABS(INDEX($A$232:$A$233,MATCH(LEFT(KX232,FIND("·",KX232)-1),$C$232:$C$233,0))-VALUE(MID(KX232,FIND("|",KX232)+1,FIND("-",KX232,FIND("|",KX232))-FIND("|",KX232)-1))),ABS(INDEX($Q$232:$Q$233,MATCH(LEFT(KX232,FIND("·",KX232)-1),$C$232:$C$233,0))-(VALUE(MID(KX232,FIND("|",KX232)+1,FIND("-",KX232,FIND("|",KX232))-FIND("|",KX232)-1))-VALUE(MID(KX232,FIND("-",KX232,FIND("|",KX232))+1,10)))))*$D$50)))))*INDEX($I$232:$I$233,MATCH(LEFT(KX232,FIND("·",KX232)-1),$C$232:$C$233,0)),0),0),0)</f>
        <v>0</v>
      </c>
      <c r="KZ232" s="110"/>
      <c r="LA232" s="76" t="str">
        <f>Idiomas!$D$370</f>
        <v>Paste Values Semifinals</v>
      </c>
      <c r="LB232" s="77">
        <f t="shared" ref="LB232" ca="1" si="2951">IFERROR(IF(COUNTIF($K$232:$K$233,LEFT(LA232,FIND("·",LA232)-1))&gt;0,IF(INDEX($L$232:$L$233,MATCH(LEFT(LA232,FIND("·",LA232)-1),$K$232:$K$233,0))=IFERROR(VALUE(MID(LA232,FIND("·",LA232)+1,1)),0),($D$28+(INDEX($M$232:$M$233,MATCH(LEFT(LA232,FIND("·",LA232)-1),$K$232:$K$233,0))=MID(LA232,FIND("|",LA232)+1,10))*$D$30+MAX(0,IF($D$50=1,$D$29*(1-(ABS(INDEX($P$232:$P$233,MATCH(LEFT(LA232,FIND("·",LA232)-1),$K$232:$K$233,0))-(VALUE(MID(LA232,FIND("|",LA232)+1,FIND("-",LA232,FIND("|",LA232))-FIND("|",LA232)-1))-VALUE(MID(LA232,FIND("-",LA232,FIND("|",LA232))+1,10)))))*$D$50),$D$29*(1-(IF(INDEX($L$232:$L$233,MATCH(LEFT(LA232,FIND("·",LA232)-1),$K$232:$K$233,0))=0,ABS(INDEX($N$232:$N$233,MATCH(LEFT(LA232,FIND("·",LA232)-1),$K$232:$K$233,0))-VALUE(MID(LA232,FIND("|",LA232)+1,FIND("-",LA232,FIND("|",LA232))-FIND("|",LA232)-1))),ABS(INDEX($P$232:$P$233,MATCH(LEFT(LA232,FIND("·",LA232)-1),$K$232:$K$233,0))-(VALUE(MID(LA232,FIND("|",LA232)+1,FIND("-",LA232,FIND("|",LA232))-FIND("|",LA232)-1))-VALUE(MID(LA232,FIND("-",LA232,FIND("|",LA232))+1,10)))))*$D$50)))))*INDEX($I$232:$I$233,MATCH(LEFT(LA232,FIND("·",LA232)-1),$K$232:$K$233,0)),0),0),0)+IFERROR(IF(COUNTIF($C$232:$C$233,LEFT(LA232,FIND("·",LA232)-1))&gt;0,IF(INDEX($D$232:$D$233,MATCH(LEFT(LA232,FIND("·",LA232)-1),$C$232:$C$233,0))=IFERROR(VALUE(MID(LA232,FIND("·",LA232)+1,1)),0),($D$28+(INDEX($E$232:$E$233,MATCH(LEFT(LA232,FIND("·",LA232)-1),$C$232:$C$233,0))=MID(LA232,FIND("|",LA232)+1,10))*$D$30+MAX(0,IF($D$50=1,$D$29*(1-(ABS(INDEX($Q$232:$Q$233,MATCH(LEFT(LA232,FIND("·",LA232)-1),$C$232:$C$233,0))-(VALUE(MID(LA232,FIND("|",LA232)+1,FIND("-",LA232,FIND("|",LA232))-FIND("|",LA232)-1))-VALUE(MID(LA232,FIND("-",LA232,FIND("|",LA232))+1,10)))))*$D$50),$D$29*(1-(IF(INDEX($D$232:$D$233,MATCH(LEFT(LA232,FIND("·",LA232)-1),$C$232:$C$233,0))=0,ABS(INDEX($A$232:$A$233,MATCH(LEFT(LA232,FIND("·",LA232)-1),$C$232:$C$233,0))-VALUE(MID(LA232,FIND("|",LA232)+1,FIND("-",LA232,FIND("|",LA232))-FIND("|",LA232)-1))),ABS(INDEX($Q$232:$Q$233,MATCH(LEFT(LA232,FIND("·",LA232)-1),$C$232:$C$233,0))-(VALUE(MID(LA232,FIND("|",LA232)+1,FIND("-",LA232,FIND("|",LA232))-FIND("|",LA232)-1))-VALUE(MID(LA232,FIND("-",LA232,FIND("|",LA232))+1,10)))))*$D$50)))))*INDEX($I$232:$I$233,MATCH(LEFT(LA232,FIND("·",LA232)-1),$C$232:$C$233,0)),0),0),0)</f>
        <v>0</v>
      </c>
      <c r="LC232" s="110"/>
      <c r="LD232" s="76" t="str">
        <f>Idiomas!$D$370</f>
        <v>Paste Values Semifinals</v>
      </c>
      <c r="LE232" s="77">
        <f t="shared" ref="LE232" ca="1" si="2952">IFERROR(IF(COUNTIF($K$232:$K$233,LEFT(LD232,FIND("·",LD232)-1))&gt;0,IF(INDEX($L$232:$L$233,MATCH(LEFT(LD232,FIND("·",LD232)-1),$K$232:$K$233,0))=IFERROR(VALUE(MID(LD232,FIND("·",LD232)+1,1)),0),($D$28+(INDEX($M$232:$M$233,MATCH(LEFT(LD232,FIND("·",LD232)-1),$K$232:$K$233,0))=MID(LD232,FIND("|",LD232)+1,10))*$D$30+MAX(0,IF($D$50=1,$D$29*(1-(ABS(INDEX($P$232:$P$233,MATCH(LEFT(LD232,FIND("·",LD232)-1),$K$232:$K$233,0))-(VALUE(MID(LD232,FIND("|",LD232)+1,FIND("-",LD232,FIND("|",LD232))-FIND("|",LD232)-1))-VALUE(MID(LD232,FIND("-",LD232,FIND("|",LD232))+1,10)))))*$D$50),$D$29*(1-(IF(INDEX($L$232:$L$233,MATCH(LEFT(LD232,FIND("·",LD232)-1),$K$232:$K$233,0))=0,ABS(INDEX($N$232:$N$233,MATCH(LEFT(LD232,FIND("·",LD232)-1),$K$232:$K$233,0))-VALUE(MID(LD232,FIND("|",LD232)+1,FIND("-",LD232,FIND("|",LD232))-FIND("|",LD232)-1))),ABS(INDEX($P$232:$P$233,MATCH(LEFT(LD232,FIND("·",LD232)-1),$K$232:$K$233,0))-(VALUE(MID(LD232,FIND("|",LD232)+1,FIND("-",LD232,FIND("|",LD232))-FIND("|",LD232)-1))-VALUE(MID(LD232,FIND("-",LD232,FIND("|",LD232))+1,10)))))*$D$50)))))*INDEX($I$232:$I$233,MATCH(LEFT(LD232,FIND("·",LD232)-1),$K$232:$K$233,0)),0),0),0)+IFERROR(IF(COUNTIF($C$232:$C$233,LEFT(LD232,FIND("·",LD232)-1))&gt;0,IF(INDEX($D$232:$D$233,MATCH(LEFT(LD232,FIND("·",LD232)-1),$C$232:$C$233,0))=IFERROR(VALUE(MID(LD232,FIND("·",LD232)+1,1)),0),($D$28+(INDEX($E$232:$E$233,MATCH(LEFT(LD232,FIND("·",LD232)-1),$C$232:$C$233,0))=MID(LD232,FIND("|",LD232)+1,10))*$D$30+MAX(0,IF($D$50=1,$D$29*(1-(ABS(INDEX($Q$232:$Q$233,MATCH(LEFT(LD232,FIND("·",LD232)-1),$C$232:$C$233,0))-(VALUE(MID(LD232,FIND("|",LD232)+1,FIND("-",LD232,FIND("|",LD232))-FIND("|",LD232)-1))-VALUE(MID(LD232,FIND("-",LD232,FIND("|",LD232))+1,10)))))*$D$50),$D$29*(1-(IF(INDEX($D$232:$D$233,MATCH(LEFT(LD232,FIND("·",LD232)-1),$C$232:$C$233,0))=0,ABS(INDEX($A$232:$A$233,MATCH(LEFT(LD232,FIND("·",LD232)-1),$C$232:$C$233,0))-VALUE(MID(LD232,FIND("|",LD232)+1,FIND("-",LD232,FIND("|",LD232))-FIND("|",LD232)-1))),ABS(INDEX($Q$232:$Q$233,MATCH(LEFT(LD232,FIND("·",LD232)-1),$C$232:$C$233,0))-(VALUE(MID(LD232,FIND("|",LD232)+1,FIND("-",LD232,FIND("|",LD232))-FIND("|",LD232)-1))-VALUE(MID(LD232,FIND("-",LD232,FIND("|",LD232))+1,10)))))*$D$50)))))*INDEX($I$232:$I$233,MATCH(LEFT(LD232,FIND("·",LD232)-1),$C$232:$C$233,0)),0),0),0)</f>
        <v>0</v>
      </c>
      <c r="LF232" s="110"/>
      <c r="LG232" s="110"/>
    </row>
    <row r="233" spans="1:319">
      <c r="A233" s="25">
        <f>WORLDCUP!AD139</f>
        <v>2</v>
      </c>
      <c r="B233" s="25">
        <f>WORLDCUP!AC139</f>
        <v>1</v>
      </c>
      <c r="C233" s="25" t="str">
        <f ca="1">CONCATENATE(WORLDCUP!AF139,"-",WORLDCUP!AA139)</f>
        <v>Argentina-England</v>
      </c>
      <c r="D233" s="25">
        <f>IF(WORLDCUP!AC139&gt;WORLDCUP!AD139,2,IF(WORLDCUP!AC139&lt;WORLDCUP!AD139,1,IF(AND(WORLDCUP!AC139=WORLDCUP!AD139,WORLDCUP!AC139&lt;&gt;"",WORLDCUP!AD139&lt;&gt;""),0,"PD")))</f>
        <v>1</v>
      </c>
      <c r="E233" s="25" t="str">
        <f>IF(OR(WORLDCUP!AD139="",WORLDCUP!AC139=""),"-",A233&amp;"-"&amp;B233)</f>
        <v>2-1</v>
      </c>
      <c r="F233" s="407">
        <f>SUM($D$28:$D$30)*I233</f>
        <v>20</v>
      </c>
      <c r="G233" s="407">
        <f ca="1">VLOOKUP(H233,Equipos!$Q$1:$R$25,2,0)</f>
        <v>23</v>
      </c>
      <c r="H233" s="65" t="str">
        <f>Idiomas!$D$263</f>
        <v>Semifinals</v>
      </c>
      <c r="I233" s="43">
        <v>1</v>
      </c>
      <c r="J233" s="846"/>
      <c r="K233" s="56" t="str">
        <f ca="1">CONCATENATE(WORLDCUP!AA139,"-",WORLDCUP!AF139)</f>
        <v>England-Argentina</v>
      </c>
      <c r="L233" s="53">
        <f>IF(OR(WORLDCUP!AC139="",WORLDCUP!AD139=""),"PD",IF(WORLDCUP!AC139&gt;WORLDCUP!AD139,1,IF(WORLDCUP!AC139&lt;WORLDCUP!AD139,2,0)))</f>
        <v>2</v>
      </c>
      <c r="M233" s="55" t="str">
        <f t="shared" si="2853"/>
        <v>1-2</v>
      </c>
      <c r="N233" s="25">
        <f>WORLDCUP!AC139</f>
        <v>1</v>
      </c>
      <c r="O233" s="25">
        <f>WORLDCUP!AD139</f>
        <v>2</v>
      </c>
      <c r="P233" s="25">
        <f>+N233-O233</f>
        <v>-1</v>
      </c>
      <c r="Q233" s="25">
        <f>+A233-B233</f>
        <v>1</v>
      </c>
      <c r="R233" s="110"/>
      <c r="S233" s="80" t="s">
        <v>1991</v>
      </c>
      <c r="T233" s="81">
        <f ca="1">IFERROR(IF(COUNTIF($K$232:$K$233,LEFT(S233,FIND("·",S233)-1))&gt;0,IF(INDEX($L$232:$L$233,MATCH(LEFT(S233,FIND("·",S233)-1),$K$232:$K$233,0))=IFERROR(VALUE(MID(S233,FIND("·",S233)+1,1)),0),($D$28+(INDEX($M$232:$M$233,MATCH(LEFT(S233,FIND("·",S233)-1),$K$232:$K$233,0))=MID(S233,FIND("|",S233)+1,10))*$D$30+MAX(0,IF($D$50=1,$D$29*(1-(ABS(INDEX($P$232:$P$233,MATCH(LEFT(S233,FIND("·",S233)-1),$K$232:$K$233,0))-(VALUE(MID(S233,FIND("|",S233)+1,FIND("-",S233,FIND("|",S233))-FIND("|",S233)-1))-VALUE(MID(S233,FIND("-",S233,FIND("|",S233))+1,10)))))*$D$50),$D$29*(1-(IF(INDEX($L$232:$L$233,MATCH(LEFT(S233,FIND("·",S233)-1),$K$232:$K$233,0))=0,ABS(INDEX($N$232:$N$233,MATCH(LEFT(S233,FIND("·",S233)-1),$K$232:$K$233,0))-VALUE(MID(S233,FIND("|",S233)+1,FIND("-",S233,FIND("|",S233))-FIND("|",S233)-1))),ABS(INDEX($P$232:$P$233,MATCH(LEFT(S233,FIND("·",S233)-1),$K$232:$K$233,0))-(VALUE(MID(S233,FIND("|",S233)+1,FIND("-",S233,FIND("|",S233))-FIND("|",S233)-1))-VALUE(MID(S233,FIND("-",S233,FIND("|",S233))+1,10)))))*$D$50)))))*INDEX($I$232:$I$233,MATCH(LEFT(S233,FIND("·",S233)-1),$K$232:$K$233,0)),0),0),0)+IFERROR(IF(COUNTIF($C$232:$C$233,LEFT(S233,FIND("·",S233)-1))&gt;0,IF(INDEX($D$232:$D$233,MATCH(LEFT(S233,FIND("·",S233)-1),$C$232:$C$233,0))=IFERROR(VALUE(MID(S233,FIND("·",S233)+1,1)),0),($D$28+(INDEX($E$232:$E$233,MATCH(LEFT(S233,FIND("·",S233)-1),$C$232:$C$233,0))=MID(S233,FIND("|",S233)+1,10))*$D$30+MAX(0,IF($D$50=1,$D$29*(1-(ABS(INDEX($Q$232:$Q$233,MATCH(LEFT(S233,FIND("·",S233)-1),$C$232:$C$233,0))-(VALUE(MID(S233,FIND("|",S233)+1,FIND("-",S233,FIND("|",S233))-FIND("|",S233)-1))-VALUE(MID(S233,FIND("-",S233,FIND("|",S233))+1,10)))))*$D$50),$D$29*(1-(IF(INDEX($D$232:$D$233,MATCH(LEFT(S233,FIND("·",S233)-1),$C$232:$C$233,0))=0,ABS(INDEX($A$232:$A$233,MATCH(LEFT(S233,FIND("·",S233)-1),$C$232:$C$233,0))-VALUE(MID(S233,FIND("|",S233)+1,FIND("-",S233,FIND("|",S233))-FIND("|",S233)-1))),ABS(INDEX($Q$232:$Q$233,MATCH(LEFT(S233,FIND("·",S233)-1),$C$232:$C$233,0))-(VALUE(MID(S233,FIND("|",S233)+1,FIND("-",S233,FIND("|",S233))-FIND("|",S233)-1))-VALUE(MID(S233,FIND("-",S233,FIND("|",S233))+1,10)))))*$D$50)))))*INDEX($I$232:$I$233,MATCH(LEFT(S233,FIND("·",S233)-1),$C$232:$C$233,0)),0),0),0)</f>
        <v>0</v>
      </c>
      <c r="U233" s="110"/>
      <c r="V233" s="80" t="s">
        <v>2030</v>
      </c>
      <c r="W233" s="81">
        <f t="shared" ref="W233" ca="1" si="2953">IFERROR(IF(COUNTIF($K$232:$K$233,LEFT(V233,FIND("·",V233)-1))&gt;0,IF(INDEX($L$232:$L$233,MATCH(LEFT(V233,FIND("·",V233)-1),$K$232:$K$233,0))=IFERROR(VALUE(MID(V233,FIND("·",V233)+1,1)),0),($D$28+(INDEX($M$232:$M$233,MATCH(LEFT(V233,FIND("·",V233)-1),$K$232:$K$233,0))=MID(V233,FIND("|",V233)+1,10))*$D$30+MAX(0,IF($D$50=1,$D$29*(1-(ABS(INDEX($P$232:$P$233,MATCH(LEFT(V233,FIND("·",V233)-1),$K$232:$K$233,0))-(VALUE(MID(V233,FIND("|",V233)+1,FIND("-",V233,FIND("|",V233))-FIND("|",V233)-1))-VALUE(MID(V233,FIND("-",V233,FIND("|",V233))+1,10)))))*$D$50),$D$29*(1-(IF(INDEX($L$232:$L$233,MATCH(LEFT(V233,FIND("·",V233)-1),$K$232:$K$233,0))=0,ABS(INDEX($N$232:$N$233,MATCH(LEFT(V233,FIND("·",V233)-1),$K$232:$K$233,0))-VALUE(MID(V233,FIND("|",V233)+1,FIND("-",V233,FIND("|",V233))-FIND("|",V233)-1))),ABS(INDEX($P$232:$P$233,MATCH(LEFT(V233,FIND("·",V233)-1),$K$232:$K$233,0))-(VALUE(MID(V233,FIND("|",V233)+1,FIND("-",V233,FIND("|",V233))-FIND("|",V233)-1))-VALUE(MID(V233,FIND("-",V233,FIND("|",V233))+1,10)))))*$D$50)))))*INDEX($I$232:$I$233,MATCH(LEFT(V233,FIND("·",V233)-1),$K$232:$K$233,0)),0),0),0)+IFERROR(IF(COUNTIF($C$232:$C$233,LEFT(V233,FIND("·",V233)-1))&gt;0,IF(INDEX($D$232:$D$233,MATCH(LEFT(V233,FIND("·",V233)-1),$C$232:$C$233,0))=IFERROR(VALUE(MID(V233,FIND("·",V233)+1,1)),0),($D$28+(INDEX($E$232:$E$233,MATCH(LEFT(V233,FIND("·",V233)-1),$C$232:$C$233,0))=MID(V233,FIND("|",V233)+1,10))*$D$30+MAX(0,IF($D$50=1,$D$29*(1-(ABS(INDEX($Q$232:$Q$233,MATCH(LEFT(V233,FIND("·",V233)-1),$C$232:$C$233,0))-(VALUE(MID(V233,FIND("|",V233)+1,FIND("-",V233,FIND("|",V233))-FIND("|",V233)-1))-VALUE(MID(V233,FIND("-",V233,FIND("|",V233))+1,10)))))*$D$50),$D$29*(1-(IF(INDEX($D$232:$D$233,MATCH(LEFT(V233,FIND("·",V233)-1),$C$232:$C$233,0))=0,ABS(INDEX($A$232:$A$233,MATCH(LEFT(V233,FIND("·",V233)-1),$C$232:$C$233,0))-VALUE(MID(V233,FIND("|",V233)+1,FIND("-",V233,FIND("|",V233))-FIND("|",V233)-1))),ABS(INDEX($Q$232:$Q$233,MATCH(LEFT(V233,FIND("·",V233)-1),$C$232:$C$233,0))-(VALUE(MID(V233,FIND("|",V233)+1,FIND("-",V233,FIND("|",V233))-FIND("|",V233)-1))-VALUE(MID(V233,FIND("-",V233,FIND("|",V233))+1,10)))))*$D$50)))))*INDEX($I$232:$I$233,MATCH(LEFT(V233,FIND("·",V233)-1),$C$232:$C$233,0)),0),0),0)</f>
        <v>0</v>
      </c>
      <c r="X233" s="110"/>
      <c r="Y233" s="80" t="s">
        <v>2064</v>
      </c>
      <c r="Z233" s="81">
        <f t="shared" ref="Z233" ca="1" si="2954">IFERROR(IF(COUNTIF($K$232:$K$233,LEFT(Y233,FIND("·",Y233)-1))&gt;0,IF(INDEX($L$232:$L$233,MATCH(LEFT(Y233,FIND("·",Y233)-1),$K$232:$K$233,0))=IFERROR(VALUE(MID(Y233,FIND("·",Y233)+1,1)),0),($D$28+(INDEX($M$232:$M$233,MATCH(LEFT(Y233,FIND("·",Y233)-1),$K$232:$K$233,0))=MID(Y233,FIND("|",Y233)+1,10))*$D$30+MAX(0,IF($D$50=1,$D$29*(1-(ABS(INDEX($P$232:$P$233,MATCH(LEFT(Y233,FIND("·",Y233)-1),$K$232:$K$233,0))-(VALUE(MID(Y233,FIND("|",Y233)+1,FIND("-",Y233,FIND("|",Y233))-FIND("|",Y233)-1))-VALUE(MID(Y233,FIND("-",Y233,FIND("|",Y233))+1,10)))))*$D$50),$D$29*(1-(IF(INDEX($L$232:$L$233,MATCH(LEFT(Y233,FIND("·",Y233)-1),$K$232:$K$233,0))=0,ABS(INDEX($N$232:$N$233,MATCH(LEFT(Y233,FIND("·",Y233)-1),$K$232:$K$233,0))-VALUE(MID(Y233,FIND("|",Y233)+1,FIND("-",Y233,FIND("|",Y233))-FIND("|",Y233)-1))),ABS(INDEX($P$232:$P$233,MATCH(LEFT(Y233,FIND("·",Y233)-1),$K$232:$K$233,0))-(VALUE(MID(Y233,FIND("|",Y233)+1,FIND("-",Y233,FIND("|",Y233))-FIND("|",Y233)-1))-VALUE(MID(Y233,FIND("-",Y233,FIND("|",Y233))+1,10)))))*$D$50)))))*INDEX($I$232:$I$233,MATCH(LEFT(Y233,FIND("·",Y233)-1),$K$232:$K$233,0)),0),0),0)+IFERROR(IF(COUNTIF($C$232:$C$233,LEFT(Y233,FIND("·",Y233)-1))&gt;0,IF(INDEX($D$232:$D$233,MATCH(LEFT(Y233,FIND("·",Y233)-1),$C$232:$C$233,0))=IFERROR(VALUE(MID(Y233,FIND("·",Y233)+1,1)),0),($D$28+(INDEX($E$232:$E$233,MATCH(LEFT(Y233,FIND("·",Y233)-1),$C$232:$C$233,0))=MID(Y233,FIND("|",Y233)+1,10))*$D$30+MAX(0,IF($D$50=1,$D$29*(1-(ABS(INDEX($Q$232:$Q$233,MATCH(LEFT(Y233,FIND("·",Y233)-1),$C$232:$C$233,0))-(VALUE(MID(Y233,FIND("|",Y233)+1,FIND("-",Y233,FIND("|",Y233))-FIND("|",Y233)-1))-VALUE(MID(Y233,FIND("-",Y233,FIND("|",Y233))+1,10)))))*$D$50),$D$29*(1-(IF(INDEX($D$232:$D$233,MATCH(LEFT(Y233,FIND("·",Y233)-1),$C$232:$C$233,0))=0,ABS(INDEX($A$232:$A$233,MATCH(LEFT(Y233,FIND("·",Y233)-1),$C$232:$C$233,0))-VALUE(MID(Y233,FIND("|",Y233)+1,FIND("-",Y233,FIND("|",Y233))-FIND("|",Y233)-1))),ABS(INDEX($Q$232:$Q$233,MATCH(LEFT(Y233,FIND("·",Y233)-1),$C$232:$C$233,0))-(VALUE(MID(Y233,FIND("|",Y233)+1,FIND("-",Y233,FIND("|",Y233))-FIND("|",Y233)-1))-VALUE(MID(Y233,FIND("-",Y233,FIND("|",Y233))+1,10)))))*$D$50)))))*INDEX($I$232:$I$233,MATCH(LEFT(Y233,FIND("·",Y233)-1),$C$232:$C$233,0)),0),0),0)</f>
        <v>0</v>
      </c>
      <c r="AA233" s="110"/>
      <c r="AB233" s="80" t="s">
        <v>2098</v>
      </c>
      <c r="AC233" s="81">
        <f t="shared" ref="AC233" ca="1" si="2955">IFERROR(IF(COUNTIF($K$232:$K$233,LEFT(AB233,FIND("·",AB233)-1))&gt;0,IF(INDEX($L$232:$L$233,MATCH(LEFT(AB233,FIND("·",AB233)-1),$K$232:$K$233,0))=IFERROR(VALUE(MID(AB233,FIND("·",AB233)+1,1)),0),($D$28+(INDEX($M$232:$M$233,MATCH(LEFT(AB233,FIND("·",AB233)-1),$K$232:$K$233,0))=MID(AB233,FIND("|",AB233)+1,10))*$D$30+MAX(0,IF($D$50=1,$D$29*(1-(ABS(INDEX($P$232:$P$233,MATCH(LEFT(AB233,FIND("·",AB233)-1),$K$232:$K$233,0))-(VALUE(MID(AB233,FIND("|",AB233)+1,FIND("-",AB233,FIND("|",AB233))-FIND("|",AB233)-1))-VALUE(MID(AB233,FIND("-",AB233,FIND("|",AB233))+1,10)))))*$D$50),$D$29*(1-(IF(INDEX($L$232:$L$233,MATCH(LEFT(AB233,FIND("·",AB233)-1),$K$232:$K$233,0))=0,ABS(INDEX($N$232:$N$233,MATCH(LEFT(AB233,FIND("·",AB233)-1),$K$232:$K$233,0))-VALUE(MID(AB233,FIND("|",AB233)+1,FIND("-",AB233,FIND("|",AB233))-FIND("|",AB233)-1))),ABS(INDEX($P$232:$P$233,MATCH(LEFT(AB233,FIND("·",AB233)-1),$K$232:$K$233,0))-(VALUE(MID(AB233,FIND("|",AB233)+1,FIND("-",AB233,FIND("|",AB233))-FIND("|",AB233)-1))-VALUE(MID(AB233,FIND("-",AB233,FIND("|",AB233))+1,10)))))*$D$50)))))*INDEX($I$232:$I$233,MATCH(LEFT(AB233,FIND("·",AB233)-1),$K$232:$K$233,0)),0),0),0)+IFERROR(IF(COUNTIF($C$232:$C$233,LEFT(AB233,FIND("·",AB233)-1))&gt;0,IF(INDEX($D$232:$D$233,MATCH(LEFT(AB233,FIND("·",AB233)-1),$C$232:$C$233,0))=IFERROR(VALUE(MID(AB233,FIND("·",AB233)+1,1)),0),($D$28+(INDEX($E$232:$E$233,MATCH(LEFT(AB233,FIND("·",AB233)-1),$C$232:$C$233,0))=MID(AB233,FIND("|",AB233)+1,10))*$D$30+MAX(0,IF($D$50=1,$D$29*(1-(ABS(INDEX($Q$232:$Q$233,MATCH(LEFT(AB233,FIND("·",AB233)-1),$C$232:$C$233,0))-(VALUE(MID(AB233,FIND("|",AB233)+1,FIND("-",AB233,FIND("|",AB233))-FIND("|",AB233)-1))-VALUE(MID(AB233,FIND("-",AB233,FIND("|",AB233))+1,10)))))*$D$50),$D$29*(1-(IF(INDEX($D$232:$D$233,MATCH(LEFT(AB233,FIND("·",AB233)-1),$C$232:$C$233,0))=0,ABS(INDEX($A$232:$A$233,MATCH(LEFT(AB233,FIND("·",AB233)-1),$C$232:$C$233,0))-VALUE(MID(AB233,FIND("|",AB233)+1,FIND("-",AB233,FIND("|",AB233))-FIND("|",AB233)-1))),ABS(INDEX($Q$232:$Q$233,MATCH(LEFT(AB233,FIND("·",AB233)-1),$C$232:$C$233,0))-(VALUE(MID(AB233,FIND("|",AB233)+1,FIND("-",AB233,FIND("|",AB233))-FIND("|",AB233)-1))-VALUE(MID(AB233,FIND("-",AB233,FIND("|",AB233))+1,10)))))*$D$50)))))*INDEX($I$232:$I$233,MATCH(LEFT(AB233,FIND("·",AB233)-1),$C$232:$C$233,0)),0),0),0)</f>
        <v>0</v>
      </c>
      <c r="AD233" s="110"/>
      <c r="AE233" s="80" t="s">
        <v>2124</v>
      </c>
      <c r="AF233" s="81">
        <f t="shared" ref="AF233" ca="1" si="2956">IFERROR(IF(COUNTIF($K$232:$K$233,LEFT(AE233,FIND("·",AE233)-1))&gt;0,IF(INDEX($L$232:$L$233,MATCH(LEFT(AE233,FIND("·",AE233)-1),$K$232:$K$233,0))=IFERROR(VALUE(MID(AE233,FIND("·",AE233)+1,1)),0),($D$28+(INDEX($M$232:$M$233,MATCH(LEFT(AE233,FIND("·",AE233)-1),$K$232:$K$233,0))=MID(AE233,FIND("|",AE233)+1,10))*$D$30+MAX(0,IF($D$50=1,$D$29*(1-(ABS(INDEX($P$232:$P$233,MATCH(LEFT(AE233,FIND("·",AE233)-1),$K$232:$K$233,0))-(VALUE(MID(AE233,FIND("|",AE233)+1,FIND("-",AE233,FIND("|",AE233))-FIND("|",AE233)-1))-VALUE(MID(AE233,FIND("-",AE233,FIND("|",AE233))+1,10)))))*$D$50),$D$29*(1-(IF(INDEX($L$232:$L$233,MATCH(LEFT(AE233,FIND("·",AE233)-1),$K$232:$K$233,0))=0,ABS(INDEX($N$232:$N$233,MATCH(LEFT(AE233,FIND("·",AE233)-1),$K$232:$K$233,0))-VALUE(MID(AE233,FIND("|",AE233)+1,FIND("-",AE233,FIND("|",AE233))-FIND("|",AE233)-1))),ABS(INDEX($P$232:$P$233,MATCH(LEFT(AE233,FIND("·",AE233)-1),$K$232:$K$233,0))-(VALUE(MID(AE233,FIND("|",AE233)+1,FIND("-",AE233,FIND("|",AE233))-FIND("|",AE233)-1))-VALUE(MID(AE233,FIND("-",AE233,FIND("|",AE233))+1,10)))))*$D$50)))))*INDEX($I$232:$I$233,MATCH(LEFT(AE233,FIND("·",AE233)-1),$K$232:$K$233,0)),0),0),0)+IFERROR(IF(COUNTIF($C$232:$C$233,LEFT(AE233,FIND("·",AE233)-1))&gt;0,IF(INDEX($D$232:$D$233,MATCH(LEFT(AE233,FIND("·",AE233)-1),$C$232:$C$233,0))=IFERROR(VALUE(MID(AE233,FIND("·",AE233)+1,1)),0),($D$28+(INDEX($E$232:$E$233,MATCH(LEFT(AE233,FIND("·",AE233)-1),$C$232:$C$233,0))=MID(AE233,FIND("|",AE233)+1,10))*$D$30+MAX(0,IF($D$50=1,$D$29*(1-(ABS(INDEX($Q$232:$Q$233,MATCH(LEFT(AE233,FIND("·",AE233)-1),$C$232:$C$233,0))-(VALUE(MID(AE233,FIND("|",AE233)+1,FIND("-",AE233,FIND("|",AE233))-FIND("|",AE233)-1))-VALUE(MID(AE233,FIND("-",AE233,FIND("|",AE233))+1,10)))))*$D$50),$D$29*(1-(IF(INDEX($D$232:$D$233,MATCH(LEFT(AE233,FIND("·",AE233)-1),$C$232:$C$233,0))=0,ABS(INDEX($A$232:$A$233,MATCH(LEFT(AE233,FIND("·",AE233)-1),$C$232:$C$233,0))-VALUE(MID(AE233,FIND("|",AE233)+1,FIND("-",AE233,FIND("|",AE233))-FIND("|",AE233)-1))),ABS(INDEX($Q$232:$Q$233,MATCH(LEFT(AE233,FIND("·",AE233)-1),$C$232:$C$233,0))-(VALUE(MID(AE233,FIND("|",AE233)+1,FIND("-",AE233,FIND("|",AE233))-FIND("|",AE233)-1))-VALUE(MID(AE233,FIND("-",AE233,FIND("|",AE233))+1,10)))))*$D$50)))))*INDEX($I$232:$I$233,MATCH(LEFT(AE233,FIND("·",AE233)-1),$C$232:$C$233,0)),0),0),0)</f>
        <v>0</v>
      </c>
      <c r="AG233" s="110"/>
      <c r="AH233" s="80" t="s">
        <v>2064</v>
      </c>
      <c r="AI233" s="81">
        <f t="shared" ref="AI233" ca="1" si="2957">IFERROR(IF(COUNTIF($K$232:$K$233,LEFT(AH233,FIND("·",AH233)-1))&gt;0,IF(INDEX($L$232:$L$233,MATCH(LEFT(AH233,FIND("·",AH233)-1),$K$232:$K$233,0))=IFERROR(VALUE(MID(AH233,FIND("·",AH233)+1,1)),0),($D$28+(INDEX($M$232:$M$233,MATCH(LEFT(AH233,FIND("·",AH233)-1),$K$232:$K$233,0))=MID(AH233,FIND("|",AH233)+1,10))*$D$30+MAX(0,IF($D$50=1,$D$29*(1-(ABS(INDEX($P$232:$P$233,MATCH(LEFT(AH233,FIND("·",AH233)-1),$K$232:$K$233,0))-(VALUE(MID(AH233,FIND("|",AH233)+1,FIND("-",AH233,FIND("|",AH233))-FIND("|",AH233)-1))-VALUE(MID(AH233,FIND("-",AH233,FIND("|",AH233))+1,10)))))*$D$50),$D$29*(1-(IF(INDEX($L$232:$L$233,MATCH(LEFT(AH233,FIND("·",AH233)-1),$K$232:$K$233,0))=0,ABS(INDEX($N$232:$N$233,MATCH(LEFT(AH233,FIND("·",AH233)-1),$K$232:$K$233,0))-VALUE(MID(AH233,FIND("|",AH233)+1,FIND("-",AH233,FIND("|",AH233))-FIND("|",AH233)-1))),ABS(INDEX($P$232:$P$233,MATCH(LEFT(AH233,FIND("·",AH233)-1),$K$232:$K$233,0))-(VALUE(MID(AH233,FIND("|",AH233)+1,FIND("-",AH233,FIND("|",AH233))-FIND("|",AH233)-1))-VALUE(MID(AH233,FIND("-",AH233,FIND("|",AH233))+1,10)))))*$D$50)))))*INDEX($I$232:$I$233,MATCH(LEFT(AH233,FIND("·",AH233)-1),$K$232:$K$233,0)),0),0),0)+IFERROR(IF(COUNTIF($C$232:$C$233,LEFT(AH233,FIND("·",AH233)-1))&gt;0,IF(INDEX($D$232:$D$233,MATCH(LEFT(AH233,FIND("·",AH233)-1),$C$232:$C$233,0))=IFERROR(VALUE(MID(AH233,FIND("·",AH233)+1,1)),0),($D$28+(INDEX($E$232:$E$233,MATCH(LEFT(AH233,FIND("·",AH233)-1),$C$232:$C$233,0))=MID(AH233,FIND("|",AH233)+1,10))*$D$30+MAX(0,IF($D$50=1,$D$29*(1-(ABS(INDEX($Q$232:$Q$233,MATCH(LEFT(AH233,FIND("·",AH233)-1),$C$232:$C$233,0))-(VALUE(MID(AH233,FIND("|",AH233)+1,FIND("-",AH233,FIND("|",AH233))-FIND("|",AH233)-1))-VALUE(MID(AH233,FIND("-",AH233,FIND("|",AH233))+1,10)))))*$D$50),$D$29*(1-(IF(INDEX($D$232:$D$233,MATCH(LEFT(AH233,FIND("·",AH233)-1),$C$232:$C$233,0))=0,ABS(INDEX($A$232:$A$233,MATCH(LEFT(AH233,FIND("·",AH233)-1),$C$232:$C$233,0))-VALUE(MID(AH233,FIND("|",AH233)+1,FIND("-",AH233,FIND("|",AH233))-FIND("|",AH233)-1))),ABS(INDEX($Q$232:$Q$233,MATCH(LEFT(AH233,FIND("·",AH233)-1),$C$232:$C$233,0))-(VALUE(MID(AH233,FIND("|",AH233)+1,FIND("-",AH233,FIND("|",AH233))-FIND("|",AH233)-1))-VALUE(MID(AH233,FIND("-",AH233,FIND("|",AH233))+1,10)))))*$D$50)))))*INDEX($I$232:$I$233,MATCH(LEFT(AH233,FIND("·",AH233)-1),$C$232:$C$233,0)),0),0),0)</f>
        <v>0</v>
      </c>
      <c r="AJ233" s="110"/>
      <c r="AK233" s="80" t="s">
        <v>2183</v>
      </c>
      <c r="AL233" s="81">
        <f t="shared" ref="AL233" ca="1" si="2958">IFERROR(IF(COUNTIF($K$232:$K$233,LEFT(AK233,FIND("·",AK233)-1))&gt;0,IF(INDEX($L$232:$L$233,MATCH(LEFT(AK233,FIND("·",AK233)-1),$K$232:$K$233,0))=IFERROR(VALUE(MID(AK233,FIND("·",AK233)+1,1)),0),($D$28+(INDEX($M$232:$M$233,MATCH(LEFT(AK233,FIND("·",AK233)-1),$K$232:$K$233,0))=MID(AK233,FIND("|",AK233)+1,10))*$D$30+MAX(0,IF($D$50=1,$D$29*(1-(ABS(INDEX($P$232:$P$233,MATCH(LEFT(AK233,FIND("·",AK233)-1),$K$232:$K$233,0))-(VALUE(MID(AK233,FIND("|",AK233)+1,FIND("-",AK233,FIND("|",AK233))-FIND("|",AK233)-1))-VALUE(MID(AK233,FIND("-",AK233,FIND("|",AK233))+1,10)))))*$D$50),$D$29*(1-(IF(INDEX($L$232:$L$233,MATCH(LEFT(AK233,FIND("·",AK233)-1),$K$232:$K$233,0))=0,ABS(INDEX($N$232:$N$233,MATCH(LEFT(AK233,FIND("·",AK233)-1),$K$232:$K$233,0))-VALUE(MID(AK233,FIND("|",AK233)+1,FIND("-",AK233,FIND("|",AK233))-FIND("|",AK233)-1))),ABS(INDEX($P$232:$P$233,MATCH(LEFT(AK233,FIND("·",AK233)-1),$K$232:$K$233,0))-(VALUE(MID(AK233,FIND("|",AK233)+1,FIND("-",AK233,FIND("|",AK233))-FIND("|",AK233)-1))-VALUE(MID(AK233,FIND("-",AK233,FIND("|",AK233))+1,10)))))*$D$50)))))*INDEX($I$232:$I$233,MATCH(LEFT(AK233,FIND("·",AK233)-1),$K$232:$K$233,0)),0),0),0)+IFERROR(IF(COUNTIF($C$232:$C$233,LEFT(AK233,FIND("·",AK233)-1))&gt;0,IF(INDEX($D$232:$D$233,MATCH(LEFT(AK233,FIND("·",AK233)-1),$C$232:$C$233,0))=IFERROR(VALUE(MID(AK233,FIND("·",AK233)+1,1)),0),($D$28+(INDEX($E$232:$E$233,MATCH(LEFT(AK233,FIND("·",AK233)-1),$C$232:$C$233,0))=MID(AK233,FIND("|",AK233)+1,10))*$D$30+MAX(0,IF($D$50=1,$D$29*(1-(ABS(INDEX($Q$232:$Q$233,MATCH(LEFT(AK233,FIND("·",AK233)-1),$C$232:$C$233,0))-(VALUE(MID(AK233,FIND("|",AK233)+1,FIND("-",AK233,FIND("|",AK233))-FIND("|",AK233)-1))-VALUE(MID(AK233,FIND("-",AK233,FIND("|",AK233))+1,10)))))*$D$50),$D$29*(1-(IF(INDEX($D$232:$D$233,MATCH(LEFT(AK233,FIND("·",AK233)-1),$C$232:$C$233,0))=0,ABS(INDEX($A$232:$A$233,MATCH(LEFT(AK233,FIND("·",AK233)-1),$C$232:$C$233,0))-VALUE(MID(AK233,FIND("|",AK233)+1,FIND("-",AK233,FIND("|",AK233))-FIND("|",AK233)-1))),ABS(INDEX($Q$232:$Q$233,MATCH(LEFT(AK233,FIND("·",AK233)-1),$C$232:$C$233,0))-(VALUE(MID(AK233,FIND("|",AK233)+1,FIND("-",AK233,FIND("|",AK233))-FIND("|",AK233)-1))-VALUE(MID(AK233,FIND("-",AK233,FIND("|",AK233))+1,10)))))*$D$50)))))*INDEX($I$232:$I$233,MATCH(LEFT(AK233,FIND("·",AK233)-1),$C$232:$C$233,0)),0),0),0)</f>
        <v>0</v>
      </c>
      <c r="AM233" s="110"/>
      <c r="AN233" s="80" t="s">
        <v>2217</v>
      </c>
      <c r="AO233" s="81">
        <f t="shared" ref="AO233" ca="1" si="2959">IFERROR(IF(COUNTIF($K$232:$K$233,LEFT(AN233,FIND("·",AN233)-1))&gt;0,IF(INDEX($L$232:$L$233,MATCH(LEFT(AN233,FIND("·",AN233)-1),$K$232:$K$233,0))=IFERROR(VALUE(MID(AN233,FIND("·",AN233)+1,1)),0),($D$28+(INDEX($M$232:$M$233,MATCH(LEFT(AN233,FIND("·",AN233)-1),$K$232:$K$233,0))=MID(AN233,FIND("|",AN233)+1,10))*$D$30+MAX(0,IF($D$50=1,$D$29*(1-(ABS(INDEX($P$232:$P$233,MATCH(LEFT(AN233,FIND("·",AN233)-1),$K$232:$K$233,0))-(VALUE(MID(AN233,FIND("|",AN233)+1,FIND("-",AN233,FIND("|",AN233))-FIND("|",AN233)-1))-VALUE(MID(AN233,FIND("-",AN233,FIND("|",AN233))+1,10)))))*$D$50),$D$29*(1-(IF(INDEX($L$232:$L$233,MATCH(LEFT(AN233,FIND("·",AN233)-1),$K$232:$K$233,0))=0,ABS(INDEX($N$232:$N$233,MATCH(LEFT(AN233,FIND("·",AN233)-1),$K$232:$K$233,0))-VALUE(MID(AN233,FIND("|",AN233)+1,FIND("-",AN233,FIND("|",AN233))-FIND("|",AN233)-1))),ABS(INDEX($P$232:$P$233,MATCH(LEFT(AN233,FIND("·",AN233)-1),$K$232:$K$233,0))-(VALUE(MID(AN233,FIND("|",AN233)+1,FIND("-",AN233,FIND("|",AN233))-FIND("|",AN233)-1))-VALUE(MID(AN233,FIND("-",AN233,FIND("|",AN233))+1,10)))))*$D$50)))))*INDEX($I$232:$I$233,MATCH(LEFT(AN233,FIND("·",AN233)-1),$K$232:$K$233,0)),0),0),0)+IFERROR(IF(COUNTIF($C$232:$C$233,LEFT(AN233,FIND("·",AN233)-1))&gt;0,IF(INDEX($D$232:$D$233,MATCH(LEFT(AN233,FIND("·",AN233)-1),$C$232:$C$233,0))=IFERROR(VALUE(MID(AN233,FIND("·",AN233)+1,1)),0),($D$28+(INDEX($E$232:$E$233,MATCH(LEFT(AN233,FIND("·",AN233)-1),$C$232:$C$233,0))=MID(AN233,FIND("|",AN233)+1,10))*$D$30+MAX(0,IF($D$50=1,$D$29*(1-(ABS(INDEX($Q$232:$Q$233,MATCH(LEFT(AN233,FIND("·",AN233)-1),$C$232:$C$233,0))-(VALUE(MID(AN233,FIND("|",AN233)+1,FIND("-",AN233,FIND("|",AN233))-FIND("|",AN233)-1))-VALUE(MID(AN233,FIND("-",AN233,FIND("|",AN233))+1,10)))))*$D$50),$D$29*(1-(IF(INDEX($D$232:$D$233,MATCH(LEFT(AN233,FIND("·",AN233)-1),$C$232:$C$233,0))=0,ABS(INDEX($A$232:$A$233,MATCH(LEFT(AN233,FIND("·",AN233)-1),$C$232:$C$233,0))-VALUE(MID(AN233,FIND("|",AN233)+1,FIND("-",AN233,FIND("|",AN233))-FIND("|",AN233)-1))),ABS(INDEX($Q$232:$Q$233,MATCH(LEFT(AN233,FIND("·",AN233)-1),$C$232:$C$233,0))-(VALUE(MID(AN233,FIND("|",AN233)+1,FIND("-",AN233,FIND("|",AN233))-FIND("|",AN233)-1))-VALUE(MID(AN233,FIND("-",AN233,FIND("|",AN233))+1,10)))))*$D$50)))))*INDEX($I$232:$I$233,MATCH(LEFT(AN233,FIND("·",AN233)-1),$C$232:$C$233,0)),0),0),0)</f>
        <v>0</v>
      </c>
      <c r="AP233" s="110"/>
      <c r="AQ233" s="80" t="s">
        <v>2244</v>
      </c>
      <c r="AR233" s="81">
        <f t="shared" ref="AR233" ca="1" si="2960">IFERROR(IF(COUNTIF($K$232:$K$233,LEFT(AQ233,FIND("·",AQ233)-1))&gt;0,IF(INDEX($L$232:$L$233,MATCH(LEFT(AQ233,FIND("·",AQ233)-1),$K$232:$K$233,0))=IFERROR(VALUE(MID(AQ233,FIND("·",AQ233)+1,1)),0),($D$28+(INDEX($M$232:$M$233,MATCH(LEFT(AQ233,FIND("·",AQ233)-1),$K$232:$K$233,0))=MID(AQ233,FIND("|",AQ233)+1,10))*$D$30+MAX(0,IF($D$50=1,$D$29*(1-(ABS(INDEX($P$232:$P$233,MATCH(LEFT(AQ233,FIND("·",AQ233)-1),$K$232:$K$233,0))-(VALUE(MID(AQ233,FIND("|",AQ233)+1,FIND("-",AQ233,FIND("|",AQ233))-FIND("|",AQ233)-1))-VALUE(MID(AQ233,FIND("-",AQ233,FIND("|",AQ233))+1,10)))))*$D$50),$D$29*(1-(IF(INDEX($L$232:$L$233,MATCH(LEFT(AQ233,FIND("·",AQ233)-1),$K$232:$K$233,0))=0,ABS(INDEX($N$232:$N$233,MATCH(LEFT(AQ233,FIND("·",AQ233)-1),$K$232:$K$233,0))-VALUE(MID(AQ233,FIND("|",AQ233)+1,FIND("-",AQ233,FIND("|",AQ233))-FIND("|",AQ233)-1))),ABS(INDEX($P$232:$P$233,MATCH(LEFT(AQ233,FIND("·",AQ233)-1),$K$232:$K$233,0))-(VALUE(MID(AQ233,FIND("|",AQ233)+1,FIND("-",AQ233,FIND("|",AQ233))-FIND("|",AQ233)-1))-VALUE(MID(AQ233,FIND("-",AQ233,FIND("|",AQ233))+1,10)))))*$D$50)))))*INDEX($I$232:$I$233,MATCH(LEFT(AQ233,FIND("·",AQ233)-1),$K$232:$K$233,0)),0),0),0)+IFERROR(IF(COUNTIF($C$232:$C$233,LEFT(AQ233,FIND("·",AQ233)-1))&gt;0,IF(INDEX($D$232:$D$233,MATCH(LEFT(AQ233,FIND("·",AQ233)-1),$C$232:$C$233,0))=IFERROR(VALUE(MID(AQ233,FIND("·",AQ233)+1,1)),0),($D$28+(INDEX($E$232:$E$233,MATCH(LEFT(AQ233,FIND("·",AQ233)-1),$C$232:$C$233,0))=MID(AQ233,FIND("|",AQ233)+1,10))*$D$30+MAX(0,IF($D$50=1,$D$29*(1-(ABS(INDEX($Q$232:$Q$233,MATCH(LEFT(AQ233,FIND("·",AQ233)-1),$C$232:$C$233,0))-(VALUE(MID(AQ233,FIND("|",AQ233)+1,FIND("-",AQ233,FIND("|",AQ233))-FIND("|",AQ233)-1))-VALUE(MID(AQ233,FIND("-",AQ233,FIND("|",AQ233))+1,10)))))*$D$50),$D$29*(1-(IF(INDEX($D$232:$D$233,MATCH(LEFT(AQ233,FIND("·",AQ233)-1),$C$232:$C$233,0))=0,ABS(INDEX($A$232:$A$233,MATCH(LEFT(AQ233,FIND("·",AQ233)-1),$C$232:$C$233,0))-VALUE(MID(AQ233,FIND("|",AQ233)+1,FIND("-",AQ233,FIND("|",AQ233))-FIND("|",AQ233)-1))),ABS(INDEX($Q$232:$Q$233,MATCH(LEFT(AQ233,FIND("·",AQ233)-1),$C$232:$C$233,0))-(VALUE(MID(AQ233,FIND("|",AQ233)+1,FIND("-",AQ233,FIND("|",AQ233))-FIND("|",AQ233)-1))-VALUE(MID(AQ233,FIND("-",AQ233,FIND("|",AQ233))+1,10)))))*$D$50)))))*INDEX($I$232:$I$233,MATCH(LEFT(AQ233,FIND("·",AQ233)-1),$C$232:$C$233,0)),0),0),0)</f>
        <v>0</v>
      </c>
      <c r="AS233" s="110"/>
      <c r="AT233" s="80" t="s">
        <v>2274</v>
      </c>
      <c r="AU233" s="81">
        <f t="shared" ref="AU233" ca="1" si="2961">IFERROR(IF(COUNTIF($K$232:$K$233,LEFT(AT233,FIND("·",AT233)-1))&gt;0,IF(INDEX($L$232:$L$233,MATCH(LEFT(AT233,FIND("·",AT233)-1),$K$232:$K$233,0))=IFERROR(VALUE(MID(AT233,FIND("·",AT233)+1,1)),0),($D$28+(INDEX($M$232:$M$233,MATCH(LEFT(AT233,FIND("·",AT233)-1),$K$232:$K$233,0))=MID(AT233,FIND("|",AT233)+1,10))*$D$30+MAX(0,IF($D$50=1,$D$29*(1-(ABS(INDEX($P$232:$P$233,MATCH(LEFT(AT233,FIND("·",AT233)-1),$K$232:$K$233,0))-(VALUE(MID(AT233,FIND("|",AT233)+1,FIND("-",AT233,FIND("|",AT233))-FIND("|",AT233)-1))-VALUE(MID(AT233,FIND("-",AT233,FIND("|",AT233))+1,10)))))*$D$50),$D$29*(1-(IF(INDEX($L$232:$L$233,MATCH(LEFT(AT233,FIND("·",AT233)-1),$K$232:$K$233,0))=0,ABS(INDEX($N$232:$N$233,MATCH(LEFT(AT233,FIND("·",AT233)-1),$K$232:$K$233,0))-VALUE(MID(AT233,FIND("|",AT233)+1,FIND("-",AT233,FIND("|",AT233))-FIND("|",AT233)-1))),ABS(INDEX($P$232:$P$233,MATCH(LEFT(AT233,FIND("·",AT233)-1),$K$232:$K$233,0))-(VALUE(MID(AT233,FIND("|",AT233)+1,FIND("-",AT233,FIND("|",AT233))-FIND("|",AT233)-1))-VALUE(MID(AT233,FIND("-",AT233,FIND("|",AT233))+1,10)))))*$D$50)))))*INDEX($I$232:$I$233,MATCH(LEFT(AT233,FIND("·",AT233)-1),$K$232:$K$233,0)),0),0),0)+IFERROR(IF(COUNTIF($C$232:$C$233,LEFT(AT233,FIND("·",AT233)-1))&gt;0,IF(INDEX($D$232:$D$233,MATCH(LEFT(AT233,FIND("·",AT233)-1),$C$232:$C$233,0))=IFERROR(VALUE(MID(AT233,FIND("·",AT233)+1,1)),0),($D$28+(INDEX($E$232:$E$233,MATCH(LEFT(AT233,FIND("·",AT233)-1),$C$232:$C$233,0))=MID(AT233,FIND("|",AT233)+1,10))*$D$30+MAX(0,IF($D$50=1,$D$29*(1-(ABS(INDEX($Q$232:$Q$233,MATCH(LEFT(AT233,FIND("·",AT233)-1),$C$232:$C$233,0))-(VALUE(MID(AT233,FIND("|",AT233)+1,FIND("-",AT233,FIND("|",AT233))-FIND("|",AT233)-1))-VALUE(MID(AT233,FIND("-",AT233,FIND("|",AT233))+1,10)))))*$D$50),$D$29*(1-(IF(INDEX($D$232:$D$233,MATCH(LEFT(AT233,FIND("·",AT233)-1),$C$232:$C$233,0))=0,ABS(INDEX($A$232:$A$233,MATCH(LEFT(AT233,FIND("·",AT233)-1),$C$232:$C$233,0))-VALUE(MID(AT233,FIND("|",AT233)+1,FIND("-",AT233,FIND("|",AT233))-FIND("|",AT233)-1))),ABS(INDEX($Q$232:$Q$233,MATCH(LEFT(AT233,FIND("·",AT233)-1),$C$232:$C$233,0))-(VALUE(MID(AT233,FIND("|",AT233)+1,FIND("-",AT233,FIND("|",AT233))-FIND("|",AT233)-1))-VALUE(MID(AT233,FIND("-",AT233,FIND("|",AT233))+1,10)))))*$D$50)))))*INDEX($I$232:$I$233,MATCH(LEFT(AT233,FIND("·",AT233)-1),$C$232:$C$233,0)),0),0),0)</f>
        <v>0</v>
      </c>
      <c r="AV233" s="110"/>
      <c r="AW233" s="80" t="s">
        <v>2302</v>
      </c>
      <c r="AX233" s="81">
        <f t="shared" ref="AX233" ca="1" si="2962">IFERROR(IF(COUNTIF($K$232:$K$233,LEFT(AW233,FIND("·",AW233)-1))&gt;0,IF(INDEX($L$232:$L$233,MATCH(LEFT(AW233,FIND("·",AW233)-1),$K$232:$K$233,0))=IFERROR(VALUE(MID(AW233,FIND("·",AW233)+1,1)),0),($D$28+(INDEX($M$232:$M$233,MATCH(LEFT(AW233,FIND("·",AW233)-1),$K$232:$K$233,0))=MID(AW233,FIND("|",AW233)+1,10))*$D$30+MAX(0,IF($D$50=1,$D$29*(1-(ABS(INDEX($P$232:$P$233,MATCH(LEFT(AW233,FIND("·",AW233)-1),$K$232:$K$233,0))-(VALUE(MID(AW233,FIND("|",AW233)+1,FIND("-",AW233,FIND("|",AW233))-FIND("|",AW233)-1))-VALUE(MID(AW233,FIND("-",AW233,FIND("|",AW233))+1,10)))))*$D$50),$D$29*(1-(IF(INDEX($L$232:$L$233,MATCH(LEFT(AW233,FIND("·",AW233)-1),$K$232:$K$233,0))=0,ABS(INDEX($N$232:$N$233,MATCH(LEFT(AW233,FIND("·",AW233)-1),$K$232:$K$233,0))-VALUE(MID(AW233,FIND("|",AW233)+1,FIND("-",AW233,FIND("|",AW233))-FIND("|",AW233)-1))),ABS(INDEX($P$232:$P$233,MATCH(LEFT(AW233,FIND("·",AW233)-1),$K$232:$K$233,0))-(VALUE(MID(AW233,FIND("|",AW233)+1,FIND("-",AW233,FIND("|",AW233))-FIND("|",AW233)-1))-VALUE(MID(AW233,FIND("-",AW233,FIND("|",AW233))+1,10)))))*$D$50)))))*INDEX($I$232:$I$233,MATCH(LEFT(AW233,FIND("·",AW233)-1),$K$232:$K$233,0)),0),0),0)+IFERROR(IF(COUNTIF($C$232:$C$233,LEFT(AW233,FIND("·",AW233)-1))&gt;0,IF(INDEX($D$232:$D$233,MATCH(LEFT(AW233,FIND("·",AW233)-1),$C$232:$C$233,0))=IFERROR(VALUE(MID(AW233,FIND("·",AW233)+1,1)),0),($D$28+(INDEX($E$232:$E$233,MATCH(LEFT(AW233,FIND("·",AW233)-1),$C$232:$C$233,0))=MID(AW233,FIND("|",AW233)+1,10))*$D$30+MAX(0,IF($D$50=1,$D$29*(1-(ABS(INDEX($Q$232:$Q$233,MATCH(LEFT(AW233,FIND("·",AW233)-1),$C$232:$C$233,0))-(VALUE(MID(AW233,FIND("|",AW233)+1,FIND("-",AW233,FIND("|",AW233))-FIND("|",AW233)-1))-VALUE(MID(AW233,FIND("-",AW233,FIND("|",AW233))+1,10)))))*$D$50),$D$29*(1-(IF(INDEX($D$232:$D$233,MATCH(LEFT(AW233,FIND("·",AW233)-1),$C$232:$C$233,0))=0,ABS(INDEX($A$232:$A$233,MATCH(LEFT(AW233,FIND("·",AW233)-1),$C$232:$C$233,0))-VALUE(MID(AW233,FIND("|",AW233)+1,FIND("-",AW233,FIND("|",AW233))-FIND("|",AW233)-1))),ABS(INDEX($Q$232:$Q$233,MATCH(LEFT(AW233,FIND("·",AW233)-1),$C$232:$C$233,0))-(VALUE(MID(AW233,FIND("|",AW233)+1,FIND("-",AW233,FIND("|",AW233))-FIND("|",AW233)-1))-VALUE(MID(AW233,FIND("-",AW233,FIND("|",AW233))+1,10)))))*$D$50)))))*INDEX($I$232:$I$233,MATCH(LEFT(AW233,FIND("·",AW233)-1),$C$232:$C$233,0)),0),0),0)</f>
        <v>0</v>
      </c>
      <c r="AY233" s="110"/>
      <c r="AZ233" s="80" t="s">
        <v>2320</v>
      </c>
      <c r="BA233" s="81">
        <f t="shared" ref="BA233" ca="1" si="2963">IFERROR(IF(COUNTIF($K$232:$K$233,LEFT(AZ233,FIND("·",AZ233)-1))&gt;0,IF(INDEX($L$232:$L$233,MATCH(LEFT(AZ233,FIND("·",AZ233)-1),$K$232:$K$233,0))=IFERROR(VALUE(MID(AZ233,FIND("·",AZ233)+1,1)),0),($D$28+(INDEX($M$232:$M$233,MATCH(LEFT(AZ233,FIND("·",AZ233)-1),$K$232:$K$233,0))=MID(AZ233,FIND("|",AZ233)+1,10))*$D$30+MAX(0,IF($D$50=1,$D$29*(1-(ABS(INDEX($P$232:$P$233,MATCH(LEFT(AZ233,FIND("·",AZ233)-1),$K$232:$K$233,0))-(VALUE(MID(AZ233,FIND("|",AZ233)+1,FIND("-",AZ233,FIND("|",AZ233))-FIND("|",AZ233)-1))-VALUE(MID(AZ233,FIND("-",AZ233,FIND("|",AZ233))+1,10)))))*$D$50),$D$29*(1-(IF(INDEX($L$232:$L$233,MATCH(LEFT(AZ233,FIND("·",AZ233)-1),$K$232:$K$233,0))=0,ABS(INDEX($N$232:$N$233,MATCH(LEFT(AZ233,FIND("·",AZ233)-1),$K$232:$K$233,0))-VALUE(MID(AZ233,FIND("|",AZ233)+1,FIND("-",AZ233,FIND("|",AZ233))-FIND("|",AZ233)-1))),ABS(INDEX($P$232:$P$233,MATCH(LEFT(AZ233,FIND("·",AZ233)-1),$K$232:$K$233,0))-(VALUE(MID(AZ233,FIND("|",AZ233)+1,FIND("-",AZ233,FIND("|",AZ233))-FIND("|",AZ233)-1))-VALUE(MID(AZ233,FIND("-",AZ233,FIND("|",AZ233))+1,10)))))*$D$50)))))*INDEX($I$232:$I$233,MATCH(LEFT(AZ233,FIND("·",AZ233)-1),$K$232:$K$233,0)),0),0),0)+IFERROR(IF(COUNTIF($C$232:$C$233,LEFT(AZ233,FIND("·",AZ233)-1))&gt;0,IF(INDEX($D$232:$D$233,MATCH(LEFT(AZ233,FIND("·",AZ233)-1),$C$232:$C$233,0))=IFERROR(VALUE(MID(AZ233,FIND("·",AZ233)+1,1)),0),($D$28+(INDEX($E$232:$E$233,MATCH(LEFT(AZ233,FIND("·",AZ233)-1),$C$232:$C$233,0))=MID(AZ233,FIND("|",AZ233)+1,10))*$D$30+MAX(0,IF($D$50=1,$D$29*(1-(ABS(INDEX($Q$232:$Q$233,MATCH(LEFT(AZ233,FIND("·",AZ233)-1),$C$232:$C$233,0))-(VALUE(MID(AZ233,FIND("|",AZ233)+1,FIND("-",AZ233,FIND("|",AZ233))-FIND("|",AZ233)-1))-VALUE(MID(AZ233,FIND("-",AZ233,FIND("|",AZ233))+1,10)))))*$D$50),$D$29*(1-(IF(INDEX($D$232:$D$233,MATCH(LEFT(AZ233,FIND("·",AZ233)-1),$C$232:$C$233,0))=0,ABS(INDEX($A$232:$A$233,MATCH(LEFT(AZ233,FIND("·",AZ233)-1),$C$232:$C$233,0))-VALUE(MID(AZ233,FIND("|",AZ233)+1,FIND("-",AZ233,FIND("|",AZ233))-FIND("|",AZ233)-1))),ABS(INDEX($Q$232:$Q$233,MATCH(LEFT(AZ233,FIND("·",AZ233)-1),$C$232:$C$233,0))-(VALUE(MID(AZ233,FIND("|",AZ233)+1,FIND("-",AZ233,FIND("|",AZ233))-FIND("|",AZ233)-1))-VALUE(MID(AZ233,FIND("-",AZ233,FIND("|",AZ233))+1,10)))))*$D$50)))))*INDEX($I$232:$I$233,MATCH(LEFT(AZ233,FIND("·",AZ233)-1),$C$232:$C$233,0)),0),0),0)</f>
        <v>0</v>
      </c>
      <c r="BB233" s="110"/>
      <c r="BC233" s="80" t="s">
        <v>2343</v>
      </c>
      <c r="BD233" s="81">
        <f t="shared" ref="BD233" ca="1" si="2964">IFERROR(IF(COUNTIF($K$232:$K$233,LEFT(BC233,FIND("·",BC233)-1))&gt;0,IF(INDEX($L$232:$L$233,MATCH(LEFT(BC233,FIND("·",BC233)-1),$K$232:$K$233,0))=IFERROR(VALUE(MID(BC233,FIND("·",BC233)+1,1)),0),($D$28+(INDEX($M$232:$M$233,MATCH(LEFT(BC233,FIND("·",BC233)-1),$K$232:$K$233,0))=MID(BC233,FIND("|",BC233)+1,10))*$D$30+MAX(0,IF($D$50=1,$D$29*(1-(ABS(INDEX($P$232:$P$233,MATCH(LEFT(BC233,FIND("·",BC233)-1),$K$232:$K$233,0))-(VALUE(MID(BC233,FIND("|",BC233)+1,FIND("-",BC233,FIND("|",BC233))-FIND("|",BC233)-1))-VALUE(MID(BC233,FIND("-",BC233,FIND("|",BC233))+1,10)))))*$D$50),$D$29*(1-(IF(INDEX($L$232:$L$233,MATCH(LEFT(BC233,FIND("·",BC233)-1),$K$232:$K$233,0))=0,ABS(INDEX($N$232:$N$233,MATCH(LEFT(BC233,FIND("·",BC233)-1),$K$232:$K$233,0))-VALUE(MID(BC233,FIND("|",BC233)+1,FIND("-",BC233,FIND("|",BC233))-FIND("|",BC233)-1))),ABS(INDEX($P$232:$P$233,MATCH(LEFT(BC233,FIND("·",BC233)-1),$K$232:$K$233,0))-(VALUE(MID(BC233,FIND("|",BC233)+1,FIND("-",BC233,FIND("|",BC233))-FIND("|",BC233)-1))-VALUE(MID(BC233,FIND("-",BC233,FIND("|",BC233))+1,10)))))*$D$50)))))*INDEX($I$232:$I$233,MATCH(LEFT(BC233,FIND("·",BC233)-1),$K$232:$K$233,0)),0),0),0)+IFERROR(IF(COUNTIF($C$232:$C$233,LEFT(BC233,FIND("·",BC233)-1))&gt;0,IF(INDEX($D$232:$D$233,MATCH(LEFT(BC233,FIND("·",BC233)-1),$C$232:$C$233,0))=IFERROR(VALUE(MID(BC233,FIND("·",BC233)+1,1)),0),($D$28+(INDEX($E$232:$E$233,MATCH(LEFT(BC233,FIND("·",BC233)-1),$C$232:$C$233,0))=MID(BC233,FIND("|",BC233)+1,10))*$D$30+MAX(0,IF($D$50=1,$D$29*(1-(ABS(INDEX($Q$232:$Q$233,MATCH(LEFT(BC233,FIND("·",BC233)-1),$C$232:$C$233,0))-(VALUE(MID(BC233,FIND("|",BC233)+1,FIND("-",BC233,FIND("|",BC233))-FIND("|",BC233)-1))-VALUE(MID(BC233,FIND("-",BC233,FIND("|",BC233))+1,10)))))*$D$50),$D$29*(1-(IF(INDEX($D$232:$D$233,MATCH(LEFT(BC233,FIND("·",BC233)-1),$C$232:$C$233,0))=0,ABS(INDEX($A$232:$A$233,MATCH(LEFT(BC233,FIND("·",BC233)-1),$C$232:$C$233,0))-VALUE(MID(BC233,FIND("|",BC233)+1,FIND("-",BC233,FIND("|",BC233))-FIND("|",BC233)-1))),ABS(INDEX($Q$232:$Q$233,MATCH(LEFT(BC233,FIND("·",BC233)-1),$C$232:$C$233,0))-(VALUE(MID(BC233,FIND("|",BC233)+1,FIND("-",BC233,FIND("|",BC233))-FIND("|",BC233)-1))-VALUE(MID(BC233,FIND("-",BC233,FIND("|",BC233))+1,10)))))*$D$50)))))*INDEX($I$232:$I$233,MATCH(LEFT(BC233,FIND("·",BC233)-1),$C$232:$C$233,0)),0),0),0)</f>
        <v>0</v>
      </c>
      <c r="BE233" s="110"/>
      <c r="BF233" s="80" t="s">
        <v>2364</v>
      </c>
      <c r="BG233" s="81">
        <f t="shared" ref="BG233" ca="1" si="2965">IFERROR(IF(COUNTIF($K$232:$K$233,LEFT(BF233,FIND("·",BF233)-1))&gt;0,IF(INDEX($L$232:$L$233,MATCH(LEFT(BF233,FIND("·",BF233)-1),$K$232:$K$233,0))=IFERROR(VALUE(MID(BF233,FIND("·",BF233)+1,1)),0),($D$28+(INDEX($M$232:$M$233,MATCH(LEFT(BF233,FIND("·",BF233)-1),$K$232:$K$233,0))=MID(BF233,FIND("|",BF233)+1,10))*$D$30+MAX(0,IF($D$50=1,$D$29*(1-(ABS(INDEX($P$232:$P$233,MATCH(LEFT(BF233,FIND("·",BF233)-1),$K$232:$K$233,0))-(VALUE(MID(BF233,FIND("|",BF233)+1,FIND("-",BF233,FIND("|",BF233))-FIND("|",BF233)-1))-VALUE(MID(BF233,FIND("-",BF233,FIND("|",BF233))+1,10)))))*$D$50),$D$29*(1-(IF(INDEX($L$232:$L$233,MATCH(LEFT(BF233,FIND("·",BF233)-1),$K$232:$K$233,0))=0,ABS(INDEX($N$232:$N$233,MATCH(LEFT(BF233,FIND("·",BF233)-1),$K$232:$K$233,0))-VALUE(MID(BF233,FIND("|",BF233)+1,FIND("-",BF233,FIND("|",BF233))-FIND("|",BF233)-1))),ABS(INDEX($P$232:$P$233,MATCH(LEFT(BF233,FIND("·",BF233)-1),$K$232:$K$233,0))-(VALUE(MID(BF233,FIND("|",BF233)+1,FIND("-",BF233,FIND("|",BF233))-FIND("|",BF233)-1))-VALUE(MID(BF233,FIND("-",BF233,FIND("|",BF233))+1,10)))))*$D$50)))))*INDEX($I$232:$I$233,MATCH(LEFT(BF233,FIND("·",BF233)-1),$K$232:$K$233,0)),0),0),0)+IFERROR(IF(COUNTIF($C$232:$C$233,LEFT(BF233,FIND("·",BF233)-1))&gt;0,IF(INDEX($D$232:$D$233,MATCH(LEFT(BF233,FIND("·",BF233)-1),$C$232:$C$233,0))=IFERROR(VALUE(MID(BF233,FIND("·",BF233)+1,1)),0),($D$28+(INDEX($E$232:$E$233,MATCH(LEFT(BF233,FIND("·",BF233)-1),$C$232:$C$233,0))=MID(BF233,FIND("|",BF233)+1,10))*$D$30+MAX(0,IF($D$50=1,$D$29*(1-(ABS(INDEX($Q$232:$Q$233,MATCH(LEFT(BF233,FIND("·",BF233)-1),$C$232:$C$233,0))-(VALUE(MID(BF233,FIND("|",BF233)+1,FIND("-",BF233,FIND("|",BF233))-FIND("|",BF233)-1))-VALUE(MID(BF233,FIND("-",BF233,FIND("|",BF233))+1,10)))))*$D$50),$D$29*(1-(IF(INDEX($D$232:$D$233,MATCH(LEFT(BF233,FIND("·",BF233)-1),$C$232:$C$233,0))=0,ABS(INDEX($A$232:$A$233,MATCH(LEFT(BF233,FIND("·",BF233)-1),$C$232:$C$233,0))-VALUE(MID(BF233,FIND("|",BF233)+1,FIND("-",BF233,FIND("|",BF233))-FIND("|",BF233)-1))),ABS(INDEX($Q$232:$Q$233,MATCH(LEFT(BF233,FIND("·",BF233)-1),$C$232:$C$233,0))-(VALUE(MID(BF233,FIND("|",BF233)+1,FIND("-",BF233,FIND("|",BF233))-FIND("|",BF233)-1))-VALUE(MID(BF233,FIND("-",BF233,FIND("|",BF233))+1,10)))))*$D$50)))))*INDEX($I$232:$I$233,MATCH(LEFT(BF233,FIND("·",BF233)-1),$C$232:$C$233,0)),0),0),0)</f>
        <v>0</v>
      </c>
      <c r="BH233" s="110"/>
      <c r="BI233" s="80" t="s">
        <v>2396</v>
      </c>
      <c r="BJ233" s="81">
        <f t="shared" ref="BJ233" ca="1" si="2966">IFERROR(IF(COUNTIF($K$232:$K$233,LEFT(BI233,FIND("·",BI233)-1))&gt;0,IF(INDEX($L$232:$L$233,MATCH(LEFT(BI233,FIND("·",BI233)-1),$K$232:$K$233,0))=IFERROR(VALUE(MID(BI233,FIND("·",BI233)+1,1)),0),($D$28+(INDEX($M$232:$M$233,MATCH(LEFT(BI233,FIND("·",BI233)-1),$K$232:$K$233,0))=MID(BI233,FIND("|",BI233)+1,10))*$D$30+MAX(0,IF($D$50=1,$D$29*(1-(ABS(INDEX($P$232:$P$233,MATCH(LEFT(BI233,FIND("·",BI233)-1),$K$232:$K$233,0))-(VALUE(MID(BI233,FIND("|",BI233)+1,FIND("-",BI233,FIND("|",BI233))-FIND("|",BI233)-1))-VALUE(MID(BI233,FIND("-",BI233,FIND("|",BI233))+1,10)))))*$D$50),$D$29*(1-(IF(INDEX($L$232:$L$233,MATCH(LEFT(BI233,FIND("·",BI233)-1),$K$232:$K$233,0))=0,ABS(INDEX($N$232:$N$233,MATCH(LEFT(BI233,FIND("·",BI233)-1),$K$232:$K$233,0))-VALUE(MID(BI233,FIND("|",BI233)+1,FIND("-",BI233,FIND("|",BI233))-FIND("|",BI233)-1))),ABS(INDEX($P$232:$P$233,MATCH(LEFT(BI233,FIND("·",BI233)-1),$K$232:$K$233,0))-(VALUE(MID(BI233,FIND("|",BI233)+1,FIND("-",BI233,FIND("|",BI233))-FIND("|",BI233)-1))-VALUE(MID(BI233,FIND("-",BI233,FIND("|",BI233))+1,10)))))*$D$50)))))*INDEX($I$232:$I$233,MATCH(LEFT(BI233,FIND("·",BI233)-1),$K$232:$K$233,0)),0),0),0)+IFERROR(IF(COUNTIF($C$232:$C$233,LEFT(BI233,FIND("·",BI233)-1))&gt;0,IF(INDEX($D$232:$D$233,MATCH(LEFT(BI233,FIND("·",BI233)-1),$C$232:$C$233,0))=IFERROR(VALUE(MID(BI233,FIND("·",BI233)+1,1)),0),($D$28+(INDEX($E$232:$E$233,MATCH(LEFT(BI233,FIND("·",BI233)-1),$C$232:$C$233,0))=MID(BI233,FIND("|",BI233)+1,10))*$D$30+MAX(0,IF($D$50=1,$D$29*(1-(ABS(INDEX($Q$232:$Q$233,MATCH(LEFT(BI233,FIND("·",BI233)-1),$C$232:$C$233,0))-(VALUE(MID(BI233,FIND("|",BI233)+1,FIND("-",BI233,FIND("|",BI233))-FIND("|",BI233)-1))-VALUE(MID(BI233,FIND("-",BI233,FIND("|",BI233))+1,10)))))*$D$50),$D$29*(1-(IF(INDEX($D$232:$D$233,MATCH(LEFT(BI233,FIND("·",BI233)-1),$C$232:$C$233,0))=0,ABS(INDEX($A$232:$A$233,MATCH(LEFT(BI233,FIND("·",BI233)-1),$C$232:$C$233,0))-VALUE(MID(BI233,FIND("|",BI233)+1,FIND("-",BI233,FIND("|",BI233))-FIND("|",BI233)-1))),ABS(INDEX($Q$232:$Q$233,MATCH(LEFT(BI233,FIND("·",BI233)-1),$C$232:$C$233,0))-(VALUE(MID(BI233,FIND("|",BI233)+1,FIND("-",BI233,FIND("|",BI233))-FIND("|",BI233)-1))-VALUE(MID(BI233,FIND("-",BI233,FIND("|",BI233))+1,10)))))*$D$50)))))*INDEX($I$232:$I$233,MATCH(LEFT(BI233,FIND("·",BI233)-1),$C$232:$C$233,0)),0),0),0)</f>
        <v>0</v>
      </c>
      <c r="BK233" s="110"/>
      <c r="BL233" s="80" t="s">
        <v>2415</v>
      </c>
      <c r="BM233" s="81">
        <f t="shared" ref="BM233" ca="1" si="2967">IFERROR(IF(COUNTIF($K$232:$K$233,LEFT(BL233,FIND("·",BL233)-1))&gt;0,IF(INDEX($L$232:$L$233,MATCH(LEFT(BL233,FIND("·",BL233)-1),$K$232:$K$233,0))=IFERROR(VALUE(MID(BL233,FIND("·",BL233)+1,1)),0),($D$28+(INDEX($M$232:$M$233,MATCH(LEFT(BL233,FIND("·",BL233)-1),$K$232:$K$233,0))=MID(BL233,FIND("|",BL233)+1,10))*$D$30+MAX(0,IF($D$50=1,$D$29*(1-(ABS(INDEX($P$232:$P$233,MATCH(LEFT(BL233,FIND("·",BL233)-1),$K$232:$K$233,0))-(VALUE(MID(BL233,FIND("|",BL233)+1,FIND("-",BL233,FIND("|",BL233))-FIND("|",BL233)-1))-VALUE(MID(BL233,FIND("-",BL233,FIND("|",BL233))+1,10)))))*$D$50),$D$29*(1-(IF(INDEX($L$232:$L$233,MATCH(LEFT(BL233,FIND("·",BL233)-1),$K$232:$K$233,0))=0,ABS(INDEX($N$232:$N$233,MATCH(LEFT(BL233,FIND("·",BL233)-1),$K$232:$K$233,0))-VALUE(MID(BL233,FIND("|",BL233)+1,FIND("-",BL233,FIND("|",BL233))-FIND("|",BL233)-1))),ABS(INDEX($P$232:$P$233,MATCH(LEFT(BL233,FIND("·",BL233)-1),$K$232:$K$233,0))-(VALUE(MID(BL233,FIND("|",BL233)+1,FIND("-",BL233,FIND("|",BL233))-FIND("|",BL233)-1))-VALUE(MID(BL233,FIND("-",BL233,FIND("|",BL233))+1,10)))))*$D$50)))))*INDEX($I$232:$I$233,MATCH(LEFT(BL233,FIND("·",BL233)-1),$K$232:$K$233,0)),0),0),0)+IFERROR(IF(COUNTIF($C$232:$C$233,LEFT(BL233,FIND("·",BL233)-1))&gt;0,IF(INDEX($D$232:$D$233,MATCH(LEFT(BL233,FIND("·",BL233)-1),$C$232:$C$233,0))=IFERROR(VALUE(MID(BL233,FIND("·",BL233)+1,1)),0),($D$28+(INDEX($E$232:$E$233,MATCH(LEFT(BL233,FIND("·",BL233)-1),$C$232:$C$233,0))=MID(BL233,FIND("|",BL233)+1,10))*$D$30+MAX(0,IF($D$50=1,$D$29*(1-(ABS(INDEX($Q$232:$Q$233,MATCH(LEFT(BL233,FIND("·",BL233)-1),$C$232:$C$233,0))-(VALUE(MID(BL233,FIND("|",BL233)+1,FIND("-",BL233,FIND("|",BL233))-FIND("|",BL233)-1))-VALUE(MID(BL233,FIND("-",BL233,FIND("|",BL233))+1,10)))))*$D$50),$D$29*(1-(IF(INDEX($D$232:$D$233,MATCH(LEFT(BL233,FIND("·",BL233)-1),$C$232:$C$233,0))=0,ABS(INDEX($A$232:$A$233,MATCH(LEFT(BL233,FIND("·",BL233)-1),$C$232:$C$233,0))-VALUE(MID(BL233,FIND("|",BL233)+1,FIND("-",BL233,FIND("|",BL233))-FIND("|",BL233)-1))),ABS(INDEX($Q$232:$Q$233,MATCH(LEFT(BL233,FIND("·",BL233)-1),$C$232:$C$233,0))-(VALUE(MID(BL233,FIND("|",BL233)+1,FIND("-",BL233,FIND("|",BL233))-FIND("|",BL233)-1))-VALUE(MID(BL233,FIND("-",BL233,FIND("|",BL233))+1,10)))))*$D$50)))))*INDEX($I$232:$I$233,MATCH(LEFT(BL233,FIND("·",BL233)-1),$C$232:$C$233,0)),0),0),0)</f>
        <v>20</v>
      </c>
      <c r="BN233" s="110"/>
      <c r="BO233" s="80" t="s">
        <v>2439</v>
      </c>
      <c r="BP233" s="81">
        <f t="shared" ref="BP233" ca="1" si="2968">IFERROR(IF(COUNTIF($K$232:$K$233,LEFT(BO233,FIND("·",BO233)-1))&gt;0,IF(INDEX($L$232:$L$233,MATCH(LEFT(BO233,FIND("·",BO233)-1),$K$232:$K$233,0))=IFERROR(VALUE(MID(BO233,FIND("·",BO233)+1,1)),0),($D$28+(INDEX($M$232:$M$233,MATCH(LEFT(BO233,FIND("·",BO233)-1),$K$232:$K$233,0))=MID(BO233,FIND("|",BO233)+1,10))*$D$30+MAX(0,IF($D$50=1,$D$29*(1-(ABS(INDEX($P$232:$P$233,MATCH(LEFT(BO233,FIND("·",BO233)-1),$K$232:$K$233,0))-(VALUE(MID(BO233,FIND("|",BO233)+1,FIND("-",BO233,FIND("|",BO233))-FIND("|",BO233)-1))-VALUE(MID(BO233,FIND("-",BO233,FIND("|",BO233))+1,10)))))*$D$50),$D$29*(1-(IF(INDEX($L$232:$L$233,MATCH(LEFT(BO233,FIND("·",BO233)-1),$K$232:$K$233,0))=0,ABS(INDEX($N$232:$N$233,MATCH(LEFT(BO233,FIND("·",BO233)-1),$K$232:$K$233,0))-VALUE(MID(BO233,FIND("|",BO233)+1,FIND("-",BO233,FIND("|",BO233))-FIND("|",BO233)-1))),ABS(INDEX($P$232:$P$233,MATCH(LEFT(BO233,FIND("·",BO233)-1),$K$232:$K$233,0))-(VALUE(MID(BO233,FIND("|",BO233)+1,FIND("-",BO233,FIND("|",BO233))-FIND("|",BO233)-1))-VALUE(MID(BO233,FIND("-",BO233,FIND("|",BO233))+1,10)))))*$D$50)))))*INDEX($I$232:$I$233,MATCH(LEFT(BO233,FIND("·",BO233)-1),$K$232:$K$233,0)),0),0),0)+IFERROR(IF(COUNTIF($C$232:$C$233,LEFT(BO233,FIND("·",BO233)-1))&gt;0,IF(INDEX($D$232:$D$233,MATCH(LEFT(BO233,FIND("·",BO233)-1),$C$232:$C$233,0))=IFERROR(VALUE(MID(BO233,FIND("·",BO233)+1,1)),0),($D$28+(INDEX($E$232:$E$233,MATCH(LEFT(BO233,FIND("·",BO233)-1),$C$232:$C$233,0))=MID(BO233,FIND("|",BO233)+1,10))*$D$30+MAX(0,IF($D$50=1,$D$29*(1-(ABS(INDEX($Q$232:$Q$233,MATCH(LEFT(BO233,FIND("·",BO233)-1),$C$232:$C$233,0))-(VALUE(MID(BO233,FIND("|",BO233)+1,FIND("-",BO233,FIND("|",BO233))-FIND("|",BO233)-1))-VALUE(MID(BO233,FIND("-",BO233,FIND("|",BO233))+1,10)))))*$D$50),$D$29*(1-(IF(INDEX($D$232:$D$233,MATCH(LEFT(BO233,FIND("·",BO233)-1),$C$232:$C$233,0))=0,ABS(INDEX($A$232:$A$233,MATCH(LEFT(BO233,FIND("·",BO233)-1),$C$232:$C$233,0))-VALUE(MID(BO233,FIND("|",BO233)+1,FIND("-",BO233,FIND("|",BO233))-FIND("|",BO233)-1))),ABS(INDEX($Q$232:$Q$233,MATCH(LEFT(BO233,FIND("·",BO233)-1),$C$232:$C$233,0))-(VALUE(MID(BO233,FIND("|",BO233)+1,FIND("-",BO233,FIND("|",BO233))-FIND("|",BO233)-1))-VALUE(MID(BO233,FIND("-",BO233,FIND("|",BO233))+1,10)))))*$D$50)))))*INDEX($I$232:$I$233,MATCH(LEFT(BO233,FIND("·",BO233)-1),$C$232:$C$233,0)),0),0),0)</f>
        <v>10</v>
      </c>
      <c r="BQ233" s="110"/>
      <c r="BR233" s="80" t="s">
        <v>2464</v>
      </c>
      <c r="BS233" s="81">
        <f t="shared" ref="BS233" ca="1" si="2969">IFERROR(IF(COUNTIF($K$232:$K$233,LEFT(BR233,FIND("·",BR233)-1))&gt;0,IF(INDEX($L$232:$L$233,MATCH(LEFT(BR233,FIND("·",BR233)-1),$K$232:$K$233,0))=IFERROR(VALUE(MID(BR233,FIND("·",BR233)+1,1)),0),($D$28+(INDEX($M$232:$M$233,MATCH(LEFT(BR233,FIND("·",BR233)-1),$K$232:$K$233,0))=MID(BR233,FIND("|",BR233)+1,10))*$D$30+MAX(0,IF($D$50=1,$D$29*(1-(ABS(INDEX($P$232:$P$233,MATCH(LEFT(BR233,FIND("·",BR233)-1),$K$232:$K$233,0))-(VALUE(MID(BR233,FIND("|",BR233)+1,FIND("-",BR233,FIND("|",BR233))-FIND("|",BR233)-1))-VALUE(MID(BR233,FIND("-",BR233,FIND("|",BR233))+1,10)))))*$D$50),$D$29*(1-(IF(INDEX($L$232:$L$233,MATCH(LEFT(BR233,FIND("·",BR233)-1),$K$232:$K$233,0))=0,ABS(INDEX($N$232:$N$233,MATCH(LEFT(BR233,FIND("·",BR233)-1),$K$232:$K$233,0))-VALUE(MID(BR233,FIND("|",BR233)+1,FIND("-",BR233,FIND("|",BR233))-FIND("|",BR233)-1))),ABS(INDEX($P$232:$P$233,MATCH(LEFT(BR233,FIND("·",BR233)-1),$K$232:$K$233,0))-(VALUE(MID(BR233,FIND("|",BR233)+1,FIND("-",BR233,FIND("|",BR233))-FIND("|",BR233)-1))-VALUE(MID(BR233,FIND("-",BR233,FIND("|",BR233))+1,10)))))*$D$50)))))*INDEX($I$232:$I$233,MATCH(LEFT(BR233,FIND("·",BR233)-1),$K$232:$K$233,0)),0),0),0)+IFERROR(IF(COUNTIF($C$232:$C$233,LEFT(BR233,FIND("·",BR233)-1))&gt;0,IF(INDEX($D$232:$D$233,MATCH(LEFT(BR233,FIND("·",BR233)-1),$C$232:$C$233,0))=IFERROR(VALUE(MID(BR233,FIND("·",BR233)+1,1)),0),($D$28+(INDEX($E$232:$E$233,MATCH(LEFT(BR233,FIND("·",BR233)-1),$C$232:$C$233,0))=MID(BR233,FIND("|",BR233)+1,10))*$D$30+MAX(0,IF($D$50=1,$D$29*(1-(ABS(INDEX($Q$232:$Q$233,MATCH(LEFT(BR233,FIND("·",BR233)-1),$C$232:$C$233,0))-(VALUE(MID(BR233,FIND("|",BR233)+1,FIND("-",BR233,FIND("|",BR233))-FIND("|",BR233)-1))-VALUE(MID(BR233,FIND("-",BR233,FIND("|",BR233))+1,10)))))*$D$50),$D$29*(1-(IF(INDEX($D$232:$D$233,MATCH(LEFT(BR233,FIND("·",BR233)-1),$C$232:$C$233,0))=0,ABS(INDEX($A$232:$A$233,MATCH(LEFT(BR233,FIND("·",BR233)-1),$C$232:$C$233,0))-VALUE(MID(BR233,FIND("|",BR233)+1,FIND("-",BR233,FIND("|",BR233))-FIND("|",BR233)-1))),ABS(INDEX($Q$232:$Q$233,MATCH(LEFT(BR233,FIND("·",BR233)-1),$C$232:$C$233,0))-(VALUE(MID(BR233,FIND("|",BR233)+1,FIND("-",BR233,FIND("|",BR233))-FIND("|",BR233)-1))-VALUE(MID(BR233,FIND("-",BR233,FIND("|",BR233))+1,10)))))*$D$50)))))*INDEX($I$232:$I$233,MATCH(LEFT(BR233,FIND("·",BR233)-1),$C$232:$C$233,0)),0),0),0)</f>
        <v>0</v>
      </c>
      <c r="BT233" s="110"/>
      <c r="BU233" s="80" t="s">
        <v>2124</v>
      </c>
      <c r="BV233" s="81">
        <f t="shared" ref="BV233" ca="1" si="2970">IFERROR(IF(COUNTIF($K$232:$K$233,LEFT(BU233,FIND("·",BU233)-1))&gt;0,IF(INDEX($L$232:$L$233,MATCH(LEFT(BU233,FIND("·",BU233)-1),$K$232:$K$233,0))=IFERROR(VALUE(MID(BU233,FIND("·",BU233)+1,1)),0),($D$28+(INDEX($M$232:$M$233,MATCH(LEFT(BU233,FIND("·",BU233)-1),$K$232:$K$233,0))=MID(BU233,FIND("|",BU233)+1,10))*$D$30+MAX(0,IF($D$50=1,$D$29*(1-(ABS(INDEX($P$232:$P$233,MATCH(LEFT(BU233,FIND("·",BU233)-1),$K$232:$K$233,0))-(VALUE(MID(BU233,FIND("|",BU233)+1,FIND("-",BU233,FIND("|",BU233))-FIND("|",BU233)-1))-VALUE(MID(BU233,FIND("-",BU233,FIND("|",BU233))+1,10)))))*$D$50),$D$29*(1-(IF(INDEX($L$232:$L$233,MATCH(LEFT(BU233,FIND("·",BU233)-1),$K$232:$K$233,0))=0,ABS(INDEX($N$232:$N$233,MATCH(LEFT(BU233,FIND("·",BU233)-1),$K$232:$K$233,0))-VALUE(MID(BU233,FIND("|",BU233)+1,FIND("-",BU233,FIND("|",BU233))-FIND("|",BU233)-1))),ABS(INDEX($P$232:$P$233,MATCH(LEFT(BU233,FIND("·",BU233)-1),$K$232:$K$233,0))-(VALUE(MID(BU233,FIND("|",BU233)+1,FIND("-",BU233,FIND("|",BU233))-FIND("|",BU233)-1))-VALUE(MID(BU233,FIND("-",BU233,FIND("|",BU233))+1,10)))))*$D$50)))))*INDEX($I$232:$I$233,MATCH(LEFT(BU233,FIND("·",BU233)-1),$K$232:$K$233,0)),0),0),0)+IFERROR(IF(COUNTIF($C$232:$C$233,LEFT(BU233,FIND("·",BU233)-1))&gt;0,IF(INDEX($D$232:$D$233,MATCH(LEFT(BU233,FIND("·",BU233)-1),$C$232:$C$233,0))=IFERROR(VALUE(MID(BU233,FIND("·",BU233)+1,1)),0),($D$28+(INDEX($E$232:$E$233,MATCH(LEFT(BU233,FIND("·",BU233)-1),$C$232:$C$233,0))=MID(BU233,FIND("|",BU233)+1,10))*$D$30+MAX(0,IF($D$50=1,$D$29*(1-(ABS(INDEX($Q$232:$Q$233,MATCH(LEFT(BU233,FIND("·",BU233)-1),$C$232:$C$233,0))-(VALUE(MID(BU233,FIND("|",BU233)+1,FIND("-",BU233,FIND("|",BU233))-FIND("|",BU233)-1))-VALUE(MID(BU233,FIND("-",BU233,FIND("|",BU233))+1,10)))))*$D$50),$D$29*(1-(IF(INDEX($D$232:$D$233,MATCH(LEFT(BU233,FIND("·",BU233)-1),$C$232:$C$233,0))=0,ABS(INDEX($A$232:$A$233,MATCH(LEFT(BU233,FIND("·",BU233)-1),$C$232:$C$233,0))-VALUE(MID(BU233,FIND("|",BU233)+1,FIND("-",BU233,FIND("|",BU233))-FIND("|",BU233)-1))),ABS(INDEX($Q$232:$Q$233,MATCH(LEFT(BU233,FIND("·",BU233)-1),$C$232:$C$233,0))-(VALUE(MID(BU233,FIND("|",BU233)+1,FIND("-",BU233,FIND("|",BU233))-FIND("|",BU233)-1))-VALUE(MID(BU233,FIND("-",BU233,FIND("|",BU233))+1,10)))))*$D$50)))))*INDEX($I$232:$I$233,MATCH(LEFT(BU233,FIND("·",BU233)-1),$C$232:$C$233,0)),0),0),0)</f>
        <v>0</v>
      </c>
      <c r="BW233" s="110"/>
      <c r="BX233" s="80" t="s">
        <v>2064</v>
      </c>
      <c r="BY233" s="81">
        <f t="shared" ref="BY233" ca="1" si="2971">IFERROR(IF(COUNTIF($K$232:$K$233,LEFT(BX233,FIND("·",BX233)-1))&gt;0,IF(INDEX($L$232:$L$233,MATCH(LEFT(BX233,FIND("·",BX233)-1),$K$232:$K$233,0))=IFERROR(VALUE(MID(BX233,FIND("·",BX233)+1,1)),0),($D$28+(INDEX($M$232:$M$233,MATCH(LEFT(BX233,FIND("·",BX233)-1),$K$232:$K$233,0))=MID(BX233,FIND("|",BX233)+1,10))*$D$30+MAX(0,IF($D$50=1,$D$29*(1-(ABS(INDEX($P$232:$P$233,MATCH(LEFT(BX233,FIND("·",BX233)-1),$K$232:$K$233,0))-(VALUE(MID(BX233,FIND("|",BX233)+1,FIND("-",BX233,FIND("|",BX233))-FIND("|",BX233)-1))-VALUE(MID(BX233,FIND("-",BX233,FIND("|",BX233))+1,10)))))*$D$50),$D$29*(1-(IF(INDEX($L$232:$L$233,MATCH(LEFT(BX233,FIND("·",BX233)-1),$K$232:$K$233,0))=0,ABS(INDEX($N$232:$N$233,MATCH(LEFT(BX233,FIND("·",BX233)-1),$K$232:$K$233,0))-VALUE(MID(BX233,FIND("|",BX233)+1,FIND("-",BX233,FIND("|",BX233))-FIND("|",BX233)-1))),ABS(INDEX($P$232:$P$233,MATCH(LEFT(BX233,FIND("·",BX233)-1),$K$232:$K$233,0))-(VALUE(MID(BX233,FIND("|",BX233)+1,FIND("-",BX233,FIND("|",BX233))-FIND("|",BX233)-1))-VALUE(MID(BX233,FIND("-",BX233,FIND("|",BX233))+1,10)))))*$D$50)))))*INDEX($I$232:$I$233,MATCH(LEFT(BX233,FIND("·",BX233)-1),$K$232:$K$233,0)),0),0),0)+IFERROR(IF(COUNTIF($C$232:$C$233,LEFT(BX233,FIND("·",BX233)-1))&gt;0,IF(INDEX($D$232:$D$233,MATCH(LEFT(BX233,FIND("·",BX233)-1),$C$232:$C$233,0))=IFERROR(VALUE(MID(BX233,FIND("·",BX233)+1,1)),0),($D$28+(INDEX($E$232:$E$233,MATCH(LEFT(BX233,FIND("·",BX233)-1),$C$232:$C$233,0))=MID(BX233,FIND("|",BX233)+1,10))*$D$30+MAX(0,IF($D$50=1,$D$29*(1-(ABS(INDEX($Q$232:$Q$233,MATCH(LEFT(BX233,FIND("·",BX233)-1),$C$232:$C$233,0))-(VALUE(MID(BX233,FIND("|",BX233)+1,FIND("-",BX233,FIND("|",BX233))-FIND("|",BX233)-1))-VALUE(MID(BX233,FIND("-",BX233,FIND("|",BX233))+1,10)))))*$D$50),$D$29*(1-(IF(INDEX($D$232:$D$233,MATCH(LEFT(BX233,FIND("·",BX233)-1),$C$232:$C$233,0))=0,ABS(INDEX($A$232:$A$233,MATCH(LEFT(BX233,FIND("·",BX233)-1),$C$232:$C$233,0))-VALUE(MID(BX233,FIND("|",BX233)+1,FIND("-",BX233,FIND("|",BX233))-FIND("|",BX233)-1))),ABS(INDEX($Q$232:$Q$233,MATCH(LEFT(BX233,FIND("·",BX233)-1),$C$232:$C$233,0))-(VALUE(MID(BX233,FIND("|",BX233)+1,FIND("-",BX233,FIND("|",BX233))-FIND("|",BX233)-1))-VALUE(MID(BX233,FIND("-",BX233,FIND("|",BX233))+1,10)))))*$D$50)))))*INDEX($I$232:$I$233,MATCH(LEFT(BX233,FIND("·",BX233)-1),$C$232:$C$233,0)),0),0),0)</f>
        <v>0</v>
      </c>
      <c r="BZ233" s="110"/>
      <c r="CA233" s="80" t="s">
        <v>2508</v>
      </c>
      <c r="CB233" s="81">
        <f t="shared" ref="CB233" ca="1" si="2972">IFERROR(IF(COUNTIF($K$232:$K$233,LEFT(CA233,FIND("·",CA233)-1))&gt;0,IF(INDEX($L$232:$L$233,MATCH(LEFT(CA233,FIND("·",CA233)-1),$K$232:$K$233,0))=IFERROR(VALUE(MID(CA233,FIND("·",CA233)+1,1)),0),($D$28+(INDEX($M$232:$M$233,MATCH(LEFT(CA233,FIND("·",CA233)-1),$K$232:$K$233,0))=MID(CA233,FIND("|",CA233)+1,10))*$D$30+MAX(0,IF($D$50=1,$D$29*(1-(ABS(INDEX($P$232:$P$233,MATCH(LEFT(CA233,FIND("·",CA233)-1),$K$232:$K$233,0))-(VALUE(MID(CA233,FIND("|",CA233)+1,FIND("-",CA233,FIND("|",CA233))-FIND("|",CA233)-1))-VALUE(MID(CA233,FIND("-",CA233,FIND("|",CA233))+1,10)))))*$D$50),$D$29*(1-(IF(INDEX($L$232:$L$233,MATCH(LEFT(CA233,FIND("·",CA233)-1),$K$232:$K$233,0))=0,ABS(INDEX($N$232:$N$233,MATCH(LEFT(CA233,FIND("·",CA233)-1),$K$232:$K$233,0))-VALUE(MID(CA233,FIND("|",CA233)+1,FIND("-",CA233,FIND("|",CA233))-FIND("|",CA233)-1))),ABS(INDEX($P$232:$P$233,MATCH(LEFT(CA233,FIND("·",CA233)-1),$K$232:$K$233,0))-(VALUE(MID(CA233,FIND("|",CA233)+1,FIND("-",CA233,FIND("|",CA233))-FIND("|",CA233)-1))-VALUE(MID(CA233,FIND("-",CA233,FIND("|",CA233))+1,10)))))*$D$50)))))*INDEX($I$232:$I$233,MATCH(LEFT(CA233,FIND("·",CA233)-1),$K$232:$K$233,0)),0),0),0)+IFERROR(IF(COUNTIF($C$232:$C$233,LEFT(CA233,FIND("·",CA233)-1))&gt;0,IF(INDEX($D$232:$D$233,MATCH(LEFT(CA233,FIND("·",CA233)-1),$C$232:$C$233,0))=IFERROR(VALUE(MID(CA233,FIND("·",CA233)+1,1)),0),($D$28+(INDEX($E$232:$E$233,MATCH(LEFT(CA233,FIND("·",CA233)-1),$C$232:$C$233,0))=MID(CA233,FIND("|",CA233)+1,10))*$D$30+MAX(0,IF($D$50=1,$D$29*(1-(ABS(INDEX($Q$232:$Q$233,MATCH(LEFT(CA233,FIND("·",CA233)-1),$C$232:$C$233,0))-(VALUE(MID(CA233,FIND("|",CA233)+1,FIND("-",CA233,FIND("|",CA233))-FIND("|",CA233)-1))-VALUE(MID(CA233,FIND("-",CA233,FIND("|",CA233))+1,10)))))*$D$50),$D$29*(1-(IF(INDEX($D$232:$D$233,MATCH(LEFT(CA233,FIND("·",CA233)-1),$C$232:$C$233,0))=0,ABS(INDEX($A$232:$A$233,MATCH(LEFT(CA233,FIND("·",CA233)-1),$C$232:$C$233,0))-VALUE(MID(CA233,FIND("|",CA233)+1,FIND("-",CA233,FIND("|",CA233))-FIND("|",CA233)-1))),ABS(INDEX($Q$232:$Q$233,MATCH(LEFT(CA233,FIND("·",CA233)-1),$C$232:$C$233,0))-(VALUE(MID(CA233,FIND("|",CA233)+1,FIND("-",CA233,FIND("|",CA233))-FIND("|",CA233)-1))-VALUE(MID(CA233,FIND("-",CA233,FIND("|",CA233))+1,10)))))*$D$50)))))*INDEX($I$232:$I$233,MATCH(LEFT(CA233,FIND("·",CA233)-1),$C$232:$C$233,0)),0),0),0)</f>
        <v>0</v>
      </c>
      <c r="CC233" s="110"/>
      <c r="CD233" s="80" t="s">
        <v>2527</v>
      </c>
      <c r="CE233" s="81">
        <f t="shared" ref="CE233" ca="1" si="2973">IFERROR(IF(COUNTIF($K$232:$K$233,LEFT(CD233,FIND("·",CD233)-1))&gt;0,IF(INDEX($L$232:$L$233,MATCH(LEFT(CD233,FIND("·",CD233)-1),$K$232:$K$233,0))=IFERROR(VALUE(MID(CD233,FIND("·",CD233)+1,1)),0),($D$28+(INDEX($M$232:$M$233,MATCH(LEFT(CD233,FIND("·",CD233)-1),$K$232:$K$233,0))=MID(CD233,FIND("|",CD233)+1,10))*$D$30+MAX(0,IF($D$50=1,$D$29*(1-(ABS(INDEX($P$232:$P$233,MATCH(LEFT(CD233,FIND("·",CD233)-1),$K$232:$K$233,0))-(VALUE(MID(CD233,FIND("|",CD233)+1,FIND("-",CD233,FIND("|",CD233))-FIND("|",CD233)-1))-VALUE(MID(CD233,FIND("-",CD233,FIND("|",CD233))+1,10)))))*$D$50),$D$29*(1-(IF(INDEX($L$232:$L$233,MATCH(LEFT(CD233,FIND("·",CD233)-1),$K$232:$K$233,0))=0,ABS(INDEX($N$232:$N$233,MATCH(LEFT(CD233,FIND("·",CD233)-1),$K$232:$K$233,0))-VALUE(MID(CD233,FIND("|",CD233)+1,FIND("-",CD233,FIND("|",CD233))-FIND("|",CD233)-1))),ABS(INDEX($P$232:$P$233,MATCH(LEFT(CD233,FIND("·",CD233)-1),$K$232:$K$233,0))-(VALUE(MID(CD233,FIND("|",CD233)+1,FIND("-",CD233,FIND("|",CD233))-FIND("|",CD233)-1))-VALUE(MID(CD233,FIND("-",CD233,FIND("|",CD233))+1,10)))))*$D$50)))))*INDEX($I$232:$I$233,MATCH(LEFT(CD233,FIND("·",CD233)-1),$K$232:$K$233,0)),0),0),0)+IFERROR(IF(COUNTIF($C$232:$C$233,LEFT(CD233,FIND("·",CD233)-1))&gt;0,IF(INDEX($D$232:$D$233,MATCH(LEFT(CD233,FIND("·",CD233)-1),$C$232:$C$233,0))=IFERROR(VALUE(MID(CD233,FIND("·",CD233)+1,1)),0),($D$28+(INDEX($E$232:$E$233,MATCH(LEFT(CD233,FIND("·",CD233)-1),$C$232:$C$233,0))=MID(CD233,FIND("|",CD233)+1,10))*$D$30+MAX(0,IF($D$50=1,$D$29*(1-(ABS(INDEX($Q$232:$Q$233,MATCH(LEFT(CD233,FIND("·",CD233)-1),$C$232:$C$233,0))-(VALUE(MID(CD233,FIND("|",CD233)+1,FIND("-",CD233,FIND("|",CD233))-FIND("|",CD233)-1))-VALUE(MID(CD233,FIND("-",CD233,FIND("|",CD233))+1,10)))))*$D$50),$D$29*(1-(IF(INDEX($D$232:$D$233,MATCH(LEFT(CD233,FIND("·",CD233)-1),$C$232:$C$233,0))=0,ABS(INDEX($A$232:$A$233,MATCH(LEFT(CD233,FIND("·",CD233)-1),$C$232:$C$233,0))-VALUE(MID(CD233,FIND("|",CD233)+1,FIND("-",CD233,FIND("|",CD233))-FIND("|",CD233)-1))),ABS(INDEX($Q$232:$Q$233,MATCH(LEFT(CD233,FIND("·",CD233)-1),$C$232:$C$233,0))-(VALUE(MID(CD233,FIND("|",CD233)+1,FIND("-",CD233,FIND("|",CD233))-FIND("|",CD233)-1))-VALUE(MID(CD233,FIND("-",CD233,FIND("|",CD233))+1,10)))))*$D$50)))))*INDEX($I$232:$I$233,MATCH(LEFT(CD233,FIND("·",CD233)-1),$C$232:$C$233,0)),0),0),0)</f>
        <v>0</v>
      </c>
      <c r="CF233" s="110"/>
      <c r="CG233" s="80" t="s">
        <v>2542</v>
      </c>
      <c r="CH233" s="81">
        <f t="shared" ref="CH233" ca="1" si="2974">IFERROR(IF(COUNTIF($K$232:$K$233,LEFT(CG233,FIND("·",CG233)-1))&gt;0,IF(INDEX($L$232:$L$233,MATCH(LEFT(CG233,FIND("·",CG233)-1),$K$232:$K$233,0))=IFERROR(VALUE(MID(CG233,FIND("·",CG233)+1,1)),0),($D$28+(INDEX($M$232:$M$233,MATCH(LEFT(CG233,FIND("·",CG233)-1),$K$232:$K$233,0))=MID(CG233,FIND("|",CG233)+1,10))*$D$30+MAX(0,IF($D$50=1,$D$29*(1-(ABS(INDEX($P$232:$P$233,MATCH(LEFT(CG233,FIND("·",CG233)-1),$K$232:$K$233,0))-(VALUE(MID(CG233,FIND("|",CG233)+1,FIND("-",CG233,FIND("|",CG233))-FIND("|",CG233)-1))-VALUE(MID(CG233,FIND("-",CG233,FIND("|",CG233))+1,10)))))*$D$50),$D$29*(1-(IF(INDEX($L$232:$L$233,MATCH(LEFT(CG233,FIND("·",CG233)-1),$K$232:$K$233,0))=0,ABS(INDEX($N$232:$N$233,MATCH(LEFT(CG233,FIND("·",CG233)-1),$K$232:$K$233,0))-VALUE(MID(CG233,FIND("|",CG233)+1,FIND("-",CG233,FIND("|",CG233))-FIND("|",CG233)-1))),ABS(INDEX($P$232:$P$233,MATCH(LEFT(CG233,FIND("·",CG233)-1),$K$232:$K$233,0))-(VALUE(MID(CG233,FIND("|",CG233)+1,FIND("-",CG233,FIND("|",CG233))-FIND("|",CG233)-1))-VALUE(MID(CG233,FIND("-",CG233,FIND("|",CG233))+1,10)))))*$D$50)))))*INDEX($I$232:$I$233,MATCH(LEFT(CG233,FIND("·",CG233)-1),$K$232:$K$233,0)),0),0),0)+IFERROR(IF(COUNTIF($C$232:$C$233,LEFT(CG233,FIND("·",CG233)-1))&gt;0,IF(INDEX($D$232:$D$233,MATCH(LEFT(CG233,FIND("·",CG233)-1),$C$232:$C$233,0))=IFERROR(VALUE(MID(CG233,FIND("·",CG233)+1,1)),0),($D$28+(INDEX($E$232:$E$233,MATCH(LEFT(CG233,FIND("·",CG233)-1),$C$232:$C$233,0))=MID(CG233,FIND("|",CG233)+1,10))*$D$30+MAX(0,IF($D$50=1,$D$29*(1-(ABS(INDEX($Q$232:$Q$233,MATCH(LEFT(CG233,FIND("·",CG233)-1),$C$232:$C$233,0))-(VALUE(MID(CG233,FIND("|",CG233)+1,FIND("-",CG233,FIND("|",CG233))-FIND("|",CG233)-1))-VALUE(MID(CG233,FIND("-",CG233,FIND("|",CG233))+1,10)))))*$D$50),$D$29*(1-(IF(INDEX($D$232:$D$233,MATCH(LEFT(CG233,FIND("·",CG233)-1),$C$232:$C$233,0))=0,ABS(INDEX($A$232:$A$233,MATCH(LEFT(CG233,FIND("·",CG233)-1),$C$232:$C$233,0))-VALUE(MID(CG233,FIND("|",CG233)+1,FIND("-",CG233,FIND("|",CG233))-FIND("|",CG233)-1))),ABS(INDEX($Q$232:$Q$233,MATCH(LEFT(CG233,FIND("·",CG233)-1),$C$232:$C$233,0))-(VALUE(MID(CG233,FIND("|",CG233)+1,FIND("-",CG233,FIND("|",CG233))-FIND("|",CG233)-1))-VALUE(MID(CG233,FIND("-",CG233,FIND("|",CG233))+1,10)))))*$D$50)))))*INDEX($I$232:$I$233,MATCH(LEFT(CG233,FIND("·",CG233)-1),$C$232:$C$233,0)),0),0),0)</f>
        <v>0</v>
      </c>
      <c r="CI233" s="110"/>
      <c r="CJ233" s="80" t="s">
        <v>2566</v>
      </c>
      <c r="CK233" s="81">
        <f t="shared" ref="CK233" ca="1" si="2975">IFERROR(IF(COUNTIF($K$232:$K$233,LEFT(CJ233,FIND("·",CJ233)-1))&gt;0,IF(INDEX($L$232:$L$233,MATCH(LEFT(CJ233,FIND("·",CJ233)-1),$K$232:$K$233,0))=IFERROR(VALUE(MID(CJ233,FIND("·",CJ233)+1,1)),0),($D$28+(INDEX($M$232:$M$233,MATCH(LEFT(CJ233,FIND("·",CJ233)-1),$K$232:$K$233,0))=MID(CJ233,FIND("|",CJ233)+1,10))*$D$30+MAX(0,IF($D$50=1,$D$29*(1-(ABS(INDEX($P$232:$P$233,MATCH(LEFT(CJ233,FIND("·",CJ233)-1),$K$232:$K$233,0))-(VALUE(MID(CJ233,FIND("|",CJ233)+1,FIND("-",CJ233,FIND("|",CJ233))-FIND("|",CJ233)-1))-VALUE(MID(CJ233,FIND("-",CJ233,FIND("|",CJ233))+1,10)))))*$D$50),$D$29*(1-(IF(INDEX($L$232:$L$233,MATCH(LEFT(CJ233,FIND("·",CJ233)-1),$K$232:$K$233,0))=0,ABS(INDEX($N$232:$N$233,MATCH(LEFT(CJ233,FIND("·",CJ233)-1),$K$232:$K$233,0))-VALUE(MID(CJ233,FIND("|",CJ233)+1,FIND("-",CJ233,FIND("|",CJ233))-FIND("|",CJ233)-1))),ABS(INDEX($P$232:$P$233,MATCH(LEFT(CJ233,FIND("·",CJ233)-1),$K$232:$K$233,0))-(VALUE(MID(CJ233,FIND("|",CJ233)+1,FIND("-",CJ233,FIND("|",CJ233))-FIND("|",CJ233)-1))-VALUE(MID(CJ233,FIND("-",CJ233,FIND("|",CJ233))+1,10)))))*$D$50)))))*INDEX($I$232:$I$233,MATCH(LEFT(CJ233,FIND("·",CJ233)-1),$K$232:$K$233,0)),0),0),0)+IFERROR(IF(COUNTIF($C$232:$C$233,LEFT(CJ233,FIND("·",CJ233)-1))&gt;0,IF(INDEX($D$232:$D$233,MATCH(LEFT(CJ233,FIND("·",CJ233)-1),$C$232:$C$233,0))=IFERROR(VALUE(MID(CJ233,FIND("·",CJ233)+1,1)),0),($D$28+(INDEX($E$232:$E$233,MATCH(LEFT(CJ233,FIND("·",CJ233)-1),$C$232:$C$233,0))=MID(CJ233,FIND("|",CJ233)+1,10))*$D$30+MAX(0,IF($D$50=1,$D$29*(1-(ABS(INDEX($Q$232:$Q$233,MATCH(LEFT(CJ233,FIND("·",CJ233)-1),$C$232:$C$233,0))-(VALUE(MID(CJ233,FIND("|",CJ233)+1,FIND("-",CJ233,FIND("|",CJ233))-FIND("|",CJ233)-1))-VALUE(MID(CJ233,FIND("-",CJ233,FIND("|",CJ233))+1,10)))))*$D$50),$D$29*(1-(IF(INDEX($D$232:$D$233,MATCH(LEFT(CJ233,FIND("·",CJ233)-1),$C$232:$C$233,0))=0,ABS(INDEX($A$232:$A$233,MATCH(LEFT(CJ233,FIND("·",CJ233)-1),$C$232:$C$233,0))-VALUE(MID(CJ233,FIND("|",CJ233)+1,FIND("-",CJ233,FIND("|",CJ233))-FIND("|",CJ233)-1))),ABS(INDEX($Q$232:$Q$233,MATCH(LEFT(CJ233,FIND("·",CJ233)-1),$C$232:$C$233,0))-(VALUE(MID(CJ233,FIND("|",CJ233)+1,FIND("-",CJ233,FIND("|",CJ233))-FIND("|",CJ233)-1))-VALUE(MID(CJ233,FIND("-",CJ233,FIND("|",CJ233))+1,10)))))*$D$50)))))*INDEX($I$232:$I$233,MATCH(LEFT(CJ233,FIND("·",CJ233)-1),$C$232:$C$233,0)),0),0),0)</f>
        <v>0</v>
      </c>
      <c r="CL233" s="110"/>
      <c r="CM233" s="80" t="s">
        <v>2124</v>
      </c>
      <c r="CN233" s="81">
        <f t="shared" ref="CN233" ca="1" si="2976">IFERROR(IF(COUNTIF($K$232:$K$233,LEFT(CM233,FIND("·",CM233)-1))&gt;0,IF(INDEX($L$232:$L$233,MATCH(LEFT(CM233,FIND("·",CM233)-1),$K$232:$K$233,0))=IFERROR(VALUE(MID(CM233,FIND("·",CM233)+1,1)),0),($D$28+(INDEX($M$232:$M$233,MATCH(LEFT(CM233,FIND("·",CM233)-1),$K$232:$K$233,0))=MID(CM233,FIND("|",CM233)+1,10))*$D$30+MAX(0,IF($D$50=1,$D$29*(1-(ABS(INDEX($P$232:$P$233,MATCH(LEFT(CM233,FIND("·",CM233)-1),$K$232:$K$233,0))-(VALUE(MID(CM233,FIND("|",CM233)+1,FIND("-",CM233,FIND("|",CM233))-FIND("|",CM233)-1))-VALUE(MID(CM233,FIND("-",CM233,FIND("|",CM233))+1,10)))))*$D$50),$D$29*(1-(IF(INDEX($L$232:$L$233,MATCH(LEFT(CM233,FIND("·",CM233)-1),$K$232:$K$233,0))=0,ABS(INDEX($N$232:$N$233,MATCH(LEFT(CM233,FIND("·",CM233)-1),$K$232:$K$233,0))-VALUE(MID(CM233,FIND("|",CM233)+1,FIND("-",CM233,FIND("|",CM233))-FIND("|",CM233)-1))),ABS(INDEX($P$232:$P$233,MATCH(LEFT(CM233,FIND("·",CM233)-1),$K$232:$K$233,0))-(VALUE(MID(CM233,FIND("|",CM233)+1,FIND("-",CM233,FIND("|",CM233))-FIND("|",CM233)-1))-VALUE(MID(CM233,FIND("-",CM233,FIND("|",CM233))+1,10)))))*$D$50)))))*INDEX($I$232:$I$233,MATCH(LEFT(CM233,FIND("·",CM233)-1),$K$232:$K$233,0)),0),0),0)+IFERROR(IF(COUNTIF($C$232:$C$233,LEFT(CM233,FIND("·",CM233)-1))&gt;0,IF(INDEX($D$232:$D$233,MATCH(LEFT(CM233,FIND("·",CM233)-1),$C$232:$C$233,0))=IFERROR(VALUE(MID(CM233,FIND("·",CM233)+1,1)),0),($D$28+(INDEX($E$232:$E$233,MATCH(LEFT(CM233,FIND("·",CM233)-1),$C$232:$C$233,0))=MID(CM233,FIND("|",CM233)+1,10))*$D$30+MAX(0,IF($D$50=1,$D$29*(1-(ABS(INDEX($Q$232:$Q$233,MATCH(LEFT(CM233,FIND("·",CM233)-1),$C$232:$C$233,0))-(VALUE(MID(CM233,FIND("|",CM233)+1,FIND("-",CM233,FIND("|",CM233))-FIND("|",CM233)-1))-VALUE(MID(CM233,FIND("-",CM233,FIND("|",CM233))+1,10)))))*$D$50),$D$29*(1-(IF(INDEX($D$232:$D$233,MATCH(LEFT(CM233,FIND("·",CM233)-1),$C$232:$C$233,0))=0,ABS(INDEX($A$232:$A$233,MATCH(LEFT(CM233,FIND("·",CM233)-1),$C$232:$C$233,0))-VALUE(MID(CM233,FIND("|",CM233)+1,FIND("-",CM233,FIND("|",CM233))-FIND("|",CM233)-1))),ABS(INDEX($Q$232:$Q$233,MATCH(LEFT(CM233,FIND("·",CM233)-1),$C$232:$C$233,0))-(VALUE(MID(CM233,FIND("|",CM233)+1,FIND("-",CM233,FIND("|",CM233))-FIND("|",CM233)-1))-VALUE(MID(CM233,FIND("-",CM233,FIND("|",CM233))+1,10)))))*$D$50)))))*INDEX($I$232:$I$233,MATCH(LEFT(CM233,FIND("·",CM233)-1),$C$232:$C$233,0)),0),0),0)</f>
        <v>0</v>
      </c>
      <c r="CO233" s="110"/>
      <c r="CP233" s="80" t="s">
        <v>2601</v>
      </c>
      <c r="CQ233" s="81">
        <f t="shared" ref="CQ233" ca="1" si="2977">IFERROR(IF(COUNTIF($K$232:$K$233,LEFT(CP233,FIND("·",CP233)-1))&gt;0,IF(INDEX($L$232:$L$233,MATCH(LEFT(CP233,FIND("·",CP233)-1),$K$232:$K$233,0))=IFERROR(VALUE(MID(CP233,FIND("·",CP233)+1,1)),0),($D$28+(INDEX($M$232:$M$233,MATCH(LEFT(CP233,FIND("·",CP233)-1),$K$232:$K$233,0))=MID(CP233,FIND("|",CP233)+1,10))*$D$30+MAX(0,IF($D$50=1,$D$29*(1-(ABS(INDEX($P$232:$P$233,MATCH(LEFT(CP233,FIND("·",CP233)-1),$K$232:$K$233,0))-(VALUE(MID(CP233,FIND("|",CP233)+1,FIND("-",CP233,FIND("|",CP233))-FIND("|",CP233)-1))-VALUE(MID(CP233,FIND("-",CP233,FIND("|",CP233))+1,10)))))*$D$50),$D$29*(1-(IF(INDEX($L$232:$L$233,MATCH(LEFT(CP233,FIND("·",CP233)-1),$K$232:$K$233,0))=0,ABS(INDEX($N$232:$N$233,MATCH(LEFT(CP233,FIND("·",CP233)-1),$K$232:$K$233,0))-VALUE(MID(CP233,FIND("|",CP233)+1,FIND("-",CP233,FIND("|",CP233))-FIND("|",CP233)-1))),ABS(INDEX($P$232:$P$233,MATCH(LEFT(CP233,FIND("·",CP233)-1),$K$232:$K$233,0))-(VALUE(MID(CP233,FIND("|",CP233)+1,FIND("-",CP233,FIND("|",CP233))-FIND("|",CP233)-1))-VALUE(MID(CP233,FIND("-",CP233,FIND("|",CP233))+1,10)))))*$D$50)))))*INDEX($I$232:$I$233,MATCH(LEFT(CP233,FIND("·",CP233)-1),$K$232:$K$233,0)),0),0),0)+IFERROR(IF(COUNTIF($C$232:$C$233,LEFT(CP233,FIND("·",CP233)-1))&gt;0,IF(INDEX($D$232:$D$233,MATCH(LEFT(CP233,FIND("·",CP233)-1),$C$232:$C$233,0))=IFERROR(VALUE(MID(CP233,FIND("·",CP233)+1,1)),0),($D$28+(INDEX($E$232:$E$233,MATCH(LEFT(CP233,FIND("·",CP233)-1),$C$232:$C$233,0))=MID(CP233,FIND("|",CP233)+1,10))*$D$30+MAX(0,IF($D$50=1,$D$29*(1-(ABS(INDEX($Q$232:$Q$233,MATCH(LEFT(CP233,FIND("·",CP233)-1),$C$232:$C$233,0))-(VALUE(MID(CP233,FIND("|",CP233)+1,FIND("-",CP233,FIND("|",CP233))-FIND("|",CP233)-1))-VALUE(MID(CP233,FIND("-",CP233,FIND("|",CP233))+1,10)))))*$D$50),$D$29*(1-(IF(INDEX($D$232:$D$233,MATCH(LEFT(CP233,FIND("·",CP233)-1),$C$232:$C$233,0))=0,ABS(INDEX($A$232:$A$233,MATCH(LEFT(CP233,FIND("·",CP233)-1),$C$232:$C$233,0))-VALUE(MID(CP233,FIND("|",CP233)+1,FIND("-",CP233,FIND("|",CP233))-FIND("|",CP233)-1))),ABS(INDEX($Q$232:$Q$233,MATCH(LEFT(CP233,FIND("·",CP233)-1),$C$232:$C$233,0))-(VALUE(MID(CP233,FIND("|",CP233)+1,FIND("-",CP233,FIND("|",CP233))-FIND("|",CP233)-1))-VALUE(MID(CP233,FIND("-",CP233,FIND("|",CP233))+1,10)))))*$D$50)))))*INDEX($I$232:$I$233,MATCH(LEFT(CP233,FIND("·",CP233)-1),$C$232:$C$233,0)),0),0),0)</f>
        <v>0</v>
      </c>
      <c r="CR233" s="110"/>
      <c r="CS233" s="80" t="s">
        <v>2364</v>
      </c>
      <c r="CT233" s="81">
        <f t="shared" ref="CT233" ca="1" si="2978">IFERROR(IF(COUNTIF($K$232:$K$233,LEFT(CS233,FIND("·",CS233)-1))&gt;0,IF(INDEX($L$232:$L$233,MATCH(LEFT(CS233,FIND("·",CS233)-1),$K$232:$K$233,0))=IFERROR(VALUE(MID(CS233,FIND("·",CS233)+1,1)),0),($D$28+(INDEX($M$232:$M$233,MATCH(LEFT(CS233,FIND("·",CS233)-1),$K$232:$K$233,0))=MID(CS233,FIND("|",CS233)+1,10))*$D$30+MAX(0,IF($D$50=1,$D$29*(1-(ABS(INDEX($P$232:$P$233,MATCH(LEFT(CS233,FIND("·",CS233)-1),$K$232:$K$233,0))-(VALUE(MID(CS233,FIND("|",CS233)+1,FIND("-",CS233,FIND("|",CS233))-FIND("|",CS233)-1))-VALUE(MID(CS233,FIND("-",CS233,FIND("|",CS233))+1,10)))))*$D$50),$D$29*(1-(IF(INDEX($L$232:$L$233,MATCH(LEFT(CS233,FIND("·",CS233)-1),$K$232:$K$233,0))=0,ABS(INDEX($N$232:$N$233,MATCH(LEFT(CS233,FIND("·",CS233)-1),$K$232:$K$233,0))-VALUE(MID(CS233,FIND("|",CS233)+1,FIND("-",CS233,FIND("|",CS233))-FIND("|",CS233)-1))),ABS(INDEX($P$232:$P$233,MATCH(LEFT(CS233,FIND("·",CS233)-1),$K$232:$K$233,0))-(VALUE(MID(CS233,FIND("|",CS233)+1,FIND("-",CS233,FIND("|",CS233))-FIND("|",CS233)-1))-VALUE(MID(CS233,FIND("-",CS233,FIND("|",CS233))+1,10)))))*$D$50)))))*INDEX($I$232:$I$233,MATCH(LEFT(CS233,FIND("·",CS233)-1),$K$232:$K$233,0)),0),0),0)+IFERROR(IF(COUNTIF($C$232:$C$233,LEFT(CS233,FIND("·",CS233)-1))&gt;0,IF(INDEX($D$232:$D$233,MATCH(LEFT(CS233,FIND("·",CS233)-1),$C$232:$C$233,0))=IFERROR(VALUE(MID(CS233,FIND("·",CS233)+1,1)),0),($D$28+(INDEX($E$232:$E$233,MATCH(LEFT(CS233,FIND("·",CS233)-1),$C$232:$C$233,0))=MID(CS233,FIND("|",CS233)+1,10))*$D$30+MAX(0,IF($D$50=1,$D$29*(1-(ABS(INDEX($Q$232:$Q$233,MATCH(LEFT(CS233,FIND("·",CS233)-1),$C$232:$C$233,0))-(VALUE(MID(CS233,FIND("|",CS233)+1,FIND("-",CS233,FIND("|",CS233))-FIND("|",CS233)-1))-VALUE(MID(CS233,FIND("-",CS233,FIND("|",CS233))+1,10)))))*$D$50),$D$29*(1-(IF(INDEX($D$232:$D$233,MATCH(LEFT(CS233,FIND("·",CS233)-1),$C$232:$C$233,0))=0,ABS(INDEX($A$232:$A$233,MATCH(LEFT(CS233,FIND("·",CS233)-1),$C$232:$C$233,0))-VALUE(MID(CS233,FIND("|",CS233)+1,FIND("-",CS233,FIND("|",CS233))-FIND("|",CS233)-1))),ABS(INDEX($Q$232:$Q$233,MATCH(LEFT(CS233,FIND("·",CS233)-1),$C$232:$C$233,0))-(VALUE(MID(CS233,FIND("|",CS233)+1,FIND("-",CS233,FIND("|",CS233))-FIND("|",CS233)-1))-VALUE(MID(CS233,FIND("-",CS233,FIND("|",CS233))+1,10)))))*$D$50)))))*INDEX($I$232:$I$233,MATCH(LEFT(CS233,FIND("·",CS233)-1),$C$232:$C$233,0)),0),0),0)</f>
        <v>0</v>
      </c>
      <c r="CU233" s="110"/>
      <c r="CV233" s="80" t="s">
        <v>2652</v>
      </c>
      <c r="CW233" s="81">
        <f t="shared" ref="CW233" ca="1" si="2979">IFERROR(IF(COUNTIF($K$232:$K$233,LEFT(CV233,FIND("·",CV233)-1))&gt;0,IF(INDEX($L$232:$L$233,MATCH(LEFT(CV233,FIND("·",CV233)-1),$K$232:$K$233,0))=IFERROR(VALUE(MID(CV233,FIND("·",CV233)+1,1)),0),($D$28+(INDEX($M$232:$M$233,MATCH(LEFT(CV233,FIND("·",CV233)-1),$K$232:$K$233,0))=MID(CV233,FIND("|",CV233)+1,10))*$D$30+MAX(0,IF($D$50=1,$D$29*(1-(ABS(INDEX($P$232:$P$233,MATCH(LEFT(CV233,FIND("·",CV233)-1),$K$232:$K$233,0))-(VALUE(MID(CV233,FIND("|",CV233)+1,FIND("-",CV233,FIND("|",CV233))-FIND("|",CV233)-1))-VALUE(MID(CV233,FIND("-",CV233,FIND("|",CV233))+1,10)))))*$D$50),$D$29*(1-(IF(INDEX($L$232:$L$233,MATCH(LEFT(CV233,FIND("·",CV233)-1),$K$232:$K$233,0))=0,ABS(INDEX($N$232:$N$233,MATCH(LEFT(CV233,FIND("·",CV233)-1),$K$232:$K$233,0))-VALUE(MID(CV233,FIND("|",CV233)+1,FIND("-",CV233,FIND("|",CV233))-FIND("|",CV233)-1))),ABS(INDEX($P$232:$P$233,MATCH(LEFT(CV233,FIND("·",CV233)-1),$K$232:$K$233,0))-(VALUE(MID(CV233,FIND("|",CV233)+1,FIND("-",CV233,FIND("|",CV233))-FIND("|",CV233)-1))-VALUE(MID(CV233,FIND("-",CV233,FIND("|",CV233))+1,10)))))*$D$50)))))*INDEX($I$232:$I$233,MATCH(LEFT(CV233,FIND("·",CV233)-1),$K$232:$K$233,0)),0),0),0)+IFERROR(IF(COUNTIF($C$232:$C$233,LEFT(CV233,FIND("·",CV233)-1))&gt;0,IF(INDEX($D$232:$D$233,MATCH(LEFT(CV233,FIND("·",CV233)-1),$C$232:$C$233,0))=IFERROR(VALUE(MID(CV233,FIND("·",CV233)+1,1)),0),($D$28+(INDEX($E$232:$E$233,MATCH(LEFT(CV233,FIND("·",CV233)-1),$C$232:$C$233,0))=MID(CV233,FIND("|",CV233)+1,10))*$D$30+MAX(0,IF($D$50=1,$D$29*(1-(ABS(INDEX($Q$232:$Q$233,MATCH(LEFT(CV233,FIND("·",CV233)-1),$C$232:$C$233,0))-(VALUE(MID(CV233,FIND("|",CV233)+1,FIND("-",CV233,FIND("|",CV233))-FIND("|",CV233)-1))-VALUE(MID(CV233,FIND("-",CV233,FIND("|",CV233))+1,10)))))*$D$50),$D$29*(1-(IF(INDEX($D$232:$D$233,MATCH(LEFT(CV233,FIND("·",CV233)-1),$C$232:$C$233,0))=0,ABS(INDEX($A$232:$A$233,MATCH(LEFT(CV233,FIND("·",CV233)-1),$C$232:$C$233,0))-VALUE(MID(CV233,FIND("|",CV233)+1,FIND("-",CV233,FIND("|",CV233))-FIND("|",CV233)-1))),ABS(INDEX($Q$232:$Q$233,MATCH(LEFT(CV233,FIND("·",CV233)-1),$C$232:$C$233,0))-(VALUE(MID(CV233,FIND("|",CV233)+1,FIND("-",CV233,FIND("|",CV233))-FIND("|",CV233)-1))-VALUE(MID(CV233,FIND("-",CV233,FIND("|",CV233))+1,10)))))*$D$50)))))*INDEX($I$232:$I$233,MATCH(LEFT(CV233,FIND("·",CV233)-1),$C$232:$C$233,0)),0),0),0)</f>
        <v>0</v>
      </c>
      <c r="CX233" s="110"/>
      <c r="CY233" s="80" t="s">
        <v>2688</v>
      </c>
      <c r="CZ233" s="81">
        <f t="shared" ref="CZ233" ca="1" si="2980">IFERROR(IF(COUNTIF($K$232:$K$233,LEFT(CY233,FIND("·",CY233)-1))&gt;0,IF(INDEX($L$232:$L$233,MATCH(LEFT(CY233,FIND("·",CY233)-1),$K$232:$K$233,0))=IFERROR(VALUE(MID(CY233,FIND("·",CY233)+1,1)),0),($D$28+(INDEX($M$232:$M$233,MATCH(LEFT(CY233,FIND("·",CY233)-1),$K$232:$K$233,0))=MID(CY233,FIND("|",CY233)+1,10))*$D$30+MAX(0,IF($D$50=1,$D$29*(1-(ABS(INDEX($P$232:$P$233,MATCH(LEFT(CY233,FIND("·",CY233)-1),$K$232:$K$233,0))-(VALUE(MID(CY233,FIND("|",CY233)+1,FIND("-",CY233,FIND("|",CY233))-FIND("|",CY233)-1))-VALUE(MID(CY233,FIND("-",CY233,FIND("|",CY233))+1,10)))))*$D$50),$D$29*(1-(IF(INDEX($L$232:$L$233,MATCH(LEFT(CY233,FIND("·",CY233)-1),$K$232:$K$233,0))=0,ABS(INDEX($N$232:$N$233,MATCH(LEFT(CY233,FIND("·",CY233)-1),$K$232:$K$233,0))-VALUE(MID(CY233,FIND("|",CY233)+1,FIND("-",CY233,FIND("|",CY233))-FIND("|",CY233)-1))),ABS(INDEX($P$232:$P$233,MATCH(LEFT(CY233,FIND("·",CY233)-1),$K$232:$K$233,0))-(VALUE(MID(CY233,FIND("|",CY233)+1,FIND("-",CY233,FIND("|",CY233))-FIND("|",CY233)-1))-VALUE(MID(CY233,FIND("-",CY233,FIND("|",CY233))+1,10)))))*$D$50)))))*INDEX($I$232:$I$233,MATCH(LEFT(CY233,FIND("·",CY233)-1),$K$232:$K$233,0)),0),0),0)+IFERROR(IF(COUNTIF($C$232:$C$233,LEFT(CY233,FIND("·",CY233)-1))&gt;0,IF(INDEX($D$232:$D$233,MATCH(LEFT(CY233,FIND("·",CY233)-1),$C$232:$C$233,0))=IFERROR(VALUE(MID(CY233,FIND("·",CY233)+1,1)),0),($D$28+(INDEX($E$232:$E$233,MATCH(LEFT(CY233,FIND("·",CY233)-1),$C$232:$C$233,0))=MID(CY233,FIND("|",CY233)+1,10))*$D$30+MAX(0,IF($D$50=1,$D$29*(1-(ABS(INDEX($Q$232:$Q$233,MATCH(LEFT(CY233,FIND("·",CY233)-1),$C$232:$C$233,0))-(VALUE(MID(CY233,FIND("|",CY233)+1,FIND("-",CY233,FIND("|",CY233))-FIND("|",CY233)-1))-VALUE(MID(CY233,FIND("-",CY233,FIND("|",CY233))+1,10)))))*$D$50),$D$29*(1-(IF(INDEX($D$232:$D$233,MATCH(LEFT(CY233,FIND("·",CY233)-1),$C$232:$C$233,0))=0,ABS(INDEX($A$232:$A$233,MATCH(LEFT(CY233,FIND("·",CY233)-1),$C$232:$C$233,0))-VALUE(MID(CY233,FIND("|",CY233)+1,FIND("-",CY233,FIND("|",CY233))-FIND("|",CY233)-1))),ABS(INDEX($Q$232:$Q$233,MATCH(LEFT(CY233,FIND("·",CY233)-1),$C$232:$C$233,0))-(VALUE(MID(CY233,FIND("|",CY233)+1,FIND("-",CY233,FIND("|",CY233))-FIND("|",CY233)-1))-VALUE(MID(CY233,FIND("-",CY233,FIND("|",CY233))+1,10)))))*$D$50)))))*INDEX($I$232:$I$233,MATCH(LEFT(CY233,FIND("·",CY233)-1),$C$232:$C$233,0)),0),0),0)</f>
        <v>0</v>
      </c>
      <c r="DA233" s="110"/>
      <c r="DB233" s="80" t="s">
        <v>2439</v>
      </c>
      <c r="DC233" s="81">
        <f t="shared" ref="DC233" ca="1" si="2981">IFERROR(IF(COUNTIF($K$232:$K$233,LEFT(DB233,FIND("·",DB233)-1))&gt;0,IF(INDEX($L$232:$L$233,MATCH(LEFT(DB233,FIND("·",DB233)-1),$K$232:$K$233,0))=IFERROR(VALUE(MID(DB233,FIND("·",DB233)+1,1)),0),($D$28+(INDEX($M$232:$M$233,MATCH(LEFT(DB233,FIND("·",DB233)-1),$K$232:$K$233,0))=MID(DB233,FIND("|",DB233)+1,10))*$D$30+MAX(0,IF($D$50=1,$D$29*(1-(ABS(INDEX($P$232:$P$233,MATCH(LEFT(DB233,FIND("·",DB233)-1),$K$232:$K$233,0))-(VALUE(MID(DB233,FIND("|",DB233)+1,FIND("-",DB233,FIND("|",DB233))-FIND("|",DB233)-1))-VALUE(MID(DB233,FIND("-",DB233,FIND("|",DB233))+1,10)))))*$D$50),$D$29*(1-(IF(INDEX($L$232:$L$233,MATCH(LEFT(DB233,FIND("·",DB233)-1),$K$232:$K$233,0))=0,ABS(INDEX($N$232:$N$233,MATCH(LEFT(DB233,FIND("·",DB233)-1),$K$232:$K$233,0))-VALUE(MID(DB233,FIND("|",DB233)+1,FIND("-",DB233,FIND("|",DB233))-FIND("|",DB233)-1))),ABS(INDEX($P$232:$P$233,MATCH(LEFT(DB233,FIND("·",DB233)-1),$K$232:$K$233,0))-(VALUE(MID(DB233,FIND("|",DB233)+1,FIND("-",DB233,FIND("|",DB233))-FIND("|",DB233)-1))-VALUE(MID(DB233,FIND("-",DB233,FIND("|",DB233))+1,10)))))*$D$50)))))*INDEX($I$232:$I$233,MATCH(LEFT(DB233,FIND("·",DB233)-1),$K$232:$K$233,0)),0),0),0)+IFERROR(IF(COUNTIF($C$232:$C$233,LEFT(DB233,FIND("·",DB233)-1))&gt;0,IF(INDEX($D$232:$D$233,MATCH(LEFT(DB233,FIND("·",DB233)-1),$C$232:$C$233,0))=IFERROR(VALUE(MID(DB233,FIND("·",DB233)+1,1)),0),($D$28+(INDEX($E$232:$E$233,MATCH(LEFT(DB233,FIND("·",DB233)-1),$C$232:$C$233,0))=MID(DB233,FIND("|",DB233)+1,10))*$D$30+MAX(0,IF($D$50=1,$D$29*(1-(ABS(INDEX($Q$232:$Q$233,MATCH(LEFT(DB233,FIND("·",DB233)-1),$C$232:$C$233,0))-(VALUE(MID(DB233,FIND("|",DB233)+1,FIND("-",DB233,FIND("|",DB233))-FIND("|",DB233)-1))-VALUE(MID(DB233,FIND("-",DB233,FIND("|",DB233))+1,10)))))*$D$50),$D$29*(1-(IF(INDEX($D$232:$D$233,MATCH(LEFT(DB233,FIND("·",DB233)-1),$C$232:$C$233,0))=0,ABS(INDEX($A$232:$A$233,MATCH(LEFT(DB233,FIND("·",DB233)-1),$C$232:$C$233,0))-VALUE(MID(DB233,FIND("|",DB233)+1,FIND("-",DB233,FIND("|",DB233))-FIND("|",DB233)-1))),ABS(INDEX($Q$232:$Q$233,MATCH(LEFT(DB233,FIND("·",DB233)-1),$C$232:$C$233,0))-(VALUE(MID(DB233,FIND("|",DB233)+1,FIND("-",DB233,FIND("|",DB233))-FIND("|",DB233)-1))-VALUE(MID(DB233,FIND("-",DB233,FIND("|",DB233))+1,10)))))*$D$50)))))*INDEX($I$232:$I$233,MATCH(LEFT(DB233,FIND("·",DB233)-1),$C$232:$C$233,0)),0),0),0)</f>
        <v>10</v>
      </c>
      <c r="DD233" s="110"/>
      <c r="DE233" s="80" t="s">
        <v>2717</v>
      </c>
      <c r="DF233" s="81">
        <f t="shared" ref="DF233" ca="1" si="2982">IFERROR(IF(COUNTIF($K$232:$K$233,LEFT(DE233,FIND("·",DE233)-1))&gt;0,IF(INDEX($L$232:$L$233,MATCH(LEFT(DE233,FIND("·",DE233)-1),$K$232:$K$233,0))=IFERROR(VALUE(MID(DE233,FIND("·",DE233)+1,1)),0),($D$28+(INDEX($M$232:$M$233,MATCH(LEFT(DE233,FIND("·",DE233)-1),$K$232:$K$233,0))=MID(DE233,FIND("|",DE233)+1,10))*$D$30+MAX(0,IF($D$50=1,$D$29*(1-(ABS(INDEX($P$232:$P$233,MATCH(LEFT(DE233,FIND("·",DE233)-1),$K$232:$K$233,0))-(VALUE(MID(DE233,FIND("|",DE233)+1,FIND("-",DE233,FIND("|",DE233))-FIND("|",DE233)-1))-VALUE(MID(DE233,FIND("-",DE233,FIND("|",DE233))+1,10)))))*$D$50),$D$29*(1-(IF(INDEX($L$232:$L$233,MATCH(LEFT(DE233,FIND("·",DE233)-1),$K$232:$K$233,0))=0,ABS(INDEX($N$232:$N$233,MATCH(LEFT(DE233,FIND("·",DE233)-1),$K$232:$K$233,0))-VALUE(MID(DE233,FIND("|",DE233)+1,FIND("-",DE233,FIND("|",DE233))-FIND("|",DE233)-1))),ABS(INDEX($P$232:$P$233,MATCH(LEFT(DE233,FIND("·",DE233)-1),$K$232:$K$233,0))-(VALUE(MID(DE233,FIND("|",DE233)+1,FIND("-",DE233,FIND("|",DE233))-FIND("|",DE233)-1))-VALUE(MID(DE233,FIND("-",DE233,FIND("|",DE233))+1,10)))))*$D$50)))))*INDEX($I$232:$I$233,MATCH(LEFT(DE233,FIND("·",DE233)-1),$K$232:$K$233,0)),0),0),0)+IFERROR(IF(COUNTIF($C$232:$C$233,LEFT(DE233,FIND("·",DE233)-1))&gt;0,IF(INDEX($D$232:$D$233,MATCH(LEFT(DE233,FIND("·",DE233)-1),$C$232:$C$233,0))=IFERROR(VALUE(MID(DE233,FIND("·",DE233)+1,1)),0),($D$28+(INDEX($E$232:$E$233,MATCH(LEFT(DE233,FIND("·",DE233)-1),$C$232:$C$233,0))=MID(DE233,FIND("|",DE233)+1,10))*$D$30+MAX(0,IF($D$50=1,$D$29*(1-(ABS(INDEX($Q$232:$Q$233,MATCH(LEFT(DE233,FIND("·",DE233)-1),$C$232:$C$233,0))-(VALUE(MID(DE233,FIND("|",DE233)+1,FIND("-",DE233,FIND("|",DE233))-FIND("|",DE233)-1))-VALUE(MID(DE233,FIND("-",DE233,FIND("|",DE233))+1,10)))))*$D$50),$D$29*(1-(IF(INDEX($D$232:$D$233,MATCH(LEFT(DE233,FIND("·",DE233)-1),$C$232:$C$233,0))=0,ABS(INDEX($A$232:$A$233,MATCH(LEFT(DE233,FIND("·",DE233)-1),$C$232:$C$233,0))-VALUE(MID(DE233,FIND("|",DE233)+1,FIND("-",DE233,FIND("|",DE233))-FIND("|",DE233)-1))),ABS(INDEX($Q$232:$Q$233,MATCH(LEFT(DE233,FIND("·",DE233)-1),$C$232:$C$233,0))-(VALUE(MID(DE233,FIND("|",DE233)+1,FIND("-",DE233,FIND("|",DE233))-FIND("|",DE233)-1))-VALUE(MID(DE233,FIND("-",DE233,FIND("|",DE233))+1,10)))))*$D$50)))))*INDEX($I$232:$I$233,MATCH(LEFT(DE233,FIND("·",DE233)-1),$C$232:$C$233,0)),0),0),0)</f>
        <v>0</v>
      </c>
      <c r="DG233" s="110"/>
      <c r="DH233" s="80" t="s">
        <v>2740</v>
      </c>
      <c r="DI233" s="81">
        <f t="shared" ref="DI233" ca="1" si="2983">IFERROR(IF(COUNTIF($K$232:$K$233,LEFT(DH233,FIND("·",DH233)-1))&gt;0,IF(INDEX($L$232:$L$233,MATCH(LEFT(DH233,FIND("·",DH233)-1),$K$232:$K$233,0))=IFERROR(VALUE(MID(DH233,FIND("·",DH233)+1,1)),0),($D$28+(INDEX($M$232:$M$233,MATCH(LEFT(DH233,FIND("·",DH233)-1),$K$232:$K$233,0))=MID(DH233,FIND("|",DH233)+1,10))*$D$30+MAX(0,IF($D$50=1,$D$29*(1-(ABS(INDEX($P$232:$P$233,MATCH(LEFT(DH233,FIND("·",DH233)-1),$K$232:$K$233,0))-(VALUE(MID(DH233,FIND("|",DH233)+1,FIND("-",DH233,FIND("|",DH233))-FIND("|",DH233)-1))-VALUE(MID(DH233,FIND("-",DH233,FIND("|",DH233))+1,10)))))*$D$50),$D$29*(1-(IF(INDEX($L$232:$L$233,MATCH(LEFT(DH233,FIND("·",DH233)-1),$K$232:$K$233,0))=0,ABS(INDEX($N$232:$N$233,MATCH(LEFT(DH233,FIND("·",DH233)-1),$K$232:$K$233,0))-VALUE(MID(DH233,FIND("|",DH233)+1,FIND("-",DH233,FIND("|",DH233))-FIND("|",DH233)-1))),ABS(INDEX($P$232:$P$233,MATCH(LEFT(DH233,FIND("·",DH233)-1),$K$232:$K$233,0))-(VALUE(MID(DH233,FIND("|",DH233)+1,FIND("-",DH233,FIND("|",DH233))-FIND("|",DH233)-1))-VALUE(MID(DH233,FIND("-",DH233,FIND("|",DH233))+1,10)))))*$D$50)))))*INDEX($I$232:$I$233,MATCH(LEFT(DH233,FIND("·",DH233)-1),$K$232:$K$233,0)),0),0),0)+IFERROR(IF(COUNTIF($C$232:$C$233,LEFT(DH233,FIND("·",DH233)-1))&gt;0,IF(INDEX($D$232:$D$233,MATCH(LEFT(DH233,FIND("·",DH233)-1),$C$232:$C$233,0))=IFERROR(VALUE(MID(DH233,FIND("·",DH233)+1,1)),0),($D$28+(INDEX($E$232:$E$233,MATCH(LEFT(DH233,FIND("·",DH233)-1),$C$232:$C$233,0))=MID(DH233,FIND("|",DH233)+1,10))*$D$30+MAX(0,IF($D$50=1,$D$29*(1-(ABS(INDEX($Q$232:$Q$233,MATCH(LEFT(DH233,FIND("·",DH233)-1),$C$232:$C$233,0))-(VALUE(MID(DH233,FIND("|",DH233)+1,FIND("-",DH233,FIND("|",DH233))-FIND("|",DH233)-1))-VALUE(MID(DH233,FIND("-",DH233,FIND("|",DH233))+1,10)))))*$D$50),$D$29*(1-(IF(INDEX($D$232:$D$233,MATCH(LEFT(DH233,FIND("·",DH233)-1),$C$232:$C$233,0))=0,ABS(INDEX($A$232:$A$233,MATCH(LEFT(DH233,FIND("·",DH233)-1),$C$232:$C$233,0))-VALUE(MID(DH233,FIND("|",DH233)+1,FIND("-",DH233,FIND("|",DH233))-FIND("|",DH233)-1))),ABS(INDEX($Q$232:$Q$233,MATCH(LEFT(DH233,FIND("·",DH233)-1),$C$232:$C$233,0))-(VALUE(MID(DH233,FIND("|",DH233)+1,FIND("-",DH233,FIND("|",DH233))-FIND("|",DH233)-1))-VALUE(MID(DH233,FIND("-",DH233,FIND("|",DH233))+1,10)))))*$D$50)))))*INDEX($I$232:$I$233,MATCH(LEFT(DH233,FIND("·",DH233)-1),$C$232:$C$233,0)),0),0),0)</f>
        <v>0</v>
      </c>
      <c r="DJ233" s="110"/>
      <c r="DK233" s="80" t="s">
        <v>2064</v>
      </c>
      <c r="DL233" s="81">
        <f t="shared" ref="DL233" ca="1" si="2984">IFERROR(IF(COUNTIF($K$232:$K$233,LEFT(DK233,FIND("·",DK233)-1))&gt;0,IF(INDEX($L$232:$L$233,MATCH(LEFT(DK233,FIND("·",DK233)-1),$K$232:$K$233,0))=IFERROR(VALUE(MID(DK233,FIND("·",DK233)+1,1)),0),($D$28+(INDEX($M$232:$M$233,MATCH(LEFT(DK233,FIND("·",DK233)-1),$K$232:$K$233,0))=MID(DK233,FIND("|",DK233)+1,10))*$D$30+MAX(0,IF($D$50=1,$D$29*(1-(ABS(INDEX($P$232:$P$233,MATCH(LEFT(DK233,FIND("·",DK233)-1),$K$232:$K$233,0))-(VALUE(MID(DK233,FIND("|",DK233)+1,FIND("-",DK233,FIND("|",DK233))-FIND("|",DK233)-1))-VALUE(MID(DK233,FIND("-",DK233,FIND("|",DK233))+1,10)))))*$D$50),$D$29*(1-(IF(INDEX($L$232:$L$233,MATCH(LEFT(DK233,FIND("·",DK233)-1),$K$232:$K$233,0))=0,ABS(INDEX($N$232:$N$233,MATCH(LEFT(DK233,FIND("·",DK233)-1),$K$232:$K$233,0))-VALUE(MID(DK233,FIND("|",DK233)+1,FIND("-",DK233,FIND("|",DK233))-FIND("|",DK233)-1))),ABS(INDEX($P$232:$P$233,MATCH(LEFT(DK233,FIND("·",DK233)-1),$K$232:$K$233,0))-(VALUE(MID(DK233,FIND("|",DK233)+1,FIND("-",DK233,FIND("|",DK233))-FIND("|",DK233)-1))-VALUE(MID(DK233,FIND("-",DK233,FIND("|",DK233))+1,10)))))*$D$50)))))*INDEX($I$232:$I$233,MATCH(LEFT(DK233,FIND("·",DK233)-1),$K$232:$K$233,0)),0),0),0)+IFERROR(IF(COUNTIF($C$232:$C$233,LEFT(DK233,FIND("·",DK233)-1))&gt;0,IF(INDEX($D$232:$D$233,MATCH(LEFT(DK233,FIND("·",DK233)-1),$C$232:$C$233,0))=IFERROR(VALUE(MID(DK233,FIND("·",DK233)+1,1)),0),($D$28+(INDEX($E$232:$E$233,MATCH(LEFT(DK233,FIND("·",DK233)-1),$C$232:$C$233,0))=MID(DK233,FIND("|",DK233)+1,10))*$D$30+MAX(0,IF($D$50=1,$D$29*(1-(ABS(INDEX($Q$232:$Q$233,MATCH(LEFT(DK233,FIND("·",DK233)-1),$C$232:$C$233,0))-(VALUE(MID(DK233,FIND("|",DK233)+1,FIND("-",DK233,FIND("|",DK233))-FIND("|",DK233)-1))-VALUE(MID(DK233,FIND("-",DK233,FIND("|",DK233))+1,10)))))*$D$50),$D$29*(1-(IF(INDEX($D$232:$D$233,MATCH(LEFT(DK233,FIND("·",DK233)-1),$C$232:$C$233,0))=0,ABS(INDEX($A$232:$A$233,MATCH(LEFT(DK233,FIND("·",DK233)-1),$C$232:$C$233,0))-VALUE(MID(DK233,FIND("|",DK233)+1,FIND("-",DK233,FIND("|",DK233))-FIND("|",DK233)-1))),ABS(INDEX($Q$232:$Q$233,MATCH(LEFT(DK233,FIND("·",DK233)-1),$C$232:$C$233,0))-(VALUE(MID(DK233,FIND("|",DK233)+1,FIND("-",DK233,FIND("|",DK233))-FIND("|",DK233)-1))-VALUE(MID(DK233,FIND("-",DK233,FIND("|",DK233))+1,10)))))*$D$50)))))*INDEX($I$232:$I$233,MATCH(LEFT(DK233,FIND("·",DK233)-1),$C$232:$C$233,0)),0),0),0)</f>
        <v>0</v>
      </c>
      <c r="DM233" s="110"/>
      <c r="DN233" s="80" t="s">
        <v>2772</v>
      </c>
      <c r="DO233" s="81">
        <f t="shared" ref="DO233" ca="1" si="2985">IFERROR(IF(COUNTIF($K$232:$K$233,LEFT(DN233,FIND("·",DN233)-1))&gt;0,IF(INDEX($L$232:$L$233,MATCH(LEFT(DN233,FIND("·",DN233)-1),$K$232:$K$233,0))=IFERROR(VALUE(MID(DN233,FIND("·",DN233)+1,1)),0),($D$28+(INDEX($M$232:$M$233,MATCH(LEFT(DN233,FIND("·",DN233)-1),$K$232:$K$233,0))=MID(DN233,FIND("|",DN233)+1,10))*$D$30+MAX(0,IF($D$50=1,$D$29*(1-(ABS(INDEX($P$232:$P$233,MATCH(LEFT(DN233,FIND("·",DN233)-1),$K$232:$K$233,0))-(VALUE(MID(DN233,FIND("|",DN233)+1,FIND("-",DN233,FIND("|",DN233))-FIND("|",DN233)-1))-VALUE(MID(DN233,FIND("-",DN233,FIND("|",DN233))+1,10)))))*$D$50),$D$29*(1-(IF(INDEX($L$232:$L$233,MATCH(LEFT(DN233,FIND("·",DN233)-1),$K$232:$K$233,0))=0,ABS(INDEX($N$232:$N$233,MATCH(LEFT(DN233,FIND("·",DN233)-1),$K$232:$K$233,0))-VALUE(MID(DN233,FIND("|",DN233)+1,FIND("-",DN233,FIND("|",DN233))-FIND("|",DN233)-1))),ABS(INDEX($P$232:$P$233,MATCH(LEFT(DN233,FIND("·",DN233)-1),$K$232:$K$233,0))-(VALUE(MID(DN233,FIND("|",DN233)+1,FIND("-",DN233,FIND("|",DN233))-FIND("|",DN233)-1))-VALUE(MID(DN233,FIND("-",DN233,FIND("|",DN233))+1,10)))))*$D$50)))))*INDEX($I$232:$I$233,MATCH(LEFT(DN233,FIND("·",DN233)-1),$K$232:$K$233,0)),0),0),0)+IFERROR(IF(COUNTIF($C$232:$C$233,LEFT(DN233,FIND("·",DN233)-1))&gt;0,IF(INDEX($D$232:$D$233,MATCH(LEFT(DN233,FIND("·",DN233)-1),$C$232:$C$233,0))=IFERROR(VALUE(MID(DN233,FIND("·",DN233)+1,1)),0),($D$28+(INDEX($E$232:$E$233,MATCH(LEFT(DN233,FIND("·",DN233)-1),$C$232:$C$233,0))=MID(DN233,FIND("|",DN233)+1,10))*$D$30+MAX(0,IF($D$50=1,$D$29*(1-(ABS(INDEX($Q$232:$Q$233,MATCH(LEFT(DN233,FIND("·",DN233)-1),$C$232:$C$233,0))-(VALUE(MID(DN233,FIND("|",DN233)+1,FIND("-",DN233,FIND("|",DN233))-FIND("|",DN233)-1))-VALUE(MID(DN233,FIND("-",DN233,FIND("|",DN233))+1,10)))))*$D$50),$D$29*(1-(IF(INDEX($D$232:$D$233,MATCH(LEFT(DN233,FIND("·",DN233)-1),$C$232:$C$233,0))=0,ABS(INDEX($A$232:$A$233,MATCH(LEFT(DN233,FIND("·",DN233)-1),$C$232:$C$233,0))-VALUE(MID(DN233,FIND("|",DN233)+1,FIND("-",DN233,FIND("|",DN233))-FIND("|",DN233)-1))),ABS(INDEX($Q$232:$Q$233,MATCH(LEFT(DN233,FIND("·",DN233)-1),$C$232:$C$233,0))-(VALUE(MID(DN233,FIND("|",DN233)+1,FIND("-",DN233,FIND("|",DN233))-FIND("|",DN233)-1))-VALUE(MID(DN233,FIND("-",DN233,FIND("|",DN233))+1,10)))))*$D$50)))))*INDEX($I$232:$I$233,MATCH(LEFT(DN233,FIND("·",DN233)-1),$C$232:$C$233,0)),0),0),0)</f>
        <v>12</v>
      </c>
      <c r="DP233" s="110"/>
      <c r="DQ233" s="80" t="s">
        <v>2464</v>
      </c>
      <c r="DR233" s="81">
        <f t="shared" ref="DR233" ca="1" si="2986">IFERROR(IF(COUNTIF($K$232:$K$233,LEFT(DQ233,FIND("·",DQ233)-1))&gt;0,IF(INDEX($L$232:$L$233,MATCH(LEFT(DQ233,FIND("·",DQ233)-1),$K$232:$K$233,0))=IFERROR(VALUE(MID(DQ233,FIND("·",DQ233)+1,1)),0),($D$28+(INDEX($M$232:$M$233,MATCH(LEFT(DQ233,FIND("·",DQ233)-1),$K$232:$K$233,0))=MID(DQ233,FIND("|",DQ233)+1,10))*$D$30+MAX(0,IF($D$50=1,$D$29*(1-(ABS(INDEX($P$232:$P$233,MATCH(LEFT(DQ233,FIND("·",DQ233)-1),$K$232:$K$233,0))-(VALUE(MID(DQ233,FIND("|",DQ233)+1,FIND("-",DQ233,FIND("|",DQ233))-FIND("|",DQ233)-1))-VALUE(MID(DQ233,FIND("-",DQ233,FIND("|",DQ233))+1,10)))))*$D$50),$D$29*(1-(IF(INDEX($L$232:$L$233,MATCH(LEFT(DQ233,FIND("·",DQ233)-1),$K$232:$K$233,0))=0,ABS(INDEX($N$232:$N$233,MATCH(LEFT(DQ233,FIND("·",DQ233)-1),$K$232:$K$233,0))-VALUE(MID(DQ233,FIND("|",DQ233)+1,FIND("-",DQ233,FIND("|",DQ233))-FIND("|",DQ233)-1))),ABS(INDEX($P$232:$P$233,MATCH(LEFT(DQ233,FIND("·",DQ233)-1),$K$232:$K$233,0))-(VALUE(MID(DQ233,FIND("|",DQ233)+1,FIND("-",DQ233,FIND("|",DQ233))-FIND("|",DQ233)-1))-VALUE(MID(DQ233,FIND("-",DQ233,FIND("|",DQ233))+1,10)))))*$D$50)))))*INDEX($I$232:$I$233,MATCH(LEFT(DQ233,FIND("·",DQ233)-1),$K$232:$K$233,0)),0),0),0)+IFERROR(IF(COUNTIF($C$232:$C$233,LEFT(DQ233,FIND("·",DQ233)-1))&gt;0,IF(INDEX($D$232:$D$233,MATCH(LEFT(DQ233,FIND("·",DQ233)-1),$C$232:$C$233,0))=IFERROR(VALUE(MID(DQ233,FIND("·",DQ233)+1,1)),0),($D$28+(INDEX($E$232:$E$233,MATCH(LEFT(DQ233,FIND("·",DQ233)-1),$C$232:$C$233,0))=MID(DQ233,FIND("|",DQ233)+1,10))*$D$30+MAX(0,IF($D$50=1,$D$29*(1-(ABS(INDEX($Q$232:$Q$233,MATCH(LEFT(DQ233,FIND("·",DQ233)-1),$C$232:$C$233,0))-(VALUE(MID(DQ233,FIND("|",DQ233)+1,FIND("-",DQ233,FIND("|",DQ233))-FIND("|",DQ233)-1))-VALUE(MID(DQ233,FIND("-",DQ233,FIND("|",DQ233))+1,10)))))*$D$50),$D$29*(1-(IF(INDEX($D$232:$D$233,MATCH(LEFT(DQ233,FIND("·",DQ233)-1),$C$232:$C$233,0))=0,ABS(INDEX($A$232:$A$233,MATCH(LEFT(DQ233,FIND("·",DQ233)-1),$C$232:$C$233,0))-VALUE(MID(DQ233,FIND("|",DQ233)+1,FIND("-",DQ233,FIND("|",DQ233))-FIND("|",DQ233)-1))),ABS(INDEX($Q$232:$Q$233,MATCH(LEFT(DQ233,FIND("·",DQ233)-1),$C$232:$C$233,0))-(VALUE(MID(DQ233,FIND("|",DQ233)+1,FIND("-",DQ233,FIND("|",DQ233))-FIND("|",DQ233)-1))-VALUE(MID(DQ233,FIND("-",DQ233,FIND("|",DQ233))+1,10)))))*$D$50)))))*INDEX($I$232:$I$233,MATCH(LEFT(DQ233,FIND("·",DQ233)-1),$C$232:$C$233,0)),0),0),0)</f>
        <v>0</v>
      </c>
      <c r="DS233" s="110"/>
      <c r="DT233" s="80" t="s">
        <v>2717</v>
      </c>
      <c r="DU233" s="81">
        <f t="shared" ref="DU233" ca="1" si="2987">IFERROR(IF(COUNTIF($K$232:$K$233,LEFT(DT233,FIND("·",DT233)-1))&gt;0,IF(INDEX($L$232:$L$233,MATCH(LEFT(DT233,FIND("·",DT233)-1),$K$232:$K$233,0))=IFERROR(VALUE(MID(DT233,FIND("·",DT233)+1,1)),0),($D$28+(INDEX($M$232:$M$233,MATCH(LEFT(DT233,FIND("·",DT233)-1),$K$232:$K$233,0))=MID(DT233,FIND("|",DT233)+1,10))*$D$30+MAX(0,IF($D$50=1,$D$29*(1-(ABS(INDEX($P$232:$P$233,MATCH(LEFT(DT233,FIND("·",DT233)-1),$K$232:$K$233,0))-(VALUE(MID(DT233,FIND("|",DT233)+1,FIND("-",DT233,FIND("|",DT233))-FIND("|",DT233)-1))-VALUE(MID(DT233,FIND("-",DT233,FIND("|",DT233))+1,10)))))*$D$50),$D$29*(1-(IF(INDEX($L$232:$L$233,MATCH(LEFT(DT233,FIND("·",DT233)-1),$K$232:$K$233,0))=0,ABS(INDEX($N$232:$N$233,MATCH(LEFT(DT233,FIND("·",DT233)-1),$K$232:$K$233,0))-VALUE(MID(DT233,FIND("|",DT233)+1,FIND("-",DT233,FIND("|",DT233))-FIND("|",DT233)-1))),ABS(INDEX($P$232:$P$233,MATCH(LEFT(DT233,FIND("·",DT233)-1),$K$232:$K$233,0))-(VALUE(MID(DT233,FIND("|",DT233)+1,FIND("-",DT233,FIND("|",DT233))-FIND("|",DT233)-1))-VALUE(MID(DT233,FIND("-",DT233,FIND("|",DT233))+1,10)))))*$D$50)))))*INDEX($I$232:$I$233,MATCH(LEFT(DT233,FIND("·",DT233)-1),$K$232:$K$233,0)),0),0),0)+IFERROR(IF(COUNTIF($C$232:$C$233,LEFT(DT233,FIND("·",DT233)-1))&gt;0,IF(INDEX($D$232:$D$233,MATCH(LEFT(DT233,FIND("·",DT233)-1),$C$232:$C$233,0))=IFERROR(VALUE(MID(DT233,FIND("·",DT233)+1,1)),0),($D$28+(INDEX($E$232:$E$233,MATCH(LEFT(DT233,FIND("·",DT233)-1),$C$232:$C$233,0))=MID(DT233,FIND("|",DT233)+1,10))*$D$30+MAX(0,IF($D$50=1,$D$29*(1-(ABS(INDEX($Q$232:$Q$233,MATCH(LEFT(DT233,FIND("·",DT233)-1),$C$232:$C$233,0))-(VALUE(MID(DT233,FIND("|",DT233)+1,FIND("-",DT233,FIND("|",DT233))-FIND("|",DT233)-1))-VALUE(MID(DT233,FIND("-",DT233,FIND("|",DT233))+1,10)))))*$D$50),$D$29*(1-(IF(INDEX($D$232:$D$233,MATCH(LEFT(DT233,FIND("·",DT233)-1),$C$232:$C$233,0))=0,ABS(INDEX($A$232:$A$233,MATCH(LEFT(DT233,FIND("·",DT233)-1),$C$232:$C$233,0))-VALUE(MID(DT233,FIND("|",DT233)+1,FIND("-",DT233,FIND("|",DT233))-FIND("|",DT233)-1))),ABS(INDEX($Q$232:$Q$233,MATCH(LEFT(DT233,FIND("·",DT233)-1),$C$232:$C$233,0))-(VALUE(MID(DT233,FIND("|",DT233)+1,FIND("-",DT233,FIND("|",DT233))-FIND("|",DT233)-1))-VALUE(MID(DT233,FIND("-",DT233,FIND("|",DT233))+1,10)))))*$D$50)))))*INDEX($I$232:$I$233,MATCH(LEFT(DT233,FIND("·",DT233)-1),$C$232:$C$233,0)),0),0),0)</f>
        <v>0</v>
      </c>
      <c r="DV233" s="110"/>
      <c r="DW233" s="80" t="s">
        <v>2815</v>
      </c>
      <c r="DX233" s="81">
        <f t="shared" ref="DX233" ca="1" si="2988">IFERROR(IF(COUNTIF($K$232:$K$233,LEFT(DW233,FIND("·",DW233)-1))&gt;0,IF(INDEX($L$232:$L$233,MATCH(LEFT(DW233,FIND("·",DW233)-1),$K$232:$K$233,0))=IFERROR(VALUE(MID(DW233,FIND("·",DW233)+1,1)),0),($D$28+(INDEX($M$232:$M$233,MATCH(LEFT(DW233,FIND("·",DW233)-1),$K$232:$K$233,0))=MID(DW233,FIND("|",DW233)+1,10))*$D$30+MAX(0,IF($D$50=1,$D$29*(1-(ABS(INDEX($P$232:$P$233,MATCH(LEFT(DW233,FIND("·",DW233)-1),$K$232:$K$233,0))-(VALUE(MID(DW233,FIND("|",DW233)+1,FIND("-",DW233,FIND("|",DW233))-FIND("|",DW233)-1))-VALUE(MID(DW233,FIND("-",DW233,FIND("|",DW233))+1,10)))))*$D$50),$D$29*(1-(IF(INDEX($L$232:$L$233,MATCH(LEFT(DW233,FIND("·",DW233)-1),$K$232:$K$233,0))=0,ABS(INDEX($N$232:$N$233,MATCH(LEFT(DW233,FIND("·",DW233)-1),$K$232:$K$233,0))-VALUE(MID(DW233,FIND("|",DW233)+1,FIND("-",DW233,FIND("|",DW233))-FIND("|",DW233)-1))),ABS(INDEX($P$232:$P$233,MATCH(LEFT(DW233,FIND("·",DW233)-1),$K$232:$K$233,0))-(VALUE(MID(DW233,FIND("|",DW233)+1,FIND("-",DW233,FIND("|",DW233))-FIND("|",DW233)-1))-VALUE(MID(DW233,FIND("-",DW233,FIND("|",DW233))+1,10)))))*$D$50)))))*INDEX($I$232:$I$233,MATCH(LEFT(DW233,FIND("·",DW233)-1),$K$232:$K$233,0)),0),0),0)+IFERROR(IF(COUNTIF($C$232:$C$233,LEFT(DW233,FIND("·",DW233)-1))&gt;0,IF(INDEX($D$232:$D$233,MATCH(LEFT(DW233,FIND("·",DW233)-1),$C$232:$C$233,0))=IFERROR(VALUE(MID(DW233,FIND("·",DW233)+1,1)),0),($D$28+(INDEX($E$232:$E$233,MATCH(LEFT(DW233,FIND("·",DW233)-1),$C$232:$C$233,0))=MID(DW233,FIND("|",DW233)+1,10))*$D$30+MAX(0,IF($D$50=1,$D$29*(1-(ABS(INDEX($Q$232:$Q$233,MATCH(LEFT(DW233,FIND("·",DW233)-1),$C$232:$C$233,0))-(VALUE(MID(DW233,FIND("|",DW233)+1,FIND("-",DW233,FIND("|",DW233))-FIND("|",DW233)-1))-VALUE(MID(DW233,FIND("-",DW233,FIND("|",DW233))+1,10)))))*$D$50),$D$29*(1-(IF(INDEX($D$232:$D$233,MATCH(LEFT(DW233,FIND("·",DW233)-1),$C$232:$C$233,0))=0,ABS(INDEX($A$232:$A$233,MATCH(LEFT(DW233,FIND("·",DW233)-1),$C$232:$C$233,0))-VALUE(MID(DW233,FIND("|",DW233)+1,FIND("-",DW233,FIND("|",DW233))-FIND("|",DW233)-1))),ABS(INDEX($Q$232:$Q$233,MATCH(LEFT(DW233,FIND("·",DW233)-1),$C$232:$C$233,0))-(VALUE(MID(DW233,FIND("|",DW233)+1,FIND("-",DW233,FIND("|",DW233))-FIND("|",DW233)-1))-VALUE(MID(DW233,FIND("-",DW233,FIND("|",DW233))+1,10)))))*$D$50)))))*INDEX($I$232:$I$233,MATCH(LEFT(DW233,FIND("·",DW233)-1),$C$232:$C$233,0)),0),0),0)</f>
        <v>0</v>
      </c>
      <c r="DY233" s="110"/>
      <c r="DZ233" s="80" t="s">
        <v>2320</v>
      </c>
      <c r="EA233" s="81">
        <f t="shared" ref="EA233" ca="1" si="2989">IFERROR(IF(COUNTIF($K$232:$K$233,LEFT(DZ233,FIND("·",DZ233)-1))&gt;0,IF(INDEX($L$232:$L$233,MATCH(LEFT(DZ233,FIND("·",DZ233)-1),$K$232:$K$233,0))=IFERROR(VALUE(MID(DZ233,FIND("·",DZ233)+1,1)),0),($D$28+(INDEX($M$232:$M$233,MATCH(LEFT(DZ233,FIND("·",DZ233)-1),$K$232:$K$233,0))=MID(DZ233,FIND("|",DZ233)+1,10))*$D$30+MAX(0,IF($D$50=1,$D$29*(1-(ABS(INDEX($P$232:$P$233,MATCH(LEFT(DZ233,FIND("·",DZ233)-1),$K$232:$K$233,0))-(VALUE(MID(DZ233,FIND("|",DZ233)+1,FIND("-",DZ233,FIND("|",DZ233))-FIND("|",DZ233)-1))-VALUE(MID(DZ233,FIND("-",DZ233,FIND("|",DZ233))+1,10)))))*$D$50),$D$29*(1-(IF(INDEX($L$232:$L$233,MATCH(LEFT(DZ233,FIND("·",DZ233)-1),$K$232:$K$233,0))=0,ABS(INDEX($N$232:$N$233,MATCH(LEFT(DZ233,FIND("·",DZ233)-1),$K$232:$K$233,0))-VALUE(MID(DZ233,FIND("|",DZ233)+1,FIND("-",DZ233,FIND("|",DZ233))-FIND("|",DZ233)-1))),ABS(INDEX($P$232:$P$233,MATCH(LEFT(DZ233,FIND("·",DZ233)-1),$K$232:$K$233,0))-(VALUE(MID(DZ233,FIND("|",DZ233)+1,FIND("-",DZ233,FIND("|",DZ233))-FIND("|",DZ233)-1))-VALUE(MID(DZ233,FIND("-",DZ233,FIND("|",DZ233))+1,10)))))*$D$50)))))*INDEX($I$232:$I$233,MATCH(LEFT(DZ233,FIND("·",DZ233)-1),$K$232:$K$233,0)),0),0),0)+IFERROR(IF(COUNTIF($C$232:$C$233,LEFT(DZ233,FIND("·",DZ233)-1))&gt;0,IF(INDEX($D$232:$D$233,MATCH(LEFT(DZ233,FIND("·",DZ233)-1),$C$232:$C$233,0))=IFERROR(VALUE(MID(DZ233,FIND("·",DZ233)+1,1)),0),($D$28+(INDEX($E$232:$E$233,MATCH(LEFT(DZ233,FIND("·",DZ233)-1),$C$232:$C$233,0))=MID(DZ233,FIND("|",DZ233)+1,10))*$D$30+MAX(0,IF($D$50=1,$D$29*(1-(ABS(INDEX($Q$232:$Q$233,MATCH(LEFT(DZ233,FIND("·",DZ233)-1),$C$232:$C$233,0))-(VALUE(MID(DZ233,FIND("|",DZ233)+1,FIND("-",DZ233,FIND("|",DZ233))-FIND("|",DZ233)-1))-VALUE(MID(DZ233,FIND("-",DZ233,FIND("|",DZ233))+1,10)))))*$D$50),$D$29*(1-(IF(INDEX($D$232:$D$233,MATCH(LEFT(DZ233,FIND("·",DZ233)-1),$C$232:$C$233,0))=0,ABS(INDEX($A$232:$A$233,MATCH(LEFT(DZ233,FIND("·",DZ233)-1),$C$232:$C$233,0))-VALUE(MID(DZ233,FIND("|",DZ233)+1,FIND("-",DZ233,FIND("|",DZ233))-FIND("|",DZ233)-1))),ABS(INDEX($Q$232:$Q$233,MATCH(LEFT(DZ233,FIND("·",DZ233)-1),$C$232:$C$233,0))-(VALUE(MID(DZ233,FIND("|",DZ233)+1,FIND("-",DZ233,FIND("|",DZ233))-FIND("|",DZ233)-1))-VALUE(MID(DZ233,FIND("-",DZ233,FIND("|",DZ233))+1,10)))))*$D$50)))))*INDEX($I$232:$I$233,MATCH(LEFT(DZ233,FIND("·",DZ233)-1),$C$232:$C$233,0)),0),0),0)</f>
        <v>0</v>
      </c>
      <c r="EB233" s="110"/>
      <c r="EC233" s="80" t="s">
        <v>2098</v>
      </c>
      <c r="ED233" s="81">
        <f t="shared" ref="ED233" ca="1" si="2990">IFERROR(IF(COUNTIF($K$232:$K$233,LEFT(EC233,FIND("·",EC233)-1))&gt;0,IF(INDEX($L$232:$L$233,MATCH(LEFT(EC233,FIND("·",EC233)-1),$K$232:$K$233,0))=IFERROR(VALUE(MID(EC233,FIND("·",EC233)+1,1)),0),($D$28+(INDEX($M$232:$M$233,MATCH(LEFT(EC233,FIND("·",EC233)-1),$K$232:$K$233,0))=MID(EC233,FIND("|",EC233)+1,10))*$D$30+MAX(0,IF($D$50=1,$D$29*(1-(ABS(INDEX($P$232:$P$233,MATCH(LEFT(EC233,FIND("·",EC233)-1),$K$232:$K$233,0))-(VALUE(MID(EC233,FIND("|",EC233)+1,FIND("-",EC233,FIND("|",EC233))-FIND("|",EC233)-1))-VALUE(MID(EC233,FIND("-",EC233,FIND("|",EC233))+1,10)))))*$D$50),$D$29*(1-(IF(INDEX($L$232:$L$233,MATCH(LEFT(EC233,FIND("·",EC233)-1),$K$232:$K$233,0))=0,ABS(INDEX($N$232:$N$233,MATCH(LEFT(EC233,FIND("·",EC233)-1),$K$232:$K$233,0))-VALUE(MID(EC233,FIND("|",EC233)+1,FIND("-",EC233,FIND("|",EC233))-FIND("|",EC233)-1))),ABS(INDEX($P$232:$P$233,MATCH(LEFT(EC233,FIND("·",EC233)-1),$K$232:$K$233,0))-(VALUE(MID(EC233,FIND("|",EC233)+1,FIND("-",EC233,FIND("|",EC233))-FIND("|",EC233)-1))-VALUE(MID(EC233,FIND("-",EC233,FIND("|",EC233))+1,10)))))*$D$50)))))*INDEX($I$232:$I$233,MATCH(LEFT(EC233,FIND("·",EC233)-1),$K$232:$K$233,0)),0),0),0)+IFERROR(IF(COUNTIF($C$232:$C$233,LEFT(EC233,FIND("·",EC233)-1))&gt;0,IF(INDEX($D$232:$D$233,MATCH(LEFT(EC233,FIND("·",EC233)-1),$C$232:$C$233,0))=IFERROR(VALUE(MID(EC233,FIND("·",EC233)+1,1)),0),($D$28+(INDEX($E$232:$E$233,MATCH(LEFT(EC233,FIND("·",EC233)-1),$C$232:$C$233,0))=MID(EC233,FIND("|",EC233)+1,10))*$D$30+MAX(0,IF($D$50=1,$D$29*(1-(ABS(INDEX($Q$232:$Q$233,MATCH(LEFT(EC233,FIND("·",EC233)-1),$C$232:$C$233,0))-(VALUE(MID(EC233,FIND("|",EC233)+1,FIND("-",EC233,FIND("|",EC233))-FIND("|",EC233)-1))-VALUE(MID(EC233,FIND("-",EC233,FIND("|",EC233))+1,10)))))*$D$50),$D$29*(1-(IF(INDEX($D$232:$D$233,MATCH(LEFT(EC233,FIND("·",EC233)-1),$C$232:$C$233,0))=0,ABS(INDEX($A$232:$A$233,MATCH(LEFT(EC233,FIND("·",EC233)-1),$C$232:$C$233,0))-VALUE(MID(EC233,FIND("|",EC233)+1,FIND("-",EC233,FIND("|",EC233))-FIND("|",EC233)-1))),ABS(INDEX($Q$232:$Q$233,MATCH(LEFT(EC233,FIND("·",EC233)-1),$C$232:$C$233,0))-(VALUE(MID(EC233,FIND("|",EC233)+1,FIND("-",EC233,FIND("|",EC233))-FIND("|",EC233)-1))-VALUE(MID(EC233,FIND("-",EC233,FIND("|",EC233))+1,10)))))*$D$50)))))*INDEX($I$232:$I$233,MATCH(LEFT(EC233,FIND("·",EC233)-1),$C$232:$C$233,0)),0),0),0)</f>
        <v>0</v>
      </c>
      <c r="EE233" s="110"/>
      <c r="EF233" s="80" t="s">
        <v>2064</v>
      </c>
      <c r="EG233" s="81">
        <f t="shared" ref="EG233" ca="1" si="2991">IFERROR(IF(COUNTIF($K$232:$K$233,LEFT(EF233,FIND("·",EF233)-1))&gt;0,IF(INDEX($L$232:$L$233,MATCH(LEFT(EF233,FIND("·",EF233)-1),$K$232:$K$233,0))=IFERROR(VALUE(MID(EF233,FIND("·",EF233)+1,1)),0),($D$28+(INDEX($M$232:$M$233,MATCH(LEFT(EF233,FIND("·",EF233)-1),$K$232:$K$233,0))=MID(EF233,FIND("|",EF233)+1,10))*$D$30+MAX(0,IF($D$50=1,$D$29*(1-(ABS(INDEX($P$232:$P$233,MATCH(LEFT(EF233,FIND("·",EF233)-1),$K$232:$K$233,0))-(VALUE(MID(EF233,FIND("|",EF233)+1,FIND("-",EF233,FIND("|",EF233))-FIND("|",EF233)-1))-VALUE(MID(EF233,FIND("-",EF233,FIND("|",EF233))+1,10)))))*$D$50),$D$29*(1-(IF(INDEX($L$232:$L$233,MATCH(LEFT(EF233,FIND("·",EF233)-1),$K$232:$K$233,0))=0,ABS(INDEX($N$232:$N$233,MATCH(LEFT(EF233,FIND("·",EF233)-1),$K$232:$K$233,0))-VALUE(MID(EF233,FIND("|",EF233)+1,FIND("-",EF233,FIND("|",EF233))-FIND("|",EF233)-1))),ABS(INDEX($P$232:$P$233,MATCH(LEFT(EF233,FIND("·",EF233)-1),$K$232:$K$233,0))-(VALUE(MID(EF233,FIND("|",EF233)+1,FIND("-",EF233,FIND("|",EF233))-FIND("|",EF233)-1))-VALUE(MID(EF233,FIND("-",EF233,FIND("|",EF233))+1,10)))))*$D$50)))))*INDEX($I$232:$I$233,MATCH(LEFT(EF233,FIND("·",EF233)-1),$K$232:$K$233,0)),0),0),0)+IFERROR(IF(COUNTIF($C$232:$C$233,LEFT(EF233,FIND("·",EF233)-1))&gt;0,IF(INDEX($D$232:$D$233,MATCH(LEFT(EF233,FIND("·",EF233)-1),$C$232:$C$233,0))=IFERROR(VALUE(MID(EF233,FIND("·",EF233)+1,1)),0),($D$28+(INDEX($E$232:$E$233,MATCH(LEFT(EF233,FIND("·",EF233)-1),$C$232:$C$233,0))=MID(EF233,FIND("|",EF233)+1,10))*$D$30+MAX(0,IF($D$50=1,$D$29*(1-(ABS(INDEX($Q$232:$Q$233,MATCH(LEFT(EF233,FIND("·",EF233)-1),$C$232:$C$233,0))-(VALUE(MID(EF233,FIND("|",EF233)+1,FIND("-",EF233,FIND("|",EF233))-FIND("|",EF233)-1))-VALUE(MID(EF233,FIND("-",EF233,FIND("|",EF233))+1,10)))))*$D$50),$D$29*(1-(IF(INDEX($D$232:$D$233,MATCH(LEFT(EF233,FIND("·",EF233)-1),$C$232:$C$233,0))=0,ABS(INDEX($A$232:$A$233,MATCH(LEFT(EF233,FIND("·",EF233)-1),$C$232:$C$233,0))-VALUE(MID(EF233,FIND("|",EF233)+1,FIND("-",EF233,FIND("|",EF233))-FIND("|",EF233)-1))),ABS(INDEX($Q$232:$Q$233,MATCH(LEFT(EF233,FIND("·",EF233)-1),$C$232:$C$233,0))-(VALUE(MID(EF233,FIND("|",EF233)+1,FIND("-",EF233,FIND("|",EF233))-FIND("|",EF233)-1))-VALUE(MID(EF233,FIND("-",EF233,FIND("|",EF233))+1,10)))))*$D$50)))))*INDEX($I$232:$I$233,MATCH(LEFT(EF233,FIND("·",EF233)-1),$C$232:$C$233,0)),0),0),0)</f>
        <v>0</v>
      </c>
      <c r="EH233" s="110"/>
      <c r="EI233" s="80" t="s">
        <v>2124</v>
      </c>
      <c r="EJ233" s="81">
        <f t="shared" ref="EJ233" ca="1" si="2992">IFERROR(IF(COUNTIF($K$232:$K$233,LEFT(EI233,FIND("·",EI233)-1))&gt;0,IF(INDEX($L$232:$L$233,MATCH(LEFT(EI233,FIND("·",EI233)-1),$K$232:$K$233,0))=IFERROR(VALUE(MID(EI233,FIND("·",EI233)+1,1)),0),($D$28+(INDEX($M$232:$M$233,MATCH(LEFT(EI233,FIND("·",EI233)-1),$K$232:$K$233,0))=MID(EI233,FIND("|",EI233)+1,10))*$D$30+MAX(0,IF($D$50=1,$D$29*(1-(ABS(INDEX($P$232:$P$233,MATCH(LEFT(EI233,FIND("·",EI233)-1),$K$232:$K$233,0))-(VALUE(MID(EI233,FIND("|",EI233)+1,FIND("-",EI233,FIND("|",EI233))-FIND("|",EI233)-1))-VALUE(MID(EI233,FIND("-",EI233,FIND("|",EI233))+1,10)))))*$D$50),$D$29*(1-(IF(INDEX($L$232:$L$233,MATCH(LEFT(EI233,FIND("·",EI233)-1),$K$232:$K$233,0))=0,ABS(INDEX($N$232:$N$233,MATCH(LEFT(EI233,FIND("·",EI233)-1),$K$232:$K$233,0))-VALUE(MID(EI233,FIND("|",EI233)+1,FIND("-",EI233,FIND("|",EI233))-FIND("|",EI233)-1))),ABS(INDEX($P$232:$P$233,MATCH(LEFT(EI233,FIND("·",EI233)-1),$K$232:$K$233,0))-(VALUE(MID(EI233,FIND("|",EI233)+1,FIND("-",EI233,FIND("|",EI233))-FIND("|",EI233)-1))-VALUE(MID(EI233,FIND("-",EI233,FIND("|",EI233))+1,10)))))*$D$50)))))*INDEX($I$232:$I$233,MATCH(LEFT(EI233,FIND("·",EI233)-1),$K$232:$K$233,0)),0),0),0)+IFERROR(IF(COUNTIF($C$232:$C$233,LEFT(EI233,FIND("·",EI233)-1))&gt;0,IF(INDEX($D$232:$D$233,MATCH(LEFT(EI233,FIND("·",EI233)-1),$C$232:$C$233,0))=IFERROR(VALUE(MID(EI233,FIND("·",EI233)+1,1)),0),($D$28+(INDEX($E$232:$E$233,MATCH(LEFT(EI233,FIND("·",EI233)-1),$C$232:$C$233,0))=MID(EI233,FIND("|",EI233)+1,10))*$D$30+MAX(0,IF($D$50=1,$D$29*(1-(ABS(INDEX($Q$232:$Q$233,MATCH(LEFT(EI233,FIND("·",EI233)-1),$C$232:$C$233,0))-(VALUE(MID(EI233,FIND("|",EI233)+1,FIND("-",EI233,FIND("|",EI233))-FIND("|",EI233)-1))-VALUE(MID(EI233,FIND("-",EI233,FIND("|",EI233))+1,10)))))*$D$50),$D$29*(1-(IF(INDEX($D$232:$D$233,MATCH(LEFT(EI233,FIND("·",EI233)-1),$C$232:$C$233,0))=0,ABS(INDEX($A$232:$A$233,MATCH(LEFT(EI233,FIND("·",EI233)-1),$C$232:$C$233,0))-VALUE(MID(EI233,FIND("|",EI233)+1,FIND("-",EI233,FIND("|",EI233))-FIND("|",EI233)-1))),ABS(INDEX($Q$232:$Q$233,MATCH(LEFT(EI233,FIND("·",EI233)-1),$C$232:$C$233,0))-(VALUE(MID(EI233,FIND("|",EI233)+1,FIND("-",EI233,FIND("|",EI233))-FIND("|",EI233)-1))-VALUE(MID(EI233,FIND("-",EI233,FIND("|",EI233))+1,10)))))*$D$50)))))*INDEX($I$232:$I$233,MATCH(LEFT(EI233,FIND("·",EI233)-1),$C$232:$C$233,0)),0),0),0)</f>
        <v>0</v>
      </c>
      <c r="EK233" s="110"/>
      <c r="EL233" s="80" t="s">
        <v>2869</v>
      </c>
      <c r="EM233" s="81">
        <f t="shared" ref="EM233" ca="1" si="2993">IFERROR(IF(COUNTIF($K$232:$K$233,LEFT(EL233,FIND("·",EL233)-1))&gt;0,IF(INDEX($L$232:$L$233,MATCH(LEFT(EL233,FIND("·",EL233)-1),$K$232:$K$233,0))=IFERROR(VALUE(MID(EL233,FIND("·",EL233)+1,1)),0),($D$28+(INDEX($M$232:$M$233,MATCH(LEFT(EL233,FIND("·",EL233)-1),$K$232:$K$233,0))=MID(EL233,FIND("|",EL233)+1,10))*$D$30+MAX(0,IF($D$50=1,$D$29*(1-(ABS(INDEX($P$232:$P$233,MATCH(LEFT(EL233,FIND("·",EL233)-1),$K$232:$K$233,0))-(VALUE(MID(EL233,FIND("|",EL233)+1,FIND("-",EL233,FIND("|",EL233))-FIND("|",EL233)-1))-VALUE(MID(EL233,FIND("-",EL233,FIND("|",EL233))+1,10)))))*$D$50),$D$29*(1-(IF(INDEX($L$232:$L$233,MATCH(LEFT(EL233,FIND("·",EL233)-1),$K$232:$K$233,0))=0,ABS(INDEX($N$232:$N$233,MATCH(LEFT(EL233,FIND("·",EL233)-1),$K$232:$K$233,0))-VALUE(MID(EL233,FIND("|",EL233)+1,FIND("-",EL233,FIND("|",EL233))-FIND("|",EL233)-1))),ABS(INDEX($P$232:$P$233,MATCH(LEFT(EL233,FIND("·",EL233)-1),$K$232:$K$233,0))-(VALUE(MID(EL233,FIND("|",EL233)+1,FIND("-",EL233,FIND("|",EL233))-FIND("|",EL233)-1))-VALUE(MID(EL233,FIND("-",EL233,FIND("|",EL233))+1,10)))))*$D$50)))))*INDEX($I$232:$I$233,MATCH(LEFT(EL233,FIND("·",EL233)-1),$K$232:$K$233,0)),0),0),0)+IFERROR(IF(COUNTIF($C$232:$C$233,LEFT(EL233,FIND("·",EL233)-1))&gt;0,IF(INDEX($D$232:$D$233,MATCH(LEFT(EL233,FIND("·",EL233)-1),$C$232:$C$233,0))=IFERROR(VALUE(MID(EL233,FIND("·",EL233)+1,1)),0),($D$28+(INDEX($E$232:$E$233,MATCH(LEFT(EL233,FIND("·",EL233)-1),$C$232:$C$233,0))=MID(EL233,FIND("|",EL233)+1,10))*$D$30+MAX(0,IF($D$50=1,$D$29*(1-(ABS(INDEX($Q$232:$Q$233,MATCH(LEFT(EL233,FIND("·",EL233)-1),$C$232:$C$233,0))-(VALUE(MID(EL233,FIND("|",EL233)+1,FIND("-",EL233,FIND("|",EL233))-FIND("|",EL233)-1))-VALUE(MID(EL233,FIND("-",EL233,FIND("|",EL233))+1,10)))))*$D$50),$D$29*(1-(IF(INDEX($D$232:$D$233,MATCH(LEFT(EL233,FIND("·",EL233)-1),$C$232:$C$233,0))=0,ABS(INDEX($A$232:$A$233,MATCH(LEFT(EL233,FIND("·",EL233)-1),$C$232:$C$233,0))-VALUE(MID(EL233,FIND("|",EL233)+1,FIND("-",EL233,FIND("|",EL233))-FIND("|",EL233)-1))),ABS(INDEX($Q$232:$Q$233,MATCH(LEFT(EL233,FIND("·",EL233)-1),$C$232:$C$233,0))-(VALUE(MID(EL233,FIND("|",EL233)+1,FIND("-",EL233,FIND("|",EL233))-FIND("|",EL233)-1))-VALUE(MID(EL233,FIND("-",EL233,FIND("|",EL233))+1,10)))))*$D$50)))))*INDEX($I$232:$I$233,MATCH(LEFT(EL233,FIND("·",EL233)-1),$C$232:$C$233,0)),0),0),0)</f>
        <v>0</v>
      </c>
      <c r="EN233" s="110"/>
      <c r="EO233" s="80" t="s">
        <v>2508</v>
      </c>
      <c r="EP233" s="81">
        <f t="shared" ref="EP233" ca="1" si="2994">IFERROR(IF(COUNTIF($K$232:$K$233,LEFT(EO233,FIND("·",EO233)-1))&gt;0,IF(INDEX($L$232:$L$233,MATCH(LEFT(EO233,FIND("·",EO233)-1),$K$232:$K$233,0))=IFERROR(VALUE(MID(EO233,FIND("·",EO233)+1,1)),0),($D$28+(INDEX($M$232:$M$233,MATCH(LEFT(EO233,FIND("·",EO233)-1),$K$232:$K$233,0))=MID(EO233,FIND("|",EO233)+1,10))*$D$30+MAX(0,IF($D$50=1,$D$29*(1-(ABS(INDEX($P$232:$P$233,MATCH(LEFT(EO233,FIND("·",EO233)-1),$K$232:$K$233,0))-(VALUE(MID(EO233,FIND("|",EO233)+1,FIND("-",EO233,FIND("|",EO233))-FIND("|",EO233)-1))-VALUE(MID(EO233,FIND("-",EO233,FIND("|",EO233))+1,10)))))*$D$50),$D$29*(1-(IF(INDEX($L$232:$L$233,MATCH(LEFT(EO233,FIND("·",EO233)-1),$K$232:$K$233,0))=0,ABS(INDEX($N$232:$N$233,MATCH(LEFT(EO233,FIND("·",EO233)-1),$K$232:$K$233,0))-VALUE(MID(EO233,FIND("|",EO233)+1,FIND("-",EO233,FIND("|",EO233))-FIND("|",EO233)-1))),ABS(INDEX($P$232:$P$233,MATCH(LEFT(EO233,FIND("·",EO233)-1),$K$232:$K$233,0))-(VALUE(MID(EO233,FIND("|",EO233)+1,FIND("-",EO233,FIND("|",EO233))-FIND("|",EO233)-1))-VALUE(MID(EO233,FIND("-",EO233,FIND("|",EO233))+1,10)))))*$D$50)))))*INDEX($I$232:$I$233,MATCH(LEFT(EO233,FIND("·",EO233)-1),$K$232:$K$233,0)),0),0),0)+IFERROR(IF(COUNTIF($C$232:$C$233,LEFT(EO233,FIND("·",EO233)-1))&gt;0,IF(INDEX($D$232:$D$233,MATCH(LEFT(EO233,FIND("·",EO233)-1),$C$232:$C$233,0))=IFERROR(VALUE(MID(EO233,FIND("·",EO233)+1,1)),0),($D$28+(INDEX($E$232:$E$233,MATCH(LEFT(EO233,FIND("·",EO233)-1),$C$232:$C$233,0))=MID(EO233,FIND("|",EO233)+1,10))*$D$30+MAX(0,IF($D$50=1,$D$29*(1-(ABS(INDEX($Q$232:$Q$233,MATCH(LEFT(EO233,FIND("·",EO233)-1),$C$232:$C$233,0))-(VALUE(MID(EO233,FIND("|",EO233)+1,FIND("-",EO233,FIND("|",EO233))-FIND("|",EO233)-1))-VALUE(MID(EO233,FIND("-",EO233,FIND("|",EO233))+1,10)))))*$D$50),$D$29*(1-(IF(INDEX($D$232:$D$233,MATCH(LEFT(EO233,FIND("·",EO233)-1),$C$232:$C$233,0))=0,ABS(INDEX($A$232:$A$233,MATCH(LEFT(EO233,FIND("·",EO233)-1),$C$232:$C$233,0))-VALUE(MID(EO233,FIND("|",EO233)+1,FIND("-",EO233,FIND("|",EO233))-FIND("|",EO233)-1))),ABS(INDEX($Q$232:$Q$233,MATCH(LEFT(EO233,FIND("·",EO233)-1),$C$232:$C$233,0))-(VALUE(MID(EO233,FIND("|",EO233)+1,FIND("-",EO233,FIND("|",EO233))-FIND("|",EO233)-1))-VALUE(MID(EO233,FIND("-",EO233,FIND("|",EO233))+1,10)))))*$D$50)))))*INDEX($I$232:$I$233,MATCH(LEFT(EO233,FIND("·",EO233)-1),$C$232:$C$233,0)),0),0),0)</f>
        <v>0</v>
      </c>
      <c r="EQ233" s="110"/>
      <c r="ER233" s="80" t="s">
        <v>2098</v>
      </c>
      <c r="ES233" s="81">
        <f t="shared" ref="ES233" ca="1" si="2995">IFERROR(IF(COUNTIF($K$232:$K$233,LEFT(ER233,FIND("·",ER233)-1))&gt;0,IF(INDEX($L$232:$L$233,MATCH(LEFT(ER233,FIND("·",ER233)-1),$K$232:$K$233,0))=IFERROR(VALUE(MID(ER233,FIND("·",ER233)+1,1)),0),($D$28+(INDEX($M$232:$M$233,MATCH(LEFT(ER233,FIND("·",ER233)-1),$K$232:$K$233,0))=MID(ER233,FIND("|",ER233)+1,10))*$D$30+MAX(0,IF($D$50=1,$D$29*(1-(ABS(INDEX($P$232:$P$233,MATCH(LEFT(ER233,FIND("·",ER233)-1),$K$232:$K$233,0))-(VALUE(MID(ER233,FIND("|",ER233)+1,FIND("-",ER233,FIND("|",ER233))-FIND("|",ER233)-1))-VALUE(MID(ER233,FIND("-",ER233,FIND("|",ER233))+1,10)))))*$D$50),$D$29*(1-(IF(INDEX($L$232:$L$233,MATCH(LEFT(ER233,FIND("·",ER233)-1),$K$232:$K$233,0))=0,ABS(INDEX($N$232:$N$233,MATCH(LEFT(ER233,FIND("·",ER233)-1),$K$232:$K$233,0))-VALUE(MID(ER233,FIND("|",ER233)+1,FIND("-",ER233,FIND("|",ER233))-FIND("|",ER233)-1))),ABS(INDEX($P$232:$P$233,MATCH(LEFT(ER233,FIND("·",ER233)-1),$K$232:$K$233,0))-(VALUE(MID(ER233,FIND("|",ER233)+1,FIND("-",ER233,FIND("|",ER233))-FIND("|",ER233)-1))-VALUE(MID(ER233,FIND("-",ER233,FIND("|",ER233))+1,10)))))*$D$50)))))*INDEX($I$232:$I$233,MATCH(LEFT(ER233,FIND("·",ER233)-1),$K$232:$K$233,0)),0),0),0)+IFERROR(IF(COUNTIF($C$232:$C$233,LEFT(ER233,FIND("·",ER233)-1))&gt;0,IF(INDEX($D$232:$D$233,MATCH(LEFT(ER233,FIND("·",ER233)-1),$C$232:$C$233,0))=IFERROR(VALUE(MID(ER233,FIND("·",ER233)+1,1)),0),($D$28+(INDEX($E$232:$E$233,MATCH(LEFT(ER233,FIND("·",ER233)-1),$C$232:$C$233,0))=MID(ER233,FIND("|",ER233)+1,10))*$D$30+MAX(0,IF($D$50=1,$D$29*(1-(ABS(INDEX($Q$232:$Q$233,MATCH(LEFT(ER233,FIND("·",ER233)-1),$C$232:$C$233,0))-(VALUE(MID(ER233,FIND("|",ER233)+1,FIND("-",ER233,FIND("|",ER233))-FIND("|",ER233)-1))-VALUE(MID(ER233,FIND("-",ER233,FIND("|",ER233))+1,10)))))*$D$50),$D$29*(1-(IF(INDEX($D$232:$D$233,MATCH(LEFT(ER233,FIND("·",ER233)-1),$C$232:$C$233,0))=0,ABS(INDEX($A$232:$A$233,MATCH(LEFT(ER233,FIND("·",ER233)-1),$C$232:$C$233,0))-VALUE(MID(ER233,FIND("|",ER233)+1,FIND("-",ER233,FIND("|",ER233))-FIND("|",ER233)-1))),ABS(INDEX($Q$232:$Q$233,MATCH(LEFT(ER233,FIND("·",ER233)-1),$C$232:$C$233,0))-(VALUE(MID(ER233,FIND("|",ER233)+1,FIND("-",ER233,FIND("|",ER233))-FIND("|",ER233)-1))-VALUE(MID(ER233,FIND("-",ER233,FIND("|",ER233))+1,10)))))*$D$50)))))*INDEX($I$232:$I$233,MATCH(LEFT(ER233,FIND("·",ER233)-1),$C$232:$C$233,0)),0),0),0)</f>
        <v>0</v>
      </c>
      <c r="ET233" s="110"/>
      <c r="EU233" s="80" t="s">
        <v>2912</v>
      </c>
      <c r="EV233" s="81">
        <f t="shared" ref="EV233" ca="1" si="2996">IFERROR(IF(COUNTIF($K$232:$K$233,LEFT(EU233,FIND("·",EU233)-1))&gt;0,IF(INDEX($L$232:$L$233,MATCH(LEFT(EU233,FIND("·",EU233)-1),$K$232:$K$233,0))=IFERROR(VALUE(MID(EU233,FIND("·",EU233)+1,1)),0),($D$28+(INDEX($M$232:$M$233,MATCH(LEFT(EU233,FIND("·",EU233)-1),$K$232:$K$233,0))=MID(EU233,FIND("|",EU233)+1,10))*$D$30+MAX(0,IF($D$50=1,$D$29*(1-(ABS(INDEX($P$232:$P$233,MATCH(LEFT(EU233,FIND("·",EU233)-1),$K$232:$K$233,0))-(VALUE(MID(EU233,FIND("|",EU233)+1,FIND("-",EU233,FIND("|",EU233))-FIND("|",EU233)-1))-VALUE(MID(EU233,FIND("-",EU233,FIND("|",EU233))+1,10)))))*$D$50),$D$29*(1-(IF(INDEX($L$232:$L$233,MATCH(LEFT(EU233,FIND("·",EU233)-1),$K$232:$K$233,0))=0,ABS(INDEX($N$232:$N$233,MATCH(LEFT(EU233,FIND("·",EU233)-1),$K$232:$K$233,0))-VALUE(MID(EU233,FIND("|",EU233)+1,FIND("-",EU233,FIND("|",EU233))-FIND("|",EU233)-1))),ABS(INDEX($P$232:$P$233,MATCH(LEFT(EU233,FIND("·",EU233)-1),$K$232:$K$233,0))-(VALUE(MID(EU233,FIND("|",EU233)+1,FIND("-",EU233,FIND("|",EU233))-FIND("|",EU233)-1))-VALUE(MID(EU233,FIND("-",EU233,FIND("|",EU233))+1,10)))))*$D$50)))))*INDEX($I$232:$I$233,MATCH(LEFT(EU233,FIND("·",EU233)-1),$K$232:$K$233,0)),0),0),0)+IFERROR(IF(COUNTIF($C$232:$C$233,LEFT(EU233,FIND("·",EU233)-1))&gt;0,IF(INDEX($D$232:$D$233,MATCH(LEFT(EU233,FIND("·",EU233)-1),$C$232:$C$233,0))=IFERROR(VALUE(MID(EU233,FIND("·",EU233)+1,1)),0),($D$28+(INDEX($E$232:$E$233,MATCH(LEFT(EU233,FIND("·",EU233)-1),$C$232:$C$233,0))=MID(EU233,FIND("|",EU233)+1,10))*$D$30+MAX(0,IF($D$50=1,$D$29*(1-(ABS(INDEX($Q$232:$Q$233,MATCH(LEFT(EU233,FIND("·",EU233)-1),$C$232:$C$233,0))-(VALUE(MID(EU233,FIND("|",EU233)+1,FIND("-",EU233,FIND("|",EU233))-FIND("|",EU233)-1))-VALUE(MID(EU233,FIND("-",EU233,FIND("|",EU233))+1,10)))))*$D$50),$D$29*(1-(IF(INDEX($D$232:$D$233,MATCH(LEFT(EU233,FIND("·",EU233)-1),$C$232:$C$233,0))=0,ABS(INDEX($A$232:$A$233,MATCH(LEFT(EU233,FIND("·",EU233)-1),$C$232:$C$233,0))-VALUE(MID(EU233,FIND("|",EU233)+1,FIND("-",EU233,FIND("|",EU233))-FIND("|",EU233)-1))),ABS(INDEX($Q$232:$Q$233,MATCH(LEFT(EU233,FIND("·",EU233)-1),$C$232:$C$233,0))-(VALUE(MID(EU233,FIND("|",EU233)+1,FIND("-",EU233,FIND("|",EU233))-FIND("|",EU233)-1))-VALUE(MID(EU233,FIND("-",EU233,FIND("|",EU233))+1,10)))))*$D$50)))))*INDEX($I$232:$I$233,MATCH(LEFT(EU233,FIND("·",EU233)-1),$C$232:$C$233,0)),0),0),0)</f>
        <v>0</v>
      </c>
      <c r="EW233" s="110"/>
      <c r="EX233" s="80" t="s">
        <v>2064</v>
      </c>
      <c r="EY233" s="81">
        <f t="shared" ref="EY233" ca="1" si="2997">IFERROR(IF(COUNTIF($K$232:$K$233,LEFT(EX233,FIND("·",EX233)-1))&gt;0,IF(INDEX($L$232:$L$233,MATCH(LEFT(EX233,FIND("·",EX233)-1),$K$232:$K$233,0))=IFERROR(VALUE(MID(EX233,FIND("·",EX233)+1,1)),0),($D$28+(INDEX($M$232:$M$233,MATCH(LEFT(EX233,FIND("·",EX233)-1),$K$232:$K$233,0))=MID(EX233,FIND("|",EX233)+1,10))*$D$30+MAX(0,IF($D$50=1,$D$29*(1-(ABS(INDEX($P$232:$P$233,MATCH(LEFT(EX233,FIND("·",EX233)-1),$K$232:$K$233,0))-(VALUE(MID(EX233,FIND("|",EX233)+1,FIND("-",EX233,FIND("|",EX233))-FIND("|",EX233)-1))-VALUE(MID(EX233,FIND("-",EX233,FIND("|",EX233))+1,10)))))*$D$50),$D$29*(1-(IF(INDEX($L$232:$L$233,MATCH(LEFT(EX233,FIND("·",EX233)-1),$K$232:$K$233,0))=0,ABS(INDEX($N$232:$N$233,MATCH(LEFT(EX233,FIND("·",EX233)-1),$K$232:$K$233,0))-VALUE(MID(EX233,FIND("|",EX233)+1,FIND("-",EX233,FIND("|",EX233))-FIND("|",EX233)-1))),ABS(INDEX($P$232:$P$233,MATCH(LEFT(EX233,FIND("·",EX233)-1),$K$232:$K$233,0))-(VALUE(MID(EX233,FIND("|",EX233)+1,FIND("-",EX233,FIND("|",EX233))-FIND("|",EX233)-1))-VALUE(MID(EX233,FIND("-",EX233,FIND("|",EX233))+1,10)))))*$D$50)))))*INDEX($I$232:$I$233,MATCH(LEFT(EX233,FIND("·",EX233)-1),$K$232:$K$233,0)),0),0),0)+IFERROR(IF(COUNTIF($C$232:$C$233,LEFT(EX233,FIND("·",EX233)-1))&gt;0,IF(INDEX($D$232:$D$233,MATCH(LEFT(EX233,FIND("·",EX233)-1),$C$232:$C$233,0))=IFERROR(VALUE(MID(EX233,FIND("·",EX233)+1,1)),0),($D$28+(INDEX($E$232:$E$233,MATCH(LEFT(EX233,FIND("·",EX233)-1),$C$232:$C$233,0))=MID(EX233,FIND("|",EX233)+1,10))*$D$30+MAX(0,IF($D$50=1,$D$29*(1-(ABS(INDEX($Q$232:$Q$233,MATCH(LEFT(EX233,FIND("·",EX233)-1),$C$232:$C$233,0))-(VALUE(MID(EX233,FIND("|",EX233)+1,FIND("-",EX233,FIND("|",EX233))-FIND("|",EX233)-1))-VALUE(MID(EX233,FIND("-",EX233,FIND("|",EX233))+1,10)))))*$D$50),$D$29*(1-(IF(INDEX($D$232:$D$233,MATCH(LEFT(EX233,FIND("·",EX233)-1),$C$232:$C$233,0))=0,ABS(INDEX($A$232:$A$233,MATCH(LEFT(EX233,FIND("·",EX233)-1),$C$232:$C$233,0))-VALUE(MID(EX233,FIND("|",EX233)+1,FIND("-",EX233,FIND("|",EX233))-FIND("|",EX233)-1))),ABS(INDEX($Q$232:$Q$233,MATCH(LEFT(EX233,FIND("·",EX233)-1),$C$232:$C$233,0))-(VALUE(MID(EX233,FIND("|",EX233)+1,FIND("-",EX233,FIND("|",EX233))-FIND("|",EX233)-1))-VALUE(MID(EX233,FIND("-",EX233,FIND("|",EX233))+1,10)))))*$D$50)))))*INDEX($I$232:$I$233,MATCH(LEFT(EX233,FIND("·",EX233)-1),$C$232:$C$233,0)),0),0),0)</f>
        <v>0</v>
      </c>
      <c r="EZ233" s="110"/>
      <c r="FA233" s="80" t="s">
        <v>2464</v>
      </c>
      <c r="FB233" s="81">
        <f t="shared" ref="FB233" ca="1" si="2998">IFERROR(IF(COUNTIF($K$232:$K$233,LEFT(FA233,FIND("·",FA233)-1))&gt;0,IF(INDEX($L$232:$L$233,MATCH(LEFT(FA233,FIND("·",FA233)-1),$K$232:$K$233,0))=IFERROR(VALUE(MID(FA233,FIND("·",FA233)+1,1)),0),($D$28+(INDEX($M$232:$M$233,MATCH(LEFT(FA233,FIND("·",FA233)-1),$K$232:$K$233,0))=MID(FA233,FIND("|",FA233)+1,10))*$D$30+MAX(0,IF($D$50=1,$D$29*(1-(ABS(INDEX($P$232:$P$233,MATCH(LEFT(FA233,FIND("·",FA233)-1),$K$232:$K$233,0))-(VALUE(MID(FA233,FIND("|",FA233)+1,FIND("-",FA233,FIND("|",FA233))-FIND("|",FA233)-1))-VALUE(MID(FA233,FIND("-",FA233,FIND("|",FA233))+1,10)))))*$D$50),$D$29*(1-(IF(INDEX($L$232:$L$233,MATCH(LEFT(FA233,FIND("·",FA233)-1),$K$232:$K$233,0))=0,ABS(INDEX($N$232:$N$233,MATCH(LEFT(FA233,FIND("·",FA233)-1),$K$232:$K$233,0))-VALUE(MID(FA233,FIND("|",FA233)+1,FIND("-",FA233,FIND("|",FA233))-FIND("|",FA233)-1))),ABS(INDEX($P$232:$P$233,MATCH(LEFT(FA233,FIND("·",FA233)-1),$K$232:$K$233,0))-(VALUE(MID(FA233,FIND("|",FA233)+1,FIND("-",FA233,FIND("|",FA233))-FIND("|",FA233)-1))-VALUE(MID(FA233,FIND("-",FA233,FIND("|",FA233))+1,10)))))*$D$50)))))*INDEX($I$232:$I$233,MATCH(LEFT(FA233,FIND("·",FA233)-1),$K$232:$K$233,0)),0),0),0)+IFERROR(IF(COUNTIF($C$232:$C$233,LEFT(FA233,FIND("·",FA233)-1))&gt;0,IF(INDEX($D$232:$D$233,MATCH(LEFT(FA233,FIND("·",FA233)-1),$C$232:$C$233,0))=IFERROR(VALUE(MID(FA233,FIND("·",FA233)+1,1)),0),($D$28+(INDEX($E$232:$E$233,MATCH(LEFT(FA233,FIND("·",FA233)-1),$C$232:$C$233,0))=MID(FA233,FIND("|",FA233)+1,10))*$D$30+MAX(0,IF($D$50=1,$D$29*(1-(ABS(INDEX($Q$232:$Q$233,MATCH(LEFT(FA233,FIND("·",FA233)-1),$C$232:$C$233,0))-(VALUE(MID(FA233,FIND("|",FA233)+1,FIND("-",FA233,FIND("|",FA233))-FIND("|",FA233)-1))-VALUE(MID(FA233,FIND("-",FA233,FIND("|",FA233))+1,10)))))*$D$50),$D$29*(1-(IF(INDEX($D$232:$D$233,MATCH(LEFT(FA233,FIND("·",FA233)-1),$C$232:$C$233,0))=0,ABS(INDEX($A$232:$A$233,MATCH(LEFT(FA233,FIND("·",FA233)-1),$C$232:$C$233,0))-VALUE(MID(FA233,FIND("|",FA233)+1,FIND("-",FA233,FIND("|",FA233))-FIND("|",FA233)-1))),ABS(INDEX($Q$232:$Q$233,MATCH(LEFT(FA233,FIND("·",FA233)-1),$C$232:$C$233,0))-(VALUE(MID(FA233,FIND("|",FA233)+1,FIND("-",FA233,FIND("|",FA233))-FIND("|",FA233)-1))-VALUE(MID(FA233,FIND("-",FA233,FIND("|",FA233))+1,10)))))*$D$50)))))*INDEX($I$232:$I$233,MATCH(LEFT(FA233,FIND("·",FA233)-1),$C$232:$C$233,0)),0),0),0)</f>
        <v>0</v>
      </c>
      <c r="FC233" s="110"/>
      <c r="FD233" s="80" t="s">
        <v>2566</v>
      </c>
      <c r="FE233" s="81">
        <f t="shared" ref="FE233" ca="1" si="2999">IFERROR(IF(COUNTIF($K$232:$K$233,LEFT(FD233,FIND("·",FD233)-1))&gt;0,IF(INDEX($L$232:$L$233,MATCH(LEFT(FD233,FIND("·",FD233)-1),$K$232:$K$233,0))=IFERROR(VALUE(MID(FD233,FIND("·",FD233)+1,1)),0),($D$28+(INDEX($M$232:$M$233,MATCH(LEFT(FD233,FIND("·",FD233)-1),$K$232:$K$233,0))=MID(FD233,FIND("|",FD233)+1,10))*$D$30+MAX(0,IF($D$50=1,$D$29*(1-(ABS(INDEX($P$232:$P$233,MATCH(LEFT(FD233,FIND("·",FD233)-1),$K$232:$K$233,0))-(VALUE(MID(FD233,FIND("|",FD233)+1,FIND("-",FD233,FIND("|",FD233))-FIND("|",FD233)-1))-VALUE(MID(FD233,FIND("-",FD233,FIND("|",FD233))+1,10)))))*$D$50),$D$29*(1-(IF(INDEX($L$232:$L$233,MATCH(LEFT(FD233,FIND("·",FD233)-1),$K$232:$K$233,0))=0,ABS(INDEX($N$232:$N$233,MATCH(LEFT(FD233,FIND("·",FD233)-1),$K$232:$K$233,0))-VALUE(MID(FD233,FIND("|",FD233)+1,FIND("-",FD233,FIND("|",FD233))-FIND("|",FD233)-1))),ABS(INDEX($P$232:$P$233,MATCH(LEFT(FD233,FIND("·",FD233)-1),$K$232:$K$233,0))-(VALUE(MID(FD233,FIND("|",FD233)+1,FIND("-",FD233,FIND("|",FD233))-FIND("|",FD233)-1))-VALUE(MID(FD233,FIND("-",FD233,FIND("|",FD233))+1,10)))))*$D$50)))))*INDEX($I$232:$I$233,MATCH(LEFT(FD233,FIND("·",FD233)-1),$K$232:$K$233,0)),0),0),0)+IFERROR(IF(COUNTIF($C$232:$C$233,LEFT(FD233,FIND("·",FD233)-1))&gt;0,IF(INDEX($D$232:$D$233,MATCH(LEFT(FD233,FIND("·",FD233)-1),$C$232:$C$233,0))=IFERROR(VALUE(MID(FD233,FIND("·",FD233)+1,1)),0),($D$28+(INDEX($E$232:$E$233,MATCH(LEFT(FD233,FIND("·",FD233)-1),$C$232:$C$233,0))=MID(FD233,FIND("|",FD233)+1,10))*$D$30+MAX(0,IF($D$50=1,$D$29*(1-(ABS(INDEX($Q$232:$Q$233,MATCH(LEFT(FD233,FIND("·",FD233)-1),$C$232:$C$233,0))-(VALUE(MID(FD233,FIND("|",FD233)+1,FIND("-",FD233,FIND("|",FD233))-FIND("|",FD233)-1))-VALUE(MID(FD233,FIND("-",FD233,FIND("|",FD233))+1,10)))))*$D$50),$D$29*(1-(IF(INDEX($D$232:$D$233,MATCH(LEFT(FD233,FIND("·",FD233)-1),$C$232:$C$233,0))=0,ABS(INDEX($A$232:$A$233,MATCH(LEFT(FD233,FIND("·",FD233)-1),$C$232:$C$233,0))-VALUE(MID(FD233,FIND("|",FD233)+1,FIND("-",FD233,FIND("|",FD233))-FIND("|",FD233)-1))),ABS(INDEX($Q$232:$Q$233,MATCH(LEFT(FD233,FIND("·",FD233)-1),$C$232:$C$233,0))-(VALUE(MID(FD233,FIND("|",FD233)+1,FIND("-",FD233,FIND("|",FD233))-FIND("|",FD233)-1))-VALUE(MID(FD233,FIND("-",FD233,FIND("|",FD233))+1,10)))))*$D$50)))))*INDEX($I$232:$I$233,MATCH(LEFT(FD233,FIND("·",FD233)-1),$C$232:$C$233,0)),0),0),0)</f>
        <v>0</v>
      </c>
      <c r="FF233" s="110"/>
      <c r="FG233" s="80" t="s">
        <v>2464</v>
      </c>
      <c r="FH233" s="81">
        <f t="shared" ref="FH233" ca="1" si="3000">IFERROR(IF(COUNTIF($K$232:$K$233,LEFT(FG233,FIND("·",FG233)-1))&gt;0,IF(INDEX($L$232:$L$233,MATCH(LEFT(FG233,FIND("·",FG233)-1),$K$232:$K$233,0))=IFERROR(VALUE(MID(FG233,FIND("·",FG233)+1,1)),0),($D$28+(INDEX($M$232:$M$233,MATCH(LEFT(FG233,FIND("·",FG233)-1),$K$232:$K$233,0))=MID(FG233,FIND("|",FG233)+1,10))*$D$30+MAX(0,IF($D$50=1,$D$29*(1-(ABS(INDEX($P$232:$P$233,MATCH(LEFT(FG233,FIND("·",FG233)-1),$K$232:$K$233,0))-(VALUE(MID(FG233,FIND("|",FG233)+1,FIND("-",FG233,FIND("|",FG233))-FIND("|",FG233)-1))-VALUE(MID(FG233,FIND("-",FG233,FIND("|",FG233))+1,10)))))*$D$50),$D$29*(1-(IF(INDEX($L$232:$L$233,MATCH(LEFT(FG233,FIND("·",FG233)-1),$K$232:$K$233,0))=0,ABS(INDEX($N$232:$N$233,MATCH(LEFT(FG233,FIND("·",FG233)-1),$K$232:$K$233,0))-VALUE(MID(FG233,FIND("|",FG233)+1,FIND("-",FG233,FIND("|",FG233))-FIND("|",FG233)-1))),ABS(INDEX($P$232:$P$233,MATCH(LEFT(FG233,FIND("·",FG233)-1),$K$232:$K$233,0))-(VALUE(MID(FG233,FIND("|",FG233)+1,FIND("-",FG233,FIND("|",FG233))-FIND("|",FG233)-1))-VALUE(MID(FG233,FIND("-",FG233,FIND("|",FG233))+1,10)))))*$D$50)))))*INDEX($I$232:$I$233,MATCH(LEFT(FG233,FIND("·",FG233)-1),$K$232:$K$233,0)),0),0),0)+IFERROR(IF(COUNTIF($C$232:$C$233,LEFT(FG233,FIND("·",FG233)-1))&gt;0,IF(INDEX($D$232:$D$233,MATCH(LEFT(FG233,FIND("·",FG233)-1),$C$232:$C$233,0))=IFERROR(VALUE(MID(FG233,FIND("·",FG233)+1,1)),0),($D$28+(INDEX($E$232:$E$233,MATCH(LEFT(FG233,FIND("·",FG233)-1),$C$232:$C$233,0))=MID(FG233,FIND("|",FG233)+1,10))*$D$30+MAX(0,IF($D$50=1,$D$29*(1-(ABS(INDEX($Q$232:$Q$233,MATCH(LEFT(FG233,FIND("·",FG233)-1),$C$232:$C$233,0))-(VALUE(MID(FG233,FIND("|",FG233)+1,FIND("-",FG233,FIND("|",FG233))-FIND("|",FG233)-1))-VALUE(MID(FG233,FIND("-",FG233,FIND("|",FG233))+1,10)))))*$D$50),$D$29*(1-(IF(INDEX($D$232:$D$233,MATCH(LEFT(FG233,FIND("·",FG233)-1),$C$232:$C$233,0))=0,ABS(INDEX($A$232:$A$233,MATCH(LEFT(FG233,FIND("·",FG233)-1),$C$232:$C$233,0))-VALUE(MID(FG233,FIND("|",FG233)+1,FIND("-",FG233,FIND("|",FG233))-FIND("|",FG233)-1))),ABS(INDEX($Q$232:$Q$233,MATCH(LEFT(FG233,FIND("·",FG233)-1),$C$232:$C$233,0))-(VALUE(MID(FG233,FIND("|",FG233)+1,FIND("-",FG233,FIND("|",FG233))-FIND("|",FG233)-1))-VALUE(MID(FG233,FIND("-",FG233,FIND("|",FG233))+1,10)))))*$D$50)))))*INDEX($I$232:$I$233,MATCH(LEFT(FG233,FIND("·",FG233)-1),$C$232:$C$233,0)),0),0),0)</f>
        <v>0</v>
      </c>
      <c r="FI233" s="110"/>
      <c r="FJ233" s="80" t="s">
        <v>2717</v>
      </c>
      <c r="FK233" s="81">
        <f t="shared" ref="FK233" ca="1" si="3001">IFERROR(IF(COUNTIF($K$232:$K$233,LEFT(FJ233,FIND("·",FJ233)-1))&gt;0,IF(INDEX($L$232:$L$233,MATCH(LEFT(FJ233,FIND("·",FJ233)-1),$K$232:$K$233,0))=IFERROR(VALUE(MID(FJ233,FIND("·",FJ233)+1,1)),0),($D$28+(INDEX($M$232:$M$233,MATCH(LEFT(FJ233,FIND("·",FJ233)-1),$K$232:$K$233,0))=MID(FJ233,FIND("|",FJ233)+1,10))*$D$30+MAX(0,IF($D$50=1,$D$29*(1-(ABS(INDEX($P$232:$P$233,MATCH(LEFT(FJ233,FIND("·",FJ233)-1),$K$232:$K$233,0))-(VALUE(MID(FJ233,FIND("|",FJ233)+1,FIND("-",FJ233,FIND("|",FJ233))-FIND("|",FJ233)-1))-VALUE(MID(FJ233,FIND("-",FJ233,FIND("|",FJ233))+1,10)))))*$D$50),$D$29*(1-(IF(INDEX($L$232:$L$233,MATCH(LEFT(FJ233,FIND("·",FJ233)-1),$K$232:$K$233,0))=0,ABS(INDEX($N$232:$N$233,MATCH(LEFT(FJ233,FIND("·",FJ233)-1),$K$232:$K$233,0))-VALUE(MID(FJ233,FIND("|",FJ233)+1,FIND("-",FJ233,FIND("|",FJ233))-FIND("|",FJ233)-1))),ABS(INDEX($P$232:$P$233,MATCH(LEFT(FJ233,FIND("·",FJ233)-1),$K$232:$K$233,0))-(VALUE(MID(FJ233,FIND("|",FJ233)+1,FIND("-",FJ233,FIND("|",FJ233))-FIND("|",FJ233)-1))-VALUE(MID(FJ233,FIND("-",FJ233,FIND("|",FJ233))+1,10)))))*$D$50)))))*INDEX($I$232:$I$233,MATCH(LEFT(FJ233,FIND("·",FJ233)-1),$K$232:$K$233,0)),0),0),0)+IFERROR(IF(COUNTIF($C$232:$C$233,LEFT(FJ233,FIND("·",FJ233)-1))&gt;0,IF(INDEX($D$232:$D$233,MATCH(LEFT(FJ233,FIND("·",FJ233)-1),$C$232:$C$233,0))=IFERROR(VALUE(MID(FJ233,FIND("·",FJ233)+1,1)),0),($D$28+(INDEX($E$232:$E$233,MATCH(LEFT(FJ233,FIND("·",FJ233)-1),$C$232:$C$233,0))=MID(FJ233,FIND("|",FJ233)+1,10))*$D$30+MAX(0,IF($D$50=1,$D$29*(1-(ABS(INDEX($Q$232:$Q$233,MATCH(LEFT(FJ233,FIND("·",FJ233)-1),$C$232:$C$233,0))-(VALUE(MID(FJ233,FIND("|",FJ233)+1,FIND("-",FJ233,FIND("|",FJ233))-FIND("|",FJ233)-1))-VALUE(MID(FJ233,FIND("-",FJ233,FIND("|",FJ233))+1,10)))))*$D$50),$D$29*(1-(IF(INDEX($D$232:$D$233,MATCH(LEFT(FJ233,FIND("·",FJ233)-1),$C$232:$C$233,0))=0,ABS(INDEX($A$232:$A$233,MATCH(LEFT(FJ233,FIND("·",FJ233)-1),$C$232:$C$233,0))-VALUE(MID(FJ233,FIND("|",FJ233)+1,FIND("-",FJ233,FIND("|",FJ233))-FIND("|",FJ233)-1))),ABS(INDEX($Q$232:$Q$233,MATCH(LEFT(FJ233,FIND("·",FJ233)-1),$C$232:$C$233,0))-(VALUE(MID(FJ233,FIND("|",FJ233)+1,FIND("-",FJ233,FIND("|",FJ233))-FIND("|",FJ233)-1))-VALUE(MID(FJ233,FIND("-",FJ233,FIND("|",FJ233))+1,10)))))*$D$50)))))*INDEX($I$232:$I$233,MATCH(LEFT(FJ233,FIND("·",FJ233)-1),$C$232:$C$233,0)),0),0),0)</f>
        <v>0</v>
      </c>
      <c r="FL233" s="110"/>
      <c r="FM233" s="80" t="s">
        <v>2508</v>
      </c>
      <c r="FN233" s="81">
        <f t="shared" ref="FN233" ca="1" si="3002">IFERROR(IF(COUNTIF($K$232:$K$233,LEFT(FM233,FIND("·",FM233)-1))&gt;0,IF(INDEX($L$232:$L$233,MATCH(LEFT(FM233,FIND("·",FM233)-1),$K$232:$K$233,0))=IFERROR(VALUE(MID(FM233,FIND("·",FM233)+1,1)),0),($D$28+(INDEX($M$232:$M$233,MATCH(LEFT(FM233,FIND("·",FM233)-1),$K$232:$K$233,0))=MID(FM233,FIND("|",FM233)+1,10))*$D$30+MAX(0,IF($D$50=1,$D$29*(1-(ABS(INDEX($P$232:$P$233,MATCH(LEFT(FM233,FIND("·",FM233)-1),$K$232:$K$233,0))-(VALUE(MID(FM233,FIND("|",FM233)+1,FIND("-",FM233,FIND("|",FM233))-FIND("|",FM233)-1))-VALUE(MID(FM233,FIND("-",FM233,FIND("|",FM233))+1,10)))))*$D$50),$D$29*(1-(IF(INDEX($L$232:$L$233,MATCH(LEFT(FM233,FIND("·",FM233)-1),$K$232:$K$233,0))=0,ABS(INDEX($N$232:$N$233,MATCH(LEFT(FM233,FIND("·",FM233)-1),$K$232:$K$233,0))-VALUE(MID(FM233,FIND("|",FM233)+1,FIND("-",FM233,FIND("|",FM233))-FIND("|",FM233)-1))),ABS(INDEX($P$232:$P$233,MATCH(LEFT(FM233,FIND("·",FM233)-1),$K$232:$K$233,0))-(VALUE(MID(FM233,FIND("|",FM233)+1,FIND("-",FM233,FIND("|",FM233))-FIND("|",FM233)-1))-VALUE(MID(FM233,FIND("-",FM233,FIND("|",FM233))+1,10)))))*$D$50)))))*INDEX($I$232:$I$233,MATCH(LEFT(FM233,FIND("·",FM233)-1),$K$232:$K$233,0)),0),0),0)+IFERROR(IF(COUNTIF($C$232:$C$233,LEFT(FM233,FIND("·",FM233)-1))&gt;0,IF(INDEX($D$232:$D$233,MATCH(LEFT(FM233,FIND("·",FM233)-1),$C$232:$C$233,0))=IFERROR(VALUE(MID(FM233,FIND("·",FM233)+1,1)),0),($D$28+(INDEX($E$232:$E$233,MATCH(LEFT(FM233,FIND("·",FM233)-1),$C$232:$C$233,0))=MID(FM233,FIND("|",FM233)+1,10))*$D$30+MAX(0,IF($D$50=1,$D$29*(1-(ABS(INDEX($Q$232:$Q$233,MATCH(LEFT(FM233,FIND("·",FM233)-1),$C$232:$C$233,0))-(VALUE(MID(FM233,FIND("|",FM233)+1,FIND("-",FM233,FIND("|",FM233))-FIND("|",FM233)-1))-VALUE(MID(FM233,FIND("-",FM233,FIND("|",FM233))+1,10)))))*$D$50),$D$29*(1-(IF(INDEX($D$232:$D$233,MATCH(LEFT(FM233,FIND("·",FM233)-1),$C$232:$C$233,0))=0,ABS(INDEX($A$232:$A$233,MATCH(LEFT(FM233,FIND("·",FM233)-1),$C$232:$C$233,0))-VALUE(MID(FM233,FIND("|",FM233)+1,FIND("-",FM233,FIND("|",FM233))-FIND("|",FM233)-1))),ABS(INDEX($Q$232:$Q$233,MATCH(LEFT(FM233,FIND("·",FM233)-1),$C$232:$C$233,0))-(VALUE(MID(FM233,FIND("|",FM233)+1,FIND("-",FM233,FIND("|",FM233))-FIND("|",FM233)-1))-VALUE(MID(FM233,FIND("-",FM233,FIND("|",FM233))+1,10)))))*$D$50)))))*INDEX($I$232:$I$233,MATCH(LEFT(FM233,FIND("·",FM233)-1),$C$232:$C$233,0)),0),0),0)</f>
        <v>0</v>
      </c>
      <c r="FO233" s="110"/>
      <c r="FP233" s="80" t="s">
        <v>2980</v>
      </c>
      <c r="FQ233" s="81">
        <f t="shared" ref="FQ233" ca="1" si="3003">IFERROR(IF(COUNTIF($K$232:$K$233,LEFT(FP233,FIND("·",FP233)-1))&gt;0,IF(INDEX($L$232:$L$233,MATCH(LEFT(FP233,FIND("·",FP233)-1),$K$232:$K$233,0))=IFERROR(VALUE(MID(FP233,FIND("·",FP233)+1,1)),0),($D$28+(INDEX($M$232:$M$233,MATCH(LEFT(FP233,FIND("·",FP233)-1),$K$232:$K$233,0))=MID(FP233,FIND("|",FP233)+1,10))*$D$30+MAX(0,IF($D$50=1,$D$29*(1-(ABS(INDEX($P$232:$P$233,MATCH(LEFT(FP233,FIND("·",FP233)-1),$K$232:$K$233,0))-(VALUE(MID(FP233,FIND("|",FP233)+1,FIND("-",FP233,FIND("|",FP233))-FIND("|",FP233)-1))-VALUE(MID(FP233,FIND("-",FP233,FIND("|",FP233))+1,10)))))*$D$50),$D$29*(1-(IF(INDEX($L$232:$L$233,MATCH(LEFT(FP233,FIND("·",FP233)-1),$K$232:$K$233,0))=0,ABS(INDEX($N$232:$N$233,MATCH(LEFT(FP233,FIND("·",FP233)-1),$K$232:$K$233,0))-VALUE(MID(FP233,FIND("|",FP233)+1,FIND("-",FP233,FIND("|",FP233))-FIND("|",FP233)-1))),ABS(INDEX($P$232:$P$233,MATCH(LEFT(FP233,FIND("·",FP233)-1),$K$232:$K$233,0))-(VALUE(MID(FP233,FIND("|",FP233)+1,FIND("-",FP233,FIND("|",FP233))-FIND("|",FP233)-1))-VALUE(MID(FP233,FIND("-",FP233,FIND("|",FP233))+1,10)))))*$D$50)))))*INDEX($I$232:$I$233,MATCH(LEFT(FP233,FIND("·",FP233)-1),$K$232:$K$233,0)),0),0),0)+IFERROR(IF(COUNTIF($C$232:$C$233,LEFT(FP233,FIND("·",FP233)-1))&gt;0,IF(INDEX($D$232:$D$233,MATCH(LEFT(FP233,FIND("·",FP233)-1),$C$232:$C$233,0))=IFERROR(VALUE(MID(FP233,FIND("·",FP233)+1,1)),0),($D$28+(INDEX($E$232:$E$233,MATCH(LEFT(FP233,FIND("·",FP233)-1),$C$232:$C$233,0))=MID(FP233,FIND("|",FP233)+1,10))*$D$30+MAX(0,IF($D$50=1,$D$29*(1-(ABS(INDEX($Q$232:$Q$233,MATCH(LEFT(FP233,FIND("·",FP233)-1),$C$232:$C$233,0))-(VALUE(MID(FP233,FIND("|",FP233)+1,FIND("-",FP233,FIND("|",FP233))-FIND("|",FP233)-1))-VALUE(MID(FP233,FIND("-",FP233,FIND("|",FP233))+1,10)))))*$D$50),$D$29*(1-(IF(INDEX($D$232:$D$233,MATCH(LEFT(FP233,FIND("·",FP233)-1),$C$232:$C$233,0))=0,ABS(INDEX($A$232:$A$233,MATCH(LEFT(FP233,FIND("·",FP233)-1),$C$232:$C$233,0))-VALUE(MID(FP233,FIND("|",FP233)+1,FIND("-",FP233,FIND("|",FP233))-FIND("|",FP233)-1))),ABS(INDEX($Q$232:$Q$233,MATCH(LEFT(FP233,FIND("·",FP233)-1),$C$232:$C$233,0))-(VALUE(MID(FP233,FIND("|",FP233)+1,FIND("-",FP233,FIND("|",FP233))-FIND("|",FP233)-1))-VALUE(MID(FP233,FIND("-",FP233,FIND("|",FP233))+1,10)))))*$D$50)))))*INDEX($I$232:$I$233,MATCH(LEFT(FP233,FIND("·",FP233)-1),$C$232:$C$233,0)),0),0),0)</f>
        <v>0</v>
      </c>
      <c r="FR233" s="110"/>
      <c r="FS233" s="80" t="s">
        <v>2320</v>
      </c>
      <c r="FT233" s="81">
        <f t="shared" ref="FT233" ca="1" si="3004">IFERROR(IF(COUNTIF($K$232:$K$233,LEFT(FS233,FIND("·",FS233)-1))&gt;0,IF(INDEX($L$232:$L$233,MATCH(LEFT(FS233,FIND("·",FS233)-1),$K$232:$K$233,0))=IFERROR(VALUE(MID(FS233,FIND("·",FS233)+1,1)),0),($D$28+(INDEX($M$232:$M$233,MATCH(LEFT(FS233,FIND("·",FS233)-1),$K$232:$K$233,0))=MID(FS233,FIND("|",FS233)+1,10))*$D$30+MAX(0,IF($D$50=1,$D$29*(1-(ABS(INDEX($P$232:$P$233,MATCH(LEFT(FS233,FIND("·",FS233)-1),$K$232:$K$233,0))-(VALUE(MID(FS233,FIND("|",FS233)+1,FIND("-",FS233,FIND("|",FS233))-FIND("|",FS233)-1))-VALUE(MID(FS233,FIND("-",FS233,FIND("|",FS233))+1,10)))))*$D$50),$D$29*(1-(IF(INDEX($L$232:$L$233,MATCH(LEFT(FS233,FIND("·",FS233)-1),$K$232:$K$233,0))=0,ABS(INDEX($N$232:$N$233,MATCH(LEFT(FS233,FIND("·",FS233)-1),$K$232:$K$233,0))-VALUE(MID(FS233,FIND("|",FS233)+1,FIND("-",FS233,FIND("|",FS233))-FIND("|",FS233)-1))),ABS(INDEX($P$232:$P$233,MATCH(LEFT(FS233,FIND("·",FS233)-1),$K$232:$K$233,0))-(VALUE(MID(FS233,FIND("|",FS233)+1,FIND("-",FS233,FIND("|",FS233))-FIND("|",FS233)-1))-VALUE(MID(FS233,FIND("-",FS233,FIND("|",FS233))+1,10)))))*$D$50)))))*INDEX($I$232:$I$233,MATCH(LEFT(FS233,FIND("·",FS233)-1),$K$232:$K$233,0)),0),0),0)+IFERROR(IF(COUNTIF($C$232:$C$233,LEFT(FS233,FIND("·",FS233)-1))&gt;0,IF(INDEX($D$232:$D$233,MATCH(LEFT(FS233,FIND("·",FS233)-1),$C$232:$C$233,0))=IFERROR(VALUE(MID(FS233,FIND("·",FS233)+1,1)),0),($D$28+(INDEX($E$232:$E$233,MATCH(LEFT(FS233,FIND("·",FS233)-1),$C$232:$C$233,0))=MID(FS233,FIND("|",FS233)+1,10))*$D$30+MAX(0,IF($D$50=1,$D$29*(1-(ABS(INDEX($Q$232:$Q$233,MATCH(LEFT(FS233,FIND("·",FS233)-1),$C$232:$C$233,0))-(VALUE(MID(FS233,FIND("|",FS233)+1,FIND("-",FS233,FIND("|",FS233))-FIND("|",FS233)-1))-VALUE(MID(FS233,FIND("-",FS233,FIND("|",FS233))+1,10)))))*$D$50),$D$29*(1-(IF(INDEX($D$232:$D$233,MATCH(LEFT(FS233,FIND("·",FS233)-1),$C$232:$C$233,0))=0,ABS(INDEX($A$232:$A$233,MATCH(LEFT(FS233,FIND("·",FS233)-1),$C$232:$C$233,0))-VALUE(MID(FS233,FIND("|",FS233)+1,FIND("-",FS233,FIND("|",FS233))-FIND("|",FS233)-1))),ABS(INDEX($Q$232:$Q$233,MATCH(LEFT(FS233,FIND("·",FS233)-1),$C$232:$C$233,0))-(VALUE(MID(FS233,FIND("|",FS233)+1,FIND("-",FS233,FIND("|",FS233))-FIND("|",FS233)-1))-VALUE(MID(FS233,FIND("-",FS233,FIND("|",FS233))+1,10)))))*$D$50)))))*INDEX($I$232:$I$233,MATCH(LEFT(FS233,FIND("·",FS233)-1),$C$232:$C$233,0)),0),0),0)</f>
        <v>0</v>
      </c>
      <c r="FU233" s="110"/>
      <c r="FV233" s="80" t="s">
        <v>2415</v>
      </c>
      <c r="FW233" s="81">
        <f t="shared" ref="FW233" ca="1" si="3005">IFERROR(IF(COUNTIF($K$232:$K$233,LEFT(FV233,FIND("·",FV233)-1))&gt;0,IF(INDEX($L$232:$L$233,MATCH(LEFT(FV233,FIND("·",FV233)-1),$K$232:$K$233,0))=IFERROR(VALUE(MID(FV233,FIND("·",FV233)+1,1)),0),($D$28+(INDEX($M$232:$M$233,MATCH(LEFT(FV233,FIND("·",FV233)-1),$K$232:$K$233,0))=MID(FV233,FIND("|",FV233)+1,10))*$D$30+MAX(0,IF($D$50=1,$D$29*(1-(ABS(INDEX($P$232:$P$233,MATCH(LEFT(FV233,FIND("·",FV233)-1),$K$232:$K$233,0))-(VALUE(MID(FV233,FIND("|",FV233)+1,FIND("-",FV233,FIND("|",FV233))-FIND("|",FV233)-1))-VALUE(MID(FV233,FIND("-",FV233,FIND("|",FV233))+1,10)))))*$D$50),$D$29*(1-(IF(INDEX($L$232:$L$233,MATCH(LEFT(FV233,FIND("·",FV233)-1),$K$232:$K$233,0))=0,ABS(INDEX($N$232:$N$233,MATCH(LEFT(FV233,FIND("·",FV233)-1),$K$232:$K$233,0))-VALUE(MID(FV233,FIND("|",FV233)+1,FIND("-",FV233,FIND("|",FV233))-FIND("|",FV233)-1))),ABS(INDEX($P$232:$P$233,MATCH(LEFT(FV233,FIND("·",FV233)-1),$K$232:$K$233,0))-(VALUE(MID(FV233,FIND("|",FV233)+1,FIND("-",FV233,FIND("|",FV233))-FIND("|",FV233)-1))-VALUE(MID(FV233,FIND("-",FV233,FIND("|",FV233))+1,10)))))*$D$50)))))*INDEX($I$232:$I$233,MATCH(LEFT(FV233,FIND("·",FV233)-1),$K$232:$K$233,0)),0),0),0)+IFERROR(IF(COUNTIF($C$232:$C$233,LEFT(FV233,FIND("·",FV233)-1))&gt;0,IF(INDEX($D$232:$D$233,MATCH(LEFT(FV233,FIND("·",FV233)-1),$C$232:$C$233,0))=IFERROR(VALUE(MID(FV233,FIND("·",FV233)+1,1)),0),($D$28+(INDEX($E$232:$E$233,MATCH(LEFT(FV233,FIND("·",FV233)-1),$C$232:$C$233,0))=MID(FV233,FIND("|",FV233)+1,10))*$D$30+MAX(0,IF($D$50=1,$D$29*(1-(ABS(INDEX($Q$232:$Q$233,MATCH(LEFT(FV233,FIND("·",FV233)-1),$C$232:$C$233,0))-(VALUE(MID(FV233,FIND("|",FV233)+1,FIND("-",FV233,FIND("|",FV233))-FIND("|",FV233)-1))-VALUE(MID(FV233,FIND("-",FV233,FIND("|",FV233))+1,10)))))*$D$50),$D$29*(1-(IF(INDEX($D$232:$D$233,MATCH(LEFT(FV233,FIND("·",FV233)-1),$C$232:$C$233,0))=0,ABS(INDEX($A$232:$A$233,MATCH(LEFT(FV233,FIND("·",FV233)-1),$C$232:$C$233,0))-VALUE(MID(FV233,FIND("|",FV233)+1,FIND("-",FV233,FIND("|",FV233))-FIND("|",FV233)-1))),ABS(INDEX($Q$232:$Q$233,MATCH(LEFT(FV233,FIND("·",FV233)-1),$C$232:$C$233,0))-(VALUE(MID(FV233,FIND("|",FV233)+1,FIND("-",FV233,FIND("|",FV233))-FIND("|",FV233)-1))-VALUE(MID(FV233,FIND("-",FV233,FIND("|",FV233))+1,10)))))*$D$50)))))*INDEX($I$232:$I$233,MATCH(LEFT(FV233,FIND("·",FV233)-1),$C$232:$C$233,0)),0),0),0)</f>
        <v>20</v>
      </c>
      <c r="FX233" s="110"/>
      <c r="FY233" s="80" t="s">
        <v>3013</v>
      </c>
      <c r="FZ233" s="81">
        <f t="shared" ref="FZ233" ca="1" si="3006">IFERROR(IF(COUNTIF($K$232:$K$233,LEFT(FY233,FIND("·",FY233)-1))&gt;0,IF(INDEX($L$232:$L$233,MATCH(LEFT(FY233,FIND("·",FY233)-1),$K$232:$K$233,0))=IFERROR(VALUE(MID(FY233,FIND("·",FY233)+1,1)),0),($D$28+(INDEX($M$232:$M$233,MATCH(LEFT(FY233,FIND("·",FY233)-1),$K$232:$K$233,0))=MID(FY233,FIND("|",FY233)+1,10))*$D$30+MAX(0,IF($D$50=1,$D$29*(1-(ABS(INDEX($P$232:$P$233,MATCH(LEFT(FY233,FIND("·",FY233)-1),$K$232:$K$233,0))-(VALUE(MID(FY233,FIND("|",FY233)+1,FIND("-",FY233,FIND("|",FY233))-FIND("|",FY233)-1))-VALUE(MID(FY233,FIND("-",FY233,FIND("|",FY233))+1,10)))))*$D$50),$D$29*(1-(IF(INDEX($L$232:$L$233,MATCH(LEFT(FY233,FIND("·",FY233)-1),$K$232:$K$233,0))=0,ABS(INDEX($N$232:$N$233,MATCH(LEFT(FY233,FIND("·",FY233)-1),$K$232:$K$233,0))-VALUE(MID(FY233,FIND("|",FY233)+1,FIND("-",FY233,FIND("|",FY233))-FIND("|",FY233)-1))),ABS(INDEX($P$232:$P$233,MATCH(LEFT(FY233,FIND("·",FY233)-1),$K$232:$K$233,0))-(VALUE(MID(FY233,FIND("|",FY233)+1,FIND("-",FY233,FIND("|",FY233))-FIND("|",FY233)-1))-VALUE(MID(FY233,FIND("-",FY233,FIND("|",FY233))+1,10)))))*$D$50)))))*INDEX($I$232:$I$233,MATCH(LEFT(FY233,FIND("·",FY233)-1),$K$232:$K$233,0)),0),0),0)+IFERROR(IF(COUNTIF($C$232:$C$233,LEFT(FY233,FIND("·",FY233)-1))&gt;0,IF(INDEX($D$232:$D$233,MATCH(LEFT(FY233,FIND("·",FY233)-1),$C$232:$C$233,0))=IFERROR(VALUE(MID(FY233,FIND("·",FY233)+1,1)),0),($D$28+(INDEX($E$232:$E$233,MATCH(LEFT(FY233,FIND("·",FY233)-1),$C$232:$C$233,0))=MID(FY233,FIND("|",FY233)+1,10))*$D$30+MAX(0,IF($D$50=1,$D$29*(1-(ABS(INDEX($Q$232:$Q$233,MATCH(LEFT(FY233,FIND("·",FY233)-1),$C$232:$C$233,0))-(VALUE(MID(FY233,FIND("|",FY233)+1,FIND("-",FY233,FIND("|",FY233))-FIND("|",FY233)-1))-VALUE(MID(FY233,FIND("-",FY233,FIND("|",FY233))+1,10)))))*$D$50),$D$29*(1-(IF(INDEX($D$232:$D$233,MATCH(LEFT(FY233,FIND("·",FY233)-1),$C$232:$C$233,0))=0,ABS(INDEX($A$232:$A$233,MATCH(LEFT(FY233,FIND("·",FY233)-1),$C$232:$C$233,0))-VALUE(MID(FY233,FIND("|",FY233)+1,FIND("-",FY233,FIND("|",FY233))-FIND("|",FY233)-1))),ABS(INDEX($Q$232:$Q$233,MATCH(LEFT(FY233,FIND("·",FY233)-1),$C$232:$C$233,0))-(VALUE(MID(FY233,FIND("|",FY233)+1,FIND("-",FY233,FIND("|",FY233))-FIND("|",FY233)-1))-VALUE(MID(FY233,FIND("-",FY233,FIND("|",FY233))+1,10)))))*$D$50)))))*INDEX($I$232:$I$233,MATCH(LEFT(FY233,FIND("·",FY233)-1),$C$232:$C$233,0)),0),0),0)</f>
        <v>0</v>
      </c>
      <c r="GA233" s="110"/>
      <c r="GB233" s="80" t="s">
        <v>2320</v>
      </c>
      <c r="GC233" s="81">
        <f t="shared" ref="GC233" ca="1" si="3007">IFERROR(IF(COUNTIF($K$232:$K$233,LEFT(GB233,FIND("·",GB233)-1))&gt;0,IF(INDEX($L$232:$L$233,MATCH(LEFT(GB233,FIND("·",GB233)-1),$K$232:$K$233,0))=IFERROR(VALUE(MID(GB233,FIND("·",GB233)+1,1)),0),($D$28+(INDEX($M$232:$M$233,MATCH(LEFT(GB233,FIND("·",GB233)-1),$K$232:$K$233,0))=MID(GB233,FIND("|",GB233)+1,10))*$D$30+MAX(0,IF($D$50=1,$D$29*(1-(ABS(INDEX($P$232:$P$233,MATCH(LEFT(GB233,FIND("·",GB233)-1),$K$232:$K$233,0))-(VALUE(MID(GB233,FIND("|",GB233)+1,FIND("-",GB233,FIND("|",GB233))-FIND("|",GB233)-1))-VALUE(MID(GB233,FIND("-",GB233,FIND("|",GB233))+1,10)))))*$D$50),$D$29*(1-(IF(INDEX($L$232:$L$233,MATCH(LEFT(GB233,FIND("·",GB233)-1),$K$232:$K$233,0))=0,ABS(INDEX($N$232:$N$233,MATCH(LEFT(GB233,FIND("·",GB233)-1),$K$232:$K$233,0))-VALUE(MID(GB233,FIND("|",GB233)+1,FIND("-",GB233,FIND("|",GB233))-FIND("|",GB233)-1))),ABS(INDEX($P$232:$P$233,MATCH(LEFT(GB233,FIND("·",GB233)-1),$K$232:$K$233,0))-(VALUE(MID(GB233,FIND("|",GB233)+1,FIND("-",GB233,FIND("|",GB233))-FIND("|",GB233)-1))-VALUE(MID(GB233,FIND("-",GB233,FIND("|",GB233))+1,10)))))*$D$50)))))*INDEX($I$232:$I$233,MATCH(LEFT(GB233,FIND("·",GB233)-1),$K$232:$K$233,0)),0),0),0)+IFERROR(IF(COUNTIF($C$232:$C$233,LEFT(GB233,FIND("·",GB233)-1))&gt;0,IF(INDEX($D$232:$D$233,MATCH(LEFT(GB233,FIND("·",GB233)-1),$C$232:$C$233,0))=IFERROR(VALUE(MID(GB233,FIND("·",GB233)+1,1)),0),($D$28+(INDEX($E$232:$E$233,MATCH(LEFT(GB233,FIND("·",GB233)-1),$C$232:$C$233,0))=MID(GB233,FIND("|",GB233)+1,10))*$D$30+MAX(0,IF($D$50=1,$D$29*(1-(ABS(INDEX($Q$232:$Q$233,MATCH(LEFT(GB233,FIND("·",GB233)-1),$C$232:$C$233,0))-(VALUE(MID(GB233,FIND("|",GB233)+1,FIND("-",GB233,FIND("|",GB233))-FIND("|",GB233)-1))-VALUE(MID(GB233,FIND("-",GB233,FIND("|",GB233))+1,10)))))*$D$50),$D$29*(1-(IF(INDEX($D$232:$D$233,MATCH(LEFT(GB233,FIND("·",GB233)-1),$C$232:$C$233,0))=0,ABS(INDEX($A$232:$A$233,MATCH(LEFT(GB233,FIND("·",GB233)-1),$C$232:$C$233,0))-VALUE(MID(GB233,FIND("|",GB233)+1,FIND("-",GB233,FIND("|",GB233))-FIND("|",GB233)-1))),ABS(INDEX($Q$232:$Q$233,MATCH(LEFT(GB233,FIND("·",GB233)-1),$C$232:$C$233,0))-(VALUE(MID(GB233,FIND("|",GB233)+1,FIND("-",GB233,FIND("|",GB233))-FIND("|",GB233)-1))-VALUE(MID(GB233,FIND("-",GB233,FIND("|",GB233))+1,10)))))*$D$50)))))*INDEX($I$232:$I$233,MATCH(LEFT(GB233,FIND("·",GB233)-1),$C$232:$C$233,0)),0),0),0)</f>
        <v>0</v>
      </c>
      <c r="GD233" s="110"/>
      <c r="GE233" s="80" t="s">
        <v>2415</v>
      </c>
      <c r="GF233" s="81">
        <f t="shared" ref="GF233" ca="1" si="3008">IFERROR(IF(COUNTIF($K$232:$K$233,LEFT(GE233,FIND("·",GE233)-1))&gt;0,IF(INDEX($L$232:$L$233,MATCH(LEFT(GE233,FIND("·",GE233)-1),$K$232:$K$233,0))=IFERROR(VALUE(MID(GE233,FIND("·",GE233)+1,1)),0),($D$28+(INDEX($M$232:$M$233,MATCH(LEFT(GE233,FIND("·",GE233)-1),$K$232:$K$233,0))=MID(GE233,FIND("|",GE233)+1,10))*$D$30+MAX(0,IF($D$50=1,$D$29*(1-(ABS(INDEX($P$232:$P$233,MATCH(LEFT(GE233,FIND("·",GE233)-1),$K$232:$K$233,0))-(VALUE(MID(GE233,FIND("|",GE233)+1,FIND("-",GE233,FIND("|",GE233))-FIND("|",GE233)-1))-VALUE(MID(GE233,FIND("-",GE233,FIND("|",GE233))+1,10)))))*$D$50),$D$29*(1-(IF(INDEX($L$232:$L$233,MATCH(LEFT(GE233,FIND("·",GE233)-1),$K$232:$K$233,0))=0,ABS(INDEX($N$232:$N$233,MATCH(LEFT(GE233,FIND("·",GE233)-1),$K$232:$K$233,0))-VALUE(MID(GE233,FIND("|",GE233)+1,FIND("-",GE233,FIND("|",GE233))-FIND("|",GE233)-1))),ABS(INDEX($P$232:$P$233,MATCH(LEFT(GE233,FIND("·",GE233)-1),$K$232:$K$233,0))-(VALUE(MID(GE233,FIND("|",GE233)+1,FIND("-",GE233,FIND("|",GE233))-FIND("|",GE233)-1))-VALUE(MID(GE233,FIND("-",GE233,FIND("|",GE233))+1,10)))))*$D$50)))))*INDEX($I$232:$I$233,MATCH(LEFT(GE233,FIND("·",GE233)-1),$K$232:$K$233,0)),0),0),0)+IFERROR(IF(COUNTIF($C$232:$C$233,LEFT(GE233,FIND("·",GE233)-1))&gt;0,IF(INDEX($D$232:$D$233,MATCH(LEFT(GE233,FIND("·",GE233)-1),$C$232:$C$233,0))=IFERROR(VALUE(MID(GE233,FIND("·",GE233)+1,1)),0),($D$28+(INDEX($E$232:$E$233,MATCH(LEFT(GE233,FIND("·",GE233)-1),$C$232:$C$233,0))=MID(GE233,FIND("|",GE233)+1,10))*$D$30+MAX(0,IF($D$50=1,$D$29*(1-(ABS(INDEX($Q$232:$Q$233,MATCH(LEFT(GE233,FIND("·",GE233)-1),$C$232:$C$233,0))-(VALUE(MID(GE233,FIND("|",GE233)+1,FIND("-",GE233,FIND("|",GE233))-FIND("|",GE233)-1))-VALUE(MID(GE233,FIND("-",GE233,FIND("|",GE233))+1,10)))))*$D$50),$D$29*(1-(IF(INDEX($D$232:$D$233,MATCH(LEFT(GE233,FIND("·",GE233)-1),$C$232:$C$233,0))=0,ABS(INDEX($A$232:$A$233,MATCH(LEFT(GE233,FIND("·",GE233)-1),$C$232:$C$233,0))-VALUE(MID(GE233,FIND("|",GE233)+1,FIND("-",GE233,FIND("|",GE233))-FIND("|",GE233)-1))),ABS(INDEX($Q$232:$Q$233,MATCH(LEFT(GE233,FIND("·",GE233)-1),$C$232:$C$233,0))-(VALUE(MID(GE233,FIND("|",GE233)+1,FIND("-",GE233,FIND("|",GE233))-FIND("|",GE233)-1))-VALUE(MID(GE233,FIND("-",GE233,FIND("|",GE233))+1,10)))))*$D$50)))))*INDEX($I$232:$I$233,MATCH(LEFT(GE233,FIND("·",GE233)-1),$C$232:$C$233,0)),0),0),0)</f>
        <v>20</v>
      </c>
      <c r="GG233" s="110"/>
      <c r="GH233" s="80" t="s">
        <v>3052</v>
      </c>
      <c r="GI233" s="81">
        <f t="shared" ref="GI233" ca="1" si="3009">IFERROR(IF(COUNTIF($K$232:$K$233,LEFT(GH233,FIND("·",GH233)-1))&gt;0,IF(INDEX($L$232:$L$233,MATCH(LEFT(GH233,FIND("·",GH233)-1),$K$232:$K$233,0))=IFERROR(VALUE(MID(GH233,FIND("·",GH233)+1,1)),0),($D$28+(INDEX($M$232:$M$233,MATCH(LEFT(GH233,FIND("·",GH233)-1),$K$232:$K$233,0))=MID(GH233,FIND("|",GH233)+1,10))*$D$30+MAX(0,IF($D$50=1,$D$29*(1-(ABS(INDEX($P$232:$P$233,MATCH(LEFT(GH233,FIND("·",GH233)-1),$K$232:$K$233,0))-(VALUE(MID(GH233,FIND("|",GH233)+1,FIND("-",GH233,FIND("|",GH233))-FIND("|",GH233)-1))-VALUE(MID(GH233,FIND("-",GH233,FIND("|",GH233))+1,10)))))*$D$50),$D$29*(1-(IF(INDEX($L$232:$L$233,MATCH(LEFT(GH233,FIND("·",GH233)-1),$K$232:$K$233,0))=0,ABS(INDEX($N$232:$N$233,MATCH(LEFT(GH233,FIND("·",GH233)-1),$K$232:$K$233,0))-VALUE(MID(GH233,FIND("|",GH233)+1,FIND("-",GH233,FIND("|",GH233))-FIND("|",GH233)-1))),ABS(INDEX($P$232:$P$233,MATCH(LEFT(GH233,FIND("·",GH233)-1),$K$232:$K$233,0))-(VALUE(MID(GH233,FIND("|",GH233)+1,FIND("-",GH233,FIND("|",GH233))-FIND("|",GH233)-1))-VALUE(MID(GH233,FIND("-",GH233,FIND("|",GH233))+1,10)))))*$D$50)))))*INDEX($I$232:$I$233,MATCH(LEFT(GH233,FIND("·",GH233)-1),$K$232:$K$233,0)),0),0),0)+IFERROR(IF(COUNTIF($C$232:$C$233,LEFT(GH233,FIND("·",GH233)-1))&gt;0,IF(INDEX($D$232:$D$233,MATCH(LEFT(GH233,FIND("·",GH233)-1),$C$232:$C$233,0))=IFERROR(VALUE(MID(GH233,FIND("·",GH233)+1,1)),0),($D$28+(INDEX($E$232:$E$233,MATCH(LEFT(GH233,FIND("·",GH233)-1),$C$232:$C$233,0))=MID(GH233,FIND("|",GH233)+1,10))*$D$30+MAX(0,IF($D$50=1,$D$29*(1-(ABS(INDEX($Q$232:$Q$233,MATCH(LEFT(GH233,FIND("·",GH233)-1),$C$232:$C$233,0))-(VALUE(MID(GH233,FIND("|",GH233)+1,FIND("-",GH233,FIND("|",GH233))-FIND("|",GH233)-1))-VALUE(MID(GH233,FIND("-",GH233,FIND("|",GH233))+1,10)))))*$D$50),$D$29*(1-(IF(INDEX($D$232:$D$233,MATCH(LEFT(GH233,FIND("·",GH233)-1),$C$232:$C$233,0))=0,ABS(INDEX($A$232:$A$233,MATCH(LEFT(GH233,FIND("·",GH233)-1),$C$232:$C$233,0))-VALUE(MID(GH233,FIND("|",GH233)+1,FIND("-",GH233,FIND("|",GH233))-FIND("|",GH233)-1))),ABS(INDEX($Q$232:$Q$233,MATCH(LEFT(GH233,FIND("·",GH233)-1),$C$232:$C$233,0))-(VALUE(MID(GH233,FIND("|",GH233)+1,FIND("-",GH233,FIND("|",GH233))-FIND("|",GH233)-1))-VALUE(MID(GH233,FIND("-",GH233,FIND("|",GH233))+1,10)))))*$D$50)))))*INDEX($I$232:$I$233,MATCH(LEFT(GH233,FIND("·",GH233)-1),$C$232:$C$233,0)),0),0),0)</f>
        <v>0</v>
      </c>
      <c r="GJ233" s="110"/>
      <c r="GK233" s="80" t="s">
        <v>2815</v>
      </c>
      <c r="GL233" s="81">
        <f t="shared" ref="GL233" ca="1" si="3010">IFERROR(IF(COUNTIF($K$232:$K$233,LEFT(GK233,FIND("·",GK233)-1))&gt;0,IF(INDEX($L$232:$L$233,MATCH(LEFT(GK233,FIND("·",GK233)-1),$K$232:$K$233,0))=IFERROR(VALUE(MID(GK233,FIND("·",GK233)+1,1)),0),($D$28+(INDEX($M$232:$M$233,MATCH(LEFT(GK233,FIND("·",GK233)-1),$K$232:$K$233,0))=MID(GK233,FIND("|",GK233)+1,10))*$D$30+MAX(0,IF($D$50=1,$D$29*(1-(ABS(INDEX($P$232:$P$233,MATCH(LEFT(GK233,FIND("·",GK233)-1),$K$232:$K$233,0))-(VALUE(MID(GK233,FIND("|",GK233)+1,FIND("-",GK233,FIND("|",GK233))-FIND("|",GK233)-1))-VALUE(MID(GK233,FIND("-",GK233,FIND("|",GK233))+1,10)))))*$D$50),$D$29*(1-(IF(INDEX($L$232:$L$233,MATCH(LEFT(GK233,FIND("·",GK233)-1),$K$232:$K$233,0))=0,ABS(INDEX($N$232:$N$233,MATCH(LEFT(GK233,FIND("·",GK233)-1),$K$232:$K$233,0))-VALUE(MID(GK233,FIND("|",GK233)+1,FIND("-",GK233,FIND("|",GK233))-FIND("|",GK233)-1))),ABS(INDEX($P$232:$P$233,MATCH(LEFT(GK233,FIND("·",GK233)-1),$K$232:$K$233,0))-(VALUE(MID(GK233,FIND("|",GK233)+1,FIND("-",GK233,FIND("|",GK233))-FIND("|",GK233)-1))-VALUE(MID(GK233,FIND("-",GK233,FIND("|",GK233))+1,10)))))*$D$50)))))*INDEX($I$232:$I$233,MATCH(LEFT(GK233,FIND("·",GK233)-1),$K$232:$K$233,0)),0),0),0)+IFERROR(IF(COUNTIF($C$232:$C$233,LEFT(GK233,FIND("·",GK233)-1))&gt;0,IF(INDEX($D$232:$D$233,MATCH(LEFT(GK233,FIND("·",GK233)-1),$C$232:$C$233,0))=IFERROR(VALUE(MID(GK233,FIND("·",GK233)+1,1)),0),($D$28+(INDEX($E$232:$E$233,MATCH(LEFT(GK233,FIND("·",GK233)-1),$C$232:$C$233,0))=MID(GK233,FIND("|",GK233)+1,10))*$D$30+MAX(0,IF($D$50=1,$D$29*(1-(ABS(INDEX($Q$232:$Q$233,MATCH(LEFT(GK233,FIND("·",GK233)-1),$C$232:$C$233,0))-(VALUE(MID(GK233,FIND("|",GK233)+1,FIND("-",GK233,FIND("|",GK233))-FIND("|",GK233)-1))-VALUE(MID(GK233,FIND("-",GK233,FIND("|",GK233))+1,10)))))*$D$50),$D$29*(1-(IF(INDEX($D$232:$D$233,MATCH(LEFT(GK233,FIND("·",GK233)-1),$C$232:$C$233,0))=0,ABS(INDEX($A$232:$A$233,MATCH(LEFT(GK233,FIND("·",GK233)-1),$C$232:$C$233,0))-VALUE(MID(GK233,FIND("|",GK233)+1,FIND("-",GK233,FIND("|",GK233))-FIND("|",GK233)-1))),ABS(INDEX($Q$232:$Q$233,MATCH(LEFT(GK233,FIND("·",GK233)-1),$C$232:$C$233,0))-(VALUE(MID(GK233,FIND("|",GK233)+1,FIND("-",GK233,FIND("|",GK233))-FIND("|",GK233)-1))-VALUE(MID(GK233,FIND("-",GK233,FIND("|",GK233))+1,10)))))*$D$50)))))*INDEX($I$232:$I$233,MATCH(LEFT(GK233,FIND("·",GK233)-1),$C$232:$C$233,0)),0),0),0)</f>
        <v>0</v>
      </c>
      <c r="GM233" s="110"/>
      <c r="GN233" s="80"/>
      <c r="GO233" s="81">
        <f t="shared" ref="GO233" ca="1" si="3011">IFERROR(IF(COUNTIF($K$232:$K$233,LEFT(GN233,FIND("·",GN233)-1))&gt;0,IF(INDEX($L$232:$L$233,MATCH(LEFT(GN233,FIND("·",GN233)-1),$K$232:$K$233,0))=IFERROR(VALUE(MID(GN233,FIND("·",GN233)+1,1)),0),($D$28+(INDEX($M$232:$M$233,MATCH(LEFT(GN233,FIND("·",GN233)-1),$K$232:$K$233,0))=MID(GN233,FIND("|",GN233)+1,10))*$D$30+MAX(0,IF($D$50=1,$D$29*(1-(ABS(INDEX($P$232:$P$233,MATCH(LEFT(GN233,FIND("·",GN233)-1),$K$232:$K$233,0))-(VALUE(MID(GN233,FIND("|",GN233)+1,FIND("-",GN233,FIND("|",GN233))-FIND("|",GN233)-1))-VALUE(MID(GN233,FIND("-",GN233,FIND("|",GN233))+1,10)))))*$D$50),$D$29*(1-(IF(INDEX($L$232:$L$233,MATCH(LEFT(GN233,FIND("·",GN233)-1),$K$232:$K$233,0))=0,ABS(INDEX($N$232:$N$233,MATCH(LEFT(GN233,FIND("·",GN233)-1),$K$232:$K$233,0))-VALUE(MID(GN233,FIND("|",GN233)+1,FIND("-",GN233,FIND("|",GN233))-FIND("|",GN233)-1))),ABS(INDEX($P$232:$P$233,MATCH(LEFT(GN233,FIND("·",GN233)-1),$K$232:$K$233,0))-(VALUE(MID(GN233,FIND("|",GN233)+1,FIND("-",GN233,FIND("|",GN233))-FIND("|",GN233)-1))-VALUE(MID(GN233,FIND("-",GN233,FIND("|",GN233))+1,10)))))*$D$50)))))*INDEX($I$232:$I$233,MATCH(LEFT(GN233,FIND("·",GN233)-1),$K$232:$K$233,0)),0),0),0)+IFERROR(IF(COUNTIF($C$232:$C$233,LEFT(GN233,FIND("·",GN233)-1))&gt;0,IF(INDEX($D$232:$D$233,MATCH(LEFT(GN233,FIND("·",GN233)-1),$C$232:$C$233,0))=IFERROR(VALUE(MID(GN233,FIND("·",GN233)+1,1)),0),($D$28+(INDEX($E$232:$E$233,MATCH(LEFT(GN233,FIND("·",GN233)-1),$C$232:$C$233,0))=MID(GN233,FIND("|",GN233)+1,10))*$D$30+MAX(0,IF($D$50=1,$D$29*(1-(ABS(INDEX($Q$232:$Q$233,MATCH(LEFT(GN233,FIND("·",GN233)-1),$C$232:$C$233,0))-(VALUE(MID(GN233,FIND("|",GN233)+1,FIND("-",GN233,FIND("|",GN233))-FIND("|",GN233)-1))-VALUE(MID(GN233,FIND("-",GN233,FIND("|",GN233))+1,10)))))*$D$50),$D$29*(1-(IF(INDEX($D$232:$D$233,MATCH(LEFT(GN233,FIND("·",GN233)-1),$C$232:$C$233,0))=0,ABS(INDEX($A$232:$A$233,MATCH(LEFT(GN233,FIND("·",GN233)-1),$C$232:$C$233,0))-VALUE(MID(GN233,FIND("|",GN233)+1,FIND("-",GN233,FIND("|",GN233))-FIND("|",GN233)-1))),ABS(INDEX($Q$232:$Q$233,MATCH(LEFT(GN233,FIND("·",GN233)-1),$C$232:$C$233,0))-(VALUE(MID(GN233,FIND("|",GN233)+1,FIND("-",GN233,FIND("|",GN233))-FIND("|",GN233)-1))-VALUE(MID(GN233,FIND("-",GN233,FIND("|",GN233))+1,10)))))*$D$50)))))*INDEX($I$232:$I$233,MATCH(LEFT(GN233,FIND("·",GN233)-1),$C$232:$C$233,0)),0),0),0)</f>
        <v>0</v>
      </c>
      <c r="GP233" s="110"/>
      <c r="GQ233" s="80"/>
      <c r="GR233" s="81">
        <f t="shared" ref="GR233" ca="1" si="3012">IFERROR(IF(COUNTIF($K$232:$K$233,LEFT(GQ233,FIND("·",GQ233)-1))&gt;0,IF(INDEX($L$232:$L$233,MATCH(LEFT(GQ233,FIND("·",GQ233)-1),$K$232:$K$233,0))=IFERROR(VALUE(MID(GQ233,FIND("·",GQ233)+1,1)),0),($D$28+(INDEX($M$232:$M$233,MATCH(LEFT(GQ233,FIND("·",GQ233)-1),$K$232:$K$233,0))=MID(GQ233,FIND("|",GQ233)+1,10))*$D$30+MAX(0,IF($D$50=1,$D$29*(1-(ABS(INDEX($P$232:$P$233,MATCH(LEFT(GQ233,FIND("·",GQ233)-1),$K$232:$K$233,0))-(VALUE(MID(GQ233,FIND("|",GQ233)+1,FIND("-",GQ233,FIND("|",GQ233))-FIND("|",GQ233)-1))-VALUE(MID(GQ233,FIND("-",GQ233,FIND("|",GQ233))+1,10)))))*$D$50),$D$29*(1-(IF(INDEX($L$232:$L$233,MATCH(LEFT(GQ233,FIND("·",GQ233)-1),$K$232:$K$233,0))=0,ABS(INDEX($N$232:$N$233,MATCH(LEFT(GQ233,FIND("·",GQ233)-1),$K$232:$K$233,0))-VALUE(MID(GQ233,FIND("|",GQ233)+1,FIND("-",GQ233,FIND("|",GQ233))-FIND("|",GQ233)-1))),ABS(INDEX($P$232:$P$233,MATCH(LEFT(GQ233,FIND("·",GQ233)-1),$K$232:$K$233,0))-(VALUE(MID(GQ233,FIND("|",GQ233)+1,FIND("-",GQ233,FIND("|",GQ233))-FIND("|",GQ233)-1))-VALUE(MID(GQ233,FIND("-",GQ233,FIND("|",GQ233))+1,10)))))*$D$50)))))*INDEX($I$232:$I$233,MATCH(LEFT(GQ233,FIND("·",GQ233)-1),$K$232:$K$233,0)),0),0),0)+IFERROR(IF(COUNTIF($C$232:$C$233,LEFT(GQ233,FIND("·",GQ233)-1))&gt;0,IF(INDEX($D$232:$D$233,MATCH(LEFT(GQ233,FIND("·",GQ233)-1),$C$232:$C$233,0))=IFERROR(VALUE(MID(GQ233,FIND("·",GQ233)+1,1)),0),($D$28+(INDEX($E$232:$E$233,MATCH(LEFT(GQ233,FIND("·",GQ233)-1),$C$232:$C$233,0))=MID(GQ233,FIND("|",GQ233)+1,10))*$D$30+MAX(0,IF($D$50=1,$D$29*(1-(ABS(INDEX($Q$232:$Q$233,MATCH(LEFT(GQ233,FIND("·",GQ233)-1),$C$232:$C$233,0))-(VALUE(MID(GQ233,FIND("|",GQ233)+1,FIND("-",GQ233,FIND("|",GQ233))-FIND("|",GQ233)-1))-VALUE(MID(GQ233,FIND("-",GQ233,FIND("|",GQ233))+1,10)))))*$D$50),$D$29*(1-(IF(INDEX($D$232:$D$233,MATCH(LEFT(GQ233,FIND("·",GQ233)-1),$C$232:$C$233,0))=0,ABS(INDEX($A$232:$A$233,MATCH(LEFT(GQ233,FIND("·",GQ233)-1),$C$232:$C$233,0))-VALUE(MID(GQ233,FIND("|",GQ233)+1,FIND("-",GQ233,FIND("|",GQ233))-FIND("|",GQ233)-1))),ABS(INDEX($Q$232:$Q$233,MATCH(LEFT(GQ233,FIND("·",GQ233)-1),$C$232:$C$233,0))-(VALUE(MID(GQ233,FIND("|",GQ233)+1,FIND("-",GQ233,FIND("|",GQ233))-FIND("|",GQ233)-1))-VALUE(MID(GQ233,FIND("-",GQ233,FIND("|",GQ233))+1,10)))))*$D$50)))))*INDEX($I$232:$I$233,MATCH(LEFT(GQ233,FIND("·",GQ233)-1),$C$232:$C$233,0)),0),0),0)</f>
        <v>0</v>
      </c>
      <c r="GS233" s="110"/>
      <c r="GT233" s="80"/>
      <c r="GU233" s="81">
        <f t="shared" ref="GU233" ca="1" si="3013">IFERROR(IF(COUNTIF($K$232:$K$233,LEFT(GT233,FIND("·",GT233)-1))&gt;0,IF(INDEX($L$232:$L$233,MATCH(LEFT(GT233,FIND("·",GT233)-1),$K$232:$K$233,0))=IFERROR(VALUE(MID(GT233,FIND("·",GT233)+1,1)),0),($D$28+(INDEX($M$232:$M$233,MATCH(LEFT(GT233,FIND("·",GT233)-1),$K$232:$K$233,0))=MID(GT233,FIND("|",GT233)+1,10))*$D$30+MAX(0,IF($D$50=1,$D$29*(1-(ABS(INDEX($P$232:$P$233,MATCH(LEFT(GT233,FIND("·",GT233)-1),$K$232:$K$233,0))-(VALUE(MID(GT233,FIND("|",GT233)+1,FIND("-",GT233,FIND("|",GT233))-FIND("|",GT233)-1))-VALUE(MID(GT233,FIND("-",GT233,FIND("|",GT233))+1,10)))))*$D$50),$D$29*(1-(IF(INDEX($L$232:$L$233,MATCH(LEFT(GT233,FIND("·",GT233)-1),$K$232:$K$233,0))=0,ABS(INDEX($N$232:$N$233,MATCH(LEFT(GT233,FIND("·",GT233)-1),$K$232:$K$233,0))-VALUE(MID(GT233,FIND("|",GT233)+1,FIND("-",GT233,FIND("|",GT233))-FIND("|",GT233)-1))),ABS(INDEX($P$232:$P$233,MATCH(LEFT(GT233,FIND("·",GT233)-1),$K$232:$K$233,0))-(VALUE(MID(GT233,FIND("|",GT233)+1,FIND("-",GT233,FIND("|",GT233))-FIND("|",GT233)-1))-VALUE(MID(GT233,FIND("-",GT233,FIND("|",GT233))+1,10)))))*$D$50)))))*INDEX($I$232:$I$233,MATCH(LEFT(GT233,FIND("·",GT233)-1),$K$232:$K$233,0)),0),0),0)+IFERROR(IF(COUNTIF($C$232:$C$233,LEFT(GT233,FIND("·",GT233)-1))&gt;0,IF(INDEX($D$232:$D$233,MATCH(LEFT(GT233,FIND("·",GT233)-1),$C$232:$C$233,0))=IFERROR(VALUE(MID(GT233,FIND("·",GT233)+1,1)),0),($D$28+(INDEX($E$232:$E$233,MATCH(LEFT(GT233,FIND("·",GT233)-1),$C$232:$C$233,0))=MID(GT233,FIND("|",GT233)+1,10))*$D$30+MAX(0,IF($D$50=1,$D$29*(1-(ABS(INDEX($Q$232:$Q$233,MATCH(LEFT(GT233,FIND("·",GT233)-1),$C$232:$C$233,0))-(VALUE(MID(GT233,FIND("|",GT233)+1,FIND("-",GT233,FIND("|",GT233))-FIND("|",GT233)-1))-VALUE(MID(GT233,FIND("-",GT233,FIND("|",GT233))+1,10)))))*$D$50),$D$29*(1-(IF(INDEX($D$232:$D$233,MATCH(LEFT(GT233,FIND("·",GT233)-1),$C$232:$C$233,0))=0,ABS(INDEX($A$232:$A$233,MATCH(LEFT(GT233,FIND("·",GT233)-1),$C$232:$C$233,0))-VALUE(MID(GT233,FIND("|",GT233)+1,FIND("-",GT233,FIND("|",GT233))-FIND("|",GT233)-1))),ABS(INDEX($Q$232:$Q$233,MATCH(LEFT(GT233,FIND("·",GT233)-1),$C$232:$C$233,0))-(VALUE(MID(GT233,FIND("|",GT233)+1,FIND("-",GT233,FIND("|",GT233))-FIND("|",GT233)-1))-VALUE(MID(GT233,FIND("-",GT233,FIND("|",GT233))+1,10)))))*$D$50)))))*INDEX($I$232:$I$233,MATCH(LEFT(GT233,FIND("·",GT233)-1),$C$232:$C$233,0)),0),0),0)</f>
        <v>0</v>
      </c>
      <c r="GV233" s="110"/>
      <c r="GW233" s="80"/>
      <c r="GX233" s="81">
        <f t="shared" ref="GX233" ca="1" si="3014">IFERROR(IF(COUNTIF($K$232:$K$233,LEFT(GW233,FIND("·",GW233)-1))&gt;0,IF(INDEX($L$232:$L$233,MATCH(LEFT(GW233,FIND("·",GW233)-1),$K$232:$K$233,0))=IFERROR(VALUE(MID(GW233,FIND("·",GW233)+1,1)),0),($D$28+(INDEX($M$232:$M$233,MATCH(LEFT(GW233,FIND("·",GW233)-1),$K$232:$K$233,0))=MID(GW233,FIND("|",GW233)+1,10))*$D$30+MAX(0,IF($D$50=1,$D$29*(1-(ABS(INDEX($P$232:$P$233,MATCH(LEFT(GW233,FIND("·",GW233)-1),$K$232:$K$233,0))-(VALUE(MID(GW233,FIND("|",GW233)+1,FIND("-",GW233,FIND("|",GW233))-FIND("|",GW233)-1))-VALUE(MID(GW233,FIND("-",GW233,FIND("|",GW233))+1,10)))))*$D$50),$D$29*(1-(IF(INDEX($L$232:$L$233,MATCH(LEFT(GW233,FIND("·",GW233)-1),$K$232:$K$233,0))=0,ABS(INDEX($N$232:$N$233,MATCH(LEFT(GW233,FIND("·",GW233)-1),$K$232:$K$233,0))-VALUE(MID(GW233,FIND("|",GW233)+1,FIND("-",GW233,FIND("|",GW233))-FIND("|",GW233)-1))),ABS(INDEX($P$232:$P$233,MATCH(LEFT(GW233,FIND("·",GW233)-1),$K$232:$K$233,0))-(VALUE(MID(GW233,FIND("|",GW233)+1,FIND("-",GW233,FIND("|",GW233))-FIND("|",GW233)-1))-VALUE(MID(GW233,FIND("-",GW233,FIND("|",GW233))+1,10)))))*$D$50)))))*INDEX($I$232:$I$233,MATCH(LEFT(GW233,FIND("·",GW233)-1),$K$232:$K$233,0)),0),0),0)+IFERROR(IF(COUNTIF($C$232:$C$233,LEFT(GW233,FIND("·",GW233)-1))&gt;0,IF(INDEX($D$232:$D$233,MATCH(LEFT(GW233,FIND("·",GW233)-1),$C$232:$C$233,0))=IFERROR(VALUE(MID(GW233,FIND("·",GW233)+1,1)),0),($D$28+(INDEX($E$232:$E$233,MATCH(LEFT(GW233,FIND("·",GW233)-1),$C$232:$C$233,0))=MID(GW233,FIND("|",GW233)+1,10))*$D$30+MAX(0,IF($D$50=1,$D$29*(1-(ABS(INDEX($Q$232:$Q$233,MATCH(LEFT(GW233,FIND("·",GW233)-1),$C$232:$C$233,0))-(VALUE(MID(GW233,FIND("|",GW233)+1,FIND("-",GW233,FIND("|",GW233))-FIND("|",GW233)-1))-VALUE(MID(GW233,FIND("-",GW233,FIND("|",GW233))+1,10)))))*$D$50),$D$29*(1-(IF(INDEX($D$232:$D$233,MATCH(LEFT(GW233,FIND("·",GW233)-1),$C$232:$C$233,0))=0,ABS(INDEX($A$232:$A$233,MATCH(LEFT(GW233,FIND("·",GW233)-1),$C$232:$C$233,0))-VALUE(MID(GW233,FIND("|",GW233)+1,FIND("-",GW233,FIND("|",GW233))-FIND("|",GW233)-1))),ABS(INDEX($Q$232:$Q$233,MATCH(LEFT(GW233,FIND("·",GW233)-1),$C$232:$C$233,0))-(VALUE(MID(GW233,FIND("|",GW233)+1,FIND("-",GW233,FIND("|",GW233))-FIND("|",GW233)-1))-VALUE(MID(GW233,FIND("-",GW233,FIND("|",GW233))+1,10)))))*$D$50)))))*INDEX($I$232:$I$233,MATCH(LEFT(GW233,FIND("·",GW233)-1),$C$232:$C$233,0)),0),0),0)</f>
        <v>0</v>
      </c>
      <c r="GY233" s="110"/>
      <c r="GZ233" s="80"/>
      <c r="HA233" s="81">
        <f t="shared" ref="HA233" ca="1" si="3015">IFERROR(IF(COUNTIF($K$232:$K$233,LEFT(GZ233,FIND("·",GZ233)-1))&gt;0,IF(INDEX($L$232:$L$233,MATCH(LEFT(GZ233,FIND("·",GZ233)-1),$K$232:$K$233,0))=IFERROR(VALUE(MID(GZ233,FIND("·",GZ233)+1,1)),0),($D$28+(INDEX($M$232:$M$233,MATCH(LEFT(GZ233,FIND("·",GZ233)-1),$K$232:$K$233,0))=MID(GZ233,FIND("|",GZ233)+1,10))*$D$30+MAX(0,IF($D$50=1,$D$29*(1-(ABS(INDEX($P$232:$P$233,MATCH(LEFT(GZ233,FIND("·",GZ233)-1),$K$232:$K$233,0))-(VALUE(MID(GZ233,FIND("|",GZ233)+1,FIND("-",GZ233,FIND("|",GZ233))-FIND("|",GZ233)-1))-VALUE(MID(GZ233,FIND("-",GZ233,FIND("|",GZ233))+1,10)))))*$D$50),$D$29*(1-(IF(INDEX($L$232:$L$233,MATCH(LEFT(GZ233,FIND("·",GZ233)-1),$K$232:$K$233,0))=0,ABS(INDEX($N$232:$N$233,MATCH(LEFT(GZ233,FIND("·",GZ233)-1),$K$232:$K$233,0))-VALUE(MID(GZ233,FIND("|",GZ233)+1,FIND("-",GZ233,FIND("|",GZ233))-FIND("|",GZ233)-1))),ABS(INDEX($P$232:$P$233,MATCH(LEFT(GZ233,FIND("·",GZ233)-1),$K$232:$K$233,0))-(VALUE(MID(GZ233,FIND("|",GZ233)+1,FIND("-",GZ233,FIND("|",GZ233))-FIND("|",GZ233)-1))-VALUE(MID(GZ233,FIND("-",GZ233,FIND("|",GZ233))+1,10)))))*$D$50)))))*INDEX($I$232:$I$233,MATCH(LEFT(GZ233,FIND("·",GZ233)-1),$K$232:$K$233,0)),0),0),0)+IFERROR(IF(COUNTIF($C$232:$C$233,LEFT(GZ233,FIND("·",GZ233)-1))&gt;0,IF(INDEX($D$232:$D$233,MATCH(LEFT(GZ233,FIND("·",GZ233)-1),$C$232:$C$233,0))=IFERROR(VALUE(MID(GZ233,FIND("·",GZ233)+1,1)),0),($D$28+(INDEX($E$232:$E$233,MATCH(LEFT(GZ233,FIND("·",GZ233)-1),$C$232:$C$233,0))=MID(GZ233,FIND("|",GZ233)+1,10))*$D$30+MAX(0,IF($D$50=1,$D$29*(1-(ABS(INDEX($Q$232:$Q$233,MATCH(LEFT(GZ233,FIND("·",GZ233)-1),$C$232:$C$233,0))-(VALUE(MID(GZ233,FIND("|",GZ233)+1,FIND("-",GZ233,FIND("|",GZ233))-FIND("|",GZ233)-1))-VALUE(MID(GZ233,FIND("-",GZ233,FIND("|",GZ233))+1,10)))))*$D$50),$D$29*(1-(IF(INDEX($D$232:$D$233,MATCH(LEFT(GZ233,FIND("·",GZ233)-1),$C$232:$C$233,0))=0,ABS(INDEX($A$232:$A$233,MATCH(LEFT(GZ233,FIND("·",GZ233)-1),$C$232:$C$233,0))-VALUE(MID(GZ233,FIND("|",GZ233)+1,FIND("-",GZ233,FIND("|",GZ233))-FIND("|",GZ233)-1))),ABS(INDEX($Q$232:$Q$233,MATCH(LEFT(GZ233,FIND("·",GZ233)-1),$C$232:$C$233,0))-(VALUE(MID(GZ233,FIND("|",GZ233)+1,FIND("-",GZ233,FIND("|",GZ233))-FIND("|",GZ233)-1))-VALUE(MID(GZ233,FIND("-",GZ233,FIND("|",GZ233))+1,10)))))*$D$50)))))*INDEX($I$232:$I$233,MATCH(LEFT(GZ233,FIND("·",GZ233)-1),$C$232:$C$233,0)),0),0),0)</f>
        <v>0</v>
      </c>
      <c r="HB233" s="110"/>
      <c r="HC233" s="80"/>
      <c r="HD233" s="81">
        <f t="shared" ref="HD233" ca="1" si="3016">IFERROR(IF(COUNTIF($K$232:$K$233,LEFT(HC233,FIND("·",HC233)-1))&gt;0,IF(INDEX($L$232:$L$233,MATCH(LEFT(HC233,FIND("·",HC233)-1),$K$232:$K$233,0))=IFERROR(VALUE(MID(HC233,FIND("·",HC233)+1,1)),0),($D$28+(INDEX($M$232:$M$233,MATCH(LEFT(HC233,FIND("·",HC233)-1),$K$232:$K$233,0))=MID(HC233,FIND("|",HC233)+1,10))*$D$30+MAX(0,IF($D$50=1,$D$29*(1-(ABS(INDEX($P$232:$P$233,MATCH(LEFT(HC233,FIND("·",HC233)-1),$K$232:$K$233,0))-(VALUE(MID(HC233,FIND("|",HC233)+1,FIND("-",HC233,FIND("|",HC233))-FIND("|",HC233)-1))-VALUE(MID(HC233,FIND("-",HC233,FIND("|",HC233))+1,10)))))*$D$50),$D$29*(1-(IF(INDEX($L$232:$L$233,MATCH(LEFT(HC233,FIND("·",HC233)-1),$K$232:$K$233,0))=0,ABS(INDEX($N$232:$N$233,MATCH(LEFT(HC233,FIND("·",HC233)-1),$K$232:$K$233,0))-VALUE(MID(HC233,FIND("|",HC233)+1,FIND("-",HC233,FIND("|",HC233))-FIND("|",HC233)-1))),ABS(INDEX($P$232:$P$233,MATCH(LEFT(HC233,FIND("·",HC233)-1),$K$232:$K$233,0))-(VALUE(MID(HC233,FIND("|",HC233)+1,FIND("-",HC233,FIND("|",HC233))-FIND("|",HC233)-1))-VALUE(MID(HC233,FIND("-",HC233,FIND("|",HC233))+1,10)))))*$D$50)))))*INDEX($I$232:$I$233,MATCH(LEFT(HC233,FIND("·",HC233)-1),$K$232:$K$233,0)),0),0),0)+IFERROR(IF(COUNTIF($C$232:$C$233,LEFT(HC233,FIND("·",HC233)-1))&gt;0,IF(INDEX($D$232:$D$233,MATCH(LEFT(HC233,FIND("·",HC233)-1),$C$232:$C$233,0))=IFERROR(VALUE(MID(HC233,FIND("·",HC233)+1,1)),0),($D$28+(INDEX($E$232:$E$233,MATCH(LEFT(HC233,FIND("·",HC233)-1),$C$232:$C$233,0))=MID(HC233,FIND("|",HC233)+1,10))*$D$30+MAX(0,IF($D$50=1,$D$29*(1-(ABS(INDEX($Q$232:$Q$233,MATCH(LEFT(HC233,FIND("·",HC233)-1),$C$232:$C$233,0))-(VALUE(MID(HC233,FIND("|",HC233)+1,FIND("-",HC233,FIND("|",HC233))-FIND("|",HC233)-1))-VALUE(MID(HC233,FIND("-",HC233,FIND("|",HC233))+1,10)))))*$D$50),$D$29*(1-(IF(INDEX($D$232:$D$233,MATCH(LEFT(HC233,FIND("·",HC233)-1),$C$232:$C$233,0))=0,ABS(INDEX($A$232:$A$233,MATCH(LEFT(HC233,FIND("·",HC233)-1),$C$232:$C$233,0))-VALUE(MID(HC233,FIND("|",HC233)+1,FIND("-",HC233,FIND("|",HC233))-FIND("|",HC233)-1))),ABS(INDEX($Q$232:$Q$233,MATCH(LEFT(HC233,FIND("·",HC233)-1),$C$232:$C$233,0))-(VALUE(MID(HC233,FIND("|",HC233)+1,FIND("-",HC233,FIND("|",HC233))-FIND("|",HC233)-1))-VALUE(MID(HC233,FIND("-",HC233,FIND("|",HC233))+1,10)))))*$D$50)))))*INDEX($I$232:$I$233,MATCH(LEFT(HC233,FIND("·",HC233)-1),$C$232:$C$233,0)),0),0),0)</f>
        <v>0</v>
      </c>
      <c r="HE233" s="110"/>
      <c r="HF233" s="80"/>
      <c r="HG233" s="81">
        <f t="shared" ref="HG233" ca="1" si="3017">IFERROR(IF(COUNTIF($K$232:$K$233,LEFT(HF233,FIND("·",HF233)-1))&gt;0,IF(INDEX($L$232:$L$233,MATCH(LEFT(HF233,FIND("·",HF233)-1),$K$232:$K$233,0))=IFERROR(VALUE(MID(HF233,FIND("·",HF233)+1,1)),0),($D$28+(INDEX($M$232:$M$233,MATCH(LEFT(HF233,FIND("·",HF233)-1),$K$232:$K$233,0))=MID(HF233,FIND("|",HF233)+1,10))*$D$30+MAX(0,IF($D$50=1,$D$29*(1-(ABS(INDEX($P$232:$P$233,MATCH(LEFT(HF233,FIND("·",HF233)-1),$K$232:$K$233,0))-(VALUE(MID(HF233,FIND("|",HF233)+1,FIND("-",HF233,FIND("|",HF233))-FIND("|",HF233)-1))-VALUE(MID(HF233,FIND("-",HF233,FIND("|",HF233))+1,10)))))*$D$50),$D$29*(1-(IF(INDEX($L$232:$L$233,MATCH(LEFT(HF233,FIND("·",HF233)-1),$K$232:$K$233,0))=0,ABS(INDEX($N$232:$N$233,MATCH(LEFT(HF233,FIND("·",HF233)-1),$K$232:$K$233,0))-VALUE(MID(HF233,FIND("|",HF233)+1,FIND("-",HF233,FIND("|",HF233))-FIND("|",HF233)-1))),ABS(INDEX($P$232:$P$233,MATCH(LEFT(HF233,FIND("·",HF233)-1),$K$232:$K$233,0))-(VALUE(MID(HF233,FIND("|",HF233)+1,FIND("-",HF233,FIND("|",HF233))-FIND("|",HF233)-1))-VALUE(MID(HF233,FIND("-",HF233,FIND("|",HF233))+1,10)))))*$D$50)))))*INDEX($I$232:$I$233,MATCH(LEFT(HF233,FIND("·",HF233)-1),$K$232:$K$233,0)),0),0),0)+IFERROR(IF(COUNTIF($C$232:$C$233,LEFT(HF233,FIND("·",HF233)-1))&gt;0,IF(INDEX($D$232:$D$233,MATCH(LEFT(HF233,FIND("·",HF233)-1),$C$232:$C$233,0))=IFERROR(VALUE(MID(HF233,FIND("·",HF233)+1,1)),0),($D$28+(INDEX($E$232:$E$233,MATCH(LEFT(HF233,FIND("·",HF233)-1),$C$232:$C$233,0))=MID(HF233,FIND("|",HF233)+1,10))*$D$30+MAX(0,IF($D$50=1,$D$29*(1-(ABS(INDEX($Q$232:$Q$233,MATCH(LEFT(HF233,FIND("·",HF233)-1),$C$232:$C$233,0))-(VALUE(MID(HF233,FIND("|",HF233)+1,FIND("-",HF233,FIND("|",HF233))-FIND("|",HF233)-1))-VALUE(MID(HF233,FIND("-",HF233,FIND("|",HF233))+1,10)))))*$D$50),$D$29*(1-(IF(INDEX($D$232:$D$233,MATCH(LEFT(HF233,FIND("·",HF233)-1),$C$232:$C$233,0))=0,ABS(INDEX($A$232:$A$233,MATCH(LEFT(HF233,FIND("·",HF233)-1),$C$232:$C$233,0))-VALUE(MID(HF233,FIND("|",HF233)+1,FIND("-",HF233,FIND("|",HF233))-FIND("|",HF233)-1))),ABS(INDEX($Q$232:$Q$233,MATCH(LEFT(HF233,FIND("·",HF233)-1),$C$232:$C$233,0))-(VALUE(MID(HF233,FIND("|",HF233)+1,FIND("-",HF233,FIND("|",HF233))-FIND("|",HF233)-1))-VALUE(MID(HF233,FIND("-",HF233,FIND("|",HF233))+1,10)))))*$D$50)))))*INDEX($I$232:$I$233,MATCH(LEFT(HF233,FIND("·",HF233)-1),$C$232:$C$233,0)),0),0),0)</f>
        <v>0</v>
      </c>
      <c r="HH233" s="110"/>
      <c r="HI233" s="80"/>
      <c r="HJ233" s="81">
        <f t="shared" ref="HJ233" ca="1" si="3018">IFERROR(IF(COUNTIF($K$232:$K$233,LEFT(HI233,FIND("·",HI233)-1))&gt;0,IF(INDEX($L$232:$L$233,MATCH(LEFT(HI233,FIND("·",HI233)-1),$K$232:$K$233,0))=IFERROR(VALUE(MID(HI233,FIND("·",HI233)+1,1)),0),($D$28+(INDEX($M$232:$M$233,MATCH(LEFT(HI233,FIND("·",HI233)-1),$K$232:$K$233,0))=MID(HI233,FIND("|",HI233)+1,10))*$D$30+MAX(0,IF($D$50=1,$D$29*(1-(ABS(INDEX($P$232:$P$233,MATCH(LEFT(HI233,FIND("·",HI233)-1),$K$232:$K$233,0))-(VALUE(MID(HI233,FIND("|",HI233)+1,FIND("-",HI233,FIND("|",HI233))-FIND("|",HI233)-1))-VALUE(MID(HI233,FIND("-",HI233,FIND("|",HI233))+1,10)))))*$D$50),$D$29*(1-(IF(INDEX($L$232:$L$233,MATCH(LEFT(HI233,FIND("·",HI233)-1),$K$232:$K$233,0))=0,ABS(INDEX($N$232:$N$233,MATCH(LEFT(HI233,FIND("·",HI233)-1),$K$232:$K$233,0))-VALUE(MID(HI233,FIND("|",HI233)+1,FIND("-",HI233,FIND("|",HI233))-FIND("|",HI233)-1))),ABS(INDEX($P$232:$P$233,MATCH(LEFT(HI233,FIND("·",HI233)-1),$K$232:$K$233,0))-(VALUE(MID(HI233,FIND("|",HI233)+1,FIND("-",HI233,FIND("|",HI233))-FIND("|",HI233)-1))-VALUE(MID(HI233,FIND("-",HI233,FIND("|",HI233))+1,10)))))*$D$50)))))*INDEX($I$232:$I$233,MATCH(LEFT(HI233,FIND("·",HI233)-1),$K$232:$K$233,0)),0),0),0)+IFERROR(IF(COUNTIF($C$232:$C$233,LEFT(HI233,FIND("·",HI233)-1))&gt;0,IF(INDEX($D$232:$D$233,MATCH(LEFT(HI233,FIND("·",HI233)-1),$C$232:$C$233,0))=IFERROR(VALUE(MID(HI233,FIND("·",HI233)+1,1)),0),($D$28+(INDEX($E$232:$E$233,MATCH(LEFT(HI233,FIND("·",HI233)-1),$C$232:$C$233,0))=MID(HI233,FIND("|",HI233)+1,10))*$D$30+MAX(0,IF($D$50=1,$D$29*(1-(ABS(INDEX($Q$232:$Q$233,MATCH(LEFT(HI233,FIND("·",HI233)-1),$C$232:$C$233,0))-(VALUE(MID(HI233,FIND("|",HI233)+1,FIND("-",HI233,FIND("|",HI233))-FIND("|",HI233)-1))-VALUE(MID(HI233,FIND("-",HI233,FIND("|",HI233))+1,10)))))*$D$50),$D$29*(1-(IF(INDEX($D$232:$D$233,MATCH(LEFT(HI233,FIND("·",HI233)-1),$C$232:$C$233,0))=0,ABS(INDEX($A$232:$A$233,MATCH(LEFT(HI233,FIND("·",HI233)-1),$C$232:$C$233,0))-VALUE(MID(HI233,FIND("|",HI233)+1,FIND("-",HI233,FIND("|",HI233))-FIND("|",HI233)-1))),ABS(INDEX($Q$232:$Q$233,MATCH(LEFT(HI233,FIND("·",HI233)-1),$C$232:$C$233,0))-(VALUE(MID(HI233,FIND("|",HI233)+1,FIND("-",HI233,FIND("|",HI233))-FIND("|",HI233)-1))-VALUE(MID(HI233,FIND("-",HI233,FIND("|",HI233))+1,10)))))*$D$50)))))*INDEX($I$232:$I$233,MATCH(LEFT(HI233,FIND("·",HI233)-1),$C$232:$C$233,0)),0),0),0)</f>
        <v>0</v>
      </c>
      <c r="HK233" s="110"/>
      <c r="HL233" s="80"/>
      <c r="HM233" s="81">
        <f t="shared" ref="HM233" ca="1" si="3019">IFERROR(IF(COUNTIF($K$232:$K$233,LEFT(HL233,FIND("·",HL233)-1))&gt;0,IF(INDEX($L$232:$L$233,MATCH(LEFT(HL233,FIND("·",HL233)-1),$K$232:$K$233,0))=IFERROR(VALUE(MID(HL233,FIND("·",HL233)+1,1)),0),($D$28+(INDEX($M$232:$M$233,MATCH(LEFT(HL233,FIND("·",HL233)-1),$K$232:$K$233,0))=MID(HL233,FIND("|",HL233)+1,10))*$D$30+MAX(0,IF($D$50=1,$D$29*(1-(ABS(INDEX($P$232:$P$233,MATCH(LEFT(HL233,FIND("·",HL233)-1),$K$232:$K$233,0))-(VALUE(MID(HL233,FIND("|",HL233)+1,FIND("-",HL233,FIND("|",HL233))-FIND("|",HL233)-1))-VALUE(MID(HL233,FIND("-",HL233,FIND("|",HL233))+1,10)))))*$D$50),$D$29*(1-(IF(INDEX($L$232:$L$233,MATCH(LEFT(HL233,FIND("·",HL233)-1),$K$232:$K$233,0))=0,ABS(INDEX($N$232:$N$233,MATCH(LEFT(HL233,FIND("·",HL233)-1),$K$232:$K$233,0))-VALUE(MID(HL233,FIND("|",HL233)+1,FIND("-",HL233,FIND("|",HL233))-FIND("|",HL233)-1))),ABS(INDEX($P$232:$P$233,MATCH(LEFT(HL233,FIND("·",HL233)-1),$K$232:$K$233,0))-(VALUE(MID(HL233,FIND("|",HL233)+1,FIND("-",HL233,FIND("|",HL233))-FIND("|",HL233)-1))-VALUE(MID(HL233,FIND("-",HL233,FIND("|",HL233))+1,10)))))*$D$50)))))*INDEX($I$232:$I$233,MATCH(LEFT(HL233,FIND("·",HL233)-1),$K$232:$K$233,0)),0),0),0)+IFERROR(IF(COUNTIF($C$232:$C$233,LEFT(HL233,FIND("·",HL233)-1))&gt;0,IF(INDEX($D$232:$D$233,MATCH(LEFT(HL233,FIND("·",HL233)-1),$C$232:$C$233,0))=IFERROR(VALUE(MID(HL233,FIND("·",HL233)+1,1)),0),($D$28+(INDEX($E$232:$E$233,MATCH(LEFT(HL233,FIND("·",HL233)-1),$C$232:$C$233,0))=MID(HL233,FIND("|",HL233)+1,10))*$D$30+MAX(0,IF($D$50=1,$D$29*(1-(ABS(INDEX($Q$232:$Q$233,MATCH(LEFT(HL233,FIND("·",HL233)-1),$C$232:$C$233,0))-(VALUE(MID(HL233,FIND("|",HL233)+1,FIND("-",HL233,FIND("|",HL233))-FIND("|",HL233)-1))-VALUE(MID(HL233,FIND("-",HL233,FIND("|",HL233))+1,10)))))*$D$50),$D$29*(1-(IF(INDEX($D$232:$D$233,MATCH(LEFT(HL233,FIND("·",HL233)-1),$C$232:$C$233,0))=0,ABS(INDEX($A$232:$A$233,MATCH(LEFT(HL233,FIND("·",HL233)-1),$C$232:$C$233,0))-VALUE(MID(HL233,FIND("|",HL233)+1,FIND("-",HL233,FIND("|",HL233))-FIND("|",HL233)-1))),ABS(INDEX($Q$232:$Q$233,MATCH(LEFT(HL233,FIND("·",HL233)-1),$C$232:$C$233,0))-(VALUE(MID(HL233,FIND("|",HL233)+1,FIND("-",HL233,FIND("|",HL233))-FIND("|",HL233)-1))-VALUE(MID(HL233,FIND("-",HL233,FIND("|",HL233))+1,10)))))*$D$50)))))*INDEX($I$232:$I$233,MATCH(LEFT(HL233,FIND("·",HL233)-1),$C$232:$C$233,0)),0),0),0)</f>
        <v>0</v>
      </c>
      <c r="HN233" s="110"/>
      <c r="HO233" s="80"/>
      <c r="HP233" s="81">
        <f t="shared" ref="HP233" ca="1" si="3020">IFERROR(IF(COUNTIF($K$232:$K$233,LEFT(HO233,FIND("·",HO233)-1))&gt;0,IF(INDEX($L$232:$L$233,MATCH(LEFT(HO233,FIND("·",HO233)-1),$K$232:$K$233,0))=IFERROR(VALUE(MID(HO233,FIND("·",HO233)+1,1)),0),($D$28+(INDEX($M$232:$M$233,MATCH(LEFT(HO233,FIND("·",HO233)-1),$K$232:$K$233,0))=MID(HO233,FIND("|",HO233)+1,10))*$D$30+MAX(0,IF($D$50=1,$D$29*(1-(ABS(INDEX($P$232:$P$233,MATCH(LEFT(HO233,FIND("·",HO233)-1),$K$232:$K$233,0))-(VALUE(MID(HO233,FIND("|",HO233)+1,FIND("-",HO233,FIND("|",HO233))-FIND("|",HO233)-1))-VALUE(MID(HO233,FIND("-",HO233,FIND("|",HO233))+1,10)))))*$D$50),$D$29*(1-(IF(INDEX($L$232:$L$233,MATCH(LEFT(HO233,FIND("·",HO233)-1),$K$232:$K$233,0))=0,ABS(INDEX($N$232:$N$233,MATCH(LEFT(HO233,FIND("·",HO233)-1),$K$232:$K$233,0))-VALUE(MID(HO233,FIND("|",HO233)+1,FIND("-",HO233,FIND("|",HO233))-FIND("|",HO233)-1))),ABS(INDEX($P$232:$P$233,MATCH(LEFT(HO233,FIND("·",HO233)-1),$K$232:$K$233,0))-(VALUE(MID(HO233,FIND("|",HO233)+1,FIND("-",HO233,FIND("|",HO233))-FIND("|",HO233)-1))-VALUE(MID(HO233,FIND("-",HO233,FIND("|",HO233))+1,10)))))*$D$50)))))*INDEX($I$232:$I$233,MATCH(LEFT(HO233,FIND("·",HO233)-1),$K$232:$K$233,0)),0),0),0)+IFERROR(IF(COUNTIF($C$232:$C$233,LEFT(HO233,FIND("·",HO233)-1))&gt;0,IF(INDEX($D$232:$D$233,MATCH(LEFT(HO233,FIND("·",HO233)-1),$C$232:$C$233,0))=IFERROR(VALUE(MID(HO233,FIND("·",HO233)+1,1)),0),($D$28+(INDEX($E$232:$E$233,MATCH(LEFT(HO233,FIND("·",HO233)-1),$C$232:$C$233,0))=MID(HO233,FIND("|",HO233)+1,10))*$D$30+MAX(0,IF($D$50=1,$D$29*(1-(ABS(INDEX($Q$232:$Q$233,MATCH(LEFT(HO233,FIND("·",HO233)-1),$C$232:$C$233,0))-(VALUE(MID(HO233,FIND("|",HO233)+1,FIND("-",HO233,FIND("|",HO233))-FIND("|",HO233)-1))-VALUE(MID(HO233,FIND("-",HO233,FIND("|",HO233))+1,10)))))*$D$50),$D$29*(1-(IF(INDEX($D$232:$D$233,MATCH(LEFT(HO233,FIND("·",HO233)-1),$C$232:$C$233,0))=0,ABS(INDEX($A$232:$A$233,MATCH(LEFT(HO233,FIND("·",HO233)-1),$C$232:$C$233,0))-VALUE(MID(HO233,FIND("|",HO233)+1,FIND("-",HO233,FIND("|",HO233))-FIND("|",HO233)-1))),ABS(INDEX($Q$232:$Q$233,MATCH(LEFT(HO233,FIND("·",HO233)-1),$C$232:$C$233,0))-(VALUE(MID(HO233,FIND("|",HO233)+1,FIND("-",HO233,FIND("|",HO233))-FIND("|",HO233)-1))-VALUE(MID(HO233,FIND("-",HO233,FIND("|",HO233))+1,10)))))*$D$50)))))*INDEX($I$232:$I$233,MATCH(LEFT(HO233,FIND("·",HO233)-1),$C$232:$C$233,0)),0),0),0)</f>
        <v>0</v>
      </c>
      <c r="HQ233" s="110"/>
      <c r="HR233" s="80"/>
      <c r="HS233" s="81">
        <f t="shared" ref="HS233" ca="1" si="3021">IFERROR(IF(COUNTIF($K$232:$K$233,LEFT(HR233,FIND("·",HR233)-1))&gt;0,IF(INDEX($L$232:$L$233,MATCH(LEFT(HR233,FIND("·",HR233)-1),$K$232:$K$233,0))=IFERROR(VALUE(MID(HR233,FIND("·",HR233)+1,1)),0),($D$28+(INDEX($M$232:$M$233,MATCH(LEFT(HR233,FIND("·",HR233)-1),$K$232:$K$233,0))=MID(HR233,FIND("|",HR233)+1,10))*$D$30+MAX(0,IF($D$50=1,$D$29*(1-(ABS(INDEX($P$232:$P$233,MATCH(LEFT(HR233,FIND("·",HR233)-1),$K$232:$K$233,0))-(VALUE(MID(HR233,FIND("|",HR233)+1,FIND("-",HR233,FIND("|",HR233))-FIND("|",HR233)-1))-VALUE(MID(HR233,FIND("-",HR233,FIND("|",HR233))+1,10)))))*$D$50),$D$29*(1-(IF(INDEX($L$232:$L$233,MATCH(LEFT(HR233,FIND("·",HR233)-1),$K$232:$K$233,0))=0,ABS(INDEX($N$232:$N$233,MATCH(LEFT(HR233,FIND("·",HR233)-1),$K$232:$K$233,0))-VALUE(MID(HR233,FIND("|",HR233)+1,FIND("-",HR233,FIND("|",HR233))-FIND("|",HR233)-1))),ABS(INDEX($P$232:$P$233,MATCH(LEFT(HR233,FIND("·",HR233)-1),$K$232:$K$233,0))-(VALUE(MID(HR233,FIND("|",HR233)+1,FIND("-",HR233,FIND("|",HR233))-FIND("|",HR233)-1))-VALUE(MID(HR233,FIND("-",HR233,FIND("|",HR233))+1,10)))))*$D$50)))))*INDEX($I$232:$I$233,MATCH(LEFT(HR233,FIND("·",HR233)-1),$K$232:$K$233,0)),0),0),0)+IFERROR(IF(COUNTIF($C$232:$C$233,LEFT(HR233,FIND("·",HR233)-1))&gt;0,IF(INDEX($D$232:$D$233,MATCH(LEFT(HR233,FIND("·",HR233)-1),$C$232:$C$233,0))=IFERROR(VALUE(MID(HR233,FIND("·",HR233)+1,1)),0),($D$28+(INDEX($E$232:$E$233,MATCH(LEFT(HR233,FIND("·",HR233)-1),$C$232:$C$233,0))=MID(HR233,FIND("|",HR233)+1,10))*$D$30+MAX(0,IF($D$50=1,$D$29*(1-(ABS(INDEX($Q$232:$Q$233,MATCH(LEFT(HR233,FIND("·",HR233)-1),$C$232:$C$233,0))-(VALUE(MID(HR233,FIND("|",HR233)+1,FIND("-",HR233,FIND("|",HR233))-FIND("|",HR233)-1))-VALUE(MID(HR233,FIND("-",HR233,FIND("|",HR233))+1,10)))))*$D$50),$D$29*(1-(IF(INDEX($D$232:$D$233,MATCH(LEFT(HR233,FIND("·",HR233)-1),$C$232:$C$233,0))=0,ABS(INDEX($A$232:$A$233,MATCH(LEFT(HR233,FIND("·",HR233)-1),$C$232:$C$233,0))-VALUE(MID(HR233,FIND("|",HR233)+1,FIND("-",HR233,FIND("|",HR233))-FIND("|",HR233)-1))),ABS(INDEX($Q$232:$Q$233,MATCH(LEFT(HR233,FIND("·",HR233)-1),$C$232:$C$233,0))-(VALUE(MID(HR233,FIND("|",HR233)+1,FIND("-",HR233,FIND("|",HR233))-FIND("|",HR233)-1))-VALUE(MID(HR233,FIND("-",HR233,FIND("|",HR233))+1,10)))))*$D$50)))))*INDEX($I$232:$I$233,MATCH(LEFT(HR233,FIND("·",HR233)-1),$C$232:$C$233,0)),0),0),0)</f>
        <v>0</v>
      </c>
      <c r="HT233" s="110"/>
      <c r="HU233" s="80"/>
      <c r="HV233" s="81">
        <f t="shared" ref="HV233" ca="1" si="3022">IFERROR(IF(COUNTIF($K$232:$K$233,LEFT(HU233,FIND("·",HU233)-1))&gt;0,IF(INDEX($L$232:$L$233,MATCH(LEFT(HU233,FIND("·",HU233)-1),$K$232:$K$233,0))=IFERROR(VALUE(MID(HU233,FIND("·",HU233)+1,1)),0),($D$28+(INDEX($M$232:$M$233,MATCH(LEFT(HU233,FIND("·",HU233)-1),$K$232:$K$233,0))=MID(HU233,FIND("|",HU233)+1,10))*$D$30+MAX(0,IF($D$50=1,$D$29*(1-(ABS(INDEX($P$232:$P$233,MATCH(LEFT(HU233,FIND("·",HU233)-1),$K$232:$K$233,0))-(VALUE(MID(HU233,FIND("|",HU233)+1,FIND("-",HU233,FIND("|",HU233))-FIND("|",HU233)-1))-VALUE(MID(HU233,FIND("-",HU233,FIND("|",HU233))+1,10)))))*$D$50),$D$29*(1-(IF(INDEX($L$232:$L$233,MATCH(LEFT(HU233,FIND("·",HU233)-1),$K$232:$K$233,0))=0,ABS(INDEX($N$232:$N$233,MATCH(LEFT(HU233,FIND("·",HU233)-1),$K$232:$K$233,0))-VALUE(MID(HU233,FIND("|",HU233)+1,FIND("-",HU233,FIND("|",HU233))-FIND("|",HU233)-1))),ABS(INDEX($P$232:$P$233,MATCH(LEFT(HU233,FIND("·",HU233)-1),$K$232:$K$233,0))-(VALUE(MID(HU233,FIND("|",HU233)+1,FIND("-",HU233,FIND("|",HU233))-FIND("|",HU233)-1))-VALUE(MID(HU233,FIND("-",HU233,FIND("|",HU233))+1,10)))))*$D$50)))))*INDEX($I$232:$I$233,MATCH(LEFT(HU233,FIND("·",HU233)-1),$K$232:$K$233,0)),0),0),0)+IFERROR(IF(COUNTIF($C$232:$C$233,LEFT(HU233,FIND("·",HU233)-1))&gt;0,IF(INDEX($D$232:$D$233,MATCH(LEFT(HU233,FIND("·",HU233)-1),$C$232:$C$233,0))=IFERROR(VALUE(MID(HU233,FIND("·",HU233)+1,1)),0),($D$28+(INDEX($E$232:$E$233,MATCH(LEFT(HU233,FIND("·",HU233)-1),$C$232:$C$233,0))=MID(HU233,FIND("|",HU233)+1,10))*$D$30+MAX(0,IF($D$50=1,$D$29*(1-(ABS(INDEX($Q$232:$Q$233,MATCH(LEFT(HU233,FIND("·",HU233)-1),$C$232:$C$233,0))-(VALUE(MID(HU233,FIND("|",HU233)+1,FIND("-",HU233,FIND("|",HU233))-FIND("|",HU233)-1))-VALUE(MID(HU233,FIND("-",HU233,FIND("|",HU233))+1,10)))))*$D$50),$D$29*(1-(IF(INDEX($D$232:$D$233,MATCH(LEFT(HU233,FIND("·",HU233)-1),$C$232:$C$233,0))=0,ABS(INDEX($A$232:$A$233,MATCH(LEFT(HU233,FIND("·",HU233)-1),$C$232:$C$233,0))-VALUE(MID(HU233,FIND("|",HU233)+1,FIND("-",HU233,FIND("|",HU233))-FIND("|",HU233)-1))),ABS(INDEX($Q$232:$Q$233,MATCH(LEFT(HU233,FIND("·",HU233)-1),$C$232:$C$233,0))-(VALUE(MID(HU233,FIND("|",HU233)+1,FIND("-",HU233,FIND("|",HU233))-FIND("|",HU233)-1))-VALUE(MID(HU233,FIND("-",HU233,FIND("|",HU233))+1,10)))))*$D$50)))))*INDEX($I$232:$I$233,MATCH(LEFT(HU233,FIND("·",HU233)-1),$C$232:$C$233,0)),0),0),0)</f>
        <v>0</v>
      </c>
      <c r="HW233" s="110"/>
      <c r="HX233" s="80"/>
      <c r="HY233" s="81">
        <f t="shared" ref="HY233" ca="1" si="3023">IFERROR(IF(COUNTIF($K$232:$K$233,LEFT(HX233,FIND("·",HX233)-1))&gt;0,IF(INDEX($L$232:$L$233,MATCH(LEFT(HX233,FIND("·",HX233)-1),$K$232:$K$233,0))=IFERROR(VALUE(MID(HX233,FIND("·",HX233)+1,1)),0),($D$28+(INDEX($M$232:$M$233,MATCH(LEFT(HX233,FIND("·",HX233)-1),$K$232:$K$233,0))=MID(HX233,FIND("|",HX233)+1,10))*$D$30+MAX(0,IF($D$50=1,$D$29*(1-(ABS(INDEX($P$232:$P$233,MATCH(LEFT(HX233,FIND("·",HX233)-1),$K$232:$K$233,0))-(VALUE(MID(HX233,FIND("|",HX233)+1,FIND("-",HX233,FIND("|",HX233))-FIND("|",HX233)-1))-VALUE(MID(HX233,FIND("-",HX233,FIND("|",HX233))+1,10)))))*$D$50),$D$29*(1-(IF(INDEX($L$232:$L$233,MATCH(LEFT(HX233,FIND("·",HX233)-1),$K$232:$K$233,0))=0,ABS(INDEX($N$232:$N$233,MATCH(LEFT(HX233,FIND("·",HX233)-1),$K$232:$K$233,0))-VALUE(MID(HX233,FIND("|",HX233)+1,FIND("-",HX233,FIND("|",HX233))-FIND("|",HX233)-1))),ABS(INDEX($P$232:$P$233,MATCH(LEFT(HX233,FIND("·",HX233)-1),$K$232:$K$233,0))-(VALUE(MID(HX233,FIND("|",HX233)+1,FIND("-",HX233,FIND("|",HX233))-FIND("|",HX233)-1))-VALUE(MID(HX233,FIND("-",HX233,FIND("|",HX233))+1,10)))))*$D$50)))))*INDEX($I$232:$I$233,MATCH(LEFT(HX233,FIND("·",HX233)-1),$K$232:$K$233,0)),0),0),0)+IFERROR(IF(COUNTIF($C$232:$C$233,LEFT(HX233,FIND("·",HX233)-1))&gt;0,IF(INDEX($D$232:$D$233,MATCH(LEFT(HX233,FIND("·",HX233)-1),$C$232:$C$233,0))=IFERROR(VALUE(MID(HX233,FIND("·",HX233)+1,1)),0),($D$28+(INDEX($E$232:$E$233,MATCH(LEFT(HX233,FIND("·",HX233)-1),$C$232:$C$233,0))=MID(HX233,FIND("|",HX233)+1,10))*$D$30+MAX(0,IF($D$50=1,$D$29*(1-(ABS(INDEX($Q$232:$Q$233,MATCH(LEFT(HX233,FIND("·",HX233)-1),$C$232:$C$233,0))-(VALUE(MID(HX233,FIND("|",HX233)+1,FIND("-",HX233,FIND("|",HX233))-FIND("|",HX233)-1))-VALUE(MID(HX233,FIND("-",HX233,FIND("|",HX233))+1,10)))))*$D$50),$D$29*(1-(IF(INDEX($D$232:$D$233,MATCH(LEFT(HX233,FIND("·",HX233)-1),$C$232:$C$233,0))=0,ABS(INDEX($A$232:$A$233,MATCH(LEFT(HX233,FIND("·",HX233)-1),$C$232:$C$233,0))-VALUE(MID(HX233,FIND("|",HX233)+1,FIND("-",HX233,FIND("|",HX233))-FIND("|",HX233)-1))),ABS(INDEX($Q$232:$Q$233,MATCH(LEFT(HX233,FIND("·",HX233)-1),$C$232:$C$233,0))-(VALUE(MID(HX233,FIND("|",HX233)+1,FIND("-",HX233,FIND("|",HX233))-FIND("|",HX233)-1))-VALUE(MID(HX233,FIND("-",HX233,FIND("|",HX233))+1,10)))))*$D$50)))))*INDEX($I$232:$I$233,MATCH(LEFT(HX233,FIND("·",HX233)-1),$C$232:$C$233,0)),0),0),0)</f>
        <v>0</v>
      </c>
      <c r="HZ233" s="110"/>
      <c r="IA233" s="80"/>
      <c r="IB233" s="81">
        <f t="shared" ref="IB233" ca="1" si="3024">IFERROR(IF(COUNTIF($K$232:$K$233,LEFT(IA233,FIND("·",IA233)-1))&gt;0,IF(INDEX($L$232:$L$233,MATCH(LEFT(IA233,FIND("·",IA233)-1),$K$232:$K$233,0))=IFERROR(VALUE(MID(IA233,FIND("·",IA233)+1,1)),0),($D$28+(INDEX($M$232:$M$233,MATCH(LEFT(IA233,FIND("·",IA233)-1),$K$232:$K$233,0))=MID(IA233,FIND("|",IA233)+1,10))*$D$30+MAX(0,IF($D$50=1,$D$29*(1-(ABS(INDEX($P$232:$P$233,MATCH(LEFT(IA233,FIND("·",IA233)-1),$K$232:$K$233,0))-(VALUE(MID(IA233,FIND("|",IA233)+1,FIND("-",IA233,FIND("|",IA233))-FIND("|",IA233)-1))-VALUE(MID(IA233,FIND("-",IA233,FIND("|",IA233))+1,10)))))*$D$50),$D$29*(1-(IF(INDEX($L$232:$L$233,MATCH(LEFT(IA233,FIND("·",IA233)-1),$K$232:$K$233,0))=0,ABS(INDEX($N$232:$N$233,MATCH(LEFT(IA233,FIND("·",IA233)-1),$K$232:$K$233,0))-VALUE(MID(IA233,FIND("|",IA233)+1,FIND("-",IA233,FIND("|",IA233))-FIND("|",IA233)-1))),ABS(INDEX($P$232:$P$233,MATCH(LEFT(IA233,FIND("·",IA233)-1),$K$232:$K$233,0))-(VALUE(MID(IA233,FIND("|",IA233)+1,FIND("-",IA233,FIND("|",IA233))-FIND("|",IA233)-1))-VALUE(MID(IA233,FIND("-",IA233,FIND("|",IA233))+1,10)))))*$D$50)))))*INDEX($I$232:$I$233,MATCH(LEFT(IA233,FIND("·",IA233)-1),$K$232:$K$233,0)),0),0),0)+IFERROR(IF(COUNTIF($C$232:$C$233,LEFT(IA233,FIND("·",IA233)-1))&gt;0,IF(INDEX($D$232:$D$233,MATCH(LEFT(IA233,FIND("·",IA233)-1),$C$232:$C$233,0))=IFERROR(VALUE(MID(IA233,FIND("·",IA233)+1,1)),0),($D$28+(INDEX($E$232:$E$233,MATCH(LEFT(IA233,FIND("·",IA233)-1),$C$232:$C$233,0))=MID(IA233,FIND("|",IA233)+1,10))*$D$30+MAX(0,IF($D$50=1,$D$29*(1-(ABS(INDEX($Q$232:$Q$233,MATCH(LEFT(IA233,FIND("·",IA233)-1),$C$232:$C$233,0))-(VALUE(MID(IA233,FIND("|",IA233)+1,FIND("-",IA233,FIND("|",IA233))-FIND("|",IA233)-1))-VALUE(MID(IA233,FIND("-",IA233,FIND("|",IA233))+1,10)))))*$D$50),$D$29*(1-(IF(INDEX($D$232:$D$233,MATCH(LEFT(IA233,FIND("·",IA233)-1),$C$232:$C$233,0))=0,ABS(INDEX($A$232:$A$233,MATCH(LEFT(IA233,FIND("·",IA233)-1),$C$232:$C$233,0))-VALUE(MID(IA233,FIND("|",IA233)+1,FIND("-",IA233,FIND("|",IA233))-FIND("|",IA233)-1))),ABS(INDEX($Q$232:$Q$233,MATCH(LEFT(IA233,FIND("·",IA233)-1),$C$232:$C$233,0))-(VALUE(MID(IA233,FIND("|",IA233)+1,FIND("-",IA233,FIND("|",IA233))-FIND("|",IA233)-1))-VALUE(MID(IA233,FIND("-",IA233,FIND("|",IA233))+1,10)))))*$D$50)))))*INDEX($I$232:$I$233,MATCH(LEFT(IA233,FIND("·",IA233)-1),$C$232:$C$233,0)),0),0),0)</f>
        <v>0</v>
      </c>
      <c r="IC233" s="110"/>
      <c r="ID233" s="80"/>
      <c r="IE233" s="81">
        <f t="shared" ref="IE233" ca="1" si="3025">IFERROR(IF(COUNTIF($K$232:$K$233,LEFT(ID233,FIND("·",ID233)-1))&gt;0,IF(INDEX($L$232:$L$233,MATCH(LEFT(ID233,FIND("·",ID233)-1),$K$232:$K$233,0))=IFERROR(VALUE(MID(ID233,FIND("·",ID233)+1,1)),0),($D$28+(INDEX($M$232:$M$233,MATCH(LEFT(ID233,FIND("·",ID233)-1),$K$232:$K$233,0))=MID(ID233,FIND("|",ID233)+1,10))*$D$30+MAX(0,IF($D$50=1,$D$29*(1-(ABS(INDEX($P$232:$P$233,MATCH(LEFT(ID233,FIND("·",ID233)-1),$K$232:$K$233,0))-(VALUE(MID(ID233,FIND("|",ID233)+1,FIND("-",ID233,FIND("|",ID233))-FIND("|",ID233)-1))-VALUE(MID(ID233,FIND("-",ID233,FIND("|",ID233))+1,10)))))*$D$50),$D$29*(1-(IF(INDEX($L$232:$L$233,MATCH(LEFT(ID233,FIND("·",ID233)-1),$K$232:$K$233,0))=0,ABS(INDEX($N$232:$N$233,MATCH(LEFT(ID233,FIND("·",ID233)-1),$K$232:$K$233,0))-VALUE(MID(ID233,FIND("|",ID233)+1,FIND("-",ID233,FIND("|",ID233))-FIND("|",ID233)-1))),ABS(INDEX($P$232:$P$233,MATCH(LEFT(ID233,FIND("·",ID233)-1),$K$232:$K$233,0))-(VALUE(MID(ID233,FIND("|",ID233)+1,FIND("-",ID233,FIND("|",ID233))-FIND("|",ID233)-1))-VALUE(MID(ID233,FIND("-",ID233,FIND("|",ID233))+1,10)))))*$D$50)))))*INDEX($I$232:$I$233,MATCH(LEFT(ID233,FIND("·",ID233)-1),$K$232:$K$233,0)),0),0),0)+IFERROR(IF(COUNTIF($C$232:$C$233,LEFT(ID233,FIND("·",ID233)-1))&gt;0,IF(INDEX($D$232:$D$233,MATCH(LEFT(ID233,FIND("·",ID233)-1),$C$232:$C$233,0))=IFERROR(VALUE(MID(ID233,FIND("·",ID233)+1,1)),0),($D$28+(INDEX($E$232:$E$233,MATCH(LEFT(ID233,FIND("·",ID233)-1),$C$232:$C$233,0))=MID(ID233,FIND("|",ID233)+1,10))*$D$30+MAX(0,IF($D$50=1,$D$29*(1-(ABS(INDEX($Q$232:$Q$233,MATCH(LEFT(ID233,FIND("·",ID233)-1),$C$232:$C$233,0))-(VALUE(MID(ID233,FIND("|",ID233)+1,FIND("-",ID233,FIND("|",ID233))-FIND("|",ID233)-1))-VALUE(MID(ID233,FIND("-",ID233,FIND("|",ID233))+1,10)))))*$D$50),$D$29*(1-(IF(INDEX($D$232:$D$233,MATCH(LEFT(ID233,FIND("·",ID233)-1),$C$232:$C$233,0))=0,ABS(INDEX($A$232:$A$233,MATCH(LEFT(ID233,FIND("·",ID233)-1),$C$232:$C$233,0))-VALUE(MID(ID233,FIND("|",ID233)+1,FIND("-",ID233,FIND("|",ID233))-FIND("|",ID233)-1))),ABS(INDEX($Q$232:$Q$233,MATCH(LEFT(ID233,FIND("·",ID233)-1),$C$232:$C$233,0))-(VALUE(MID(ID233,FIND("|",ID233)+1,FIND("-",ID233,FIND("|",ID233))-FIND("|",ID233)-1))-VALUE(MID(ID233,FIND("-",ID233,FIND("|",ID233))+1,10)))))*$D$50)))))*INDEX($I$232:$I$233,MATCH(LEFT(ID233,FIND("·",ID233)-1),$C$232:$C$233,0)),0),0),0)</f>
        <v>0</v>
      </c>
      <c r="IF233" s="110"/>
      <c r="IG233" s="80"/>
      <c r="IH233" s="81">
        <f t="shared" ref="IH233" ca="1" si="3026">IFERROR(IF(COUNTIF($K$232:$K$233,LEFT(IG233,FIND("·",IG233)-1))&gt;0,IF(INDEX($L$232:$L$233,MATCH(LEFT(IG233,FIND("·",IG233)-1),$K$232:$K$233,0))=IFERROR(VALUE(MID(IG233,FIND("·",IG233)+1,1)),0),($D$28+(INDEX($M$232:$M$233,MATCH(LEFT(IG233,FIND("·",IG233)-1),$K$232:$K$233,0))=MID(IG233,FIND("|",IG233)+1,10))*$D$30+MAX(0,IF($D$50=1,$D$29*(1-(ABS(INDEX($P$232:$P$233,MATCH(LEFT(IG233,FIND("·",IG233)-1),$K$232:$K$233,0))-(VALUE(MID(IG233,FIND("|",IG233)+1,FIND("-",IG233,FIND("|",IG233))-FIND("|",IG233)-1))-VALUE(MID(IG233,FIND("-",IG233,FIND("|",IG233))+1,10)))))*$D$50),$D$29*(1-(IF(INDEX($L$232:$L$233,MATCH(LEFT(IG233,FIND("·",IG233)-1),$K$232:$K$233,0))=0,ABS(INDEX($N$232:$N$233,MATCH(LEFT(IG233,FIND("·",IG233)-1),$K$232:$K$233,0))-VALUE(MID(IG233,FIND("|",IG233)+1,FIND("-",IG233,FIND("|",IG233))-FIND("|",IG233)-1))),ABS(INDEX($P$232:$P$233,MATCH(LEFT(IG233,FIND("·",IG233)-1),$K$232:$K$233,0))-(VALUE(MID(IG233,FIND("|",IG233)+1,FIND("-",IG233,FIND("|",IG233))-FIND("|",IG233)-1))-VALUE(MID(IG233,FIND("-",IG233,FIND("|",IG233))+1,10)))))*$D$50)))))*INDEX($I$232:$I$233,MATCH(LEFT(IG233,FIND("·",IG233)-1),$K$232:$K$233,0)),0),0),0)+IFERROR(IF(COUNTIF($C$232:$C$233,LEFT(IG233,FIND("·",IG233)-1))&gt;0,IF(INDEX($D$232:$D$233,MATCH(LEFT(IG233,FIND("·",IG233)-1),$C$232:$C$233,0))=IFERROR(VALUE(MID(IG233,FIND("·",IG233)+1,1)),0),($D$28+(INDEX($E$232:$E$233,MATCH(LEFT(IG233,FIND("·",IG233)-1),$C$232:$C$233,0))=MID(IG233,FIND("|",IG233)+1,10))*$D$30+MAX(0,IF($D$50=1,$D$29*(1-(ABS(INDEX($Q$232:$Q$233,MATCH(LEFT(IG233,FIND("·",IG233)-1),$C$232:$C$233,0))-(VALUE(MID(IG233,FIND("|",IG233)+1,FIND("-",IG233,FIND("|",IG233))-FIND("|",IG233)-1))-VALUE(MID(IG233,FIND("-",IG233,FIND("|",IG233))+1,10)))))*$D$50),$D$29*(1-(IF(INDEX($D$232:$D$233,MATCH(LEFT(IG233,FIND("·",IG233)-1),$C$232:$C$233,0))=0,ABS(INDEX($A$232:$A$233,MATCH(LEFT(IG233,FIND("·",IG233)-1),$C$232:$C$233,0))-VALUE(MID(IG233,FIND("|",IG233)+1,FIND("-",IG233,FIND("|",IG233))-FIND("|",IG233)-1))),ABS(INDEX($Q$232:$Q$233,MATCH(LEFT(IG233,FIND("·",IG233)-1),$C$232:$C$233,0))-(VALUE(MID(IG233,FIND("|",IG233)+1,FIND("-",IG233,FIND("|",IG233))-FIND("|",IG233)-1))-VALUE(MID(IG233,FIND("-",IG233,FIND("|",IG233))+1,10)))))*$D$50)))))*INDEX($I$232:$I$233,MATCH(LEFT(IG233,FIND("·",IG233)-1),$C$232:$C$233,0)),0),0),0)</f>
        <v>0</v>
      </c>
      <c r="II233" s="110"/>
      <c r="IJ233" s="80"/>
      <c r="IK233" s="81">
        <f t="shared" ref="IK233" ca="1" si="3027">IFERROR(IF(COUNTIF($K$232:$K$233,LEFT(IJ233,FIND("·",IJ233)-1))&gt;0,IF(INDEX($L$232:$L$233,MATCH(LEFT(IJ233,FIND("·",IJ233)-1),$K$232:$K$233,0))=IFERROR(VALUE(MID(IJ233,FIND("·",IJ233)+1,1)),0),($D$28+(INDEX($M$232:$M$233,MATCH(LEFT(IJ233,FIND("·",IJ233)-1),$K$232:$K$233,0))=MID(IJ233,FIND("|",IJ233)+1,10))*$D$30+MAX(0,IF($D$50=1,$D$29*(1-(ABS(INDEX($P$232:$P$233,MATCH(LEFT(IJ233,FIND("·",IJ233)-1),$K$232:$K$233,0))-(VALUE(MID(IJ233,FIND("|",IJ233)+1,FIND("-",IJ233,FIND("|",IJ233))-FIND("|",IJ233)-1))-VALUE(MID(IJ233,FIND("-",IJ233,FIND("|",IJ233))+1,10)))))*$D$50),$D$29*(1-(IF(INDEX($L$232:$L$233,MATCH(LEFT(IJ233,FIND("·",IJ233)-1),$K$232:$K$233,0))=0,ABS(INDEX($N$232:$N$233,MATCH(LEFT(IJ233,FIND("·",IJ233)-1),$K$232:$K$233,0))-VALUE(MID(IJ233,FIND("|",IJ233)+1,FIND("-",IJ233,FIND("|",IJ233))-FIND("|",IJ233)-1))),ABS(INDEX($P$232:$P$233,MATCH(LEFT(IJ233,FIND("·",IJ233)-1),$K$232:$K$233,0))-(VALUE(MID(IJ233,FIND("|",IJ233)+1,FIND("-",IJ233,FIND("|",IJ233))-FIND("|",IJ233)-1))-VALUE(MID(IJ233,FIND("-",IJ233,FIND("|",IJ233))+1,10)))))*$D$50)))))*INDEX($I$232:$I$233,MATCH(LEFT(IJ233,FIND("·",IJ233)-1),$K$232:$K$233,0)),0),0),0)+IFERROR(IF(COUNTIF($C$232:$C$233,LEFT(IJ233,FIND("·",IJ233)-1))&gt;0,IF(INDEX($D$232:$D$233,MATCH(LEFT(IJ233,FIND("·",IJ233)-1),$C$232:$C$233,0))=IFERROR(VALUE(MID(IJ233,FIND("·",IJ233)+1,1)),0),($D$28+(INDEX($E$232:$E$233,MATCH(LEFT(IJ233,FIND("·",IJ233)-1),$C$232:$C$233,0))=MID(IJ233,FIND("|",IJ233)+1,10))*$D$30+MAX(0,IF($D$50=1,$D$29*(1-(ABS(INDEX($Q$232:$Q$233,MATCH(LEFT(IJ233,FIND("·",IJ233)-1),$C$232:$C$233,0))-(VALUE(MID(IJ233,FIND("|",IJ233)+1,FIND("-",IJ233,FIND("|",IJ233))-FIND("|",IJ233)-1))-VALUE(MID(IJ233,FIND("-",IJ233,FIND("|",IJ233))+1,10)))))*$D$50),$D$29*(1-(IF(INDEX($D$232:$D$233,MATCH(LEFT(IJ233,FIND("·",IJ233)-1),$C$232:$C$233,0))=0,ABS(INDEX($A$232:$A$233,MATCH(LEFT(IJ233,FIND("·",IJ233)-1),$C$232:$C$233,0))-VALUE(MID(IJ233,FIND("|",IJ233)+1,FIND("-",IJ233,FIND("|",IJ233))-FIND("|",IJ233)-1))),ABS(INDEX($Q$232:$Q$233,MATCH(LEFT(IJ233,FIND("·",IJ233)-1),$C$232:$C$233,0))-(VALUE(MID(IJ233,FIND("|",IJ233)+1,FIND("-",IJ233,FIND("|",IJ233))-FIND("|",IJ233)-1))-VALUE(MID(IJ233,FIND("-",IJ233,FIND("|",IJ233))+1,10)))))*$D$50)))))*INDEX($I$232:$I$233,MATCH(LEFT(IJ233,FIND("·",IJ233)-1),$C$232:$C$233,0)),0),0),0)</f>
        <v>0</v>
      </c>
      <c r="IL233" s="110"/>
      <c r="IM233" s="80"/>
      <c r="IN233" s="81">
        <f t="shared" ref="IN233" ca="1" si="3028">IFERROR(IF(COUNTIF($K$232:$K$233,LEFT(IM233,FIND("·",IM233)-1))&gt;0,IF(INDEX($L$232:$L$233,MATCH(LEFT(IM233,FIND("·",IM233)-1),$K$232:$K$233,0))=IFERROR(VALUE(MID(IM233,FIND("·",IM233)+1,1)),0),($D$28+(INDEX($M$232:$M$233,MATCH(LEFT(IM233,FIND("·",IM233)-1),$K$232:$K$233,0))=MID(IM233,FIND("|",IM233)+1,10))*$D$30+MAX(0,IF($D$50=1,$D$29*(1-(ABS(INDEX($P$232:$P$233,MATCH(LEFT(IM233,FIND("·",IM233)-1),$K$232:$K$233,0))-(VALUE(MID(IM233,FIND("|",IM233)+1,FIND("-",IM233,FIND("|",IM233))-FIND("|",IM233)-1))-VALUE(MID(IM233,FIND("-",IM233,FIND("|",IM233))+1,10)))))*$D$50),$D$29*(1-(IF(INDEX($L$232:$L$233,MATCH(LEFT(IM233,FIND("·",IM233)-1),$K$232:$K$233,0))=0,ABS(INDEX($N$232:$N$233,MATCH(LEFT(IM233,FIND("·",IM233)-1),$K$232:$K$233,0))-VALUE(MID(IM233,FIND("|",IM233)+1,FIND("-",IM233,FIND("|",IM233))-FIND("|",IM233)-1))),ABS(INDEX($P$232:$P$233,MATCH(LEFT(IM233,FIND("·",IM233)-1),$K$232:$K$233,0))-(VALUE(MID(IM233,FIND("|",IM233)+1,FIND("-",IM233,FIND("|",IM233))-FIND("|",IM233)-1))-VALUE(MID(IM233,FIND("-",IM233,FIND("|",IM233))+1,10)))))*$D$50)))))*INDEX($I$232:$I$233,MATCH(LEFT(IM233,FIND("·",IM233)-1),$K$232:$K$233,0)),0),0),0)+IFERROR(IF(COUNTIF($C$232:$C$233,LEFT(IM233,FIND("·",IM233)-1))&gt;0,IF(INDEX($D$232:$D$233,MATCH(LEFT(IM233,FIND("·",IM233)-1),$C$232:$C$233,0))=IFERROR(VALUE(MID(IM233,FIND("·",IM233)+1,1)),0),($D$28+(INDEX($E$232:$E$233,MATCH(LEFT(IM233,FIND("·",IM233)-1),$C$232:$C$233,0))=MID(IM233,FIND("|",IM233)+1,10))*$D$30+MAX(0,IF($D$50=1,$D$29*(1-(ABS(INDEX($Q$232:$Q$233,MATCH(LEFT(IM233,FIND("·",IM233)-1),$C$232:$C$233,0))-(VALUE(MID(IM233,FIND("|",IM233)+1,FIND("-",IM233,FIND("|",IM233))-FIND("|",IM233)-1))-VALUE(MID(IM233,FIND("-",IM233,FIND("|",IM233))+1,10)))))*$D$50),$D$29*(1-(IF(INDEX($D$232:$D$233,MATCH(LEFT(IM233,FIND("·",IM233)-1),$C$232:$C$233,0))=0,ABS(INDEX($A$232:$A$233,MATCH(LEFT(IM233,FIND("·",IM233)-1),$C$232:$C$233,0))-VALUE(MID(IM233,FIND("|",IM233)+1,FIND("-",IM233,FIND("|",IM233))-FIND("|",IM233)-1))),ABS(INDEX($Q$232:$Q$233,MATCH(LEFT(IM233,FIND("·",IM233)-1),$C$232:$C$233,0))-(VALUE(MID(IM233,FIND("|",IM233)+1,FIND("-",IM233,FIND("|",IM233))-FIND("|",IM233)-1))-VALUE(MID(IM233,FIND("-",IM233,FIND("|",IM233))+1,10)))))*$D$50)))))*INDEX($I$232:$I$233,MATCH(LEFT(IM233,FIND("·",IM233)-1),$C$232:$C$233,0)),0),0),0)</f>
        <v>0</v>
      </c>
      <c r="IO233" s="110"/>
      <c r="IP233" s="80"/>
      <c r="IQ233" s="81">
        <f t="shared" ref="IQ233" ca="1" si="3029">IFERROR(IF(COUNTIF($K$232:$K$233,LEFT(IP233,FIND("·",IP233)-1))&gt;0,IF(INDEX($L$232:$L$233,MATCH(LEFT(IP233,FIND("·",IP233)-1),$K$232:$K$233,0))=IFERROR(VALUE(MID(IP233,FIND("·",IP233)+1,1)),0),($D$28+(INDEX($M$232:$M$233,MATCH(LEFT(IP233,FIND("·",IP233)-1),$K$232:$K$233,0))=MID(IP233,FIND("|",IP233)+1,10))*$D$30+MAX(0,IF($D$50=1,$D$29*(1-(ABS(INDEX($P$232:$P$233,MATCH(LEFT(IP233,FIND("·",IP233)-1),$K$232:$K$233,0))-(VALUE(MID(IP233,FIND("|",IP233)+1,FIND("-",IP233,FIND("|",IP233))-FIND("|",IP233)-1))-VALUE(MID(IP233,FIND("-",IP233,FIND("|",IP233))+1,10)))))*$D$50),$D$29*(1-(IF(INDEX($L$232:$L$233,MATCH(LEFT(IP233,FIND("·",IP233)-1),$K$232:$K$233,0))=0,ABS(INDEX($N$232:$N$233,MATCH(LEFT(IP233,FIND("·",IP233)-1),$K$232:$K$233,0))-VALUE(MID(IP233,FIND("|",IP233)+1,FIND("-",IP233,FIND("|",IP233))-FIND("|",IP233)-1))),ABS(INDEX($P$232:$P$233,MATCH(LEFT(IP233,FIND("·",IP233)-1),$K$232:$K$233,0))-(VALUE(MID(IP233,FIND("|",IP233)+1,FIND("-",IP233,FIND("|",IP233))-FIND("|",IP233)-1))-VALUE(MID(IP233,FIND("-",IP233,FIND("|",IP233))+1,10)))))*$D$50)))))*INDEX($I$232:$I$233,MATCH(LEFT(IP233,FIND("·",IP233)-1),$K$232:$K$233,0)),0),0),0)+IFERROR(IF(COUNTIF($C$232:$C$233,LEFT(IP233,FIND("·",IP233)-1))&gt;0,IF(INDEX($D$232:$D$233,MATCH(LEFT(IP233,FIND("·",IP233)-1),$C$232:$C$233,0))=IFERROR(VALUE(MID(IP233,FIND("·",IP233)+1,1)),0),($D$28+(INDEX($E$232:$E$233,MATCH(LEFT(IP233,FIND("·",IP233)-1),$C$232:$C$233,0))=MID(IP233,FIND("|",IP233)+1,10))*$D$30+MAX(0,IF($D$50=1,$D$29*(1-(ABS(INDEX($Q$232:$Q$233,MATCH(LEFT(IP233,FIND("·",IP233)-1),$C$232:$C$233,0))-(VALUE(MID(IP233,FIND("|",IP233)+1,FIND("-",IP233,FIND("|",IP233))-FIND("|",IP233)-1))-VALUE(MID(IP233,FIND("-",IP233,FIND("|",IP233))+1,10)))))*$D$50),$D$29*(1-(IF(INDEX($D$232:$D$233,MATCH(LEFT(IP233,FIND("·",IP233)-1),$C$232:$C$233,0))=0,ABS(INDEX($A$232:$A$233,MATCH(LEFT(IP233,FIND("·",IP233)-1),$C$232:$C$233,0))-VALUE(MID(IP233,FIND("|",IP233)+1,FIND("-",IP233,FIND("|",IP233))-FIND("|",IP233)-1))),ABS(INDEX($Q$232:$Q$233,MATCH(LEFT(IP233,FIND("·",IP233)-1),$C$232:$C$233,0))-(VALUE(MID(IP233,FIND("|",IP233)+1,FIND("-",IP233,FIND("|",IP233))-FIND("|",IP233)-1))-VALUE(MID(IP233,FIND("-",IP233,FIND("|",IP233))+1,10)))))*$D$50)))))*INDEX($I$232:$I$233,MATCH(LEFT(IP233,FIND("·",IP233)-1),$C$232:$C$233,0)),0),0),0)</f>
        <v>0</v>
      </c>
      <c r="IR233" s="110"/>
      <c r="IS233" s="80"/>
      <c r="IT233" s="81">
        <f t="shared" ref="IT233" ca="1" si="3030">IFERROR(IF(COUNTIF($K$232:$K$233,LEFT(IS233,FIND("·",IS233)-1))&gt;0,IF(INDEX($L$232:$L$233,MATCH(LEFT(IS233,FIND("·",IS233)-1),$K$232:$K$233,0))=IFERROR(VALUE(MID(IS233,FIND("·",IS233)+1,1)),0),($D$28+(INDEX($M$232:$M$233,MATCH(LEFT(IS233,FIND("·",IS233)-1),$K$232:$K$233,0))=MID(IS233,FIND("|",IS233)+1,10))*$D$30+MAX(0,IF($D$50=1,$D$29*(1-(ABS(INDEX($P$232:$P$233,MATCH(LEFT(IS233,FIND("·",IS233)-1),$K$232:$K$233,0))-(VALUE(MID(IS233,FIND("|",IS233)+1,FIND("-",IS233,FIND("|",IS233))-FIND("|",IS233)-1))-VALUE(MID(IS233,FIND("-",IS233,FIND("|",IS233))+1,10)))))*$D$50),$D$29*(1-(IF(INDEX($L$232:$L$233,MATCH(LEFT(IS233,FIND("·",IS233)-1),$K$232:$K$233,0))=0,ABS(INDEX($N$232:$N$233,MATCH(LEFT(IS233,FIND("·",IS233)-1),$K$232:$K$233,0))-VALUE(MID(IS233,FIND("|",IS233)+1,FIND("-",IS233,FIND("|",IS233))-FIND("|",IS233)-1))),ABS(INDEX($P$232:$P$233,MATCH(LEFT(IS233,FIND("·",IS233)-1),$K$232:$K$233,0))-(VALUE(MID(IS233,FIND("|",IS233)+1,FIND("-",IS233,FIND("|",IS233))-FIND("|",IS233)-1))-VALUE(MID(IS233,FIND("-",IS233,FIND("|",IS233))+1,10)))))*$D$50)))))*INDEX($I$232:$I$233,MATCH(LEFT(IS233,FIND("·",IS233)-1),$K$232:$K$233,0)),0),0),0)+IFERROR(IF(COUNTIF($C$232:$C$233,LEFT(IS233,FIND("·",IS233)-1))&gt;0,IF(INDEX($D$232:$D$233,MATCH(LEFT(IS233,FIND("·",IS233)-1),$C$232:$C$233,0))=IFERROR(VALUE(MID(IS233,FIND("·",IS233)+1,1)),0),($D$28+(INDEX($E$232:$E$233,MATCH(LEFT(IS233,FIND("·",IS233)-1),$C$232:$C$233,0))=MID(IS233,FIND("|",IS233)+1,10))*$D$30+MAX(0,IF($D$50=1,$D$29*(1-(ABS(INDEX($Q$232:$Q$233,MATCH(LEFT(IS233,FIND("·",IS233)-1),$C$232:$C$233,0))-(VALUE(MID(IS233,FIND("|",IS233)+1,FIND("-",IS233,FIND("|",IS233))-FIND("|",IS233)-1))-VALUE(MID(IS233,FIND("-",IS233,FIND("|",IS233))+1,10)))))*$D$50),$D$29*(1-(IF(INDEX($D$232:$D$233,MATCH(LEFT(IS233,FIND("·",IS233)-1),$C$232:$C$233,0))=0,ABS(INDEX($A$232:$A$233,MATCH(LEFT(IS233,FIND("·",IS233)-1),$C$232:$C$233,0))-VALUE(MID(IS233,FIND("|",IS233)+1,FIND("-",IS233,FIND("|",IS233))-FIND("|",IS233)-1))),ABS(INDEX($Q$232:$Q$233,MATCH(LEFT(IS233,FIND("·",IS233)-1),$C$232:$C$233,0))-(VALUE(MID(IS233,FIND("|",IS233)+1,FIND("-",IS233,FIND("|",IS233))-FIND("|",IS233)-1))-VALUE(MID(IS233,FIND("-",IS233,FIND("|",IS233))+1,10)))))*$D$50)))))*INDEX($I$232:$I$233,MATCH(LEFT(IS233,FIND("·",IS233)-1),$C$232:$C$233,0)),0),0),0)</f>
        <v>0</v>
      </c>
      <c r="IU233" s="110"/>
      <c r="IV233" s="80"/>
      <c r="IW233" s="81">
        <f t="shared" ref="IW233" ca="1" si="3031">IFERROR(IF(COUNTIF($K$232:$K$233,LEFT(IV233,FIND("·",IV233)-1))&gt;0,IF(INDEX($L$232:$L$233,MATCH(LEFT(IV233,FIND("·",IV233)-1),$K$232:$K$233,0))=IFERROR(VALUE(MID(IV233,FIND("·",IV233)+1,1)),0),($D$28+(INDEX($M$232:$M$233,MATCH(LEFT(IV233,FIND("·",IV233)-1),$K$232:$K$233,0))=MID(IV233,FIND("|",IV233)+1,10))*$D$30+MAX(0,IF($D$50=1,$D$29*(1-(ABS(INDEX($P$232:$P$233,MATCH(LEFT(IV233,FIND("·",IV233)-1),$K$232:$K$233,0))-(VALUE(MID(IV233,FIND("|",IV233)+1,FIND("-",IV233,FIND("|",IV233))-FIND("|",IV233)-1))-VALUE(MID(IV233,FIND("-",IV233,FIND("|",IV233))+1,10)))))*$D$50),$D$29*(1-(IF(INDEX($L$232:$L$233,MATCH(LEFT(IV233,FIND("·",IV233)-1),$K$232:$K$233,0))=0,ABS(INDEX($N$232:$N$233,MATCH(LEFT(IV233,FIND("·",IV233)-1),$K$232:$K$233,0))-VALUE(MID(IV233,FIND("|",IV233)+1,FIND("-",IV233,FIND("|",IV233))-FIND("|",IV233)-1))),ABS(INDEX($P$232:$P$233,MATCH(LEFT(IV233,FIND("·",IV233)-1),$K$232:$K$233,0))-(VALUE(MID(IV233,FIND("|",IV233)+1,FIND("-",IV233,FIND("|",IV233))-FIND("|",IV233)-1))-VALUE(MID(IV233,FIND("-",IV233,FIND("|",IV233))+1,10)))))*$D$50)))))*INDEX($I$232:$I$233,MATCH(LEFT(IV233,FIND("·",IV233)-1),$K$232:$K$233,0)),0),0),0)+IFERROR(IF(COUNTIF($C$232:$C$233,LEFT(IV233,FIND("·",IV233)-1))&gt;0,IF(INDEX($D$232:$D$233,MATCH(LEFT(IV233,FIND("·",IV233)-1),$C$232:$C$233,0))=IFERROR(VALUE(MID(IV233,FIND("·",IV233)+1,1)),0),($D$28+(INDEX($E$232:$E$233,MATCH(LEFT(IV233,FIND("·",IV233)-1),$C$232:$C$233,0))=MID(IV233,FIND("|",IV233)+1,10))*$D$30+MAX(0,IF($D$50=1,$D$29*(1-(ABS(INDEX($Q$232:$Q$233,MATCH(LEFT(IV233,FIND("·",IV233)-1),$C$232:$C$233,0))-(VALUE(MID(IV233,FIND("|",IV233)+1,FIND("-",IV233,FIND("|",IV233))-FIND("|",IV233)-1))-VALUE(MID(IV233,FIND("-",IV233,FIND("|",IV233))+1,10)))))*$D$50),$D$29*(1-(IF(INDEX($D$232:$D$233,MATCH(LEFT(IV233,FIND("·",IV233)-1),$C$232:$C$233,0))=0,ABS(INDEX($A$232:$A$233,MATCH(LEFT(IV233,FIND("·",IV233)-1),$C$232:$C$233,0))-VALUE(MID(IV233,FIND("|",IV233)+1,FIND("-",IV233,FIND("|",IV233))-FIND("|",IV233)-1))),ABS(INDEX($Q$232:$Q$233,MATCH(LEFT(IV233,FIND("·",IV233)-1),$C$232:$C$233,0))-(VALUE(MID(IV233,FIND("|",IV233)+1,FIND("-",IV233,FIND("|",IV233))-FIND("|",IV233)-1))-VALUE(MID(IV233,FIND("-",IV233,FIND("|",IV233))+1,10)))))*$D$50)))))*INDEX($I$232:$I$233,MATCH(LEFT(IV233,FIND("·",IV233)-1),$C$232:$C$233,0)),0),0),0)</f>
        <v>0</v>
      </c>
      <c r="IX233" s="110"/>
      <c r="IY233" s="80"/>
      <c r="IZ233" s="81">
        <f t="shared" ref="IZ233" ca="1" si="3032">IFERROR(IF(COUNTIF($K$232:$K$233,LEFT(IY233,FIND("·",IY233)-1))&gt;0,IF(INDEX($L$232:$L$233,MATCH(LEFT(IY233,FIND("·",IY233)-1),$K$232:$K$233,0))=IFERROR(VALUE(MID(IY233,FIND("·",IY233)+1,1)),0),($D$28+(INDEX($M$232:$M$233,MATCH(LEFT(IY233,FIND("·",IY233)-1),$K$232:$K$233,0))=MID(IY233,FIND("|",IY233)+1,10))*$D$30+MAX(0,IF($D$50=1,$D$29*(1-(ABS(INDEX($P$232:$P$233,MATCH(LEFT(IY233,FIND("·",IY233)-1),$K$232:$K$233,0))-(VALUE(MID(IY233,FIND("|",IY233)+1,FIND("-",IY233,FIND("|",IY233))-FIND("|",IY233)-1))-VALUE(MID(IY233,FIND("-",IY233,FIND("|",IY233))+1,10)))))*$D$50),$D$29*(1-(IF(INDEX($L$232:$L$233,MATCH(LEFT(IY233,FIND("·",IY233)-1),$K$232:$K$233,0))=0,ABS(INDEX($N$232:$N$233,MATCH(LEFT(IY233,FIND("·",IY233)-1),$K$232:$K$233,0))-VALUE(MID(IY233,FIND("|",IY233)+1,FIND("-",IY233,FIND("|",IY233))-FIND("|",IY233)-1))),ABS(INDEX($P$232:$P$233,MATCH(LEFT(IY233,FIND("·",IY233)-1),$K$232:$K$233,0))-(VALUE(MID(IY233,FIND("|",IY233)+1,FIND("-",IY233,FIND("|",IY233))-FIND("|",IY233)-1))-VALUE(MID(IY233,FIND("-",IY233,FIND("|",IY233))+1,10)))))*$D$50)))))*INDEX($I$232:$I$233,MATCH(LEFT(IY233,FIND("·",IY233)-1),$K$232:$K$233,0)),0),0),0)+IFERROR(IF(COUNTIF($C$232:$C$233,LEFT(IY233,FIND("·",IY233)-1))&gt;0,IF(INDEX($D$232:$D$233,MATCH(LEFT(IY233,FIND("·",IY233)-1),$C$232:$C$233,0))=IFERROR(VALUE(MID(IY233,FIND("·",IY233)+1,1)),0),($D$28+(INDEX($E$232:$E$233,MATCH(LEFT(IY233,FIND("·",IY233)-1),$C$232:$C$233,0))=MID(IY233,FIND("|",IY233)+1,10))*$D$30+MAX(0,IF($D$50=1,$D$29*(1-(ABS(INDEX($Q$232:$Q$233,MATCH(LEFT(IY233,FIND("·",IY233)-1),$C$232:$C$233,0))-(VALUE(MID(IY233,FIND("|",IY233)+1,FIND("-",IY233,FIND("|",IY233))-FIND("|",IY233)-1))-VALUE(MID(IY233,FIND("-",IY233,FIND("|",IY233))+1,10)))))*$D$50),$D$29*(1-(IF(INDEX($D$232:$D$233,MATCH(LEFT(IY233,FIND("·",IY233)-1),$C$232:$C$233,0))=0,ABS(INDEX($A$232:$A$233,MATCH(LEFT(IY233,FIND("·",IY233)-1),$C$232:$C$233,0))-VALUE(MID(IY233,FIND("|",IY233)+1,FIND("-",IY233,FIND("|",IY233))-FIND("|",IY233)-1))),ABS(INDEX($Q$232:$Q$233,MATCH(LEFT(IY233,FIND("·",IY233)-1),$C$232:$C$233,0))-(VALUE(MID(IY233,FIND("|",IY233)+1,FIND("-",IY233,FIND("|",IY233))-FIND("|",IY233)-1))-VALUE(MID(IY233,FIND("-",IY233,FIND("|",IY233))+1,10)))))*$D$50)))))*INDEX($I$232:$I$233,MATCH(LEFT(IY233,FIND("·",IY233)-1),$C$232:$C$233,0)),0),0),0)</f>
        <v>0</v>
      </c>
      <c r="JA233" s="110"/>
      <c r="JB233" s="80"/>
      <c r="JC233" s="81">
        <f t="shared" ref="JC233" ca="1" si="3033">IFERROR(IF(COUNTIF($K$232:$K$233,LEFT(JB233,FIND("·",JB233)-1))&gt;0,IF(INDEX($L$232:$L$233,MATCH(LEFT(JB233,FIND("·",JB233)-1),$K$232:$K$233,0))=IFERROR(VALUE(MID(JB233,FIND("·",JB233)+1,1)),0),($D$28+(INDEX($M$232:$M$233,MATCH(LEFT(JB233,FIND("·",JB233)-1),$K$232:$K$233,0))=MID(JB233,FIND("|",JB233)+1,10))*$D$30+MAX(0,IF($D$50=1,$D$29*(1-(ABS(INDEX($P$232:$P$233,MATCH(LEFT(JB233,FIND("·",JB233)-1),$K$232:$K$233,0))-(VALUE(MID(JB233,FIND("|",JB233)+1,FIND("-",JB233,FIND("|",JB233))-FIND("|",JB233)-1))-VALUE(MID(JB233,FIND("-",JB233,FIND("|",JB233))+1,10)))))*$D$50),$D$29*(1-(IF(INDEX($L$232:$L$233,MATCH(LEFT(JB233,FIND("·",JB233)-1),$K$232:$K$233,0))=0,ABS(INDEX($N$232:$N$233,MATCH(LEFT(JB233,FIND("·",JB233)-1),$K$232:$K$233,0))-VALUE(MID(JB233,FIND("|",JB233)+1,FIND("-",JB233,FIND("|",JB233))-FIND("|",JB233)-1))),ABS(INDEX($P$232:$P$233,MATCH(LEFT(JB233,FIND("·",JB233)-1),$K$232:$K$233,0))-(VALUE(MID(JB233,FIND("|",JB233)+1,FIND("-",JB233,FIND("|",JB233))-FIND("|",JB233)-1))-VALUE(MID(JB233,FIND("-",JB233,FIND("|",JB233))+1,10)))))*$D$50)))))*INDEX($I$232:$I$233,MATCH(LEFT(JB233,FIND("·",JB233)-1),$K$232:$K$233,0)),0),0),0)+IFERROR(IF(COUNTIF($C$232:$C$233,LEFT(JB233,FIND("·",JB233)-1))&gt;0,IF(INDEX($D$232:$D$233,MATCH(LEFT(JB233,FIND("·",JB233)-1),$C$232:$C$233,0))=IFERROR(VALUE(MID(JB233,FIND("·",JB233)+1,1)),0),($D$28+(INDEX($E$232:$E$233,MATCH(LEFT(JB233,FIND("·",JB233)-1),$C$232:$C$233,0))=MID(JB233,FIND("|",JB233)+1,10))*$D$30+MAX(0,IF($D$50=1,$D$29*(1-(ABS(INDEX($Q$232:$Q$233,MATCH(LEFT(JB233,FIND("·",JB233)-1),$C$232:$C$233,0))-(VALUE(MID(JB233,FIND("|",JB233)+1,FIND("-",JB233,FIND("|",JB233))-FIND("|",JB233)-1))-VALUE(MID(JB233,FIND("-",JB233,FIND("|",JB233))+1,10)))))*$D$50),$D$29*(1-(IF(INDEX($D$232:$D$233,MATCH(LEFT(JB233,FIND("·",JB233)-1),$C$232:$C$233,0))=0,ABS(INDEX($A$232:$A$233,MATCH(LEFT(JB233,FIND("·",JB233)-1),$C$232:$C$233,0))-VALUE(MID(JB233,FIND("|",JB233)+1,FIND("-",JB233,FIND("|",JB233))-FIND("|",JB233)-1))),ABS(INDEX($Q$232:$Q$233,MATCH(LEFT(JB233,FIND("·",JB233)-1),$C$232:$C$233,0))-(VALUE(MID(JB233,FIND("|",JB233)+1,FIND("-",JB233,FIND("|",JB233))-FIND("|",JB233)-1))-VALUE(MID(JB233,FIND("-",JB233,FIND("|",JB233))+1,10)))))*$D$50)))))*INDEX($I$232:$I$233,MATCH(LEFT(JB233,FIND("·",JB233)-1),$C$232:$C$233,0)),0),0),0)</f>
        <v>0</v>
      </c>
      <c r="JD233" s="110"/>
      <c r="JE233" s="80"/>
      <c r="JF233" s="81">
        <f t="shared" ref="JF233" ca="1" si="3034">IFERROR(IF(COUNTIF($K$232:$K$233,LEFT(JE233,FIND("·",JE233)-1))&gt;0,IF(INDEX($L$232:$L$233,MATCH(LEFT(JE233,FIND("·",JE233)-1),$K$232:$K$233,0))=IFERROR(VALUE(MID(JE233,FIND("·",JE233)+1,1)),0),($D$28+(INDEX($M$232:$M$233,MATCH(LEFT(JE233,FIND("·",JE233)-1),$K$232:$K$233,0))=MID(JE233,FIND("|",JE233)+1,10))*$D$30+MAX(0,IF($D$50=1,$D$29*(1-(ABS(INDEX($P$232:$P$233,MATCH(LEFT(JE233,FIND("·",JE233)-1),$K$232:$K$233,0))-(VALUE(MID(JE233,FIND("|",JE233)+1,FIND("-",JE233,FIND("|",JE233))-FIND("|",JE233)-1))-VALUE(MID(JE233,FIND("-",JE233,FIND("|",JE233))+1,10)))))*$D$50),$D$29*(1-(IF(INDEX($L$232:$L$233,MATCH(LEFT(JE233,FIND("·",JE233)-1),$K$232:$K$233,0))=0,ABS(INDEX($N$232:$N$233,MATCH(LEFT(JE233,FIND("·",JE233)-1),$K$232:$K$233,0))-VALUE(MID(JE233,FIND("|",JE233)+1,FIND("-",JE233,FIND("|",JE233))-FIND("|",JE233)-1))),ABS(INDEX($P$232:$P$233,MATCH(LEFT(JE233,FIND("·",JE233)-1),$K$232:$K$233,0))-(VALUE(MID(JE233,FIND("|",JE233)+1,FIND("-",JE233,FIND("|",JE233))-FIND("|",JE233)-1))-VALUE(MID(JE233,FIND("-",JE233,FIND("|",JE233))+1,10)))))*$D$50)))))*INDEX($I$232:$I$233,MATCH(LEFT(JE233,FIND("·",JE233)-1),$K$232:$K$233,0)),0),0),0)+IFERROR(IF(COUNTIF($C$232:$C$233,LEFT(JE233,FIND("·",JE233)-1))&gt;0,IF(INDEX($D$232:$D$233,MATCH(LEFT(JE233,FIND("·",JE233)-1),$C$232:$C$233,0))=IFERROR(VALUE(MID(JE233,FIND("·",JE233)+1,1)),0),($D$28+(INDEX($E$232:$E$233,MATCH(LEFT(JE233,FIND("·",JE233)-1),$C$232:$C$233,0))=MID(JE233,FIND("|",JE233)+1,10))*$D$30+MAX(0,IF($D$50=1,$D$29*(1-(ABS(INDEX($Q$232:$Q$233,MATCH(LEFT(JE233,FIND("·",JE233)-1),$C$232:$C$233,0))-(VALUE(MID(JE233,FIND("|",JE233)+1,FIND("-",JE233,FIND("|",JE233))-FIND("|",JE233)-1))-VALUE(MID(JE233,FIND("-",JE233,FIND("|",JE233))+1,10)))))*$D$50),$D$29*(1-(IF(INDEX($D$232:$D$233,MATCH(LEFT(JE233,FIND("·",JE233)-1),$C$232:$C$233,0))=0,ABS(INDEX($A$232:$A$233,MATCH(LEFT(JE233,FIND("·",JE233)-1),$C$232:$C$233,0))-VALUE(MID(JE233,FIND("|",JE233)+1,FIND("-",JE233,FIND("|",JE233))-FIND("|",JE233)-1))),ABS(INDEX($Q$232:$Q$233,MATCH(LEFT(JE233,FIND("·",JE233)-1),$C$232:$C$233,0))-(VALUE(MID(JE233,FIND("|",JE233)+1,FIND("-",JE233,FIND("|",JE233))-FIND("|",JE233)-1))-VALUE(MID(JE233,FIND("-",JE233,FIND("|",JE233))+1,10)))))*$D$50)))))*INDEX($I$232:$I$233,MATCH(LEFT(JE233,FIND("·",JE233)-1),$C$232:$C$233,0)),0),0),0)</f>
        <v>0</v>
      </c>
      <c r="JG233" s="110"/>
      <c r="JH233" s="80"/>
      <c r="JI233" s="81">
        <f t="shared" ref="JI233" ca="1" si="3035">IFERROR(IF(COUNTIF($K$232:$K$233,LEFT(JH233,FIND("·",JH233)-1))&gt;0,IF(INDEX($L$232:$L$233,MATCH(LEFT(JH233,FIND("·",JH233)-1),$K$232:$K$233,0))=IFERROR(VALUE(MID(JH233,FIND("·",JH233)+1,1)),0),($D$28+(INDEX($M$232:$M$233,MATCH(LEFT(JH233,FIND("·",JH233)-1),$K$232:$K$233,0))=MID(JH233,FIND("|",JH233)+1,10))*$D$30+MAX(0,IF($D$50=1,$D$29*(1-(ABS(INDEX($P$232:$P$233,MATCH(LEFT(JH233,FIND("·",JH233)-1),$K$232:$K$233,0))-(VALUE(MID(JH233,FIND("|",JH233)+1,FIND("-",JH233,FIND("|",JH233))-FIND("|",JH233)-1))-VALUE(MID(JH233,FIND("-",JH233,FIND("|",JH233))+1,10)))))*$D$50),$D$29*(1-(IF(INDEX($L$232:$L$233,MATCH(LEFT(JH233,FIND("·",JH233)-1),$K$232:$K$233,0))=0,ABS(INDEX($N$232:$N$233,MATCH(LEFT(JH233,FIND("·",JH233)-1),$K$232:$K$233,0))-VALUE(MID(JH233,FIND("|",JH233)+1,FIND("-",JH233,FIND("|",JH233))-FIND("|",JH233)-1))),ABS(INDEX($P$232:$P$233,MATCH(LEFT(JH233,FIND("·",JH233)-1),$K$232:$K$233,0))-(VALUE(MID(JH233,FIND("|",JH233)+1,FIND("-",JH233,FIND("|",JH233))-FIND("|",JH233)-1))-VALUE(MID(JH233,FIND("-",JH233,FIND("|",JH233))+1,10)))))*$D$50)))))*INDEX($I$232:$I$233,MATCH(LEFT(JH233,FIND("·",JH233)-1),$K$232:$K$233,0)),0),0),0)+IFERROR(IF(COUNTIF($C$232:$C$233,LEFT(JH233,FIND("·",JH233)-1))&gt;0,IF(INDEX($D$232:$D$233,MATCH(LEFT(JH233,FIND("·",JH233)-1),$C$232:$C$233,0))=IFERROR(VALUE(MID(JH233,FIND("·",JH233)+1,1)),0),($D$28+(INDEX($E$232:$E$233,MATCH(LEFT(JH233,FIND("·",JH233)-1),$C$232:$C$233,0))=MID(JH233,FIND("|",JH233)+1,10))*$D$30+MAX(0,IF($D$50=1,$D$29*(1-(ABS(INDEX($Q$232:$Q$233,MATCH(LEFT(JH233,FIND("·",JH233)-1),$C$232:$C$233,0))-(VALUE(MID(JH233,FIND("|",JH233)+1,FIND("-",JH233,FIND("|",JH233))-FIND("|",JH233)-1))-VALUE(MID(JH233,FIND("-",JH233,FIND("|",JH233))+1,10)))))*$D$50),$D$29*(1-(IF(INDEX($D$232:$D$233,MATCH(LEFT(JH233,FIND("·",JH233)-1),$C$232:$C$233,0))=0,ABS(INDEX($A$232:$A$233,MATCH(LEFT(JH233,FIND("·",JH233)-1),$C$232:$C$233,0))-VALUE(MID(JH233,FIND("|",JH233)+1,FIND("-",JH233,FIND("|",JH233))-FIND("|",JH233)-1))),ABS(INDEX($Q$232:$Q$233,MATCH(LEFT(JH233,FIND("·",JH233)-1),$C$232:$C$233,0))-(VALUE(MID(JH233,FIND("|",JH233)+1,FIND("-",JH233,FIND("|",JH233))-FIND("|",JH233)-1))-VALUE(MID(JH233,FIND("-",JH233,FIND("|",JH233))+1,10)))))*$D$50)))))*INDEX($I$232:$I$233,MATCH(LEFT(JH233,FIND("·",JH233)-1),$C$232:$C$233,0)),0),0),0)</f>
        <v>0</v>
      </c>
      <c r="JJ233" s="110"/>
      <c r="JK233" s="80"/>
      <c r="JL233" s="81">
        <f t="shared" ref="JL233" ca="1" si="3036">IFERROR(IF(COUNTIF($K$232:$K$233,LEFT(JK233,FIND("·",JK233)-1))&gt;0,IF(INDEX($L$232:$L$233,MATCH(LEFT(JK233,FIND("·",JK233)-1),$K$232:$K$233,0))=IFERROR(VALUE(MID(JK233,FIND("·",JK233)+1,1)),0),($D$28+(INDEX($M$232:$M$233,MATCH(LEFT(JK233,FIND("·",JK233)-1),$K$232:$K$233,0))=MID(JK233,FIND("|",JK233)+1,10))*$D$30+MAX(0,IF($D$50=1,$D$29*(1-(ABS(INDEX($P$232:$P$233,MATCH(LEFT(JK233,FIND("·",JK233)-1),$K$232:$K$233,0))-(VALUE(MID(JK233,FIND("|",JK233)+1,FIND("-",JK233,FIND("|",JK233))-FIND("|",JK233)-1))-VALUE(MID(JK233,FIND("-",JK233,FIND("|",JK233))+1,10)))))*$D$50),$D$29*(1-(IF(INDEX($L$232:$L$233,MATCH(LEFT(JK233,FIND("·",JK233)-1),$K$232:$K$233,0))=0,ABS(INDEX($N$232:$N$233,MATCH(LEFT(JK233,FIND("·",JK233)-1),$K$232:$K$233,0))-VALUE(MID(JK233,FIND("|",JK233)+1,FIND("-",JK233,FIND("|",JK233))-FIND("|",JK233)-1))),ABS(INDEX($P$232:$P$233,MATCH(LEFT(JK233,FIND("·",JK233)-1),$K$232:$K$233,0))-(VALUE(MID(JK233,FIND("|",JK233)+1,FIND("-",JK233,FIND("|",JK233))-FIND("|",JK233)-1))-VALUE(MID(JK233,FIND("-",JK233,FIND("|",JK233))+1,10)))))*$D$50)))))*INDEX($I$232:$I$233,MATCH(LEFT(JK233,FIND("·",JK233)-1),$K$232:$K$233,0)),0),0),0)+IFERROR(IF(COUNTIF($C$232:$C$233,LEFT(JK233,FIND("·",JK233)-1))&gt;0,IF(INDEX($D$232:$D$233,MATCH(LEFT(JK233,FIND("·",JK233)-1),$C$232:$C$233,0))=IFERROR(VALUE(MID(JK233,FIND("·",JK233)+1,1)),0),($D$28+(INDEX($E$232:$E$233,MATCH(LEFT(JK233,FIND("·",JK233)-1),$C$232:$C$233,0))=MID(JK233,FIND("|",JK233)+1,10))*$D$30+MAX(0,IF($D$50=1,$D$29*(1-(ABS(INDEX($Q$232:$Q$233,MATCH(LEFT(JK233,FIND("·",JK233)-1),$C$232:$C$233,0))-(VALUE(MID(JK233,FIND("|",JK233)+1,FIND("-",JK233,FIND("|",JK233))-FIND("|",JK233)-1))-VALUE(MID(JK233,FIND("-",JK233,FIND("|",JK233))+1,10)))))*$D$50),$D$29*(1-(IF(INDEX($D$232:$D$233,MATCH(LEFT(JK233,FIND("·",JK233)-1),$C$232:$C$233,0))=0,ABS(INDEX($A$232:$A$233,MATCH(LEFT(JK233,FIND("·",JK233)-1),$C$232:$C$233,0))-VALUE(MID(JK233,FIND("|",JK233)+1,FIND("-",JK233,FIND("|",JK233))-FIND("|",JK233)-1))),ABS(INDEX($Q$232:$Q$233,MATCH(LEFT(JK233,FIND("·",JK233)-1),$C$232:$C$233,0))-(VALUE(MID(JK233,FIND("|",JK233)+1,FIND("-",JK233,FIND("|",JK233))-FIND("|",JK233)-1))-VALUE(MID(JK233,FIND("-",JK233,FIND("|",JK233))+1,10)))))*$D$50)))))*INDEX($I$232:$I$233,MATCH(LEFT(JK233,FIND("·",JK233)-1),$C$232:$C$233,0)),0),0),0)</f>
        <v>0</v>
      </c>
      <c r="JM233" s="110"/>
      <c r="JN233" s="80"/>
      <c r="JO233" s="81">
        <f t="shared" ref="JO233" ca="1" si="3037">IFERROR(IF(COUNTIF($K$232:$K$233,LEFT(JN233,FIND("·",JN233)-1))&gt;0,IF(INDEX($L$232:$L$233,MATCH(LEFT(JN233,FIND("·",JN233)-1),$K$232:$K$233,0))=IFERROR(VALUE(MID(JN233,FIND("·",JN233)+1,1)),0),($D$28+(INDEX($M$232:$M$233,MATCH(LEFT(JN233,FIND("·",JN233)-1),$K$232:$K$233,0))=MID(JN233,FIND("|",JN233)+1,10))*$D$30+MAX(0,IF($D$50=1,$D$29*(1-(ABS(INDEX($P$232:$P$233,MATCH(LEFT(JN233,FIND("·",JN233)-1),$K$232:$K$233,0))-(VALUE(MID(JN233,FIND("|",JN233)+1,FIND("-",JN233,FIND("|",JN233))-FIND("|",JN233)-1))-VALUE(MID(JN233,FIND("-",JN233,FIND("|",JN233))+1,10)))))*$D$50),$D$29*(1-(IF(INDEX($L$232:$L$233,MATCH(LEFT(JN233,FIND("·",JN233)-1),$K$232:$K$233,0))=0,ABS(INDEX($N$232:$N$233,MATCH(LEFT(JN233,FIND("·",JN233)-1),$K$232:$K$233,0))-VALUE(MID(JN233,FIND("|",JN233)+1,FIND("-",JN233,FIND("|",JN233))-FIND("|",JN233)-1))),ABS(INDEX($P$232:$P$233,MATCH(LEFT(JN233,FIND("·",JN233)-1),$K$232:$K$233,0))-(VALUE(MID(JN233,FIND("|",JN233)+1,FIND("-",JN233,FIND("|",JN233))-FIND("|",JN233)-1))-VALUE(MID(JN233,FIND("-",JN233,FIND("|",JN233))+1,10)))))*$D$50)))))*INDEX($I$232:$I$233,MATCH(LEFT(JN233,FIND("·",JN233)-1),$K$232:$K$233,0)),0),0),0)+IFERROR(IF(COUNTIF($C$232:$C$233,LEFT(JN233,FIND("·",JN233)-1))&gt;0,IF(INDEX($D$232:$D$233,MATCH(LEFT(JN233,FIND("·",JN233)-1),$C$232:$C$233,0))=IFERROR(VALUE(MID(JN233,FIND("·",JN233)+1,1)),0),($D$28+(INDEX($E$232:$E$233,MATCH(LEFT(JN233,FIND("·",JN233)-1),$C$232:$C$233,0))=MID(JN233,FIND("|",JN233)+1,10))*$D$30+MAX(0,IF($D$50=1,$D$29*(1-(ABS(INDEX($Q$232:$Q$233,MATCH(LEFT(JN233,FIND("·",JN233)-1),$C$232:$C$233,0))-(VALUE(MID(JN233,FIND("|",JN233)+1,FIND("-",JN233,FIND("|",JN233))-FIND("|",JN233)-1))-VALUE(MID(JN233,FIND("-",JN233,FIND("|",JN233))+1,10)))))*$D$50),$D$29*(1-(IF(INDEX($D$232:$D$233,MATCH(LEFT(JN233,FIND("·",JN233)-1),$C$232:$C$233,0))=0,ABS(INDEX($A$232:$A$233,MATCH(LEFT(JN233,FIND("·",JN233)-1),$C$232:$C$233,0))-VALUE(MID(JN233,FIND("|",JN233)+1,FIND("-",JN233,FIND("|",JN233))-FIND("|",JN233)-1))),ABS(INDEX($Q$232:$Q$233,MATCH(LEFT(JN233,FIND("·",JN233)-1),$C$232:$C$233,0))-(VALUE(MID(JN233,FIND("|",JN233)+1,FIND("-",JN233,FIND("|",JN233))-FIND("|",JN233)-1))-VALUE(MID(JN233,FIND("-",JN233,FIND("|",JN233))+1,10)))))*$D$50)))))*INDEX($I$232:$I$233,MATCH(LEFT(JN233,FIND("·",JN233)-1),$C$232:$C$233,0)),0),0),0)</f>
        <v>0</v>
      </c>
      <c r="JP233" s="110"/>
      <c r="JQ233" s="80"/>
      <c r="JR233" s="81">
        <f t="shared" ref="JR233" ca="1" si="3038">IFERROR(IF(COUNTIF($K$232:$K$233,LEFT(JQ233,FIND("·",JQ233)-1))&gt;0,IF(INDEX($L$232:$L$233,MATCH(LEFT(JQ233,FIND("·",JQ233)-1),$K$232:$K$233,0))=IFERROR(VALUE(MID(JQ233,FIND("·",JQ233)+1,1)),0),($D$28+(INDEX($M$232:$M$233,MATCH(LEFT(JQ233,FIND("·",JQ233)-1),$K$232:$K$233,0))=MID(JQ233,FIND("|",JQ233)+1,10))*$D$30+MAX(0,IF($D$50=1,$D$29*(1-(ABS(INDEX($P$232:$P$233,MATCH(LEFT(JQ233,FIND("·",JQ233)-1),$K$232:$K$233,0))-(VALUE(MID(JQ233,FIND("|",JQ233)+1,FIND("-",JQ233,FIND("|",JQ233))-FIND("|",JQ233)-1))-VALUE(MID(JQ233,FIND("-",JQ233,FIND("|",JQ233))+1,10)))))*$D$50),$D$29*(1-(IF(INDEX($L$232:$L$233,MATCH(LEFT(JQ233,FIND("·",JQ233)-1),$K$232:$K$233,0))=0,ABS(INDEX($N$232:$N$233,MATCH(LEFT(JQ233,FIND("·",JQ233)-1),$K$232:$K$233,0))-VALUE(MID(JQ233,FIND("|",JQ233)+1,FIND("-",JQ233,FIND("|",JQ233))-FIND("|",JQ233)-1))),ABS(INDEX($P$232:$P$233,MATCH(LEFT(JQ233,FIND("·",JQ233)-1),$K$232:$K$233,0))-(VALUE(MID(JQ233,FIND("|",JQ233)+1,FIND("-",JQ233,FIND("|",JQ233))-FIND("|",JQ233)-1))-VALUE(MID(JQ233,FIND("-",JQ233,FIND("|",JQ233))+1,10)))))*$D$50)))))*INDEX($I$232:$I$233,MATCH(LEFT(JQ233,FIND("·",JQ233)-1),$K$232:$K$233,0)),0),0),0)+IFERROR(IF(COUNTIF($C$232:$C$233,LEFT(JQ233,FIND("·",JQ233)-1))&gt;0,IF(INDEX($D$232:$D$233,MATCH(LEFT(JQ233,FIND("·",JQ233)-1),$C$232:$C$233,0))=IFERROR(VALUE(MID(JQ233,FIND("·",JQ233)+1,1)),0),($D$28+(INDEX($E$232:$E$233,MATCH(LEFT(JQ233,FIND("·",JQ233)-1),$C$232:$C$233,0))=MID(JQ233,FIND("|",JQ233)+1,10))*$D$30+MAX(0,IF($D$50=1,$D$29*(1-(ABS(INDEX($Q$232:$Q$233,MATCH(LEFT(JQ233,FIND("·",JQ233)-1),$C$232:$C$233,0))-(VALUE(MID(JQ233,FIND("|",JQ233)+1,FIND("-",JQ233,FIND("|",JQ233))-FIND("|",JQ233)-1))-VALUE(MID(JQ233,FIND("-",JQ233,FIND("|",JQ233))+1,10)))))*$D$50),$D$29*(1-(IF(INDEX($D$232:$D$233,MATCH(LEFT(JQ233,FIND("·",JQ233)-1),$C$232:$C$233,0))=0,ABS(INDEX($A$232:$A$233,MATCH(LEFT(JQ233,FIND("·",JQ233)-1),$C$232:$C$233,0))-VALUE(MID(JQ233,FIND("|",JQ233)+1,FIND("-",JQ233,FIND("|",JQ233))-FIND("|",JQ233)-1))),ABS(INDEX($Q$232:$Q$233,MATCH(LEFT(JQ233,FIND("·",JQ233)-1),$C$232:$C$233,0))-(VALUE(MID(JQ233,FIND("|",JQ233)+1,FIND("-",JQ233,FIND("|",JQ233))-FIND("|",JQ233)-1))-VALUE(MID(JQ233,FIND("-",JQ233,FIND("|",JQ233))+1,10)))))*$D$50)))))*INDEX($I$232:$I$233,MATCH(LEFT(JQ233,FIND("·",JQ233)-1),$C$232:$C$233,0)),0),0),0)</f>
        <v>0</v>
      </c>
      <c r="JS233" s="110"/>
      <c r="JT233" s="80"/>
      <c r="JU233" s="81">
        <f t="shared" ref="JU233" ca="1" si="3039">IFERROR(IF(COUNTIF($K$232:$K$233,LEFT(JT233,FIND("·",JT233)-1))&gt;0,IF(INDEX($L$232:$L$233,MATCH(LEFT(JT233,FIND("·",JT233)-1),$K$232:$K$233,0))=IFERROR(VALUE(MID(JT233,FIND("·",JT233)+1,1)),0),($D$28+(INDEX($M$232:$M$233,MATCH(LEFT(JT233,FIND("·",JT233)-1),$K$232:$K$233,0))=MID(JT233,FIND("|",JT233)+1,10))*$D$30+MAX(0,IF($D$50=1,$D$29*(1-(ABS(INDEX($P$232:$P$233,MATCH(LEFT(JT233,FIND("·",JT233)-1),$K$232:$K$233,0))-(VALUE(MID(JT233,FIND("|",JT233)+1,FIND("-",JT233,FIND("|",JT233))-FIND("|",JT233)-1))-VALUE(MID(JT233,FIND("-",JT233,FIND("|",JT233))+1,10)))))*$D$50),$D$29*(1-(IF(INDEX($L$232:$L$233,MATCH(LEFT(JT233,FIND("·",JT233)-1),$K$232:$K$233,0))=0,ABS(INDEX($N$232:$N$233,MATCH(LEFT(JT233,FIND("·",JT233)-1),$K$232:$K$233,0))-VALUE(MID(JT233,FIND("|",JT233)+1,FIND("-",JT233,FIND("|",JT233))-FIND("|",JT233)-1))),ABS(INDEX($P$232:$P$233,MATCH(LEFT(JT233,FIND("·",JT233)-1),$K$232:$K$233,0))-(VALUE(MID(JT233,FIND("|",JT233)+1,FIND("-",JT233,FIND("|",JT233))-FIND("|",JT233)-1))-VALUE(MID(JT233,FIND("-",JT233,FIND("|",JT233))+1,10)))))*$D$50)))))*INDEX($I$232:$I$233,MATCH(LEFT(JT233,FIND("·",JT233)-1),$K$232:$K$233,0)),0),0),0)+IFERROR(IF(COUNTIF($C$232:$C$233,LEFT(JT233,FIND("·",JT233)-1))&gt;0,IF(INDEX($D$232:$D$233,MATCH(LEFT(JT233,FIND("·",JT233)-1),$C$232:$C$233,0))=IFERROR(VALUE(MID(JT233,FIND("·",JT233)+1,1)),0),($D$28+(INDEX($E$232:$E$233,MATCH(LEFT(JT233,FIND("·",JT233)-1),$C$232:$C$233,0))=MID(JT233,FIND("|",JT233)+1,10))*$D$30+MAX(0,IF($D$50=1,$D$29*(1-(ABS(INDEX($Q$232:$Q$233,MATCH(LEFT(JT233,FIND("·",JT233)-1),$C$232:$C$233,0))-(VALUE(MID(JT233,FIND("|",JT233)+1,FIND("-",JT233,FIND("|",JT233))-FIND("|",JT233)-1))-VALUE(MID(JT233,FIND("-",JT233,FIND("|",JT233))+1,10)))))*$D$50),$D$29*(1-(IF(INDEX($D$232:$D$233,MATCH(LEFT(JT233,FIND("·",JT233)-1),$C$232:$C$233,0))=0,ABS(INDEX($A$232:$A$233,MATCH(LEFT(JT233,FIND("·",JT233)-1),$C$232:$C$233,0))-VALUE(MID(JT233,FIND("|",JT233)+1,FIND("-",JT233,FIND("|",JT233))-FIND("|",JT233)-1))),ABS(INDEX($Q$232:$Q$233,MATCH(LEFT(JT233,FIND("·",JT233)-1),$C$232:$C$233,0))-(VALUE(MID(JT233,FIND("|",JT233)+1,FIND("-",JT233,FIND("|",JT233))-FIND("|",JT233)-1))-VALUE(MID(JT233,FIND("-",JT233,FIND("|",JT233))+1,10)))))*$D$50)))))*INDEX($I$232:$I$233,MATCH(LEFT(JT233,FIND("·",JT233)-1),$C$232:$C$233,0)),0),0),0)</f>
        <v>0</v>
      </c>
      <c r="JV233" s="110"/>
      <c r="JW233" s="80"/>
      <c r="JX233" s="81">
        <f t="shared" ref="JX233" ca="1" si="3040">IFERROR(IF(COUNTIF($K$232:$K$233,LEFT(JW233,FIND("·",JW233)-1))&gt;0,IF(INDEX($L$232:$L$233,MATCH(LEFT(JW233,FIND("·",JW233)-1),$K$232:$K$233,0))=IFERROR(VALUE(MID(JW233,FIND("·",JW233)+1,1)),0),($D$28+(INDEX($M$232:$M$233,MATCH(LEFT(JW233,FIND("·",JW233)-1),$K$232:$K$233,0))=MID(JW233,FIND("|",JW233)+1,10))*$D$30+MAX(0,IF($D$50=1,$D$29*(1-(ABS(INDEX($P$232:$P$233,MATCH(LEFT(JW233,FIND("·",JW233)-1),$K$232:$K$233,0))-(VALUE(MID(JW233,FIND("|",JW233)+1,FIND("-",JW233,FIND("|",JW233))-FIND("|",JW233)-1))-VALUE(MID(JW233,FIND("-",JW233,FIND("|",JW233))+1,10)))))*$D$50),$D$29*(1-(IF(INDEX($L$232:$L$233,MATCH(LEFT(JW233,FIND("·",JW233)-1),$K$232:$K$233,0))=0,ABS(INDEX($N$232:$N$233,MATCH(LEFT(JW233,FIND("·",JW233)-1),$K$232:$K$233,0))-VALUE(MID(JW233,FIND("|",JW233)+1,FIND("-",JW233,FIND("|",JW233))-FIND("|",JW233)-1))),ABS(INDEX($P$232:$P$233,MATCH(LEFT(JW233,FIND("·",JW233)-1),$K$232:$K$233,0))-(VALUE(MID(JW233,FIND("|",JW233)+1,FIND("-",JW233,FIND("|",JW233))-FIND("|",JW233)-1))-VALUE(MID(JW233,FIND("-",JW233,FIND("|",JW233))+1,10)))))*$D$50)))))*INDEX($I$232:$I$233,MATCH(LEFT(JW233,FIND("·",JW233)-1),$K$232:$K$233,0)),0),0),0)+IFERROR(IF(COUNTIF($C$232:$C$233,LEFT(JW233,FIND("·",JW233)-1))&gt;0,IF(INDEX($D$232:$D$233,MATCH(LEFT(JW233,FIND("·",JW233)-1),$C$232:$C$233,0))=IFERROR(VALUE(MID(JW233,FIND("·",JW233)+1,1)),0),($D$28+(INDEX($E$232:$E$233,MATCH(LEFT(JW233,FIND("·",JW233)-1),$C$232:$C$233,0))=MID(JW233,FIND("|",JW233)+1,10))*$D$30+MAX(0,IF($D$50=1,$D$29*(1-(ABS(INDEX($Q$232:$Q$233,MATCH(LEFT(JW233,FIND("·",JW233)-1),$C$232:$C$233,0))-(VALUE(MID(JW233,FIND("|",JW233)+1,FIND("-",JW233,FIND("|",JW233))-FIND("|",JW233)-1))-VALUE(MID(JW233,FIND("-",JW233,FIND("|",JW233))+1,10)))))*$D$50),$D$29*(1-(IF(INDEX($D$232:$D$233,MATCH(LEFT(JW233,FIND("·",JW233)-1),$C$232:$C$233,0))=0,ABS(INDEX($A$232:$A$233,MATCH(LEFT(JW233,FIND("·",JW233)-1),$C$232:$C$233,0))-VALUE(MID(JW233,FIND("|",JW233)+1,FIND("-",JW233,FIND("|",JW233))-FIND("|",JW233)-1))),ABS(INDEX($Q$232:$Q$233,MATCH(LEFT(JW233,FIND("·",JW233)-1),$C$232:$C$233,0))-(VALUE(MID(JW233,FIND("|",JW233)+1,FIND("-",JW233,FIND("|",JW233))-FIND("|",JW233)-1))-VALUE(MID(JW233,FIND("-",JW233,FIND("|",JW233))+1,10)))))*$D$50)))))*INDEX($I$232:$I$233,MATCH(LEFT(JW233,FIND("·",JW233)-1),$C$232:$C$233,0)),0),0),0)</f>
        <v>0</v>
      </c>
      <c r="JY233" s="110"/>
      <c r="JZ233" s="80"/>
      <c r="KA233" s="81">
        <f t="shared" ref="KA233" ca="1" si="3041">IFERROR(IF(COUNTIF($K$232:$K$233,LEFT(JZ233,FIND("·",JZ233)-1))&gt;0,IF(INDEX($L$232:$L$233,MATCH(LEFT(JZ233,FIND("·",JZ233)-1),$K$232:$K$233,0))=IFERROR(VALUE(MID(JZ233,FIND("·",JZ233)+1,1)),0),($D$28+(INDEX($M$232:$M$233,MATCH(LEFT(JZ233,FIND("·",JZ233)-1),$K$232:$K$233,0))=MID(JZ233,FIND("|",JZ233)+1,10))*$D$30+MAX(0,IF($D$50=1,$D$29*(1-(ABS(INDEX($P$232:$P$233,MATCH(LEFT(JZ233,FIND("·",JZ233)-1),$K$232:$K$233,0))-(VALUE(MID(JZ233,FIND("|",JZ233)+1,FIND("-",JZ233,FIND("|",JZ233))-FIND("|",JZ233)-1))-VALUE(MID(JZ233,FIND("-",JZ233,FIND("|",JZ233))+1,10)))))*$D$50),$D$29*(1-(IF(INDEX($L$232:$L$233,MATCH(LEFT(JZ233,FIND("·",JZ233)-1),$K$232:$K$233,0))=0,ABS(INDEX($N$232:$N$233,MATCH(LEFT(JZ233,FIND("·",JZ233)-1),$K$232:$K$233,0))-VALUE(MID(JZ233,FIND("|",JZ233)+1,FIND("-",JZ233,FIND("|",JZ233))-FIND("|",JZ233)-1))),ABS(INDEX($P$232:$P$233,MATCH(LEFT(JZ233,FIND("·",JZ233)-1),$K$232:$K$233,0))-(VALUE(MID(JZ233,FIND("|",JZ233)+1,FIND("-",JZ233,FIND("|",JZ233))-FIND("|",JZ233)-1))-VALUE(MID(JZ233,FIND("-",JZ233,FIND("|",JZ233))+1,10)))))*$D$50)))))*INDEX($I$232:$I$233,MATCH(LEFT(JZ233,FIND("·",JZ233)-1),$K$232:$K$233,0)),0),0),0)+IFERROR(IF(COUNTIF($C$232:$C$233,LEFT(JZ233,FIND("·",JZ233)-1))&gt;0,IF(INDEX($D$232:$D$233,MATCH(LEFT(JZ233,FIND("·",JZ233)-1),$C$232:$C$233,0))=IFERROR(VALUE(MID(JZ233,FIND("·",JZ233)+1,1)),0),($D$28+(INDEX($E$232:$E$233,MATCH(LEFT(JZ233,FIND("·",JZ233)-1),$C$232:$C$233,0))=MID(JZ233,FIND("|",JZ233)+1,10))*$D$30+MAX(0,IF($D$50=1,$D$29*(1-(ABS(INDEX($Q$232:$Q$233,MATCH(LEFT(JZ233,FIND("·",JZ233)-1),$C$232:$C$233,0))-(VALUE(MID(JZ233,FIND("|",JZ233)+1,FIND("-",JZ233,FIND("|",JZ233))-FIND("|",JZ233)-1))-VALUE(MID(JZ233,FIND("-",JZ233,FIND("|",JZ233))+1,10)))))*$D$50),$D$29*(1-(IF(INDEX($D$232:$D$233,MATCH(LEFT(JZ233,FIND("·",JZ233)-1),$C$232:$C$233,0))=0,ABS(INDEX($A$232:$A$233,MATCH(LEFT(JZ233,FIND("·",JZ233)-1),$C$232:$C$233,0))-VALUE(MID(JZ233,FIND("|",JZ233)+1,FIND("-",JZ233,FIND("|",JZ233))-FIND("|",JZ233)-1))),ABS(INDEX($Q$232:$Q$233,MATCH(LEFT(JZ233,FIND("·",JZ233)-1),$C$232:$C$233,0))-(VALUE(MID(JZ233,FIND("|",JZ233)+1,FIND("-",JZ233,FIND("|",JZ233))-FIND("|",JZ233)-1))-VALUE(MID(JZ233,FIND("-",JZ233,FIND("|",JZ233))+1,10)))))*$D$50)))))*INDEX($I$232:$I$233,MATCH(LEFT(JZ233,FIND("·",JZ233)-1),$C$232:$C$233,0)),0),0),0)</f>
        <v>0</v>
      </c>
      <c r="KB233" s="110"/>
      <c r="KC233" s="80"/>
      <c r="KD233" s="81">
        <f t="shared" ref="KD233" ca="1" si="3042">IFERROR(IF(COUNTIF($K$232:$K$233,LEFT(KC233,FIND("·",KC233)-1))&gt;0,IF(INDEX($L$232:$L$233,MATCH(LEFT(KC233,FIND("·",KC233)-1),$K$232:$K$233,0))=IFERROR(VALUE(MID(KC233,FIND("·",KC233)+1,1)),0),($D$28+(INDEX($M$232:$M$233,MATCH(LEFT(KC233,FIND("·",KC233)-1),$K$232:$K$233,0))=MID(KC233,FIND("|",KC233)+1,10))*$D$30+MAX(0,IF($D$50=1,$D$29*(1-(ABS(INDEX($P$232:$P$233,MATCH(LEFT(KC233,FIND("·",KC233)-1),$K$232:$K$233,0))-(VALUE(MID(KC233,FIND("|",KC233)+1,FIND("-",KC233,FIND("|",KC233))-FIND("|",KC233)-1))-VALUE(MID(KC233,FIND("-",KC233,FIND("|",KC233))+1,10)))))*$D$50),$D$29*(1-(IF(INDEX($L$232:$L$233,MATCH(LEFT(KC233,FIND("·",KC233)-1),$K$232:$K$233,0))=0,ABS(INDEX($N$232:$N$233,MATCH(LEFT(KC233,FIND("·",KC233)-1),$K$232:$K$233,0))-VALUE(MID(KC233,FIND("|",KC233)+1,FIND("-",KC233,FIND("|",KC233))-FIND("|",KC233)-1))),ABS(INDEX($P$232:$P$233,MATCH(LEFT(KC233,FIND("·",KC233)-1),$K$232:$K$233,0))-(VALUE(MID(KC233,FIND("|",KC233)+1,FIND("-",KC233,FIND("|",KC233))-FIND("|",KC233)-1))-VALUE(MID(KC233,FIND("-",KC233,FIND("|",KC233))+1,10)))))*$D$50)))))*INDEX($I$232:$I$233,MATCH(LEFT(KC233,FIND("·",KC233)-1),$K$232:$K$233,0)),0),0),0)+IFERROR(IF(COUNTIF($C$232:$C$233,LEFT(KC233,FIND("·",KC233)-1))&gt;0,IF(INDEX($D$232:$D$233,MATCH(LEFT(KC233,FIND("·",KC233)-1),$C$232:$C$233,0))=IFERROR(VALUE(MID(KC233,FIND("·",KC233)+1,1)),0),($D$28+(INDEX($E$232:$E$233,MATCH(LEFT(KC233,FIND("·",KC233)-1),$C$232:$C$233,0))=MID(KC233,FIND("|",KC233)+1,10))*$D$30+MAX(0,IF($D$50=1,$D$29*(1-(ABS(INDEX($Q$232:$Q$233,MATCH(LEFT(KC233,FIND("·",KC233)-1),$C$232:$C$233,0))-(VALUE(MID(KC233,FIND("|",KC233)+1,FIND("-",KC233,FIND("|",KC233))-FIND("|",KC233)-1))-VALUE(MID(KC233,FIND("-",KC233,FIND("|",KC233))+1,10)))))*$D$50),$D$29*(1-(IF(INDEX($D$232:$D$233,MATCH(LEFT(KC233,FIND("·",KC233)-1),$C$232:$C$233,0))=0,ABS(INDEX($A$232:$A$233,MATCH(LEFT(KC233,FIND("·",KC233)-1),$C$232:$C$233,0))-VALUE(MID(KC233,FIND("|",KC233)+1,FIND("-",KC233,FIND("|",KC233))-FIND("|",KC233)-1))),ABS(INDEX($Q$232:$Q$233,MATCH(LEFT(KC233,FIND("·",KC233)-1),$C$232:$C$233,0))-(VALUE(MID(KC233,FIND("|",KC233)+1,FIND("-",KC233,FIND("|",KC233))-FIND("|",KC233)-1))-VALUE(MID(KC233,FIND("-",KC233,FIND("|",KC233))+1,10)))))*$D$50)))))*INDEX($I$232:$I$233,MATCH(LEFT(KC233,FIND("·",KC233)-1),$C$232:$C$233,0)),0),0),0)</f>
        <v>0</v>
      </c>
      <c r="KE233" s="110"/>
      <c r="KF233" s="80"/>
      <c r="KG233" s="81">
        <f t="shared" ref="KG233" ca="1" si="3043">IFERROR(IF(COUNTIF($K$232:$K$233,LEFT(KF233,FIND("·",KF233)-1))&gt;0,IF(INDEX($L$232:$L$233,MATCH(LEFT(KF233,FIND("·",KF233)-1),$K$232:$K$233,0))=IFERROR(VALUE(MID(KF233,FIND("·",KF233)+1,1)),0),($D$28+(INDEX($M$232:$M$233,MATCH(LEFT(KF233,FIND("·",KF233)-1),$K$232:$K$233,0))=MID(KF233,FIND("|",KF233)+1,10))*$D$30+MAX(0,IF($D$50=1,$D$29*(1-(ABS(INDEX($P$232:$P$233,MATCH(LEFT(KF233,FIND("·",KF233)-1),$K$232:$K$233,0))-(VALUE(MID(KF233,FIND("|",KF233)+1,FIND("-",KF233,FIND("|",KF233))-FIND("|",KF233)-1))-VALUE(MID(KF233,FIND("-",KF233,FIND("|",KF233))+1,10)))))*$D$50),$D$29*(1-(IF(INDEX($L$232:$L$233,MATCH(LEFT(KF233,FIND("·",KF233)-1),$K$232:$K$233,0))=0,ABS(INDEX($N$232:$N$233,MATCH(LEFT(KF233,FIND("·",KF233)-1),$K$232:$K$233,0))-VALUE(MID(KF233,FIND("|",KF233)+1,FIND("-",KF233,FIND("|",KF233))-FIND("|",KF233)-1))),ABS(INDEX($P$232:$P$233,MATCH(LEFT(KF233,FIND("·",KF233)-1),$K$232:$K$233,0))-(VALUE(MID(KF233,FIND("|",KF233)+1,FIND("-",KF233,FIND("|",KF233))-FIND("|",KF233)-1))-VALUE(MID(KF233,FIND("-",KF233,FIND("|",KF233))+1,10)))))*$D$50)))))*INDEX($I$232:$I$233,MATCH(LEFT(KF233,FIND("·",KF233)-1),$K$232:$K$233,0)),0),0),0)+IFERROR(IF(COUNTIF($C$232:$C$233,LEFT(KF233,FIND("·",KF233)-1))&gt;0,IF(INDEX($D$232:$D$233,MATCH(LEFT(KF233,FIND("·",KF233)-1),$C$232:$C$233,0))=IFERROR(VALUE(MID(KF233,FIND("·",KF233)+1,1)),0),($D$28+(INDEX($E$232:$E$233,MATCH(LEFT(KF233,FIND("·",KF233)-1),$C$232:$C$233,0))=MID(KF233,FIND("|",KF233)+1,10))*$D$30+MAX(0,IF($D$50=1,$D$29*(1-(ABS(INDEX($Q$232:$Q$233,MATCH(LEFT(KF233,FIND("·",KF233)-1),$C$232:$C$233,0))-(VALUE(MID(KF233,FIND("|",KF233)+1,FIND("-",KF233,FIND("|",KF233))-FIND("|",KF233)-1))-VALUE(MID(KF233,FIND("-",KF233,FIND("|",KF233))+1,10)))))*$D$50),$D$29*(1-(IF(INDEX($D$232:$D$233,MATCH(LEFT(KF233,FIND("·",KF233)-1),$C$232:$C$233,0))=0,ABS(INDEX($A$232:$A$233,MATCH(LEFT(KF233,FIND("·",KF233)-1),$C$232:$C$233,0))-VALUE(MID(KF233,FIND("|",KF233)+1,FIND("-",KF233,FIND("|",KF233))-FIND("|",KF233)-1))),ABS(INDEX($Q$232:$Q$233,MATCH(LEFT(KF233,FIND("·",KF233)-1),$C$232:$C$233,0))-(VALUE(MID(KF233,FIND("|",KF233)+1,FIND("-",KF233,FIND("|",KF233))-FIND("|",KF233)-1))-VALUE(MID(KF233,FIND("-",KF233,FIND("|",KF233))+1,10)))))*$D$50)))))*INDEX($I$232:$I$233,MATCH(LEFT(KF233,FIND("·",KF233)-1),$C$232:$C$233,0)),0),0),0)</f>
        <v>0</v>
      </c>
      <c r="KH233" s="110"/>
      <c r="KI233" s="80"/>
      <c r="KJ233" s="81">
        <f t="shared" ref="KJ233" ca="1" si="3044">IFERROR(IF(COUNTIF($K$232:$K$233,LEFT(KI233,FIND("·",KI233)-1))&gt;0,IF(INDEX($L$232:$L$233,MATCH(LEFT(KI233,FIND("·",KI233)-1),$K$232:$K$233,0))=IFERROR(VALUE(MID(KI233,FIND("·",KI233)+1,1)),0),($D$28+(INDEX($M$232:$M$233,MATCH(LEFT(KI233,FIND("·",KI233)-1),$K$232:$K$233,0))=MID(KI233,FIND("|",KI233)+1,10))*$D$30+MAX(0,IF($D$50=1,$D$29*(1-(ABS(INDEX($P$232:$P$233,MATCH(LEFT(KI233,FIND("·",KI233)-1),$K$232:$K$233,0))-(VALUE(MID(KI233,FIND("|",KI233)+1,FIND("-",KI233,FIND("|",KI233))-FIND("|",KI233)-1))-VALUE(MID(KI233,FIND("-",KI233,FIND("|",KI233))+1,10)))))*$D$50),$D$29*(1-(IF(INDEX($L$232:$L$233,MATCH(LEFT(KI233,FIND("·",KI233)-1),$K$232:$K$233,0))=0,ABS(INDEX($N$232:$N$233,MATCH(LEFT(KI233,FIND("·",KI233)-1),$K$232:$K$233,0))-VALUE(MID(KI233,FIND("|",KI233)+1,FIND("-",KI233,FIND("|",KI233))-FIND("|",KI233)-1))),ABS(INDEX($P$232:$P$233,MATCH(LEFT(KI233,FIND("·",KI233)-1),$K$232:$K$233,0))-(VALUE(MID(KI233,FIND("|",KI233)+1,FIND("-",KI233,FIND("|",KI233))-FIND("|",KI233)-1))-VALUE(MID(KI233,FIND("-",KI233,FIND("|",KI233))+1,10)))))*$D$50)))))*INDEX($I$232:$I$233,MATCH(LEFT(KI233,FIND("·",KI233)-1),$K$232:$K$233,0)),0),0),0)+IFERROR(IF(COUNTIF($C$232:$C$233,LEFT(KI233,FIND("·",KI233)-1))&gt;0,IF(INDEX($D$232:$D$233,MATCH(LEFT(KI233,FIND("·",KI233)-1),$C$232:$C$233,0))=IFERROR(VALUE(MID(KI233,FIND("·",KI233)+1,1)),0),($D$28+(INDEX($E$232:$E$233,MATCH(LEFT(KI233,FIND("·",KI233)-1),$C$232:$C$233,0))=MID(KI233,FIND("|",KI233)+1,10))*$D$30+MAX(0,IF($D$50=1,$D$29*(1-(ABS(INDEX($Q$232:$Q$233,MATCH(LEFT(KI233,FIND("·",KI233)-1),$C$232:$C$233,0))-(VALUE(MID(KI233,FIND("|",KI233)+1,FIND("-",KI233,FIND("|",KI233))-FIND("|",KI233)-1))-VALUE(MID(KI233,FIND("-",KI233,FIND("|",KI233))+1,10)))))*$D$50),$D$29*(1-(IF(INDEX($D$232:$D$233,MATCH(LEFT(KI233,FIND("·",KI233)-1),$C$232:$C$233,0))=0,ABS(INDEX($A$232:$A$233,MATCH(LEFT(KI233,FIND("·",KI233)-1),$C$232:$C$233,0))-VALUE(MID(KI233,FIND("|",KI233)+1,FIND("-",KI233,FIND("|",KI233))-FIND("|",KI233)-1))),ABS(INDEX($Q$232:$Q$233,MATCH(LEFT(KI233,FIND("·",KI233)-1),$C$232:$C$233,0))-(VALUE(MID(KI233,FIND("|",KI233)+1,FIND("-",KI233,FIND("|",KI233))-FIND("|",KI233)-1))-VALUE(MID(KI233,FIND("-",KI233,FIND("|",KI233))+1,10)))))*$D$50)))))*INDEX($I$232:$I$233,MATCH(LEFT(KI233,FIND("·",KI233)-1),$C$232:$C$233,0)),0),0),0)</f>
        <v>0</v>
      </c>
      <c r="KK233" s="110"/>
      <c r="KL233" s="80"/>
      <c r="KM233" s="81">
        <f t="shared" ref="KM233" ca="1" si="3045">IFERROR(IF(COUNTIF($K$232:$K$233,LEFT(KL233,FIND("·",KL233)-1))&gt;0,IF(INDEX($L$232:$L$233,MATCH(LEFT(KL233,FIND("·",KL233)-1),$K$232:$K$233,0))=IFERROR(VALUE(MID(KL233,FIND("·",KL233)+1,1)),0),($D$28+(INDEX($M$232:$M$233,MATCH(LEFT(KL233,FIND("·",KL233)-1),$K$232:$K$233,0))=MID(KL233,FIND("|",KL233)+1,10))*$D$30+MAX(0,IF($D$50=1,$D$29*(1-(ABS(INDEX($P$232:$P$233,MATCH(LEFT(KL233,FIND("·",KL233)-1),$K$232:$K$233,0))-(VALUE(MID(KL233,FIND("|",KL233)+1,FIND("-",KL233,FIND("|",KL233))-FIND("|",KL233)-1))-VALUE(MID(KL233,FIND("-",KL233,FIND("|",KL233))+1,10)))))*$D$50),$D$29*(1-(IF(INDEX($L$232:$L$233,MATCH(LEFT(KL233,FIND("·",KL233)-1),$K$232:$K$233,0))=0,ABS(INDEX($N$232:$N$233,MATCH(LEFT(KL233,FIND("·",KL233)-1),$K$232:$K$233,0))-VALUE(MID(KL233,FIND("|",KL233)+1,FIND("-",KL233,FIND("|",KL233))-FIND("|",KL233)-1))),ABS(INDEX($P$232:$P$233,MATCH(LEFT(KL233,FIND("·",KL233)-1),$K$232:$K$233,0))-(VALUE(MID(KL233,FIND("|",KL233)+1,FIND("-",KL233,FIND("|",KL233))-FIND("|",KL233)-1))-VALUE(MID(KL233,FIND("-",KL233,FIND("|",KL233))+1,10)))))*$D$50)))))*INDEX($I$232:$I$233,MATCH(LEFT(KL233,FIND("·",KL233)-1),$K$232:$K$233,0)),0),0),0)+IFERROR(IF(COUNTIF($C$232:$C$233,LEFT(KL233,FIND("·",KL233)-1))&gt;0,IF(INDEX($D$232:$D$233,MATCH(LEFT(KL233,FIND("·",KL233)-1),$C$232:$C$233,0))=IFERROR(VALUE(MID(KL233,FIND("·",KL233)+1,1)),0),($D$28+(INDEX($E$232:$E$233,MATCH(LEFT(KL233,FIND("·",KL233)-1),$C$232:$C$233,0))=MID(KL233,FIND("|",KL233)+1,10))*$D$30+MAX(0,IF($D$50=1,$D$29*(1-(ABS(INDEX($Q$232:$Q$233,MATCH(LEFT(KL233,FIND("·",KL233)-1),$C$232:$C$233,0))-(VALUE(MID(KL233,FIND("|",KL233)+1,FIND("-",KL233,FIND("|",KL233))-FIND("|",KL233)-1))-VALUE(MID(KL233,FIND("-",KL233,FIND("|",KL233))+1,10)))))*$D$50),$D$29*(1-(IF(INDEX($D$232:$D$233,MATCH(LEFT(KL233,FIND("·",KL233)-1),$C$232:$C$233,0))=0,ABS(INDEX($A$232:$A$233,MATCH(LEFT(KL233,FIND("·",KL233)-1),$C$232:$C$233,0))-VALUE(MID(KL233,FIND("|",KL233)+1,FIND("-",KL233,FIND("|",KL233))-FIND("|",KL233)-1))),ABS(INDEX($Q$232:$Q$233,MATCH(LEFT(KL233,FIND("·",KL233)-1),$C$232:$C$233,0))-(VALUE(MID(KL233,FIND("|",KL233)+1,FIND("-",KL233,FIND("|",KL233))-FIND("|",KL233)-1))-VALUE(MID(KL233,FIND("-",KL233,FIND("|",KL233))+1,10)))))*$D$50)))))*INDEX($I$232:$I$233,MATCH(LEFT(KL233,FIND("·",KL233)-1),$C$232:$C$233,0)),0),0),0)</f>
        <v>0</v>
      </c>
      <c r="KN233" s="110"/>
      <c r="KO233" s="80"/>
      <c r="KP233" s="81">
        <f t="shared" ref="KP233" ca="1" si="3046">IFERROR(IF(COUNTIF($K$232:$K$233,LEFT(KO233,FIND("·",KO233)-1))&gt;0,IF(INDEX($L$232:$L$233,MATCH(LEFT(KO233,FIND("·",KO233)-1),$K$232:$K$233,0))=IFERROR(VALUE(MID(KO233,FIND("·",KO233)+1,1)),0),($D$28+(INDEX($M$232:$M$233,MATCH(LEFT(KO233,FIND("·",KO233)-1),$K$232:$K$233,0))=MID(KO233,FIND("|",KO233)+1,10))*$D$30+MAX(0,IF($D$50=1,$D$29*(1-(ABS(INDEX($P$232:$P$233,MATCH(LEFT(KO233,FIND("·",KO233)-1),$K$232:$K$233,0))-(VALUE(MID(KO233,FIND("|",KO233)+1,FIND("-",KO233,FIND("|",KO233))-FIND("|",KO233)-1))-VALUE(MID(KO233,FIND("-",KO233,FIND("|",KO233))+1,10)))))*$D$50),$D$29*(1-(IF(INDEX($L$232:$L$233,MATCH(LEFT(KO233,FIND("·",KO233)-1),$K$232:$K$233,0))=0,ABS(INDEX($N$232:$N$233,MATCH(LEFT(KO233,FIND("·",KO233)-1),$K$232:$K$233,0))-VALUE(MID(KO233,FIND("|",KO233)+1,FIND("-",KO233,FIND("|",KO233))-FIND("|",KO233)-1))),ABS(INDEX($P$232:$P$233,MATCH(LEFT(KO233,FIND("·",KO233)-1),$K$232:$K$233,0))-(VALUE(MID(KO233,FIND("|",KO233)+1,FIND("-",KO233,FIND("|",KO233))-FIND("|",KO233)-1))-VALUE(MID(KO233,FIND("-",KO233,FIND("|",KO233))+1,10)))))*$D$50)))))*INDEX($I$232:$I$233,MATCH(LEFT(KO233,FIND("·",KO233)-1),$K$232:$K$233,0)),0),0),0)+IFERROR(IF(COUNTIF($C$232:$C$233,LEFT(KO233,FIND("·",KO233)-1))&gt;0,IF(INDEX($D$232:$D$233,MATCH(LEFT(KO233,FIND("·",KO233)-1),$C$232:$C$233,0))=IFERROR(VALUE(MID(KO233,FIND("·",KO233)+1,1)),0),($D$28+(INDEX($E$232:$E$233,MATCH(LEFT(KO233,FIND("·",KO233)-1),$C$232:$C$233,0))=MID(KO233,FIND("|",KO233)+1,10))*$D$30+MAX(0,IF($D$50=1,$D$29*(1-(ABS(INDEX($Q$232:$Q$233,MATCH(LEFT(KO233,FIND("·",KO233)-1),$C$232:$C$233,0))-(VALUE(MID(KO233,FIND("|",KO233)+1,FIND("-",KO233,FIND("|",KO233))-FIND("|",KO233)-1))-VALUE(MID(KO233,FIND("-",KO233,FIND("|",KO233))+1,10)))))*$D$50),$D$29*(1-(IF(INDEX($D$232:$D$233,MATCH(LEFT(KO233,FIND("·",KO233)-1),$C$232:$C$233,0))=0,ABS(INDEX($A$232:$A$233,MATCH(LEFT(KO233,FIND("·",KO233)-1),$C$232:$C$233,0))-VALUE(MID(KO233,FIND("|",KO233)+1,FIND("-",KO233,FIND("|",KO233))-FIND("|",KO233)-1))),ABS(INDEX($Q$232:$Q$233,MATCH(LEFT(KO233,FIND("·",KO233)-1),$C$232:$C$233,0))-(VALUE(MID(KO233,FIND("|",KO233)+1,FIND("-",KO233,FIND("|",KO233))-FIND("|",KO233)-1))-VALUE(MID(KO233,FIND("-",KO233,FIND("|",KO233))+1,10)))))*$D$50)))))*INDEX($I$232:$I$233,MATCH(LEFT(KO233,FIND("·",KO233)-1),$C$232:$C$233,0)),0),0),0)</f>
        <v>0</v>
      </c>
      <c r="KQ233" s="110"/>
      <c r="KR233" s="80"/>
      <c r="KS233" s="81">
        <f t="shared" ref="KS233" ca="1" si="3047">IFERROR(IF(COUNTIF($K$232:$K$233,LEFT(KR233,FIND("·",KR233)-1))&gt;0,IF(INDEX($L$232:$L$233,MATCH(LEFT(KR233,FIND("·",KR233)-1),$K$232:$K$233,0))=IFERROR(VALUE(MID(KR233,FIND("·",KR233)+1,1)),0),($D$28+(INDEX($M$232:$M$233,MATCH(LEFT(KR233,FIND("·",KR233)-1),$K$232:$K$233,0))=MID(KR233,FIND("|",KR233)+1,10))*$D$30+MAX(0,IF($D$50=1,$D$29*(1-(ABS(INDEX($P$232:$P$233,MATCH(LEFT(KR233,FIND("·",KR233)-1),$K$232:$K$233,0))-(VALUE(MID(KR233,FIND("|",KR233)+1,FIND("-",KR233,FIND("|",KR233))-FIND("|",KR233)-1))-VALUE(MID(KR233,FIND("-",KR233,FIND("|",KR233))+1,10)))))*$D$50),$D$29*(1-(IF(INDEX($L$232:$L$233,MATCH(LEFT(KR233,FIND("·",KR233)-1),$K$232:$K$233,0))=0,ABS(INDEX($N$232:$N$233,MATCH(LEFT(KR233,FIND("·",KR233)-1),$K$232:$K$233,0))-VALUE(MID(KR233,FIND("|",KR233)+1,FIND("-",KR233,FIND("|",KR233))-FIND("|",KR233)-1))),ABS(INDEX($P$232:$P$233,MATCH(LEFT(KR233,FIND("·",KR233)-1),$K$232:$K$233,0))-(VALUE(MID(KR233,FIND("|",KR233)+1,FIND("-",KR233,FIND("|",KR233))-FIND("|",KR233)-1))-VALUE(MID(KR233,FIND("-",KR233,FIND("|",KR233))+1,10)))))*$D$50)))))*INDEX($I$232:$I$233,MATCH(LEFT(KR233,FIND("·",KR233)-1),$K$232:$K$233,0)),0),0),0)+IFERROR(IF(COUNTIF($C$232:$C$233,LEFT(KR233,FIND("·",KR233)-1))&gt;0,IF(INDEX($D$232:$D$233,MATCH(LEFT(KR233,FIND("·",KR233)-1),$C$232:$C$233,0))=IFERROR(VALUE(MID(KR233,FIND("·",KR233)+1,1)),0),($D$28+(INDEX($E$232:$E$233,MATCH(LEFT(KR233,FIND("·",KR233)-1),$C$232:$C$233,0))=MID(KR233,FIND("|",KR233)+1,10))*$D$30+MAX(0,IF($D$50=1,$D$29*(1-(ABS(INDEX($Q$232:$Q$233,MATCH(LEFT(KR233,FIND("·",KR233)-1),$C$232:$C$233,0))-(VALUE(MID(KR233,FIND("|",KR233)+1,FIND("-",KR233,FIND("|",KR233))-FIND("|",KR233)-1))-VALUE(MID(KR233,FIND("-",KR233,FIND("|",KR233))+1,10)))))*$D$50),$D$29*(1-(IF(INDEX($D$232:$D$233,MATCH(LEFT(KR233,FIND("·",KR233)-1),$C$232:$C$233,0))=0,ABS(INDEX($A$232:$A$233,MATCH(LEFT(KR233,FIND("·",KR233)-1),$C$232:$C$233,0))-VALUE(MID(KR233,FIND("|",KR233)+1,FIND("-",KR233,FIND("|",KR233))-FIND("|",KR233)-1))),ABS(INDEX($Q$232:$Q$233,MATCH(LEFT(KR233,FIND("·",KR233)-1),$C$232:$C$233,0))-(VALUE(MID(KR233,FIND("|",KR233)+1,FIND("-",KR233,FIND("|",KR233))-FIND("|",KR233)-1))-VALUE(MID(KR233,FIND("-",KR233,FIND("|",KR233))+1,10)))))*$D$50)))))*INDEX($I$232:$I$233,MATCH(LEFT(KR233,FIND("·",KR233)-1),$C$232:$C$233,0)),0),0),0)</f>
        <v>0</v>
      </c>
      <c r="KT233" s="110"/>
      <c r="KU233" s="80"/>
      <c r="KV233" s="81">
        <f t="shared" ref="KV233" ca="1" si="3048">IFERROR(IF(COUNTIF($K$232:$K$233,LEFT(KU233,FIND("·",KU233)-1))&gt;0,IF(INDEX($L$232:$L$233,MATCH(LEFT(KU233,FIND("·",KU233)-1),$K$232:$K$233,0))=IFERROR(VALUE(MID(KU233,FIND("·",KU233)+1,1)),0),($D$28+(INDEX($M$232:$M$233,MATCH(LEFT(KU233,FIND("·",KU233)-1),$K$232:$K$233,0))=MID(KU233,FIND("|",KU233)+1,10))*$D$30+MAX(0,IF($D$50=1,$D$29*(1-(ABS(INDEX($P$232:$P$233,MATCH(LEFT(KU233,FIND("·",KU233)-1),$K$232:$K$233,0))-(VALUE(MID(KU233,FIND("|",KU233)+1,FIND("-",KU233,FIND("|",KU233))-FIND("|",KU233)-1))-VALUE(MID(KU233,FIND("-",KU233,FIND("|",KU233))+1,10)))))*$D$50),$D$29*(1-(IF(INDEX($L$232:$L$233,MATCH(LEFT(KU233,FIND("·",KU233)-1),$K$232:$K$233,0))=0,ABS(INDEX($N$232:$N$233,MATCH(LEFT(KU233,FIND("·",KU233)-1),$K$232:$K$233,0))-VALUE(MID(KU233,FIND("|",KU233)+1,FIND("-",KU233,FIND("|",KU233))-FIND("|",KU233)-1))),ABS(INDEX($P$232:$P$233,MATCH(LEFT(KU233,FIND("·",KU233)-1),$K$232:$K$233,0))-(VALUE(MID(KU233,FIND("|",KU233)+1,FIND("-",KU233,FIND("|",KU233))-FIND("|",KU233)-1))-VALUE(MID(KU233,FIND("-",KU233,FIND("|",KU233))+1,10)))))*$D$50)))))*INDEX($I$232:$I$233,MATCH(LEFT(KU233,FIND("·",KU233)-1),$K$232:$K$233,0)),0),0),0)+IFERROR(IF(COUNTIF($C$232:$C$233,LEFT(KU233,FIND("·",KU233)-1))&gt;0,IF(INDEX($D$232:$D$233,MATCH(LEFT(KU233,FIND("·",KU233)-1),$C$232:$C$233,0))=IFERROR(VALUE(MID(KU233,FIND("·",KU233)+1,1)),0),($D$28+(INDEX($E$232:$E$233,MATCH(LEFT(KU233,FIND("·",KU233)-1),$C$232:$C$233,0))=MID(KU233,FIND("|",KU233)+1,10))*$D$30+MAX(0,IF($D$50=1,$D$29*(1-(ABS(INDEX($Q$232:$Q$233,MATCH(LEFT(KU233,FIND("·",KU233)-1),$C$232:$C$233,0))-(VALUE(MID(KU233,FIND("|",KU233)+1,FIND("-",KU233,FIND("|",KU233))-FIND("|",KU233)-1))-VALUE(MID(KU233,FIND("-",KU233,FIND("|",KU233))+1,10)))))*$D$50),$D$29*(1-(IF(INDEX($D$232:$D$233,MATCH(LEFT(KU233,FIND("·",KU233)-1),$C$232:$C$233,0))=0,ABS(INDEX($A$232:$A$233,MATCH(LEFT(KU233,FIND("·",KU233)-1),$C$232:$C$233,0))-VALUE(MID(KU233,FIND("|",KU233)+1,FIND("-",KU233,FIND("|",KU233))-FIND("|",KU233)-1))),ABS(INDEX($Q$232:$Q$233,MATCH(LEFT(KU233,FIND("·",KU233)-1),$C$232:$C$233,0))-(VALUE(MID(KU233,FIND("|",KU233)+1,FIND("-",KU233,FIND("|",KU233))-FIND("|",KU233)-1))-VALUE(MID(KU233,FIND("-",KU233,FIND("|",KU233))+1,10)))))*$D$50)))))*INDEX($I$232:$I$233,MATCH(LEFT(KU233,FIND("·",KU233)-1),$C$232:$C$233,0)),0),0),0)</f>
        <v>0</v>
      </c>
      <c r="KW233" s="110"/>
      <c r="KX233" s="80"/>
      <c r="KY233" s="81">
        <f t="shared" ref="KY233" ca="1" si="3049">IFERROR(IF(COUNTIF($K$232:$K$233,LEFT(KX233,FIND("·",KX233)-1))&gt;0,IF(INDEX($L$232:$L$233,MATCH(LEFT(KX233,FIND("·",KX233)-1),$K$232:$K$233,0))=IFERROR(VALUE(MID(KX233,FIND("·",KX233)+1,1)),0),($D$28+(INDEX($M$232:$M$233,MATCH(LEFT(KX233,FIND("·",KX233)-1),$K$232:$K$233,0))=MID(KX233,FIND("|",KX233)+1,10))*$D$30+MAX(0,IF($D$50=1,$D$29*(1-(ABS(INDEX($P$232:$P$233,MATCH(LEFT(KX233,FIND("·",KX233)-1),$K$232:$K$233,0))-(VALUE(MID(KX233,FIND("|",KX233)+1,FIND("-",KX233,FIND("|",KX233))-FIND("|",KX233)-1))-VALUE(MID(KX233,FIND("-",KX233,FIND("|",KX233))+1,10)))))*$D$50),$D$29*(1-(IF(INDEX($L$232:$L$233,MATCH(LEFT(KX233,FIND("·",KX233)-1),$K$232:$K$233,0))=0,ABS(INDEX($N$232:$N$233,MATCH(LEFT(KX233,FIND("·",KX233)-1),$K$232:$K$233,0))-VALUE(MID(KX233,FIND("|",KX233)+1,FIND("-",KX233,FIND("|",KX233))-FIND("|",KX233)-1))),ABS(INDEX($P$232:$P$233,MATCH(LEFT(KX233,FIND("·",KX233)-1),$K$232:$K$233,0))-(VALUE(MID(KX233,FIND("|",KX233)+1,FIND("-",KX233,FIND("|",KX233))-FIND("|",KX233)-1))-VALUE(MID(KX233,FIND("-",KX233,FIND("|",KX233))+1,10)))))*$D$50)))))*INDEX($I$232:$I$233,MATCH(LEFT(KX233,FIND("·",KX233)-1),$K$232:$K$233,0)),0),0),0)+IFERROR(IF(COUNTIF($C$232:$C$233,LEFT(KX233,FIND("·",KX233)-1))&gt;0,IF(INDEX($D$232:$D$233,MATCH(LEFT(KX233,FIND("·",KX233)-1),$C$232:$C$233,0))=IFERROR(VALUE(MID(KX233,FIND("·",KX233)+1,1)),0),($D$28+(INDEX($E$232:$E$233,MATCH(LEFT(KX233,FIND("·",KX233)-1),$C$232:$C$233,0))=MID(KX233,FIND("|",KX233)+1,10))*$D$30+MAX(0,IF($D$50=1,$D$29*(1-(ABS(INDEX($Q$232:$Q$233,MATCH(LEFT(KX233,FIND("·",KX233)-1),$C$232:$C$233,0))-(VALUE(MID(KX233,FIND("|",KX233)+1,FIND("-",KX233,FIND("|",KX233))-FIND("|",KX233)-1))-VALUE(MID(KX233,FIND("-",KX233,FIND("|",KX233))+1,10)))))*$D$50),$D$29*(1-(IF(INDEX($D$232:$D$233,MATCH(LEFT(KX233,FIND("·",KX233)-1),$C$232:$C$233,0))=0,ABS(INDEX($A$232:$A$233,MATCH(LEFT(KX233,FIND("·",KX233)-1),$C$232:$C$233,0))-VALUE(MID(KX233,FIND("|",KX233)+1,FIND("-",KX233,FIND("|",KX233))-FIND("|",KX233)-1))),ABS(INDEX($Q$232:$Q$233,MATCH(LEFT(KX233,FIND("·",KX233)-1),$C$232:$C$233,0))-(VALUE(MID(KX233,FIND("|",KX233)+1,FIND("-",KX233,FIND("|",KX233))-FIND("|",KX233)-1))-VALUE(MID(KX233,FIND("-",KX233,FIND("|",KX233))+1,10)))))*$D$50)))))*INDEX($I$232:$I$233,MATCH(LEFT(KX233,FIND("·",KX233)-1),$C$232:$C$233,0)),0),0),0)</f>
        <v>0</v>
      </c>
      <c r="KZ233" s="110"/>
      <c r="LA233" s="80"/>
      <c r="LB233" s="81">
        <f t="shared" ref="LB233" ca="1" si="3050">IFERROR(IF(COUNTIF($K$232:$K$233,LEFT(LA233,FIND("·",LA233)-1))&gt;0,IF(INDEX($L$232:$L$233,MATCH(LEFT(LA233,FIND("·",LA233)-1),$K$232:$K$233,0))=IFERROR(VALUE(MID(LA233,FIND("·",LA233)+1,1)),0),($D$28+(INDEX($M$232:$M$233,MATCH(LEFT(LA233,FIND("·",LA233)-1),$K$232:$K$233,0))=MID(LA233,FIND("|",LA233)+1,10))*$D$30+MAX(0,IF($D$50=1,$D$29*(1-(ABS(INDEX($P$232:$P$233,MATCH(LEFT(LA233,FIND("·",LA233)-1),$K$232:$K$233,0))-(VALUE(MID(LA233,FIND("|",LA233)+1,FIND("-",LA233,FIND("|",LA233))-FIND("|",LA233)-1))-VALUE(MID(LA233,FIND("-",LA233,FIND("|",LA233))+1,10)))))*$D$50),$D$29*(1-(IF(INDEX($L$232:$L$233,MATCH(LEFT(LA233,FIND("·",LA233)-1),$K$232:$K$233,0))=0,ABS(INDEX($N$232:$N$233,MATCH(LEFT(LA233,FIND("·",LA233)-1),$K$232:$K$233,0))-VALUE(MID(LA233,FIND("|",LA233)+1,FIND("-",LA233,FIND("|",LA233))-FIND("|",LA233)-1))),ABS(INDEX($P$232:$P$233,MATCH(LEFT(LA233,FIND("·",LA233)-1),$K$232:$K$233,0))-(VALUE(MID(LA233,FIND("|",LA233)+1,FIND("-",LA233,FIND("|",LA233))-FIND("|",LA233)-1))-VALUE(MID(LA233,FIND("-",LA233,FIND("|",LA233))+1,10)))))*$D$50)))))*INDEX($I$232:$I$233,MATCH(LEFT(LA233,FIND("·",LA233)-1),$K$232:$K$233,0)),0),0),0)+IFERROR(IF(COUNTIF($C$232:$C$233,LEFT(LA233,FIND("·",LA233)-1))&gt;0,IF(INDEX($D$232:$D$233,MATCH(LEFT(LA233,FIND("·",LA233)-1),$C$232:$C$233,0))=IFERROR(VALUE(MID(LA233,FIND("·",LA233)+1,1)),0),($D$28+(INDEX($E$232:$E$233,MATCH(LEFT(LA233,FIND("·",LA233)-1),$C$232:$C$233,0))=MID(LA233,FIND("|",LA233)+1,10))*$D$30+MAX(0,IF($D$50=1,$D$29*(1-(ABS(INDEX($Q$232:$Q$233,MATCH(LEFT(LA233,FIND("·",LA233)-1),$C$232:$C$233,0))-(VALUE(MID(LA233,FIND("|",LA233)+1,FIND("-",LA233,FIND("|",LA233))-FIND("|",LA233)-1))-VALUE(MID(LA233,FIND("-",LA233,FIND("|",LA233))+1,10)))))*$D$50),$D$29*(1-(IF(INDEX($D$232:$D$233,MATCH(LEFT(LA233,FIND("·",LA233)-1),$C$232:$C$233,0))=0,ABS(INDEX($A$232:$A$233,MATCH(LEFT(LA233,FIND("·",LA233)-1),$C$232:$C$233,0))-VALUE(MID(LA233,FIND("|",LA233)+1,FIND("-",LA233,FIND("|",LA233))-FIND("|",LA233)-1))),ABS(INDEX($Q$232:$Q$233,MATCH(LEFT(LA233,FIND("·",LA233)-1),$C$232:$C$233,0))-(VALUE(MID(LA233,FIND("|",LA233)+1,FIND("-",LA233,FIND("|",LA233))-FIND("|",LA233)-1))-VALUE(MID(LA233,FIND("-",LA233,FIND("|",LA233))+1,10)))))*$D$50)))))*INDEX($I$232:$I$233,MATCH(LEFT(LA233,FIND("·",LA233)-1),$C$232:$C$233,0)),0),0),0)</f>
        <v>0</v>
      </c>
      <c r="LC233" s="110"/>
      <c r="LD233" s="80"/>
      <c r="LE233" s="81">
        <f t="shared" ref="LE233" ca="1" si="3051">IFERROR(IF(COUNTIF($K$232:$K$233,LEFT(LD233,FIND("·",LD233)-1))&gt;0,IF(INDEX($L$232:$L$233,MATCH(LEFT(LD233,FIND("·",LD233)-1),$K$232:$K$233,0))=IFERROR(VALUE(MID(LD233,FIND("·",LD233)+1,1)),0),($D$28+(INDEX($M$232:$M$233,MATCH(LEFT(LD233,FIND("·",LD233)-1),$K$232:$K$233,0))=MID(LD233,FIND("|",LD233)+1,10))*$D$30+MAX(0,IF($D$50=1,$D$29*(1-(ABS(INDEX($P$232:$P$233,MATCH(LEFT(LD233,FIND("·",LD233)-1),$K$232:$K$233,0))-(VALUE(MID(LD233,FIND("|",LD233)+1,FIND("-",LD233,FIND("|",LD233))-FIND("|",LD233)-1))-VALUE(MID(LD233,FIND("-",LD233,FIND("|",LD233))+1,10)))))*$D$50),$D$29*(1-(IF(INDEX($L$232:$L$233,MATCH(LEFT(LD233,FIND("·",LD233)-1),$K$232:$K$233,0))=0,ABS(INDEX($N$232:$N$233,MATCH(LEFT(LD233,FIND("·",LD233)-1),$K$232:$K$233,0))-VALUE(MID(LD233,FIND("|",LD233)+1,FIND("-",LD233,FIND("|",LD233))-FIND("|",LD233)-1))),ABS(INDEX($P$232:$P$233,MATCH(LEFT(LD233,FIND("·",LD233)-1),$K$232:$K$233,0))-(VALUE(MID(LD233,FIND("|",LD233)+1,FIND("-",LD233,FIND("|",LD233))-FIND("|",LD233)-1))-VALUE(MID(LD233,FIND("-",LD233,FIND("|",LD233))+1,10)))))*$D$50)))))*INDEX($I$232:$I$233,MATCH(LEFT(LD233,FIND("·",LD233)-1),$K$232:$K$233,0)),0),0),0)+IFERROR(IF(COUNTIF($C$232:$C$233,LEFT(LD233,FIND("·",LD233)-1))&gt;0,IF(INDEX($D$232:$D$233,MATCH(LEFT(LD233,FIND("·",LD233)-1),$C$232:$C$233,0))=IFERROR(VALUE(MID(LD233,FIND("·",LD233)+1,1)),0),($D$28+(INDEX($E$232:$E$233,MATCH(LEFT(LD233,FIND("·",LD233)-1),$C$232:$C$233,0))=MID(LD233,FIND("|",LD233)+1,10))*$D$30+MAX(0,IF($D$50=1,$D$29*(1-(ABS(INDEX($Q$232:$Q$233,MATCH(LEFT(LD233,FIND("·",LD233)-1),$C$232:$C$233,0))-(VALUE(MID(LD233,FIND("|",LD233)+1,FIND("-",LD233,FIND("|",LD233))-FIND("|",LD233)-1))-VALUE(MID(LD233,FIND("-",LD233,FIND("|",LD233))+1,10)))))*$D$50),$D$29*(1-(IF(INDEX($D$232:$D$233,MATCH(LEFT(LD233,FIND("·",LD233)-1),$C$232:$C$233,0))=0,ABS(INDEX($A$232:$A$233,MATCH(LEFT(LD233,FIND("·",LD233)-1),$C$232:$C$233,0))-VALUE(MID(LD233,FIND("|",LD233)+1,FIND("-",LD233,FIND("|",LD233))-FIND("|",LD233)-1))),ABS(INDEX($Q$232:$Q$233,MATCH(LEFT(LD233,FIND("·",LD233)-1),$C$232:$C$233,0))-(VALUE(MID(LD233,FIND("|",LD233)+1,FIND("-",LD233,FIND("|",LD233))-FIND("|",LD233)-1))-VALUE(MID(LD233,FIND("-",LD233,FIND("|",LD233))+1,10)))))*$D$50)))))*INDEX($I$232:$I$233,MATCH(LEFT(LD233,FIND("·",LD233)-1),$C$232:$C$233,0)),0),0),0)</f>
        <v>0</v>
      </c>
      <c r="LF233" s="110"/>
      <c r="LG233" s="110"/>
    </row>
    <row r="234" spans="1:319">
      <c r="A234" s="25"/>
      <c r="B234" s="25"/>
      <c r="C234" s="25"/>
      <c r="D234" s="25"/>
      <c r="E234" s="25"/>
      <c r="F234" s="407"/>
      <c r="G234" s="407"/>
      <c r="H234" s="65"/>
      <c r="I234" s="50"/>
      <c r="J234" s="94"/>
      <c r="K234" s="434" t="str">
        <f>Idiomas!D464</f>
        <v>SF Match-ups</v>
      </c>
      <c r="L234" s="435"/>
      <c r="M234" s="434" t="str">
        <f>"Max: "&amp;SUM($D$28:$D$30)*SUM($I$232:$I$233)</f>
        <v>Max: 40</v>
      </c>
      <c r="N234" s="25"/>
      <c r="O234" s="25"/>
      <c r="P234" s="25"/>
      <c r="Q234" s="25"/>
      <c r="R234" s="17"/>
      <c r="S234" s="84"/>
      <c r="T234" s="71">
        <f ca="1">SUM(T232:T233)</f>
        <v>0</v>
      </c>
      <c r="U234" s="49"/>
      <c r="V234" s="84"/>
      <c r="W234" s="71">
        <f t="shared" ref="W234" ca="1" si="3052">SUM(W232:W233)</f>
        <v>0</v>
      </c>
      <c r="X234" s="49"/>
      <c r="Y234" s="84"/>
      <c r="Z234" s="71">
        <f t="shared" ref="Z234" ca="1" si="3053">SUM(Z232:Z233)</f>
        <v>0</v>
      </c>
      <c r="AA234" s="49"/>
      <c r="AB234" s="84"/>
      <c r="AC234" s="71">
        <f t="shared" ref="AC234" ca="1" si="3054">SUM(AC232:AC233)</f>
        <v>0</v>
      </c>
      <c r="AD234" s="111"/>
      <c r="AE234" s="84"/>
      <c r="AF234" s="71">
        <f t="shared" ref="AF234" ca="1" si="3055">SUM(AF232:AF233)</f>
        <v>0</v>
      </c>
      <c r="AG234" s="49"/>
      <c r="AH234" s="84"/>
      <c r="AI234" s="71">
        <f t="shared" ref="AI234" ca="1" si="3056">SUM(AI232:AI233)</f>
        <v>0</v>
      </c>
      <c r="AJ234" s="49"/>
      <c r="AK234" s="84"/>
      <c r="AL234" s="71">
        <f t="shared" ref="AL234" ca="1" si="3057">SUM(AL232:AL233)</f>
        <v>0</v>
      </c>
      <c r="AM234" s="49"/>
      <c r="AN234" s="84"/>
      <c r="AO234" s="71">
        <f t="shared" ref="AO234" ca="1" si="3058">SUM(AO232:AO233)</f>
        <v>0</v>
      </c>
      <c r="AP234" s="49"/>
      <c r="AQ234" s="84"/>
      <c r="AR234" s="71">
        <f t="shared" ref="AR234" ca="1" si="3059">SUM(AR232:AR233)</f>
        <v>0</v>
      </c>
      <c r="AS234" s="49"/>
      <c r="AT234" s="84"/>
      <c r="AU234" s="71">
        <f t="shared" ref="AU234" ca="1" si="3060">SUM(AU232:AU233)</f>
        <v>0</v>
      </c>
      <c r="AV234" s="49"/>
      <c r="AW234" s="84"/>
      <c r="AX234" s="71">
        <f t="shared" ref="AX234" ca="1" si="3061">SUM(AX232:AX233)</f>
        <v>0</v>
      </c>
      <c r="AY234" s="49"/>
      <c r="AZ234" s="84"/>
      <c r="BA234" s="71">
        <f t="shared" ref="BA234" ca="1" si="3062">SUM(BA232:BA233)</f>
        <v>10</v>
      </c>
      <c r="BB234" s="49"/>
      <c r="BC234" s="84"/>
      <c r="BD234" s="71">
        <f t="shared" ref="BD234" ca="1" si="3063">SUM(BD232:BD233)</f>
        <v>10</v>
      </c>
      <c r="BE234" s="49"/>
      <c r="BF234" s="84"/>
      <c r="BG234" s="71">
        <f t="shared" ref="BG234" ca="1" si="3064">SUM(BG232:BG233)</f>
        <v>0</v>
      </c>
      <c r="BH234" s="49"/>
      <c r="BI234" s="84"/>
      <c r="BJ234" s="71">
        <f t="shared" ref="BJ234" ca="1" si="3065">SUM(BJ232:BJ233)</f>
        <v>0</v>
      </c>
      <c r="BK234" s="49"/>
      <c r="BL234" s="84"/>
      <c r="BM234" s="71">
        <f t="shared" ref="BM234" ca="1" si="3066">SUM(BM232:BM233)</f>
        <v>30</v>
      </c>
      <c r="BN234" s="49"/>
      <c r="BO234" s="84"/>
      <c r="BP234" s="71">
        <f t="shared" ref="BP234" ca="1" si="3067">SUM(BP232:BP233)</f>
        <v>10</v>
      </c>
      <c r="BQ234" s="49"/>
      <c r="BR234" s="84"/>
      <c r="BS234" s="71">
        <f t="shared" ref="BS234" ca="1" si="3068">SUM(BS232:BS233)</f>
        <v>0</v>
      </c>
      <c r="BT234" s="49"/>
      <c r="BU234" s="84"/>
      <c r="BV234" s="71">
        <f t="shared" ref="BV234" ca="1" si="3069">SUM(BV232:BV233)</f>
        <v>0</v>
      </c>
      <c r="BW234" s="49"/>
      <c r="BX234" s="84"/>
      <c r="BY234" s="71">
        <f t="shared" ref="BY234" ca="1" si="3070">SUM(BY232:BY233)</f>
        <v>0</v>
      </c>
      <c r="BZ234" s="49"/>
      <c r="CA234" s="84"/>
      <c r="CB234" s="71">
        <f t="shared" ref="CB234" ca="1" si="3071">SUM(CB232:CB233)</f>
        <v>10</v>
      </c>
      <c r="CC234" s="49"/>
      <c r="CD234" s="84"/>
      <c r="CE234" s="71">
        <f t="shared" ref="CE234" ca="1" si="3072">SUM(CE232:CE233)</f>
        <v>0</v>
      </c>
      <c r="CF234" s="49"/>
      <c r="CG234" s="84"/>
      <c r="CH234" s="71">
        <f t="shared" ref="CH234" ca="1" si="3073">SUM(CH232:CH233)</f>
        <v>0</v>
      </c>
      <c r="CI234" s="49"/>
      <c r="CJ234" s="84"/>
      <c r="CK234" s="71">
        <f t="shared" ref="CK234" ca="1" si="3074">SUM(CK232:CK233)</f>
        <v>0</v>
      </c>
      <c r="CL234" s="49"/>
      <c r="CM234" s="84"/>
      <c r="CN234" s="71">
        <f t="shared" ref="CN234" ca="1" si="3075">SUM(CN232:CN233)</f>
        <v>0</v>
      </c>
      <c r="CO234" s="49"/>
      <c r="CP234" s="84"/>
      <c r="CQ234" s="71">
        <f t="shared" ref="CQ234" ca="1" si="3076">SUM(CQ232:CQ233)</f>
        <v>0</v>
      </c>
      <c r="CR234" s="49"/>
      <c r="CS234" s="84"/>
      <c r="CT234" s="71">
        <f t="shared" ref="CT234" ca="1" si="3077">SUM(CT232:CT233)</f>
        <v>0</v>
      </c>
      <c r="CU234" s="49"/>
      <c r="CV234" s="84"/>
      <c r="CW234" s="71">
        <f t="shared" ref="CW234" ca="1" si="3078">SUM(CW232:CW233)</f>
        <v>0</v>
      </c>
      <c r="CX234" s="49"/>
      <c r="CY234" s="84"/>
      <c r="CZ234" s="71">
        <f t="shared" ref="CZ234" ca="1" si="3079">SUM(CZ232:CZ233)</f>
        <v>0</v>
      </c>
      <c r="DA234" s="49"/>
      <c r="DB234" s="84"/>
      <c r="DC234" s="71">
        <f t="shared" ref="DC234" ca="1" si="3080">SUM(DC232:DC233)</f>
        <v>10</v>
      </c>
      <c r="DD234" s="49"/>
      <c r="DE234" s="84"/>
      <c r="DF234" s="71">
        <f t="shared" ref="DF234" ca="1" si="3081">SUM(DF232:DF233)</f>
        <v>0</v>
      </c>
      <c r="DG234" s="49"/>
      <c r="DH234" s="84"/>
      <c r="DI234" s="71">
        <f t="shared" ref="DI234" ca="1" si="3082">SUM(DI232:DI233)</f>
        <v>0</v>
      </c>
      <c r="DJ234" s="49"/>
      <c r="DK234" s="84"/>
      <c r="DL234" s="71">
        <f t="shared" ref="DL234" ca="1" si="3083">SUM(DL232:DL233)</f>
        <v>10</v>
      </c>
      <c r="DM234" s="49"/>
      <c r="DN234" s="84"/>
      <c r="DO234" s="71">
        <f t="shared" ref="DO234" ca="1" si="3084">SUM(DO232:DO233)</f>
        <v>12</v>
      </c>
      <c r="DP234" s="49"/>
      <c r="DQ234" s="84"/>
      <c r="DR234" s="71">
        <f t="shared" ref="DR234" ca="1" si="3085">SUM(DR232:DR233)</f>
        <v>0</v>
      </c>
      <c r="DS234" s="49"/>
      <c r="DT234" s="84"/>
      <c r="DU234" s="71">
        <f t="shared" ref="DU234" ca="1" si="3086">SUM(DU232:DU233)</f>
        <v>0</v>
      </c>
      <c r="DV234" s="49"/>
      <c r="DW234" s="84"/>
      <c r="DX234" s="71">
        <f t="shared" ref="DX234" ca="1" si="3087">SUM(DX232:DX233)</f>
        <v>10</v>
      </c>
      <c r="DY234" s="49"/>
      <c r="DZ234" s="84"/>
      <c r="EA234" s="71">
        <f t="shared" ref="EA234" ca="1" si="3088">SUM(EA232:EA233)</f>
        <v>0</v>
      </c>
      <c r="EB234" s="49"/>
      <c r="EC234" s="84"/>
      <c r="ED234" s="71">
        <f t="shared" ref="ED234" ca="1" si="3089">SUM(ED232:ED233)</f>
        <v>0</v>
      </c>
      <c r="EE234" s="49"/>
      <c r="EF234" s="84"/>
      <c r="EG234" s="71">
        <f t="shared" ref="EG234" ca="1" si="3090">SUM(EG232:EG233)</f>
        <v>0</v>
      </c>
      <c r="EH234" s="49"/>
      <c r="EI234" s="84"/>
      <c r="EJ234" s="71">
        <f t="shared" ref="EJ234" ca="1" si="3091">SUM(EJ232:EJ233)</f>
        <v>10</v>
      </c>
      <c r="EK234" s="49"/>
      <c r="EL234" s="84"/>
      <c r="EM234" s="71">
        <f t="shared" ref="EM234" ca="1" si="3092">SUM(EM232:EM233)</f>
        <v>10</v>
      </c>
      <c r="EN234" s="49"/>
      <c r="EO234" s="84"/>
      <c r="EP234" s="71">
        <f t="shared" ref="EP234" ca="1" si="3093">SUM(EP232:EP233)</f>
        <v>0</v>
      </c>
      <c r="EQ234" s="49"/>
      <c r="ER234" s="84"/>
      <c r="ES234" s="71">
        <f t="shared" ref="ES234" ca="1" si="3094">SUM(ES232:ES233)</f>
        <v>10</v>
      </c>
      <c r="ET234" s="49"/>
      <c r="EU234" s="84"/>
      <c r="EV234" s="71">
        <f t="shared" ref="EV234" ca="1" si="3095">SUM(EV232:EV233)</f>
        <v>0</v>
      </c>
      <c r="EW234" s="49"/>
      <c r="EX234" s="84"/>
      <c r="EY234" s="71">
        <f t="shared" ref="EY234" ca="1" si="3096">SUM(EY232:EY233)</f>
        <v>0</v>
      </c>
      <c r="EZ234" s="49"/>
      <c r="FA234" s="84"/>
      <c r="FB234" s="71">
        <f t="shared" ref="FB234" ca="1" si="3097">SUM(FB232:FB233)</f>
        <v>0</v>
      </c>
      <c r="FC234" s="49"/>
      <c r="FD234" s="84"/>
      <c r="FE234" s="71">
        <f t="shared" ref="FE234" ca="1" si="3098">SUM(FE232:FE233)</f>
        <v>0</v>
      </c>
      <c r="FF234" s="49"/>
      <c r="FG234" s="84"/>
      <c r="FH234" s="71">
        <f t="shared" ref="FH234" ca="1" si="3099">SUM(FH232:FH233)</f>
        <v>0</v>
      </c>
      <c r="FI234" s="49"/>
      <c r="FJ234" s="84"/>
      <c r="FK234" s="71">
        <f t="shared" ref="FK234" ca="1" si="3100">SUM(FK232:FK233)</f>
        <v>10</v>
      </c>
      <c r="FL234" s="49"/>
      <c r="FM234" s="84"/>
      <c r="FN234" s="71">
        <f t="shared" ref="FN234" ca="1" si="3101">SUM(FN232:FN233)</f>
        <v>0</v>
      </c>
      <c r="FO234" s="49"/>
      <c r="FP234" s="84"/>
      <c r="FQ234" s="71">
        <f t="shared" ref="FQ234" ca="1" si="3102">SUM(FQ232:FQ233)</f>
        <v>0</v>
      </c>
      <c r="FR234" s="49"/>
      <c r="FS234" s="84"/>
      <c r="FT234" s="71">
        <f t="shared" ref="FT234" ca="1" si="3103">SUM(FT232:FT233)</f>
        <v>0</v>
      </c>
      <c r="FU234" s="49"/>
      <c r="FV234" s="84"/>
      <c r="FW234" s="71">
        <f t="shared" ref="FW234" ca="1" si="3104">SUM(FW232:FW233)</f>
        <v>20</v>
      </c>
      <c r="FX234" s="49"/>
      <c r="FY234" s="84"/>
      <c r="FZ234" s="71">
        <f t="shared" ref="FZ234" ca="1" si="3105">SUM(FZ232:FZ233)</f>
        <v>12</v>
      </c>
      <c r="GA234" s="49"/>
      <c r="GB234" s="84"/>
      <c r="GC234" s="71">
        <f t="shared" ref="GC234" ca="1" si="3106">SUM(GC232:GC233)</f>
        <v>10</v>
      </c>
      <c r="GD234" s="49"/>
      <c r="GE234" s="84"/>
      <c r="GF234" s="71">
        <f t="shared" ref="GF234" ca="1" si="3107">SUM(GF232:GF233)</f>
        <v>20</v>
      </c>
      <c r="GG234" s="49"/>
      <c r="GH234" s="84"/>
      <c r="GI234" s="71">
        <f t="shared" ref="GI234" ca="1" si="3108">SUM(GI232:GI233)</f>
        <v>0</v>
      </c>
      <c r="GJ234" s="49"/>
      <c r="GK234" s="84"/>
      <c r="GL234" s="71">
        <f t="shared" ref="GL234" ca="1" si="3109">SUM(GL232:GL233)</f>
        <v>0</v>
      </c>
      <c r="GM234" s="49"/>
      <c r="GN234" s="84"/>
      <c r="GO234" s="71">
        <f t="shared" ref="GO234" ca="1" si="3110">SUM(GO232:GO233)</f>
        <v>0</v>
      </c>
      <c r="GP234" s="49"/>
      <c r="GQ234" s="84"/>
      <c r="GR234" s="71">
        <f t="shared" ref="GR234" ca="1" si="3111">SUM(GR232:GR233)</f>
        <v>0</v>
      </c>
      <c r="GS234" s="49"/>
      <c r="GT234" s="84"/>
      <c r="GU234" s="71">
        <f t="shared" ref="GU234" ca="1" si="3112">SUM(GU232:GU233)</f>
        <v>0</v>
      </c>
      <c r="GV234" s="49"/>
      <c r="GW234" s="84"/>
      <c r="GX234" s="71">
        <f t="shared" ref="GX234" ca="1" si="3113">SUM(GX232:GX233)</f>
        <v>0</v>
      </c>
      <c r="GY234" s="49"/>
      <c r="GZ234" s="84"/>
      <c r="HA234" s="71">
        <f t="shared" ref="HA234" ca="1" si="3114">SUM(HA232:HA233)</f>
        <v>0</v>
      </c>
      <c r="HB234" s="49"/>
      <c r="HC234" s="84"/>
      <c r="HD234" s="71">
        <f t="shared" ref="HD234" ca="1" si="3115">SUM(HD232:HD233)</f>
        <v>0</v>
      </c>
      <c r="HE234" s="49"/>
      <c r="HF234" s="84"/>
      <c r="HG234" s="71">
        <f t="shared" ref="HG234" ca="1" si="3116">SUM(HG232:HG233)</f>
        <v>0</v>
      </c>
      <c r="HH234" s="49"/>
      <c r="HI234" s="84"/>
      <c r="HJ234" s="71">
        <f t="shared" ref="HJ234" ca="1" si="3117">SUM(HJ232:HJ233)</f>
        <v>0</v>
      </c>
      <c r="HK234" s="49"/>
      <c r="HL234" s="84"/>
      <c r="HM234" s="71">
        <f t="shared" ref="HM234" ca="1" si="3118">SUM(HM232:HM233)</f>
        <v>0</v>
      </c>
      <c r="HN234" s="49"/>
      <c r="HO234" s="84"/>
      <c r="HP234" s="71">
        <f t="shared" ref="HP234" ca="1" si="3119">SUM(HP232:HP233)</f>
        <v>0</v>
      </c>
      <c r="HQ234" s="49"/>
      <c r="HR234" s="84"/>
      <c r="HS234" s="71">
        <f t="shared" ref="HS234" ca="1" si="3120">SUM(HS232:HS233)</f>
        <v>0</v>
      </c>
      <c r="HT234" s="49"/>
      <c r="HU234" s="84"/>
      <c r="HV234" s="71">
        <f t="shared" ref="HV234" ca="1" si="3121">SUM(HV232:HV233)</f>
        <v>0</v>
      </c>
      <c r="HW234" s="49"/>
      <c r="HX234" s="84"/>
      <c r="HY234" s="71">
        <f t="shared" ref="HY234" ca="1" si="3122">SUM(HY232:HY233)</f>
        <v>0</v>
      </c>
      <c r="HZ234" s="49"/>
      <c r="IA234" s="84"/>
      <c r="IB234" s="71">
        <f t="shared" ref="IB234" ca="1" si="3123">SUM(IB232:IB233)</f>
        <v>0</v>
      </c>
      <c r="IC234" s="49"/>
      <c r="ID234" s="84"/>
      <c r="IE234" s="71">
        <f t="shared" ref="IE234" ca="1" si="3124">SUM(IE232:IE233)</f>
        <v>0</v>
      </c>
      <c r="IF234" s="49"/>
      <c r="IG234" s="84"/>
      <c r="IH234" s="71">
        <f t="shared" ref="IH234" ca="1" si="3125">SUM(IH232:IH233)</f>
        <v>0</v>
      </c>
      <c r="II234" s="49"/>
      <c r="IJ234" s="84"/>
      <c r="IK234" s="71">
        <f t="shared" ref="IK234" ca="1" si="3126">SUM(IK232:IK233)</f>
        <v>0</v>
      </c>
      <c r="IL234" s="49"/>
      <c r="IM234" s="84"/>
      <c r="IN234" s="71">
        <f t="shared" ref="IN234" ca="1" si="3127">SUM(IN232:IN233)</f>
        <v>0</v>
      </c>
      <c r="IO234" s="49"/>
      <c r="IP234" s="84"/>
      <c r="IQ234" s="71">
        <f t="shared" ref="IQ234" ca="1" si="3128">SUM(IQ232:IQ233)</f>
        <v>0</v>
      </c>
      <c r="IR234" s="49"/>
      <c r="IS234" s="84"/>
      <c r="IT234" s="71">
        <f t="shared" ref="IT234" ca="1" si="3129">SUM(IT232:IT233)</f>
        <v>0</v>
      </c>
      <c r="IU234" s="49"/>
      <c r="IV234" s="84"/>
      <c r="IW234" s="71">
        <f t="shared" ref="IW234" ca="1" si="3130">SUM(IW232:IW233)</f>
        <v>0</v>
      </c>
      <c r="IX234" s="49"/>
      <c r="IY234" s="84"/>
      <c r="IZ234" s="71">
        <f t="shared" ref="IZ234" ca="1" si="3131">SUM(IZ232:IZ233)</f>
        <v>0</v>
      </c>
      <c r="JA234" s="49"/>
      <c r="JB234" s="84"/>
      <c r="JC234" s="71">
        <f t="shared" ref="JC234" ca="1" si="3132">SUM(JC232:JC233)</f>
        <v>0</v>
      </c>
      <c r="JD234" s="49"/>
      <c r="JE234" s="84"/>
      <c r="JF234" s="71">
        <f t="shared" ref="JF234" ca="1" si="3133">SUM(JF232:JF233)</f>
        <v>0</v>
      </c>
      <c r="JG234" s="49"/>
      <c r="JH234" s="84"/>
      <c r="JI234" s="71">
        <f t="shared" ref="JI234" ca="1" si="3134">SUM(JI232:JI233)</f>
        <v>0</v>
      </c>
      <c r="JJ234" s="49"/>
      <c r="JK234" s="84"/>
      <c r="JL234" s="71">
        <f t="shared" ref="JL234" ca="1" si="3135">SUM(JL232:JL233)</f>
        <v>0</v>
      </c>
      <c r="JM234" s="49"/>
      <c r="JN234" s="84"/>
      <c r="JO234" s="71">
        <f t="shared" ref="JO234" ca="1" si="3136">SUM(JO232:JO233)</f>
        <v>0</v>
      </c>
      <c r="JP234" s="49"/>
      <c r="JQ234" s="84"/>
      <c r="JR234" s="71">
        <f t="shared" ref="JR234" ca="1" si="3137">SUM(JR232:JR233)</f>
        <v>0</v>
      </c>
      <c r="JS234" s="49"/>
      <c r="JT234" s="84"/>
      <c r="JU234" s="71">
        <f t="shared" ref="JU234" ca="1" si="3138">SUM(JU232:JU233)</f>
        <v>0</v>
      </c>
      <c r="JV234" s="49"/>
      <c r="JW234" s="84"/>
      <c r="JX234" s="71">
        <f t="shared" ref="JX234" ca="1" si="3139">SUM(JX232:JX233)</f>
        <v>0</v>
      </c>
      <c r="JY234" s="49"/>
      <c r="JZ234" s="84"/>
      <c r="KA234" s="71">
        <f t="shared" ref="KA234" ca="1" si="3140">SUM(KA232:KA233)</f>
        <v>0</v>
      </c>
      <c r="KB234" s="49"/>
      <c r="KC234" s="84"/>
      <c r="KD234" s="71">
        <f t="shared" ref="KD234" ca="1" si="3141">SUM(KD232:KD233)</f>
        <v>0</v>
      </c>
      <c r="KE234" s="49"/>
      <c r="KF234" s="84"/>
      <c r="KG234" s="71">
        <f t="shared" ref="KG234" ca="1" si="3142">SUM(KG232:KG233)</f>
        <v>0</v>
      </c>
      <c r="KH234" s="49"/>
      <c r="KI234" s="84"/>
      <c r="KJ234" s="71">
        <f t="shared" ref="KJ234" ca="1" si="3143">SUM(KJ232:KJ233)</f>
        <v>0</v>
      </c>
      <c r="KK234" s="49"/>
      <c r="KL234" s="84"/>
      <c r="KM234" s="71">
        <f t="shared" ref="KM234" ca="1" si="3144">SUM(KM232:KM233)</f>
        <v>0</v>
      </c>
      <c r="KN234" s="49"/>
      <c r="KO234" s="84"/>
      <c r="KP234" s="71">
        <f t="shared" ref="KP234" ca="1" si="3145">SUM(KP232:KP233)</f>
        <v>0</v>
      </c>
      <c r="KQ234" s="49"/>
      <c r="KR234" s="84"/>
      <c r="KS234" s="71">
        <f t="shared" ref="KS234" ca="1" si="3146">SUM(KS232:KS233)</f>
        <v>0</v>
      </c>
      <c r="KT234" s="49"/>
      <c r="KU234" s="84"/>
      <c r="KV234" s="71">
        <f t="shared" ref="KV234" ca="1" si="3147">SUM(KV232:KV233)</f>
        <v>0</v>
      </c>
      <c r="KW234" s="49"/>
      <c r="KX234" s="84"/>
      <c r="KY234" s="71">
        <f t="shared" ref="KY234" ca="1" si="3148">SUM(KY232:KY233)</f>
        <v>0</v>
      </c>
      <c r="KZ234" s="49"/>
      <c r="LA234" s="84"/>
      <c r="LB234" s="71">
        <f t="shared" ref="LB234" ca="1" si="3149">SUM(LB232:LB233)</f>
        <v>0</v>
      </c>
      <c r="LC234" s="49"/>
      <c r="LD234" s="84"/>
      <c r="LE234" s="71">
        <f t="shared" ref="LE234" ca="1" si="3150">SUM(LE232:LE233)</f>
        <v>0</v>
      </c>
      <c r="LF234" s="49"/>
      <c r="LG234" s="49"/>
    </row>
    <row r="235" spans="1:319">
      <c r="A235" s="25"/>
      <c r="B235" s="25"/>
      <c r="C235" s="25"/>
      <c r="D235" s="25"/>
      <c r="E235" s="25"/>
      <c r="F235" s="407"/>
      <c r="G235" s="407"/>
      <c r="H235" s="65"/>
      <c r="I235" s="50"/>
      <c r="J235" s="94"/>
      <c r="K235" s="113" t="str">
        <f>Idiomas!D145</f>
        <v>QUALIFIED FOR 3rd-4th PLACE</v>
      </c>
      <c r="L235" s="50"/>
      <c r="M235" s="71"/>
      <c r="N235" s="25"/>
      <c r="O235" s="25"/>
      <c r="P235" s="25"/>
      <c r="Q235" s="25"/>
      <c r="R235" s="17"/>
      <c r="S235" s="84"/>
      <c r="T235" s="71"/>
      <c r="U235" s="49"/>
      <c r="V235" s="84"/>
      <c r="W235" s="71"/>
      <c r="X235" s="49"/>
      <c r="Y235" s="84"/>
      <c r="Z235" s="71"/>
      <c r="AA235" s="49"/>
      <c r="AB235" s="84"/>
      <c r="AC235" s="71"/>
      <c r="AD235" s="111"/>
      <c r="AE235" s="84"/>
      <c r="AF235" s="71"/>
      <c r="AG235" s="49"/>
      <c r="AH235" s="84"/>
      <c r="AI235" s="71"/>
      <c r="AJ235" s="49"/>
      <c r="AK235" s="84"/>
      <c r="AL235" s="71"/>
      <c r="AM235" s="49"/>
      <c r="AN235" s="84"/>
      <c r="AO235" s="71"/>
      <c r="AP235" s="49"/>
      <c r="AQ235" s="84"/>
      <c r="AR235" s="71"/>
      <c r="AS235" s="49"/>
      <c r="AT235" s="84"/>
      <c r="AU235" s="71"/>
      <c r="AV235" s="49"/>
      <c r="AW235" s="84"/>
      <c r="AX235" s="71"/>
      <c r="AY235" s="49"/>
      <c r="AZ235" s="84"/>
      <c r="BA235" s="71"/>
      <c r="BB235" s="49"/>
      <c r="BC235" s="84"/>
      <c r="BD235" s="71"/>
      <c r="BE235" s="49"/>
      <c r="BF235" s="84"/>
      <c r="BG235" s="71"/>
      <c r="BH235" s="49"/>
      <c r="BI235" s="84"/>
      <c r="BJ235" s="71"/>
      <c r="BK235" s="49"/>
      <c r="BL235" s="84"/>
      <c r="BM235" s="71"/>
      <c r="BN235" s="49"/>
      <c r="BO235" s="84"/>
      <c r="BP235" s="71"/>
      <c r="BQ235" s="49"/>
      <c r="BR235" s="84"/>
      <c r="BS235" s="71"/>
      <c r="BT235" s="49"/>
      <c r="BU235" s="84"/>
      <c r="BV235" s="71"/>
      <c r="BW235" s="49"/>
      <c r="BX235" s="84"/>
      <c r="BY235" s="71"/>
      <c r="BZ235" s="49"/>
      <c r="CA235" s="84"/>
      <c r="CB235" s="71"/>
      <c r="CC235" s="49"/>
      <c r="CD235" s="84"/>
      <c r="CE235" s="71"/>
      <c r="CF235" s="49"/>
      <c r="CG235" s="84"/>
      <c r="CH235" s="71"/>
      <c r="CI235" s="49"/>
      <c r="CJ235" s="84"/>
      <c r="CK235" s="71"/>
      <c r="CL235" s="49"/>
      <c r="CM235" s="84"/>
      <c r="CN235" s="71"/>
      <c r="CO235" s="49"/>
      <c r="CP235" s="84"/>
      <c r="CQ235" s="71"/>
      <c r="CR235" s="49"/>
      <c r="CS235" s="84"/>
      <c r="CT235" s="71"/>
      <c r="CU235" s="49"/>
      <c r="CV235" s="84"/>
      <c r="CW235" s="71"/>
      <c r="CX235" s="49"/>
      <c r="CY235" s="84"/>
      <c r="CZ235" s="71"/>
      <c r="DA235" s="49"/>
      <c r="DB235" s="84"/>
      <c r="DC235" s="71"/>
      <c r="DD235" s="49"/>
      <c r="DE235" s="84"/>
      <c r="DF235" s="71"/>
      <c r="DG235" s="49"/>
      <c r="DH235" s="84"/>
      <c r="DI235" s="71"/>
      <c r="DJ235" s="49"/>
      <c r="DK235" s="84"/>
      <c r="DL235" s="71"/>
      <c r="DM235" s="49"/>
      <c r="DN235" s="84"/>
      <c r="DO235" s="71"/>
      <c r="DP235" s="49"/>
      <c r="DQ235" s="84"/>
      <c r="DR235" s="71"/>
      <c r="DS235" s="49"/>
      <c r="DT235" s="84"/>
      <c r="DU235" s="71"/>
      <c r="DV235" s="49"/>
      <c r="DW235" s="84"/>
      <c r="DX235" s="71"/>
      <c r="DY235" s="49"/>
      <c r="DZ235" s="84"/>
      <c r="EA235" s="71"/>
      <c r="EB235" s="49"/>
      <c r="EC235" s="84"/>
      <c r="ED235" s="71"/>
      <c r="EE235" s="49"/>
      <c r="EF235" s="84"/>
      <c r="EG235" s="71"/>
      <c r="EH235" s="49"/>
      <c r="EI235" s="84"/>
      <c r="EJ235" s="71"/>
      <c r="EK235" s="49"/>
      <c r="EL235" s="84"/>
      <c r="EM235" s="71"/>
      <c r="EN235" s="49"/>
      <c r="EO235" s="84"/>
      <c r="EP235" s="71"/>
      <c r="EQ235" s="49"/>
      <c r="ER235" s="84"/>
      <c r="ES235" s="71"/>
      <c r="ET235" s="49"/>
      <c r="EU235" s="84"/>
      <c r="EV235" s="71"/>
      <c r="EW235" s="49"/>
      <c r="EX235" s="84"/>
      <c r="EY235" s="71"/>
      <c r="EZ235" s="49"/>
      <c r="FA235" s="84"/>
      <c r="FB235" s="71"/>
      <c r="FC235" s="49"/>
      <c r="FD235" s="84"/>
      <c r="FE235" s="71"/>
      <c r="FF235" s="49"/>
      <c r="FG235" s="84"/>
      <c r="FH235" s="71"/>
      <c r="FI235" s="49"/>
      <c r="FJ235" s="84"/>
      <c r="FK235" s="71"/>
      <c r="FL235" s="49"/>
      <c r="FM235" s="84"/>
      <c r="FN235" s="71"/>
      <c r="FO235" s="49"/>
      <c r="FP235" s="84"/>
      <c r="FQ235" s="71"/>
      <c r="FR235" s="49"/>
      <c r="FS235" s="84"/>
      <c r="FT235" s="71"/>
      <c r="FU235" s="49"/>
      <c r="FV235" s="84"/>
      <c r="FW235" s="71"/>
      <c r="FX235" s="49"/>
      <c r="FY235" s="84"/>
      <c r="FZ235" s="71"/>
      <c r="GA235" s="49"/>
      <c r="GB235" s="84"/>
      <c r="GC235" s="71"/>
      <c r="GD235" s="49"/>
      <c r="GE235" s="84"/>
      <c r="GF235" s="71"/>
      <c r="GG235" s="49"/>
      <c r="GH235" s="84"/>
      <c r="GI235" s="71"/>
      <c r="GJ235" s="49"/>
      <c r="GK235" s="84"/>
      <c r="GL235" s="71"/>
      <c r="GM235" s="49"/>
      <c r="GN235" s="84"/>
      <c r="GO235" s="71"/>
      <c r="GP235" s="49"/>
      <c r="GQ235" s="84"/>
      <c r="GR235" s="71"/>
      <c r="GS235" s="49"/>
      <c r="GT235" s="84"/>
      <c r="GU235" s="71"/>
      <c r="GV235" s="49"/>
      <c r="GW235" s="84"/>
      <c r="GX235" s="71"/>
      <c r="GY235" s="49"/>
      <c r="GZ235" s="84"/>
      <c r="HA235" s="71"/>
      <c r="HB235" s="49"/>
      <c r="HC235" s="84"/>
      <c r="HD235" s="71"/>
      <c r="HE235" s="49"/>
      <c r="HF235" s="84"/>
      <c r="HG235" s="71"/>
      <c r="HH235" s="49"/>
      <c r="HI235" s="84"/>
      <c r="HJ235" s="71"/>
      <c r="HK235" s="49"/>
      <c r="HL235" s="84"/>
      <c r="HM235" s="71"/>
      <c r="HN235" s="49"/>
      <c r="HO235" s="84"/>
      <c r="HP235" s="71"/>
      <c r="HQ235" s="49"/>
      <c r="HR235" s="84"/>
      <c r="HS235" s="71"/>
      <c r="HT235" s="49"/>
      <c r="HU235" s="84"/>
      <c r="HV235" s="71"/>
      <c r="HW235" s="49"/>
      <c r="HX235" s="84"/>
      <c r="HY235" s="71"/>
      <c r="HZ235" s="49"/>
      <c r="IA235" s="84"/>
      <c r="IB235" s="71"/>
      <c r="IC235" s="49"/>
      <c r="ID235" s="84"/>
      <c r="IE235" s="71"/>
      <c r="IF235" s="49"/>
      <c r="IG235" s="84"/>
      <c r="IH235" s="71"/>
      <c r="II235" s="49"/>
      <c r="IJ235" s="84"/>
      <c r="IK235" s="71"/>
      <c r="IL235" s="49"/>
      <c r="IM235" s="84"/>
      <c r="IN235" s="71"/>
      <c r="IO235" s="49"/>
      <c r="IP235" s="84"/>
      <c r="IQ235" s="71"/>
      <c r="IR235" s="49"/>
      <c r="IS235" s="84"/>
      <c r="IT235" s="71"/>
      <c r="IU235" s="49"/>
      <c r="IV235" s="84"/>
      <c r="IW235" s="71"/>
      <c r="IX235" s="49"/>
      <c r="IY235" s="84"/>
      <c r="IZ235" s="71"/>
      <c r="JA235" s="49"/>
      <c r="JB235" s="84"/>
      <c r="JC235" s="71"/>
      <c r="JD235" s="49"/>
      <c r="JE235" s="84"/>
      <c r="JF235" s="71"/>
      <c r="JG235" s="49"/>
      <c r="JH235" s="84"/>
      <c r="JI235" s="71"/>
      <c r="JJ235" s="49"/>
      <c r="JK235" s="84"/>
      <c r="JL235" s="71"/>
      <c r="JM235" s="49"/>
      <c r="JN235" s="84"/>
      <c r="JO235" s="71"/>
      <c r="JP235" s="49"/>
      <c r="JQ235" s="84"/>
      <c r="JR235" s="71"/>
      <c r="JS235" s="49"/>
      <c r="JT235" s="84"/>
      <c r="JU235" s="71"/>
      <c r="JV235" s="49"/>
      <c r="JW235" s="84"/>
      <c r="JX235" s="71"/>
      <c r="JY235" s="49"/>
      <c r="JZ235" s="84"/>
      <c r="KA235" s="71"/>
      <c r="KB235" s="49"/>
      <c r="KC235" s="84"/>
      <c r="KD235" s="71"/>
      <c r="KE235" s="49"/>
      <c r="KF235" s="84"/>
      <c r="KG235" s="71"/>
      <c r="KH235" s="49"/>
      <c r="KI235" s="84"/>
      <c r="KJ235" s="71"/>
      <c r="KK235" s="49"/>
      <c r="KL235" s="84"/>
      <c r="KM235" s="71"/>
      <c r="KN235" s="49"/>
      <c r="KO235" s="84"/>
      <c r="KP235" s="71"/>
      <c r="KQ235" s="49"/>
      <c r="KR235" s="84"/>
      <c r="KS235" s="71"/>
      <c r="KT235" s="49"/>
      <c r="KU235" s="84"/>
      <c r="KV235" s="71"/>
      <c r="KW235" s="49"/>
      <c r="KX235" s="84"/>
      <c r="KY235" s="71"/>
      <c r="KZ235" s="49"/>
      <c r="LA235" s="84"/>
      <c r="LB235" s="71"/>
      <c r="LC235" s="49"/>
      <c r="LD235" s="84"/>
      <c r="LE235" s="71"/>
      <c r="LF235" s="49"/>
      <c r="LG235" s="49"/>
    </row>
    <row r="236" spans="1:319">
      <c r="A236" s="25"/>
      <c r="B236" s="25"/>
      <c r="C236" s="25"/>
      <c r="D236" s="25"/>
      <c r="E236" s="25"/>
      <c r="F236" s="407">
        <f>$D$31</f>
        <v>15</v>
      </c>
      <c r="G236" s="407">
        <f ca="1">VLOOKUP(H236,Equipos!$Q$1:$R$25,2,0)</f>
        <v>23</v>
      </c>
      <c r="H236" s="65" t="str">
        <f>Idiomas!$D$263</f>
        <v>Semifinals</v>
      </c>
      <c r="I236" s="50"/>
      <c r="J236" s="846" t="s">
        <v>493</v>
      </c>
      <c r="K236" s="53" t="str">
        <f>Idiomas!D202&amp;"-"&amp;ROWS($L$236:L236)</f>
        <v>3rd-4th place-1</v>
      </c>
      <c r="L236" s="53"/>
      <c r="M236" s="55" t="str">
        <f ca="1">WORLDCUP!AA143</f>
        <v>France</v>
      </c>
      <c r="N236" s="25"/>
      <c r="O236" s="25"/>
      <c r="P236" s="25"/>
      <c r="Q236" s="25"/>
      <c r="R236" s="17"/>
      <c r="S236" s="76" t="s">
        <v>297</v>
      </c>
      <c r="T236" s="77">
        <f ca="1">COUNTIF($M$236:$M$237,S236)*$D$31</f>
        <v>0</v>
      </c>
      <c r="U236" s="110"/>
      <c r="V236" s="76" t="s">
        <v>295</v>
      </c>
      <c r="W236" s="77">
        <f t="shared" ref="W236" ca="1" si="3151">COUNTIF($M$236:$M$237,V236)*$D$31</f>
        <v>0</v>
      </c>
      <c r="X236" s="110"/>
      <c r="Y236" s="76" t="s">
        <v>80</v>
      </c>
      <c r="Z236" s="77">
        <f t="shared" ref="Z236" ca="1" si="3152">COUNTIF($M$236:$M$237,Y236)*$D$31</f>
        <v>0</v>
      </c>
      <c r="AA236" s="110"/>
      <c r="AB236" s="76" t="s">
        <v>295</v>
      </c>
      <c r="AC236" s="77">
        <f t="shared" ref="AC236" ca="1" si="3153">COUNTIF($M$236:$M$237,AB236)*$D$31</f>
        <v>0</v>
      </c>
      <c r="AD236" s="110"/>
      <c r="AE236" s="76" t="s">
        <v>295</v>
      </c>
      <c r="AF236" s="77">
        <f t="shared" ref="AF236" ca="1" si="3154">COUNTIF($M$236:$M$237,AE236)*$D$31</f>
        <v>0</v>
      </c>
      <c r="AG236" s="110"/>
      <c r="AH236" s="76" t="s">
        <v>297</v>
      </c>
      <c r="AI236" s="77">
        <f t="shared" ref="AI236" ca="1" si="3155">COUNTIF($M$236:$M$237,AH236)*$D$31</f>
        <v>0</v>
      </c>
      <c r="AJ236" s="110"/>
      <c r="AK236" s="76" t="s">
        <v>295</v>
      </c>
      <c r="AL236" s="77">
        <f t="shared" ref="AL236" ca="1" si="3156">COUNTIF($M$236:$M$237,AK236)*$D$31</f>
        <v>0</v>
      </c>
      <c r="AM236" s="110"/>
      <c r="AN236" s="76" t="s">
        <v>1278</v>
      </c>
      <c r="AO236" s="77">
        <f t="shared" ref="AO236" ca="1" si="3157">COUNTIF($M$236:$M$237,AN236)*$D$31</f>
        <v>0</v>
      </c>
      <c r="AP236" s="110"/>
      <c r="AQ236" s="76" t="s">
        <v>295</v>
      </c>
      <c r="AR236" s="77">
        <f t="shared" ref="AR236" ca="1" si="3158">COUNTIF($M$236:$M$237,AQ236)*$D$31</f>
        <v>0</v>
      </c>
      <c r="AS236" s="110"/>
      <c r="AT236" s="76" t="s">
        <v>295</v>
      </c>
      <c r="AU236" s="77">
        <f t="shared" ref="AU236" ca="1" si="3159">COUNTIF($M$236:$M$237,AT236)*$D$31</f>
        <v>0</v>
      </c>
      <c r="AV236" s="110"/>
      <c r="AW236" s="76" t="s">
        <v>295</v>
      </c>
      <c r="AX236" s="77">
        <f t="shared" ref="AX236" ca="1" si="3160">COUNTIF($M$236:$M$237,AW236)*$D$31</f>
        <v>0</v>
      </c>
      <c r="AY236" s="110"/>
      <c r="AZ236" s="76" t="s">
        <v>294</v>
      </c>
      <c r="BA236" s="77">
        <f t="shared" ref="BA236" ca="1" si="3161">COUNTIF($M$236:$M$237,AZ236)*$D$31</f>
        <v>15</v>
      </c>
      <c r="BB236" s="110"/>
      <c r="BC236" s="76" t="s">
        <v>294</v>
      </c>
      <c r="BD236" s="77">
        <f t="shared" ref="BD236" ca="1" si="3162">COUNTIF($M$236:$M$237,BC236)*$D$31</f>
        <v>15</v>
      </c>
      <c r="BE236" s="110"/>
      <c r="BF236" s="76" t="s">
        <v>295</v>
      </c>
      <c r="BG236" s="77">
        <f t="shared" ref="BG236" ca="1" si="3163">COUNTIF($M$236:$M$237,BF236)*$D$31</f>
        <v>0</v>
      </c>
      <c r="BH236" s="110"/>
      <c r="BI236" s="76" t="s">
        <v>291</v>
      </c>
      <c r="BJ236" s="77">
        <f t="shared" ref="BJ236" ca="1" si="3164">COUNTIF($M$236:$M$237,BI236)*$D$31</f>
        <v>0</v>
      </c>
      <c r="BK236" s="110"/>
      <c r="BL236" s="76" t="s">
        <v>294</v>
      </c>
      <c r="BM236" s="77">
        <f t="shared" ref="BM236" ca="1" si="3165">COUNTIF($M$236:$M$237,BL236)*$D$31</f>
        <v>15</v>
      </c>
      <c r="BN236" s="110"/>
      <c r="BO236" s="76" t="s">
        <v>295</v>
      </c>
      <c r="BP236" s="77">
        <f t="shared" ref="BP236" ca="1" si="3166">COUNTIF($M$236:$M$237,BO236)*$D$31</f>
        <v>0</v>
      </c>
      <c r="BQ236" s="110"/>
      <c r="BR236" s="76" t="s">
        <v>295</v>
      </c>
      <c r="BS236" s="77">
        <f t="shared" ref="BS236" ca="1" si="3167">COUNTIF($M$236:$M$237,BR236)*$D$31</f>
        <v>0</v>
      </c>
      <c r="BT236" s="110"/>
      <c r="BU236" s="76" t="s">
        <v>295</v>
      </c>
      <c r="BV236" s="77">
        <f t="shared" ref="BV236" ca="1" si="3168">COUNTIF($M$236:$M$237,BU236)*$D$31</f>
        <v>0</v>
      </c>
      <c r="BW236" s="110"/>
      <c r="BX236" s="76" t="s">
        <v>297</v>
      </c>
      <c r="BY236" s="77">
        <f t="shared" ref="BY236" ca="1" si="3169">COUNTIF($M$236:$M$237,BX236)*$D$31</f>
        <v>0</v>
      </c>
      <c r="BZ236" s="110"/>
      <c r="CA236" s="76" t="s">
        <v>294</v>
      </c>
      <c r="CB236" s="77">
        <f t="shared" ref="CB236" ca="1" si="3170">COUNTIF($M$236:$M$237,CA236)*$D$31</f>
        <v>15</v>
      </c>
      <c r="CC236" s="110"/>
      <c r="CD236" s="76" t="s">
        <v>295</v>
      </c>
      <c r="CE236" s="77">
        <f t="shared" ref="CE236" ca="1" si="3171">COUNTIF($M$236:$M$237,CD236)*$D$31</f>
        <v>0</v>
      </c>
      <c r="CF236" s="110"/>
      <c r="CG236" s="76" t="s">
        <v>295</v>
      </c>
      <c r="CH236" s="77">
        <f t="shared" ref="CH236" ca="1" si="3172">COUNTIF($M$236:$M$237,CG236)*$D$31</f>
        <v>0</v>
      </c>
      <c r="CI236" s="110"/>
      <c r="CJ236" s="76" t="s">
        <v>295</v>
      </c>
      <c r="CK236" s="77">
        <f t="shared" ref="CK236" ca="1" si="3173">COUNTIF($M$236:$M$237,CJ236)*$D$31</f>
        <v>0</v>
      </c>
      <c r="CL236" s="110"/>
      <c r="CM236" s="76" t="s">
        <v>297</v>
      </c>
      <c r="CN236" s="77">
        <f t="shared" ref="CN236" ca="1" si="3174">COUNTIF($M$236:$M$237,CM236)*$D$31</f>
        <v>0</v>
      </c>
      <c r="CO236" s="110"/>
      <c r="CP236" s="76" t="s">
        <v>297</v>
      </c>
      <c r="CQ236" s="77">
        <f t="shared" ref="CQ236" ca="1" si="3175">COUNTIF($M$236:$M$237,CP236)*$D$31</f>
        <v>0</v>
      </c>
      <c r="CR236" s="110"/>
      <c r="CS236" s="76" t="s">
        <v>295</v>
      </c>
      <c r="CT236" s="77">
        <f t="shared" ref="CT236" ca="1" si="3176">COUNTIF($M$236:$M$237,CS236)*$D$31</f>
        <v>0</v>
      </c>
      <c r="CU236" s="110"/>
      <c r="CV236" s="76" t="s">
        <v>295</v>
      </c>
      <c r="CW236" s="77">
        <f t="shared" ref="CW236" ca="1" si="3177">COUNTIF($M$236:$M$237,CV236)*$D$31</f>
        <v>0</v>
      </c>
      <c r="CX236" s="110"/>
      <c r="CY236" s="76" t="s">
        <v>1256</v>
      </c>
      <c r="CZ236" s="77">
        <f t="shared" ref="CZ236" ca="1" si="3178">COUNTIF($M$236:$M$237,CY236)*$D$31</f>
        <v>0</v>
      </c>
      <c r="DA236" s="110"/>
      <c r="DB236" s="76" t="s">
        <v>295</v>
      </c>
      <c r="DC236" s="77">
        <f t="shared" ref="DC236" ca="1" si="3179">COUNTIF($M$236:$M$237,DB236)*$D$31</f>
        <v>0</v>
      </c>
      <c r="DD236" s="110"/>
      <c r="DE236" s="76" t="s">
        <v>294</v>
      </c>
      <c r="DF236" s="77">
        <f t="shared" ref="DF236" ca="1" si="3180">COUNTIF($M$236:$M$237,DE236)*$D$31</f>
        <v>15</v>
      </c>
      <c r="DG236" s="110"/>
      <c r="DH236" s="76" t="s">
        <v>295</v>
      </c>
      <c r="DI236" s="77">
        <f t="shared" ref="DI236" ca="1" si="3181">COUNTIF($M$236:$M$237,DH236)*$D$31</f>
        <v>0</v>
      </c>
      <c r="DJ236" s="110"/>
      <c r="DK236" s="76" t="s">
        <v>294</v>
      </c>
      <c r="DL236" s="77">
        <f t="shared" ref="DL236" ca="1" si="3182">COUNTIF($M$236:$M$237,DK236)*$D$31</f>
        <v>15</v>
      </c>
      <c r="DM236" s="110"/>
      <c r="DN236" s="76" t="s">
        <v>297</v>
      </c>
      <c r="DO236" s="77">
        <f t="shared" ref="DO236" ca="1" si="3183">COUNTIF($M$236:$M$237,DN236)*$D$31</f>
        <v>0</v>
      </c>
      <c r="DP236" s="110"/>
      <c r="DQ236" s="76" t="s">
        <v>295</v>
      </c>
      <c r="DR236" s="77">
        <f t="shared" ref="DR236" ca="1" si="3184">COUNTIF($M$236:$M$237,DQ236)*$D$31</f>
        <v>0</v>
      </c>
      <c r="DS236" s="110"/>
      <c r="DT236" s="76" t="s">
        <v>295</v>
      </c>
      <c r="DU236" s="77">
        <f t="shared" ref="DU236" ca="1" si="3185">COUNTIF($M$236:$M$237,DT236)*$D$31</f>
        <v>0</v>
      </c>
      <c r="DV236" s="110"/>
      <c r="DW236" s="76" t="s">
        <v>294</v>
      </c>
      <c r="DX236" s="77">
        <f t="shared" ref="DX236" ca="1" si="3186">COUNTIF($M$236:$M$237,DW236)*$D$31</f>
        <v>15</v>
      </c>
      <c r="DY236" s="110"/>
      <c r="DZ236" s="76" t="s">
        <v>295</v>
      </c>
      <c r="EA236" s="77">
        <f t="shared" ref="EA236" ca="1" si="3187">COUNTIF($M$236:$M$237,DZ236)*$D$31</f>
        <v>0</v>
      </c>
      <c r="EB236" s="110"/>
      <c r="EC236" s="76" t="s">
        <v>295</v>
      </c>
      <c r="ED236" s="77">
        <f t="shared" ref="ED236" ca="1" si="3188">COUNTIF($M$236:$M$237,EC236)*$D$31</f>
        <v>0</v>
      </c>
      <c r="EE236" s="110"/>
      <c r="EF236" s="76" t="s">
        <v>1553</v>
      </c>
      <c r="EG236" s="77">
        <f t="shared" ref="EG236" ca="1" si="3189">COUNTIF($M$236:$M$237,EF236)*$D$31</f>
        <v>0</v>
      </c>
      <c r="EH236" s="110"/>
      <c r="EI236" s="76" t="s">
        <v>294</v>
      </c>
      <c r="EJ236" s="77">
        <f t="shared" ref="EJ236" ca="1" si="3190">COUNTIF($M$236:$M$237,EI236)*$D$31</f>
        <v>15</v>
      </c>
      <c r="EK236" s="110"/>
      <c r="EL236" s="76" t="s">
        <v>294</v>
      </c>
      <c r="EM236" s="77">
        <f t="shared" ref="EM236" ca="1" si="3191">COUNTIF($M$236:$M$237,EL236)*$D$31</f>
        <v>15</v>
      </c>
      <c r="EN236" s="110"/>
      <c r="EO236" s="76" t="s">
        <v>295</v>
      </c>
      <c r="EP236" s="77">
        <f t="shared" ref="EP236" ca="1" si="3192">COUNTIF($M$236:$M$237,EO236)*$D$31</f>
        <v>0</v>
      </c>
      <c r="EQ236" s="110"/>
      <c r="ER236" s="76" t="s">
        <v>294</v>
      </c>
      <c r="ES236" s="77">
        <f t="shared" ref="ES236" ca="1" si="3193">COUNTIF($M$236:$M$237,ER236)*$D$31</f>
        <v>15</v>
      </c>
      <c r="ET236" s="110"/>
      <c r="EU236" s="76" t="s">
        <v>295</v>
      </c>
      <c r="EV236" s="77">
        <f t="shared" ref="EV236" ca="1" si="3194">COUNTIF($M$236:$M$237,EU236)*$D$31</f>
        <v>0</v>
      </c>
      <c r="EW236" s="110"/>
      <c r="EX236" s="76" t="s">
        <v>295</v>
      </c>
      <c r="EY236" s="77">
        <f t="shared" ref="EY236" ca="1" si="3195">COUNTIF($M$236:$M$237,EX236)*$D$31</f>
        <v>0</v>
      </c>
      <c r="EZ236" s="110"/>
      <c r="FA236" s="76" t="s">
        <v>1842</v>
      </c>
      <c r="FB236" s="77">
        <f t="shared" ref="FB236" ca="1" si="3196">COUNTIF($M$236:$M$237,FA236)*$D$31</f>
        <v>0</v>
      </c>
      <c r="FC236" s="110"/>
      <c r="FD236" s="76" t="s">
        <v>295</v>
      </c>
      <c r="FE236" s="77">
        <f t="shared" ref="FE236" ca="1" si="3197">COUNTIF($M$236:$M$237,FD236)*$D$31</f>
        <v>0</v>
      </c>
      <c r="FF236" s="110"/>
      <c r="FG236" s="76" t="s">
        <v>295</v>
      </c>
      <c r="FH236" s="77">
        <f t="shared" ref="FH236" ca="1" si="3198">COUNTIF($M$236:$M$237,FG236)*$D$31</f>
        <v>0</v>
      </c>
      <c r="FI236" s="110"/>
      <c r="FJ236" s="76" t="s">
        <v>294</v>
      </c>
      <c r="FK236" s="77">
        <f t="shared" ref="FK236" ca="1" si="3199">COUNTIF($M$236:$M$237,FJ236)*$D$31</f>
        <v>15</v>
      </c>
      <c r="FL236" s="110"/>
      <c r="FM236" s="76" t="s">
        <v>295</v>
      </c>
      <c r="FN236" s="77">
        <f t="shared" ref="FN236" ca="1" si="3200">COUNTIF($M$236:$M$237,FM236)*$D$31</f>
        <v>0</v>
      </c>
      <c r="FO236" s="110"/>
      <c r="FP236" s="76" t="s">
        <v>295</v>
      </c>
      <c r="FQ236" s="77">
        <f t="shared" ref="FQ236" ca="1" si="3201">COUNTIF($M$236:$M$237,FP236)*$D$31</f>
        <v>0</v>
      </c>
      <c r="FR236" s="110"/>
      <c r="FS236" s="76" t="s">
        <v>291</v>
      </c>
      <c r="FT236" s="77">
        <f t="shared" ref="FT236" ca="1" si="3202">COUNTIF($M$236:$M$237,FS236)*$D$31</f>
        <v>0</v>
      </c>
      <c r="FU236" s="110"/>
      <c r="FV236" s="76" t="s">
        <v>291</v>
      </c>
      <c r="FW236" s="77">
        <f t="shared" ref="FW236" ca="1" si="3203">COUNTIF($M$236:$M$237,FV236)*$D$31</f>
        <v>0</v>
      </c>
      <c r="FX236" s="110"/>
      <c r="FY236" s="76" t="s">
        <v>294</v>
      </c>
      <c r="FZ236" s="77">
        <f t="shared" ref="FZ236" ca="1" si="3204">COUNTIF($M$236:$M$237,FY236)*$D$31</f>
        <v>15</v>
      </c>
      <c r="GA236" s="110"/>
      <c r="GB236" s="76" t="s">
        <v>294</v>
      </c>
      <c r="GC236" s="77">
        <f t="shared" ref="GC236" ca="1" si="3205">COUNTIF($M$236:$M$237,GB236)*$D$31</f>
        <v>15</v>
      </c>
      <c r="GD236" s="110"/>
      <c r="GE236" s="76" t="s">
        <v>295</v>
      </c>
      <c r="GF236" s="77">
        <f t="shared" ref="GF236" ca="1" si="3206">COUNTIF($M$236:$M$237,GE236)*$D$31</f>
        <v>0</v>
      </c>
      <c r="GG236" s="110"/>
      <c r="GH236" s="76" t="s">
        <v>295</v>
      </c>
      <c r="GI236" s="77">
        <f t="shared" ref="GI236" ca="1" si="3207">COUNTIF($M$236:$M$237,GH236)*$D$31</f>
        <v>0</v>
      </c>
      <c r="GJ236" s="110"/>
      <c r="GK236" s="76" t="s">
        <v>295</v>
      </c>
      <c r="GL236" s="77">
        <f t="shared" ref="GL236" ca="1" si="3208">COUNTIF($M$236:$M$237,GK236)*$D$31</f>
        <v>0</v>
      </c>
      <c r="GM236" s="110"/>
      <c r="GN236" s="76"/>
      <c r="GO236" s="77">
        <f t="shared" ref="GO236" ca="1" si="3209">COUNTIF($M$236:$M$237,GN236)*$D$31</f>
        <v>0</v>
      </c>
      <c r="GP236" s="110"/>
      <c r="GQ236" s="76"/>
      <c r="GR236" s="77">
        <f t="shared" ref="GR236" ca="1" si="3210">COUNTIF($M$236:$M$237,GQ236)*$D$31</f>
        <v>0</v>
      </c>
      <c r="GS236" s="110"/>
      <c r="GT236" s="76"/>
      <c r="GU236" s="77">
        <f t="shared" ref="GU236" ca="1" si="3211">COUNTIF($M$236:$M$237,GT236)*$D$31</f>
        <v>0</v>
      </c>
      <c r="GV236" s="110"/>
      <c r="GW236" s="76"/>
      <c r="GX236" s="77">
        <f t="shared" ref="GX236" ca="1" si="3212">COUNTIF($M$236:$M$237,GW236)*$D$31</f>
        <v>0</v>
      </c>
      <c r="GY236" s="110"/>
      <c r="GZ236" s="76"/>
      <c r="HA236" s="77">
        <f t="shared" ref="HA236" ca="1" si="3213">COUNTIF($M$236:$M$237,GZ236)*$D$31</f>
        <v>0</v>
      </c>
      <c r="HB236" s="110"/>
      <c r="HC236" s="76"/>
      <c r="HD236" s="77">
        <f t="shared" ref="HD236" ca="1" si="3214">COUNTIF($M$236:$M$237,HC236)*$D$31</f>
        <v>0</v>
      </c>
      <c r="HE236" s="110"/>
      <c r="HF236" s="76"/>
      <c r="HG236" s="77">
        <f t="shared" ref="HG236" ca="1" si="3215">COUNTIF($M$236:$M$237,HF236)*$D$31</f>
        <v>0</v>
      </c>
      <c r="HH236" s="110"/>
      <c r="HI236" s="76"/>
      <c r="HJ236" s="77">
        <f t="shared" ref="HJ236" ca="1" si="3216">COUNTIF($M$236:$M$237,HI236)*$D$31</f>
        <v>0</v>
      </c>
      <c r="HK236" s="110"/>
      <c r="HL236" s="76"/>
      <c r="HM236" s="77">
        <f t="shared" ref="HM236" ca="1" si="3217">COUNTIF($M$236:$M$237,HL236)*$D$31</f>
        <v>0</v>
      </c>
      <c r="HN236" s="110"/>
      <c r="HO236" s="76"/>
      <c r="HP236" s="77">
        <f t="shared" ref="HP236" ca="1" si="3218">COUNTIF($M$236:$M$237,HO236)*$D$31</f>
        <v>0</v>
      </c>
      <c r="HQ236" s="110"/>
      <c r="HR236" s="76"/>
      <c r="HS236" s="77">
        <f t="shared" ref="HS236" ca="1" si="3219">COUNTIF($M$236:$M$237,HR236)*$D$31</f>
        <v>0</v>
      </c>
      <c r="HT236" s="110"/>
      <c r="HU236" s="76"/>
      <c r="HV236" s="77">
        <f t="shared" ref="HV236" ca="1" si="3220">COUNTIF($M$236:$M$237,HU236)*$D$31</f>
        <v>0</v>
      </c>
      <c r="HW236" s="110"/>
      <c r="HX236" s="76"/>
      <c r="HY236" s="77">
        <f t="shared" ref="HY236" ca="1" si="3221">COUNTIF($M$236:$M$237,HX236)*$D$31</f>
        <v>0</v>
      </c>
      <c r="HZ236" s="110"/>
      <c r="IA236" s="76"/>
      <c r="IB236" s="77">
        <f t="shared" ref="IB236" ca="1" si="3222">COUNTIF($M$236:$M$237,IA236)*$D$31</f>
        <v>0</v>
      </c>
      <c r="IC236" s="110"/>
      <c r="ID236" s="76"/>
      <c r="IE236" s="77">
        <f t="shared" ref="IE236" ca="1" si="3223">COUNTIF($M$236:$M$237,ID236)*$D$31</f>
        <v>0</v>
      </c>
      <c r="IF236" s="110"/>
      <c r="IG236" s="76"/>
      <c r="IH236" s="77">
        <f t="shared" ref="IH236" ca="1" si="3224">COUNTIF($M$236:$M$237,IG236)*$D$31</f>
        <v>0</v>
      </c>
      <c r="II236" s="110"/>
      <c r="IJ236" s="76"/>
      <c r="IK236" s="77">
        <f t="shared" ref="IK236" ca="1" si="3225">COUNTIF($M$236:$M$237,IJ236)*$D$31</f>
        <v>0</v>
      </c>
      <c r="IL236" s="110"/>
      <c r="IM236" s="76"/>
      <c r="IN236" s="77">
        <f t="shared" ref="IN236" ca="1" si="3226">COUNTIF($M$236:$M$237,IM236)*$D$31</f>
        <v>0</v>
      </c>
      <c r="IO236" s="110"/>
      <c r="IP236" s="76"/>
      <c r="IQ236" s="77">
        <f t="shared" ref="IQ236" ca="1" si="3227">COUNTIF($M$236:$M$237,IP236)*$D$31</f>
        <v>0</v>
      </c>
      <c r="IR236" s="110"/>
      <c r="IS236" s="76"/>
      <c r="IT236" s="77">
        <f t="shared" ref="IT236" ca="1" si="3228">COUNTIF($M$236:$M$237,IS236)*$D$31</f>
        <v>0</v>
      </c>
      <c r="IU236" s="110"/>
      <c r="IV236" s="76"/>
      <c r="IW236" s="77">
        <f t="shared" ref="IW236" ca="1" si="3229">COUNTIF($M$236:$M$237,IV236)*$D$31</f>
        <v>0</v>
      </c>
      <c r="IX236" s="110"/>
      <c r="IY236" s="76"/>
      <c r="IZ236" s="77">
        <f t="shared" ref="IZ236" ca="1" si="3230">COUNTIF($M$236:$M$237,IY236)*$D$31</f>
        <v>0</v>
      </c>
      <c r="JA236" s="110"/>
      <c r="JB236" s="76"/>
      <c r="JC236" s="77">
        <f t="shared" ref="JC236" ca="1" si="3231">COUNTIF($M$236:$M$237,JB236)*$D$31</f>
        <v>0</v>
      </c>
      <c r="JD236" s="110"/>
      <c r="JE236" s="76"/>
      <c r="JF236" s="77">
        <f t="shared" ref="JF236" ca="1" si="3232">COUNTIF($M$236:$M$237,JE236)*$D$31</f>
        <v>0</v>
      </c>
      <c r="JG236" s="110"/>
      <c r="JH236" s="76"/>
      <c r="JI236" s="77">
        <f t="shared" ref="JI236" ca="1" si="3233">COUNTIF($M$236:$M$237,JH236)*$D$31</f>
        <v>0</v>
      </c>
      <c r="JJ236" s="110"/>
      <c r="JK236" s="76"/>
      <c r="JL236" s="77">
        <f t="shared" ref="JL236" ca="1" si="3234">COUNTIF($M$236:$M$237,JK236)*$D$31</f>
        <v>0</v>
      </c>
      <c r="JM236" s="110"/>
      <c r="JN236" s="76"/>
      <c r="JO236" s="77">
        <f t="shared" ref="JO236" ca="1" si="3235">COUNTIF($M$236:$M$237,JN236)*$D$31</f>
        <v>0</v>
      </c>
      <c r="JP236" s="110"/>
      <c r="JQ236" s="76"/>
      <c r="JR236" s="77">
        <f t="shared" ref="JR236" ca="1" si="3236">COUNTIF($M$236:$M$237,JQ236)*$D$31</f>
        <v>0</v>
      </c>
      <c r="JS236" s="110"/>
      <c r="JT236" s="76"/>
      <c r="JU236" s="77">
        <f t="shared" ref="JU236" ca="1" si="3237">COUNTIF($M$236:$M$237,JT236)*$D$31</f>
        <v>0</v>
      </c>
      <c r="JV236" s="110"/>
      <c r="JW236" s="76"/>
      <c r="JX236" s="77">
        <f t="shared" ref="JX236" ca="1" si="3238">COUNTIF($M$236:$M$237,JW236)*$D$31</f>
        <v>0</v>
      </c>
      <c r="JY236" s="110"/>
      <c r="JZ236" s="76"/>
      <c r="KA236" s="77">
        <f t="shared" ref="KA236" ca="1" si="3239">COUNTIF($M$236:$M$237,JZ236)*$D$31</f>
        <v>0</v>
      </c>
      <c r="KB236" s="110"/>
      <c r="KC236" s="76"/>
      <c r="KD236" s="77">
        <f t="shared" ref="KD236" ca="1" si="3240">COUNTIF($M$236:$M$237,KC236)*$D$31</f>
        <v>0</v>
      </c>
      <c r="KE236" s="110"/>
      <c r="KF236" s="76"/>
      <c r="KG236" s="77">
        <f t="shared" ref="KG236" ca="1" si="3241">COUNTIF($M$236:$M$237,KF236)*$D$31</f>
        <v>0</v>
      </c>
      <c r="KH236" s="110"/>
      <c r="KI236" s="76"/>
      <c r="KJ236" s="77">
        <f t="shared" ref="KJ236" ca="1" si="3242">COUNTIF($M$236:$M$237,KI236)*$D$31</f>
        <v>0</v>
      </c>
      <c r="KK236" s="110"/>
      <c r="KL236" s="76"/>
      <c r="KM236" s="77">
        <f t="shared" ref="KM236" ca="1" si="3243">COUNTIF($M$236:$M$237,KL236)*$D$31</f>
        <v>0</v>
      </c>
      <c r="KN236" s="110"/>
      <c r="KO236" s="76"/>
      <c r="KP236" s="77">
        <f t="shared" ref="KP236" ca="1" si="3244">COUNTIF($M$236:$M$237,KO236)*$D$31</f>
        <v>0</v>
      </c>
      <c r="KQ236" s="110"/>
      <c r="KR236" s="76"/>
      <c r="KS236" s="77">
        <f t="shared" ref="KS236" ca="1" si="3245">COUNTIF($M$236:$M$237,KR236)*$D$31</f>
        <v>0</v>
      </c>
      <c r="KT236" s="110"/>
      <c r="KU236" s="76"/>
      <c r="KV236" s="77">
        <f t="shared" ref="KV236" ca="1" si="3246">COUNTIF($M$236:$M$237,KU236)*$D$31</f>
        <v>0</v>
      </c>
      <c r="KW236" s="110"/>
      <c r="KX236" s="76"/>
      <c r="KY236" s="77">
        <f t="shared" ref="KY236" ca="1" si="3247">COUNTIF($M$236:$M$237,KX236)*$D$31</f>
        <v>0</v>
      </c>
      <c r="KZ236" s="110"/>
      <c r="LA236" s="76"/>
      <c r="LB236" s="77">
        <f t="shared" ref="LB236" ca="1" si="3248">COUNTIF($M$236:$M$237,LA236)*$D$31</f>
        <v>0</v>
      </c>
      <c r="LC236" s="110"/>
      <c r="LD236" s="76"/>
      <c r="LE236" s="77">
        <f t="shared" ref="LE236" ca="1" si="3249">COUNTIF($M$236:$M$237,LD236)*$D$31</f>
        <v>0</v>
      </c>
      <c r="LF236" s="110"/>
      <c r="LG236" s="110"/>
    </row>
    <row r="237" spans="1:319">
      <c r="A237" s="25"/>
      <c r="B237" s="25"/>
      <c r="C237" s="25"/>
      <c r="D237" s="25"/>
      <c r="E237" s="25"/>
      <c r="F237" s="407">
        <f>$D$31</f>
        <v>15</v>
      </c>
      <c r="G237" s="407">
        <f ca="1">VLOOKUP(H237,Equipos!$Q$1:$R$25,2,0)</f>
        <v>23</v>
      </c>
      <c r="H237" s="65" t="str">
        <f>Idiomas!$D$263</f>
        <v>Semifinals</v>
      </c>
      <c r="I237" s="50"/>
      <c r="J237" s="846"/>
      <c r="K237" s="115" t="str">
        <f>Idiomas!D203&amp;"-"&amp;ROWS($L$236:L237)</f>
        <v>Finalist-2</v>
      </c>
      <c r="L237" s="115"/>
      <c r="M237" s="116" t="str">
        <f ca="1">WORLDCUP!AF143</f>
        <v>England</v>
      </c>
      <c r="N237" s="25"/>
      <c r="O237" s="25"/>
      <c r="P237" s="25"/>
      <c r="Q237" s="25"/>
      <c r="R237" s="17"/>
      <c r="S237" s="80" t="s">
        <v>1274</v>
      </c>
      <c r="T237" s="81">
        <f ca="1">COUNTIF($M$236:$M$237,S237)*$D$31</f>
        <v>0</v>
      </c>
      <c r="U237" s="110"/>
      <c r="V237" s="80" t="s">
        <v>296</v>
      </c>
      <c r="W237" s="81">
        <f t="shared" ref="W237" ca="1" si="3250">COUNTIF($M$236:$M$237,V237)*$D$31</f>
        <v>0</v>
      </c>
      <c r="X237" s="110"/>
      <c r="Y237" s="80" t="s">
        <v>79</v>
      </c>
      <c r="Z237" s="81">
        <f t="shared" ref="Z237" ca="1" si="3251">COUNTIF($M$236:$M$237,Y237)*$D$31</f>
        <v>0</v>
      </c>
      <c r="AA237" s="110"/>
      <c r="AB237" s="80" t="s">
        <v>1274</v>
      </c>
      <c r="AC237" s="81">
        <f t="shared" ref="AC237" ca="1" si="3252">COUNTIF($M$236:$M$237,AB237)*$D$31</f>
        <v>0</v>
      </c>
      <c r="AD237" s="110"/>
      <c r="AE237" s="80" t="s">
        <v>292</v>
      </c>
      <c r="AF237" s="81">
        <f t="shared" ref="AF237" ca="1" si="3253">COUNTIF($M$236:$M$237,AE237)*$D$31</f>
        <v>15</v>
      </c>
      <c r="AG237" s="110"/>
      <c r="AH237" s="80" t="s">
        <v>79</v>
      </c>
      <c r="AI237" s="81">
        <f t="shared" ref="AI237" ca="1" si="3254">COUNTIF($M$236:$M$237,AH237)*$D$31</f>
        <v>0</v>
      </c>
      <c r="AJ237" s="110"/>
      <c r="AK237" s="80" t="s">
        <v>1256</v>
      </c>
      <c r="AL237" s="81">
        <f t="shared" ref="AL237" ca="1" si="3255">COUNTIF($M$236:$M$237,AK237)*$D$31</f>
        <v>0</v>
      </c>
      <c r="AM237" s="110"/>
      <c r="AN237" s="80" t="s">
        <v>1559</v>
      </c>
      <c r="AO237" s="81">
        <f t="shared" ref="AO237" ca="1" si="3256">COUNTIF($M$236:$M$237,AN237)*$D$31</f>
        <v>0</v>
      </c>
      <c r="AP237" s="110"/>
      <c r="AQ237" s="80" t="s">
        <v>1256</v>
      </c>
      <c r="AR237" s="81">
        <f t="shared" ref="AR237" ca="1" si="3257">COUNTIF($M$236:$M$237,AQ237)*$D$31</f>
        <v>0</v>
      </c>
      <c r="AS237" s="110"/>
      <c r="AT237" s="80" t="s">
        <v>290</v>
      </c>
      <c r="AU237" s="81">
        <f t="shared" ref="AU237" ca="1" si="3258">COUNTIF($M$236:$M$237,AT237)*$D$31</f>
        <v>0</v>
      </c>
      <c r="AV237" s="110"/>
      <c r="AW237" s="80" t="s">
        <v>292</v>
      </c>
      <c r="AX237" s="81">
        <f t="shared" ref="AX237" ca="1" si="3259">COUNTIF($M$236:$M$237,AW237)*$D$31</f>
        <v>15</v>
      </c>
      <c r="AY237" s="110"/>
      <c r="AZ237" s="80" t="s">
        <v>1256</v>
      </c>
      <c r="BA237" s="81">
        <f t="shared" ref="BA237" ca="1" si="3260">COUNTIF($M$236:$M$237,AZ237)*$D$31</f>
        <v>0</v>
      </c>
      <c r="BB237" s="110"/>
      <c r="BC237" s="80" t="s">
        <v>1256</v>
      </c>
      <c r="BD237" s="81">
        <f t="shared" ref="BD237" ca="1" si="3261">COUNTIF($M$236:$M$237,BC237)*$D$31</f>
        <v>0</v>
      </c>
      <c r="BE237" s="110"/>
      <c r="BF237" s="80" t="s">
        <v>79</v>
      </c>
      <c r="BG237" s="81">
        <f t="shared" ref="BG237" ca="1" si="3262">COUNTIF($M$236:$M$237,BF237)*$D$31</f>
        <v>0</v>
      </c>
      <c r="BH237" s="110"/>
      <c r="BI237" s="80" t="s">
        <v>294</v>
      </c>
      <c r="BJ237" s="81">
        <f t="shared" ref="BJ237" ca="1" si="3263">COUNTIF($M$236:$M$237,BI237)*$D$31</f>
        <v>15</v>
      </c>
      <c r="BK237" s="110"/>
      <c r="BL237" s="80" t="s">
        <v>292</v>
      </c>
      <c r="BM237" s="81">
        <f t="shared" ref="BM237" ca="1" si="3264">COUNTIF($M$236:$M$237,BL237)*$D$31</f>
        <v>15</v>
      </c>
      <c r="BN237" s="110"/>
      <c r="BO237" s="80" t="s">
        <v>292</v>
      </c>
      <c r="BP237" s="81">
        <f t="shared" ref="BP237" ca="1" si="3265">COUNTIF($M$236:$M$237,BO237)*$D$31</f>
        <v>15</v>
      </c>
      <c r="BQ237" s="110"/>
      <c r="BR237" s="80" t="s">
        <v>79</v>
      </c>
      <c r="BS237" s="81">
        <f t="shared" ref="BS237" ca="1" si="3266">COUNTIF($M$236:$M$237,BR237)*$D$31</f>
        <v>0</v>
      </c>
      <c r="BT237" s="110"/>
      <c r="BU237" s="80" t="s">
        <v>292</v>
      </c>
      <c r="BV237" s="81">
        <f t="shared" ref="BV237" ca="1" si="3267">COUNTIF($M$236:$M$237,BU237)*$D$31</f>
        <v>15</v>
      </c>
      <c r="BW237" s="110"/>
      <c r="BX237" s="80" t="s">
        <v>79</v>
      </c>
      <c r="BY237" s="81">
        <f t="shared" ref="BY237" ca="1" si="3268">COUNTIF($M$236:$M$237,BX237)*$D$31</f>
        <v>0</v>
      </c>
      <c r="BZ237" s="110"/>
      <c r="CA237" s="80" t="s">
        <v>79</v>
      </c>
      <c r="CB237" s="81">
        <f t="shared" ref="CB237" ca="1" si="3269">COUNTIF($M$236:$M$237,CA237)*$D$31</f>
        <v>0</v>
      </c>
      <c r="CC237" s="110"/>
      <c r="CD237" s="80" t="s">
        <v>1274</v>
      </c>
      <c r="CE237" s="81">
        <f t="shared" ref="CE237" ca="1" si="3270">COUNTIF($M$236:$M$237,CD237)*$D$31</f>
        <v>0</v>
      </c>
      <c r="CF237" s="110"/>
      <c r="CG237" s="80" t="s">
        <v>292</v>
      </c>
      <c r="CH237" s="81">
        <f t="shared" ref="CH237" ca="1" si="3271">COUNTIF($M$236:$M$237,CG237)*$D$31</f>
        <v>15</v>
      </c>
      <c r="CI237" s="110"/>
      <c r="CJ237" s="80" t="s">
        <v>1256</v>
      </c>
      <c r="CK237" s="81">
        <f t="shared" ref="CK237" ca="1" si="3272">COUNTIF($M$236:$M$237,CJ237)*$D$31</f>
        <v>0</v>
      </c>
      <c r="CL237" s="110"/>
      <c r="CM237" s="80" t="s">
        <v>292</v>
      </c>
      <c r="CN237" s="81">
        <f t="shared" ref="CN237" ca="1" si="3273">COUNTIF($M$236:$M$237,CM237)*$D$31</f>
        <v>15</v>
      </c>
      <c r="CO237" s="110"/>
      <c r="CP237" s="80" t="s">
        <v>299</v>
      </c>
      <c r="CQ237" s="81">
        <f t="shared" ref="CQ237" ca="1" si="3274">COUNTIF($M$236:$M$237,CP237)*$D$31</f>
        <v>0</v>
      </c>
      <c r="CR237" s="110"/>
      <c r="CS237" s="80" t="s">
        <v>79</v>
      </c>
      <c r="CT237" s="81">
        <f t="shared" ref="CT237" ca="1" si="3275">COUNTIF($M$236:$M$237,CS237)*$D$31</f>
        <v>0</v>
      </c>
      <c r="CU237" s="110"/>
      <c r="CV237" s="80" t="s">
        <v>1288</v>
      </c>
      <c r="CW237" s="81">
        <f t="shared" ref="CW237" ca="1" si="3276">COUNTIF($M$236:$M$237,CV237)*$D$31</f>
        <v>0</v>
      </c>
      <c r="CX237" s="110"/>
      <c r="CY237" s="80" t="s">
        <v>292</v>
      </c>
      <c r="CZ237" s="81">
        <f t="shared" ref="CZ237" ca="1" si="3277">COUNTIF($M$236:$M$237,CY237)*$D$31</f>
        <v>15</v>
      </c>
      <c r="DA237" s="110"/>
      <c r="DB237" s="80" t="s">
        <v>292</v>
      </c>
      <c r="DC237" s="81">
        <f t="shared" ref="DC237" ca="1" si="3278">COUNTIF($M$236:$M$237,DB237)*$D$31</f>
        <v>15</v>
      </c>
      <c r="DD237" s="110"/>
      <c r="DE237" s="80" t="s">
        <v>1274</v>
      </c>
      <c r="DF237" s="81">
        <f t="shared" ref="DF237" ca="1" si="3279">COUNTIF($M$236:$M$237,DE237)*$D$31</f>
        <v>0</v>
      </c>
      <c r="DG237" s="110"/>
      <c r="DH237" s="80" t="s">
        <v>1256</v>
      </c>
      <c r="DI237" s="81">
        <f t="shared" ref="DI237" ca="1" si="3280">COUNTIF($M$236:$M$237,DH237)*$D$31</f>
        <v>0</v>
      </c>
      <c r="DJ237" s="110"/>
      <c r="DK237" s="80" t="s">
        <v>79</v>
      </c>
      <c r="DL237" s="81">
        <f t="shared" ref="DL237" ca="1" si="3281">COUNTIF($M$236:$M$237,DK237)*$D$31</f>
        <v>0</v>
      </c>
      <c r="DM237" s="110"/>
      <c r="DN237" s="80" t="s">
        <v>292</v>
      </c>
      <c r="DO237" s="81">
        <f t="shared" ref="DO237" ca="1" si="3282">COUNTIF($M$236:$M$237,DN237)*$D$31</f>
        <v>15</v>
      </c>
      <c r="DP237" s="110"/>
      <c r="DQ237" s="80" t="s">
        <v>79</v>
      </c>
      <c r="DR237" s="81">
        <f t="shared" ref="DR237" ca="1" si="3283">COUNTIF($M$236:$M$237,DQ237)*$D$31</f>
        <v>0</v>
      </c>
      <c r="DS237" s="110"/>
      <c r="DT237" s="80" t="s">
        <v>1274</v>
      </c>
      <c r="DU237" s="81">
        <f t="shared" ref="DU237" ca="1" si="3284">COUNTIF($M$236:$M$237,DT237)*$D$31</f>
        <v>0</v>
      </c>
      <c r="DV237" s="110"/>
      <c r="DW237" s="80" t="s">
        <v>292</v>
      </c>
      <c r="DX237" s="81">
        <f t="shared" ref="DX237" ca="1" si="3285">COUNTIF($M$236:$M$237,DW237)*$D$31</f>
        <v>15</v>
      </c>
      <c r="DY237" s="110"/>
      <c r="DZ237" s="80" t="s">
        <v>1256</v>
      </c>
      <c r="EA237" s="81">
        <f t="shared" ref="EA237" ca="1" si="3286">COUNTIF($M$236:$M$237,DZ237)*$D$31</f>
        <v>0</v>
      </c>
      <c r="EB237" s="110"/>
      <c r="EC237" s="80" t="s">
        <v>1274</v>
      </c>
      <c r="ED237" s="81">
        <f t="shared" ref="ED237" ca="1" si="3287">COUNTIF($M$236:$M$237,EC237)*$D$31</f>
        <v>0</v>
      </c>
      <c r="EE237" s="110"/>
      <c r="EF237" s="80" t="s">
        <v>79</v>
      </c>
      <c r="EG237" s="81">
        <f t="shared" ref="EG237" ca="1" si="3288">COUNTIF($M$236:$M$237,EF237)*$D$31</f>
        <v>0</v>
      </c>
      <c r="EH237" s="110"/>
      <c r="EI237" s="80" t="s">
        <v>292</v>
      </c>
      <c r="EJ237" s="81">
        <f t="shared" ref="EJ237" ca="1" si="3289">COUNTIF($M$236:$M$237,EI237)*$D$31</f>
        <v>15</v>
      </c>
      <c r="EK237" s="110"/>
      <c r="EL237" s="80" t="s">
        <v>292</v>
      </c>
      <c r="EM237" s="81">
        <f t="shared" ref="EM237" ca="1" si="3290">COUNTIF($M$236:$M$237,EL237)*$D$31</f>
        <v>15</v>
      </c>
      <c r="EN237" s="110"/>
      <c r="EO237" s="80" t="s">
        <v>79</v>
      </c>
      <c r="EP237" s="81">
        <f t="shared" ref="EP237" ca="1" si="3291">COUNTIF($M$236:$M$237,EO237)*$D$31</f>
        <v>0</v>
      </c>
      <c r="EQ237" s="110"/>
      <c r="ER237" s="80" t="s">
        <v>1274</v>
      </c>
      <c r="ES237" s="81">
        <f t="shared" ref="ES237" ca="1" si="3292">COUNTIF($M$236:$M$237,ER237)*$D$31</f>
        <v>0</v>
      </c>
      <c r="ET237" s="110"/>
      <c r="EU237" s="80" t="s">
        <v>299</v>
      </c>
      <c r="EV237" s="81">
        <f t="shared" ref="EV237" ca="1" si="3293">COUNTIF($M$236:$M$237,EU237)*$D$31</f>
        <v>0</v>
      </c>
      <c r="EW237" s="110"/>
      <c r="EX237" s="80" t="s">
        <v>79</v>
      </c>
      <c r="EY237" s="81">
        <f t="shared" ref="EY237" ca="1" si="3294">COUNTIF($M$236:$M$237,EX237)*$D$31</f>
        <v>0</v>
      </c>
      <c r="EZ237" s="110"/>
      <c r="FA237" s="80" t="s">
        <v>79</v>
      </c>
      <c r="FB237" s="81">
        <f t="shared" ref="FB237" ca="1" si="3295">COUNTIF($M$236:$M$237,FA237)*$D$31</f>
        <v>0</v>
      </c>
      <c r="FC237" s="110"/>
      <c r="FD237" s="80" t="s">
        <v>1256</v>
      </c>
      <c r="FE237" s="81">
        <f t="shared" ref="FE237" ca="1" si="3296">COUNTIF($M$236:$M$237,FD237)*$D$31</f>
        <v>0</v>
      </c>
      <c r="FF237" s="110"/>
      <c r="FG237" s="80" t="s">
        <v>79</v>
      </c>
      <c r="FH237" s="81">
        <f t="shared" ref="FH237" ca="1" si="3297">COUNTIF($M$236:$M$237,FG237)*$D$31</f>
        <v>0</v>
      </c>
      <c r="FI237" s="110"/>
      <c r="FJ237" s="80" t="s">
        <v>1274</v>
      </c>
      <c r="FK237" s="81">
        <f t="shared" ref="FK237" ca="1" si="3298">COUNTIF($M$236:$M$237,FJ237)*$D$31</f>
        <v>0</v>
      </c>
      <c r="FL237" s="110"/>
      <c r="FM237" s="80" t="s">
        <v>79</v>
      </c>
      <c r="FN237" s="81">
        <f t="shared" ref="FN237" ca="1" si="3299">COUNTIF($M$236:$M$237,FM237)*$D$31</f>
        <v>0</v>
      </c>
      <c r="FO237" s="110"/>
      <c r="FP237" s="80" t="s">
        <v>1274</v>
      </c>
      <c r="FQ237" s="81">
        <f t="shared" ref="FQ237" ca="1" si="3300">COUNTIF($M$236:$M$237,FP237)*$D$31</f>
        <v>0</v>
      </c>
      <c r="FR237" s="110"/>
      <c r="FS237" s="80" t="s">
        <v>1256</v>
      </c>
      <c r="FT237" s="81">
        <f t="shared" ref="FT237" ca="1" si="3301">COUNTIF($M$236:$M$237,FS237)*$D$31</f>
        <v>0</v>
      </c>
      <c r="FU237" s="110"/>
      <c r="FV237" s="80" t="s">
        <v>292</v>
      </c>
      <c r="FW237" s="81">
        <f t="shared" ref="FW237" ca="1" si="3302">COUNTIF($M$236:$M$237,FV237)*$D$31</f>
        <v>15</v>
      </c>
      <c r="FX237" s="110"/>
      <c r="FY237" s="80" t="s">
        <v>79</v>
      </c>
      <c r="FZ237" s="81">
        <f t="shared" ref="FZ237" ca="1" si="3303">COUNTIF($M$236:$M$237,FY237)*$D$31</f>
        <v>0</v>
      </c>
      <c r="GA237" s="110"/>
      <c r="GB237" s="80" t="s">
        <v>1256</v>
      </c>
      <c r="GC237" s="81">
        <f t="shared" ref="GC237" ca="1" si="3304">COUNTIF($M$236:$M$237,GB237)*$D$31</f>
        <v>0</v>
      </c>
      <c r="GD237" s="110"/>
      <c r="GE237" s="80" t="s">
        <v>292</v>
      </c>
      <c r="GF237" s="81">
        <f t="shared" ref="GF237" ca="1" si="3305">COUNTIF($M$236:$M$237,GE237)*$D$31</f>
        <v>15</v>
      </c>
      <c r="GG237" s="110"/>
      <c r="GH237" s="80" t="s">
        <v>79</v>
      </c>
      <c r="GI237" s="81">
        <f t="shared" ref="GI237" ca="1" si="3306">COUNTIF($M$236:$M$237,GH237)*$D$31</f>
        <v>0</v>
      </c>
      <c r="GJ237" s="110"/>
      <c r="GK237" s="80" t="s">
        <v>292</v>
      </c>
      <c r="GL237" s="81">
        <f t="shared" ref="GL237" ca="1" si="3307">COUNTIF($M$236:$M$237,GK237)*$D$31</f>
        <v>15</v>
      </c>
      <c r="GM237" s="110"/>
      <c r="GN237" s="80"/>
      <c r="GO237" s="81">
        <f t="shared" ref="GO237" ca="1" si="3308">COUNTIF($M$236:$M$237,GN237)*$D$31</f>
        <v>0</v>
      </c>
      <c r="GP237" s="110"/>
      <c r="GQ237" s="80"/>
      <c r="GR237" s="81">
        <f t="shared" ref="GR237" ca="1" si="3309">COUNTIF($M$236:$M$237,GQ237)*$D$31</f>
        <v>0</v>
      </c>
      <c r="GS237" s="110"/>
      <c r="GT237" s="80"/>
      <c r="GU237" s="81">
        <f t="shared" ref="GU237" ca="1" si="3310">COUNTIF($M$236:$M$237,GT237)*$D$31</f>
        <v>0</v>
      </c>
      <c r="GV237" s="110"/>
      <c r="GW237" s="80"/>
      <c r="GX237" s="81">
        <f t="shared" ref="GX237" ca="1" si="3311">COUNTIF($M$236:$M$237,GW237)*$D$31</f>
        <v>0</v>
      </c>
      <c r="GY237" s="110"/>
      <c r="GZ237" s="80"/>
      <c r="HA237" s="81">
        <f t="shared" ref="HA237" ca="1" si="3312">COUNTIF($M$236:$M$237,GZ237)*$D$31</f>
        <v>0</v>
      </c>
      <c r="HB237" s="110"/>
      <c r="HC237" s="80"/>
      <c r="HD237" s="81">
        <f t="shared" ref="HD237" ca="1" si="3313">COUNTIF($M$236:$M$237,HC237)*$D$31</f>
        <v>0</v>
      </c>
      <c r="HE237" s="110"/>
      <c r="HF237" s="80"/>
      <c r="HG237" s="81">
        <f t="shared" ref="HG237" ca="1" si="3314">COUNTIF($M$236:$M$237,HF237)*$D$31</f>
        <v>0</v>
      </c>
      <c r="HH237" s="110"/>
      <c r="HI237" s="80"/>
      <c r="HJ237" s="81">
        <f t="shared" ref="HJ237" ca="1" si="3315">COUNTIF($M$236:$M$237,HI237)*$D$31</f>
        <v>0</v>
      </c>
      <c r="HK237" s="110"/>
      <c r="HL237" s="80"/>
      <c r="HM237" s="81">
        <f t="shared" ref="HM237" ca="1" si="3316">COUNTIF($M$236:$M$237,HL237)*$D$31</f>
        <v>0</v>
      </c>
      <c r="HN237" s="110"/>
      <c r="HO237" s="80"/>
      <c r="HP237" s="81">
        <f t="shared" ref="HP237" ca="1" si="3317">COUNTIF($M$236:$M$237,HO237)*$D$31</f>
        <v>0</v>
      </c>
      <c r="HQ237" s="110"/>
      <c r="HR237" s="80"/>
      <c r="HS237" s="81">
        <f t="shared" ref="HS237" ca="1" si="3318">COUNTIF($M$236:$M$237,HR237)*$D$31</f>
        <v>0</v>
      </c>
      <c r="HT237" s="110"/>
      <c r="HU237" s="80"/>
      <c r="HV237" s="81">
        <f t="shared" ref="HV237" ca="1" si="3319">COUNTIF($M$236:$M$237,HU237)*$D$31</f>
        <v>0</v>
      </c>
      <c r="HW237" s="110"/>
      <c r="HX237" s="80"/>
      <c r="HY237" s="81">
        <f t="shared" ref="HY237" ca="1" si="3320">COUNTIF($M$236:$M$237,HX237)*$D$31</f>
        <v>0</v>
      </c>
      <c r="HZ237" s="110"/>
      <c r="IA237" s="80"/>
      <c r="IB237" s="81">
        <f t="shared" ref="IB237" ca="1" si="3321">COUNTIF($M$236:$M$237,IA237)*$D$31</f>
        <v>0</v>
      </c>
      <c r="IC237" s="110"/>
      <c r="ID237" s="80"/>
      <c r="IE237" s="81">
        <f t="shared" ref="IE237" ca="1" si="3322">COUNTIF($M$236:$M$237,ID237)*$D$31</f>
        <v>0</v>
      </c>
      <c r="IF237" s="110"/>
      <c r="IG237" s="80"/>
      <c r="IH237" s="81">
        <f t="shared" ref="IH237" ca="1" si="3323">COUNTIF($M$236:$M$237,IG237)*$D$31</f>
        <v>0</v>
      </c>
      <c r="II237" s="110"/>
      <c r="IJ237" s="80"/>
      <c r="IK237" s="81">
        <f t="shared" ref="IK237" ca="1" si="3324">COUNTIF($M$236:$M$237,IJ237)*$D$31</f>
        <v>0</v>
      </c>
      <c r="IL237" s="110"/>
      <c r="IM237" s="80"/>
      <c r="IN237" s="81">
        <f t="shared" ref="IN237" ca="1" si="3325">COUNTIF($M$236:$M$237,IM237)*$D$31</f>
        <v>0</v>
      </c>
      <c r="IO237" s="110"/>
      <c r="IP237" s="80"/>
      <c r="IQ237" s="81">
        <f t="shared" ref="IQ237" ca="1" si="3326">COUNTIF($M$236:$M$237,IP237)*$D$31</f>
        <v>0</v>
      </c>
      <c r="IR237" s="110"/>
      <c r="IS237" s="80"/>
      <c r="IT237" s="81">
        <f t="shared" ref="IT237" ca="1" si="3327">COUNTIF($M$236:$M$237,IS237)*$D$31</f>
        <v>0</v>
      </c>
      <c r="IU237" s="110"/>
      <c r="IV237" s="80"/>
      <c r="IW237" s="81">
        <f t="shared" ref="IW237" ca="1" si="3328">COUNTIF($M$236:$M$237,IV237)*$D$31</f>
        <v>0</v>
      </c>
      <c r="IX237" s="110"/>
      <c r="IY237" s="80"/>
      <c r="IZ237" s="81">
        <f t="shared" ref="IZ237" ca="1" si="3329">COUNTIF($M$236:$M$237,IY237)*$D$31</f>
        <v>0</v>
      </c>
      <c r="JA237" s="110"/>
      <c r="JB237" s="80"/>
      <c r="JC237" s="81">
        <f t="shared" ref="JC237" ca="1" si="3330">COUNTIF($M$236:$M$237,JB237)*$D$31</f>
        <v>0</v>
      </c>
      <c r="JD237" s="110"/>
      <c r="JE237" s="80"/>
      <c r="JF237" s="81">
        <f t="shared" ref="JF237" ca="1" si="3331">COUNTIF($M$236:$M$237,JE237)*$D$31</f>
        <v>0</v>
      </c>
      <c r="JG237" s="110"/>
      <c r="JH237" s="80"/>
      <c r="JI237" s="81">
        <f t="shared" ref="JI237" ca="1" si="3332">COUNTIF($M$236:$M$237,JH237)*$D$31</f>
        <v>0</v>
      </c>
      <c r="JJ237" s="110"/>
      <c r="JK237" s="80"/>
      <c r="JL237" s="81">
        <f t="shared" ref="JL237" ca="1" si="3333">COUNTIF($M$236:$M$237,JK237)*$D$31</f>
        <v>0</v>
      </c>
      <c r="JM237" s="110"/>
      <c r="JN237" s="80"/>
      <c r="JO237" s="81">
        <f t="shared" ref="JO237" ca="1" si="3334">COUNTIF($M$236:$M$237,JN237)*$D$31</f>
        <v>0</v>
      </c>
      <c r="JP237" s="110"/>
      <c r="JQ237" s="80"/>
      <c r="JR237" s="81">
        <f t="shared" ref="JR237" ca="1" si="3335">COUNTIF($M$236:$M$237,JQ237)*$D$31</f>
        <v>0</v>
      </c>
      <c r="JS237" s="110"/>
      <c r="JT237" s="80"/>
      <c r="JU237" s="81">
        <f t="shared" ref="JU237" ca="1" si="3336">COUNTIF($M$236:$M$237,JT237)*$D$31</f>
        <v>0</v>
      </c>
      <c r="JV237" s="110"/>
      <c r="JW237" s="80"/>
      <c r="JX237" s="81">
        <f t="shared" ref="JX237" ca="1" si="3337">COUNTIF($M$236:$M$237,JW237)*$D$31</f>
        <v>0</v>
      </c>
      <c r="JY237" s="110"/>
      <c r="JZ237" s="80"/>
      <c r="KA237" s="81">
        <f t="shared" ref="KA237" ca="1" si="3338">COUNTIF($M$236:$M$237,JZ237)*$D$31</f>
        <v>0</v>
      </c>
      <c r="KB237" s="110"/>
      <c r="KC237" s="80"/>
      <c r="KD237" s="81">
        <f t="shared" ref="KD237" ca="1" si="3339">COUNTIF($M$236:$M$237,KC237)*$D$31</f>
        <v>0</v>
      </c>
      <c r="KE237" s="110"/>
      <c r="KF237" s="80"/>
      <c r="KG237" s="81">
        <f t="shared" ref="KG237" ca="1" si="3340">COUNTIF($M$236:$M$237,KF237)*$D$31</f>
        <v>0</v>
      </c>
      <c r="KH237" s="110"/>
      <c r="KI237" s="80"/>
      <c r="KJ237" s="81">
        <f t="shared" ref="KJ237" ca="1" si="3341">COUNTIF($M$236:$M$237,KI237)*$D$31</f>
        <v>0</v>
      </c>
      <c r="KK237" s="110"/>
      <c r="KL237" s="80"/>
      <c r="KM237" s="81">
        <f t="shared" ref="KM237" ca="1" si="3342">COUNTIF($M$236:$M$237,KL237)*$D$31</f>
        <v>0</v>
      </c>
      <c r="KN237" s="110"/>
      <c r="KO237" s="80"/>
      <c r="KP237" s="81">
        <f t="shared" ref="KP237" ca="1" si="3343">COUNTIF($M$236:$M$237,KO237)*$D$31</f>
        <v>0</v>
      </c>
      <c r="KQ237" s="110"/>
      <c r="KR237" s="80"/>
      <c r="KS237" s="81">
        <f t="shared" ref="KS237" ca="1" si="3344">COUNTIF($M$236:$M$237,KR237)*$D$31</f>
        <v>0</v>
      </c>
      <c r="KT237" s="110"/>
      <c r="KU237" s="80"/>
      <c r="KV237" s="81">
        <f t="shared" ref="KV237" ca="1" si="3345">COUNTIF($M$236:$M$237,KU237)*$D$31</f>
        <v>0</v>
      </c>
      <c r="KW237" s="110"/>
      <c r="KX237" s="80"/>
      <c r="KY237" s="81">
        <f t="shared" ref="KY237" ca="1" si="3346">COUNTIF($M$236:$M$237,KX237)*$D$31</f>
        <v>0</v>
      </c>
      <c r="KZ237" s="110"/>
      <c r="LA237" s="80"/>
      <c r="LB237" s="81">
        <f t="shared" ref="LB237" ca="1" si="3347">COUNTIF($M$236:$M$237,LA237)*$D$31</f>
        <v>0</v>
      </c>
      <c r="LC237" s="110"/>
      <c r="LD237" s="80"/>
      <c r="LE237" s="81">
        <f t="shared" ref="LE237" ca="1" si="3348">COUNTIF($M$236:$M$237,LD237)*$D$31</f>
        <v>0</v>
      </c>
      <c r="LF237" s="110"/>
      <c r="LG237" s="110"/>
    </row>
    <row r="238" spans="1:319">
      <c r="A238" s="25"/>
      <c r="B238" s="25"/>
      <c r="C238" s="25"/>
      <c r="D238" s="25"/>
      <c r="E238" s="25"/>
      <c r="F238" s="407"/>
      <c r="G238" s="407"/>
      <c r="H238" s="65"/>
      <c r="I238" s="50"/>
      <c r="J238" s="94"/>
      <c r="K238" s="434" t="str">
        <f>Idiomas!D465</f>
        <v>3-4 Teams</v>
      </c>
      <c r="L238" s="435"/>
      <c r="M238" s="434" t="str">
        <f ca="1">"Max: "&amp;$D$31*COUNT(T236:T237)</f>
        <v>Max: 30</v>
      </c>
      <c r="N238" s="25"/>
      <c r="O238" s="25"/>
      <c r="P238" s="25"/>
      <c r="Q238" s="25"/>
      <c r="R238" s="17"/>
      <c r="S238" s="84"/>
      <c r="T238" s="71">
        <f ca="1">SUM(T236:T237)</f>
        <v>0</v>
      </c>
      <c r="U238" s="49"/>
      <c r="V238" s="84"/>
      <c r="W238" s="71">
        <f t="shared" ref="W238" ca="1" si="3349">SUM(W236:W237)</f>
        <v>0</v>
      </c>
      <c r="X238" s="49"/>
      <c r="Y238" s="84"/>
      <c r="Z238" s="71">
        <f t="shared" ref="Z238" ca="1" si="3350">SUM(Z236:Z237)</f>
        <v>0</v>
      </c>
      <c r="AA238" s="49"/>
      <c r="AB238" s="84"/>
      <c r="AC238" s="71">
        <f t="shared" ref="AC238" ca="1" si="3351">SUM(AC236:AC237)</f>
        <v>0</v>
      </c>
      <c r="AD238" s="49"/>
      <c r="AE238" s="84"/>
      <c r="AF238" s="71">
        <f t="shared" ref="AF238" ca="1" si="3352">SUM(AF236:AF237)</f>
        <v>15</v>
      </c>
      <c r="AG238" s="49"/>
      <c r="AH238" s="84"/>
      <c r="AI238" s="71">
        <f t="shared" ref="AI238" ca="1" si="3353">SUM(AI236:AI237)</f>
        <v>0</v>
      </c>
      <c r="AJ238" s="49"/>
      <c r="AK238" s="84"/>
      <c r="AL238" s="71">
        <f t="shared" ref="AL238" ca="1" si="3354">SUM(AL236:AL237)</f>
        <v>0</v>
      </c>
      <c r="AM238" s="49"/>
      <c r="AN238" s="84"/>
      <c r="AO238" s="71">
        <f t="shared" ref="AO238" ca="1" si="3355">SUM(AO236:AO237)</f>
        <v>0</v>
      </c>
      <c r="AP238" s="49"/>
      <c r="AQ238" s="84"/>
      <c r="AR238" s="71">
        <f t="shared" ref="AR238" ca="1" si="3356">SUM(AR236:AR237)</f>
        <v>0</v>
      </c>
      <c r="AS238" s="49"/>
      <c r="AT238" s="84"/>
      <c r="AU238" s="71">
        <f t="shared" ref="AU238" ca="1" si="3357">SUM(AU236:AU237)</f>
        <v>0</v>
      </c>
      <c r="AV238" s="49"/>
      <c r="AW238" s="84"/>
      <c r="AX238" s="71">
        <f t="shared" ref="AX238" ca="1" si="3358">SUM(AX236:AX237)</f>
        <v>15</v>
      </c>
      <c r="AY238" s="49"/>
      <c r="AZ238" s="84"/>
      <c r="BA238" s="71">
        <f t="shared" ref="BA238" ca="1" si="3359">SUM(BA236:BA237)</f>
        <v>15</v>
      </c>
      <c r="BB238" s="49"/>
      <c r="BC238" s="84"/>
      <c r="BD238" s="71">
        <f t="shared" ref="BD238" ca="1" si="3360">SUM(BD236:BD237)</f>
        <v>15</v>
      </c>
      <c r="BE238" s="49"/>
      <c r="BF238" s="84"/>
      <c r="BG238" s="71">
        <f t="shared" ref="BG238" ca="1" si="3361">SUM(BG236:BG237)</f>
        <v>0</v>
      </c>
      <c r="BH238" s="49"/>
      <c r="BI238" s="84"/>
      <c r="BJ238" s="71">
        <f t="shared" ref="BJ238" ca="1" si="3362">SUM(BJ236:BJ237)</f>
        <v>15</v>
      </c>
      <c r="BK238" s="49"/>
      <c r="BL238" s="84"/>
      <c r="BM238" s="71">
        <f t="shared" ref="BM238" ca="1" si="3363">SUM(BM236:BM237)</f>
        <v>30</v>
      </c>
      <c r="BN238" s="49"/>
      <c r="BO238" s="84"/>
      <c r="BP238" s="71">
        <f t="shared" ref="BP238" ca="1" si="3364">SUM(BP236:BP237)</f>
        <v>15</v>
      </c>
      <c r="BQ238" s="49"/>
      <c r="BR238" s="84"/>
      <c r="BS238" s="71">
        <f t="shared" ref="BS238" ca="1" si="3365">SUM(BS236:BS237)</f>
        <v>0</v>
      </c>
      <c r="BT238" s="49"/>
      <c r="BU238" s="84"/>
      <c r="BV238" s="71">
        <f t="shared" ref="BV238" ca="1" si="3366">SUM(BV236:BV237)</f>
        <v>15</v>
      </c>
      <c r="BW238" s="49"/>
      <c r="BX238" s="84"/>
      <c r="BY238" s="71">
        <f t="shared" ref="BY238" ca="1" si="3367">SUM(BY236:BY237)</f>
        <v>0</v>
      </c>
      <c r="BZ238" s="49"/>
      <c r="CA238" s="84"/>
      <c r="CB238" s="71">
        <f t="shared" ref="CB238" ca="1" si="3368">SUM(CB236:CB237)</f>
        <v>15</v>
      </c>
      <c r="CC238" s="49"/>
      <c r="CD238" s="84"/>
      <c r="CE238" s="71">
        <f t="shared" ref="CE238" ca="1" si="3369">SUM(CE236:CE237)</f>
        <v>0</v>
      </c>
      <c r="CF238" s="49"/>
      <c r="CG238" s="84"/>
      <c r="CH238" s="71">
        <f t="shared" ref="CH238" ca="1" si="3370">SUM(CH236:CH237)</f>
        <v>15</v>
      </c>
      <c r="CI238" s="49"/>
      <c r="CJ238" s="84"/>
      <c r="CK238" s="71">
        <f t="shared" ref="CK238" ca="1" si="3371">SUM(CK236:CK237)</f>
        <v>0</v>
      </c>
      <c r="CL238" s="49"/>
      <c r="CM238" s="84"/>
      <c r="CN238" s="71">
        <f t="shared" ref="CN238" ca="1" si="3372">SUM(CN236:CN237)</f>
        <v>15</v>
      </c>
      <c r="CO238" s="49"/>
      <c r="CP238" s="84"/>
      <c r="CQ238" s="71">
        <f t="shared" ref="CQ238" ca="1" si="3373">SUM(CQ236:CQ237)</f>
        <v>0</v>
      </c>
      <c r="CR238" s="49"/>
      <c r="CS238" s="84"/>
      <c r="CT238" s="71">
        <f t="shared" ref="CT238" ca="1" si="3374">SUM(CT236:CT237)</f>
        <v>0</v>
      </c>
      <c r="CU238" s="49"/>
      <c r="CV238" s="84"/>
      <c r="CW238" s="71">
        <f t="shared" ref="CW238" ca="1" si="3375">SUM(CW236:CW237)</f>
        <v>0</v>
      </c>
      <c r="CX238" s="49"/>
      <c r="CY238" s="84"/>
      <c r="CZ238" s="71">
        <f t="shared" ref="CZ238" ca="1" si="3376">SUM(CZ236:CZ237)</f>
        <v>15</v>
      </c>
      <c r="DA238" s="49"/>
      <c r="DB238" s="84"/>
      <c r="DC238" s="71">
        <f t="shared" ref="DC238" ca="1" si="3377">SUM(DC236:DC237)</f>
        <v>15</v>
      </c>
      <c r="DD238" s="49"/>
      <c r="DE238" s="84"/>
      <c r="DF238" s="71">
        <f t="shared" ref="DF238" ca="1" si="3378">SUM(DF236:DF237)</f>
        <v>15</v>
      </c>
      <c r="DG238" s="49"/>
      <c r="DH238" s="84"/>
      <c r="DI238" s="71">
        <f t="shared" ref="DI238" ca="1" si="3379">SUM(DI236:DI237)</f>
        <v>0</v>
      </c>
      <c r="DJ238" s="49"/>
      <c r="DK238" s="84"/>
      <c r="DL238" s="71">
        <f t="shared" ref="DL238" ca="1" si="3380">SUM(DL236:DL237)</f>
        <v>15</v>
      </c>
      <c r="DM238" s="49"/>
      <c r="DN238" s="84"/>
      <c r="DO238" s="71">
        <f t="shared" ref="DO238" ca="1" si="3381">SUM(DO236:DO237)</f>
        <v>15</v>
      </c>
      <c r="DP238" s="49"/>
      <c r="DQ238" s="84"/>
      <c r="DR238" s="71">
        <f t="shared" ref="DR238" ca="1" si="3382">SUM(DR236:DR237)</f>
        <v>0</v>
      </c>
      <c r="DS238" s="49"/>
      <c r="DT238" s="84"/>
      <c r="DU238" s="71">
        <f t="shared" ref="DU238" ca="1" si="3383">SUM(DU236:DU237)</f>
        <v>0</v>
      </c>
      <c r="DV238" s="49"/>
      <c r="DW238" s="84"/>
      <c r="DX238" s="71">
        <f t="shared" ref="DX238" ca="1" si="3384">SUM(DX236:DX237)</f>
        <v>30</v>
      </c>
      <c r="DY238" s="49"/>
      <c r="DZ238" s="84"/>
      <c r="EA238" s="71">
        <f t="shared" ref="EA238" ca="1" si="3385">SUM(EA236:EA237)</f>
        <v>0</v>
      </c>
      <c r="EB238" s="49"/>
      <c r="EC238" s="84"/>
      <c r="ED238" s="71">
        <f t="shared" ref="ED238" ca="1" si="3386">SUM(ED236:ED237)</f>
        <v>0</v>
      </c>
      <c r="EE238" s="49"/>
      <c r="EF238" s="84"/>
      <c r="EG238" s="71">
        <f t="shared" ref="EG238" ca="1" si="3387">SUM(EG236:EG237)</f>
        <v>0</v>
      </c>
      <c r="EH238" s="49"/>
      <c r="EI238" s="84"/>
      <c r="EJ238" s="71">
        <f t="shared" ref="EJ238" ca="1" si="3388">SUM(EJ236:EJ237)</f>
        <v>30</v>
      </c>
      <c r="EK238" s="49"/>
      <c r="EL238" s="84"/>
      <c r="EM238" s="71">
        <f t="shared" ref="EM238" ca="1" si="3389">SUM(EM236:EM237)</f>
        <v>30</v>
      </c>
      <c r="EN238" s="49"/>
      <c r="EO238" s="84"/>
      <c r="EP238" s="71">
        <f t="shared" ref="EP238" ca="1" si="3390">SUM(EP236:EP237)</f>
        <v>0</v>
      </c>
      <c r="EQ238" s="49"/>
      <c r="ER238" s="84"/>
      <c r="ES238" s="71">
        <f t="shared" ref="ES238" ca="1" si="3391">SUM(ES236:ES237)</f>
        <v>15</v>
      </c>
      <c r="ET238" s="49"/>
      <c r="EU238" s="84"/>
      <c r="EV238" s="71">
        <f t="shared" ref="EV238" ca="1" si="3392">SUM(EV236:EV237)</f>
        <v>0</v>
      </c>
      <c r="EW238" s="49"/>
      <c r="EX238" s="84"/>
      <c r="EY238" s="71">
        <f t="shared" ref="EY238" ca="1" si="3393">SUM(EY236:EY237)</f>
        <v>0</v>
      </c>
      <c r="EZ238" s="49"/>
      <c r="FA238" s="84"/>
      <c r="FB238" s="71">
        <f t="shared" ref="FB238" ca="1" si="3394">SUM(FB236:FB237)</f>
        <v>0</v>
      </c>
      <c r="FC238" s="49"/>
      <c r="FD238" s="84"/>
      <c r="FE238" s="71">
        <f t="shared" ref="FE238" ca="1" si="3395">SUM(FE236:FE237)</f>
        <v>0</v>
      </c>
      <c r="FF238" s="49"/>
      <c r="FG238" s="84"/>
      <c r="FH238" s="71">
        <f t="shared" ref="FH238" ca="1" si="3396">SUM(FH236:FH237)</f>
        <v>0</v>
      </c>
      <c r="FI238" s="49"/>
      <c r="FJ238" s="84"/>
      <c r="FK238" s="71">
        <f t="shared" ref="FK238" ca="1" si="3397">SUM(FK236:FK237)</f>
        <v>15</v>
      </c>
      <c r="FL238" s="49"/>
      <c r="FM238" s="84"/>
      <c r="FN238" s="71">
        <f t="shared" ref="FN238" ca="1" si="3398">SUM(FN236:FN237)</f>
        <v>0</v>
      </c>
      <c r="FO238" s="49"/>
      <c r="FP238" s="84"/>
      <c r="FQ238" s="71">
        <f t="shared" ref="FQ238" ca="1" si="3399">SUM(FQ236:FQ237)</f>
        <v>0</v>
      </c>
      <c r="FR238" s="49"/>
      <c r="FS238" s="84"/>
      <c r="FT238" s="71">
        <f t="shared" ref="FT238" ca="1" si="3400">SUM(FT236:FT237)</f>
        <v>0</v>
      </c>
      <c r="FU238" s="49"/>
      <c r="FV238" s="84"/>
      <c r="FW238" s="71">
        <f t="shared" ref="FW238" ca="1" si="3401">SUM(FW236:FW237)</f>
        <v>15</v>
      </c>
      <c r="FX238" s="49"/>
      <c r="FY238" s="84"/>
      <c r="FZ238" s="71">
        <f t="shared" ref="FZ238" ca="1" si="3402">SUM(FZ236:FZ237)</f>
        <v>15</v>
      </c>
      <c r="GA238" s="49"/>
      <c r="GB238" s="84"/>
      <c r="GC238" s="71">
        <f t="shared" ref="GC238" ca="1" si="3403">SUM(GC236:GC237)</f>
        <v>15</v>
      </c>
      <c r="GD238" s="49"/>
      <c r="GE238" s="84"/>
      <c r="GF238" s="71">
        <f t="shared" ref="GF238" ca="1" si="3404">SUM(GF236:GF237)</f>
        <v>15</v>
      </c>
      <c r="GG238" s="49"/>
      <c r="GH238" s="84"/>
      <c r="GI238" s="71">
        <f t="shared" ref="GI238" ca="1" si="3405">SUM(GI236:GI237)</f>
        <v>0</v>
      </c>
      <c r="GJ238" s="49"/>
      <c r="GK238" s="84"/>
      <c r="GL238" s="71">
        <f t="shared" ref="GL238" ca="1" si="3406">SUM(GL236:GL237)</f>
        <v>15</v>
      </c>
      <c r="GM238" s="49"/>
      <c r="GN238" s="84"/>
      <c r="GO238" s="71">
        <f t="shared" ref="GO238" ca="1" si="3407">SUM(GO236:GO237)</f>
        <v>0</v>
      </c>
      <c r="GP238" s="49"/>
      <c r="GQ238" s="84"/>
      <c r="GR238" s="71">
        <f t="shared" ref="GR238" ca="1" si="3408">SUM(GR236:GR237)</f>
        <v>0</v>
      </c>
      <c r="GS238" s="49"/>
      <c r="GT238" s="84"/>
      <c r="GU238" s="71">
        <f t="shared" ref="GU238" ca="1" si="3409">SUM(GU236:GU237)</f>
        <v>0</v>
      </c>
      <c r="GV238" s="49"/>
      <c r="GW238" s="84"/>
      <c r="GX238" s="71">
        <f t="shared" ref="GX238" ca="1" si="3410">SUM(GX236:GX237)</f>
        <v>0</v>
      </c>
      <c r="GY238" s="49"/>
      <c r="GZ238" s="84"/>
      <c r="HA238" s="71">
        <f t="shared" ref="HA238" ca="1" si="3411">SUM(HA236:HA237)</f>
        <v>0</v>
      </c>
      <c r="HB238" s="49"/>
      <c r="HC238" s="84"/>
      <c r="HD238" s="71">
        <f t="shared" ref="HD238" ca="1" si="3412">SUM(HD236:HD237)</f>
        <v>0</v>
      </c>
      <c r="HE238" s="49"/>
      <c r="HF238" s="84"/>
      <c r="HG238" s="71">
        <f t="shared" ref="HG238" ca="1" si="3413">SUM(HG236:HG237)</f>
        <v>0</v>
      </c>
      <c r="HH238" s="49"/>
      <c r="HI238" s="84"/>
      <c r="HJ238" s="71">
        <f t="shared" ref="HJ238" ca="1" si="3414">SUM(HJ236:HJ237)</f>
        <v>0</v>
      </c>
      <c r="HK238" s="49"/>
      <c r="HL238" s="84"/>
      <c r="HM238" s="71">
        <f t="shared" ref="HM238" ca="1" si="3415">SUM(HM236:HM237)</f>
        <v>0</v>
      </c>
      <c r="HN238" s="49"/>
      <c r="HO238" s="84"/>
      <c r="HP238" s="71">
        <f t="shared" ref="HP238" ca="1" si="3416">SUM(HP236:HP237)</f>
        <v>0</v>
      </c>
      <c r="HQ238" s="49"/>
      <c r="HR238" s="84"/>
      <c r="HS238" s="71">
        <f t="shared" ref="HS238" ca="1" si="3417">SUM(HS236:HS237)</f>
        <v>0</v>
      </c>
      <c r="HT238" s="49"/>
      <c r="HU238" s="84"/>
      <c r="HV238" s="71">
        <f t="shared" ref="HV238" ca="1" si="3418">SUM(HV236:HV237)</f>
        <v>0</v>
      </c>
      <c r="HW238" s="49"/>
      <c r="HX238" s="84"/>
      <c r="HY238" s="71">
        <f t="shared" ref="HY238" ca="1" si="3419">SUM(HY236:HY237)</f>
        <v>0</v>
      </c>
      <c r="HZ238" s="49"/>
      <c r="IA238" s="84"/>
      <c r="IB238" s="71">
        <f t="shared" ref="IB238" ca="1" si="3420">SUM(IB236:IB237)</f>
        <v>0</v>
      </c>
      <c r="IC238" s="49"/>
      <c r="ID238" s="84"/>
      <c r="IE238" s="71">
        <f t="shared" ref="IE238" ca="1" si="3421">SUM(IE236:IE237)</f>
        <v>0</v>
      </c>
      <c r="IF238" s="49"/>
      <c r="IG238" s="84"/>
      <c r="IH238" s="71">
        <f t="shared" ref="IH238" ca="1" si="3422">SUM(IH236:IH237)</f>
        <v>0</v>
      </c>
      <c r="II238" s="49"/>
      <c r="IJ238" s="84"/>
      <c r="IK238" s="71">
        <f t="shared" ref="IK238" ca="1" si="3423">SUM(IK236:IK237)</f>
        <v>0</v>
      </c>
      <c r="IL238" s="49"/>
      <c r="IM238" s="84"/>
      <c r="IN238" s="71">
        <f t="shared" ref="IN238" ca="1" si="3424">SUM(IN236:IN237)</f>
        <v>0</v>
      </c>
      <c r="IO238" s="49"/>
      <c r="IP238" s="84"/>
      <c r="IQ238" s="71">
        <f t="shared" ref="IQ238" ca="1" si="3425">SUM(IQ236:IQ237)</f>
        <v>0</v>
      </c>
      <c r="IR238" s="49"/>
      <c r="IS238" s="84"/>
      <c r="IT238" s="71">
        <f t="shared" ref="IT238" ca="1" si="3426">SUM(IT236:IT237)</f>
        <v>0</v>
      </c>
      <c r="IU238" s="49"/>
      <c r="IV238" s="84"/>
      <c r="IW238" s="71">
        <f t="shared" ref="IW238" ca="1" si="3427">SUM(IW236:IW237)</f>
        <v>0</v>
      </c>
      <c r="IX238" s="49"/>
      <c r="IY238" s="84"/>
      <c r="IZ238" s="71">
        <f t="shared" ref="IZ238" ca="1" si="3428">SUM(IZ236:IZ237)</f>
        <v>0</v>
      </c>
      <c r="JA238" s="49"/>
      <c r="JB238" s="84"/>
      <c r="JC238" s="71">
        <f t="shared" ref="JC238" ca="1" si="3429">SUM(JC236:JC237)</f>
        <v>0</v>
      </c>
      <c r="JD238" s="49"/>
      <c r="JE238" s="84"/>
      <c r="JF238" s="71">
        <f t="shared" ref="JF238" ca="1" si="3430">SUM(JF236:JF237)</f>
        <v>0</v>
      </c>
      <c r="JG238" s="49"/>
      <c r="JH238" s="84"/>
      <c r="JI238" s="71">
        <f t="shared" ref="JI238" ca="1" si="3431">SUM(JI236:JI237)</f>
        <v>0</v>
      </c>
      <c r="JJ238" s="49"/>
      <c r="JK238" s="84"/>
      <c r="JL238" s="71">
        <f t="shared" ref="JL238" ca="1" si="3432">SUM(JL236:JL237)</f>
        <v>0</v>
      </c>
      <c r="JM238" s="49"/>
      <c r="JN238" s="84"/>
      <c r="JO238" s="71">
        <f t="shared" ref="JO238" ca="1" si="3433">SUM(JO236:JO237)</f>
        <v>0</v>
      </c>
      <c r="JP238" s="49"/>
      <c r="JQ238" s="84"/>
      <c r="JR238" s="71">
        <f t="shared" ref="JR238" ca="1" si="3434">SUM(JR236:JR237)</f>
        <v>0</v>
      </c>
      <c r="JS238" s="49"/>
      <c r="JT238" s="84"/>
      <c r="JU238" s="71">
        <f t="shared" ref="JU238" ca="1" si="3435">SUM(JU236:JU237)</f>
        <v>0</v>
      </c>
      <c r="JV238" s="49"/>
      <c r="JW238" s="84"/>
      <c r="JX238" s="71">
        <f t="shared" ref="JX238" ca="1" si="3436">SUM(JX236:JX237)</f>
        <v>0</v>
      </c>
      <c r="JY238" s="49"/>
      <c r="JZ238" s="84"/>
      <c r="KA238" s="71">
        <f t="shared" ref="KA238" ca="1" si="3437">SUM(KA236:KA237)</f>
        <v>0</v>
      </c>
      <c r="KB238" s="49"/>
      <c r="KC238" s="84"/>
      <c r="KD238" s="71">
        <f t="shared" ref="KD238" ca="1" si="3438">SUM(KD236:KD237)</f>
        <v>0</v>
      </c>
      <c r="KE238" s="49"/>
      <c r="KF238" s="84"/>
      <c r="KG238" s="71">
        <f t="shared" ref="KG238" ca="1" si="3439">SUM(KG236:KG237)</f>
        <v>0</v>
      </c>
      <c r="KH238" s="49"/>
      <c r="KI238" s="84"/>
      <c r="KJ238" s="71">
        <f t="shared" ref="KJ238" ca="1" si="3440">SUM(KJ236:KJ237)</f>
        <v>0</v>
      </c>
      <c r="KK238" s="49"/>
      <c r="KL238" s="84"/>
      <c r="KM238" s="71">
        <f t="shared" ref="KM238" ca="1" si="3441">SUM(KM236:KM237)</f>
        <v>0</v>
      </c>
      <c r="KN238" s="49"/>
      <c r="KO238" s="84"/>
      <c r="KP238" s="71">
        <f t="shared" ref="KP238" ca="1" si="3442">SUM(KP236:KP237)</f>
        <v>0</v>
      </c>
      <c r="KQ238" s="49"/>
      <c r="KR238" s="84"/>
      <c r="KS238" s="71">
        <f t="shared" ref="KS238" ca="1" si="3443">SUM(KS236:KS237)</f>
        <v>0</v>
      </c>
      <c r="KT238" s="49"/>
      <c r="KU238" s="84"/>
      <c r="KV238" s="71">
        <f t="shared" ref="KV238" ca="1" si="3444">SUM(KV236:KV237)</f>
        <v>0</v>
      </c>
      <c r="KW238" s="49"/>
      <c r="KX238" s="84"/>
      <c r="KY238" s="71">
        <f t="shared" ref="KY238" ca="1" si="3445">SUM(KY236:KY237)</f>
        <v>0</v>
      </c>
      <c r="KZ238" s="49"/>
      <c r="LA238" s="84"/>
      <c r="LB238" s="71">
        <f t="shared" ref="LB238" ca="1" si="3446">SUM(LB236:LB237)</f>
        <v>0</v>
      </c>
      <c r="LC238" s="49"/>
      <c r="LD238" s="84"/>
      <c r="LE238" s="71">
        <f t="shared" ref="LE238" ca="1" si="3447">SUM(LE236:LE237)</f>
        <v>0</v>
      </c>
      <c r="LF238" s="49"/>
      <c r="LG238" s="49"/>
    </row>
    <row r="239" spans="1:319">
      <c r="A239" s="25"/>
      <c r="B239" s="25"/>
      <c r="C239" s="25"/>
      <c r="D239" s="25"/>
      <c r="E239" s="25"/>
      <c r="F239" s="407"/>
      <c r="G239" s="407"/>
      <c r="H239" s="65"/>
      <c r="I239" s="50"/>
      <c r="J239" s="94"/>
      <c r="K239" s="113" t="str">
        <f>Idiomas!D146</f>
        <v>QUALIFIED FOR THE FINAL</v>
      </c>
      <c r="L239" s="50"/>
      <c r="M239" s="71"/>
      <c r="N239" s="25"/>
      <c r="O239" s="25"/>
      <c r="P239" s="25"/>
      <c r="Q239" s="25"/>
      <c r="R239" s="17"/>
      <c r="S239" s="84"/>
      <c r="T239" s="71"/>
      <c r="U239" s="49"/>
      <c r="V239" s="84"/>
      <c r="W239" s="71"/>
      <c r="X239" s="49"/>
      <c r="Y239" s="84"/>
      <c r="Z239" s="71"/>
      <c r="AA239" s="49"/>
      <c r="AB239" s="84"/>
      <c r="AC239" s="71"/>
      <c r="AD239" s="49"/>
      <c r="AE239" s="84"/>
      <c r="AF239" s="71"/>
      <c r="AG239" s="49"/>
      <c r="AH239" s="84"/>
      <c r="AI239" s="71"/>
      <c r="AJ239" s="49"/>
      <c r="AK239" s="84"/>
      <c r="AL239" s="71"/>
      <c r="AM239" s="49"/>
      <c r="AN239" s="84"/>
      <c r="AO239" s="71"/>
      <c r="AP239" s="49"/>
      <c r="AQ239" s="84"/>
      <c r="AR239" s="71"/>
      <c r="AS239" s="49"/>
      <c r="AT239" s="84"/>
      <c r="AU239" s="71"/>
      <c r="AV239" s="49"/>
      <c r="AW239" s="84"/>
      <c r="AX239" s="71"/>
      <c r="AY239" s="49"/>
      <c r="AZ239" s="84"/>
      <c r="BA239" s="71"/>
      <c r="BB239" s="49"/>
      <c r="BC239" s="84"/>
      <c r="BD239" s="71"/>
      <c r="BE239" s="49"/>
      <c r="BF239" s="84"/>
      <c r="BG239" s="71"/>
      <c r="BH239" s="49"/>
      <c r="BI239" s="84"/>
      <c r="BJ239" s="71"/>
      <c r="BK239" s="49"/>
      <c r="BL239" s="84"/>
      <c r="BM239" s="71"/>
      <c r="BN239" s="49"/>
      <c r="BO239" s="84"/>
      <c r="BP239" s="71"/>
      <c r="BQ239" s="49"/>
      <c r="BR239" s="84"/>
      <c r="BS239" s="71"/>
      <c r="BT239" s="49"/>
      <c r="BU239" s="84"/>
      <c r="BV239" s="71"/>
      <c r="BW239" s="49"/>
      <c r="BX239" s="84"/>
      <c r="BY239" s="71"/>
      <c r="BZ239" s="49"/>
      <c r="CA239" s="84"/>
      <c r="CB239" s="71"/>
      <c r="CC239" s="49"/>
      <c r="CD239" s="84"/>
      <c r="CE239" s="71"/>
      <c r="CF239" s="49"/>
      <c r="CG239" s="84"/>
      <c r="CH239" s="71"/>
      <c r="CI239" s="49"/>
      <c r="CJ239" s="84"/>
      <c r="CK239" s="71"/>
      <c r="CL239" s="49"/>
      <c r="CM239" s="84"/>
      <c r="CN239" s="71"/>
      <c r="CO239" s="49"/>
      <c r="CP239" s="84"/>
      <c r="CQ239" s="71"/>
      <c r="CR239" s="49"/>
      <c r="CS239" s="84"/>
      <c r="CT239" s="71"/>
      <c r="CU239" s="49"/>
      <c r="CV239" s="84"/>
      <c r="CW239" s="71"/>
      <c r="CX239" s="49"/>
      <c r="CY239" s="84"/>
      <c r="CZ239" s="71"/>
      <c r="DA239" s="49"/>
      <c r="DB239" s="84"/>
      <c r="DC239" s="71"/>
      <c r="DD239" s="49"/>
      <c r="DE239" s="84"/>
      <c r="DF239" s="71"/>
      <c r="DG239" s="49"/>
      <c r="DH239" s="84"/>
      <c r="DI239" s="71"/>
      <c r="DJ239" s="49"/>
      <c r="DK239" s="84"/>
      <c r="DL239" s="71"/>
      <c r="DM239" s="49"/>
      <c r="DN239" s="84"/>
      <c r="DO239" s="71"/>
      <c r="DP239" s="49"/>
      <c r="DQ239" s="84"/>
      <c r="DR239" s="71"/>
      <c r="DS239" s="49"/>
      <c r="DT239" s="84"/>
      <c r="DU239" s="71"/>
      <c r="DV239" s="49"/>
      <c r="DW239" s="84"/>
      <c r="DX239" s="71"/>
      <c r="DY239" s="49"/>
      <c r="DZ239" s="84"/>
      <c r="EA239" s="71"/>
      <c r="EB239" s="49"/>
      <c r="EC239" s="84"/>
      <c r="ED239" s="71"/>
      <c r="EE239" s="49"/>
      <c r="EF239" s="84"/>
      <c r="EG239" s="71"/>
      <c r="EH239" s="49"/>
      <c r="EI239" s="84"/>
      <c r="EJ239" s="71"/>
      <c r="EK239" s="49"/>
      <c r="EL239" s="84"/>
      <c r="EM239" s="71"/>
      <c r="EN239" s="49"/>
      <c r="EO239" s="84"/>
      <c r="EP239" s="71"/>
      <c r="EQ239" s="49"/>
      <c r="ER239" s="84"/>
      <c r="ES239" s="71"/>
      <c r="ET239" s="49"/>
      <c r="EU239" s="84"/>
      <c r="EV239" s="71"/>
      <c r="EW239" s="49"/>
      <c r="EX239" s="84"/>
      <c r="EY239" s="71"/>
      <c r="EZ239" s="49"/>
      <c r="FA239" s="84"/>
      <c r="FB239" s="71"/>
      <c r="FC239" s="49"/>
      <c r="FD239" s="84"/>
      <c r="FE239" s="71"/>
      <c r="FF239" s="49"/>
      <c r="FG239" s="84"/>
      <c r="FH239" s="71"/>
      <c r="FI239" s="49"/>
      <c r="FJ239" s="84"/>
      <c r="FK239" s="71"/>
      <c r="FL239" s="49"/>
      <c r="FM239" s="84"/>
      <c r="FN239" s="71"/>
      <c r="FO239" s="49"/>
      <c r="FP239" s="84"/>
      <c r="FQ239" s="71"/>
      <c r="FR239" s="49"/>
      <c r="FS239" s="84"/>
      <c r="FT239" s="71"/>
      <c r="FU239" s="49"/>
      <c r="FV239" s="84"/>
      <c r="FW239" s="71"/>
      <c r="FX239" s="49"/>
      <c r="FY239" s="84"/>
      <c r="FZ239" s="71"/>
      <c r="GA239" s="49"/>
      <c r="GB239" s="84"/>
      <c r="GC239" s="71"/>
      <c r="GD239" s="49"/>
      <c r="GE239" s="84"/>
      <c r="GF239" s="71"/>
      <c r="GG239" s="49"/>
      <c r="GH239" s="84"/>
      <c r="GI239" s="71"/>
      <c r="GJ239" s="49"/>
      <c r="GK239" s="84"/>
      <c r="GL239" s="71"/>
      <c r="GM239" s="49"/>
      <c r="GN239" s="84"/>
      <c r="GO239" s="71"/>
      <c r="GP239" s="49"/>
      <c r="GQ239" s="84"/>
      <c r="GR239" s="71"/>
      <c r="GS239" s="49"/>
      <c r="GT239" s="84"/>
      <c r="GU239" s="71"/>
      <c r="GV239" s="49"/>
      <c r="GW239" s="84"/>
      <c r="GX239" s="71"/>
      <c r="GY239" s="49"/>
      <c r="GZ239" s="84"/>
      <c r="HA239" s="71"/>
      <c r="HB239" s="49"/>
      <c r="HC239" s="84"/>
      <c r="HD239" s="71"/>
      <c r="HE239" s="49"/>
      <c r="HF239" s="84"/>
      <c r="HG239" s="71"/>
      <c r="HH239" s="49"/>
      <c r="HI239" s="84"/>
      <c r="HJ239" s="71"/>
      <c r="HK239" s="49"/>
      <c r="HL239" s="84"/>
      <c r="HM239" s="71"/>
      <c r="HN239" s="49"/>
      <c r="HO239" s="84"/>
      <c r="HP239" s="71"/>
      <c r="HQ239" s="49"/>
      <c r="HR239" s="84"/>
      <c r="HS239" s="71"/>
      <c r="HT239" s="49"/>
      <c r="HU239" s="84"/>
      <c r="HV239" s="71"/>
      <c r="HW239" s="49"/>
      <c r="HX239" s="84"/>
      <c r="HY239" s="71"/>
      <c r="HZ239" s="49"/>
      <c r="IA239" s="84"/>
      <c r="IB239" s="71"/>
      <c r="IC239" s="49"/>
      <c r="ID239" s="84"/>
      <c r="IE239" s="71"/>
      <c r="IF239" s="49"/>
      <c r="IG239" s="84"/>
      <c r="IH239" s="71"/>
      <c r="II239" s="49"/>
      <c r="IJ239" s="84"/>
      <c r="IK239" s="71"/>
      <c r="IL239" s="49"/>
      <c r="IM239" s="84"/>
      <c r="IN239" s="71"/>
      <c r="IO239" s="49"/>
      <c r="IP239" s="84"/>
      <c r="IQ239" s="71"/>
      <c r="IR239" s="49"/>
      <c r="IS239" s="84"/>
      <c r="IT239" s="71"/>
      <c r="IU239" s="49"/>
      <c r="IV239" s="84"/>
      <c r="IW239" s="71"/>
      <c r="IX239" s="49"/>
      <c r="IY239" s="84"/>
      <c r="IZ239" s="71"/>
      <c r="JA239" s="49"/>
      <c r="JB239" s="84"/>
      <c r="JC239" s="71"/>
      <c r="JD239" s="49"/>
      <c r="JE239" s="84"/>
      <c r="JF239" s="71"/>
      <c r="JG239" s="49"/>
      <c r="JH239" s="84"/>
      <c r="JI239" s="71"/>
      <c r="JJ239" s="49"/>
      <c r="JK239" s="84"/>
      <c r="JL239" s="71"/>
      <c r="JM239" s="49"/>
      <c r="JN239" s="84"/>
      <c r="JO239" s="71"/>
      <c r="JP239" s="49"/>
      <c r="JQ239" s="84"/>
      <c r="JR239" s="71"/>
      <c r="JS239" s="49"/>
      <c r="JT239" s="84"/>
      <c r="JU239" s="71"/>
      <c r="JV239" s="49"/>
      <c r="JW239" s="84"/>
      <c r="JX239" s="71"/>
      <c r="JY239" s="49"/>
      <c r="JZ239" s="84"/>
      <c r="KA239" s="71"/>
      <c r="KB239" s="49"/>
      <c r="KC239" s="84"/>
      <c r="KD239" s="71"/>
      <c r="KE239" s="49"/>
      <c r="KF239" s="84"/>
      <c r="KG239" s="71"/>
      <c r="KH239" s="49"/>
      <c r="KI239" s="84"/>
      <c r="KJ239" s="71"/>
      <c r="KK239" s="49"/>
      <c r="KL239" s="84"/>
      <c r="KM239" s="71"/>
      <c r="KN239" s="49"/>
      <c r="KO239" s="84"/>
      <c r="KP239" s="71"/>
      <c r="KQ239" s="49"/>
      <c r="KR239" s="84"/>
      <c r="KS239" s="71"/>
      <c r="KT239" s="49"/>
      <c r="KU239" s="84"/>
      <c r="KV239" s="71"/>
      <c r="KW239" s="49"/>
      <c r="KX239" s="84"/>
      <c r="KY239" s="71"/>
      <c r="KZ239" s="49"/>
      <c r="LA239" s="84"/>
      <c r="LB239" s="71"/>
      <c r="LC239" s="49"/>
      <c r="LD239" s="84"/>
      <c r="LE239" s="71"/>
      <c r="LF239" s="49"/>
      <c r="LG239" s="49"/>
    </row>
    <row r="240" spans="1:319">
      <c r="A240" s="25"/>
      <c r="B240" s="25"/>
      <c r="C240" s="25"/>
      <c r="D240" s="25"/>
      <c r="E240" s="25"/>
      <c r="F240" s="407">
        <f>$D$32</f>
        <v>45</v>
      </c>
      <c r="G240" s="407">
        <f ca="1">VLOOKUP(H240,Equipos!$Q$1:$R$25,2,0)</f>
        <v>23</v>
      </c>
      <c r="H240" s="65" t="str">
        <f>Idiomas!$D$263</f>
        <v>Semifinals</v>
      </c>
      <c r="I240" s="50"/>
      <c r="J240" s="846" t="s">
        <v>4</v>
      </c>
      <c r="K240" s="53" t="str">
        <f>Idiomas!$D$203&amp;"-"&amp;ROWS($L$240:L240)</f>
        <v>Finalist-1</v>
      </c>
      <c r="L240" s="53"/>
      <c r="M240" s="55" t="str">
        <f ca="1">WORLDCUP!AA147</f>
        <v>Spain</v>
      </c>
      <c r="N240" s="25"/>
      <c r="O240" s="25"/>
      <c r="P240" s="25"/>
      <c r="Q240" s="25"/>
      <c r="R240" s="17"/>
      <c r="S240" s="76" t="s">
        <v>295</v>
      </c>
      <c r="T240" s="77">
        <f ca="1">COUNTIF($M$240:$M$241,S240)*$D$32</f>
        <v>45</v>
      </c>
      <c r="U240" s="110"/>
      <c r="V240" s="76" t="s">
        <v>291</v>
      </c>
      <c r="W240" s="77">
        <f t="shared" ref="W240" ca="1" si="3448">COUNTIF($M$240:$M$241,V240)*$D$32</f>
        <v>0</v>
      </c>
      <c r="X240" s="110"/>
      <c r="Y240" s="76" t="s">
        <v>1282</v>
      </c>
      <c r="Z240" s="77">
        <f t="shared" ref="Z240" ca="1" si="3449">COUNTIF($M$240:$M$241,Y240)*$D$32</f>
        <v>0</v>
      </c>
      <c r="AA240" s="110"/>
      <c r="AB240" s="76" t="s">
        <v>294</v>
      </c>
      <c r="AC240" s="77">
        <f t="shared" ref="AC240" ca="1" si="3450">COUNTIF($M$240:$M$241,AB240)*$D$32</f>
        <v>0</v>
      </c>
      <c r="AD240" s="110"/>
      <c r="AE240" s="76" t="s">
        <v>294</v>
      </c>
      <c r="AF240" s="77">
        <f t="shared" ref="AF240" ca="1" si="3451">COUNTIF($M$240:$M$241,AE240)*$D$32</f>
        <v>0</v>
      </c>
      <c r="AG240" s="110"/>
      <c r="AH240" s="76" t="s">
        <v>295</v>
      </c>
      <c r="AI240" s="77">
        <f t="shared" ref="AI240" ca="1" si="3452">COUNTIF($M$240:$M$241,AH240)*$D$32</f>
        <v>45</v>
      </c>
      <c r="AJ240" s="110"/>
      <c r="AK240" s="76" t="s">
        <v>294</v>
      </c>
      <c r="AL240" s="77">
        <f t="shared" ref="AL240" ca="1" si="3453">COUNTIF($M$240:$M$241,AK240)*$D$32</f>
        <v>0</v>
      </c>
      <c r="AM240" s="110"/>
      <c r="AN240" s="76" t="s">
        <v>1319</v>
      </c>
      <c r="AO240" s="77">
        <f t="shared" ref="AO240" ca="1" si="3454">COUNTIF($M$240:$M$241,AN240)*$D$32</f>
        <v>0</v>
      </c>
      <c r="AP240" s="110"/>
      <c r="AQ240" s="76" t="s">
        <v>291</v>
      </c>
      <c r="AR240" s="77">
        <f t="shared" ref="AR240" ca="1" si="3455">COUNTIF($M$240:$M$241,AQ240)*$D$32</f>
        <v>0</v>
      </c>
      <c r="AS240" s="110"/>
      <c r="AT240" s="76" t="s">
        <v>294</v>
      </c>
      <c r="AU240" s="77">
        <f t="shared" ref="AU240" ca="1" si="3456">COUNTIF($M$240:$M$241,AT240)*$D$32</f>
        <v>0</v>
      </c>
      <c r="AV240" s="110"/>
      <c r="AW240" s="76" t="s">
        <v>297</v>
      </c>
      <c r="AX240" s="77">
        <f t="shared" ref="AX240" ca="1" si="3457">COUNTIF($M$240:$M$241,AW240)*$D$32</f>
        <v>0</v>
      </c>
      <c r="AY240" s="110"/>
      <c r="AZ240" s="76" t="s">
        <v>295</v>
      </c>
      <c r="BA240" s="77">
        <f t="shared" ref="BA240" ca="1" si="3458">COUNTIF($M$240:$M$241,AZ240)*$D$32</f>
        <v>45</v>
      </c>
      <c r="BB240" s="110"/>
      <c r="BC240" s="76" t="s">
        <v>295</v>
      </c>
      <c r="BD240" s="77">
        <f t="shared" ref="BD240" ca="1" si="3459">COUNTIF($M$240:$M$241,BC240)*$D$32</f>
        <v>45</v>
      </c>
      <c r="BE240" s="110"/>
      <c r="BF240" s="76" t="s">
        <v>294</v>
      </c>
      <c r="BG240" s="77">
        <f t="shared" ref="BG240" ca="1" si="3460">COUNTIF($M$240:$M$241,BF240)*$D$32</f>
        <v>0</v>
      </c>
      <c r="BH240" s="110"/>
      <c r="BI240" s="76" t="s">
        <v>295</v>
      </c>
      <c r="BJ240" s="77">
        <f t="shared" ref="BJ240" ca="1" si="3461">COUNTIF($M$240:$M$241,BI240)*$D$32</f>
        <v>45</v>
      </c>
      <c r="BK240" s="110"/>
      <c r="BL240" s="76" t="s">
        <v>295</v>
      </c>
      <c r="BM240" s="77">
        <f t="shared" ref="BM240" ca="1" si="3462">COUNTIF($M$240:$M$241,BL240)*$D$32</f>
        <v>45</v>
      </c>
      <c r="BN240" s="110"/>
      <c r="BO240" s="76" t="s">
        <v>294</v>
      </c>
      <c r="BP240" s="77">
        <f t="shared" ref="BP240" ca="1" si="3463">COUNTIF($M$240:$M$241,BO240)*$D$32</f>
        <v>0</v>
      </c>
      <c r="BQ240" s="110"/>
      <c r="BR240" s="76" t="s">
        <v>294</v>
      </c>
      <c r="BS240" s="77">
        <f t="shared" ref="BS240" ca="1" si="3464">COUNTIF($M$240:$M$241,BR240)*$D$32</f>
        <v>0</v>
      </c>
      <c r="BT240" s="110"/>
      <c r="BU240" s="76" t="s">
        <v>294</v>
      </c>
      <c r="BV240" s="77">
        <f t="shared" ref="BV240" ca="1" si="3465">COUNTIF($M$240:$M$241,BU240)*$D$32</f>
        <v>0</v>
      </c>
      <c r="BW240" s="110"/>
      <c r="BX240" s="76" t="s">
        <v>295</v>
      </c>
      <c r="BY240" s="77">
        <f t="shared" ref="BY240" ca="1" si="3466">COUNTIF($M$240:$M$241,BX240)*$D$32</f>
        <v>45</v>
      </c>
      <c r="BZ240" s="110"/>
      <c r="CA240" s="76" t="s">
        <v>295</v>
      </c>
      <c r="CB240" s="77">
        <f t="shared" ref="CB240" ca="1" si="3467">COUNTIF($M$240:$M$241,CA240)*$D$32</f>
        <v>45</v>
      </c>
      <c r="CC240" s="110"/>
      <c r="CD240" s="76" t="s">
        <v>294</v>
      </c>
      <c r="CE240" s="77">
        <f t="shared" ref="CE240" ca="1" si="3468">COUNTIF($M$240:$M$241,CD240)*$D$32</f>
        <v>0</v>
      </c>
      <c r="CF240" s="110"/>
      <c r="CG240" s="76" t="s">
        <v>294</v>
      </c>
      <c r="CH240" s="77">
        <f t="shared" ref="CH240" ca="1" si="3469">COUNTIF($M$240:$M$241,CG240)*$D$32</f>
        <v>0</v>
      </c>
      <c r="CI240" s="110"/>
      <c r="CJ240" s="76" t="s">
        <v>291</v>
      </c>
      <c r="CK240" s="77">
        <f t="shared" ref="CK240" ca="1" si="3470">COUNTIF($M$240:$M$241,CJ240)*$D$32</f>
        <v>0</v>
      </c>
      <c r="CL240" s="110"/>
      <c r="CM240" s="76" t="s">
        <v>295</v>
      </c>
      <c r="CN240" s="77">
        <f t="shared" ref="CN240" ca="1" si="3471">COUNTIF($M$240:$M$241,CM240)*$D$32</f>
        <v>45</v>
      </c>
      <c r="CO240" s="110"/>
      <c r="CP240" s="76" t="s">
        <v>295</v>
      </c>
      <c r="CQ240" s="77">
        <f t="shared" ref="CQ240" ca="1" si="3472">COUNTIF($M$240:$M$241,CP240)*$D$32</f>
        <v>45</v>
      </c>
      <c r="CR240" s="110"/>
      <c r="CS240" s="76" t="s">
        <v>297</v>
      </c>
      <c r="CT240" s="77">
        <f t="shared" ref="CT240" ca="1" si="3473">COUNTIF($M$240:$M$241,CS240)*$D$32</f>
        <v>0</v>
      </c>
      <c r="CU240" s="110"/>
      <c r="CV240" s="76" t="s">
        <v>291</v>
      </c>
      <c r="CW240" s="77">
        <f t="shared" ref="CW240" ca="1" si="3474">COUNTIF($M$240:$M$241,CV240)*$D$32</f>
        <v>0</v>
      </c>
      <c r="CX240" s="110"/>
      <c r="CY240" s="76" t="s">
        <v>291</v>
      </c>
      <c r="CZ240" s="77">
        <f t="shared" ref="CZ240" ca="1" si="3475">COUNTIF($M$240:$M$241,CY240)*$D$32</f>
        <v>0</v>
      </c>
      <c r="DA240" s="110"/>
      <c r="DB240" s="76" t="s">
        <v>294</v>
      </c>
      <c r="DC240" s="77">
        <f t="shared" ref="DC240" ca="1" si="3476">COUNTIF($M$240:$M$241,DB240)*$D$32</f>
        <v>0</v>
      </c>
      <c r="DD240" s="110"/>
      <c r="DE240" s="76" t="s">
        <v>295</v>
      </c>
      <c r="DF240" s="77">
        <f t="shared" ref="DF240" ca="1" si="3477">COUNTIF($M$240:$M$241,DE240)*$D$32</f>
        <v>45</v>
      </c>
      <c r="DG240" s="110"/>
      <c r="DH240" s="76" t="s">
        <v>294</v>
      </c>
      <c r="DI240" s="77">
        <f t="shared" ref="DI240" ca="1" si="3478">COUNTIF($M$240:$M$241,DH240)*$D$32</f>
        <v>0</v>
      </c>
      <c r="DJ240" s="110"/>
      <c r="DK240" s="76" t="s">
        <v>295</v>
      </c>
      <c r="DL240" s="77">
        <f t="shared" ref="DL240" ca="1" si="3479">COUNTIF($M$240:$M$241,DK240)*$D$32</f>
        <v>45</v>
      </c>
      <c r="DM240" s="110"/>
      <c r="DN240" s="76" t="s">
        <v>295</v>
      </c>
      <c r="DO240" s="77">
        <f t="shared" ref="DO240" ca="1" si="3480">COUNTIF($M$240:$M$241,DN240)*$D$32</f>
        <v>45</v>
      </c>
      <c r="DP240" s="110"/>
      <c r="DQ240" s="76" t="s">
        <v>294</v>
      </c>
      <c r="DR240" s="77">
        <f t="shared" ref="DR240" ca="1" si="3481">COUNTIF($M$240:$M$241,DQ240)*$D$32</f>
        <v>0</v>
      </c>
      <c r="DS240" s="110"/>
      <c r="DT240" s="76" t="s">
        <v>294</v>
      </c>
      <c r="DU240" s="77">
        <f t="shared" ref="DU240" ca="1" si="3482">COUNTIF($M$240:$M$241,DT240)*$D$32</f>
        <v>0</v>
      </c>
      <c r="DV240" s="110"/>
      <c r="DW240" s="76" t="s">
        <v>295</v>
      </c>
      <c r="DX240" s="77">
        <f t="shared" ref="DX240" ca="1" si="3483">COUNTIF($M$240:$M$241,DW240)*$D$32</f>
        <v>45</v>
      </c>
      <c r="DY240" s="110"/>
      <c r="DZ240" s="76" t="s">
        <v>294</v>
      </c>
      <c r="EA240" s="77">
        <f t="shared" ref="EA240" ca="1" si="3484">COUNTIF($M$240:$M$241,DZ240)*$D$32</f>
        <v>0</v>
      </c>
      <c r="EB240" s="110"/>
      <c r="EC240" s="76" t="s">
        <v>294</v>
      </c>
      <c r="ED240" s="77">
        <f t="shared" ref="ED240" ca="1" si="3485">COUNTIF($M$240:$M$241,EC240)*$D$32</f>
        <v>0</v>
      </c>
      <c r="EE240" s="110"/>
      <c r="EF240" s="76" t="s">
        <v>297</v>
      </c>
      <c r="EG240" s="77">
        <f t="shared" ref="EG240" ca="1" si="3486">COUNTIF($M$240:$M$241,EF240)*$D$32</f>
        <v>0</v>
      </c>
      <c r="EH240" s="110"/>
      <c r="EI240" s="76" t="s">
        <v>295</v>
      </c>
      <c r="EJ240" s="77">
        <f t="shared" ref="EJ240" ca="1" si="3487">COUNTIF($M$240:$M$241,EI240)*$D$32</f>
        <v>45</v>
      </c>
      <c r="EK240" s="110"/>
      <c r="EL240" s="76" t="s">
        <v>295</v>
      </c>
      <c r="EM240" s="77">
        <f t="shared" ref="EM240" ca="1" si="3488">COUNTIF($M$240:$M$241,EL240)*$D$32</f>
        <v>45</v>
      </c>
      <c r="EN240" s="110"/>
      <c r="EO240" s="76" t="s">
        <v>294</v>
      </c>
      <c r="EP240" s="77">
        <f t="shared" ref="EP240" ca="1" si="3489">COUNTIF($M$240:$M$241,EO240)*$D$32</f>
        <v>0</v>
      </c>
      <c r="EQ240" s="110"/>
      <c r="ER240" s="76" t="s">
        <v>295</v>
      </c>
      <c r="ES240" s="77">
        <f t="shared" ref="ES240" ca="1" si="3490">COUNTIF($M$240:$M$241,ER240)*$D$32</f>
        <v>45</v>
      </c>
      <c r="ET240" s="110"/>
      <c r="EU240" s="76" t="s">
        <v>294</v>
      </c>
      <c r="EV240" s="77">
        <f t="shared" ref="EV240" ca="1" si="3491">COUNTIF($M$240:$M$241,EU240)*$D$32</f>
        <v>0</v>
      </c>
      <c r="EW240" s="110"/>
      <c r="EX240" s="76" t="s">
        <v>294</v>
      </c>
      <c r="EY240" s="77">
        <f t="shared" ref="EY240" ca="1" si="3492">COUNTIF($M$240:$M$241,EX240)*$D$32</f>
        <v>0</v>
      </c>
      <c r="EZ240" s="110"/>
      <c r="FA240" s="76" t="s">
        <v>294</v>
      </c>
      <c r="FB240" s="77">
        <f t="shared" ref="FB240" ca="1" si="3493">COUNTIF($M$240:$M$241,FA240)*$D$32</f>
        <v>0</v>
      </c>
      <c r="FC240" s="110"/>
      <c r="FD240" s="76" t="s">
        <v>291</v>
      </c>
      <c r="FE240" s="77">
        <f t="shared" ref="FE240" ca="1" si="3494">COUNTIF($M$240:$M$241,FD240)*$D$32</f>
        <v>0</v>
      </c>
      <c r="FF240" s="110"/>
      <c r="FG240" s="76" t="s">
        <v>294</v>
      </c>
      <c r="FH240" s="77">
        <f t="shared" ref="FH240" ca="1" si="3495">COUNTIF($M$240:$M$241,FG240)*$D$32</f>
        <v>0</v>
      </c>
      <c r="FI240" s="110"/>
      <c r="FJ240" s="76" t="s">
        <v>295</v>
      </c>
      <c r="FK240" s="77">
        <f t="shared" ref="FK240" ca="1" si="3496">COUNTIF($M$240:$M$241,FJ240)*$D$32</f>
        <v>45</v>
      </c>
      <c r="FL240" s="110"/>
      <c r="FM240" s="76" t="s">
        <v>294</v>
      </c>
      <c r="FN240" s="77">
        <f t="shared" ref="FN240" ca="1" si="3497">COUNTIF($M$240:$M$241,FM240)*$D$32</f>
        <v>0</v>
      </c>
      <c r="FO240" s="110"/>
      <c r="FP240" s="76" t="s">
        <v>294</v>
      </c>
      <c r="FQ240" s="77">
        <f t="shared" ref="FQ240" ca="1" si="3498">COUNTIF($M$240:$M$241,FP240)*$D$32</f>
        <v>0</v>
      </c>
      <c r="FR240" s="110"/>
      <c r="FS240" s="76" t="s">
        <v>295</v>
      </c>
      <c r="FT240" s="77">
        <f t="shared" ref="FT240" ca="1" si="3499">COUNTIF($M$240:$M$241,FS240)*$D$32</f>
        <v>45</v>
      </c>
      <c r="FU240" s="110"/>
      <c r="FV240" s="76" t="s">
        <v>295</v>
      </c>
      <c r="FW240" s="77">
        <f t="shared" ref="FW240" ca="1" si="3500">COUNTIF($M$240:$M$241,FV240)*$D$32</f>
        <v>45</v>
      </c>
      <c r="FX240" s="110"/>
      <c r="FY240" s="76" t="s">
        <v>295</v>
      </c>
      <c r="FZ240" s="77">
        <f t="shared" ref="FZ240" ca="1" si="3501">COUNTIF($M$240:$M$241,FY240)*$D$32</f>
        <v>45</v>
      </c>
      <c r="GA240" s="110"/>
      <c r="GB240" s="76" t="s">
        <v>295</v>
      </c>
      <c r="GC240" s="77">
        <f t="shared" ref="GC240" ca="1" si="3502">COUNTIF($M$240:$M$241,GB240)*$D$32</f>
        <v>45</v>
      </c>
      <c r="GD240" s="110"/>
      <c r="GE240" s="76" t="s">
        <v>291</v>
      </c>
      <c r="GF240" s="77">
        <f t="shared" ref="GF240" ca="1" si="3503">COUNTIF($M$240:$M$241,GE240)*$D$32</f>
        <v>0</v>
      </c>
      <c r="GG240" s="110"/>
      <c r="GH240" s="76" t="s">
        <v>294</v>
      </c>
      <c r="GI240" s="77">
        <f t="shared" ref="GI240" ca="1" si="3504">COUNTIF($M$240:$M$241,GH240)*$D$32</f>
        <v>0</v>
      </c>
      <c r="GJ240" s="110"/>
      <c r="GK240" s="76" t="s">
        <v>291</v>
      </c>
      <c r="GL240" s="77">
        <f t="shared" ref="GL240" ca="1" si="3505">COUNTIF($M$240:$M$241,GK240)*$D$32</f>
        <v>0</v>
      </c>
      <c r="GM240" s="110"/>
      <c r="GN240" s="76"/>
      <c r="GO240" s="77">
        <f t="shared" ref="GO240" ca="1" si="3506">COUNTIF($M$240:$M$241,GN240)*$D$32</f>
        <v>0</v>
      </c>
      <c r="GP240" s="110"/>
      <c r="GQ240" s="76"/>
      <c r="GR240" s="77">
        <f t="shared" ref="GR240" ca="1" si="3507">COUNTIF($M$240:$M$241,GQ240)*$D$32</f>
        <v>0</v>
      </c>
      <c r="GS240" s="110"/>
      <c r="GT240" s="76"/>
      <c r="GU240" s="77">
        <f t="shared" ref="GU240" ca="1" si="3508">COUNTIF($M$240:$M$241,GT240)*$D$32</f>
        <v>0</v>
      </c>
      <c r="GV240" s="110"/>
      <c r="GW240" s="76"/>
      <c r="GX240" s="77">
        <f t="shared" ref="GX240" ca="1" si="3509">COUNTIF($M$240:$M$241,GW240)*$D$32</f>
        <v>0</v>
      </c>
      <c r="GY240" s="110"/>
      <c r="GZ240" s="76"/>
      <c r="HA240" s="77">
        <f t="shared" ref="HA240" ca="1" si="3510">COUNTIF($M$240:$M$241,GZ240)*$D$32</f>
        <v>0</v>
      </c>
      <c r="HB240" s="110"/>
      <c r="HC240" s="76"/>
      <c r="HD240" s="77">
        <f t="shared" ref="HD240" ca="1" si="3511">COUNTIF($M$240:$M$241,HC240)*$D$32</f>
        <v>0</v>
      </c>
      <c r="HE240" s="110"/>
      <c r="HF240" s="76"/>
      <c r="HG240" s="77">
        <f t="shared" ref="HG240" ca="1" si="3512">COUNTIF($M$240:$M$241,HF240)*$D$32</f>
        <v>0</v>
      </c>
      <c r="HH240" s="110"/>
      <c r="HI240" s="76"/>
      <c r="HJ240" s="77">
        <f t="shared" ref="HJ240" ca="1" si="3513">COUNTIF($M$240:$M$241,HI240)*$D$32</f>
        <v>0</v>
      </c>
      <c r="HK240" s="110"/>
      <c r="HL240" s="76"/>
      <c r="HM240" s="77">
        <f t="shared" ref="HM240" ca="1" si="3514">COUNTIF($M$240:$M$241,HL240)*$D$32</f>
        <v>0</v>
      </c>
      <c r="HN240" s="110"/>
      <c r="HO240" s="76"/>
      <c r="HP240" s="77">
        <f t="shared" ref="HP240" ca="1" si="3515">COUNTIF($M$240:$M$241,HO240)*$D$32</f>
        <v>0</v>
      </c>
      <c r="HQ240" s="110"/>
      <c r="HR240" s="76"/>
      <c r="HS240" s="77">
        <f t="shared" ref="HS240" ca="1" si="3516">COUNTIF($M$240:$M$241,HR240)*$D$32</f>
        <v>0</v>
      </c>
      <c r="HT240" s="110"/>
      <c r="HU240" s="76"/>
      <c r="HV240" s="77">
        <f t="shared" ref="HV240" ca="1" si="3517">COUNTIF($M$240:$M$241,HU240)*$D$32</f>
        <v>0</v>
      </c>
      <c r="HW240" s="110"/>
      <c r="HX240" s="76"/>
      <c r="HY240" s="77">
        <f t="shared" ref="HY240" ca="1" si="3518">COUNTIF($M$240:$M$241,HX240)*$D$32</f>
        <v>0</v>
      </c>
      <c r="HZ240" s="110"/>
      <c r="IA240" s="76"/>
      <c r="IB240" s="77">
        <f t="shared" ref="IB240" ca="1" si="3519">COUNTIF($M$240:$M$241,IA240)*$D$32</f>
        <v>0</v>
      </c>
      <c r="IC240" s="110"/>
      <c r="ID240" s="76"/>
      <c r="IE240" s="77">
        <f t="shared" ref="IE240" ca="1" si="3520">COUNTIF($M$240:$M$241,ID240)*$D$32</f>
        <v>0</v>
      </c>
      <c r="IF240" s="110"/>
      <c r="IG240" s="76"/>
      <c r="IH240" s="77">
        <f t="shared" ref="IH240" ca="1" si="3521">COUNTIF($M$240:$M$241,IG240)*$D$32</f>
        <v>0</v>
      </c>
      <c r="II240" s="110"/>
      <c r="IJ240" s="76"/>
      <c r="IK240" s="77">
        <f t="shared" ref="IK240" ca="1" si="3522">COUNTIF($M$240:$M$241,IJ240)*$D$32</f>
        <v>0</v>
      </c>
      <c r="IL240" s="110"/>
      <c r="IM240" s="76"/>
      <c r="IN240" s="77">
        <f t="shared" ref="IN240" ca="1" si="3523">COUNTIF($M$240:$M$241,IM240)*$D$32</f>
        <v>0</v>
      </c>
      <c r="IO240" s="110"/>
      <c r="IP240" s="76"/>
      <c r="IQ240" s="77">
        <f t="shared" ref="IQ240" ca="1" si="3524">COUNTIF($M$240:$M$241,IP240)*$D$32</f>
        <v>0</v>
      </c>
      <c r="IR240" s="110"/>
      <c r="IS240" s="76"/>
      <c r="IT240" s="77">
        <f t="shared" ref="IT240" ca="1" si="3525">COUNTIF($M$240:$M$241,IS240)*$D$32</f>
        <v>0</v>
      </c>
      <c r="IU240" s="110"/>
      <c r="IV240" s="76"/>
      <c r="IW240" s="77">
        <f t="shared" ref="IW240" ca="1" si="3526">COUNTIF($M$240:$M$241,IV240)*$D$32</f>
        <v>0</v>
      </c>
      <c r="IX240" s="110"/>
      <c r="IY240" s="76"/>
      <c r="IZ240" s="77">
        <f t="shared" ref="IZ240" ca="1" si="3527">COUNTIF($M$240:$M$241,IY240)*$D$32</f>
        <v>0</v>
      </c>
      <c r="JA240" s="110"/>
      <c r="JB240" s="76"/>
      <c r="JC240" s="77">
        <f t="shared" ref="JC240" ca="1" si="3528">COUNTIF($M$240:$M$241,JB240)*$D$32</f>
        <v>0</v>
      </c>
      <c r="JD240" s="110"/>
      <c r="JE240" s="76"/>
      <c r="JF240" s="77">
        <f t="shared" ref="JF240" ca="1" si="3529">COUNTIF($M$240:$M$241,JE240)*$D$32</f>
        <v>0</v>
      </c>
      <c r="JG240" s="110"/>
      <c r="JH240" s="76"/>
      <c r="JI240" s="77">
        <f t="shared" ref="JI240" ca="1" si="3530">COUNTIF($M$240:$M$241,JH240)*$D$32</f>
        <v>0</v>
      </c>
      <c r="JJ240" s="110"/>
      <c r="JK240" s="76"/>
      <c r="JL240" s="77">
        <f t="shared" ref="JL240" ca="1" si="3531">COUNTIF($M$240:$M$241,JK240)*$D$32</f>
        <v>0</v>
      </c>
      <c r="JM240" s="110"/>
      <c r="JN240" s="76"/>
      <c r="JO240" s="77">
        <f t="shared" ref="JO240" ca="1" si="3532">COUNTIF($M$240:$M$241,JN240)*$D$32</f>
        <v>0</v>
      </c>
      <c r="JP240" s="110"/>
      <c r="JQ240" s="76"/>
      <c r="JR240" s="77">
        <f t="shared" ref="JR240" ca="1" si="3533">COUNTIF($M$240:$M$241,JQ240)*$D$32</f>
        <v>0</v>
      </c>
      <c r="JS240" s="110"/>
      <c r="JT240" s="76"/>
      <c r="JU240" s="77">
        <f t="shared" ref="JU240" ca="1" si="3534">COUNTIF($M$240:$M$241,JT240)*$D$32</f>
        <v>0</v>
      </c>
      <c r="JV240" s="110"/>
      <c r="JW240" s="76"/>
      <c r="JX240" s="77">
        <f t="shared" ref="JX240" ca="1" si="3535">COUNTIF($M$240:$M$241,JW240)*$D$32</f>
        <v>0</v>
      </c>
      <c r="JY240" s="110"/>
      <c r="JZ240" s="76"/>
      <c r="KA240" s="77">
        <f t="shared" ref="KA240" ca="1" si="3536">COUNTIF($M$240:$M$241,JZ240)*$D$32</f>
        <v>0</v>
      </c>
      <c r="KB240" s="110"/>
      <c r="KC240" s="76"/>
      <c r="KD240" s="77">
        <f t="shared" ref="KD240" ca="1" si="3537">COUNTIF($M$240:$M$241,KC240)*$D$32</f>
        <v>0</v>
      </c>
      <c r="KE240" s="110"/>
      <c r="KF240" s="76"/>
      <c r="KG240" s="77">
        <f t="shared" ref="KG240" ca="1" si="3538">COUNTIF($M$240:$M$241,KF240)*$D$32</f>
        <v>0</v>
      </c>
      <c r="KH240" s="110"/>
      <c r="KI240" s="76"/>
      <c r="KJ240" s="77">
        <f t="shared" ref="KJ240" ca="1" si="3539">COUNTIF($M$240:$M$241,KI240)*$D$32</f>
        <v>0</v>
      </c>
      <c r="KK240" s="110"/>
      <c r="KL240" s="76"/>
      <c r="KM240" s="77">
        <f t="shared" ref="KM240" ca="1" si="3540">COUNTIF($M$240:$M$241,KL240)*$D$32</f>
        <v>0</v>
      </c>
      <c r="KN240" s="110"/>
      <c r="KO240" s="76"/>
      <c r="KP240" s="77">
        <f t="shared" ref="KP240" ca="1" si="3541">COUNTIF($M$240:$M$241,KO240)*$D$32</f>
        <v>0</v>
      </c>
      <c r="KQ240" s="110"/>
      <c r="KR240" s="76"/>
      <c r="KS240" s="77">
        <f t="shared" ref="KS240" ca="1" si="3542">COUNTIF($M$240:$M$241,KR240)*$D$32</f>
        <v>0</v>
      </c>
      <c r="KT240" s="110"/>
      <c r="KU240" s="76"/>
      <c r="KV240" s="77">
        <f t="shared" ref="KV240" ca="1" si="3543">COUNTIF($M$240:$M$241,KU240)*$D$32</f>
        <v>0</v>
      </c>
      <c r="KW240" s="110"/>
      <c r="KX240" s="76"/>
      <c r="KY240" s="77">
        <f t="shared" ref="KY240" ca="1" si="3544">COUNTIF($M$240:$M$241,KX240)*$D$32</f>
        <v>0</v>
      </c>
      <c r="KZ240" s="110"/>
      <c r="LA240" s="76"/>
      <c r="LB240" s="77">
        <f t="shared" ref="LB240" ca="1" si="3545">COUNTIF($M$240:$M$241,LA240)*$D$32</f>
        <v>0</v>
      </c>
      <c r="LC240" s="110"/>
      <c r="LD240" s="76"/>
      <c r="LE240" s="77">
        <f t="shared" ref="LE240" ca="1" si="3546">COUNTIF($M$240:$M$241,LD240)*$D$32</f>
        <v>0</v>
      </c>
      <c r="LF240" s="110"/>
      <c r="LG240" s="110"/>
    </row>
    <row r="241" spans="1:319">
      <c r="A241" s="25"/>
      <c r="B241" s="25"/>
      <c r="C241" s="25"/>
      <c r="D241" s="25"/>
      <c r="E241" s="25"/>
      <c r="F241" s="407">
        <f>$D$32</f>
        <v>45</v>
      </c>
      <c r="G241" s="407">
        <f ca="1">VLOOKUP(H241,Equipos!$Q$1:$R$25,2,0)</f>
        <v>23</v>
      </c>
      <c r="H241" s="65" t="str">
        <f>Idiomas!$D$263</f>
        <v>Semifinals</v>
      </c>
      <c r="I241" s="50"/>
      <c r="J241" s="846"/>
      <c r="K241" s="115" t="str">
        <f>Idiomas!$D$203&amp;"-"&amp;ROWS($L$240:L241)</f>
        <v>Finalist-2</v>
      </c>
      <c r="L241" s="115"/>
      <c r="M241" s="116" t="str">
        <f ca="1">WORLDCUP!AF147</f>
        <v>Argentina</v>
      </c>
      <c r="N241" s="25"/>
      <c r="O241" s="25"/>
      <c r="P241" s="25"/>
      <c r="Q241" s="25"/>
      <c r="R241" s="17"/>
      <c r="S241" s="80" t="s">
        <v>290</v>
      </c>
      <c r="T241" s="81">
        <f ca="1">COUNTIF($M$240:$M$241,S241)*$D$32</f>
        <v>0</v>
      </c>
      <c r="U241" s="110"/>
      <c r="V241" s="80" t="s">
        <v>1256</v>
      </c>
      <c r="W241" s="81">
        <f t="shared" ref="W241" ca="1" si="3547">COUNTIF($M$240:$M$241,V241)*$D$32</f>
        <v>45</v>
      </c>
      <c r="X241" s="110"/>
      <c r="Y241" s="80" t="s">
        <v>1274</v>
      </c>
      <c r="Z241" s="81">
        <f t="shared" ref="Z241" ca="1" si="3548">COUNTIF($M$240:$M$241,Y241)*$D$32</f>
        <v>0</v>
      </c>
      <c r="AA241" s="110"/>
      <c r="AB241" s="80" t="s">
        <v>1256</v>
      </c>
      <c r="AC241" s="81">
        <f t="shared" ref="AC241" ca="1" si="3549">COUNTIF($M$240:$M$241,AB241)*$D$32</f>
        <v>45</v>
      </c>
      <c r="AD241" s="110"/>
      <c r="AE241" s="80" t="s">
        <v>79</v>
      </c>
      <c r="AF241" s="81">
        <f t="shared" ref="AF241" ca="1" si="3550">COUNTIF($M$240:$M$241,AE241)*$D$32</f>
        <v>0</v>
      </c>
      <c r="AG241" s="110"/>
      <c r="AH241" s="80" t="s">
        <v>1274</v>
      </c>
      <c r="AI241" s="81">
        <f t="shared" ref="AI241" ca="1" si="3551">COUNTIF($M$240:$M$241,AH241)*$D$32</f>
        <v>0</v>
      </c>
      <c r="AJ241" s="110"/>
      <c r="AK241" s="80" t="s">
        <v>1274</v>
      </c>
      <c r="AL241" s="81">
        <f t="shared" ref="AL241" ca="1" si="3552">COUNTIF($M$240:$M$241,AK241)*$D$32</f>
        <v>0</v>
      </c>
      <c r="AM241" s="110"/>
      <c r="AN241" s="80" t="s">
        <v>1634</v>
      </c>
      <c r="AO241" s="81">
        <f t="shared" ref="AO241" ca="1" si="3553">COUNTIF($M$240:$M$241,AN241)*$D$32</f>
        <v>0</v>
      </c>
      <c r="AP241" s="110"/>
      <c r="AQ241" s="80" t="s">
        <v>1274</v>
      </c>
      <c r="AR241" s="81">
        <f t="shared" ref="AR241" ca="1" si="3554">COUNTIF($M$240:$M$241,AQ241)*$D$32</f>
        <v>0</v>
      </c>
      <c r="AS241" s="110"/>
      <c r="AT241" s="80" t="s">
        <v>1274</v>
      </c>
      <c r="AU241" s="81">
        <f t="shared" ref="AU241" ca="1" si="3555">COUNTIF($M$240:$M$241,AT241)*$D$32</f>
        <v>0</v>
      </c>
      <c r="AV241" s="110"/>
      <c r="AW241" s="80" t="s">
        <v>498</v>
      </c>
      <c r="AX241" s="81">
        <f t="shared" ref="AX241" ca="1" si="3556">COUNTIF($M$240:$M$241,AW241)*$D$32</f>
        <v>0</v>
      </c>
      <c r="AY241" s="110"/>
      <c r="AZ241" s="80" t="s">
        <v>1274</v>
      </c>
      <c r="BA241" s="81">
        <f t="shared" ref="BA241" ca="1" si="3557">COUNTIF($M$240:$M$241,AZ241)*$D$32</f>
        <v>0</v>
      </c>
      <c r="BB241" s="110"/>
      <c r="BC241" s="80" t="s">
        <v>291</v>
      </c>
      <c r="BD241" s="81">
        <f t="shared" ref="BD241" ca="1" si="3558">COUNTIF($M$240:$M$241,BC241)*$D$32</f>
        <v>0</v>
      </c>
      <c r="BE241" s="110"/>
      <c r="BF241" s="80" t="s">
        <v>1274</v>
      </c>
      <c r="BG241" s="81">
        <f t="shared" ref="BG241" ca="1" si="3559">COUNTIF($M$240:$M$241,BF241)*$D$32</f>
        <v>0</v>
      </c>
      <c r="BH241" s="110"/>
      <c r="BI241" s="80" t="s">
        <v>79</v>
      </c>
      <c r="BJ241" s="81">
        <f t="shared" ref="BJ241" ca="1" si="3560">COUNTIF($M$240:$M$241,BI241)*$D$32</f>
        <v>0</v>
      </c>
      <c r="BK241" s="110"/>
      <c r="BL241" s="80" t="s">
        <v>1256</v>
      </c>
      <c r="BM241" s="81">
        <f t="shared" ref="BM241" ca="1" si="3561">COUNTIF($M$240:$M$241,BL241)*$D$32</f>
        <v>45</v>
      </c>
      <c r="BN241" s="110"/>
      <c r="BO241" s="80" t="s">
        <v>1256</v>
      </c>
      <c r="BP241" s="81">
        <f t="shared" ref="BP241" ca="1" si="3562">COUNTIF($M$240:$M$241,BO241)*$D$32</f>
        <v>45</v>
      </c>
      <c r="BQ241" s="110"/>
      <c r="BR241" s="80" t="s">
        <v>292</v>
      </c>
      <c r="BS241" s="81">
        <f t="shared" ref="BS241" ca="1" si="3563">COUNTIF($M$240:$M$241,BR241)*$D$32</f>
        <v>0</v>
      </c>
      <c r="BT241" s="110"/>
      <c r="BU241" s="80" t="s">
        <v>79</v>
      </c>
      <c r="BV241" s="81">
        <f t="shared" ref="BV241" ca="1" si="3564">COUNTIF($M$240:$M$241,BU241)*$D$32</f>
        <v>0</v>
      </c>
      <c r="BW241" s="110"/>
      <c r="BX241" s="80" t="s">
        <v>1274</v>
      </c>
      <c r="BY241" s="81">
        <f t="shared" ref="BY241" ca="1" si="3565">COUNTIF($M$240:$M$241,BX241)*$D$32</f>
        <v>0</v>
      </c>
      <c r="BZ241" s="110"/>
      <c r="CA241" s="80" t="s">
        <v>292</v>
      </c>
      <c r="CB241" s="81">
        <f t="shared" ref="CB241" ca="1" si="3566">COUNTIF($M$240:$M$241,CA241)*$D$32</f>
        <v>0</v>
      </c>
      <c r="CC241" s="110"/>
      <c r="CD241" s="80" t="s">
        <v>79</v>
      </c>
      <c r="CE241" s="81">
        <f t="shared" ref="CE241" ca="1" si="3567">COUNTIF($M$240:$M$241,CD241)*$D$32</f>
        <v>0</v>
      </c>
      <c r="CF241" s="110"/>
      <c r="CG241" s="80" t="s">
        <v>1256</v>
      </c>
      <c r="CH241" s="81">
        <f t="shared" ref="CH241" ca="1" si="3568">COUNTIF($M$240:$M$241,CG241)*$D$32</f>
        <v>45</v>
      </c>
      <c r="CI241" s="110"/>
      <c r="CJ241" s="80" t="s">
        <v>292</v>
      </c>
      <c r="CK241" s="81">
        <f t="shared" ref="CK241" ca="1" si="3569">COUNTIF($M$240:$M$241,CJ241)*$D$32</f>
        <v>0</v>
      </c>
      <c r="CL241" s="110"/>
      <c r="CM241" s="80" t="s">
        <v>79</v>
      </c>
      <c r="CN241" s="81">
        <f t="shared" ref="CN241" ca="1" si="3570">COUNTIF($M$240:$M$241,CM241)*$D$32</f>
        <v>0</v>
      </c>
      <c r="CO241" s="110"/>
      <c r="CP241" s="80" t="s">
        <v>79</v>
      </c>
      <c r="CQ241" s="81">
        <f t="shared" ref="CQ241" ca="1" si="3571">COUNTIF($M$240:$M$241,CP241)*$D$32</f>
        <v>0</v>
      </c>
      <c r="CR241" s="110"/>
      <c r="CS241" s="80" t="s">
        <v>1274</v>
      </c>
      <c r="CT241" s="81">
        <f t="shared" ref="CT241" ca="1" si="3572">COUNTIF($M$240:$M$241,CS241)*$D$32</f>
        <v>0</v>
      </c>
      <c r="CU241" s="110"/>
      <c r="CV241" s="80" t="s">
        <v>1256</v>
      </c>
      <c r="CW241" s="81">
        <f t="shared" ref="CW241" ca="1" si="3573">COUNTIF($M$240:$M$241,CV241)*$D$32</f>
        <v>45</v>
      </c>
      <c r="CX241" s="110"/>
      <c r="CY241" s="80" t="s">
        <v>1318</v>
      </c>
      <c r="CZ241" s="81">
        <f t="shared" ref="CZ241" ca="1" si="3574">COUNTIF($M$240:$M$241,CY241)*$D$32</f>
        <v>0</v>
      </c>
      <c r="DA241" s="110"/>
      <c r="DB241" s="80" t="s">
        <v>1256</v>
      </c>
      <c r="DC241" s="81">
        <f t="shared" ref="DC241" ca="1" si="3575">COUNTIF($M$240:$M$241,DB241)*$D$32</f>
        <v>45</v>
      </c>
      <c r="DD241" s="110"/>
      <c r="DE241" s="80" t="s">
        <v>79</v>
      </c>
      <c r="DF241" s="81">
        <f t="shared" ref="DF241" ca="1" si="3576">COUNTIF($M$240:$M$241,DE241)*$D$32</f>
        <v>0</v>
      </c>
      <c r="DG241" s="110"/>
      <c r="DH241" s="80" t="s">
        <v>1274</v>
      </c>
      <c r="DI241" s="81">
        <f t="shared" ref="DI241" ca="1" si="3577">COUNTIF($M$240:$M$241,DH241)*$D$32</f>
        <v>0</v>
      </c>
      <c r="DJ241" s="110"/>
      <c r="DK241" s="80" t="s">
        <v>1274</v>
      </c>
      <c r="DL241" s="81">
        <f t="shared" ref="DL241" ca="1" si="3578">COUNTIF($M$240:$M$241,DK241)*$D$32</f>
        <v>0</v>
      </c>
      <c r="DM241" s="110"/>
      <c r="DN241" s="80" t="s">
        <v>1256</v>
      </c>
      <c r="DO241" s="81">
        <f t="shared" ref="DO241" ca="1" si="3579">COUNTIF($M$240:$M$241,DN241)*$D$32</f>
        <v>45</v>
      </c>
      <c r="DP241" s="110"/>
      <c r="DQ241" s="80" t="s">
        <v>292</v>
      </c>
      <c r="DR241" s="81">
        <f t="shared" ref="DR241" ca="1" si="3580">COUNTIF($M$240:$M$241,DQ241)*$D$32</f>
        <v>0</v>
      </c>
      <c r="DS241" s="110"/>
      <c r="DT241" s="80" t="s">
        <v>79</v>
      </c>
      <c r="DU241" s="81">
        <f t="shared" ref="DU241" ca="1" si="3581">COUNTIF($M$240:$M$241,DT241)*$D$32</f>
        <v>0</v>
      </c>
      <c r="DV241" s="110"/>
      <c r="DW241" s="80" t="s">
        <v>79</v>
      </c>
      <c r="DX241" s="81">
        <f t="shared" ref="DX241" ca="1" si="3582">COUNTIF($M$240:$M$241,DW241)*$D$32</f>
        <v>0</v>
      </c>
      <c r="DY241" s="110"/>
      <c r="DZ241" s="80" t="s">
        <v>1274</v>
      </c>
      <c r="EA241" s="81">
        <f t="shared" ref="EA241" ca="1" si="3583">COUNTIF($M$240:$M$241,DZ241)*$D$32</f>
        <v>0</v>
      </c>
      <c r="EB241" s="110"/>
      <c r="EC241" s="80" t="s">
        <v>1256</v>
      </c>
      <c r="ED241" s="81">
        <f t="shared" ref="ED241" ca="1" si="3584">COUNTIF($M$240:$M$241,EC241)*$D$32</f>
        <v>45</v>
      </c>
      <c r="EE241" s="110"/>
      <c r="EF241" s="80" t="s">
        <v>1274</v>
      </c>
      <c r="EG241" s="81">
        <f t="shared" ref="EG241" ca="1" si="3585">COUNTIF($M$240:$M$241,EF241)*$D$32</f>
        <v>0</v>
      </c>
      <c r="EH241" s="110"/>
      <c r="EI241" s="80" t="s">
        <v>79</v>
      </c>
      <c r="EJ241" s="81">
        <f t="shared" ref="EJ241" ca="1" si="3586">COUNTIF($M$240:$M$241,EI241)*$D$32</f>
        <v>0</v>
      </c>
      <c r="EK241" s="110"/>
      <c r="EL241" s="80" t="s">
        <v>79</v>
      </c>
      <c r="EM241" s="81">
        <f t="shared" ref="EM241" ca="1" si="3587">COUNTIF($M$240:$M$241,EL241)*$D$32</f>
        <v>0</v>
      </c>
      <c r="EN241" s="110"/>
      <c r="EO241" s="80" t="s">
        <v>292</v>
      </c>
      <c r="EP241" s="81">
        <f t="shared" ref="EP241" ca="1" si="3588">COUNTIF($M$240:$M$241,EO241)*$D$32</f>
        <v>0</v>
      </c>
      <c r="EQ241" s="110"/>
      <c r="ER241" s="80" t="s">
        <v>1256</v>
      </c>
      <c r="ES241" s="81">
        <f t="shared" ref="ES241" ca="1" si="3589">COUNTIF($M$240:$M$241,ER241)*$D$32</f>
        <v>45</v>
      </c>
      <c r="ET241" s="110"/>
      <c r="EU241" s="80" t="s">
        <v>292</v>
      </c>
      <c r="EV241" s="81">
        <f t="shared" ref="EV241" ca="1" si="3590">COUNTIF($M$240:$M$241,EU241)*$D$32</f>
        <v>0</v>
      </c>
      <c r="EW241" s="110"/>
      <c r="EX241" s="80" t="s">
        <v>1274</v>
      </c>
      <c r="EY241" s="81">
        <f t="shared" ref="EY241" ca="1" si="3591">COUNTIF($M$240:$M$241,EX241)*$D$32</f>
        <v>0</v>
      </c>
      <c r="EZ241" s="110"/>
      <c r="FA241" s="80" t="s">
        <v>292</v>
      </c>
      <c r="FB241" s="81">
        <f t="shared" ref="FB241" ca="1" si="3592">COUNTIF($M$240:$M$241,FA241)*$D$32</f>
        <v>0</v>
      </c>
      <c r="FC241" s="110"/>
      <c r="FD241" s="80" t="s">
        <v>292</v>
      </c>
      <c r="FE241" s="81">
        <f t="shared" ref="FE241" ca="1" si="3593">COUNTIF($M$240:$M$241,FD241)*$D$32</f>
        <v>0</v>
      </c>
      <c r="FF241" s="110"/>
      <c r="FG241" s="80" t="s">
        <v>292</v>
      </c>
      <c r="FH241" s="81">
        <f t="shared" ref="FH241" ca="1" si="3594">COUNTIF($M$240:$M$241,FG241)*$D$32</f>
        <v>0</v>
      </c>
      <c r="FI241" s="110"/>
      <c r="FJ241" s="80" t="s">
        <v>79</v>
      </c>
      <c r="FK241" s="81">
        <f t="shared" ref="FK241" ca="1" si="3595">COUNTIF($M$240:$M$241,FJ241)*$D$32</f>
        <v>0</v>
      </c>
      <c r="FL241" s="110"/>
      <c r="FM241" s="80" t="s">
        <v>292</v>
      </c>
      <c r="FN241" s="81">
        <f t="shared" ref="FN241" ca="1" si="3596">COUNTIF($M$240:$M$241,FM241)*$D$32</f>
        <v>0</v>
      </c>
      <c r="FO241" s="110"/>
      <c r="FP241" s="80" t="s">
        <v>79</v>
      </c>
      <c r="FQ241" s="81">
        <f t="shared" ref="FQ241" ca="1" si="3597">COUNTIF($M$240:$M$241,FP241)*$D$32</f>
        <v>0</v>
      </c>
      <c r="FR241" s="110"/>
      <c r="FS241" s="80" t="s">
        <v>1274</v>
      </c>
      <c r="FT241" s="81">
        <f t="shared" ref="FT241" ca="1" si="3598">COUNTIF($M$240:$M$241,FS241)*$D$32</f>
        <v>0</v>
      </c>
      <c r="FU241" s="110"/>
      <c r="FV241" s="80" t="s">
        <v>1256</v>
      </c>
      <c r="FW241" s="81">
        <f t="shared" ref="FW241" ca="1" si="3599">COUNTIF($M$240:$M$241,FV241)*$D$32</f>
        <v>45</v>
      </c>
      <c r="FX241" s="110"/>
      <c r="FY241" s="80" t="s">
        <v>292</v>
      </c>
      <c r="FZ241" s="81">
        <f t="shared" ref="FZ241" ca="1" si="3600">COUNTIF($M$240:$M$241,FY241)*$D$32</f>
        <v>0</v>
      </c>
      <c r="GA241" s="110"/>
      <c r="GB241" s="80" t="s">
        <v>1274</v>
      </c>
      <c r="GC241" s="81">
        <f t="shared" ref="GC241" ca="1" si="3601">COUNTIF($M$240:$M$241,GB241)*$D$32</f>
        <v>0</v>
      </c>
      <c r="GD241" s="110"/>
      <c r="GE241" s="80" t="s">
        <v>1256</v>
      </c>
      <c r="GF241" s="81">
        <f t="shared" ref="GF241" ca="1" si="3602">COUNTIF($M$240:$M$241,GE241)*$D$32</f>
        <v>45</v>
      </c>
      <c r="GG241" s="110"/>
      <c r="GH241" s="80" t="s">
        <v>1274</v>
      </c>
      <c r="GI241" s="81">
        <f t="shared" ref="GI241" ca="1" si="3603">COUNTIF($M$240:$M$241,GH241)*$D$32</f>
        <v>0</v>
      </c>
      <c r="GJ241" s="110"/>
      <c r="GK241" s="80" t="s">
        <v>79</v>
      </c>
      <c r="GL241" s="81">
        <f t="shared" ref="GL241" ca="1" si="3604">COUNTIF($M$240:$M$241,GK241)*$D$32</f>
        <v>0</v>
      </c>
      <c r="GM241" s="110"/>
      <c r="GN241" s="80"/>
      <c r="GO241" s="81">
        <f t="shared" ref="GO241" ca="1" si="3605">COUNTIF($M$240:$M$241,GN241)*$D$32</f>
        <v>0</v>
      </c>
      <c r="GP241" s="110"/>
      <c r="GQ241" s="80"/>
      <c r="GR241" s="81">
        <f t="shared" ref="GR241" ca="1" si="3606">COUNTIF($M$240:$M$241,GQ241)*$D$32</f>
        <v>0</v>
      </c>
      <c r="GS241" s="110"/>
      <c r="GT241" s="80"/>
      <c r="GU241" s="81">
        <f t="shared" ref="GU241" ca="1" si="3607">COUNTIF($M$240:$M$241,GT241)*$D$32</f>
        <v>0</v>
      </c>
      <c r="GV241" s="110"/>
      <c r="GW241" s="80"/>
      <c r="GX241" s="81">
        <f t="shared" ref="GX241" ca="1" si="3608">COUNTIF($M$240:$M$241,GW241)*$D$32</f>
        <v>0</v>
      </c>
      <c r="GY241" s="110"/>
      <c r="GZ241" s="80"/>
      <c r="HA241" s="81">
        <f t="shared" ref="HA241" ca="1" si="3609">COUNTIF($M$240:$M$241,GZ241)*$D$32</f>
        <v>0</v>
      </c>
      <c r="HB241" s="110"/>
      <c r="HC241" s="80"/>
      <c r="HD241" s="81">
        <f t="shared" ref="HD241" ca="1" si="3610">COUNTIF($M$240:$M$241,HC241)*$D$32</f>
        <v>0</v>
      </c>
      <c r="HE241" s="110"/>
      <c r="HF241" s="80"/>
      <c r="HG241" s="81">
        <f t="shared" ref="HG241" ca="1" si="3611">COUNTIF($M$240:$M$241,HF241)*$D$32</f>
        <v>0</v>
      </c>
      <c r="HH241" s="110"/>
      <c r="HI241" s="80"/>
      <c r="HJ241" s="81">
        <f t="shared" ref="HJ241" ca="1" si="3612">COUNTIF($M$240:$M$241,HI241)*$D$32</f>
        <v>0</v>
      </c>
      <c r="HK241" s="110"/>
      <c r="HL241" s="80"/>
      <c r="HM241" s="81">
        <f t="shared" ref="HM241" ca="1" si="3613">COUNTIF($M$240:$M$241,HL241)*$D$32</f>
        <v>0</v>
      </c>
      <c r="HN241" s="110"/>
      <c r="HO241" s="80"/>
      <c r="HP241" s="81">
        <f t="shared" ref="HP241" ca="1" si="3614">COUNTIF($M$240:$M$241,HO241)*$D$32</f>
        <v>0</v>
      </c>
      <c r="HQ241" s="110"/>
      <c r="HR241" s="80"/>
      <c r="HS241" s="81">
        <f t="shared" ref="HS241" ca="1" si="3615">COUNTIF($M$240:$M$241,HR241)*$D$32</f>
        <v>0</v>
      </c>
      <c r="HT241" s="110"/>
      <c r="HU241" s="80"/>
      <c r="HV241" s="81">
        <f t="shared" ref="HV241" ca="1" si="3616">COUNTIF($M$240:$M$241,HU241)*$D$32</f>
        <v>0</v>
      </c>
      <c r="HW241" s="110"/>
      <c r="HX241" s="80"/>
      <c r="HY241" s="81">
        <f t="shared" ref="HY241" ca="1" si="3617">COUNTIF($M$240:$M$241,HX241)*$D$32</f>
        <v>0</v>
      </c>
      <c r="HZ241" s="110"/>
      <c r="IA241" s="80"/>
      <c r="IB241" s="81">
        <f t="shared" ref="IB241" ca="1" si="3618">COUNTIF($M$240:$M$241,IA241)*$D$32</f>
        <v>0</v>
      </c>
      <c r="IC241" s="110"/>
      <c r="ID241" s="80"/>
      <c r="IE241" s="81">
        <f t="shared" ref="IE241" ca="1" si="3619">COUNTIF($M$240:$M$241,ID241)*$D$32</f>
        <v>0</v>
      </c>
      <c r="IF241" s="110"/>
      <c r="IG241" s="80"/>
      <c r="IH241" s="81">
        <f t="shared" ref="IH241" ca="1" si="3620">COUNTIF($M$240:$M$241,IG241)*$D$32</f>
        <v>0</v>
      </c>
      <c r="II241" s="110"/>
      <c r="IJ241" s="80"/>
      <c r="IK241" s="81">
        <f t="shared" ref="IK241" ca="1" si="3621">COUNTIF($M$240:$M$241,IJ241)*$D$32</f>
        <v>0</v>
      </c>
      <c r="IL241" s="110"/>
      <c r="IM241" s="80"/>
      <c r="IN241" s="81">
        <f t="shared" ref="IN241" ca="1" si="3622">COUNTIF($M$240:$M$241,IM241)*$D$32</f>
        <v>0</v>
      </c>
      <c r="IO241" s="110"/>
      <c r="IP241" s="80"/>
      <c r="IQ241" s="81">
        <f t="shared" ref="IQ241" ca="1" si="3623">COUNTIF($M$240:$M$241,IP241)*$D$32</f>
        <v>0</v>
      </c>
      <c r="IR241" s="110"/>
      <c r="IS241" s="80"/>
      <c r="IT241" s="81">
        <f t="shared" ref="IT241" ca="1" si="3624">COUNTIF($M$240:$M$241,IS241)*$D$32</f>
        <v>0</v>
      </c>
      <c r="IU241" s="110"/>
      <c r="IV241" s="80"/>
      <c r="IW241" s="81">
        <f t="shared" ref="IW241" ca="1" si="3625">COUNTIF($M$240:$M$241,IV241)*$D$32</f>
        <v>0</v>
      </c>
      <c r="IX241" s="110"/>
      <c r="IY241" s="80"/>
      <c r="IZ241" s="81">
        <f t="shared" ref="IZ241" ca="1" si="3626">COUNTIF($M$240:$M$241,IY241)*$D$32</f>
        <v>0</v>
      </c>
      <c r="JA241" s="110"/>
      <c r="JB241" s="80"/>
      <c r="JC241" s="81">
        <f t="shared" ref="JC241" ca="1" si="3627">COUNTIF($M$240:$M$241,JB241)*$D$32</f>
        <v>0</v>
      </c>
      <c r="JD241" s="110"/>
      <c r="JE241" s="80"/>
      <c r="JF241" s="81">
        <f t="shared" ref="JF241" ca="1" si="3628">COUNTIF($M$240:$M$241,JE241)*$D$32</f>
        <v>0</v>
      </c>
      <c r="JG241" s="110"/>
      <c r="JH241" s="80"/>
      <c r="JI241" s="81">
        <f t="shared" ref="JI241" ca="1" si="3629">COUNTIF($M$240:$M$241,JH241)*$D$32</f>
        <v>0</v>
      </c>
      <c r="JJ241" s="110"/>
      <c r="JK241" s="80"/>
      <c r="JL241" s="81">
        <f t="shared" ref="JL241" ca="1" si="3630">COUNTIF($M$240:$M$241,JK241)*$D$32</f>
        <v>0</v>
      </c>
      <c r="JM241" s="110"/>
      <c r="JN241" s="80"/>
      <c r="JO241" s="81">
        <f t="shared" ref="JO241" ca="1" si="3631">COUNTIF($M$240:$M$241,JN241)*$D$32</f>
        <v>0</v>
      </c>
      <c r="JP241" s="110"/>
      <c r="JQ241" s="80"/>
      <c r="JR241" s="81">
        <f t="shared" ref="JR241" ca="1" si="3632">COUNTIF($M$240:$M$241,JQ241)*$D$32</f>
        <v>0</v>
      </c>
      <c r="JS241" s="110"/>
      <c r="JT241" s="80"/>
      <c r="JU241" s="81">
        <f t="shared" ref="JU241" ca="1" si="3633">COUNTIF($M$240:$M$241,JT241)*$D$32</f>
        <v>0</v>
      </c>
      <c r="JV241" s="110"/>
      <c r="JW241" s="80"/>
      <c r="JX241" s="81">
        <f t="shared" ref="JX241" ca="1" si="3634">COUNTIF($M$240:$M$241,JW241)*$D$32</f>
        <v>0</v>
      </c>
      <c r="JY241" s="110"/>
      <c r="JZ241" s="80"/>
      <c r="KA241" s="81">
        <f t="shared" ref="KA241" ca="1" si="3635">COUNTIF($M$240:$M$241,JZ241)*$D$32</f>
        <v>0</v>
      </c>
      <c r="KB241" s="110"/>
      <c r="KC241" s="80"/>
      <c r="KD241" s="81">
        <f t="shared" ref="KD241" ca="1" si="3636">COUNTIF($M$240:$M$241,KC241)*$D$32</f>
        <v>0</v>
      </c>
      <c r="KE241" s="110"/>
      <c r="KF241" s="80"/>
      <c r="KG241" s="81">
        <f t="shared" ref="KG241" ca="1" si="3637">COUNTIF($M$240:$M$241,KF241)*$D$32</f>
        <v>0</v>
      </c>
      <c r="KH241" s="110"/>
      <c r="KI241" s="80"/>
      <c r="KJ241" s="81">
        <f t="shared" ref="KJ241" ca="1" si="3638">COUNTIF($M$240:$M$241,KI241)*$D$32</f>
        <v>0</v>
      </c>
      <c r="KK241" s="110"/>
      <c r="KL241" s="80"/>
      <c r="KM241" s="81">
        <f t="shared" ref="KM241" ca="1" si="3639">COUNTIF($M$240:$M$241,KL241)*$D$32</f>
        <v>0</v>
      </c>
      <c r="KN241" s="110"/>
      <c r="KO241" s="80"/>
      <c r="KP241" s="81">
        <f t="shared" ref="KP241" ca="1" si="3640">COUNTIF($M$240:$M$241,KO241)*$D$32</f>
        <v>0</v>
      </c>
      <c r="KQ241" s="110"/>
      <c r="KR241" s="80"/>
      <c r="KS241" s="81">
        <f t="shared" ref="KS241" ca="1" si="3641">COUNTIF($M$240:$M$241,KR241)*$D$32</f>
        <v>0</v>
      </c>
      <c r="KT241" s="110"/>
      <c r="KU241" s="80"/>
      <c r="KV241" s="81">
        <f t="shared" ref="KV241" ca="1" si="3642">COUNTIF($M$240:$M$241,KU241)*$D$32</f>
        <v>0</v>
      </c>
      <c r="KW241" s="110"/>
      <c r="KX241" s="80"/>
      <c r="KY241" s="81">
        <f t="shared" ref="KY241" ca="1" si="3643">COUNTIF($M$240:$M$241,KX241)*$D$32</f>
        <v>0</v>
      </c>
      <c r="KZ241" s="110"/>
      <c r="LA241" s="80"/>
      <c r="LB241" s="81">
        <f t="shared" ref="LB241" ca="1" si="3644">COUNTIF($M$240:$M$241,LA241)*$D$32</f>
        <v>0</v>
      </c>
      <c r="LC241" s="110"/>
      <c r="LD241" s="80"/>
      <c r="LE241" s="81">
        <f t="shared" ref="LE241" ca="1" si="3645">COUNTIF($M$240:$M$241,LD241)*$D$32</f>
        <v>0</v>
      </c>
      <c r="LF241" s="110"/>
      <c r="LG241" s="110"/>
    </row>
    <row r="242" spans="1:319">
      <c r="A242" s="25"/>
      <c r="B242" s="25"/>
      <c r="C242" s="25"/>
      <c r="D242" s="25"/>
      <c r="E242" s="25"/>
      <c r="F242" s="407"/>
      <c r="G242" s="407"/>
      <c r="H242" s="65"/>
      <c r="I242" s="50"/>
      <c r="J242" s="94"/>
      <c r="K242" s="434" t="str">
        <f>Idiomas!D466</f>
        <v>Final Teams</v>
      </c>
      <c r="L242" s="435"/>
      <c r="M242" s="434" t="str">
        <f ca="1">"Max: "&amp;$D$32*COUNT(T240:T241)</f>
        <v>Max: 90</v>
      </c>
      <c r="N242" s="25"/>
      <c r="O242" s="25"/>
      <c r="P242" s="25"/>
      <c r="Q242" s="25"/>
      <c r="R242" s="17"/>
      <c r="S242" s="84"/>
      <c r="T242" s="71">
        <f ca="1">SUM(T240:T241)</f>
        <v>45</v>
      </c>
      <c r="U242" s="49"/>
      <c r="V242" s="84"/>
      <c r="W242" s="71">
        <f t="shared" ref="W242" ca="1" si="3646">SUM(W240:W241)</f>
        <v>45</v>
      </c>
      <c r="X242" s="49"/>
      <c r="Y242" s="84"/>
      <c r="Z242" s="71">
        <f t="shared" ref="Z242" ca="1" si="3647">SUM(Z240:Z241)</f>
        <v>0</v>
      </c>
      <c r="AA242" s="49"/>
      <c r="AB242" s="84"/>
      <c r="AC242" s="71">
        <f t="shared" ref="AC242" ca="1" si="3648">SUM(AC240:AC241)</f>
        <v>45</v>
      </c>
      <c r="AD242" s="49"/>
      <c r="AE242" s="84"/>
      <c r="AF242" s="71">
        <f t="shared" ref="AF242" ca="1" si="3649">SUM(AF240:AF241)</f>
        <v>0</v>
      </c>
      <c r="AG242" s="49"/>
      <c r="AH242" s="84"/>
      <c r="AI242" s="71">
        <f t="shared" ref="AI242" ca="1" si="3650">SUM(AI240:AI241)</f>
        <v>45</v>
      </c>
      <c r="AJ242" s="49"/>
      <c r="AK242" s="84"/>
      <c r="AL242" s="71">
        <f t="shared" ref="AL242" ca="1" si="3651">SUM(AL240:AL241)</f>
        <v>0</v>
      </c>
      <c r="AM242" s="49"/>
      <c r="AN242" s="84"/>
      <c r="AO242" s="71">
        <f t="shared" ref="AO242" ca="1" si="3652">SUM(AO240:AO241)</f>
        <v>0</v>
      </c>
      <c r="AP242" s="49"/>
      <c r="AQ242" s="84"/>
      <c r="AR242" s="71">
        <f t="shared" ref="AR242" ca="1" si="3653">SUM(AR240:AR241)</f>
        <v>0</v>
      </c>
      <c r="AS242" s="49"/>
      <c r="AT242" s="84"/>
      <c r="AU242" s="71">
        <f t="shared" ref="AU242" ca="1" si="3654">SUM(AU240:AU241)</f>
        <v>0</v>
      </c>
      <c r="AV242" s="49"/>
      <c r="AW242" s="84"/>
      <c r="AX242" s="71">
        <f t="shared" ref="AX242" ca="1" si="3655">SUM(AX240:AX241)</f>
        <v>0</v>
      </c>
      <c r="AY242" s="49"/>
      <c r="AZ242" s="84"/>
      <c r="BA242" s="71">
        <f t="shared" ref="BA242" ca="1" si="3656">SUM(BA240:BA241)</f>
        <v>45</v>
      </c>
      <c r="BB242" s="49"/>
      <c r="BC242" s="84"/>
      <c r="BD242" s="71">
        <f t="shared" ref="BD242" ca="1" si="3657">SUM(BD240:BD241)</f>
        <v>45</v>
      </c>
      <c r="BE242" s="49"/>
      <c r="BF242" s="84"/>
      <c r="BG242" s="71">
        <f t="shared" ref="BG242" ca="1" si="3658">SUM(BG240:BG241)</f>
        <v>0</v>
      </c>
      <c r="BH242" s="49"/>
      <c r="BI242" s="84"/>
      <c r="BJ242" s="71">
        <f t="shared" ref="BJ242" ca="1" si="3659">SUM(BJ240:BJ241)</f>
        <v>45</v>
      </c>
      <c r="BK242" s="49"/>
      <c r="BL242" s="84"/>
      <c r="BM242" s="71">
        <f t="shared" ref="BM242" ca="1" si="3660">SUM(BM240:BM241)</f>
        <v>90</v>
      </c>
      <c r="BN242" s="49"/>
      <c r="BO242" s="84"/>
      <c r="BP242" s="71">
        <f t="shared" ref="BP242" ca="1" si="3661">SUM(BP240:BP241)</f>
        <v>45</v>
      </c>
      <c r="BQ242" s="49"/>
      <c r="BR242" s="84"/>
      <c r="BS242" s="71">
        <f t="shared" ref="BS242" ca="1" si="3662">SUM(BS240:BS241)</f>
        <v>0</v>
      </c>
      <c r="BT242" s="49"/>
      <c r="BU242" s="84"/>
      <c r="BV242" s="71">
        <f t="shared" ref="BV242" ca="1" si="3663">SUM(BV240:BV241)</f>
        <v>0</v>
      </c>
      <c r="BW242" s="49"/>
      <c r="BX242" s="84"/>
      <c r="BY242" s="71">
        <f t="shared" ref="BY242" ca="1" si="3664">SUM(BY240:BY241)</f>
        <v>45</v>
      </c>
      <c r="BZ242" s="49"/>
      <c r="CA242" s="84"/>
      <c r="CB242" s="71">
        <f t="shared" ref="CB242" ca="1" si="3665">SUM(CB240:CB241)</f>
        <v>45</v>
      </c>
      <c r="CC242" s="49"/>
      <c r="CD242" s="84"/>
      <c r="CE242" s="71">
        <f t="shared" ref="CE242" ca="1" si="3666">SUM(CE240:CE241)</f>
        <v>0</v>
      </c>
      <c r="CF242" s="49"/>
      <c r="CG242" s="84"/>
      <c r="CH242" s="71">
        <f t="shared" ref="CH242" ca="1" si="3667">SUM(CH240:CH241)</f>
        <v>45</v>
      </c>
      <c r="CI242" s="49"/>
      <c r="CJ242" s="84"/>
      <c r="CK242" s="71">
        <f t="shared" ref="CK242" ca="1" si="3668">SUM(CK240:CK241)</f>
        <v>0</v>
      </c>
      <c r="CL242" s="49"/>
      <c r="CM242" s="84"/>
      <c r="CN242" s="71">
        <f t="shared" ref="CN242" ca="1" si="3669">SUM(CN240:CN241)</f>
        <v>45</v>
      </c>
      <c r="CO242" s="49"/>
      <c r="CP242" s="84"/>
      <c r="CQ242" s="71">
        <f t="shared" ref="CQ242" ca="1" si="3670">SUM(CQ240:CQ241)</f>
        <v>45</v>
      </c>
      <c r="CR242" s="49"/>
      <c r="CS242" s="84"/>
      <c r="CT242" s="71">
        <f t="shared" ref="CT242" ca="1" si="3671">SUM(CT240:CT241)</f>
        <v>0</v>
      </c>
      <c r="CU242" s="49"/>
      <c r="CV242" s="84"/>
      <c r="CW242" s="71">
        <f t="shared" ref="CW242" ca="1" si="3672">SUM(CW240:CW241)</f>
        <v>45</v>
      </c>
      <c r="CX242" s="49"/>
      <c r="CY242" s="84"/>
      <c r="CZ242" s="71">
        <f t="shared" ref="CZ242" ca="1" si="3673">SUM(CZ240:CZ241)</f>
        <v>0</v>
      </c>
      <c r="DA242" s="49"/>
      <c r="DB242" s="84"/>
      <c r="DC242" s="71">
        <f t="shared" ref="DC242" ca="1" si="3674">SUM(DC240:DC241)</f>
        <v>45</v>
      </c>
      <c r="DD242" s="49"/>
      <c r="DE242" s="84"/>
      <c r="DF242" s="71">
        <f t="shared" ref="DF242" ca="1" si="3675">SUM(DF240:DF241)</f>
        <v>45</v>
      </c>
      <c r="DG242" s="49"/>
      <c r="DH242" s="84"/>
      <c r="DI242" s="71">
        <f t="shared" ref="DI242" ca="1" si="3676">SUM(DI240:DI241)</f>
        <v>0</v>
      </c>
      <c r="DJ242" s="49"/>
      <c r="DK242" s="84"/>
      <c r="DL242" s="71">
        <f t="shared" ref="DL242" ca="1" si="3677">SUM(DL240:DL241)</f>
        <v>45</v>
      </c>
      <c r="DM242" s="49"/>
      <c r="DN242" s="84"/>
      <c r="DO242" s="71">
        <f t="shared" ref="DO242" ca="1" si="3678">SUM(DO240:DO241)</f>
        <v>90</v>
      </c>
      <c r="DP242" s="49"/>
      <c r="DQ242" s="84"/>
      <c r="DR242" s="71">
        <f t="shared" ref="DR242" ca="1" si="3679">SUM(DR240:DR241)</f>
        <v>0</v>
      </c>
      <c r="DS242" s="49"/>
      <c r="DT242" s="84"/>
      <c r="DU242" s="71">
        <f t="shared" ref="DU242" ca="1" si="3680">SUM(DU240:DU241)</f>
        <v>0</v>
      </c>
      <c r="DV242" s="49"/>
      <c r="DW242" s="84"/>
      <c r="DX242" s="71">
        <f t="shared" ref="DX242" ca="1" si="3681">SUM(DX240:DX241)</f>
        <v>45</v>
      </c>
      <c r="DY242" s="49"/>
      <c r="DZ242" s="84"/>
      <c r="EA242" s="71">
        <f t="shared" ref="EA242" ca="1" si="3682">SUM(EA240:EA241)</f>
        <v>0</v>
      </c>
      <c r="EB242" s="49"/>
      <c r="EC242" s="84"/>
      <c r="ED242" s="71">
        <f t="shared" ref="ED242" ca="1" si="3683">SUM(ED240:ED241)</f>
        <v>45</v>
      </c>
      <c r="EE242" s="49"/>
      <c r="EF242" s="84"/>
      <c r="EG242" s="71">
        <f t="shared" ref="EG242" ca="1" si="3684">SUM(EG240:EG241)</f>
        <v>0</v>
      </c>
      <c r="EH242" s="49"/>
      <c r="EI242" s="84"/>
      <c r="EJ242" s="71">
        <f t="shared" ref="EJ242" ca="1" si="3685">SUM(EJ240:EJ241)</f>
        <v>45</v>
      </c>
      <c r="EK242" s="49"/>
      <c r="EL242" s="84"/>
      <c r="EM242" s="71">
        <f t="shared" ref="EM242" ca="1" si="3686">SUM(EM240:EM241)</f>
        <v>45</v>
      </c>
      <c r="EN242" s="49"/>
      <c r="EO242" s="84"/>
      <c r="EP242" s="71">
        <f t="shared" ref="EP242" ca="1" si="3687">SUM(EP240:EP241)</f>
        <v>0</v>
      </c>
      <c r="EQ242" s="49"/>
      <c r="ER242" s="84"/>
      <c r="ES242" s="71">
        <f t="shared" ref="ES242" ca="1" si="3688">SUM(ES240:ES241)</f>
        <v>90</v>
      </c>
      <c r="ET242" s="49"/>
      <c r="EU242" s="84"/>
      <c r="EV242" s="71">
        <f t="shared" ref="EV242" ca="1" si="3689">SUM(EV240:EV241)</f>
        <v>0</v>
      </c>
      <c r="EW242" s="49"/>
      <c r="EX242" s="84"/>
      <c r="EY242" s="71">
        <f t="shared" ref="EY242" ca="1" si="3690">SUM(EY240:EY241)</f>
        <v>0</v>
      </c>
      <c r="EZ242" s="49"/>
      <c r="FA242" s="84"/>
      <c r="FB242" s="71">
        <f t="shared" ref="FB242" ca="1" si="3691">SUM(FB240:FB241)</f>
        <v>0</v>
      </c>
      <c r="FC242" s="49"/>
      <c r="FD242" s="84"/>
      <c r="FE242" s="71">
        <f t="shared" ref="FE242" ca="1" si="3692">SUM(FE240:FE241)</f>
        <v>0</v>
      </c>
      <c r="FF242" s="49"/>
      <c r="FG242" s="84"/>
      <c r="FH242" s="71">
        <f t="shared" ref="FH242" ca="1" si="3693">SUM(FH240:FH241)</f>
        <v>0</v>
      </c>
      <c r="FI242" s="49"/>
      <c r="FJ242" s="84"/>
      <c r="FK242" s="71">
        <f t="shared" ref="FK242" ca="1" si="3694">SUM(FK240:FK241)</f>
        <v>45</v>
      </c>
      <c r="FL242" s="49"/>
      <c r="FM242" s="84"/>
      <c r="FN242" s="71">
        <f t="shared" ref="FN242" ca="1" si="3695">SUM(FN240:FN241)</f>
        <v>0</v>
      </c>
      <c r="FO242" s="49"/>
      <c r="FP242" s="84"/>
      <c r="FQ242" s="71">
        <f t="shared" ref="FQ242" ca="1" si="3696">SUM(FQ240:FQ241)</f>
        <v>0</v>
      </c>
      <c r="FR242" s="49"/>
      <c r="FS242" s="84"/>
      <c r="FT242" s="71">
        <f t="shared" ref="FT242" ca="1" si="3697">SUM(FT240:FT241)</f>
        <v>45</v>
      </c>
      <c r="FU242" s="49"/>
      <c r="FV242" s="84"/>
      <c r="FW242" s="71">
        <f t="shared" ref="FW242" ca="1" si="3698">SUM(FW240:FW241)</f>
        <v>90</v>
      </c>
      <c r="FX242" s="49"/>
      <c r="FY242" s="84"/>
      <c r="FZ242" s="71">
        <f t="shared" ref="FZ242" ca="1" si="3699">SUM(FZ240:FZ241)</f>
        <v>45</v>
      </c>
      <c r="GA242" s="49"/>
      <c r="GB242" s="84"/>
      <c r="GC242" s="71">
        <f t="shared" ref="GC242" ca="1" si="3700">SUM(GC240:GC241)</f>
        <v>45</v>
      </c>
      <c r="GD242" s="49"/>
      <c r="GE242" s="84"/>
      <c r="GF242" s="71">
        <f t="shared" ref="GF242" ca="1" si="3701">SUM(GF240:GF241)</f>
        <v>45</v>
      </c>
      <c r="GG242" s="49"/>
      <c r="GH242" s="84"/>
      <c r="GI242" s="71">
        <f t="shared" ref="GI242" ca="1" si="3702">SUM(GI240:GI241)</f>
        <v>0</v>
      </c>
      <c r="GJ242" s="49"/>
      <c r="GK242" s="84"/>
      <c r="GL242" s="71">
        <f t="shared" ref="GL242" ca="1" si="3703">SUM(GL240:GL241)</f>
        <v>0</v>
      </c>
      <c r="GM242" s="49"/>
      <c r="GN242" s="84"/>
      <c r="GO242" s="71">
        <f t="shared" ref="GO242" ca="1" si="3704">SUM(GO240:GO241)</f>
        <v>0</v>
      </c>
      <c r="GP242" s="49"/>
      <c r="GQ242" s="84"/>
      <c r="GR242" s="71">
        <f t="shared" ref="GR242" ca="1" si="3705">SUM(GR240:GR241)</f>
        <v>0</v>
      </c>
      <c r="GS242" s="49"/>
      <c r="GT242" s="84"/>
      <c r="GU242" s="71">
        <f t="shared" ref="GU242" ca="1" si="3706">SUM(GU240:GU241)</f>
        <v>0</v>
      </c>
      <c r="GV242" s="49"/>
      <c r="GW242" s="84"/>
      <c r="GX242" s="71">
        <f t="shared" ref="GX242" ca="1" si="3707">SUM(GX240:GX241)</f>
        <v>0</v>
      </c>
      <c r="GY242" s="49"/>
      <c r="GZ242" s="84"/>
      <c r="HA242" s="71">
        <f t="shared" ref="HA242" ca="1" si="3708">SUM(HA240:HA241)</f>
        <v>0</v>
      </c>
      <c r="HB242" s="49"/>
      <c r="HC242" s="84"/>
      <c r="HD242" s="71">
        <f t="shared" ref="HD242" ca="1" si="3709">SUM(HD240:HD241)</f>
        <v>0</v>
      </c>
      <c r="HE242" s="49"/>
      <c r="HF242" s="84"/>
      <c r="HG242" s="71">
        <f t="shared" ref="HG242" ca="1" si="3710">SUM(HG240:HG241)</f>
        <v>0</v>
      </c>
      <c r="HH242" s="49"/>
      <c r="HI242" s="84"/>
      <c r="HJ242" s="71">
        <f t="shared" ref="HJ242" ca="1" si="3711">SUM(HJ240:HJ241)</f>
        <v>0</v>
      </c>
      <c r="HK242" s="49"/>
      <c r="HL242" s="84"/>
      <c r="HM242" s="71">
        <f t="shared" ref="HM242" ca="1" si="3712">SUM(HM240:HM241)</f>
        <v>0</v>
      </c>
      <c r="HN242" s="49"/>
      <c r="HO242" s="84"/>
      <c r="HP242" s="71">
        <f t="shared" ref="HP242" ca="1" si="3713">SUM(HP240:HP241)</f>
        <v>0</v>
      </c>
      <c r="HQ242" s="49"/>
      <c r="HR242" s="84"/>
      <c r="HS242" s="71">
        <f t="shared" ref="HS242" ca="1" si="3714">SUM(HS240:HS241)</f>
        <v>0</v>
      </c>
      <c r="HT242" s="49"/>
      <c r="HU242" s="84"/>
      <c r="HV242" s="71">
        <f t="shared" ref="HV242" ca="1" si="3715">SUM(HV240:HV241)</f>
        <v>0</v>
      </c>
      <c r="HW242" s="49"/>
      <c r="HX242" s="84"/>
      <c r="HY242" s="71">
        <f t="shared" ref="HY242" ca="1" si="3716">SUM(HY240:HY241)</f>
        <v>0</v>
      </c>
      <c r="HZ242" s="49"/>
      <c r="IA242" s="84"/>
      <c r="IB242" s="71">
        <f t="shared" ref="IB242" ca="1" si="3717">SUM(IB240:IB241)</f>
        <v>0</v>
      </c>
      <c r="IC242" s="49"/>
      <c r="ID242" s="84"/>
      <c r="IE242" s="71">
        <f t="shared" ref="IE242" ca="1" si="3718">SUM(IE240:IE241)</f>
        <v>0</v>
      </c>
      <c r="IF242" s="49"/>
      <c r="IG242" s="84"/>
      <c r="IH242" s="71">
        <f t="shared" ref="IH242" ca="1" si="3719">SUM(IH240:IH241)</f>
        <v>0</v>
      </c>
      <c r="II242" s="49"/>
      <c r="IJ242" s="84"/>
      <c r="IK242" s="71">
        <f t="shared" ref="IK242" ca="1" si="3720">SUM(IK240:IK241)</f>
        <v>0</v>
      </c>
      <c r="IL242" s="49"/>
      <c r="IM242" s="84"/>
      <c r="IN242" s="71">
        <f t="shared" ref="IN242" ca="1" si="3721">SUM(IN240:IN241)</f>
        <v>0</v>
      </c>
      <c r="IO242" s="49"/>
      <c r="IP242" s="84"/>
      <c r="IQ242" s="71">
        <f t="shared" ref="IQ242" ca="1" si="3722">SUM(IQ240:IQ241)</f>
        <v>0</v>
      </c>
      <c r="IR242" s="49"/>
      <c r="IS242" s="84"/>
      <c r="IT242" s="71">
        <f t="shared" ref="IT242" ca="1" si="3723">SUM(IT240:IT241)</f>
        <v>0</v>
      </c>
      <c r="IU242" s="49"/>
      <c r="IV242" s="84"/>
      <c r="IW242" s="71">
        <f t="shared" ref="IW242" ca="1" si="3724">SUM(IW240:IW241)</f>
        <v>0</v>
      </c>
      <c r="IX242" s="49"/>
      <c r="IY242" s="84"/>
      <c r="IZ242" s="71">
        <f t="shared" ref="IZ242" ca="1" si="3725">SUM(IZ240:IZ241)</f>
        <v>0</v>
      </c>
      <c r="JA242" s="49"/>
      <c r="JB242" s="84"/>
      <c r="JC242" s="71">
        <f t="shared" ref="JC242" ca="1" si="3726">SUM(JC240:JC241)</f>
        <v>0</v>
      </c>
      <c r="JD242" s="49"/>
      <c r="JE242" s="84"/>
      <c r="JF242" s="71">
        <f t="shared" ref="JF242" ca="1" si="3727">SUM(JF240:JF241)</f>
        <v>0</v>
      </c>
      <c r="JG242" s="49"/>
      <c r="JH242" s="84"/>
      <c r="JI242" s="71">
        <f t="shared" ref="JI242" ca="1" si="3728">SUM(JI240:JI241)</f>
        <v>0</v>
      </c>
      <c r="JJ242" s="49"/>
      <c r="JK242" s="84"/>
      <c r="JL242" s="71">
        <f t="shared" ref="JL242" ca="1" si="3729">SUM(JL240:JL241)</f>
        <v>0</v>
      </c>
      <c r="JM242" s="49"/>
      <c r="JN242" s="84"/>
      <c r="JO242" s="71">
        <f t="shared" ref="JO242" ca="1" si="3730">SUM(JO240:JO241)</f>
        <v>0</v>
      </c>
      <c r="JP242" s="49"/>
      <c r="JQ242" s="84"/>
      <c r="JR242" s="71">
        <f t="shared" ref="JR242" ca="1" si="3731">SUM(JR240:JR241)</f>
        <v>0</v>
      </c>
      <c r="JS242" s="49"/>
      <c r="JT242" s="84"/>
      <c r="JU242" s="71">
        <f t="shared" ref="JU242" ca="1" si="3732">SUM(JU240:JU241)</f>
        <v>0</v>
      </c>
      <c r="JV242" s="49"/>
      <c r="JW242" s="84"/>
      <c r="JX242" s="71">
        <f t="shared" ref="JX242" ca="1" si="3733">SUM(JX240:JX241)</f>
        <v>0</v>
      </c>
      <c r="JY242" s="49"/>
      <c r="JZ242" s="84"/>
      <c r="KA242" s="71">
        <f t="shared" ref="KA242" ca="1" si="3734">SUM(KA240:KA241)</f>
        <v>0</v>
      </c>
      <c r="KB242" s="49"/>
      <c r="KC242" s="84"/>
      <c r="KD242" s="71">
        <f t="shared" ref="KD242" ca="1" si="3735">SUM(KD240:KD241)</f>
        <v>0</v>
      </c>
      <c r="KE242" s="49"/>
      <c r="KF242" s="84"/>
      <c r="KG242" s="71">
        <f t="shared" ref="KG242" ca="1" si="3736">SUM(KG240:KG241)</f>
        <v>0</v>
      </c>
      <c r="KH242" s="49"/>
      <c r="KI242" s="84"/>
      <c r="KJ242" s="71">
        <f t="shared" ref="KJ242" ca="1" si="3737">SUM(KJ240:KJ241)</f>
        <v>0</v>
      </c>
      <c r="KK242" s="49"/>
      <c r="KL242" s="84"/>
      <c r="KM242" s="71">
        <f t="shared" ref="KM242" ca="1" si="3738">SUM(KM240:KM241)</f>
        <v>0</v>
      </c>
      <c r="KN242" s="49"/>
      <c r="KO242" s="84"/>
      <c r="KP242" s="71">
        <f t="shared" ref="KP242" ca="1" si="3739">SUM(KP240:KP241)</f>
        <v>0</v>
      </c>
      <c r="KQ242" s="49"/>
      <c r="KR242" s="84"/>
      <c r="KS242" s="71">
        <f t="shared" ref="KS242" ca="1" si="3740">SUM(KS240:KS241)</f>
        <v>0</v>
      </c>
      <c r="KT242" s="49"/>
      <c r="KU242" s="84"/>
      <c r="KV242" s="71">
        <f t="shared" ref="KV242" ca="1" si="3741">SUM(KV240:KV241)</f>
        <v>0</v>
      </c>
      <c r="KW242" s="49"/>
      <c r="KX242" s="84"/>
      <c r="KY242" s="71">
        <f t="shared" ref="KY242" ca="1" si="3742">SUM(KY240:KY241)</f>
        <v>0</v>
      </c>
      <c r="KZ242" s="49"/>
      <c r="LA242" s="84"/>
      <c r="LB242" s="71">
        <f t="shared" ref="LB242" ca="1" si="3743">SUM(LB240:LB241)</f>
        <v>0</v>
      </c>
      <c r="LC242" s="49"/>
      <c r="LD242" s="84"/>
      <c r="LE242" s="71">
        <f t="shared" ref="LE242" ca="1" si="3744">SUM(LE240:LE241)</f>
        <v>0</v>
      </c>
      <c r="LF242" s="49"/>
      <c r="LG242" s="49"/>
    </row>
    <row r="243" spans="1:319">
      <c r="A243" s="25"/>
      <c r="B243" s="25"/>
      <c r="C243" s="25"/>
      <c r="D243" s="25"/>
      <c r="E243" s="25"/>
      <c r="F243" s="407"/>
      <c r="G243" s="407"/>
      <c r="H243" s="65"/>
      <c r="I243" s="52" t="s">
        <v>1578</v>
      </c>
      <c r="J243" s="94"/>
      <c r="K243" s="113" t="str">
        <f>UPPER(Idiomas!D147)</f>
        <v>3RD-4TH PLACE</v>
      </c>
      <c r="L243" s="50"/>
      <c r="M243" s="71"/>
      <c r="N243" s="25"/>
      <c r="O243" s="25"/>
      <c r="P243" s="25"/>
      <c r="Q243" s="25"/>
      <c r="R243" s="17"/>
      <c r="S243" s="84"/>
      <c r="T243" s="112"/>
      <c r="U243" s="49"/>
      <c r="V243" s="84"/>
      <c r="W243" s="71"/>
      <c r="X243" s="49"/>
      <c r="Y243" s="84"/>
      <c r="Z243" s="71"/>
      <c r="AA243" s="49"/>
      <c r="AB243" s="84"/>
      <c r="AC243" s="71"/>
      <c r="AD243" s="49"/>
      <c r="AE243" s="84"/>
      <c r="AF243" s="71"/>
      <c r="AG243" s="49"/>
      <c r="AH243" s="84"/>
      <c r="AI243" s="71"/>
      <c r="AJ243" s="49"/>
      <c r="AK243" s="84"/>
      <c r="AL243" s="71"/>
      <c r="AM243" s="49"/>
      <c r="AN243" s="84"/>
      <c r="AO243" s="71"/>
      <c r="AP243" s="49"/>
      <c r="AQ243" s="84"/>
      <c r="AR243" s="71"/>
      <c r="AS243" s="49"/>
      <c r="AT243" s="84"/>
      <c r="AU243" s="71"/>
      <c r="AV243" s="49"/>
      <c r="AW243" s="84"/>
      <c r="AX243" s="71"/>
      <c r="AY243" s="49"/>
      <c r="AZ243" s="84"/>
      <c r="BA243" s="71"/>
      <c r="BB243" s="49"/>
      <c r="BC243" s="84"/>
      <c r="BD243" s="71"/>
      <c r="BE243" s="49"/>
      <c r="BF243" s="84"/>
      <c r="BG243" s="71"/>
      <c r="BH243" s="49"/>
      <c r="BI243" s="84"/>
      <c r="BJ243" s="71"/>
      <c r="BK243" s="49"/>
      <c r="BL243" s="84"/>
      <c r="BM243" s="71"/>
      <c r="BN243" s="49"/>
      <c r="BO243" s="84"/>
      <c r="BP243" s="71"/>
      <c r="BQ243" s="49"/>
      <c r="BR243" s="84"/>
      <c r="BS243" s="71"/>
      <c r="BT243" s="49"/>
      <c r="BU243" s="84"/>
      <c r="BV243" s="71"/>
      <c r="BW243" s="49"/>
      <c r="BX243" s="84"/>
      <c r="BY243" s="71"/>
      <c r="BZ243" s="49"/>
      <c r="CA243" s="84"/>
      <c r="CB243" s="71"/>
      <c r="CC243" s="49"/>
      <c r="CD243" s="84"/>
      <c r="CE243" s="71"/>
      <c r="CF243" s="49"/>
      <c r="CG243" s="84"/>
      <c r="CH243" s="71"/>
      <c r="CI243" s="49"/>
      <c r="CJ243" s="84"/>
      <c r="CK243" s="71"/>
      <c r="CL243" s="49"/>
      <c r="CM243" s="84"/>
      <c r="CN243" s="71"/>
      <c r="CO243" s="49"/>
      <c r="CP243" s="84"/>
      <c r="CQ243" s="71"/>
      <c r="CR243" s="49"/>
      <c r="CS243" s="84"/>
      <c r="CT243" s="71"/>
      <c r="CU243" s="49"/>
      <c r="CV243" s="84"/>
      <c r="CW243" s="71"/>
      <c r="CX243" s="49"/>
      <c r="CY243" s="84"/>
      <c r="CZ243" s="71"/>
      <c r="DA243" s="49"/>
      <c r="DB243" s="84"/>
      <c r="DC243" s="71"/>
      <c r="DD243" s="49"/>
      <c r="DE243" s="84"/>
      <c r="DF243" s="71"/>
      <c r="DG243" s="49"/>
      <c r="DH243" s="84"/>
      <c r="DI243" s="71"/>
      <c r="DJ243" s="49"/>
      <c r="DK243" s="84"/>
      <c r="DL243" s="71"/>
      <c r="DM243" s="49"/>
      <c r="DN243" s="84"/>
      <c r="DO243" s="71"/>
      <c r="DP243" s="49"/>
      <c r="DQ243" s="84"/>
      <c r="DR243" s="71"/>
      <c r="DS243" s="49"/>
      <c r="DT243" s="84"/>
      <c r="DU243" s="71"/>
      <c r="DV243" s="49"/>
      <c r="DW243" s="84"/>
      <c r="DX243" s="71"/>
      <c r="DY243" s="49"/>
      <c r="DZ243" s="84"/>
      <c r="EA243" s="71"/>
      <c r="EB243" s="49"/>
      <c r="EC243" s="84"/>
      <c r="ED243" s="71"/>
      <c r="EE243" s="49"/>
      <c r="EF243" s="84"/>
      <c r="EG243" s="71"/>
      <c r="EH243" s="49"/>
      <c r="EI243" s="84"/>
      <c r="EJ243" s="71"/>
      <c r="EK243" s="49"/>
      <c r="EL243" s="84"/>
      <c r="EM243" s="71"/>
      <c r="EN243" s="49"/>
      <c r="EO243" s="84"/>
      <c r="EP243" s="71"/>
      <c r="EQ243" s="49"/>
      <c r="ER243" s="84"/>
      <c r="ES243" s="71"/>
      <c r="ET243" s="49"/>
      <c r="EU243" s="84"/>
      <c r="EV243" s="71"/>
      <c r="EW243" s="49"/>
      <c r="EX243" s="84"/>
      <c r="EY243" s="71"/>
      <c r="EZ243" s="49"/>
      <c r="FA243" s="84"/>
      <c r="FB243" s="71"/>
      <c r="FC243" s="49"/>
      <c r="FD243" s="84"/>
      <c r="FE243" s="71"/>
      <c r="FF243" s="49"/>
      <c r="FG243" s="84"/>
      <c r="FH243" s="71"/>
      <c r="FI243" s="49"/>
      <c r="FJ243" s="84"/>
      <c r="FK243" s="71"/>
      <c r="FL243" s="49"/>
      <c r="FM243" s="84"/>
      <c r="FN243" s="71"/>
      <c r="FO243" s="49"/>
      <c r="FP243" s="84"/>
      <c r="FQ243" s="71"/>
      <c r="FR243" s="49"/>
      <c r="FS243" s="84"/>
      <c r="FT243" s="71"/>
      <c r="FU243" s="49"/>
      <c r="FV243" s="84"/>
      <c r="FW243" s="71"/>
      <c r="FX243" s="49"/>
      <c r="FY243" s="84"/>
      <c r="FZ243" s="71"/>
      <c r="GA243" s="49"/>
      <c r="GB243" s="84"/>
      <c r="GC243" s="71"/>
      <c r="GD243" s="49"/>
      <c r="GE243" s="84"/>
      <c r="GF243" s="71"/>
      <c r="GG243" s="49"/>
      <c r="GH243" s="84"/>
      <c r="GI243" s="71"/>
      <c r="GJ243" s="49"/>
      <c r="GK243" s="84"/>
      <c r="GL243" s="71"/>
      <c r="GM243" s="49"/>
      <c r="GN243" s="84"/>
      <c r="GO243" s="71"/>
      <c r="GP243" s="49"/>
      <c r="GQ243" s="84"/>
      <c r="GR243" s="71"/>
      <c r="GS243" s="49"/>
      <c r="GT243" s="84"/>
      <c r="GU243" s="71"/>
      <c r="GV243" s="49"/>
      <c r="GW243" s="84"/>
      <c r="GX243" s="71"/>
      <c r="GY243" s="49"/>
      <c r="GZ243" s="84"/>
      <c r="HA243" s="71"/>
      <c r="HB243" s="49"/>
      <c r="HC243" s="84"/>
      <c r="HD243" s="71"/>
      <c r="HE243" s="49"/>
      <c r="HF243" s="84"/>
      <c r="HG243" s="71"/>
      <c r="HH243" s="49"/>
      <c r="HI243" s="84"/>
      <c r="HJ243" s="71"/>
      <c r="HK243" s="49"/>
      <c r="HL243" s="84"/>
      <c r="HM243" s="71"/>
      <c r="HN243" s="49"/>
      <c r="HO243" s="84"/>
      <c r="HP243" s="71"/>
      <c r="HQ243" s="49"/>
      <c r="HR243" s="84"/>
      <c r="HS243" s="71"/>
      <c r="HT243" s="49"/>
      <c r="HU243" s="84"/>
      <c r="HV243" s="71"/>
      <c r="HW243" s="49"/>
      <c r="HX243" s="84"/>
      <c r="HY243" s="71"/>
      <c r="HZ243" s="49"/>
      <c r="IA243" s="84"/>
      <c r="IB243" s="71"/>
      <c r="IC243" s="49"/>
      <c r="ID243" s="84"/>
      <c r="IE243" s="71"/>
      <c r="IF243" s="49"/>
      <c r="IG243" s="84"/>
      <c r="IH243" s="71"/>
      <c r="II243" s="49"/>
      <c r="IJ243" s="84"/>
      <c r="IK243" s="71"/>
      <c r="IL243" s="49"/>
      <c r="IM243" s="84"/>
      <c r="IN243" s="71"/>
      <c r="IO243" s="49"/>
      <c r="IP243" s="84"/>
      <c r="IQ243" s="71"/>
      <c r="IR243" s="49"/>
      <c r="IS243" s="84"/>
      <c r="IT243" s="71"/>
      <c r="IU243" s="49"/>
      <c r="IV243" s="84"/>
      <c r="IW243" s="71"/>
      <c r="IX243" s="49"/>
      <c r="IY243" s="84"/>
      <c r="IZ243" s="71"/>
      <c r="JA243" s="49"/>
      <c r="JB243" s="84"/>
      <c r="JC243" s="71"/>
      <c r="JD243" s="49"/>
      <c r="JE243" s="84"/>
      <c r="JF243" s="71"/>
      <c r="JG243" s="49"/>
      <c r="JH243" s="84"/>
      <c r="JI243" s="71"/>
      <c r="JJ243" s="49"/>
      <c r="JK243" s="84"/>
      <c r="JL243" s="71"/>
      <c r="JM243" s="49"/>
      <c r="JN243" s="84"/>
      <c r="JO243" s="71"/>
      <c r="JP243" s="49"/>
      <c r="JQ243" s="84"/>
      <c r="JR243" s="71"/>
      <c r="JS243" s="49"/>
      <c r="JT243" s="84"/>
      <c r="JU243" s="71"/>
      <c r="JV243" s="49"/>
      <c r="JW243" s="84"/>
      <c r="JX243" s="71"/>
      <c r="JY243" s="49"/>
      <c r="JZ243" s="84"/>
      <c r="KA243" s="71"/>
      <c r="KB243" s="49"/>
      <c r="KC243" s="84"/>
      <c r="KD243" s="71"/>
      <c r="KE243" s="49"/>
      <c r="KF243" s="84"/>
      <c r="KG243" s="71"/>
      <c r="KH243" s="49"/>
      <c r="KI243" s="84"/>
      <c r="KJ243" s="71"/>
      <c r="KK243" s="49"/>
      <c r="KL243" s="84"/>
      <c r="KM243" s="71"/>
      <c r="KN243" s="49"/>
      <c r="KO243" s="84"/>
      <c r="KP243" s="71"/>
      <c r="KQ243" s="49"/>
      <c r="KR243" s="84"/>
      <c r="KS243" s="71"/>
      <c r="KT243" s="49"/>
      <c r="KU243" s="84"/>
      <c r="KV243" s="71"/>
      <c r="KW243" s="49"/>
      <c r="KX243" s="84"/>
      <c r="KY243" s="71"/>
      <c r="KZ243" s="49"/>
      <c r="LA243" s="84"/>
      <c r="LB243" s="71"/>
      <c r="LC243" s="49"/>
      <c r="LD243" s="84"/>
      <c r="LE243" s="71"/>
      <c r="LF243" s="49"/>
      <c r="LG243" s="49"/>
    </row>
    <row r="244" spans="1:319" ht="20.25">
      <c r="A244" s="25">
        <f>WORLDCUP!AD143</f>
        <v>6</v>
      </c>
      <c r="B244" s="25">
        <f>WORLDCUP!AC143</f>
        <v>4</v>
      </c>
      <c r="C244" s="25" t="str">
        <f ca="1">CONCATENATE(WORLDCUP!AF143,"-",WORLDCUP!AA143)</f>
        <v>England-France</v>
      </c>
      <c r="D244" s="25">
        <f>IF(WORLDCUP!AC143&gt;WORLDCUP!AD143,2,IF(WORLDCUP!AC143&lt;WORLDCUP!AD143,1,IF(AND(WORLDCUP!AC143=WORLDCUP!AD143,WORLDCUP!AC143&lt;&gt;"",WORLDCUP!AD143&lt;&gt;""),0,"PD")))</f>
        <v>1</v>
      </c>
      <c r="E244" s="25" t="str">
        <f>IF(OR(WORLDCUP!AD143="",WORLDCUP!AC143=""),"-",A244&amp;"-"&amp;B244)</f>
        <v>6-4</v>
      </c>
      <c r="F244" s="407">
        <f>SUM($D$33:$D$35)*$I$244</f>
        <v>20</v>
      </c>
      <c r="G244" s="407">
        <f ca="1">VLOOKUP(H244,Equipos!$Q$1:$R$25,2,0)</f>
        <v>24</v>
      </c>
      <c r="H244" s="65" t="str">
        <f>Idiomas!$D$264</f>
        <v>3-4 &amp; Final</v>
      </c>
      <c r="I244" s="43">
        <v>1</v>
      </c>
      <c r="J244" s="98" t="s">
        <v>493</v>
      </c>
      <c r="K244" s="114" t="str">
        <f ca="1">CONCATENATE(WORLDCUP!AA143,"-",WORLDCUP!AF143)</f>
        <v>France-England</v>
      </c>
      <c r="L244" s="114">
        <f>IF(OR(WORLDCUP!AC143="",WORLDCUP!AD143=""),"PD",IF(WORLDCUP!AC143&gt;WORLDCUP!AD143,1,IF(WORLDCUP!AC143&lt;WORLDCUP!AD143,2,0)))</f>
        <v>2</v>
      </c>
      <c r="M244" s="117" t="str">
        <f>IF(L244="PD","-",N244&amp;"-"&amp;O244)</f>
        <v>4-6</v>
      </c>
      <c r="N244" s="25">
        <f>WORLDCUP!AC143</f>
        <v>4</v>
      </c>
      <c r="O244" s="25">
        <f>WORLDCUP!AD143</f>
        <v>6</v>
      </c>
      <c r="P244" s="25">
        <f>+N244-O244</f>
        <v>-2</v>
      </c>
      <c r="Q244" s="25">
        <f>+A244-B244</f>
        <v>2</v>
      </c>
      <c r="R244" s="17"/>
      <c r="S244" s="66" t="s">
        <v>1992</v>
      </c>
      <c r="T244" s="85">
        <f ca="1">IFERROR(IF(LEFT(S244,FIND("·",S244)-1)=$K$244,IF($L$244=IFERROR(VALUE(MID(S244,FIND("·",S244)+1,1)),0),($D$33+($M$244=MID(S244,FIND("|",S244)+1,10))*$D$35+MAX(0,IF($D$50=1,$D$34*(1-(ABS($P$244-(VALUE(MID(S244,FIND("|",S244)+1,FIND("-",S244,FIND("|",S244))-FIND("|",S244)-1))-VALUE(MID(S244,FIND("-",S244,FIND("|",S244))+1,10)))))*$D$50),$D$34*(1-(IF($L$244=0,ABS($N$244-VALUE(MID(S244,FIND("|",S244)+1,FIND("-",S244,FIND("|",S244))-FIND("|",S244)-1))),ABS($P$244-(VALUE(MID(S244,FIND("|",S244)+1,FIND("-",S244,FIND("|",S244))-FIND("|",S244)-1))-VALUE(MID(S244,FIND("-",S244,FIND("|",S244))+1,10)))))*$D$50)))))*$I$244,0),0),0)
+IFERROR(IF(LEFT(S244,FIND("·",S244)-1)=$C$244,IF($D$244=IFERROR(VALUE(MID(S244,FIND("·",S244)+1,1)),0),($D$33+($E$244=MID(S244,FIND("|",S244)+1,10))*$D$35+MAX(0,IF($D$50=1,$D$34*(1-(ABS($Q$244-(VALUE(MID(S244,FIND("|",S244)+1,FIND("-",S244,FIND("|",S244))-FIND("|",S244)-1))-VALUE(MID(S244,FIND("-",S244,FIND("|",S244))+1,10)))))*$D$50),$D$34*(1-(IF($D$244=0,ABS($A$244-VALUE(MID(S244,FIND("|",S244)+1,FIND("-",S244,FIND("|",S244))-FIND("|",S244)-1))),ABS($Q$244-(VALUE(MID(S244,FIND("|",S244)+1,FIND("-",S244,FIND("|",S244))-FIND("|",S244)-1))-VALUE(MID(S244,FIND("-",S244,FIND("|",S244))+1,10)))))*$D$50)))))*$I$244,0),0),0)</f>
        <v>0</v>
      </c>
      <c r="U244" s="443"/>
      <c r="V244" s="66" t="s">
        <v>2031</v>
      </c>
      <c r="W244" s="85">
        <f t="shared" ref="W244" ca="1" si="3745">IFERROR(IF(LEFT(V244,FIND("·",V244)-1)=$K$244,IF($L$244=IFERROR(VALUE(MID(V244,FIND("·",V244)+1,1)),0),($D$33+($M$244=MID(V244,FIND("|",V244)+1,10))*$D$35+MAX(0,IF($D$50=1,$D$34*(1-(ABS($P$244-(VALUE(MID(V244,FIND("|",V244)+1,FIND("-",V244,FIND("|",V244))-FIND("|",V244)-1))-VALUE(MID(V244,FIND("-",V244,FIND("|",V244))+1,10)))))*$D$50),$D$34*(1-(IF($L$244=0,ABS($N$244-VALUE(MID(V244,FIND("|",V244)+1,FIND("-",V244,FIND("|",V244))-FIND("|",V244)-1))),ABS($P$244-(VALUE(MID(V244,FIND("|",V244)+1,FIND("-",V244,FIND("|",V244))-FIND("|",V244)-1))-VALUE(MID(V244,FIND("-",V244,FIND("|",V244))+1,10)))))*$D$50)))))*$I$244,0),0),0)
+IFERROR(IF(LEFT(V244,FIND("·",V244)-1)=$C$244,IF($D$244=IFERROR(VALUE(MID(V244,FIND("·",V244)+1,1)),0),($D$33+($E$244=MID(V244,FIND("|",V244)+1,10))*$D$35+MAX(0,IF($D$50=1,$D$34*(1-(ABS($Q$244-(VALUE(MID(V244,FIND("|",V244)+1,FIND("-",V244,FIND("|",V244))-FIND("|",V244)-1))-VALUE(MID(V244,FIND("-",V244,FIND("|",V244))+1,10)))))*$D$50),$D$34*(1-(IF($D$244=0,ABS($A$244-VALUE(MID(V244,FIND("|",V244)+1,FIND("-",V244,FIND("|",V244))-FIND("|",V244)-1))),ABS($Q$244-(VALUE(MID(V244,FIND("|",V244)+1,FIND("-",V244,FIND("|",V244))-FIND("|",V244)-1))-VALUE(MID(V244,FIND("-",V244,FIND("|",V244))+1,10)))))*$D$50)))))*$I$244,0),0),0)</f>
        <v>0</v>
      </c>
      <c r="X244" s="110"/>
      <c r="Y244" s="66" t="s">
        <v>2065</v>
      </c>
      <c r="Z244" s="85">
        <f t="shared" ref="Z244" ca="1" si="3746">IFERROR(IF(LEFT(Y244,FIND("·",Y244)-1)=$K$244,IF($L$244=IFERROR(VALUE(MID(Y244,FIND("·",Y244)+1,1)),0),($D$33+($M$244=MID(Y244,FIND("|",Y244)+1,10))*$D$35+MAX(0,IF($D$50=1,$D$34*(1-(ABS($P$244-(VALUE(MID(Y244,FIND("|",Y244)+1,FIND("-",Y244,FIND("|",Y244))-FIND("|",Y244)-1))-VALUE(MID(Y244,FIND("-",Y244,FIND("|",Y244))+1,10)))))*$D$50),$D$34*(1-(IF($L$244=0,ABS($N$244-VALUE(MID(Y244,FIND("|",Y244)+1,FIND("-",Y244,FIND("|",Y244))-FIND("|",Y244)-1))),ABS($P$244-(VALUE(MID(Y244,FIND("|",Y244)+1,FIND("-",Y244,FIND("|",Y244))-FIND("|",Y244)-1))-VALUE(MID(Y244,FIND("-",Y244,FIND("|",Y244))+1,10)))))*$D$50)))))*$I$244,0),0),0)
+IFERROR(IF(LEFT(Y244,FIND("·",Y244)-1)=$C$244,IF($D$244=IFERROR(VALUE(MID(Y244,FIND("·",Y244)+1,1)),0),($D$33+($E$244=MID(Y244,FIND("|",Y244)+1,10))*$D$35+MAX(0,IF($D$50=1,$D$34*(1-(ABS($Q$244-(VALUE(MID(Y244,FIND("|",Y244)+1,FIND("-",Y244,FIND("|",Y244))-FIND("|",Y244)-1))-VALUE(MID(Y244,FIND("-",Y244,FIND("|",Y244))+1,10)))))*$D$50),$D$34*(1-(IF($D$244=0,ABS($A$244-VALUE(MID(Y244,FIND("|",Y244)+1,FIND("-",Y244,FIND("|",Y244))-FIND("|",Y244)-1))),ABS($Q$244-(VALUE(MID(Y244,FIND("|",Y244)+1,FIND("-",Y244,FIND("|",Y244))-FIND("|",Y244)-1))-VALUE(MID(Y244,FIND("-",Y244,FIND("|",Y244))+1,10)))))*$D$50)))))*$I$244,0),0),0)</f>
        <v>0</v>
      </c>
      <c r="AA244" s="110"/>
      <c r="AB244" s="66" t="s">
        <v>2099</v>
      </c>
      <c r="AC244" s="85">
        <f t="shared" ref="AC244" ca="1" si="3747">IFERROR(IF(LEFT(AB244,FIND("·",AB244)-1)=$K$244,IF($L$244=IFERROR(VALUE(MID(AB244,FIND("·",AB244)+1,1)),0),($D$33+($M$244=MID(AB244,FIND("|",AB244)+1,10))*$D$35+MAX(0,IF($D$50=1,$D$34*(1-(ABS($P$244-(VALUE(MID(AB244,FIND("|",AB244)+1,FIND("-",AB244,FIND("|",AB244))-FIND("|",AB244)-1))-VALUE(MID(AB244,FIND("-",AB244,FIND("|",AB244))+1,10)))))*$D$50),$D$34*(1-(IF($L$244=0,ABS($N$244-VALUE(MID(AB244,FIND("|",AB244)+1,FIND("-",AB244,FIND("|",AB244))-FIND("|",AB244)-1))),ABS($P$244-(VALUE(MID(AB244,FIND("|",AB244)+1,FIND("-",AB244,FIND("|",AB244))-FIND("|",AB244)-1))-VALUE(MID(AB244,FIND("-",AB244,FIND("|",AB244))+1,10)))))*$D$50)))))*$I$244,0),0),0)
+IFERROR(IF(LEFT(AB244,FIND("·",AB244)-1)=$C$244,IF($D$244=IFERROR(VALUE(MID(AB244,FIND("·",AB244)+1,1)),0),($D$33+($E$244=MID(AB244,FIND("|",AB244)+1,10))*$D$35+MAX(0,IF($D$50=1,$D$34*(1-(ABS($Q$244-(VALUE(MID(AB244,FIND("|",AB244)+1,FIND("-",AB244,FIND("|",AB244))-FIND("|",AB244)-1))-VALUE(MID(AB244,FIND("-",AB244,FIND("|",AB244))+1,10)))))*$D$50),$D$34*(1-(IF($D$244=0,ABS($A$244-VALUE(MID(AB244,FIND("|",AB244)+1,FIND("-",AB244,FIND("|",AB244))-FIND("|",AB244)-1))),ABS($Q$244-(VALUE(MID(AB244,FIND("|",AB244)+1,FIND("-",AB244,FIND("|",AB244))-FIND("|",AB244)-1))-VALUE(MID(AB244,FIND("-",AB244,FIND("|",AB244))+1,10)))))*$D$50)))))*$I$244,0),0),0)</f>
        <v>0</v>
      </c>
      <c r="AD244" s="110"/>
      <c r="AE244" s="66" t="s">
        <v>2125</v>
      </c>
      <c r="AF244" s="85">
        <f t="shared" ref="AF244" ca="1" si="3748">IFERROR(IF(LEFT(AE244,FIND("·",AE244)-1)=$K$244,IF($L$244=IFERROR(VALUE(MID(AE244,FIND("·",AE244)+1,1)),0),($D$33+($M$244=MID(AE244,FIND("|",AE244)+1,10))*$D$35+MAX(0,IF($D$50=1,$D$34*(1-(ABS($P$244-(VALUE(MID(AE244,FIND("|",AE244)+1,FIND("-",AE244,FIND("|",AE244))-FIND("|",AE244)-1))-VALUE(MID(AE244,FIND("-",AE244,FIND("|",AE244))+1,10)))))*$D$50),$D$34*(1-(IF($L$244=0,ABS($N$244-VALUE(MID(AE244,FIND("|",AE244)+1,FIND("-",AE244,FIND("|",AE244))-FIND("|",AE244)-1))),ABS($P$244-(VALUE(MID(AE244,FIND("|",AE244)+1,FIND("-",AE244,FIND("|",AE244))-FIND("|",AE244)-1))-VALUE(MID(AE244,FIND("-",AE244,FIND("|",AE244))+1,10)))))*$D$50)))))*$I$244,0),0),0)
+IFERROR(IF(LEFT(AE244,FIND("·",AE244)-1)=$C$244,IF($D$244=IFERROR(VALUE(MID(AE244,FIND("·",AE244)+1,1)),0),($D$33+($E$244=MID(AE244,FIND("|",AE244)+1,10))*$D$35+MAX(0,IF($D$50=1,$D$34*(1-(ABS($Q$244-(VALUE(MID(AE244,FIND("|",AE244)+1,FIND("-",AE244,FIND("|",AE244))-FIND("|",AE244)-1))-VALUE(MID(AE244,FIND("-",AE244,FIND("|",AE244))+1,10)))))*$D$50),$D$34*(1-(IF($D$244=0,ABS($A$244-VALUE(MID(AE244,FIND("|",AE244)+1,FIND("-",AE244,FIND("|",AE244))-FIND("|",AE244)-1))),ABS($Q$244-(VALUE(MID(AE244,FIND("|",AE244)+1,FIND("-",AE244,FIND("|",AE244))-FIND("|",AE244)-1))-VALUE(MID(AE244,FIND("-",AE244,FIND("|",AE244))+1,10)))))*$D$50)))))*$I$244,0),0),0)</f>
        <v>0</v>
      </c>
      <c r="AG244" s="110"/>
      <c r="AH244" s="66" t="s">
        <v>2157</v>
      </c>
      <c r="AI244" s="85">
        <f t="shared" ref="AI244" ca="1" si="3749">IFERROR(IF(LEFT(AH244,FIND("·",AH244)-1)=$K$244,IF($L$244=IFERROR(VALUE(MID(AH244,FIND("·",AH244)+1,1)),0),($D$33+($M$244=MID(AH244,FIND("|",AH244)+1,10))*$D$35+MAX(0,IF($D$50=1,$D$34*(1-(ABS($P$244-(VALUE(MID(AH244,FIND("|",AH244)+1,FIND("-",AH244,FIND("|",AH244))-FIND("|",AH244)-1))-VALUE(MID(AH244,FIND("-",AH244,FIND("|",AH244))+1,10)))))*$D$50),$D$34*(1-(IF($L$244=0,ABS($N$244-VALUE(MID(AH244,FIND("|",AH244)+1,FIND("-",AH244,FIND("|",AH244))-FIND("|",AH244)-1))),ABS($P$244-(VALUE(MID(AH244,FIND("|",AH244)+1,FIND("-",AH244,FIND("|",AH244))-FIND("|",AH244)-1))-VALUE(MID(AH244,FIND("-",AH244,FIND("|",AH244))+1,10)))))*$D$50)))))*$I$244,0),0),0)
+IFERROR(IF(LEFT(AH244,FIND("·",AH244)-1)=$C$244,IF($D$244=IFERROR(VALUE(MID(AH244,FIND("·",AH244)+1,1)),0),($D$33+($E$244=MID(AH244,FIND("|",AH244)+1,10))*$D$35+MAX(0,IF($D$50=1,$D$34*(1-(ABS($Q$244-(VALUE(MID(AH244,FIND("|",AH244)+1,FIND("-",AH244,FIND("|",AH244))-FIND("|",AH244)-1))-VALUE(MID(AH244,FIND("-",AH244,FIND("|",AH244))+1,10)))))*$D$50),$D$34*(1-(IF($D$244=0,ABS($A$244-VALUE(MID(AH244,FIND("|",AH244)+1,FIND("-",AH244,FIND("|",AH244))-FIND("|",AH244)-1))),ABS($Q$244-(VALUE(MID(AH244,FIND("|",AH244)+1,FIND("-",AH244,FIND("|",AH244))-FIND("|",AH244)-1))-VALUE(MID(AH244,FIND("-",AH244,FIND("|",AH244))+1,10)))))*$D$50)))))*$I$244,0),0),0)</f>
        <v>0</v>
      </c>
      <c r="AJ244" s="110"/>
      <c r="AK244" s="66" t="s">
        <v>2184</v>
      </c>
      <c r="AL244" s="85">
        <f t="shared" ref="AL244" ca="1" si="3750">IFERROR(IF(LEFT(AK244,FIND("·",AK244)-1)=$K$244,IF($L$244=IFERROR(VALUE(MID(AK244,FIND("·",AK244)+1,1)),0),($D$33+($M$244=MID(AK244,FIND("|",AK244)+1,10))*$D$35+MAX(0,IF($D$50=1,$D$34*(1-(ABS($P$244-(VALUE(MID(AK244,FIND("|",AK244)+1,FIND("-",AK244,FIND("|",AK244))-FIND("|",AK244)-1))-VALUE(MID(AK244,FIND("-",AK244,FIND("|",AK244))+1,10)))))*$D$50),$D$34*(1-(IF($L$244=0,ABS($N$244-VALUE(MID(AK244,FIND("|",AK244)+1,FIND("-",AK244,FIND("|",AK244))-FIND("|",AK244)-1))),ABS($P$244-(VALUE(MID(AK244,FIND("|",AK244)+1,FIND("-",AK244,FIND("|",AK244))-FIND("|",AK244)-1))-VALUE(MID(AK244,FIND("-",AK244,FIND("|",AK244))+1,10)))))*$D$50)))))*$I$244,0),0),0)
+IFERROR(IF(LEFT(AK244,FIND("·",AK244)-1)=$C$244,IF($D$244=IFERROR(VALUE(MID(AK244,FIND("·",AK244)+1,1)),0),($D$33+($E$244=MID(AK244,FIND("|",AK244)+1,10))*$D$35+MAX(0,IF($D$50=1,$D$34*(1-(ABS($Q$244-(VALUE(MID(AK244,FIND("|",AK244)+1,FIND("-",AK244,FIND("|",AK244))-FIND("|",AK244)-1))-VALUE(MID(AK244,FIND("-",AK244,FIND("|",AK244))+1,10)))))*$D$50),$D$34*(1-(IF($D$244=0,ABS($A$244-VALUE(MID(AK244,FIND("|",AK244)+1,FIND("-",AK244,FIND("|",AK244))-FIND("|",AK244)-1))),ABS($Q$244-(VALUE(MID(AK244,FIND("|",AK244)+1,FIND("-",AK244,FIND("|",AK244))-FIND("|",AK244)-1))-VALUE(MID(AK244,FIND("-",AK244,FIND("|",AK244))+1,10)))))*$D$50)))))*$I$244,0),0),0)</f>
        <v>0</v>
      </c>
      <c r="AM244" s="110"/>
      <c r="AN244" s="66" t="s">
        <v>2218</v>
      </c>
      <c r="AO244" s="85">
        <f t="shared" ref="AO244" ca="1" si="3751">IFERROR(IF(LEFT(AN244,FIND("·",AN244)-1)=$K$244,IF($L$244=IFERROR(VALUE(MID(AN244,FIND("·",AN244)+1,1)),0),($D$33+($M$244=MID(AN244,FIND("|",AN244)+1,10))*$D$35+MAX(0,IF($D$50=1,$D$34*(1-(ABS($P$244-(VALUE(MID(AN244,FIND("|",AN244)+1,FIND("-",AN244,FIND("|",AN244))-FIND("|",AN244)-1))-VALUE(MID(AN244,FIND("-",AN244,FIND("|",AN244))+1,10)))))*$D$50),$D$34*(1-(IF($L$244=0,ABS($N$244-VALUE(MID(AN244,FIND("|",AN244)+1,FIND("-",AN244,FIND("|",AN244))-FIND("|",AN244)-1))),ABS($P$244-(VALUE(MID(AN244,FIND("|",AN244)+1,FIND("-",AN244,FIND("|",AN244))-FIND("|",AN244)-1))-VALUE(MID(AN244,FIND("-",AN244,FIND("|",AN244))+1,10)))))*$D$50)))))*$I$244,0),0),0)
+IFERROR(IF(LEFT(AN244,FIND("·",AN244)-1)=$C$244,IF($D$244=IFERROR(VALUE(MID(AN244,FIND("·",AN244)+1,1)),0),($D$33+($E$244=MID(AN244,FIND("|",AN244)+1,10))*$D$35+MAX(0,IF($D$50=1,$D$34*(1-(ABS($Q$244-(VALUE(MID(AN244,FIND("|",AN244)+1,FIND("-",AN244,FIND("|",AN244))-FIND("|",AN244)-1))-VALUE(MID(AN244,FIND("-",AN244,FIND("|",AN244))+1,10)))))*$D$50),$D$34*(1-(IF($D$244=0,ABS($A$244-VALUE(MID(AN244,FIND("|",AN244)+1,FIND("-",AN244,FIND("|",AN244))-FIND("|",AN244)-1))),ABS($Q$244-(VALUE(MID(AN244,FIND("|",AN244)+1,FIND("-",AN244,FIND("|",AN244))-FIND("|",AN244)-1))-VALUE(MID(AN244,FIND("-",AN244,FIND("|",AN244))+1,10)))))*$D$50)))))*$I$244,0),0),0)</f>
        <v>0</v>
      </c>
      <c r="AP244" s="110"/>
      <c r="AQ244" s="66" t="s">
        <v>2245</v>
      </c>
      <c r="AR244" s="85">
        <f t="shared" ref="AR244" ca="1" si="3752">IFERROR(IF(LEFT(AQ244,FIND("·",AQ244)-1)=$K$244,IF($L$244=IFERROR(VALUE(MID(AQ244,FIND("·",AQ244)+1,1)),0),($D$33+($M$244=MID(AQ244,FIND("|",AQ244)+1,10))*$D$35+MAX(0,IF($D$50=1,$D$34*(1-(ABS($P$244-(VALUE(MID(AQ244,FIND("|",AQ244)+1,FIND("-",AQ244,FIND("|",AQ244))-FIND("|",AQ244)-1))-VALUE(MID(AQ244,FIND("-",AQ244,FIND("|",AQ244))+1,10)))))*$D$50),$D$34*(1-(IF($L$244=0,ABS($N$244-VALUE(MID(AQ244,FIND("|",AQ244)+1,FIND("-",AQ244,FIND("|",AQ244))-FIND("|",AQ244)-1))),ABS($P$244-(VALUE(MID(AQ244,FIND("|",AQ244)+1,FIND("-",AQ244,FIND("|",AQ244))-FIND("|",AQ244)-1))-VALUE(MID(AQ244,FIND("-",AQ244,FIND("|",AQ244))+1,10)))))*$D$50)))))*$I$244,0),0),0)
+IFERROR(IF(LEFT(AQ244,FIND("·",AQ244)-1)=$C$244,IF($D$244=IFERROR(VALUE(MID(AQ244,FIND("·",AQ244)+1,1)),0),($D$33+($E$244=MID(AQ244,FIND("|",AQ244)+1,10))*$D$35+MAX(0,IF($D$50=1,$D$34*(1-(ABS($Q$244-(VALUE(MID(AQ244,FIND("|",AQ244)+1,FIND("-",AQ244,FIND("|",AQ244))-FIND("|",AQ244)-1))-VALUE(MID(AQ244,FIND("-",AQ244,FIND("|",AQ244))+1,10)))))*$D$50),$D$34*(1-(IF($D$244=0,ABS($A$244-VALUE(MID(AQ244,FIND("|",AQ244)+1,FIND("-",AQ244,FIND("|",AQ244))-FIND("|",AQ244)-1))),ABS($Q$244-(VALUE(MID(AQ244,FIND("|",AQ244)+1,FIND("-",AQ244,FIND("|",AQ244))-FIND("|",AQ244)-1))-VALUE(MID(AQ244,FIND("-",AQ244,FIND("|",AQ244))+1,10)))))*$D$50)))))*$I$244,0),0),0)</f>
        <v>0</v>
      </c>
      <c r="AS244" s="110"/>
      <c r="AT244" s="66" t="s">
        <v>2275</v>
      </c>
      <c r="AU244" s="85">
        <f t="shared" ref="AU244" ca="1" si="3753">IFERROR(IF(LEFT(AT244,FIND("·",AT244)-1)=$K$244,IF($L$244=IFERROR(VALUE(MID(AT244,FIND("·",AT244)+1,1)),0),($D$33+($M$244=MID(AT244,FIND("|",AT244)+1,10))*$D$35+MAX(0,IF($D$50=1,$D$34*(1-(ABS($P$244-(VALUE(MID(AT244,FIND("|",AT244)+1,FIND("-",AT244,FIND("|",AT244))-FIND("|",AT244)-1))-VALUE(MID(AT244,FIND("-",AT244,FIND("|",AT244))+1,10)))))*$D$50),$D$34*(1-(IF($L$244=0,ABS($N$244-VALUE(MID(AT244,FIND("|",AT244)+1,FIND("-",AT244,FIND("|",AT244))-FIND("|",AT244)-1))),ABS($P$244-(VALUE(MID(AT244,FIND("|",AT244)+1,FIND("-",AT244,FIND("|",AT244))-FIND("|",AT244)-1))-VALUE(MID(AT244,FIND("-",AT244,FIND("|",AT244))+1,10)))))*$D$50)))))*$I$244,0),0),0)
+IFERROR(IF(LEFT(AT244,FIND("·",AT244)-1)=$C$244,IF($D$244=IFERROR(VALUE(MID(AT244,FIND("·",AT244)+1,1)),0),($D$33+($E$244=MID(AT244,FIND("|",AT244)+1,10))*$D$35+MAX(0,IF($D$50=1,$D$34*(1-(ABS($Q$244-(VALUE(MID(AT244,FIND("|",AT244)+1,FIND("-",AT244,FIND("|",AT244))-FIND("|",AT244)-1))-VALUE(MID(AT244,FIND("-",AT244,FIND("|",AT244))+1,10)))))*$D$50),$D$34*(1-(IF($D$244=0,ABS($A$244-VALUE(MID(AT244,FIND("|",AT244)+1,FIND("-",AT244,FIND("|",AT244))-FIND("|",AT244)-1))),ABS($Q$244-(VALUE(MID(AT244,FIND("|",AT244)+1,FIND("-",AT244,FIND("|",AT244))-FIND("|",AT244)-1))-VALUE(MID(AT244,FIND("-",AT244,FIND("|",AT244))+1,10)))))*$D$50)))))*$I$244,0),0),0)</f>
        <v>0</v>
      </c>
      <c r="AV244" s="110"/>
      <c r="AW244" s="66" t="s">
        <v>2303</v>
      </c>
      <c r="AX244" s="85">
        <f t="shared" ref="AX244" ca="1" si="3754">IFERROR(IF(LEFT(AW244,FIND("·",AW244)-1)=$K$244,IF($L$244=IFERROR(VALUE(MID(AW244,FIND("·",AW244)+1,1)),0),($D$33+($M$244=MID(AW244,FIND("|",AW244)+1,10))*$D$35+MAX(0,IF($D$50=1,$D$34*(1-(ABS($P$244-(VALUE(MID(AW244,FIND("|",AW244)+1,FIND("-",AW244,FIND("|",AW244))-FIND("|",AW244)-1))-VALUE(MID(AW244,FIND("-",AW244,FIND("|",AW244))+1,10)))))*$D$50),$D$34*(1-(IF($L$244=0,ABS($N$244-VALUE(MID(AW244,FIND("|",AW244)+1,FIND("-",AW244,FIND("|",AW244))-FIND("|",AW244)-1))),ABS($P$244-(VALUE(MID(AW244,FIND("|",AW244)+1,FIND("-",AW244,FIND("|",AW244))-FIND("|",AW244)-1))-VALUE(MID(AW244,FIND("-",AW244,FIND("|",AW244))+1,10)))))*$D$50)))))*$I$244,0),0),0)
+IFERROR(IF(LEFT(AW244,FIND("·",AW244)-1)=$C$244,IF($D$244=IFERROR(VALUE(MID(AW244,FIND("·",AW244)+1,1)),0),($D$33+($E$244=MID(AW244,FIND("|",AW244)+1,10))*$D$35+MAX(0,IF($D$50=1,$D$34*(1-(ABS($Q$244-(VALUE(MID(AW244,FIND("|",AW244)+1,FIND("-",AW244,FIND("|",AW244))-FIND("|",AW244)-1))-VALUE(MID(AW244,FIND("-",AW244,FIND("|",AW244))+1,10)))))*$D$50),$D$34*(1-(IF($D$244=0,ABS($A$244-VALUE(MID(AW244,FIND("|",AW244)+1,FIND("-",AW244,FIND("|",AW244))-FIND("|",AW244)-1))),ABS($Q$244-(VALUE(MID(AW244,FIND("|",AW244)+1,FIND("-",AW244,FIND("|",AW244))-FIND("|",AW244)-1))-VALUE(MID(AW244,FIND("-",AW244,FIND("|",AW244))+1,10)))))*$D$50)))))*$I$244,0),0),0)</f>
        <v>0</v>
      </c>
      <c r="AY244" s="110"/>
      <c r="AZ244" s="66" t="s">
        <v>2100</v>
      </c>
      <c r="BA244" s="85">
        <f t="shared" ref="BA244" ca="1" si="3755">IFERROR(IF(LEFT(AZ244,FIND("·",AZ244)-1)=$K$244,IF($L$244=IFERROR(VALUE(MID(AZ244,FIND("·",AZ244)+1,1)),0),($D$33+($M$244=MID(AZ244,FIND("|",AZ244)+1,10))*$D$35+MAX(0,IF($D$50=1,$D$34*(1-(ABS($P$244-(VALUE(MID(AZ244,FIND("|",AZ244)+1,FIND("-",AZ244,FIND("|",AZ244))-FIND("|",AZ244)-1))-VALUE(MID(AZ244,FIND("-",AZ244,FIND("|",AZ244))+1,10)))))*$D$50),$D$34*(1-(IF($L$244=0,ABS($N$244-VALUE(MID(AZ244,FIND("|",AZ244)+1,FIND("-",AZ244,FIND("|",AZ244))-FIND("|",AZ244)-1))),ABS($P$244-(VALUE(MID(AZ244,FIND("|",AZ244)+1,FIND("-",AZ244,FIND("|",AZ244))-FIND("|",AZ244)-1))-VALUE(MID(AZ244,FIND("-",AZ244,FIND("|",AZ244))+1,10)))))*$D$50)))))*$I$244,0),0),0)
+IFERROR(IF(LEFT(AZ244,FIND("·",AZ244)-1)=$C$244,IF($D$244=IFERROR(VALUE(MID(AZ244,FIND("·",AZ244)+1,1)),0),($D$33+($E$244=MID(AZ244,FIND("|",AZ244)+1,10))*$D$35+MAX(0,IF($D$50=1,$D$34*(1-(ABS($Q$244-(VALUE(MID(AZ244,FIND("|",AZ244)+1,FIND("-",AZ244,FIND("|",AZ244))-FIND("|",AZ244)-1))-VALUE(MID(AZ244,FIND("-",AZ244,FIND("|",AZ244))+1,10)))))*$D$50),$D$34*(1-(IF($D$244=0,ABS($A$244-VALUE(MID(AZ244,FIND("|",AZ244)+1,FIND("-",AZ244,FIND("|",AZ244))-FIND("|",AZ244)-1))),ABS($Q$244-(VALUE(MID(AZ244,FIND("|",AZ244)+1,FIND("-",AZ244,FIND("|",AZ244))-FIND("|",AZ244)-1))-VALUE(MID(AZ244,FIND("-",AZ244,FIND("|",AZ244))+1,10)))))*$D$50)))))*$I$244,0),0),0)</f>
        <v>0</v>
      </c>
      <c r="BB244" s="110"/>
      <c r="BC244" s="66" t="s">
        <v>2100</v>
      </c>
      <c r="BD244" s="85">
        <f t="shared" ref="BD244" ca="1" si="3756">IFERROR(IF(LEFT(BC244,FIND("·",BC244)-1)=$K$244,IF($L$244=IFERROR(VALUE(MID(BC244,FIND("·",BC244)+1,1)),0),($D$33+($M$244=MID(BC244,FIND("|",BC244)+1,10))*$D$35+MAX(0,IF($D$50=1,$D$34*(1-(ABS($P$244-(VALUE(MID(BC244,FIND("|",BC244)+1,FIND("-",BC244,FIND("|",BC244))-FIND("|",BC244)-1))-VALUE(MID(BC244,FIND("-",BC244,FIND("|",BC244))+1,10)))))*$D$50),$D$34*(1-(IF($L$244=0,ABS($N$244-VALUE(MID(BC244,FIND("|",BC244)+1,FIND("-",BC244,FIND("|",BC244))-FIND("|",BC244)-1))),ABS($P$244-(VALUE(MID(BC244,FIND("|",BC244)+1,FIND("-",BC244,FIND("|",BC244))-FIND("|",BC244)-1))-VALUE(MID(BC244,FIND("-",BC244,FIND("|",BC244))+1,10)))))*$D$50)))))*$I$244,0),0),0)
+IFERROR(IF(LEFT(BC244,FIND("·",BC244)-1)=$C$244,IF($D$244=IFERROR(VALUE(MID(BC244,FIND("·",BC244)+1,1)),0),($D$33+($E$244=MID(BC244,FIND("|",BC244)+1,10))*$D$35+MAX(0,IF($D$50=1,$D$34*(1-(ABS($Q$244-(VALUE(MID(BC244,FIND("|",BC244)+1,FIND("-",BC244,FIND("|",BC244))-FIND("|",BC244)-1))-VALUE(MID(BC244,FIND("-",BC244,FIND("|",BC244))+1,10)))))*$D$50),$D$34*(1-(IF($D$244=0,ABS($A$244-VALUE(MID(BC244,FIND("|",BC244)+1,FIND("-",BC244,FIND("|",BC244))-FIND("|",BC244)-1))),ABS($Q$244-(VALUE(MID(BC244,FIND("|",BC244)+1,FIND("-",BC244,FIND("|",BC244))-FIND("|",BC244)-1))-VALUE(MID(BC244,FIND("-",BC244,FIND("|",BC244))+1,10)))))*$D$50)))))*$I$244,0),0),0)</f>
        <v>0</v>
      </c>
      <c r="BE244" s="110"/>
      <c r="BF244" s="66" t="s">
        <v>2365</v>
      </c>
      <c r="BG244" s="85">
        <f t="shared" ref="BG244" ca="1" si="3757">IFERROR(IF(LEFT(BF244,FIND("·",BF244)-1)=$K$244,IF($L$244=IFERROR(VALUE(MID(BF244,FIND("·",BF244)+1,1)),0),($D$33+($M$244=MID(BF244,FIND("|",BF244)+1,10))*$D$35+MAX(0,IF($D$50=1,$D$34*(1-(ABS($P$244-(VALUE(MID(BF244,FIND("|",BF244)+1,FIND("-",BF244,FIND("|",BF244))-FIND("|",BF244)-1))-VALUE(MID(BF244,FIND("-",BF244,FIND("|",BF244))+1,10)))))*$D$50),$D$34*(1-(IF($L$244=0,ABS($N$244-VALUE(MID(BF244,FIND("|",BF244)+1,FIND("-",BF244,FIND("|",BF244))-FIND("|",BF244)-1))),ABS($P$244-(VALUE(MID(BF244,FIND("|",BF244)+1,FIND("-",BF244,FIND("|",BF244))-FIND("|",BF244)-1))-VALUE(MID(BF244,FIND("-",BF244,FIND("|",BF244))+1,10)))))*$D$50)))))*$I$244,0),0),0)
+IFERROR(IF(LEFT(BF244,FIND("·",BF244)-1)=$C$244,IF($D$244=IFERROR(VALUE(MID(BF244,FIND("·",BF244)+1,1)),0),($D$33+($E$244=MID(BF244,FIND("|",BF244)+1,10))*$D$35+MAX(0,IF($D$50=1,$D$34*(1-(ABS($Q$244-(VALUE(MID(BF244,FIND("|",BF244)+1,FIND("-",BF244,FIND("|",BF244))-FIND("|",BF244)-1))-VALUE(MID(BF244,FIND("-",BF244,FIND("|",BF244))+1,10)))))*$D$50),$D$34*(1-(IF($D$244=0,ABS($A$244-VALUE(MID(BF244,FIND("|",BF244)+1,FIND("-",BF244,FIND("|",BF244))-FIND("|",BF244)-1))),ABS($Q$244-(VALUE(MID(BF244,FIND("|",BF244)+1,FIND("-",BF244,FIND("|",BF244))-FIND("|",BF244)-1))-VALUE(MID(BF244,FIND("-",BF244,FIND("|",BF244))+1,10)))))*$D$50)))))*$I$244,0),0),0)</f>
        <v>0</v>
      </c>
      <c r="BH244" s="110"/>
      <c r="BI244" s="66" t="s">
        <v>2397</v>
      </c>
      <c r="BJ244" s="85">
        <f t="shared" ref="BJ244" ca="1" si="3758">IFERROR(IF(LEFT(BI244,FIND("·",BI244)-1)=$K$244,IF($L$244=IFERROR(VALUE(MID(BI244,FIND("·",BI244)+1,1)),0),($D$33+($M$244=MID(BI244,FIND("|",BI244)+1,10))*$D$35+MAX(0,IF($D$50=1,$D$34*(1-(ABS($P$244-(VALUE(MID(BI244,FIND("|",BI244)+1,FIND("-",BI244,FIND("|",BI244))-FIND("|",BI244)-1))-VALUE(MID(BI244,FIND("-",BI244,FIND("|",BI244))+1,10)))))*$D$50),$D$34*(1-(IF($L$244=0,ABS($N$244-VALUE(MID(BI244,FIND("|",BI244)+1,FIND("-",BI244,FIND("|",BI244))-FIND("|",BI244)-1))),ABS($P$244-(VALUE(MID(BI244,FIND("|",BI244)+1,FIND("-",BI244,FIND("|",BI244))-FIND("|",BI244)-1))-VALUE(MID(BI244,FIND("-",BI244,FIND("|",BI244))+1,10)))))*$D$50)))))*$I$244,0),0),0)
+IFERROR(IF(LEFT(BI244,FIND("·",BI244)-1)=$C$244,IF($D$244=IFERROR(VALUE(MID(BI244,FIND("·",BI244)+1,1)),0),($D$33+($E$244=MID(BI244,FIND("|",BI244)+1,10))*$D$35+MAX(0,IF($D$50=1,$D$34*(1-(ABS($Q$244-(VALUE(MID(BI244,FIND("|",BI244)+1,FIND("-",BI244,FIND("|",BI244))-FIND("|",BI244)-1))-VALUE(MID(BI244,FIND("-",BI244,FIND("|",BI244))+1,10)))))*$D$50),$D$34*(1-(IF($D$244=0,ABS($A$244-VALUE(MID(BI244,FIND("|",BI244)+1,FIND("-",BI244,FIND("|",BI244))-FIND("|",BI244)-1))),ABS($Q$244-(VALUE(MID(BI244,FIND("|",BI244)+1,FIND("-",BI244,FIND("|",BI244))-FIND("|",BI244)-1))-VALUE(MID(BI244,FIND("-",BI244,FIND("|",BI244))+1,10)))))*$D$50)))))*$I$244,0),0),0)</f>
        <v>0</v>
      </c>
      <c r="BK244" s="110"/>
      <c r="BL244" s="66" t="s">
        <v>2416</v>
      </c>
      <c r="BM244" s="85">
        <f t="shared" ref="BM244" ca="1" si="3759">IFERROR(IF(LEFT(BL244,FIND("·",BL244)-1)=$K$244,IF($L$244=IFERROR(VALUE(MID(BL244,FIND("·",BL244)+1,1)),0),($D$33+($M$244=MID(BL244,FIND("|",BL244)+1,10))*$D$35+MAX(0,IF($D$50=1,$D$34*(1-(ABS($P$244-(VALUE(MID(BL244,FIND("|",BL244)+1,FIND("-",BL244,FIND("|",BL244))-FIND("|",BL244)-1))-VALUE(MID(BL244,FIND("-",BL244,FIND("|",BL244))+1,10)))))*$D$50),$D$34*(1-(IF($L$244=0,ABS($N$244-VALUE(MID(BL244,FIND("|",BL244)+1,FIND("-",BL244,FIND("|",BL244))-FIND("|",BL244)-1))),ABS($P$244-(VALUE(MID(BL244,FIND("|",BL244)+1,FIND("-",BL244,FIND("|",BL244))-FIND("|",BL244)-1))-VALUE(MID(BL244,FIND("-",BL244,FIND("|",BL244))+1,10)))))*$D$50)))))*$I$244,0),0),0)
+IFERROR(IF(LEFT(BL244,FIND("·",BL244)-1)=$C$244,IF($D$244=IFERROR(VALUE(MID(BL244,FIND("·",BL244)+1,1)),0),($D$33+($E$244=MID(BL244,FIND("|",BL244)+1,10))*$D$35+MAX(0,IF($D$50=1,$D$34*(1-(ABS($Q$244-(VALUE(MID(BL244,FIND("|",BL244)+1,FIND("-",BL244,FIND("|",BL244))-FIND("|",BL244)-1))-VALUE(MID(BL244,FIND("-",BL244,FIND("|",BL244))+1,10)))))*$D$50),$D$34*(1-(IF($D$244=0,ABS($A$244-VALUE(MID(BL244,FIND("|",BL244)+1,FIND("-",BL244,FIND("|",BL244))-FIND("|",BL244)-1))),ABS($Q$244-(VALUE(MID(BL244,FIND("|",BL244)+1,FIND("-",BL244,FIND("|",BL244))-FIND("|",BL244)-1))-VALUE(MID(BL244,FIND("-",BL244,FIND("|",BL244))+1,10)))))*$D$50)))))*$I$244,0),0),0)</f>
        <v>0</v>
      </c>
      <c r="BN244" s="110"/>
      <c r="BO244" s="66" t="s">
        <v>2440</v>
      </c>
      <c r="BP244" s="85">
        <f t="shared" ref="BP244" ca="1" si="3760">IFERROR(IF(LEFT(BO244,FIND("·",BO244)-1)=$K$244,IF($L$244=IFERROR(VALUE(MID(BO244,FIND("·",BO244)+1,1)),0),($D$33+($M$244=MID(BO244,FIND("|",BO244)+1,10))*$D$35+MAX(0,IF($D$50=1,$D$34*(1-(ABS($P$244-(VALUE(MID(BO244,FIND("|",BO244)+1,FIND("-",BO244,FIND("|",BO244))-FIND("|",BO244)-1))-VALUE(MID(BO244,FIND("-",BO244,FIND("|",BO244))+1,10)))))*$D$50),$D$34*(1-(IF($L$244=0,ABS($N$244-VALUE(MID(BO244,FIND("|",BO244)+1,FIND("-",BO244,FIND("|",BO244))-FIND("|",BO244)-1))),ABS($P$244-(VALUE(MID(BO244,FIND("|",BO244)+1,FIND("-",BO244,FIND("|",BO244))-FIND("|",BO244)-1))-VALUE(MID(BO244,FIND("-",BO244,FIND("|",BO244))+1,10)))))*$D$50)))))*$I$244,0),0),0)
+IFERROR(IF(LEFT(BO244,FIND("·",BO244)-1)=$C$244,IF($D$244=IFERROR(VALUE(MID(BO244,FIND("·",BO244)+1,1)),0),($D$33+($E$244=MID(BO244,FIND("|",BO244)+1,10))*$D$35+MAX(0,IF($D$50=1,$D$34*(1-(ABS($Q$244-(VALUE(MID(BO244,FIND("|",BO244)+1,FIND("-",BO244,FIND("|",BO244))-FIND("|",BO244)-1))-VALUE(MID(BO244,FIND("-",BO244,FIND("|",BO244))+1,10)))))*$D$50),$D$34*(1-(IF($D$244=0,ABS($A$244-VALUE(MID(BO244,FIND("|",BO244)+1,FIND("-",BO244,FIND("|",BO244))-FIND("|",BO244)-1))),ABS($Q$244-(VALUE(MID(BO244,FIND("|",BO244)+1,FIND("-",BO244,FIND("|",BO244))-FIND("|",BO244)-1))-VALUE(MID(BO244,FIND("-",BO244,FIND("|",BO244))+1,10)))))*$D$50)))))*$I$244,0),0),0)</f>
        <v>0</v>
      </c>
      <c r="BQ244" s="110"/>
      <c r="BR244" s="66" t="s">
        <v>2398</v>
      </c>
      <c r="BS244" s="85">
        <f t="shared" ref="BS244" ca="1" si="3761">IFERROR(IF(LEFT(BR244,FIND("·",BR244)-1)=$K$244,IF($L$244=IFERROR(VALUE(MID(BR244,FIND("·",BR244)+1,1)),0),($D$33+($M$244=MID(BR244,FIND("|",BR244)+1,10))*$D$35+MAX(0,IF($D$50=1,$D$34*(1-(ABS($P$244-(VALUE(MID(BR244,FIND("|",BR244)+1,FIND("-",BR244,FIND("|",BR244))-FIND("|",BR244)-1))-VALUE(MID(BR244,FIND("-",BR244,FIND("|",BR244))+1,10)))))*$D$50),$D$34*(1-(IF($L$244=0,ABS($N$244-VALUE(MID(BR244,FIND("|",BR244)+1,FIND("-",BR244,FIND("|",BR244))-FIND("|",BR244)-1))),ABS($P$244-(VALUE(MID(BR244,FIND("|",BR244)+1,FIND("-",BR244,FIND("|",BR244))-FIND("|",BR244)-1))-VALUE(MID(BR244,FIND("-",BR244,FIND("|",BR244))+1,10)))))*$D$50)))))*$I$244,0),0),0)
+IFERROR(IF(LEFT(BR244,FIND("·",BR244)-1)=$C$244,IF($D$244=IFERROR(VALUE(MID(BR244,FIND("·",BR244)+1,1)),0),($D$33+($E$244=MID(BR244,FIND("|",BR244)+1,10))*$D$35+MAX(0,IF($D$50=1,$D$34*(1-(ABS($Q$244-(VALUE(MID(BR244,FIND("|",BR244)+1,FIND("-",BR244,FIND("|",BR244))-FIND("|",BR244)-1))-VALUE(MID(BR244,FIND("-",BR244,FIND("|",BR244))+1,10)))))*$D$50),$D$34*(1-(IF($D$244=0,ABS($A$244-VALUE(MID(BR244,FIND("|",BR244)+1,FIND("-",BR244,FIND("|",BR244))-FIND("|",BR244)-1))),ABS($Q$244-(VALUE(MID(BR244,FIND("|",BR244)+1,FIND("-",BR244,FIND("|",BR244))-FIND("|",BR244)-1))-VALUE(MID(BR244,FIND("-",BR244,FIND("|",BR244))+1,10)))))*$D$50)))))*$I$244,0),0),0)</f>
        <v>0</v>
      </c>
      <c r="BT244" s="110"/>
      <c r="BU244" s="66" t="s">
        <v>2125</v>
      </c>
      <c r="BV244" s="85">
        <f t="shared" ref="BV244" ca="1" si="3762">IFERROR(IF(LEFT(BU244,FIND("·",BU244)-1)=$K$244,IF($L$244=IFERROR(VALUE(MID(BU244,FIND("·",BU244)+1,1)),0),($D$33+($M$244=MID(BU244,FIND("|",BU244)+1,10))*$D$35+MAX(0,IF($D$50=1,$D$34*(1-(ABS($P$244-(VALUE(MID(BU244,FIND("|",BU244)+1,FIND("-",BU244,FIND("|",BU244))-FIND("|",BU244)-1))-VALUE(MID(BU244,FIND("-",BU244,FIND("|",BU244))+1,10)))))*$D$50),$D$34*(1-(IF($L$244=0,ABS($N$244-VALUE(MID(BU244,FIND("|",BU244)+1,FIND("-",BU244,FIND("|",BU244))-FIND("|",BU244)-1))),ABS($P$244-(VALUE(MID(BU244,FIND("|",BU244)+1,FIND("-",BU244,FIND("|",BU244))-FIND("|",BU244)-1))-VALUE(MID(BU244,FIND("-",BU244,FIND("|",BU244))+1,10)))))*$D$50)))))*$I$244,0),0),0)
+IFERROR(IF(LEFT(BU244,FIND("·",BU244)-1)=$C$244,IF($D$244=IFERROR(VALUE(MID(BU244,FIND("·",BU244)+1,1)),0),($D$33+($E$244=MID(BU244,FIND("|",BU244)+1,10))*$D$35+MAX(0,IF($D$50=1,$D$34*(1-(ABS($Q$244-(VALUE(MID(BU244,FIND("|",BU244)+1,FIND("-",BU244,FIND("|",BU244))-FIND("|",BU244)-1))-VALUE(MID(BU244,FIND("-",BU244,FIND("|",BU244))+1,10)))))*$D$50),$D$34*(1-(IF($D$244=0,ABS($A$244-VALUE(MID(BU244,FIND("|",BU244)+1,FIND("-",BU244,FIND("|",BU244))-FIND("|",BU244)-1))),ABS($Q$244-(VALUE(MID(BU244,FIND("|",BU244)+1,FIND("-",BU244,FIND("|",BU244))-FIND("|",BU244)-1))-VALUE(MID(BU244,FIND("-",BU244,FIND("|",BU244))+1,10)))))*$D$50)))))*$I$244,0),0),0)</f>
        <v>0</v>
      </c>
      <c r="BW244" s="110"/>
      <c r="BX244" s="66" t="s">
        <v>2487</v>
      </c>
      <c r="BY244" s="85">
        <f t="shared" ref="BY244" ca="1" si="3763">IFERROR(IF(LEFT(BX244,FIND("·",BX244)-1)=$K$244,IF($L$244=IFERROR(VALUE(MID(BX244,FIND("·",BX244)+1,1)),0),($D$33+($M$244=MID(BX244,FIND("|",BX244)+1,10))*$D$35+MAX(0,IF($D$50=1,$D$34*(1-(ABS($P$244-(VALUE(MID(BX244,FIND("|",BX244)+1,FIND("-",BX244,FIND("|",BX244))-FIND("|",BX244)-1))-VALUE(MID(BX244,FIND("-",BX244,FIND("|",BX244))+1,10)))))*$D$50),$D$34*(1-(IF($L$244=0,ABS($N$244-VALUE(MID(BX244,FIND("|",BX244)+1,FIND("-",BX244,FIND("|",BX244))-FIND("|",BX244)-1))),ABS($P$244-(VALUE(MID(BX244,FIND("|",BX244)+1,FIND("-",BX244,FIND("|",BX244))-FIND("|",BX244)-1))-VALUE(MID(BX244,FIND("-",BX244,FIND("|",BX244))+1,10)))))*$D$50)))))*$I$244,0),0),0)
+IFERROR(IF(LEFT(BX244,FIND("·",BX244)-1)=$C$244,IF($D$244=IFERROR(VALUE(MID(BX244,FIND("·",BX244)+1,1)),0),($D$33+($E$244=MID(BX244,FIND("|",BX244)+1,10))*$D$35+MAX(0,IF($D$50=1,$D$34*(1-(ABS($Q$244-(VALUE(MID(BX244,FIND("|",BX244)+1,FIND("-",BX244,FIND("|",BX244))-FIND("|",BX244)-1))-VALUE(MID(BX244,FIND("-",BX244,FIND("|",BX244))+1,10)))))*$D$50),$D$34*(1-(IF($D$244=0,ABS($A$244-VALUE(MID(BX244,FIND("|",BX244)+1,FIND("-",BX244,FIND("|",BX244))-FIND("|",BX244)-1))),ABS($Q$244-(VALUE(MID(BX244,FIND("|",BX244)+1,FIND("-",BX244,FIND("|",BX244))-FIND("|",BX244)-1))-VALUE(MID(BX244,FIND("-",BX244,FIND("|",BX244))+1,10)))))*$D$50)))))*$I$244,0),0),0)</f>
        <v>0</v>
      </c>
      <c r="BZ244" s="110"/>
      <c r="CA244" s="66" t="s">
        <v>2126</v>
      </c>
      <c r="CB244" s="85">
        <f t="shared" ref="CB244" ca="1" si="3764">IFERROR(IF(LEFT(CA244,FIND("·",CA244)-1)=$K$244,IF($L$244=IFERROR(VALUE(MID(CA244,FIND("·",CA244)+1,1)),0),($D$33+($M$244=MID(CA244,FIND("|",CA244)+1,10))*$D$35+MAX(0,IF($D$50=1,$D$34*(1-(ABS($P$244-(VALUE(MID(CA244,FIND("|",CA244)+1,FIND("-",CA244,FIND("|",CA244))-FIND("|",CA244)-1))-VALUE(MID(CA244,FIND("-",CA244,FIND("|",CA244))+1,10)))))*$D$50),$D$34*(1-(IF($L$244=0,ABS($N$244-VALUE(MID(CA244,FIND("|",CA244)+1,FIND("-",CA244,FIND("|",CA244))-FIND("|",CA244)-1))),ABS($P$244-(VALUE(MID(CA244,FIND("|",CA244)+1,FIND("-",CA244,FIND("|",CA244))-FIND("|",CA244)-1))-VALUE(MID(CA244,FIND("-",CA244,FIND("|",CA244))+1,10)))))*$D$50)))))*$I$244,0),0),0)
+IFERROR(IF(LEFT(CA244,FIND("·",CA244)-1)=$C$244,IF($D$244=IFERROR(VALUE(MID(CA244,FIND("·",CA244)+1,1)),0),($D$33+($E$244=MID(CA244,FIND("|",CA244)+1,10))*$D$35+MAX(0,IF($D$50=1,$D$34*(1-(ABS($Q$244-(VALUE(MID(CA244,FIND("|",CA244)+1,FIND("-",CA244,FIND("|",CA244))-FIND("|",CA244)-1))-VALUE(MID(CA244,FIND("-",CA244,FIND("|",CA244))+1,10)))))*$D$50),$D$34*(1-(IF($D$244=0,ABS($A$244-VALUE(MID(CA244,FIND("|",CA244)+1,FIND("-",CA244,FIND("|",CA244))-FIND("|",CA244)-1))),ABS($Q$244-(VALUE(MID(CA244,FIND("|",CA244)+1,FIND("-",CA244,FIND("|",CA244))-FIND("|",CA244)-1))-VALUE(MID(CA244,FIND("-",CA244,FIND("|",CA244))+1,10)))))*$D$50)))))*$I$244,0),0),0)</f>
        <v>0</v>
      </c>
      <c r="CC244" s="110"/>
      <c r="CD244" s="66" t="s">
        <v>2158</v>
      </c>
      <c r="CE244" s="85">
        <f t="shared" ref="CE244" ca="1" si="3765">IFERROR(IF(LEFT(CD244,FIND("·",CD244)-1)=$K$244,IF($L$244=IFERROR(VALUE(MID(CD244,FIND("·",CD244)+1,1)),0),($D$33+($M$244=MID(CD244,FIND("|",CD244)+1,10))*$D$35+MAX(0,IF($D$50=1,$D$34*(1-(ABS($P$244-(VALUE(MID(CD244,FIND("|",CD244)+1,FIND("-",CD244,FIND("|",CD244))-FIND("|",CD244)-1))-VALUE(MID(CD244,FIND("-",CD244,FIND("|",CD244))+1,10)))))*$D$50),$D$34*(1-(IF($L$244=0,ABS($N$244-VALUE(MID(CD244,FIND("|",CD244)+1,FIND("-",CD244,FIND("|",CD244))-FIND("|",CD244)-1))),ABS($P$244-(VALUE(MID(CD244,FIND("|",CD244)+1,FIND("-",CD244,FIND("|",CD244))-FIND("|",CD244)-1))-VALUE(MID(CD244,FIND("-",CD244,FIND("|",CD244))+1,10)))))*$D$50)))))*$I$244,0),0),0)
+IFERROR(IF(LEFT(CD244,FIND("·",CD244)-1)=$C$244,IF($D$244=IFERROR(VALUE(MID(CD244,FIND("·",CD244)+1,1)),0),($D$33+($E$244=MID(CD244,FIND("|",CD244)+1,10))*$D$35+MAX(0,IF($D$50=1,$D$34*(1-(ABS($Q$244-(VALUE(MID(CD244,FIND("|",CD244)+1,FIND("-",CD244,FIND("|",CD244))-FIND("|",CD244)-1))-VALUE(MID(CD244,FIND("-",CD244,FIND("|",CD244))+1,10)))))*$D$50),$D$34*(1-(IF($D$244=0,ABS($A$244-VALUE(MID(CD244,FIND("|",CD244)+1,FIND("-",CD244,FIND("|",CD244))-FIND("|",CD244)-1))),ABS($Q$244-(VALUE(MID(CD244,FIND("|",CD244)+1,FIND("-",CD244,FIND("|",CD244))-FIND("|",CD244)-1))-VALUE(MID(CD244,FIND("-",CD244,FIND("|",CD244))+1,10)))))*$D$50)))))*$I$244,0),0),0)</f>
        <v>0</v>
      </c>
      <c r="CF244" s="110"/>
      <c r="CG244" s="66" t="s">
        <v>2543</v>
      </c>
      <c r="CH244" s="85">
        <f t="shared" ref="CH244" ca="1" si="3766">IFERROR(IF(LEFT(CG244,FIND("·",CG244)-1)=$K$244,IF($L$244=IFERROR(VALUE(MID(CG244,FIND("·",CG244)+1,1)),0),($D$33+($M$244=MID(CG244,FIND("|",CG244)+1,10))*$D$35+MAX(0,IF($D$50=1,$D$34*(1-(ABS($P$244-(VALUE(MID(CG244,FIND("|",CG244)+1,FIND("-",CG244,FIND("|",CG244))-FIND("|",CG244)-1))-VALUE(MID(CG244,FIND("-",CG244,FIND("|",CG244))+1,10)))))*$D$50),$D$34*(1-(IF($L$244=0,ABS($N$244-VALUE(MID(CG244,FIND("|",CG244)+1,FIND("-",CG244,FIND("|",CG244))-FIND("|",CG244)-1))),ABS($P$244-(VALUE(MID(CG244,FIND("|",CG244)+1,FIND("-",CG244,FIND("|",CG244))-FIND("|",CG244)-1))-VALUE(MID(CG244,FIND("-",CG244,FIND("|",CG244))+1,10)))))*$D$50)))))*$I$244,0),0),0)
+IFERROR(IF(LEFT(CG244,FIND("·",CG244)-1)=$C$244,IF($D$244=IFERROR(VALUE(MID(CG244,FIND("·",CG244)+1,1)),0),($D$33+($E$244=MID(CG244,FIND("|",CG244)+1,10))*$D$35+MAX(0,IF($D$50=1,$D$34*(1-(ABS($Q$244-(VALUE(MID(CG244,FIND("|",CG244)+1,FIND("-",CG244,FIND("|",CG244))-FIND("|",CG244)-1))-VALUE(MID(CG244,FIND("-",CG244,FIND("|",CG244))+1,10)))))*$D$50),$D$34*(1-(IF($D$244=0,ABS($A$244-VALUE(MID(CG244,FIND("|",CG244)+1,FIND("-",CG244,FIND("|",CG244))-FIND("|",CG244)-1))),ABS($Q$244-(VALUE(MID(CG244,FIND("|",CG244)+1,FIND("-",CG244,FIND("|",CG244))-FIND("|",CG244)-1))-VALUE(MID(CG244,FIND("-",CG244,FIND("|",CG244))+1,10)))))*$D$50)))))*$I$244,0),0),0)</f>
        <v>0</v>
      </c>
      <c r="CI244" s="110"/>
      <c r="CJ244" s="66" t="s">
        <v>2245</v>
      </c>
      <c r="CK244" s="85">
        <f t="shared" ref="CK244" ca="1" si="3767">IFERROR(IF(LEFT(CJ244,FIND("·",CJ244)-1)=$K$244,IF($L$244=IFERROR(VALUE(MID(CJ244,FIND("·",CJ244)+1,1)),0),($D$33+($M$244=MID(CJ244,FIND("|",CJ244)+1,10))*$D$35+MAX(0,IF($D$50=1,$D$34*(1-(ABS($P$244-(VALUE(MID(CJ244,FIND("|",CJ244)+1,FIND("-",CJ244,FIND("|",CJ244))-FIND("|",CJ244)-1))-VALUE(MID(CJ244,FIND("-",CJ244,FIND("|",CJ244))+1,10)))))*$D$50),$D$34*(1-(IF($L$244=0,ABS($N$244-VALUE(MID(CJ244,FIND("|",CJ244)+1,FIND("-",CJ244,FIND("|",CJ244))-FIND("|",CJ244)-1))),ABS($P$244-(VALUE(MID(CJ244,FIND("|",CJ244)+1,FIND("-",CJ244,FIND("|",CJ244))-FIND("|",CJ244)-1))-VALUE(MID(CJ244,FIND("-",CJ244,FIND("|",CJ244))+1,10)))))*$D$50)))))*$I$244,0),0),0)
+IFERROR(IF(LEFT(CJ244,FIND("·",CJ244)-1)=$C$244,IF($D$244=IFERROR(VALUE(MID(CJ244,FIND("·",CJ244)+1,1)),0),($D$33+($E$244=MID(CJ244,FIND("|",CJ244)+1,10))*$D$35+MAX(0,IF($D$50=1,$D$34*(1-(ABS($Q$244-(VALUE(MID(CJ244,FIND("|",CJ244)+1,FIND("-",CJ244,FIND("|",CJ244))-FIND("|",CJ244)-1))-VALUE(MID(CJ244,FIND("-",CJ244,FIND("|",CJ244))+1,10)))))*$D$50),$D$34*(1-(IF($D$244=0,ABS($A$244-VALUE(MID(CJ244,FIND("|",CJ244)+1,FIND("-",CJ244,FIND("|",CJ244))-FIND("|",CJ244)-1))),ABS($Q$244-(VALUE(MID(CJ244,FIND("|",CJ244)+1,FIND("-",CJ244,FIND("|",CJ244))-FIND("|",CJ244)-1))-VALUE(MID(CJ244,FIND("-",CJ244,FIND("|",CJ244))+1,10)))))*$D$50)))))*$I$244,0),0),0)</f>
        <v>0</v>
      </c>
      <c r="CL244" s="110"/>
      <c r="CM244" s="66" t="s">
        <v>2588</v>
      </c>
      <c r="CN244" s="85">
        <f t="shared" ref="CN244" ca="1" si="3768">IFERROR(IF(LEFT(CM244,FIND("·",CM244)-1)=$K$244,IF($L$244=IFERROR(VALUE(MID(CM244,FIND("·",CM244)+1,1)),0),($D$33+($M$244=MID(CM244,FIND("|",CM244)+1,10))*$D$35+MAX(0,IF($D$50=1,$D$34*(1-(ABS($P$244-(VALUE(MID(CM244,FIND("|",CM244)+1,FIND("-",CM244,FIND("|",CM244))-FIND("|",CM244)-1))-VALUE(MID(CM244,FIND("-",CM244,FIND("|",CM244))+1,10)))))*$D$50),$D$34*(1-(IF($L$244=0,ABS($N$244-VALUE(MID(CM244,FIND("|",CM244)+1,FIND("-",CM244,FIND("|",CM244))-FIND("|",CM244)-1))),ABS($P$244-(VALUE(MID(CM244,FIND("|",CM244)+1,FIND("-",CM244,FIND("|",CM244))-FIND("|",CM244)-1))-VALUE(MID(CM244,FIND("-",CM244,FIND("|",CM244))+1,10)))))*$D$50)))))*$I$244,0),0),0)
+IFERROR(IF(LEFT(CM244,FIND("·",CM244)-1)=$C$244,IF($D$244=IFERROR(VALUE(MID(CM244,FIND("·",CM244)+1,1)),0),($D$33+($E$244=MID(CM244,FIND("|",CM244)+1,10))*$D$35+MAX(0,IF($D$50=1,$D$34*(1-(ABS($Q$244-(VALUE(MID(CM244,FIND("|",CM244)+1,FIND("-",CM244,FIND("|",CM244))-FIND("|",CM244)-1))-VALUE(MID(CM244,FIND("-",CM244,FIND("|",CM244))+1,10)))))*$D$50),$D$34*(1-(IF($D$244=0,ABS($A$244-VALUE(MID(CM244,FIND("|",CM244)+1,FIND("-",CM244,FIND("|",CM244))-FIND("|",CM244)-1))),ABS($Q$244-(VALUE(MID(CM244,FIND("|",CM244)+1,FIND("-",CM244,FIND("|",CM244))-FIND("|",CM244)-1))-VALUE(MID(CM244,FIND("-",CM244,FIND("|",CM244))+1,10)))))*$D$50)))))*$I$244,0),0),0)</f>
        <v>0</v>
      </c>
      <c r="CO244" s="110"/>
      <c r="CP244" s="66" t="s">
        <v>2602</v>
      </c>
      <c r="CQ244" s="85">
        <f t="shared" ref="CQ244" ca="1" si="3769">IFERROR(IF(LEFT(CP244,FIND("·",CP244)-1)=$K$244,IF($L$244=IFERROR(VALUE(MID(CP244,FIND("·",CP244)+1,1)),0),($D$33+($M$244=MID(CP244,FIND("|",CP244)+1,10))*$D$35+MAX(0,IF($D$50=1,$D$34*(1-(ABS($P$244-(VALUE(MID(CP244,FIND("|",CP244)+1,FIND("-",CP244,FIND("|",CP244))-FIND("|",CP244)-1))-VALUE(MID(CP244,FIND("-",CP244,FIND("|",CP244))+1,10)))))*$D$50),$D$34*(1-(IF($L$244=0,ABS($N$244-VALUE(MID(CP244,FIND("|",CP244)+1,FIND("-",CP244,FIND("|",CP244))-FIND("|",CP244)-1))),ABS($P$244-(VALUE(MID(CP244,FIND("|",CP244)+1,FIND("-",CP244,FIND("|",CP244))-FIND("|",CP244)-1))-VALUE(MID(CP244,FIND("-",CP244,FIND("|",CP244))+1,10)))))*$D$50)))))*$I$244,0),0),0)
+IFERROR(IF(LEFT(CP244,FIND("·",CP244)-1)=$C$244,IF($D$244=IFERROR(VALUE(MID(CP244,FIND("·",CP244)+1,1)),0),($D$33+($E$244=MID(CP244,FIND("|",CP244)+1,10))*$D$35+MAX(0,IF($D$50=1,$D$34*(1-(ABS($Q$244-(VALUE(MID(CP244,FIND("|",CP244)+1,FIND("-",CP244,FIND("|",CP244))-FIND("|",CP244)-1))-VALUE(MID(CP244,FIND("-",CP244,FIND("|",CP244))+1,10)))))*$D$50),$D$34*(1-(IF($D$244=0,ABS($A$244-VALUE(MID(CP244,FIND("|",CP244)+1,FIND("-",CP244,FIND("|",CP244))-FIND("|",CP244)-1))),ABS($Q$244-(VALUE(MID(CP244,FIND("|",CP244)+1,FIND("-",CP244,FIND("|",CP244))-FIND("|",CP244)-1))-VALUE(MID(CP244,FIND("-",CP244,FIND("|",CP244))+1,10)))))*$D$50)))))*$I$244,0),0),0)</f>
        <v>0</v>
      </c>
      <c r="CR244" s="110"/>
      <c r="CS244" s="66" t="s">
        <v>2589</v>
      </c>
      <c r="CT244" s="85">
        <f t="shared" ref="CT244" ca="1" si="3770">IFERROR(IF(LEFT(CS244,FIND("·",CS244)-1)=$K$244,IF($L$244=IFERROR(VALUE(MID(CS244,FIND("·",CS244)+1,1)),0),($D$33+($M$244=MID(CS244,FIND("|",CS244)+1,10))*$D$35+MAX(0,IF($D$50=1,$D$34*(1-(ABS($P$244-(VALUE(MID(CS244,FIND("|",CS244)+1,FIND("-",CS244,FIND("|",CS244))-FIND("|",CS244)-1))-VALUE(MID(CS244,FIND("-",CS244,FIND("|",CS244))+1,10)))))*$D$50),$D$34*(1-(IF($L$244=0,ABS($N$244-VALUE(MID(CS244,FIND("|",CS244)+1,FIND("-",CS244,FIND("|",CS244))-FIND("|",CS244)-1))),ABS($P$244-(VALUE(MID(CS244,FIND("|",CS244)+1,FIND("-",CS244,FIND("|",CS244))-FIND("|",CS244)-1))-VALUE(MID(CS244,FIND("-",CS244,FIND("|",CS244))+1,10)))))*$D$50)))))*$I$244,0),0),0)
+IFERROR(IF(LEFT(CS244,FIND("·",CS244)-1)=$C$244,IF($D$244=IFERROR(VALUE(MID(CS244,FIND("·",CS244)+1,1)),0),($D$33+($E$244=MID(CS244,FIND("|",CS244)+1,10))*$D$35+MAX(0,IF($D$50=1,$D$34*(1-(ABS($Q$244-(VALUE(MID(CS244,FIND("|",CS244)+1,FIND("-",CS244,FIND("|",CS244))-FIND("|",CS244)-1))-VALUE(MID(CS244,FIND("-",CS244,FIND("|",CS244))+1,10)))))*$D$50),$D$34*(1-(IF($D$244=0,ABS($A$244-VALUE(MID(CS244,FIND("|",CS244)+1,FIND("-",CS244,FIND("|",CS244))-FIND("|",CS244)-1))),ABS($Q$244-(VALUE(MID(CS244,FIND("|",CS244)+1,FIND("-",CS244,FIND("|",CS244))-FIND("|",CS244)-1))-VALUE(MID(CS244,FIND("-",CS244,FIND("|",CS244))+1,10)))))*$D$50)))))*$I$244,0),0),0)</f>
        <v>0</v>
      </c>
      <c r="CU244" s="110"/>
      <c r="CV244" s="66" t="s">
        <v>2653</v>
      </c>
      <c r="CW244" s="85">
        <f t="shared" ref="CW244" ca="1" si="3771">IFERROR(IF(LEFT(CV244,FIND("·",CV244)-1)=$K$244,IF($L$244=IFERROR(VALUE(MID(CV244,FIND("·",CV244)+1,1)),0),($D$33+($M$244=MID(CV244,FIND("|",CV244)+1,10))*$D$35+MAX(0,IF($D$50=1,$D$34*(1-(ABS($P$244-(VALUE(MID(CV244,FIND("|",CV244)+1,FIND("-",CV244,FIND("|",CV244))-FIND("|",CV244)-1))-VALUE(MID(CV244,FIND("-",CV244,FIND("|",CV244))+1,10)))))*$D$50),$D$34*(1-(IF($L$244=0,ABS($N$244-VALUE(MID(CV244,FIND("|",CV244)+1,FIND("-",CV244,FIND("|",CV244))-FIND("|",CV244)-1))),ABS($P$244-(VALUE(MID(CV244,FIND("|",CV244)+1,FIND("-",CV244,FIND("|",CV244))-FIND("|",CV244)-1))-VALUE(MID(CV244,FIND("-",CV244,FIND("|",CV244))+1,10)))))*$D$50)))))*$I$244,0),0),0)
+IFERROR(IF(LEFT(CV244,FIND("·",CV244)-1)=$C$244,IF($D$244=IFERROR(VALUE(MID(CV244,FIND("·",CV244)+1,1)),0),($D$33+($E$244=MID(CV244,FIND("|",CV244)+1,10))*$D$35+MAX(0,IF($D$50=1,$D$34*(1-(ABS($Q$244-(VALUE(MID(CV244,FIND("|",CV244)+1,FIND("-",CV244,FIND("|",CV244))-FIND("|",CV244)-1))-VALUE(MID(CV244,FIND("-",CV244,FIND("|",CV244))+1,10)))))*$D$50),$D$34*(1-(IF($D$244=0,ABS($A$244-VALUE(MID(CV244,FIND("|",CV244)+1,FIND("-",CV244,FIND("|",CV244))-FIND("|",CV244)-1))),ABS($Q$244-(VALUE(MID(CV244,FIND("|",CV244)+1,FIND("-",CV244,FIND("|",CV244))-FIND("|",CV244)-1))-VALUE(MID(CV244,FIND("-",CV244,FIND("|",CV244))+1,10)))))*$D$50)))))*$I$244,0),0),0)</f>
        <v>0</v>
      </c>
      <c r="CX244" s="110"/>
      <c r="CY244" s="66" t="s">
        <v>2689</v>
      </c>
      <c r="CZ244" s="85">
        <f t="shared" ref="CZ244" ca="1" si="3772">IFERROR(IF(LEFT(CY244,FIND("·",CY244)-1)=$K$244,IF($L$244=IFERROR(VALUE(MID(CY244,FIND("·",CY244)+1,1)),0),($D$33+($M$244=MID(CY244,FIND("|",CY244)+1,10))*$D$35+MAX(0,IF($D$50=1,$D$34*(1-(ABS($P$244-(VALUE(MID(CY244,FIND("|",CY244)+1,FIND("-",CY244,FIND("|",CY244))-FIND("|",CY244)-1))-VALUE(MID(CY244,FIND("-",CY244,FIND("|",CY244))+1,10)))))*$D$50),$D$34*(1-(IF($L$244=0,ABS($N$244-VALUE(MID(CY244,FIND("|",CY244)+1,FIND("-",CY244,FIND("|",CY244))-FIND("|",CY244)-1))),ABS($P$244-(VALUE(MID(CY244,FIND("|",CY244)+1,FIND("-",CY244,FIND("|",CY244))-FIND("|",CY244)-1))-VALUE(MID(CY244,FIND("-",CY244,FIND("|",CY244))+1,10)))))*$D$50)))))*$I$244,0),0),0)
+IFERROR(IF(LEFT(CY244,FIND("·",CY244)-1)=$C$244,IF($D$244=IFERROR(VALUE(MID(CY244,FIND("·",CY244)+1,1)),0),($D$33+($E$244=MID(CY244,FIND("|",CY244)+1,10))*$D$35+MAX(0,IF($D$50=1,$D$34*(1-(ABS($Q$244-(VALUE(MID(CY244,FIND("|",CY244)+1,FIND("-",CY244,FIND("|",CY244))-FIND("|",CY244)-1))-VALUE(MID(CY244,FIND("-",CY244,FIND("|",CY244))+1,10)))))*$D$50),$D$34*(1-(IF($D$244=0,ABS($A$244-VALUE(MID(CY244,FIND("|",CY244)+1,FIND("-",CY244,FIND("|",CY244))-FIND("|",CY244)-1))),ABS($Q$244-(VALUE(MID(CY244,FIND("|",CY244)+1,FIND("-",CY244,FIND("|",CY244))-FIND("|",CY244)-1))-VALUE(MID(CY244,FIND("-",CY244,FIND("|",CY244))+1,10)))))*$D$50)))))*$I$244,0),0),0)</f>
        <v>0</v>
      </c>
      <c r="DA244" s="110"/>
      <c r="DB244" s="66" t="s">
        <v>2440</v>
      </c>
      <c r="DC244" s="85">
        <f t="shared" ref="DC244" ca="1" si="3773">IFERROR(IF(LEFT(DB244,FIND("·",DB244)-1)=$K$244,IF($L$244=IFERROR(VALUE(MID(DB244,FIND("·",DB244)+1,1)),0),($D$33+($M$244=MID(DB244,FIND("|",DB244)+1,10))*$D$35+MAX(0,IF($D$50=1,$D$34*(1-(ABS($P$244-(VALUE(MID(DB244,FIND("|",DB244)+1,FIND("-",DB244,FIND("|",DB244))-FIND("|",DB244)-1))-VALUE(MID(DB244,FIND("-",DB244,FIND("|",DB244))+1,10)))))*$D$50),$D$34*(1-(IF($L$244=0,ABS($N$244-VALUE(MID(DB244,FIND("|",DB244)+1,FIND("-",DB244,FIND("|",DB244))-FIND("|",DB244)-1))),ABS($P$244-(VALUE(MID(DB244,FIND("|",DB244)+1,FIND("-",DB244,FIND("|",DB244))-FIND("|",DB244)-1))-VALUE(MID(DB244,FIND("-",DB244,FIND("|",DB244))+1,10)))))*$D$50)))))*$I$244,0),0),0)
+IFERROR(IF(LEFT(DB244,FIND("·",DB244)-1)=$C$244,IF($D$244=IFERROR(VALUE(MID(DB244,FIND("·",DB244)+1,1)),0),($D$33+($E$244=MID(DB244,FIND("|",DB244)+1,10))*$D$35+MAX(0,IF($D$50=1,$D$34*(1-(ABS($Q$244-(VALUE(MID(DB244,FIND("|",DB244)+1,FIND("-",DB244,FIND("|",DB244))-FIND("|",DB244)-1))-VALUE(MID(DB244,FIND("-",DB244,FIND("|",DB244))+1,10)))))*$D$50),$D$34*(1-(IF($D$244=0,ABS($A$244-VALUE(MID(DB244,FIND("|",DB244)+1,FIND("-",DB244,FIND("|",DB244))-FIND("|",DB244)-1))),ABS($Q$244-(VALUE(MID(DB244,FIND("|",DB244)+1,FIND("-",DB244,FIND("|",DB244))-FIND("|",DB244)-1))-VALUE(MID(DB244,FIND("-",DB244,FIND("|",DB244))+1,10)))))*$D$50)))))*$I$244,0),0),0)</f>
        <v>0</v>
      </c>
      <c r="DD244" s="110"/>
      <c r="DE244" s="66" t="s">
        <v>2718</v>
      </c>
      <c r="DF244" s="85">
        <f t="shared" ref="DF244" ca="1" si="3774">IFERROR(IF(LEFT(DE244,FIND("·",DE244)-1)=$K$244,IF($L$244=IFERROR(VALUE(MID(DE244,FIND("·",DE244)+1,1)),0),($D$33+($M$244=MID(DE244,FIND("|",DE244)+1,10))*$D$35+MAX(0,IF($D$50=1,$D$34*(1-(ABS($P$244-(VALUE(MID(DE244,FIND("|",DE244)+1,FIND("-",DE244,FIND("|",DE244))-FIND("|",DE244)-1))-VALUE(MID(DE244,FIND("-",DE244,FIND("|",DE244))+1,10)))))*$D$50),$D$34*(1-(IF($L$244=0,ABS($N$244-VALUE(MID(DE244,FIND("|",DE244)+1,FIND("-",DE244,FIND("|",DE244))-FIND("|",DE244)-1))),ABS($P$244-(VALUE(MID(DE244,FIND("|",DE244)+1,FIND("-",DE244,FIND("|",DE244))-FIND("|",DE244)-1))-VALUE(MID(DE244,FIND("-",DE244,FIND("|",DE244))+1,10)))))*$D$50)))))*$I$244,0),0),0)
+IFERROR(IF(LEFT(DE244,FIND("·",DE244)-1)=$C$244,IF($D$244=IFERROR(VALUE(MID(DE244,FIND("·",DE244)+1,1)),0),($D$33+($E$244=MID(DE244,FIND("|",DE244)+1,10))*$D$35+MAX(0,IF($D$50=1,$D$34*(1-(ABS($Q$244-(VALUE(MID(DE244,FIND("|",DE244)+1,FIND("-",DE244,FIND("|",DE244))-FIND("|",DE244)-1))-VALUE(MID(DE244,FIND("-",DE244,FIND("|",DE244))+1,10)))))*$D$50),$D$34*(1-(IF($D$244=0,ABS($A$244-VALUE(MID(DE244,FIND("|",DE244)+1,FIND("-",DE244,FIND("|",DE244))-FIND("|",DE244)-1))),ABS($Q$244-(VALUE(MID(DE244,FIND("|",DE244)+1,FIND("-",DE244,FIND("|",DE244))-FIND("|",DE244)-1))-VALUE(MID(DE244,FIND("-",DE244,FIND("|",DE244))+1,10)))))*$D$50)))))*$I$244,0),0),0)</f>
        <v>0</v>
      </c>
      <c r="DG244" s="110"/>
      <c r="DH244" s="66" t="s">
        <v>2741</v>
      </c>
      <c r="DI244" s="85">
        <f t="shared" ref="DI244" ca="1" si="3775">IFERROR(IF(LEFT(DH244,FIND("·",DH244)-1)=$K$244,IF($L$244=IFERROR(VALUE(MID(DH244,FIND("·",DH244)+1,1)),0),($D$33+($M$244=MID(DH244,FIND("|",DH244)+1,10))*$D$35+MAX(0,IF($D$50=1,$D$34*(1-(ABS($P$244-(VALUE(MID(DH244,FIND("|",DH244)+1,FIND("-",DH244,FIND("|",DH244))-FIND("|",DH244)-1))-VALUE(MID(DH244,FIND("-",DH244,FIND("|",DH244))+1,10)))))*$D$50),$D$34*(1-(IF($L$244=0,ABS($N$244-VALUE(MID(DH244,FIND("|",DH244)+1,FIND("-",DH244,FIND("|",DH244))-FIND("|",DH244)-1))),ABS($P$244-(VALUE(MID(DH244,FIND("|",DH244)+1,FIND("-",DH244,FIND("|",DH244))-FIND("|",DH244)-1))-VALUE(MID(DH244,FIND("-",DH244,FIND("|",DH244))+1,10)))))*$D$50)))))*$I$244,0),0),0)
+IFERROR(IF(LEFT(DH244,FIND("·",DH244)-1)=$C$244,IF($D$244=IFERROR(VALUE(MID(DH244,FIND("·",DH244)+1,1)),0),($D$33+($E$244=MID(DH244,FIND("|",DH244)+1,10))*$D$35+MAX(0,IF($D$50=1,$D$34*(1-(ABS($Q$244-(VALUE(MID(DH244,FIND("|",DH244)+1,FIND("-",DH244,FIND("|",DH244))-FIND("|",DH244)-1))-VALUE(MID(DH244,FIND("-",DH244,FIND("|",DH244))+1,10)))))*$D$50),$D$34*(1-(IF($D$244=0,ABS($A$244-VALUE(MID(DH244,FIND("|",DH244)+1,FIND("-",DH244,FIND("|",DH244))-FIND("|",DH244)-1))),ABS($Q$244-(VALUE(MID(DH244,FIND("|",DH244)+1,FIND("-",DH244,FIND("|",DH244))-FIND("|",DH244)-1))-VALUE(MID(DH244,FIND("-",DH244,FIND("|",DH244))+1,10)))))*$D$50)))))*$I$244,0),0),0)</f>
        <v>0</v>
      </c>
      <c r="DJ244" s="110"/>
      <c r="DK244" s="66" t="s">
        <v>2757</v>
      </c>
      <c r="DL244" s="85">
        <f t="shared" ref="DL244" ca="1" si="3776">IFERROR(IF(LEFT(DK244,FIND("·",DK244)-1)=$K$244,IF($L$244=IFERROR(VALUE(MID(DK244,FIND("·",DK244)+1,1)),0),($D$33+($M$244=MID(DK244,FIND("|",DK244)+1,10))*$D$35+MAX(0,IF($D$50=1,$D$34*(1-(ABS($P$244-(VALUE(MID(DK244,FIND("|",DK244)+1,FIND("-",DK244,FIND("|",DK244))-FIND("|",DK244)-1))-VALUE(MID(DK244,FIND("-",DK244,FIND("|",DK244))+1,10)))))*$D$50),$D$34*(1-(IF($L$244=0,ABS($N$244-VALUE(MID(DK244,FIND("|",DK244)+1,FIND("-",DK244,FIND("|",DK244))-FIND("|",DK244)-1))),ABS($P$244-(VALUE(MID(DK244,FIND("|",DK244)+1,FIND("-",DK244,FIND("|",DK244))-FIND("|",DK244)-1))-VALUE(MID(DK244,FIND("-",DK244,FIND("|",DK244))+1,10)))))*$D$50)))))*$I$244,0),0),0)
+IFERROR(IF(LEFT(DK244,FIND("·",DK244)-1)=$C$244,IF($D$244=IFERROR(VALUE(MID(DK244,FIND("·",DK244)+1,1)),0),($D$33+($E$244=MID(DK244,FIND("|",DK244)+1,10))*$D$35+MAX(0,IF($D$50=1,$D$34*(1-(ABS($Q$244-(VALUE(MID(DK244,FIND("|",DK244)+1,FIND("-",DK244,FIND("|",DK244))-FIND("|",DK244)-1))-VALUE(MID(DK244,FIND("-",DK244,FIND("|",DK244))+1,10)))))*$D$50),$D$34*(1-(IF($D$244=0,ABS($A$244-VALUE(MID(DK244,FIND("|",DK244)+1,FIND("-",DK244,FIND("|",DK244))-FIND("|",DK244)-1))),ABS($Q$244-(VALUE(MID(DK244,FIND("|",DK244)+1,FIND("-",DK244,FIND("|",DK244))-FIND("|",DK244)-1))-VALUE(MID(DK244,FIND("-",DK244,FIND("|",DK244))+1,10)))))*$D$50)))))*$I$244,0),0),0)</f>
        <v>0</v>
      </c>
      <c r="DM244" s="110"/>
      <c r="DN244" s="66" t="s">
        <v>2773</v>
      </c>
      <c r="DO244" s="85">
        <f t="shared" ref="DO244" ca="1" si="3777">IFERROR(IF(LEFT(DN244,FIND("·",DN244)-1)=$K$244,IF($L$244=IFERROR(VALUE(MID(DN244,FIND("·",DN244)+1,1)),0),($D$33+($M$244=MID(DN244,FIND("|",DN244)+1,10))*$D$35+MAX(0,IF($D$50=1,$D$34*(1-(ABS($P$244-(VALUE(MID(DN244,FIND("|",DN244)+1,FIND("-",DN244,FIND("|",DN244))-FIND("|",DN244)-1))-VALUE(MID(DN244,FIND("-",DN244,FIND("|",DN244))+1,10)))))*$D$50),$D$34*(1-(IF($L$244=0,ABS($N$244-VALUE(MID(DN244,FIND("|",DN244)+1,FIND("-",DN244,FIND("|",DN244))-FIND("|",DN244)-1))),ABS($P$244-(VALUE(MID(DN244,FIND("|",DN244)+1,FIND("-",DN244,FIND("|",DN244))-FIND("|",DN244)-1))-VALUE(MID(DN244,FIND("-",DN244,FIND("|",DN244))+1,10)))))*$D$50)))))*$I$244,0),0),0)
+IFERROR(IF(LEFT(DN244,FIND("·",DN244)-1)=$C$244,IF($D$244=IFERROR(VALUE(MID(DN244,FIND("·",DN244)+1,1)),0),($D$33+($E$244=MID(DN244,FIND("|",DN244)+1,10))*$D$35+MAX(0,IF($D$50=1,$D$34*(1-(ABS($Q$244-(VALUE(MID(DN244,FIND("|",DN244)+1,FIND("-",DN244,FIND("|",DN244))-FIND("|",DN244)-1))-VALUE(MID(DN244,FIND("-",DN244,FIND("|",DN244))+1,10)))))*$D$50),$D$34*(1-(IF($D$244=0,ABS($A$244-VALUE(MID(DN244,FIND("|",DN244)+1,FIND("-",DN244,FIND("|",DN244))-FIND("|",DN244)-1))),ABS($Q$244-(VALUE(MID(DN244,FIND("|",DN244)+1,FIND("-",DN244,FIND("|",DN244))-FIND("|",DN244)-1))-VALUE(MID(DN244,FIND("-",DN244,FIND("|",DN244))+1,10)))))*$D$50)))))*$I$244,0),0),0)</f>
        <v>0</v>
      </c>
      <c r="DP244" s="110"/>
      <c r="DQ244" s="66" t="s">
        <v>2398</v>
      </c>
      <c r="DR244" s="85">
        <f t="shared" ref="DR244" ca="1" si="3778">IFERROR(IF(LEFT(DQ244,FIND("·",DQ244)-1)=$K$244,IF($L$244=IFERROR(VALUE(MID(DQ244,FIND("·",DQ244)+1,1)),0),($D$33+($M$244=MID(DQ244,FIND("|",DQ244)+1,10))*$D$35+MAX(0,IF($D$50=1,$D$34*(1-(ABS($P$244-(VALUE(MID(DQ244,FIND("|",DQ244)+1,FIND("-",DQ244,FIND("|",DQ244))-FIND("|",DQ244)-1))-VALUE(MID(DQ244,FIND("-",DQ244,FIND("|",DQ244))+1,10)))))*$D$50),$D$34*(1-(IF($L$244=0,ABS($N$244-VALUE(MID(DQ244,FIND("|",DQ244)+1,FIND("-",DQ244,FIND("|",DQ244))-FIND("|",DQ244)-1))),ABS($P$244-(VALUE(MID(DQ244,FIND("|",DQ244)+1,FIND("-",DQ244,FIND("|",DQ244))-FIND("|",DQ244)-1))-VALUE(MID(DQ244,FIND("-",DQ244,FIND("|",DQ244))+1,10)))))*$D$50)))))*$I$244,0),0),0)
+IFERROR(IF(LEFT(DQ244,FIND("·",DQ244)-1)=$C$244,IF($D$244=IFERROR(VALUE(MID(DQ244,FIND("·",DQ244)+1,1)),0),($D$33+($E$244=MID(DQ244,FIND("|",DQ244)+1,10))*$D$35+MAX(0,IF($D$50=1,$D$34*(1-(ABS($Q$244-(VALUE(MID(DQ244,FIND("|",DQ244)+1,FIND("-",DQ244,FIND("|",DQ244))-FIND("|",DQ244)-1))-VALUE(MID(DQ244,FIND("-",DQ244,FIND("|",DQ244))+1,10)))))*$D$50),$D$34*(1-(IF($D$244=0,ABS($A$244-VALUE(MID(DQ244,FIND("|",DQ244)+1,FIND("-",DQ244,FIND("|",DQ244))-FIND("|",DQ244)-1))),ABS($Q$244-(VALUE(MID(DQ244,FIND("|",DQ244)+1,FIND("-",DQ244,FIND("|",DQ244))-FIND("|",DQ244)-1))-VALUE(MID(DQ244,FIND("-",DQ244,FIND("|",DQ244))+1,10)))))*$D$50)))))*$I$244,0),0),0)</f>
        <v>0</v>
      </c>
      <c r="DS244" s="110"/>
      <c r="DT244" s="66" t="s">
        <v>2099</v>
      </c>
      <c r="DU244" s="85">
        <f t="shared" ref="DU244" ca="1" si="3779">IFERROR(IF(LEFT(DT244,FIND("·",DT244)-1)=$K$244,IF($L$244=IFERROR(VALUE(MID(DT244,FIND("·",DT244)+1,1)),0),($D$33+($M$244=MID(DT244,FIND("|",DT244)+1,10))*$D$35+MAX(0,IF($D$50=1,$D$34*(1-(ABS($P$244-(VALUE(MID(DT244,FIND("|",DT244)+1,FIND("-",DT244,FIND("|",DT244))-FIND("|",DT244)-1))-VALUE(MID(DT244,FIND("-",DT244,FIND("|",DT244))+1,10)))))*$D$50),$D$34*(1-(IF($L$244=0,ABS($N$244-VALUE(MID(DT244,FIND("|",DT244)+1,FIND("-",DT244,FIND("|",DT244))-FIND("|",DT244)-1))),ABS($P$244-(VALUE(MID(DT244,FIND("|",DT244)+1,FIND("-",DT244,FIND("|",DT244))-FIND("|",DT244)-1))-VALUE(MID(DT244,FIND("-",DT244,FIND("|",DT244))+1,10)))))*$D$50)))))*$I$244,0),0),0)
+IFERROR(IF(LEFT(DT244,FIND("·",DT244)-1)=$C$244,IF($D$244=IFERROR(VALUE(MID(DT244,FIND("·",DT244)+1,1)),0),($D$33+($E$244=MID(DT244,FIND("|",DT244)+1,10))*$D$35+MAX(0,IF($D$50=1,$D$34*(1-(ABS($Q$244-(VALUE(MID(DT244,FIND("|",DT244)+1,FIND("-",DT244,FIND("|",DT244))-FIND("|",DT244)-1))-VALUE(MID(DT244,FIND("-",DT244,FIND("|",DT244))+1,10)))))*$D$50),$D$34*(1-(IF($D$244=0,ABS($A$244-VALUE(MID(DT244,FIND("|",DT244)+1,FIND("-",DT244,FIND("|",DT244))-FIND("|",DT244)-1))),ABS($Q$244-(VALUE(MID(DT244,FIND("|",DT244)+1,FIND("-",DT244,FIND("|",DT244))-FIND("|",DT244)-1))-VALUE(MID(DT244,FIND("-",DT244,FIND("|",DT244))+1,10)))))*$D$50)))))*$I$244,0),0),0)</f>
        <v>0</v>
      </c>
      <c r="DV244" s="110"/>
      <c r="DW244" s="66" t="s">
        <v>2393</v>
      </c>
      <c r="DX244" s="85">
        <f t="shared" ref="DX244" ca="1" si="3780">IFERROR(IF(LEFT(DW244,FIND("·",DW244)-1)=$K$244,IF($L$244=IFERROR(VALUE(MID(DW244,FIND("·",DW244)+1,1)),0),($D$33+($M$244=MID(DW244,FIND("|",DW244)+1,10))*$D$35+MAX(0,IF($D$50=1,$D$34*(1-(ABS($P$244-(VALUE(MID(DW244,FIND("|",DW244)+1,FIND("-",DW244,FIND("|",DW244))-FIND("|",DW244)-1))-VALUE(MID(DW244,FIND("-",DW244,FIND("|",DW244))+1,10)))))*$D$50),$D$34*(1-(IF($L$244=0,ABS($N$244-VALUE(MID(DW244,FIND("|",DW244)+1,FIND("-",DW244,FIND("|",DW244))-FIND("|",DW244)-1))),ABS($P$244-(VALUE(MID(DW244,FIND("|",DW244)+1,FIND("-",DW244,FIND("|",DW244))-FIND("|",DW244)-1))-VALUE(MID(DW244,FIND("-",DW244,FIND("|",DW244))+1,10)))))*$D$50)))))*$I$244,0),0),0)
+IFERROR(IF(LEFT(DW244,FIND("·",DW244)-1)=$C$244,IF($D$244=IFERROR(VALUE(MID(DW244,FIND("·",DW244)+1,1)),0),($D$33+($E$244=MID(DW244,FIND("|",DW244)+1,10))*$D$35+MAX(0,IF($D$50=1,$D$34*(1-(ABS($Q$244-(VALUE(MID(DW244,FIND("|",DW244)+1,FIND("-",DW244,FIND("|",DW244))-FIND("|",DW244)-1))-VALUE(MID(DW244,FIND("-",DW244,FIND("|",DW244))+1,10)))))*$D$50),$D$34*(1-(IF($D$244=0,ABS($A$244-VALUE(MID(DW244,FIND("|",DW244)+1,FIND("-",DW244,FIND("|",DW244))-FIND("|",DW244)-1))),ABS($Q$244-(VALUE(MID(DW244,FIND("|",DW244)+1,FIND("-",DW244,FIND("|",DW244))-FIND("|",DW244)-1))-VALUE(MID(DW244,FIND("-",DW244,FIND("|",DW244))+1,10)))))*$D$50)))))*$I$244,0),0),0)</f>
        <v>0</v>
      </c>
      <c r="DY244" s="110"/>
      <c r="DZ244" s="66" t="s">
        <v>2670</v>
      </c>
      <c r="EA244" s="85">
        <f t="shared" ref="EA244" ca="1" si="3781">IFERROR(IF(LEFT(DZ244,FIND("·",DZ244)-1)=$K$244,IF($L$244=IFERROR(VALUE(MID(DZ244,FIND("·",DZ244)+1,1)),0),($D$33+($M$244=MID(DZ244,FIND("|",DZ244)+1,10))*$D$35+MAX(0,IF($D$50=1,$D$34*(1-(ABS($P$244-(VALUE(MID(DZ244,FIND("|",DZ244)+1,FIND("-",DZ244,FIND("|",DZ244))-FIND("|",DZ244)-1))-VALUE(MID(DZ244,FIND("-",DZ244,FIND("|",DZ244))+1,10)))))*$D$50),$D$34*(1-(IF($L$244=0,ABS($N$244-VALUE(MID(DZ244,FIND("|",DZ244)+1,FIND("-",DZ244,FIND("|",DZ244))-FIND("|",DZ244)-1))),ABS($P$244-(VALUE(MID(DZ244,FIND("|",DZ244)+1,FIND("-",DZ244,FIND("|",DZ244))-FIND("|",DZ244)-1))-VALUE(MID(DZ244,FIND("-",DZ244,FIND("|",DZ244))+1,10)))))*$D$50)))))*$I$244,0),0),0)
+IFERROR(IF(LEFT(DZ244,FIND("·",DZ244)-1)=$C$244,IF($D$244=IFERROR(VALUE(MID(DZ244,FIND("·",DZ244)+1,1)),0),($D$33+($E$244=MID(DZ244,FIND("|",DZ244)+1,10))*$D$35+MAX(0,IF($D$50=1,$D$34*(1-(ABS($Q$244-(VALUE(MID(DZ244,FIND("|",DZ244)+1,FIND("-",DZ244,FIND("|",DZ244))-FIND("|",DZ244)-1))-VALUE(MID(DZ244,FIND("-",DZ244,FIND("|",DZ244))+1,10)))))*$D$50),$D$34*(1-(IF($D$244=0,ABS($A$244-VALUE(MID(DZ244,FIND("|",DZ244)+1,FIND("-",DZ244,FIND("|",DZ244))-FIND("|",DZ244)-1))),ABS($Q$244-(VALUE(MID(DZ244,FIND("|",DZ244)+1,FIND("-",DZ244,FIND("|",DZ244))-FIND("|",DZ244)-1))-VALUE(MID(DZ244,FIND("-",DZ244,FIND("|",DZ244))+1,10)))))*$D$50)))))*$I$244,0),0),0)</f>
        <v>0</v>
      </c>
      <c r="EB244" s="110"/>
      <c r="EC244" s="66" t="s">
        <v>2825</v>
      </c>
      <c r="ED244" s="85">
        <f t="shared" ref="ED244" ca="1" si="3782">IFERROR(IF(LEFT(EC244,FIND("·",EC244)-1)=$K$244,IF($L$244=IFERROR(VALUE(MID(EC244,FIND("·",EC244)+1,1)),0),($D$33+($M$244=MID(EC244,FIND("|",EC244)+1,10))*$D$35+MAX(0,IF($D$50=1,$D$34*(1-(ABS($P$244-(VALUE(MID(EC244,FIND("|",EC244)+1,FIND("-",EC244,FIND("|",EC244))-FIND("|",EC244)-1))-VALUE(MID(EC244,FIND("-",EC244,FIND("|",EC244))+1,10)))))*$D$50),$D$34*(1-(IF($L$244=0,ABS($N$244-VALUE(MID(EC244,FIND("|",EC244)+1,FIND("-",EC244,FIND("|",EC244))-FIND("|",EC244)-1))),ABS($P$244-(VALUE(MID(EC244,FIND("|",EC244)+1,FIND("-",EC244,FIND("|",EC244))-FIND("|",EC244)-1))-VALUE(MID(EC244,FIND("-",EC244,FIND("|",EC244))+1,10)))))*$D$50)))))*$I$244,0),0),0)
+IFERROR(IF(LEFT(EC244,FIND("·",EC244)-1)=$C$244,IF($D$244=IFERROR(VALUE(MID(EC244,FIND("·",EC244)+1,1)),0),($D$33+($E$244=MID(EC244,FIND("|",EC244)+1,10))*$D$35+MAX(0,IF($D$50=1,$D$34*(1-(ABS($Q$244-(VALUE(MID(EC244,FIND("|",EC244)+1,FIND("-",EC244,FIND("|",EC244))-FIND("|",EC244)-1))-VALUE(MID(EC244,FIND("-",EC244,FIND("|",EC244))+1,10)))))*$D$50),$D$34*(1-(IF($D$244=0,ABS($A$244-VALUE(MID(EC244,FIND("|",EC244)+1,FIND("-",EC244,FIND("|",EC244))-FIND("|",EC244)-1))),ABS($Q$244-(VALUE(MID(EC244,FIND("|",EC244)+1,FIND("-",EC244,FIND("|",EC244))-FIND("|",EC244)-1))-VALUE(MID(EC244,FIND("-",EC244,FIND("|",EC244))+1,10)))))*$D$50)))))*$I$244,0),0),0)</f>
        <v>0</v>
      </c>
      <c r="EE244" s="110"/>
      <c r="EF244" s="66" t="s">
        <v>2850</v>
      </c>
      <c r="EG244" s="85">
        <f t="shared" ref="EG244" ca="1" si="3783">IFERROR(IF(LEFT(EF244,FIND("·",EF244)-1)=$K$244,IF($L$244=IFERROR(VALUE(MID(EF244,FIND("·",EF244)+1,1)),0),($D$33+($M$244=MID(EF244,FIND("|",EF244)+1,10))*$D$35+MAX(0,IF($D$50=1,$D$34*(1-(ABS($P$244-(VALUE(MID(EF244,FIND("|",EF244)+1,FIND("-",EF244,FIND("|",EF244))-FIND("|",EF244)-1))-VALUE(MID(EF244,FIND("-",EF244,FIND("|",EF244))+1,10)))))*$D$50),$D$34*(1-(IF($L$244=0,ABS($N$244-VALUE(MID(EF244,FIND("|",EF244)+1,FIND("-",EF244,FIND("|",EF244))-FIND("|",EF244)-1))),ABS($P$244-(VALUE(MID(EF244,FIND("|",EF244)+1,FIND("-",EF244,FIND("|",EF244))-FIND("|",EF244)-1))-VALUE(MID(EF244,FIND("-",EF244,FIND("|",EF244))+1,10)))))*$D$50)))))*$I$244,0),0),0)
+IFERROR(IF(LEFT(EF244,FIND("·",EF244)-1)=$C$244,IF($D$244=IFERROR(VALUE(MID(EF244,FIND("·",EF244)+1,1)),0),($D$33+($E$244=MID(EF244,FIND("|",EF244)+1,10))*$D$35+MAX(0,IF($D$50=1,$D$34*(1-(ABS($Q$244-(VALUE(MID(EF244,FIND("|",EF244)+1,FIND("-",EF244,FIND("|",EF244))-FIND("|",EF244)-1))-VALUE(MID(EF244,FIND("-",EF244,FIND("|",EF244))+1,10)))))*$D$50),$D$34*(1-(IF($D$244=0,ABS($A$244-VALUE(MID(EF244,FIND("|",EF244)+1,FIND("-",EF244,FIND("|",EF244))-FIND("|",EF244)-1))),ABS($Q$244-(VALUE(MID(EF244,FIND("|",EF244)+1,FIND("-",EF244,FIND("|",EF244))-FIND("|",EF244)-1))-VALUE(MID(EF244,FIND("-",EF244,FIND("|",EF244))+1,10)))))*$D$50)))))*$I$244,0),0),0)</f>
        <v>0</v>
      </c>
      <c r="EH244" s="110"/>
      <c r="EI244" s="66" t="s">
        <v>2771</v>
      </c>
      <c r="EJ244" s="85">
        <f t="shared" ref="EJ244" ca="1" si="3784">IFERROR(IF(LEFT(EI244,FIND("·",EI244)-1)=$K$244,IF($L$244=IFERROR(VALUE(MID(EI244,FIND("·",EI244)+1,1)),0),($D$33+($M$244=MID(EI244,FIND("|",EI244)+1,10))*$D$35+MAX(0,IF($D$50=1,$D$34*(1-(ABS($P$244-(VALUE(MID(EI244,FIND("|",EI244)+1,FIND("-",EI244,FIND("|",EI244))-FIND("|",EI244)-1))-VALUE(MID(EI244,FIND("-",EI244,FIND("|",EI244))+1,10)))))*$D$50),$D$34*(1-(IF($L$244=0,ABS($N$244-VALUE(MID(EI244,FIND("|",EI244)+1,FIND("-",EI244,FIND("|",EI244))-FIND("|",EI244)-1))),ABS($P$244-(VALUE(MID(EI244,FIND("|",EI244)+1,FIND("-",EI244,FIND("|",EI244))-FIND("|",EI244)-1))-VALUE(MID(EI244,FIND("-",EI244,FIND("|",EI244))+1,10)))))*$D$50)))))*$I$244,0),0),0)
+IFERROR(IF(LEFT(EI244,FIND("·",EI244)-1)=$C$244,IF($D$244=IFERROR(VALUE(MID(EI244,FIND("·",EI244)+1,1)),0),($D$33+($E$244=MID(EI244,FIND("|",EI244)+1,10))*$D$35+MAX(0,IF($D$50=1,$D$34*(1-(ABS($Q$244-(VALUE(MID(EI244,FIND("|",EI244)+1,FIND("-",EI244,FIND("|",EI244))-FIND("|",EI244)-1))-VALUE(MID(EI244,FIND("-",EI244,FIND("|",EI244))+1,10)))))*$D$50),$D$34*(1-(IF($D$244=0,ABS($A$244-VALUE(MID(EI244,FIND("|",EI244)+1,FIND("-",EI244,FIND("|",EI244))-FIND("|",EI244)-1))),ABS($Q$244-(VALUE(MID(EI244,FIND("|",EI244)+1,FIND("-",EI244,FIND("|",EI244))-FIND("|",EI244)-1))-VALUE(MID(EI244,FIND("-",EI244,FIND("|",EI244))+1,10)))))*$D$50)))))*$I$244,0),0),0)</f>
        <v>10</v>
      </c>
      <c r="EK244" s="110"/>
      <c r="EL244" s="66" t="s">
        <v>2416</v>
      </c>
      <c r="EM244" s="85">
        <f t="shared" ref="EM244" ca="1" si="3785">IFERROR(IF(LEFT(EL244,FIND("·",EL244)-1)=$K$244,IF($L$244=IFERROR(VALUE(MID(EL244,FIND("·",EL244)+1,1)),0),($D$33+($M$244=MID(EL244,FIND("|",EL244)+1,10))*$D$35+MAX(0,IF($D$50=1,$D$34*(1-(ABS($P$244-(VALUE(MID(EL244,FIND("|",EL244)+1,FIND("-",EL244,FIND("|",EL244))-FIND("|",EL244)-1))-VALUE(MID(EL244,FIND("-",EL244,FIND("|",EL244))+1,10)))))*$D$50),$D$34*(1-(IF($L$244=0,ABS($N$244-VALUE(MID(EL244,FIND("|",EL244)+1,FIND("-",EL244,FIND("|",EL244))-FIND("|",EL244)-1))),ABS($P$244-(VALUE(MID(EL244,FIND("|",EL244)+1,FIND("-",EL244,FIND("|",EL244))-FIND("|",EL244)-1))-VALUE(MID(EL244,FIND("-",EL244,FIND("|",EL244))+1,10)))))*$D$50)))))*$I$244,0),0),0)
+IFERROR(IF(LEFT(EL244,FIND("·",EL244)-1)=$C$244,IF($D$244=IFERROR(VALUE(MID(EL244,FIND("·",EL244)+1,1)),0),($D$33+($E$244=MID(EL244,FIND("|",EL244)+1,10))*$D$35+MAX(0,IF($D$50=1,$D$34*(1-(ABS($Q$244-(VALUE(MID(EL244,FIND("|",EL244)+1,FIND("-",EL244,FIND("|",EL244))-FIND("|",EL244)-1))-VALUE(MID(EL244,FIND("-",EL244,FIND("|",EL244))+1,10)))))*$D$50),$D$34*(1-(IF($D$244=0,ABS($A$244-VALUE(MID(EL244,FIND("|",EL244)+1,FIND("-",EL244,FIND("|",EL244))-FIND("|",EL244)-1))),ABS($Q$244-(VALUE(MID(EL244,FIND("|",EL244)+1,FIND("-",EL244,FIND("|",EL244))-FIND("|",EL244)-1))-VALUE(MID(EL244,FIND("-",EL244,FIND("|",EL244))+1,10)))))*$D$50)))))*$I$244,0),0),0)</f>
        <v>0</v>
      </c>
      <c r="EN244" s="110"/>
      <c r="EO244" s="66" t="s">
        <v>2365</v>
      </c>
      <c r="EP244" s="85">
        <f t="shared" ref="EP244" ca="1" si="3786">IFERROR(IF(LEFT(EO244,FIND("·",EO244)-1)=$K$244,IF($L$244=IFERROR(VALUE(MID(EO244,FIND("·",EO244)+1,1)),0),($D$33+($M$244=MID(EO244,FIND("|",EO244)+1,10))*$D$35+MAX(0,IF($D$50=1,$D$34*(1-(ABS($P$244-(VALUE(MID(EO244,FIND("|",EO244)+1,FIND("-",EO244,FIND("|",EO244))-FIND("|",EO244)-1))-VALUE(MID(EO244,FIND("-",EO244,FIND("|",EO244))+1,10)))))*$D$50),$D$34*(1-(IF($L$244=0,ABS($N$244-VALUE(MID(EO244,FIND("|",EO244)+1,FIND("-",EO244,FIND("|",EO244))-FIND("|",EO244)-1))),ABS($P$244-(VALUE(MID(EO244,FIND("|",EO244)+1,FIND("-",EO244,FIND("|",EO244))-FIND("|",EO244)-1))-VALUE(MID(EO244,FIND("-",EO244,FIND("|",EO244))+1,10)))))*$D$50)))))*$I$244,0),0),0)
+IFERROR(IF(LEFT(EO244,FIND("·",EO244)-1)=$C$244,IF($D$244=IFERROR(VALUE(MID(EO244,FIND("·",EO244)+1,1)),0),($D$33+($E$244=MID(EO244,FIND("|",EO244)+1,10))*$D$35+MAX(0,IF($D$50=1,$D$34*(1-(ABS($Q$244-(VALUE(MID(EO244,FIND("|",EO244)+1,FIND("-",EO244,FIND("|",EO244))-FIND("|",EO244)-1))-VALUE(MID(EO244,FIND("-",EO244,FIND("|",EO244))+1,10)))))*$D$50),$D$34*(1-(IF($D$244=0,ABS($A$244-VALUE(MID(EO244,FIND("|",EO244)+1,FIND("-",EO244,FIND("|",EO244))-FIND("|",EO244)-1))),ABS($Q$244-(VALUE(MID(EO244,FIND("|",EO244)+1,FIND("-",EO244,FIND("|",EO244))-FIND("|",EO244)-1))-VALUE(MID(EO244,FIND("-",EO244,FIND("|",EO244))+1,10)))))*$D$50)))))*$I$244,0),0),0)</f>
        <v>0</v>
      </c>
      <c r="EQ244" s="110"/>
      <c r="ER244" s="66" t="s">
        <v>2185</v>
      </c>
      <c r="ES244" s="85">
        <f t="shared" ref="ES244" ca="1" si="3787">IFERROR(IF(LEFT(ER244,FIND("·",ER244)-1)=$K$244,IF($L$244=IFERROR(VALUE(MID(ER244,FIND("·",ER244)+1,1)),0),($D$33+($M$244=MID(ER244,FIND("|",ER244)+1,10))*$D$35+MAX(0,IF($D$50=1,$D$34*(1-(ABS($P$244-(VALUE(MID(ER244,FIND("|",ER244)+1,FIND("-",ER244,FIND("|",ER244))-FIND("|",ER244)-1))-VALUE(MID(ER244,FIND("-",ER244,FIND("|",ER244))+1,10)))))*$D$50),$D$34*(1-(IF($L$244=0,ABS($N$244-VALUE(MID(ER244,FIND("|",ER244)+1,FIND("-",ER244,FIND("|",ER244))-FIND("|",ER244)-1))),ABS($P$244-(VALUE(MID(ER244,FIND("|",ER244)+1,FIND("-",ER244,FIND("|",ER244))-FIND("|",ER244)-1))-VALUE(MID(ER244,FIND("-",ER244,FIND("|",ER244))+1,10)))))*$D$50)))))*$I$244,0),0),0)
+IFERROR(IF(LEFT(ER244,FIND("·",ER244)-1)=$C$244,IF($D$244=IFERROR(VALUE(MID(ER244,FIND("·",ER244)+1,1)),0),($D$33+($E$244=MID(ER244,FIND("|",ER244)+1,10))*$D$35+MAX(0,IF($D$50=1,$D$34*(1-(ABS($Q$244-(VALUE(MID(ER244,FIND("|",ER244)+1,FIND("-",ER244,FIND("|",ER244))-FIND("|",ER244)-1))-VALUE(MID(ER244,FIND("-",ER244,FIND("|",ER244))+1,10)))))*$D$50),$D$34*(1-(IF($D$244=0,ABS($A$244-VALUE(MID(ER244,FIND("|",ER244)+1,FIND("-",ER244,FIND("|",ER244))-FIND("|",ER244)-1))),ABS($Q$244-(VALUE(MID(ER244,FIND("|",ER244)+1,FIND("-",ER244,FIND("|",ER244))-FIND("|",ER244)-1))-VALUE(MID(ER244,FIND("-",ER244,FIND("|",ER244))+1,10)))))*$D$50)))))*$I$244,0),0),0)</f>
        <v>0</v>
      </c>
      <c r="ET244" s="110"/>
      <c r="EU244" s="66" t="s">
        <v>2913</v>
      </c>
      <c r="EV244" s="85">
        <f t="shared" ref="EV244" ca="1" si="3788">IFERROR(IF(LEFT(EU244,FIND("·",EU244)-1)=$K$244,IF($L$244=IFERROR(VALUE(MID(EU244,FIND("·",EU244)+1,1)),0),($D$33+($M$244=MID(EU244,FIND("|",EU244)+1,10))*$D$35+MAX(0,IF($D$50=1,$D$34*(1-(ABS($P$244-(VALUE(MID(EU244,FIND("|",EU244)+1,FIND("-",EU244,FIND("|",EU244))-FIND("|",EU244)-1))-VALUE(MID(EU244,FIND("-",EU244,FIND("|",EU244))+1,10)))))*$D$50),$D$34*(1-(IF($L$244=0,ABS($N$244-VALUE(MID(EU244,FIND("|",EU244)+1,FIND("-",EU244,FIND("|",EU244))-FIND("|",EU244)-1))),ABS($P$244-(VALUE(MID(EU244,FIND("|",EU244)+1,FIND("-",EU244,FIND("|",EU244))-FIND("|",EU244)-1))-VALUE(MID(EU244,FIND("-",EU244,FIND("|",EU244))+1,10)))))*$D$50)))))*$I$244,0),0),0)
+IFERROR(IF(LEFT(EU244,FIND("·",EU244)-1)=$C$244,IF($D$244=IFERROR(VALUE(MID(EU244,FIND("·",EU244)+1,1)),0),($D$33+($E$244=MID(EU244,FIND("|",EU244)+1,10))*$D$35+MAX(0,IF($D$50=1,$D$34*(1-(ABS($Q$244-(VALUE(MID(EU244,FIND("|",EU244)+1,FIND("-",EU244,FIND("|",EU244))-FIND("|",EU244)-1))-VALUE(MID(EU244,FIND("-",EU244,FIND("|",EU244))+1,10)))))*$D$50),$D$34*(1-(IF($D$244=0,ABS($A$244-VALUE(MID(EU244,FIND("|",EU244)+1,FIND("-",EU244,FIND("|",EU244))-FIND("|",EU244)-1))),ABS($Q$244-(VALUE(MID(EU244,FIND("|",EU244)+1,FIND("-",EU244,FIND("|",EU244))-FIND("|",EU244)-1))-VALUE(MID(EU244,FIND("-",EU244,FIND("|",EU244))+1,10)))))*$D$50)))))*$I$244,0),0),0)</f>
        <v>0</v>
      </c>
      <c r="EW244" s="110"/>
      <c r="EX244" s="66" t="s">
        <v>2921</v>
      </c>
      <c r="EY244" s="85">
        <f t="shared" ref="EY244" ca="1" si="3789">IFERROR(IF(LEFT(EX244,FIND("·",EX244)-1)=$K$244,IF($L$244=IFERROR(VALUE(MID(EX244,FIND("·",EX244)+1,1)),0),($D$33+($M$244=MID(EX244,FIND("|",EX244)+1,10))*$D$35+MAX(0,IF($D$50=1,$D$34*(1-(ABS($P$244-(VALUE(MID(EX244,FIND("|",EX244)+1,FIND("-",EX244,FIND("|",EX244))-FIND("|",EX244)-1))-VALUE(MID(EX244,FIND("-",EX244,FIND("|",EX244))+1,10)))))*$D$50),$D$34*(1-(IF($L$244=0,ABS($N$244-VALUE(MID(EX244,FIND("|",EX244)+1,FIND("-",EX244,FIND("|",EX244))-FIND("|",EX244)-1))),ABS($P$244-(VALUE(MID(EX244,FIND("|",EX244)+1,FIND("-",EX244,FIND("|",EX244))-FIND("|",EX244)-1))-VALUE(MID(EX244,FIND("-",EX244,FIND("|",EX244))+1,10)))))*$D$50)))))*$I$244,0),0),0)
+IFERROR(IF(LEFT(EX244,FIND("·",EX244)-1)=$C$244,IF($D$244=IFERROR(VALUE(MID(EX244,FIND("·",EX244)+1,1)),0),($D$33+($E$244=MID(EX244,FIND("|",EX244)+1,10))*$D$35+MAX(0,IF($D$50=1,$D$34*(1-(ABS($Q$244-(VALUE(MID(EX244,FIND("|",EX244)+1,FIND("-",EX244,FIND("|",EX244))-FIND("|",EX244)-1))-VALUE(MID(EX244,FIND("-",EX244,FIND("|",EX244))+1,10)))))*$D$50),$D$34*(1-(IF($D$244=0,ABS($A$244-VALUE(MID(EX244,FIND("|",EX244)+1,FIND("-",EX244,FIND("|",EX244))-FIND("|",EX244)-1))),ABS($Q$244-(VALUE(MID(EX244,FIND("|",EX244)+1,FIND("-",EX244,FIND("|",EX244))-FIND("|",EX244)-1))-VALUE(MID(EX244,FIND("-",EX244,FIND("|",EX244))+1,10)))))*$D$50)))))*$I$244,0),0),0)</f>
        <v>0</v>
      </c>
      <c r="EZ244" s="110"/>
      <c r="FA244" s="66" t="s">
        <v>2934</v>
      </c>
      <c r="FB244" s="85">
        <f t="shared" ref="FB244" ca="1" si="3790">IFERROR(IF(LEFT(FA244,FIND("·",FA244)-1)=$K$244,IF($L$244=IFERROR(VALUE(MID(FA244,FIND("·",FA244)+1,1)),0),($D$33+($M$244=MID(FA244,FIND("|",FA244)+1,10))*$D$35+MAX(0,IF($D$50=1,$D$34*(1-(ABS($P$244-(VALUE(MID(FA244,FIND("|",FA244)+1,FIND("-",FA244,FIND("|",FA244))-FIND("|",FA244)-1))-VALUE(MID(FA244,FIND("-",FA244,FIND("|",FA244))+1,10)))))*$D$50),$D$34*(1-(IF($L$244=0,ABS($N$244-VALUE(MID(FA244,FIND("|",FA244)+1,FIND("-",FA244,FIND("|",FA244))-FIND("|",FA244)-1))),ABS($P$244-(VALUE(MID(FA244,FIND("|",FA244)+1,FIND("-",FA244,FIND("|",FA244))-FIND("|",FA244)-1))-VALUE(MID(FA244,FIND("-",FA244,FIND("|",FA244))+1,10)))))*$D$50)))))*$I$244,0),0),0)
+IFERROR(IF(LEFT(FA244,FIND("·",FA244)-1)=$C$244,IF($D$244=IFERROR(VALUE(MID(FA244,FIND("·",FA244)+1,1)),0),($D$33+($E$244=MID(FA244,FIND("|",FA244)+1,10))*$D$35+MAX(0,IF($D$50=1,$D$34*(1-(ABS($Q$244-(VALUE(MID(FA244,FIND("|",FA244)+1,FIND("-",FA244,FIND("|",FA244))-FIND("|",FA244)-1))-VALUE(MID(FA244,FIND("-",FA244,FIND("|",FA244))+1,10)))))*$D$50),$D$34*(1-(IF($D$244=0,ABS($A$244-VALUE(MID(FA244,FIND("|",FA244)+1,FIND("-",FA244,FIND("|",FA244))-FIND("|",FA244)-1))),ABS($Q$244-(VALUE(MID(FA244,FIND("|",FA244)+1,FIND("-",FA244,FIND("|",FA244))-FIND("|",FA244)-1))-VALUE(MID(FA244,FIND("-",FA244,FIND("|",FA244))+1,10)))))*$D$50)))))*$I$244,0),0),0)</f>
        <v>0</v>
      </c>
      <c r="FC244" s="110"/>
      <c r="FD244" s="66" t="s">
        <v>2245</v>
      </c>
      <c r="FE244" s="85">
        <f t="shared" ref="FE244" ca="1" si="3791">IFERROR(IF(LEFT(FD244,FIND("·",FD244)-1)=$K$244,IF($L$244=IFERROR(VALUE(MID(FD244,FIND("·",FD244)+1,1)),0),($D$33+($M$244=MID(FD244,FIND("|",FD244)+1,10))*$D$35+MAX(0,IF($D$50=1,$D$34*(1-(ABS($P$244-(VALUE(MID(FD244,FIND("|",FD244)+1,FIND("-",FD244,FIND("|",FD244))-FIND("|",FD244)-1))-VALUE(MID(FD244,FIND("-",FD244,FIND("|",FD244))+1,10)))))*$D$50),$D$34*(1-(IF($L$244=0,ABS($N$244-VALUE(MID(FD244,FIND("|",FD244)+1,FIND("-",FD244,FIND("|",FD244))-FIND("|",FD244)-1))),ABS($P$244-(VALUE(MID(FD244,FIND("|",FD244)+1,FIND("-",FD244,FIND("|",FD244))-FIND("|",FD244)-1))-VALUE(MID(FD244,FIND("-",FD244,FIND("|",FD244))+1,10)))))*$D$50)))))*$I$244,0),0),0)
+IFERROR(IF(LEFT(FD244,FIND("·",FD244)-1)=$C$244,IF($D$244=IFERROR(VALUE(MID(FD244,FIND("·",FD244)+1,1)),0),($D$33+($E$244=MID(FD244,FIND("|",FD244)+1,10))*$D$35+MAX(0,IF($D$50=1,$D$34*(1-(ABS($Q$244-(VALUE(MID(FD244,FIND("|",FD244)+1,FIND("-",FD244,FIND("|",FD244))-FIND("|",FD244)-1))-VALUE(MID(FD244,FIND("-",FD244,FIND("|",FD244))+1,10)))))*$D$50),$D$34*(1-(IF($D$244=0,ABS($A$244-VALUE(MID(FD244,FIND("|",FD244)+1,FIND("-",FD244,FIND("|",FD244))-FIND("|",FD244)-1))),ABS($Q$244-(VALUE(MID(FD244,FIND("|",FD244)+1,FIND("-",FD244,FIND("|",FD244))-FIND("|",FD244)-1))-VALUE(MID(FD244,FIND("-",FD244,FIND("|",FD244))+1,10)))))*$D$50)))))*$I$244,0),0),0)</f>
        <v>0</v>
      </c>
      <c r="FF244" s="110"/>
      <c r="FG244" s="66" t="s">
        <v>2589</v>
      </c>
      <c r="FH244" s="85">
        <f t="shared" ref="FH244" ca="1" si="3792">IFERROR(IF(LEFT(FG244,FIND("·",FG244)-1)=$K$244,IF($L$244=IFERROR(VALUE(MID(FG244,FIND("·",FG244)+1,1)),0),($D$33+($M$244=MID(FG244,FIND("|",FG244)+1,10))*$D$35+MAX(0,IF($D$50=1,$D$34*(1-(ABS($P$244-(VALUE(MID(FG244,FIND("|",FG244)+1,FIND("-",FG244,FIND("|",FG244))-FIND("|",FG244)-1))-VALUE(MID(FG244,FIND("-",FG244,FIND("|",FG244))+1,10)))))*$D$50),$D$34*(1-(IF($L$244=0,ABS($N$244-VALUE(MID(FG244,FIND("|",FG244)+1,FIND("-",FG244,FIND("|",FG244))-FIND("|",FG244)-1))),ABS($P$244-(VALUE(MID(FG244,FIND("|",FG244)+1,FIND("-",FG244,FIND("|",FG244))-FIND("|",FG244)-1))-VALUE(MID(FG244,FIND("-",FG244,FIND("|",FG244))+1,10)))))*$D$50)))))*$I$244,0),0),0)
+IFERROR(IF(LEFT(FG244,FIND("·",FG244)-1)=$C$244,IF($D$244=IFERROR(VALUE(MID(FG244,FIND("·",FG244)+1,1)),0),($D$33+($E$244=MID(FG244,FIND("|",FG244)+1,10))*$D$35+MAX(0,IF($D$50=1,$D$34*(1-(ABS($Q$244-(VALUE(MID(FG244,FIND("|",FG244)+1,FIND("-",FG244,FIND("|",FG244))-FIND("|",FG244)-1))-VALUE(MID(FG244,FIND("-",FG244,FIND("|",FG244))+1,10)))))*$D$50),$D$34*(1-(IF($D$244=0,ABS($A$244-VALUE(MID(FG244,FIND("|",FG244)+1,FIND("-",FG244,FIND("|",FG244))-FIND("|",FG244)-1))),ABS($Q$244-(VALUE(MID(FG244,FIND("|",FG244)+1,FIND("-",FG244,FIND("|",FG244))-FIND("|",FG244)-1))-VALUE(MID(FG244,FIND("-",FG244,FIND("|",FG244))+1,10)))))*$D$50)))))*$I$244,0),0),0)</f>
        <v>0</v>
      </c>
      <c r="FI244" s="110"/>
      <c r="FJ244" s="66" t="s">
        <v>2718</v>
      </c>
      <c r="FK244" s="85">
        <f t="shared" ref="FK244" ca="1" si="3793">IFERROR(IF(LEFT(FJ244,FIND("·",FJ244)-1)=$K$244,IF($L$244=IFERROR(VALUE(MID(FJ244,FIND("·",FJ244)+1,1)),0),($D$33+($M$244=MID(FJ244,FIND("|",FJ244)+1,10))*$D$35+MAX(0,IF($D$50=1,$D$34*(1-(ABS($P$244-(VALUE(MID(FJ244,FIND("|",FJ244)+1,FIND("-",FJ244,FIND("|",FJ244))-FIND("|",FJ244)-1))-VALUE(MID(FJ244,FIND("-",FJ244,FIND("|",FJ244))+1,10)))))*$D$50),$D$34*(1-(IF($L$244=0,ABS($N$244-VALUE(MID(FJ244,FIND("|",FJ244)+1,FIND("-",FJ244,FIND("|",FJ244))-FIND("|",FJ244)-1))),ABS($P$244-(VALUE(MID(FJ244,FIND("|",FJ244)+1,FIND("-",FJ244,FIND("|",FJ244))-FIND("|",FJ244)-1))-VALUE(MID(FJ244,FIND("-",FJ244,FIND("|",FJ244))+1,10)))))*$D$50)))))*$I$244,0),0),0)
+IFERROR(IF(LEFT(FJ244,FIND("·",FJ244)-1)=$C$244,IF($D$244=IFERROR(VALUE(MID(FJ244,FIND("·",FJ244)+1,1)),0),($D$33+($E$244=MID(FJ244,FIND("|",FJ244)+1,10))*$D$35+MAX(0,IF($D$50=1,$D$34*(1-(ABS($Q$244-(VALUE(MID(FJ244,FIND("|",FJ244)+1,FIND("-",FJ244,FIND("|",FJ244))-FIND("|",FJ244)-1))-VALUE(MID(FJ244,FIND("-",FJ244,FIND("|",FJ244))+1,10)))))*$D$50),$D$34*(1-(IF($D$244=0,ABS($A$244-VALUE(MID(FJ244,FIND("|",FJ244)+1,FIND("-",FJ244,FIND("|",FJ244))-FIND("|",FJ244)-1))),ABS($Q$244-(VALUE(MID(FJ244,FIND("|",FJ244)+1,FIND("-",FJ244,FIND("|",FJ244))-FIND("|",FJ244)-1))-VALUE(MID(FJ244,FIND("-",FJ244,FIND("|",FJ244))+1,10)))))*$D$50)))))*$I$244,0),0),0)</f>
        <v>0</v>
      </c>
      <c r="FL244" s="110"/>
      <c r="FM244" s="66" t="s">
        <v>2398</v>
      </c>
      <c r="FN244" s="85">
        <f t="shared" ref="FN244" ca="1" si="3794">IFERROR(IF(LEFT(FM244,FIND("·",FM244)-1)=$K$244,IF($L$244=IFERROR(VALUE(MID(FM244,FIND("·",FM244)+1,1)),0),($D$33+($M$244=MID(FM244,FIND("|",FM244)+1,10))*$D$35+MAX(0,IF($D$50=1,$D$34*(1-(ABS($P$244-(VALUE(MID(FM244,FIND("|",FM244)+1,FIND("-",FM244,FIND("|",FM244))-FIND("|",FM244)-1))-VALUE(MID(FM244,FIND("-",FM244,FIND("|",FM244))+1,10)))))*$D$50),$D$34*(1-(IF($L$244=0,ABS($N$244-VALUE(MID(FM244,FIND("|",FM244)+1,FIND("-",FM244,FIND("|",FM244))-FIND("|",FM244)-1))),ABS($P$244-(VALUE(MID(FM244,FIND("|",FM244)+1,FIND("-",FM244,FIND("|",FM244))-FIND("|",FM244)-1))-VALUE(MID(FM244,FIND("-",FM244,FIND("|",FM244))+1,10)))))*$D$50)))))*$I$244,0),0),0)
+IFERROR(IF(LEFT(FM244,FIND("·",FM244)-1)=$C$244,IF($D$244=IFERROR(VALUE(MID(FM244,FIND("·",FM244)+1,1)),0),($D$33+($E$244=MID(FM244,FIND("|",FM244)+1,10))*$D$35+MAX(0,IF($D$50=1,$D$34*(1-(ABS($Q$244-(VALUE(MID(FM244,FIND("|",FM244)+1,FIND("-",FM244,FIND("|",FM244))-FIND("|",FM244)-1))-VALUE(MID(FM244,FIND("-",FM244,FIND("|",FM244))+1,10)))))*$D$50),$D$34*(1-(IF($D$244=0,ABS($A$244-VALUE(MID(FM244,FIND("|",FM244)+1,FIND("-",FM244,FIND("|",FM244))-FIND("|",FM244)-1))),ABS($Q$244-(VALUE(MID(FM244,FIND("|",FM244)+1,FIND("-",FM244,FIND("|",FM244))-FIND("|",FM244)-1))-VALUE(MID(FM244,FIND("-",FM244,FIND("|",FM244))+1,10)))))*$D$50)))))*$I$244,0),0),0)</f>
        <v>0</v>
      </c>
      <c r="FO244" s="110"/>
      <c r="FP244" s="66" t="s">
        <v>2981</v>
      </c>
      <c r="FQ244" s="85">
        <f t="shared" ref="FQ244" ca="1" si="3795">IFERROR(IF(LEFT(FP244,FIND("·",FP244)-1)=$K$244,IF($L$244=IFERROR(VALUE(MID(FP244,FIND("·",FP244)+1,1)),0),($D$33+($M$244=MID(FP244,FIND("|",FP244)+1,10))*$D$35+MAX(0,IF($D$50=1,$D$34*(1-(ABS($P$244-(VALUE(MID(FP244,FIND("|",FP244)+1,FIND("-",FP244,FIND("|",FP244))-FIND("|",FP244)-1))-VALUE(MID(FP244,FIND("-",FP244,FIND("|",FP244))+1,10)))))*$D$50),$D$34*(1-(IF($L$244=0,ABS($N$244-VALUE(MID(FP244,FIND("|",FP244)+1,FIND("-",FP244,FIND("|",FP244))-FIND("|",FP244)-1))),ABS($P$244-(VALUE(MID(FP244,FIND("|",FP244)+1,FIND("-",FP244,FIND("|",FP244))-FIND("|",FP244)-1))-VALUE(MID(FP244,FIND("-",FP244,FIND("|",FP244))+1,10)))))*$D$50)))))*$I$244,0),0),0)
+IFERROR(IF(LEFT(FP244,FIND("·",FP244)-1)=$C$244,IF($D$244=IFERROR(VALUE(MID(FP244,FIND("·",FP244)+1,1)),0),($D$33+($E$244=MID(FP244,FIND("|",FP244)+1,10))*$D$35+MAX(0,IF($D$50=1,$D$34*(1-(ABS($Q$244-(VALUE(MID(FP244,FIND("|",FP244)+1,FIND("-",FP244,FIND("|",FP244))-FIND("|",FP244)-1))-VALUE(MID(FP244,FIND("-",FP244,FIND("|",FP244))+1,10)))))*$D$50),$D$34*(1-(IF($D$244=0,ABS($A$244-VALUE(MID(FP244,FIND("|",FP244)+1,FIND("-",FP244,FIND("|",FP244))-FIND("|",FP244)-1))),ABS($Q$244-(VALUE(MID(FP244,FIND("|",FP244)+1,FIND("-",FP244,FIND("|",FP244))-FIND("|",FP244)-1))-VALUE(MID(FP244,FIND("-",FP244,FIND("|",FP244))+1,10)))))*$D$50)))))*$I$244,0),0),0)</f>
        <v>0</v>
      </c>
      <c r="FR244" s="110"/>
      <c r="FS244" s="66" t="s">
        <v>2990</v>
      </c>
      <c r="FT244" s="85">
        <f t="shared" ref="FT244" ca="1" si="3796">IFERROR(IF(LEFT(FS244,FIND("·",FS244)-1)=$K$244,IF($L$244=IFERROR(VALUE(MID(FS244,FIND("·",FS244)+1,1)),0),($D$33+($M$244=MID(FS244,FIND("|",FS244)+1,10))*$D$35+MAX(0,IF($D$50=1,$D$34*(1-(ABS($P$244-(VALUE(MID(FS244,FIND("|",FS244)+1,FIND("-",FS244,FIND("|",FS244))-FIND("|",FS244)-1))-VALUE(MID(FS244,FIND("-",FS244,FIND("|",FS244))+1,10)))))*$D$50),$D$34*(1-(IF($L$244=0,ABS($N$244-VALUE(MID(FS244,FIND("|",FS244)+1,FIND("-",FS244,FIND("|",FS244))-FIND("|",FS244)-1))),ABS($P$244-(VALUE(MID(FS244,FIND("|",FS244)+1,FIND("-",FS244,FIND("|",FS244))-FIND("|",FS244)-1))-VALUE(MID(FS244,FIND("-",FS244,FIND("|",FS244))+1,10)))))*$D$50)))))*$I$244,0),0),0)
+IFERROR(IF(LEFT(FS244,FIND("·",FS244)-1)=$C$244,IF($D$244=IFERROR(VALUE(MID(FS244,FIND("·",FS244)+1,1)),0),($D$33+($E$244=MID(FS244,FIND("|",FS244)+1,10))*$D$35+MAX(0,IF($D$50=1,$D$34*(1-(ABS($Q$244-(VALUE(MID(FS244,FIND("|",FS244)+1,FIND("-",FS244,FIND("|",FS244))-FIND("|",FS244)-1))-VALUE(MID(FS244,FIND("-",FS244,FIND("|",FS244))+1,10)))))*$D$50),$D$34*(1-(IF($D$244=0,ABS($A$244-VALUE(MID(FS244,FIND("|",FS244)+1,FIND("-",FS244,FIND("|",FS244))-FIND("|",FS244)-1))),ABS($Q$244-(VALUE(MID(FS244,FIND("|",FS244)+1,FIND("-",FS244,FIND("|",FS244))-FIND("|",FS244)-1))-VALUE(MID(FS244,FIND("-",FS244,FIND("|",FS244))+1,10)))))*$D$50)))))*$I$244,0),0),0)</f>
        <v>0</v>
      </c>
      <c r="FU244" s="110"/>
      <c r="FV244" s="66" t="s">
        <v>2998</v>
      </c>
      <c r="FW244" s="85">
        <f t="shared" ref="FW244" ca="1" si="3797">IFERROR(IF(LEFT(FV244,FIND("·",FV244)-1)=$K$244,IF($L$244=IFERROR(VALUE(MID(FV244,FIND("·",FV244)+1,1)),0),($D$33+($M$244=MID(FV244,FIND("|",FV244)+1,10))*$D$35+MAX(0,IF($D$50=1,$D$34*(1-(ABS($P$244-(VALUE(MID(FV244,FIND("|",FV244)+1,FIND("-",FV244,FIND("|",FV244))-FIND("|",FV244)-1))-VALUE(MID(FV244,FIND("-",FV244,FIND("|",FV244))+1,10)))))*$D$50),$D$34*(1-(IF($L$244=0,ABS($N$244-VALUE(MID(FV244,FIND("|",FV244)+1,FIND("-",FV244,FIND("|",FV244))-FIND("|",FV244)-1))),ABS($P$244-(VALUE(MID(FV244,FIND("|",FV244)+1,FIND("-",FV244,FIND("|",FV244))-FIND("|",FV244)-1))-VALUE(MID(FV244,FIND("-",FV244,FIND("|",FV244))+1,10)))))*$D$50)))))*$I$244,0),0),0)
+IFERROR(IF(LEFT(FV244,FIND("·",FV244)-1)=$C$244,IF($D$244=IFERROR(VALUE(MID(FV244,FIND("·",FV244)+1,1)),0),($D$33+($E$244=MID(FV244,FIND("|",FV244)+1,10))*$D$35+MAX(0,IF($D$50=1,$D$34*(1-(ABS($Q$244-(VALUE(MID(FV244,FIND("|",FV244)+1,FIND("-",FV244,FIND("|",FV244))-FIND("|",FV244)-1))-VALUE(MID(FV244,FIND("-",FV244,FIND("|",FV244))+1,10)))))*$D$50),$D$34*(1-(IF($D$244=0,ABS($A$244-VALUE(MID(FV244,FIND("|",FV244)+1,FIND("-",FV244,FIND("|",FV244))-FIND("|",FV244)-1))),ABS($Q$244-(VALUE(MID(FV244,FIND("|",FV244)+1,FIND("-",FV244,FIND("|",FV244))-FIND("|",FV244)-1))-VALUE(MID(FV244,FIND("-",FV244,FIND("|",FV244))+1,10)))))*$D$50)))))*$I$244,0),0),0)</f>
        <v>0</v>
      </c>
      <c r="FX244" s="110"/>
      <c r="FY244" s="66" t="s">
        <v>2757</v>
      </c>
      <c r="FZ244" s="85">
        <f t="shared" ref="FZ244" ca="1" si="3798">IFERROR(IF(LEFT(FY244,FIND("·",FY244)-1)=$K$244,IF($L$244=IFERROR(VALUE(MID(FY244,FIND("·",FY244)+1,1)),0),($D$33+($M$244=MID(FY244,FIND("|",FY244)+1,10))*$D$35+MAX(0,IF($D$50=1,$D$34*(1-(ABS($P$244-(VALUE(MID(FY244,FIND("|",FY244)+1,FIND("-",FY244,FIND("|",FY244))-FIND("|",FY244)-1))-VALUE(MID(FY244,FIND("-",FY244,FIND("|",FY244))+1,10)))))*$D$50),$D$34*(1-(IF($L$244=0,ABS($N$244-VALUE(MID(FY244,FIND("|",FY244)+1,FIND("-",FY244,FIND("|",FY244))-FIND("|",FY244)-1))),ABS($P$244-(VALUE(MID(FY244,FIND("|",FY244)+1,FIND("-",FY244,FIND("|",FY244))-FIND("|",FY244)-1))-VALUE(MID(FY244,FIND("-",FY244,FIND("|",FY244))+1,10)))))*$D$50)))))*$I$244,0),0),0)
+IFERROR(IF(LEFT(FY244,FIND("·",FY244)-1)=$C$244,IF($D$244=IFERROR(VALUE(MID(FY244,FIND("·",FY244)+1,1)),0),($D$33+($E$244=MID(FY244,FIND("|",FY244)+1,10))*$D$35+MAX(0,IF($D$50=1,$D$34*(1-(ABS($Q$244-(VALUE(MID(FY244,FIND("|",FY244)+1,FIND("-",FY244,FIND("|",FY244))-FIND("|",FY244)-1))-VALUE(MID(FY244,FIND("-",FY244,FIND("|",FY244))+1,10)))))*$D$50),$D$34*(1-(IF($D$244=0,ABS($A$244-VALUE(MID(FY244,FIND("|",FY244)+1,FIND("-",FY244,FIND("|",FY244))-FIND("|",FY244)-1))),ABS($Q$244-(VALUE(MID(FY244,FIND("|",FY244)+1,FIND("-",FY244,FIND("|",FY244))-FIND("|",FY244)-1))-VALUE(MID(FY244,FIND("-",FY244,FIND("|",FY244))+1,10)))))*$D$50)))))*$I$244,0),0),0)</f>
        <v>0</v>
      </c>
      <c r="GA244" s="110"/>
      <c r="GB244" s="66" t="s">
        <v>2826</v>
      </c>
      <c r="GC244" s="85">
        <f t="shared" ref="GC244" ca="1" si="3799">IFERROR(IF(LEFT(GB244,FIND("·",GB244)-1)=$K$244,IF($L$244=IFERROR(VALUE(MID(GB244,FIND("·",GB244)+1,1)),0),($D$33+($M$244=MID(GB244,FIND("|",GB244)+1,10))*$D$35+MAX(0,IF($D$50=1,$D$34*(1-(ABS($P$244-(VALUE(MID(GB244,FIND("|",GB244)+1,FIND("-",GB244,FIND("|",GB244))-FIND("|",GB244)-1))-VALUE(MID(GB244,FIND("-",GB244,FIND("|",GB244))+1,10)))))*$D$50),$D$34*(1-(IF($L$244=0,ABS($N$244-VALUE(MID(GB244,FIND("|",GB244)+1,FIND("-",GB244,FIND("|",GB244))-FIND("|",GB244)-1))),ABS($P$244-(VALUE(MID(GB244,FIND("|",GB244)+1,FIND("-",GB244,FIND("|",GB244))-FIND("|",GB244)-1))-VALUE(MID(GB244,FIND("-",GB244,FIND("|",GB244))+1,10)))))*$D$50)))))*$I$244,0),0),0)
+IFERROR(IF(LEFT(GB244,FIND("·",GB244)-1)=$C$244,IF($D$244=IFERROR(VALUE(MID(GB244,FIND("·",GB244)+1,1)),0),($D$33+($E$244=MID(GB244,FIND("|",GB244)+1,10))*$D$35+MAX(0,IF($D$50=1,$D$34*(1-(ABS($Q$244-(VALUE(MID(GB244,FIND("|",GB244)+1,FIND("-",GB244,FIND("|",GB244))-FIND("|",GB244)-1))-VALUE(MID(GB244,FIND("-",GB244,FIND("|",GB244))+1,10)))))*$D$50),$D$34*(1-(IF($D$244=0,ABS($A$244-VALUE(MID(GB244,FIND("|",GB244)+1,FIND("-",GB244,FIND("|",GB244))-FIND("|",GB244)-1))),ABS($Q$244-(VALUE(MID(GB244,FIND("|",GB244)+1,FIND("-",GB244,FIND("|",GB244))-FIND("|",GB244)-1))-VALUE(MID(GB244,FIND("-",GB244,FIND("|",GB244))+1,10)))))*$D$50)))))*$I$244,0),0),0)</f>
        <v>0</v>
      </c>
      <c r="GD244" s="110"/>
      <c r="GE244" s="66" t="s">
        <v>3039</v>
      </c>
      <c r="GF244" s="85">
        <f t="shared" ref="GF244" ca="1" si="3800">IFERROR(IF(LEFT(GE244,FIND("·",GE244)-1)=$K$244,IF($L$244=IFERROR(VALUE(MID(GE244,FIND("·",GE244)+1,1)),0),($D$33+($M$244=MID(GE244,FIND("|",GE244)+1,10))*$D$35+MAX(0,IF($D$50=1,$D$34*(1-(ABS($P$244-(VALUE(MID(GE244,FIND("|",GE244)+1,FIND("-",GE244,FIND("|",GE244))-FIND("|",GE244)-1))-VALUE(MID(GE244,FIND("-",GE244,FIND("|",GE244))+1,10)))))*$D$50),$D$34*(1-(IF($L$244=0,ABS($N$244-VALUE(MID(GE244,FIND("|",GE244)+1,FIND("-",GE244,FIND("|",GE244))-FIND("|",GE244)-1))),ABS($P$244-(VALUE(MID(GE244,FIND("|",GE244)+1,FIND("-",GE244,FIND("|",GE244))-FIND("|",GE244)-1))-VALUE(MID(GE244,FIND("-",GE244,FIND("|",GE244))+1,10)))))*$D$50)))))*$I$244,0),0),0)
+IFERROR(IF(LEFT(GE244,FIND("·",GE244)-1)=$C$244,IF($D$244=IFERROR(VALUE(MID(GE244,FIND("·",GE244)+1,1)),0),($D$33+($E$244=MID(GE244,FIND("|",GE244)+1,10))*$D$35+MAX(0,IF($D$50=1,$D$34*(1-(ABS($Q$244-(VALUE(MID(GE244,FIND("|",GE244)+1,FIND("-",GE244,FIND("|",GE244))-FIND("|",GE244)-1))-VALUE(MID(GE244,FIND("-",GE244,FIND("|",GE244))+1,10)))))*$D$50),$D$34*(1-(IF($D$244=0,ABS($A$244-VALUE(MID(GE244,FIND("|",GE244)+1,FIND("-",GE244,FIND("|",GE244))-FIND("|",GE244)-1))),ABS($Q$244-(VALUE(MID(GE244,FIND("|",GE244)+1,FIND("-",GE244,FIND("|",GE244))-FIND("|",GE244)-1))-VALUE(MID(GE244,FIND("-",GE244,FIND("|",GE244))+1,10)))))*$D$50)))))*$I$244,0),0),0)</f>
        <v>0</v>
      </c>
      <c r="GG244" s="110"/>
      <c r="GH244" s="66" t="s">
        <v>3053</v>
      </c>
      <c r="GI244" s="85">
        <f t="shared" ref="GI244" ca="1" si="3801">IFERROR(IF(LEFT(GH244,FIND("·",GH244)-1)=$K$244,IF($L$244=IFERROR(VALUE(MID(GH244,FIND("·",GH244)+1,1)),0),($D$33+($M$244=MID(GH244,FIND("|",GH244)+1,10))*$D$35+MAX(0,IF($D$50=1,$D$34*(1-(ABS($P$244-(VALUE(MID(GH244,FIND("|",GH244)+1,FIND("-",GH244,FIND("|",GH244))-FIND("|",GH244)-1))-VALUE(MID(GH244,FIND("-",GH244,FIND("|",GH244))+1,10)))))*$D$50),$D$34*(1-(IF($L$244=0,ABS($N$244-VALUE(MID(GH244,FIND("|",GH244)+1,FIND("-",GH244,FIND("|",GH244))-FIND("|",GH244)-1))),ABS($P$244-(VALUE(MID(GH244,FIND("|",GH244)+1,FIND("-",GH244,FIND("|",GH244))-FIND("|",GH244)-1))-VALUE(MID(GH244,FIND("-",GH244,FIND("|",GH244))+1,10)))))*$D$50)))))*$I$244,0),0),0)
+IFERROR(IF(LEFT(GH244,FIND("·",GH244)-1)=$C$244,IF($D$244=IFERROR(VALUE(MID(GH244,FIND("·",GH244)+1,1)),0),($D$33+($E$244=MID(GH244,FIND("|",GH244)+1,10))*$D$35+MAX(0,IF($D$50=1,$D$34*(1-(ABS($Q$244-(VALUE(MID(GH244,FIND("|",GH244)+1,FIND("-",GH244,FIND("|",GH244))-FIND("|",GH244)-1))-VALUE(MID(GH244,FIND("-",GH244,FIND("|",GH244))+1,10)))))*$D$50),$D$34*(1-(IF($D$244=0,ABS($A$244-VALUE(MID(GH244,FIND("|",GH244)+1,FIND("-",GH244,FIND("|",GH244))-FIND("|",GH244)-1))),ABS($Q$244-(VALUE(MID(GH244,FIND("|",GH244)+1,FIND("-",GH244,FIND("|",GH244))-FIND("|",GH244)-1))-VALUE(MID(GH244,FIND("-",GH244,FIND("|",GH244))+1,10)))))*$D$50)))))*$I$244,0),0),0)</f>
        <v>0</v>
      </c>
      <c r="GJ244" s="110"/>
      <c r="GK244" s="66" t="s">
        <v>2509</v>
      </c>
      <c r="GL244" s="85">
        <f t="shared" ref="GL244" ca="1" si="3802">IFERROR(IF(LEFT(GK244,FIND("·",GK244)-1)=$K$244,IF($L$244=IFERROR(VALUE(MID(GK244,FIND("·",GK244)+1,1)),0),($D$33+($M$244=MID(GK244,FIND("|",GK244)+1,10))*$D$35+MAX(0,IF($D$50=1,$D$34*(1-(ABS($P$244-(VALUE(MID(GK244,FIND("|",GK244)+1,FIND("-",GK244,FIND("|",GK244))-FIND("|",GK244)-1))-VALUE(MID(GK244,FIND("-",GK244,FIND("|",GK244))+1,10)))))*$D$50),$D$34*(1-(IF($L$244=0,ABS($N$244-VALUE(MID(GK244,FIND("|",GK244)+1,FIND("-",GK244,FIND("|",GK244))-FIND("|",GK244)-1))),ABS($P$244-(VALUE(MID(GK244,FIND("|",GK244)+1,FIND("-",GK244,FIND("|",GK244))-FIND("|",GK244)-1))-VALUE(MID(GK244,FIND("-",GK244,FIND("|",GK244))+1,10)))))*$D$50)))))*$I$244,0),0),0)
+IFERROR(IF(LEFT(GK244,FIND("·",GK244)-1)=$C$244,IF($D$244=IFERROR(VALUE(MID(GK244,FIND("·",GK244)+1,1)),0),($D$33+($E$244=MID(GK244,FIND("|",GK244)+1,10))*$D$35+MAX(0,IF($D$50=1,$D$34*(1-(ABS($Q$244-(VALUE(MID(GK244,FIND("|",GK244)+1,FIND("-",GK244,FIND("|",GK244))-FIND("|",GK244)-1))-VALUE(MID(GK244,FIND("-",GK244,FIND("|",GK244))+1,10)))))*$D$50),$D$34*(1-(IF($D$244=0,ABS($A$244-VALUE(MID(GK244,FIND("|",GK244)+1,FIND("-",GK244,FIND("|",GK244))-FIND("|",GK244)-1))),ABS($Q$244-(VALUE(MID(GK244,FIND("|",GK244)+1,FIND("-",GK244,FIND("|",GK244))-FIND("|",GK244)-1))-VALUE(MID(GK244,FIND("-",GK244,FIND("|",GK244))+1,10)))))*$D$50)))))*$I$244,0),0),0)</f>
        <v>0</v>
      </c>
      <c r="GM244" s="110"/>
      <c r="GN244" s="66" t="str">
        <f>Idiomas!$D$371</f>
        <v>Paste Values 3rd-4th place &amp; Final</v>
      </c>
      <c r="GO244" s="85">
        <f t="shared" ref="GO244" ca="1" si="3803">IFERROR(IF(LEFT(GN244,FIND("·",GN244)-1)=$K$244,IF($L$244=IFERROR(VALUE(MID(GN244,FIND("·",GN244)+1,1)),0),($D$33+($M$244=MID(GN244,FIND("|",GN244)+1,10))*$D$35+MAX(0,IF($D$50=1,$D$34*(1-(ABS($P$244-(VALUE(MID(GN244,FIND("|",GN244)+1,FIND("-",GN244,FIND("|",GN244))-FIND("|",GN244)-1))-VALUE(MID(GN244,FIND("-",GN244,FIND("|",GN244))+1,10)))))*$D$50),$D$34*(1-(IF($L$244=0,ABS($N$244-VALUE(MID(GN244,FIND("|",GN244)+1,FIND("-",GN244,FIND("|",GN244))-FIND("|",GN244)-1))),ABS($P$244-(VALUE(MID(GN244,FIND("|",GN244)+1,FIND("-",GN244,FIND("|",GN244))-FIND("|",GN244)-1))-VALUE(MID(GN244,FIND("-",GN244,FIND("|",GN244))+1,10)))))*$D$50)))))*$I$244,0),0),0)
+IFERROR(IF(LEFT(GN244,FIND("·",GN244)-1)=$C$244,IF($D$244=IFERROR(VALUE(MID(GN244,FIND("·",GN244)+1,1)),0),($D$33+($E$244=MID(GN244,FIND("|",GN244)+1,10))*$D$35+MAX(0,IF($D$50=1,$D$34*(1-(ABS($Q$244-(VALUE(MID(GN244,FIND("|",GN244)+1,FIND("-",GN244,FIND("|",GN244))-FIND("|",GN244)-1))-VALUE(MID(GN244,FIND("-",GN244,FIND("|",GN244))+1,10)))))*$D$50),$D$34*(1-(IF($D$244=0,ABS($A$244-VALUE(MID(GN244,FIND("|",GN244)+1,FIND("-",GN244,FIND("|",GN244))-FIND("|",GN244)-1))),ABS($Q$244-(VALUE(MID(GN244,FIND("|",GN244)+1,FIND("-",GN244,FIND("|",GN244))-FIND("|",GN244)-1))-VALUE(MID(GN244,FIND("-",GN244,FIND("|",GN244))+1,10)))))*$D$50)))))*$I$244,0),0),0)</f>
        <v>0</v>
      </c>
      <c r="GP244" s="110"/>
      <c r="GQ244" s="66" t="str">
        <f>Idiomas!$D$371</f>
        <v>Paste Values 3rd-4th place &amp; Final</v>
      </c>
      <c r="GR244" s="85">
        <f t="shared" ref="GR244" ca="1" si="3804">IFERROR(IF(LEFT(GQ244,FIND("·",GQ244)-1)=$K$244,IF($L$244=IFERROR(VALUE(MID(GQ244,FIND("·",GQ244)+1,1)),0),($D$33+($M$244=MID(GQ244,FIND("|",GQ244)+1,10))*$D$35+MAX(0,IF($D$50=1,$D$34*(1-(ABS($P$244-(VALUE(MID(GQ244,FIND("|",GQ244)+1,FIND("-",GQ244,FIND("|",GQ244))-FIND("|",GQ244)-1))-VALUE(MID(GQ244,FIND("-",GQ244,FIND("|",GQ244))+1,10)))))*$D$50),$D$34*(1-(IF($L$244=0,ABS($N$244-VALUE(MID(GQ244,FIND("|",GQ244)+1,FIND("-",GQ244,FIND("|",GQ244))-FIND("|",GQ244)-1))),ABS($P$244-(VALUE(MID(GQ244,FIND("|",GQ244)+1,FIND("-",GQ244,FIND("|",GQ244))-FIND("|",GQ244)-1))-VALUE(MID(GQ244,FIND("-",GQ244,FIND("|",GQ244))+1,10)))))*$D$50)))))*$I$244,0),0),0)
+IFERROR(IF(LEFT(GQ244,FIND("·",GQ244)-1)=$C$244,IF($D$244=IFERROR(VALUE(MID(GQ244,FIND("·",GQ244)+1,1)),0),($D$33+($E$244=MID(GQ244,FIND("|",GQ244)+1,10))*$D$35+MAX(0,IF($D$50=1,$D$34*(1-(ABS($Q$244-(VALUE(MID(GQ244,FIND("|",GQ244)+1,FIND("-",GQ244,FIND("|",GQ244))-FIND("|",GQ244)-1))-VALUE(MID(GQ244,FIND("-",GQ244,FIND("|",GQ244))+1,10)))))*$D$50),$D$34*(1-(IF($D$244=0,ABS($A$244-VALUE(MID(GQ244,FIND("|",GQ244)+1,FIND("-",GQ244,FIND("|",GQ244))-FIND("|",GQ244)-1))),ABS($Q$244-(VALUE(MID(GQ244,FIND("|",GQ244)+1,FIND("-",GQ244,FIND("|",GQ244))-FIND("|",GQ244)-1))-VALUE(MID(GQ244,FIND("-",GQ244,FIND("|",GQ244))+1,10)))))*$D$50)))))*$I$244,0),0),0)</f>
        <v>0</v>
      </c>
      <c r="GS244" s="110"/>
      <c r="GT244" s="66" t="str">
        <f>Idiomas!$D$371</f>
        <v>Paste Values 3rd-4th place &amp; Final</v>
      </c>
      <c r="GU244" s="85">
        <f t="shared" ref="GU244" ca="1" si="3805">IFERROR(IF(LEFT(GT244,FIND("·",GT244)-1)=$K$244,IF($L$244=IFERROR(VALUE(MID(GT244,FIND("·",GT244)+1,1)),0),($D$33+($M$244=MID(GT244,FIND("|",GT244)+1,10))*$D$35+MAX(0,IF($D$50=1,$D$34*(1-(ABS($P$244-(VALUE(MID(GT244,FIND("|",GT244)+1,FIND("-",GT244,FIND("|",GT244))-FIND("|",GT244)-1))-VALUE(MID(GT244,FIND("-",GT244,FIND("|",GT244))+1,10)))))*$D$50),$D$34*(1-(IF($L$244=0,ABS($N$244-VALUE(MID(GT244,FIND("|",GT244)+1,FIND("-",GT244,FIND("|",GT244))-FIND("|",GT244)-1))),ABS($P$244-(VALUE(MID(GT244,FIND("|",GT244)+1,FIND("-",GT244,FIND("|",GT244))-FIND("|",GT244)-1))-VALUE(MID(GT244,FIND("-",GT244,FIND("|",GT244))+1,10)))))*$D$50)))))*$I$244,0),0),0)
+IFERROR(IF(LEFT(GT244,FIND("·",GT244)-1)=$C$244,IF($D$244=IFERROR(VALUE(MID(GT244,FIND("·",GT244)+1,1)),0),($D$33+($E$244=MID(GT244,FIND("|",GT244)+1,10))*$D$35+MAX(0,IF($D$50=1,$D$34*(1-(ABS($Q$244-(VALUE(MID(GT244,FIND("|",GT244)+1,FIND("-",GT244,FIND("|",GT244))-FIND("|",GT244)-1))-VALUE(MID(GT244,FIND("-",GT244,FIND("|",GT244))+1,10)))))*$D$50),$D$34*(1-(IF($D$244=0,ABS($A$244-VALUE(MID(GT244,FIND("|",GT244)+1,FIND("-",GT244,FIND("|",GT244))-FIND("|",GT244)-1))),ABS($Q$244-(VALUE(MID(GT244,FIND("|",GT244)+1,FIND("-",GT244,FIND("|",GT244))-FIND("|",GT244)-1))-VALUE(MID(GT244,FIND("-",GT244,FIND("|",GT244))+1,10)))))*$D$50)))))*$I$244,0),0),0)</f>
        <v>0</v>
      </c>
      <c r="GV244" s="110"/>
      <c r="GW244" s="66" t="str">
        <f>Idiomas!$D$371</f>
        <v>Paste Values 3rd-4th place &amp; Final</v>
      </c>
      <c r="GX244" s="85">
        <f t="shared" ref="GX244" ca="1" si="3806">IFERROR(IF(LEFT(GW244,FIND("·",GW244)-1)=$K$244,IF($L$244=IFERROR(VALUE(MID(GW244,FIND("·",GW244)+1,1)),0),($D$33+($M$244=MID(GW244,FIND("|",GW244)+1,10))*$D$35+MAX(0,IF($D$50=1,$D$34*(1-(ABS($P$244-(VALUE(MID(GW244,FIND("|",GW244)+1,FIND("-",GW244,FIND("|",GW244))-FIND("|",GW244)-1))-VALUE(MID(GW244,FIND("-",GW244,FIND("|",GW244))+1,10)))))*$D$50),$D$34*(1-(IF($L$244=0,ABS($N$244-VALUE(MID(GW244,FIND("|",GW244)+1,FIND("-",GW244,FIND("|",GW244))-FIND("|",GW244)-1))),ABS($P$244-(VALUE(MID(GW244,FIND("|",GW244)+1,FIND("-",GW244,FIND("|",GW244))-FIND("|",GW244)-1))-VALUE(MID(GW244,FIND("-",GW244,FIND("|",GW244))+1,10)))))*$D$50)))))*$I$244,0),0),0)
+IFERROR(IF(LEFT(GW244,FIND("·",GW244)-1)=$C$244,IF($D$244=IFERROR(VALUE(MID(GW244,FIND("·",GW244)+1,1)),0),($D$33+($E$244=MID(GW244,FIND("|",GW244)+1,10))*$D$35+MAX(0,IF($D$50=1,$D$34*(1-(ABS($Q$244-(VALUE(MID(GW244,FIND("|",GW244)+1,FIND("-",GW244,FIND("|",GW244))-FIND("|",GW244)-1))-VALUE(MID(GW244,FIND("-",GW244,FIND("|",GW244))+1,10)))))*$D$50),$D$34*(1-(IF($D$244=0,ABS($A$244-VALUE(MID(GW244,FIND("|",GW244)+1,FIND("-",GW244,FIND("|",GW244))-FIND("|",GW244)-1))),ABS($Q$244-(VALUE(MID(GW244,FIND("|",GW244)+1,FIND("-",GW244,FIND("|",GW244))-FIND("|",GW244)-1))-VALUE(MID(GW244,FIND("-",GW244,FIND("|",GW244))+1,10)))))*$D$50)))))*$I$244,0),0),0)</f>
        <v>0</v>
      </c>
      <c r="GY244" s="110"/>
      <c r="GZ244" s="66" t="str">
        <f>Idiomas!$D$371</f>
        <v>Paste Values 3rd-4th place &amp; Final</v>
      </c>
      <c r="HA244" s="85">
        <f t="shared" ref="HA244" ca="1" si="3807">IFERROR(IF(LEFT(GZ244,FIND("·",GZ244)-1)=$K$244,IF($L$244=IFERROR(VALUE(MID(GZ244,FIND("·",GZ244)+1,1)),0),($D$33+($M$244=MID(GZ244,FIND("|",GZ244)+1,10))*$D$35+MAX(0,IF($D$50=1,$D$34*(1-(ABS($P$244-(VALUE(MID(GZ244,FIND("|",GZ244)+1,FIND("-",GZ244,FIND("|",GZ244))-FIND("|",GZ244)-1))-VALUE(MID(GZ244,FIND("-",GZ244,FIND("|",GZ244))+1,10)))))*$D$50),$D$34*(1-(IF($L$244=0,ABS($N$244-VALUE(MID(GZ244,FIND("|",GZ244)+1,FIND("-",GZ244,FIND("|",GZ244))-FIND("|",GZ244)-1))),ABS($P$244-(VALUE(MID(GZ244,FIND("|",GZ244)+1,FIND("-",GZ244,FIND("|",GZ244))-FIND("|",GZ244)-1))-VALUE(MID(GZ244,FIND("-",GZ244,FIND("|",GZ244))+1,10)))))*$D$50)))))*$I$244,0),0),0)
+IFERROR(IF(LEFT(GZ244,FIND("·",GZ244)-1)=$C$244,IF($D$244=IFERROR(VALUE(MID(GZ244,FIND("·",GZ244)+1,1)),0),($D$33+($E$244=MID(GZ244,FIND("|",GZ244)+1,10))*$D$35+MAX(0,IF($D$50=1,$D$34*(1-(ABS($Q$244-(VALUE(MID(GZ244,FIND("|",GZ244)+1,FIND("-",GZ244,FIND("|",GZ244))-FIND("|",GZ244)-1))-VALUE(MID(GZ244,FIND("-",GZ244,FIND("|",GZ244))+1,10)))))*$D$50),$D$34*(1-(IF($D$244=0,ABS($A$244-VALUE(MID(GZ244,FIND("|",GZ244)+1,FIND("-",GZ244,FIND("|",GZ244))-FIND("|",GZ244)-1))),ABS($Q$244-(VALUE(MID(GZ244,FIND("|",GZ244)+1,FIND("-",GZ244,FIND("|",GZ244))-FIND("|",GZ244)-1))-VALUE(MID(GZ244,FIND("-",GZ244,FIND("|",GZ244))+1,10)))))*$D$50)))))*$I$244,0),0),0)</f>
        <v>0</v>
      </c>
      <c r="HB244" s="110"/>
      <c r="HC244" s="66" t="str">
        <f>Idiomas!$D$371</f>
        <v>Paste Values 3rd-4th place &amp; Final</v>
      </c>
      <c r="HD244" s="85">
        <f t="shared" ref="HD244" ca="1" si="3808">IFERROR(IF(LEFT(HC244,FIND("·",HC244)-1)=$K$244,IF($L$244=IFERROR(VALUE(MID(HC244,FIND("·",HC244)+1,1)),0),($D$33+($M$244=MID(HC244,FIND("|",HC244)+1,10))*$D$35+MAX(0,IF($D$50=1,$D$34*(1-(ABS($P$244-(VALUE(MID(HC244,FIND("|",HC244)+1,FIND("-",HC244,FIND("|",HC244))-FIND("|",HC244)-1))-VALUE(MID(HC244,FIND("-",HC244,FIND("|",HC244))+1,10)))))*$D$50),$D$34*(1-(IF($L$244=0,ABS($N$244-VALUE(MID(HC244,FIND("|",HC244)+1,FIND("-",HC244,FIND("|",HC244))-FIND("|",HC244)-1))),ABS($P$244-(VALUE(MID(HC244,FIND("|",HC244)+1,FIND("-",HC244,FIND("|",HC244))-FIND("|",HC244)-1))-VALUE(MID(HC244,FIND("-",HC244,FIND("|",HC244))+1,10)))))*$D$50)))))*$I$244,0),0),0)
+IFERROR(IF(LEFT(HC244,FIND("·",HC244)-1)=$C$244,IF($D$244=IFERROR(VALUE(MID(HC244,FIND("·",HC244)+1,1)),0),($D$33+($E$244=MID(HC244,FIND("|",HC244)+1,10))*$D$35+MAX(0,IF($D$50=1,$D$34*(1-(ABS($Q$244-(VALUE(MID(HC244,FIND("|",HC244)+1,FIND("-",HC244,FIND("|",HC244))-FIND("|",HC244)-1))-VALUE(MID(HC244,FIND("-",HC244,FIND("|",HC244))+1,10)))))*$D$50),$D$34*(1-(IF($D$244=0,ABS($A$244-VALUE(MID(HC244,FIND("|",HC244)+1,FIND("-",HC244,FIND("|",HC244))-FIND("|",HC244)-1))),ABS($Q$244-(VALUE(MID(HC244,FIND("|",HC244)+1,FIND("-",HC244,FIND("|",HC244))-FIND("|",HC244)-1))-VALUE(MID(HC244,FIND("-",HC244,FIND("|",HC244))+1,10)))))*$D$50)))))*$I$244,0),0),0)</f>
        <v>0</v>
      </c>
      <c r="HE244" s="110"/>
      <c r="HF244" s="66" t="str">
        <f>Idiomas!$D$371</f>
        <v>Paste Values 3rd-4th place &amp; Final</v>
      </c>
      <c r="HG244" s="85">
        <f t="shared" ref="HG244" ca="1" si="3809">IFERROR(IF(LEFT(HF244,FIND("·",HF244)-1)=$K$244,IF($L$244=IFERROR(VALUE(MID(HF244,FIND("·",HF244)+1,1)),0),($D$33+($M$244=MID(HF244,FIND("|",HF244)+1,10))*$D$35+MAX(0,IF($D$50=1,$D$34*(1-(ABS($P$244-(VALUE(MID(HF244,FIND("|",HF244)+1,FIND("-",HF244,FIND("|",HF244))-FIND("|",HF244)-1))-VALUE(MID(HF244,FIND("-",HF244,FIND("|",HF244))+1,10)))))*$D$50),$D$34*(1-(IF($L$244=0,ABS($N$244-VALUE(MID(HF244,FIND("|",HF244)+1,FIND("-",HF244,FIND("|",HF244))-FIND("|",HF244)-1))),ABS($P$244-(VALUE(MID(HF244,FIND("|",HF244)+1,FIND("-",HF244,FIND("|",HF244))-FIND("|",HF244)-1))-VALUE(MID(HF244,FIND("-",HF244,FIND("|",HF244))+1,10)))))*$D$50)))))*$I$244,0),0),0)
+IFERROR(IF(LEFT(HF244,FIND("·",HF244)-1)=$C$244,IF($D$244=IFERROR(VALUE(MID(HF244,FIND("·",HF244)+1,1)),0),($D$33+($E$244=MID(HF244,FIND("|",HF244)+1,10))*$D$35+MAX(0,IF($D$50=1,$D$34*(1-(ABS($Q$244-(VALUE(MID(HF244,FIND("|",HF244)+1,FIND("-",HF244,FIND("|",HF244))-FIND("|",HF244)-1))-VALUE(MID(HF244,FIND("-",HF244,FIND("|",HF244))+1,10)))))*$D$50),$D$34*(1-(IF($D$244=0,ABS($A$244-VALUE(MID(HF244,FIND("|",HF244)+1,FIND("-",HF244,FIND("|",HF244))-FIND("|",HF244)-1))),ABS($Q$244-(VALUE(MID(HF244,FIND("|",HF244)+1,FIND("-",HF244,FIND("|",HF244))-FIND("|",HF244)-1))-VALUE(MID(HF244,FIND("-",HF244,FIND("|",HF244))+1,10)))))*$D$50)))))*$I$244,0),0),0)</f>
        <v>0</v>
      </c>
      <c r="HH244" s="110"/>
      <c r="HI244" s="66" t="str">
        <f>Idiomas!$D$371</f>
        <v>Paste Values 3rd-4th place &amp; Final</v>
      </c>
      <c r="HJ244" s="85">
        <f t="shared" ref="HJ244" ca="1" si="3810">IFERROR(IF(LEFT(HI244,FIND("·",HI244)-1)=$K$244,IF($L$244=IFERROR(VALUE(MID(HI244,FIND("·",HI244)+1,1)),0),($D$33+($M$244=MID(HI244,FIND("|",HI244)+1,10))*$D$35+MAX(0,IF($D$50=1,$D$34*(1-(ABS($P$244-(VALUE(MID(HI244,FIND("|",HI244)+1,FIND("-",HI244,FIND("|",HI244))-FIND("|",HI244)-1))-VALUE(MID(HI244,FIND("-",HI244,FIND("|",HI244))+1,10)))))*$D$50),$D$34*(1-(IF($L$244=0,ABS($N$244-VALUE(MID(HI244,FIND("|",HI244)+1,FIND("-",HI244,FIND("|",HI244))-FIND("|",HI244)-1))),ABS($P$244-(VALUE(MID(HI244,FIND("|",HI244)+1,FIND("-",HI244,FIND("|",HI244))-FIND("|",HI244)-1))-VALUE(MID(HI244,FIND("-",HI244,FIND("|",HI244))+1,10)))))*$D$50)))))*$I$244,0),0),0)
+IFERROR(IF(LEFT(HI244,FIND("·",HI244)-1)=$C$244,IF($D$244=IFERROR(VALUE(MID(HI244,FIND("·",HI244)+1,1)),0),($D$33+($E$244=MID(HI244,FIND("|",HI244)+1,10))*$D$35+MAX(0,IF($D$50=1,$D$34*(1-(ABS($Q$244-(VALUE(MID(HI244,FIND("|",HI244)+1,FIND("-",HI244,FIND("|",HI244))-FIND("|",HI244)-1))-VALUE(MID(HI244,FIND("-",HI244,FIND("|",HI244))+1,10)))))*$D$50),$D$34*(1-(IF($D$244=0,ABS($A$244-VALUE(MID(HI244,FIND("|",HI244)+1,FIND("-",HI244,FIND("|",HI244))-FIND("|",HI244)-1))),ABS($Q$244-(VALUE(MID(HI244,FIND("|",HI244)+1,FIND("-",HI244,FIND("|",HI244))-FIND("|",HI244)-1))-VALUE(MID(HI244,FIND("-",HI244,FIND("|",HI244))+1,10)))))*$D$50)))))*$I$244,0),0),0)</f>
        <v>0</v>
      </c>
      <c r="HK244" s="110"/>
      <c r="HL244" s="66" t="str">
        <f>Idiomas!$D$371</f>
        <v>Paste Values 3rd-4th place &amp; Final</v>
      </c>
      <c r="HM244" s="85">
        <f t="shared" ref="HM244" ca="1" si="3811">IFERROR(IF(LEFT(HL244,FIND("·",HL244)-1)=$K$244,IF($L$244=IFERROR(VALUE(MID(HL244,FIND("·",HL244)+1,1)),0),($D$33+($M$244=MID(HL244,FIND("|",HL244)+1,10))*$D$35+MAX(0,IF($D$50=1,$D$34*(1-(ABS($P$244-(VALUE(MID(HL244,FIND("|",HL244)+1,FIND("-",HL244,FIND("|",HL244))-FIND("|",HL244)-1))-VALUE(MID(HL244,FIND("-",HL244,FIND("|",HL244))+1,10)))))*$D$50),$D$34*(1-(IF($L$244=0,ABS($N$244-VALUE(MID(HL244,FIND("|",HL244)+1,FIND("-",HL244,FIND("|",HL244))-FIND("|",HL244)-1))),ABS($P$244-(VALUE(MID(HL244,FIND("|",HL244)+1,FIND("-",HL244,FIND("|",HL244))-FIND("|",HL244)-1))-VALUE(MID(HL244,FIND("-",HL244,FIND("|",HL244))+1,10)))))*$D$50)))))*$I$244,0),0),0)
+IFERROR(IF(LEFT(HL244,FIND("·",HL244)-1)=$C$244,IF($D$244=IFERROR(VALUE(MID(HL244,FIND("·",HL244)+1,1)),0),($D$33+($E$244=MID(HL244,FIND("|",HL244)+1,10))*$D$35+MAX(0,IF($D$50=1,$D$34*(1-(ABS($Q$244-(VALUE(MID(HL244,FIND("|",HL244)+1,FIND("-",HL244,FIND("|",HL244))-FIND("|",HL244)-1))-VALUE(MID(HL244,FIND("-",HL244,FIND("|",HL244))+1,10)))))*$D$50),$D$34*(1-(IF($D$244=0,ABS($A$244-VALUE(MID(HL244,FIND("|",HL244)+1,FIND("-",HL244,FIND("|",HL244))-FIND("|",HL244)-1))),ABS($Q$244-(VALUE(MID(HL244,FIND("|",HL244)+1,FIND("-",HL244,FIND("|",HL244))-FIND("|",HL244)-1))-VALUE(MID(HL244,FIND("-",HL244,FIND("|",HL244))+1,10)))))*$D$50)))))*$I$244,0),0),0)</f>
        <v>0</v>
      </c>
      <c r="HN244" s="110"/>
      <c r="HO244" s="66" t="str">
        <f>Idiomas!$D$371</f>
        <v>Paste Values 3rd-4th place &amp; Final</v>
      </c>
      <c r="HP244" s="85">
        <f t="shared" ref="HP244" ca="1" si="3812">IFERROR(IF(LEFT(HO244,FIND("·",HO244)-1)=$K$244,IF($L$244=IFERROR(VALUE(MID(HO244,FIND("·",HO244)+1,1)),0),($D$33+($M$244=MID(HO244,FIND("|",HO244)+1,10))*$D$35+MAX(0,IF($D$50=1,$D$34*(1-(ABS($P$244-(VALUE(MID(HO244,FIND("|",HO244)+1,FIND("-",HO244,FIND("|",HO244))-FIND("|",HO244)-1))-VALUE(MID(HO244,FIND("-",HO244,FIND("|",HO244))+1,10)))))*$D$50),$D$34*(1-(IF($L$244=0,ABS($N$244-VALUE(MID(HO244,FIND("|",HO244)+1,FIND("-",HO244,FIND("|",HO244))-FIND("|",HO244)-1))),ABS($P$244-(VALUE(MID(HO244,FIND("|",HO244)+1,FIND("-",HO244,FIND("|",HO244))-FIND("|",HO244)-1))-VALUE(MID(HO244,FIND("-",HO244,FIND("|",HO244))+1,10)))))*$D$50)))))*$I$244,0),0),0)
+IFERROR(IF(LEFT(HO244,FIND("·",HO244)-1)=$C$244,IF($D$244=IFERROR(VALUE(MID(HO244,FIND("·",HO244)+1,1)),0),($D$33+($E$244=MID(HO244,FIND("|",HO244)+1,10))*$D$35+MAX(0,IF($D$50=1,$D$34*(1-(ABS($Q$244-(VALUE(MID(HO244,FIND("|",HO244)+1,FIND("-",HO244,FIND("|",HO244))-FIND("|",HO244)-1))-VALUE(MID(HO244,FIND("-",HO244,FIND("|",HO244))+1,10)))))*$D$50),$D$34*(1-(IF($D$244=0,ABS($A$244-VALUE(MID(HO244,FIND("|",HO244)+1,FIND("-",HO244,FIND("|",HO244))-FIND("|",HO244)-1))),ABS($Q$244-(VALUE(MID(HO244,FIND("|",HO244)+1,FIND("-",HO244,FIND("|",HO244))-FIND("|",HO244)-1))-VALUE(MID(HO244,FIND("-",HO244,FIND("|",HO244))+1,10)))))*$D$50)))))*$I$244,0),0),0)</f>
        <v>0</v>
      </c>
      <c r="HQ244" s="110"/>
      <c r="HR244" s="66" t="str">
        <f>Idiomas!$D$371</f>
        <v>Paste Values 3rd-4th place &amp; Final</v>
      </c>
      <c r="HS244" s="85">
        <f t="shared" ref="HS244" ca="1" si="3813">IFERROR(IF(LEFT(HR244,FIND("·",HR244)-1)=$K$244,IF($L$244=IFERROR(VALUE(MID(HR244,FIND("·",HR244)+1,1)),0),($D$33+($M$244=MID(HR244,FIND("|",HR244)+1,10))*$D$35+MAX(0,IF($D$50=1,$D$34*(1-(ABS($P$244-(VALUE(MID(HR244,FIND("|",HR244)+1,FIND("-",HR244,FIND("|",HR244))-FIND("|",HR244)-1))-VALUE(MID(HR244,FIND("-",HR244,FIND("|",HR244))+1,10)))))*$D$50),$D$34*(1-(IF($L$244=0,ABS($N$244-VALUE(MID(HR244,FIND("|",HR244)+1,FIND("-",HR244,FIND("|",HR244))-FIND("|",HR244)-1))),ABS($P$244-(VALUE(MID(HR244,FIND("|",HR244)+1,FIND("-",HR244,FIND("|",HR244))-FIND("|",HR244)-1))-VALUE(MID(HR244,FIND("-",HR244,FIND("|",HR244))+1,10)))))*$D$50)))))*$I$244,0),0),0)
+IFERROR(IF(LEFT(HR244,FIND("·",HR244)-1)=$C$244,IF($D$244=IFERROR(VALUE(MID(HR244,FIND("·",HR244)+1,1)),0),($D$33+($E$244=MID(HR244,FIND("|",HR244)+1,10))*$D$35+MAX(0,IF($D$50=1,$D$34*(1-(ABS($Q$244-(VALUE(MID(HR244,FIND("|",HR244)+1,FIND("-",HR244,FIND("|",HR244))-FIND("|",HR244)-1))-VALUE(MID(HR244,FIND("-",HR244,FIND("|",HR244))+1,10)))))*$D$50),$D$34*(1-(IF($D$244=0,ABS($A$244-VALUE(MID(HR244,FIND("|",HR244)+1,FIND("-",HR244,FIND("|",HR244))-FIND("|",HR244)-1))),ABS($Q$244-(VALUE(MID(HR244,FIND("|",HR244)+1,FIND("-",HR244,FIND("|",HR244))-FIND("|",HR244)-1))-VALUE(MID(HR244,FIND("-",HR244,FIND("|",HR244))+1,10)))))*$D$50)))))*$I$244,0),0),0)</f>
        <v>0</v>
      </c>
      <c r="HT244" s="110"/>
      <c r="HU244" s="66" t="str">
        <f>Idiomas!$D$371</f>
        <v>Paste Values 3rd-4th place &amp; Final</v>
      </c>
      <c r="HV244" s="85">
        <f t="shared" ref="HV244" ca="1" si="3814">IFERROR(IF(LEFT(HU244,FIND("·",HU244)-1)=$K$244,IF($L$244=IFERROR(VALUE(MID(HU244,FIND("·",HU244)+1,1)),0),($D$33+($M$244=MID(HU244,FIND("|",HU244)+1,10))*$D$35+MAX(0,IF($D$50=1,$D$34*(1-(ABS($P$244-(VALUE(MID(HU244,FIND("|",HU244)+1,FIND("-",HU244,FIND("|",HU244))-FIND("|",HU244)-1))-VALUE(MID(HU244,FIND("-",HU244,FIND("|",HU244))+1,10)))))*$D$50),$D$34*(1-(IF($L$244=0,ABS($N$244-VALUE(MID(HU244,FIND("|",HU244)+1,FIND("-",HU244,FIND("|",HU244))-FIND("|",HU244)-1))),ABS($P$244-(VALUE(MID(HU244,FIND("|",HU244)+1,FIND("-",HU244,FIND("|",HU244))-FIND("|",HU244)-1))-VALUE(MID(HU244,FIND("-",HU244,FIND("|",HU244))+1,10)))))*$D$50)))))*$I$244,0),0),0)
+IFERROR(IF(LEFT(HU244,FIND("·",HU244)-1)=$C$244,IF($D$244=IFERROR(VALUE(MID(HU244,FIND("·",HU244)+1,1)),0),($D$33+($E$244=MID(HU244,FIND("|",HU244)+1,10))*$D$35+MAX(0,IF($D$50=1,$D$34*(1-(ABS($Q$244-(VALUE(MID(HU244,FIND("|",HU244)+1,FIND("-",HU244,FIND("|",HU244))-FIND("|",HU244)-1))-VALUE(MID(HU244,FIND("-",HU244,FIND("|",HU244))+1,10)))))*$D$50),$D$34*(1-(IF($D$244=0,ABS($A$244-VALUE(MID(HU244,FIND("|",HU244)+1,FIND("-",HU244,FIND("|",HU244))-FIND("|",HU244)-1))),ABS($Q$244-(VALUE(MID(HU244,FIND("|",HU244)+1,FIND("-",HU244,FIND("|",HU244))-FIND("|",HU244)-1))-VALUE(MID(HU244,FIND("-",HU244,FIND("|",HU244))+1,10)))))*$D$50)))))*$I$244,0),0),0)</f>
        <v>0</v>
      </c>
      <c r="HW244" s="110"/>
      <c r="HX244" s="66" t="str">
        <f>Idiomas!$D$371</f>
        <v>Paste Values 3rd-4th place &amp; Final</v>
      </c>
      <c r="HY244" s="85">
        <f t="shared" ref="HY244" ca="1" si="3815">IFERROR(IF(LEFT(HX244,FIND("·",HX244)-1)=$K$244,IF($L$244=IFERROR(VALUE(MID(HX244,FIND("·",HX244)+1,1)),0),($D$33+($M$244=MID(HX244,FIND("|",HX244)+1,10))*$D$35+MAX(0,IF($D$50=1,$D$34*(1-(ABS($P$244-(VALUE(MID(HX244,FIND("|",HX244)+1,FIND("-",HX244,FIND("|",HX244))-FIND("|",HX244)-1))-VALUE(MID(HX244,FIND("-",HX244,FIND("|",HX244))+1,10)))))*$D$50),$D$34*(1-(IF($L$244=0,ABS($N$244-VALUE(MID(HX244,FIND("|",HX244)+1,FIND("-",HX244,FIND("|",HX244))-FIND("|",HX244)-1))),ABS($P$244-(VALUE(MID(HX244,FIND("|",HX244)+1,FIND("-",HX244,FIND("|",HX244))-FIND("|",HX244)-1))-VALUE(MID(HX244,FIND("-",HX244,FIND("|",HX244))+1,10)))))*$D$50)))))*$I$244,0),0),0)
+IFERROR(IF(LEFT(HX244,FIND("·",HX244)-1)=$C$244,IF($D$244=IFERROR(VALUE(MID(HX244,FIND("·",HX244)+1,1)),0),($D$33+($E$244=MID(HX244,FIND("|",HX244)+1,10))*$D$35+MAX(0,IF($D$50=1,$D$34*(1-(ABS($Q$244-(VALUE(MID(HX244,FIND("|",HX244)+1,FIND("-",HX244,FIND("|",HX244))-FIND("|",HX244)-1))-VALUE(MID(HX244,FIND("-",HX244,FIND("|",HX244))+1,10)))))*$D$50),$D$34*(1-(IF($D$244=0,ABS($A$244-VALUE(MID(HX244,FIND("|",HX244)+1,FIND("-",HX244,FIND("|",HX244))-FIND("|",HX244)-1))),ABS($Q$244-(VALUE(MID(HX244,FIND("|",HX244)+1,FIND("-",HX244,FIND("|",HX244))-FIND("|",HX244)-1))-VALUE(MID(HX244,FIND("-",HX244,FIND("|",HX244))+1,10)))))*$D$50)))))*$I$244,0),0),0)</f>
        <v>0</v>
      </c>
      <c r="HZ244" s="110"/>
      <c r="IA244" s="66" t="str">
        <f>Idiomas!$D$371</f>
        <v>Paste Values 3rd-4th place &amp; Final</v>
      </c>
      <c r="IB244" s="85">
        <f t="shared" ref="IB244" ca="1" si="3816">IFERROR(IF(LEFT(IA244,FIND("·",IA244)-1)=$K$244,IF($L$244=IFERROR(VALUE(MID(IA244,FIND("·",IA244)+1,1)),0),($D$33+($M$244=MID(IA244,FIND("|",IA244)+1,10))*$D$35+MAX(0,IF($D$50=1,$D$34*(1-(ABS($P$244-(VALUE(MID(IA244,FIND("|",IA244)+1,FIND("-",IA244,FIND("|",IA244))-FIND("|",IA244)-1))-VALUE(MID(IA244,FIND("-",IA244,FIND("|",IA244))+1,10)))))*$D$50),$D$34*(1-(IF($L$244=0,ABS($N$244-VALUE(MID(IA244,FIND("|",IA244)+1,FIND("-",IA244,FIND("|",IA244))-FIND("|",IA244)-1))),ABS($P$244-(VALUE(MID(IA244,FIND("|",IA244)+1,FIND("-",IA244,FIND("|",IA244))-FIND("|",IA244)-1))-VALUE(MID(IA244,FIND("-",IA244,FIND("|",IA244))+1,10)))))*$D$50)))))*$I$244,0),0),0)
+IFERROR(IF(LEFT(IA244,FIND("·",IA244)-1)=$C$244,IF($D$244=IFERROR(VALUE(MID(IA244,FIND("·",IA244)+1,1)),0),($D$33+($E$244=MID(IA244,FIND("|",IA244)+1,10))*$D$35+MAX(0,IF($D$50=1,$D$34*(1-(ABS($Q$244-(VALUE(MID(IA244,FIND("|",IA244)+1,FIND("-",IA244,FIND("|",IA244))-FIND("|",IA244)-1))-VALUE(MID(IA244,FIND("-",IA244,FIND("|",IA244))+1,10)))))*$D$50),$D$34*(1-(IF($D$244=0,ABS($A$244-VALUE(MID(IA244,FIND("|",IA244)+1,FIND("-",IA244,FIND("|",IA244))-FIND("|",IA244)-1))),ABS($Q$244-(VALUE(MID(IA244,FIND("|",IA244)+1,FIND("-",IA244,FIND("|",IA244))-FIND("|",IA244)-1))-VALUE(MID(IA244,FIND("-",IA244,FIND("|",IA244))+1,10)))))*$D$50)))))*$I$244,0),0),0)</f>
        <v>0</v>
      </c>
      <c r="IC244" s="110"/>
      <c r="ID244" s="66" t="str">
        <f>Idiomas!$D$371</f>
        <v>Paste Values 3rd-4th place &amp; Final</v>
      </c>
      <c r="IE244" s="85">
        <f t="shared" ref="IE244" ca="1" si="3817">IFERROR(IF(LEFT(ID244,FIND("·",ID244)-1)=$K$244,IF($L$244=IFERROR(VALUE(MID(ID244,FIND("·",ID244)+1,1)),0),($D$33+($M$244=MID(ID244,FIND("|",ID244)+1,10))*$D$35+MAX(0,IF($D$50=1,$D$34*(1-(ABS($P$244-(VALUE(MID(ID244,FIND("|",ID244)+1,FIND("-",ID244,FIND("|",ID244))-FIND("|",ID244)-1))-VALUE(MID(ID244,FIND("-",ID244,FIND("|",ID244))+1,10)))))*$D$50),$D$34*(1-(IF($L$244=0,ABS($N$244-VALUE(MID(ID244,FIND("|",ID244)+1,FIND("-",ID244,FIND("|",ID244))-FIND("|",ID244)-1))),ABS($P$244-(VALUE(MID(ID244,FIND("|",ID244)+1,FIND("-",ID244,FIND("|",ID244))-FIND("|",ID244)-1))-VALUE(MID(ID244,FIND("-",ID244,FIND("|",ID244))+1,10)))))*$D$50)))))*$I$244,0),0),0)
+IFERROR(IF(LEFT(ID244,FIND("·",ID244)-1)=$C$244,IF($D$244=IFERROR(VALUE(MID(ID244,FIND("·",ID244)+1,1)),0),($D$33+($E$244=MID(ID244,FIND("|",ID244)+1,10))*$D$35+MAX(0,IF($D$50=1,$D$34*(1-(ABS($Q$244-(VALUE(MID(ID244,FIND("|",ID244)+1,FIND("-",ID244,FIND("|",ID244))-FIND("|",ID244)-1))-VALUE(MID(ID244,FIND("-",ID244,FIND("|",ID244))+1,10)))))*$D$50),$D$34*(1-(IF($D$244=0,ABS($A$244-VALUE(MID(ID244,FIND("|",ID244)+1,FIND("-",ID244,FIND("|",ID244))-FIND("|",ID244)-1))),ABS($Q$244-(VALUE(MID(ID244,FIND("|",ID244)+1,FIND("-",ID244,FIND("|",ID244))-FIND("|",ID244)-1))-VALUE(MID(ID244,FIND("-",ID244,FIND("|",ID244))+1,10)))))*$D$50)))))*$I$244,0),0),0)</f>
        <v>0</v>
      </c>
      <c r="IF244" s="110"/>
      <c r="IG244" s="66" t="str">
        <f>Idiomas!$D$371</f>
        <v>Paste Values 3rd-4th place &amp; Final</v>
      </c>
      <c r="IH244" s="85">
        <f t="shared" ref="IH244" ca="1" si="3818">IFERROR(IF(LEFT(IG244,FIND("·",IG244)-1)=$K$244,IF($L$244=IFERROR(VALUE(MID(IG244,FIND("·",IG244)+1,1)),0),($D$33+($M$244=MID(IG244,FIND("|",IG244)+1,10))*$D$35+MAX(0,IF($D$50=1,$D$34*(1-(ABS($P$244-(VALUE(MID(IG244,FIND("|",IG244)+1,FIND("-",IG244,FIND("|",IG244))-FIND("|",IG244)-1))-VALUE(MID(IG244,FIND("-",IG244,FIND("|",IG244))+1,10)))))*$D$50),$D$34*(1-(IF($L$244=0,ABS($N$244-VALUE(MID(IG244,FIND("|",IG244)+1,FIND("-",IG244,FIND("|",IG244))-FIND("|",IG244)-1))),ABS($P$244-(VALUE(MID(IG244,FIND("|",IG244)+1,FIND("-",IG244,FIND("|",IG244))-FIND("|",IG244)-1))-VALUE(MID(IG244,FIND("-",IG244,FIND("|",IG244))+1,10)))))*$D$50)))))*$I$244,0),0),0)
+IFERROR(IF(LEFT(IG244,FIND("·",IG244)-1)=$C$244,IF($D$244=IFERROR(VALUE(MID(IG244,FIND("·",IG244)+1,1)),0),($D$33+($E$244=MID(IG244,FIND("|",IG244)+1,10))*$D$35+MAX(0,IF($D$50=1,$D$34*(1-(ABS($Q$244-(VALUE(MID(IG244,FIND("|",IG244)+1,FIND("-",IG244,FIND("|",IG244))-FIND("|",IG244)-1))-VALUE(MID(IG244,FIND("-",IG244,FIND("|",IG244))+1,10)))))*$D$50),$D$34*(1-(IF($D$244=0,ABS($A$244-VALUE(MID(IG244,FIND("|",IG244)+1,FIND("-",IG244,FIND("|",IG244))-FIND("|",IG244)-1))),ABS($Q$244-(VALUE(MID(IG244,FIND("|",IG244)+1,FIND("-",IG244,FIND("|",IG244))-FIND("|",IG244)-1))-VALUE(MID(IG244,FIND("-",IG244,FIND("|",IG244))+1,10)))))*$D$50)))))*$I$244,0),0),0)</f>
        <v>0</v>
      </c>
      <c r="II244" s="110"/>
      <c r="IJ244" s="66" t="str">
        <f>Idiomas!$D$371</f>
        <v>Paste Values 3rd-4th place &amp; Final</v>
      </c>
      <c r="IK244" s="85">
        <f t="shared" ref="IK244" ca="1" si="3819">IFERROR(IF(LEFT(IJ244,FIND("·",IJ244)-1)=$K$244,IF($L$244=IFERROR(VALUE(MID(IJ244,FIND("·",IJ244)+1,1)),0),($D$33+($M$244=MID(IJ244,FIND("|",IJ244)+1,10))*$D$35+MAX(0,IF($D$50=1,$D$34*(1-(ABS($P$244-(VALUE(MID(IJ244,FIND("|",IJ244)+1,FIND("-",IJ244,FIND("|",IJ244))-FIND("|",IJ244)-1))-VALUE(MID(IJ244,FIND("-",IJ244,FIND("|",IJ244))+1,10)))))*$D$50),$D$34*(1-(IF($L$244=0,ABS($N$244-VALUE(MID(IJ244,FIND("|",IJ244)+1,FIND("-",IJ244,FIND("|",IJ244))-FIND("|",IJ244)-1))),ABS($P$244-(VALUE(MID(IJ244,FIND("|",IJ244)+1,FIND("-",IJ244,FIND("|",IJ244))-FIND("|",IJ244)-1))-VALUE(MID(IJ244,FIND("-",IJ244,FIND("|",IJ244))+1,10)))))*$D$50)))))*$I$244,0),0),0)
+IFERROR(IF(LEFT(IJ244,FIND("·",IJ244)-1)=$C$244,IF($D$244=IFERROR(VALUE(MID(IJ244,FIND("·",IJ244)+1,1)),0),($D$33+($E$244=MID(IJ244,FIND("|",IJ244)+1,10))*$D$35+MAX(0,IF($D$50=1,$D$34*(1-(ABS($Q$244-(VALUE(MID(IJ244,FIND("|",IJ244)+1,FIND("-",IJ244,FIND("|",IJ244))-FIND("|",IJ244)-1))-VALUE(MID(IJ244,FIND("-",IJ244,FIND("|",IJ244))+1,10)))))*$D$50),$D$34*(1-(IF($D$244=0,ABS($A$244-VALUE(MID(IJ244,FIND("|",IJ244)+1,FIND("-",IJ244,FIND("|",IJ244))-FIND("|",IJ244)-1))),ABS($Q$244-(VALUE(MID(IJ244,FIND("|",IJ244)+1,FIND("-",IJ244,FIND("|",IJ244))-FIND("|",IJ244)-1))-VALUE(MID(IJ244,FIND("-",IJ244,FIND("|",IJ244))+1,10)))))*$D$50)))))*$I$244,0),0),0)</f>
        <v>0</v>
      </c>
      <c r="IL244" s="110"/>
      <c r="IM244" s="66" t="str">
        <f>Idiomas!$D$371</f>
        <v>Paste Values 3rd-4th place &amp; Final</v>
      </c>
      <c r="IN244" s="85">
        <f t="shared" ref="IN244" ca="1" si="3820">IFERROR(IF(LEFT(IM244,FIND("·",IM244)-1)=$K$244,IF($L$244=IFERROR(VALUE(MID(IM244,FIND("·",IM244)+1,1)),0),($D$33+($M$244=MID(IM244,FIND("|",IM244)+1,10))*$D$35+MAX(0,IF($D$50=1,$D$34*(1-(ABS($P$244-(VALUE(MID(IM244,FIND("|",IM244)+1,FIND("-",IM244,FIND("|",IM244))-FIND("|",IM244)-1))-VALUE(MID(IM244,FIND("-",IM244,FIND("|",IM244))+1,10)))))*$D$50),$D$34*(1-(IF($L$244=0,ABS($N$244-VALUE(MID(IM244,FIND("|",IM244)+1,FIND("-",IM244,FIND("|",IM244))-FIND("|",IM244)-1))),ABS($P$244-(VALUE(MID(IM244,FIND("|",IM244)+1,FIND("-",IM244,FIND("|",IM244))-FIND("|",IM244)-1))-VALUE(MID(IM244,FIND("-",IM244,FIND("|",IM244))+1,10)))))*$D$50)))))*$I$244,0),0),0)
+IFERROR(IF(LEFT(IM244,FIND("·",IM244)-1)=$C$244,IF($D$244=IFERROR(VALUE(MID(IM244,FIND("·",IM244)+1,1)),0),($D$33+($E$244=MID(IM244,FIND("|",IM244)+1,10))*$D$35+MAX(0,IF($D$50=1,$D$34*(1-(ABS($Q$244-(VALUE(MID(IM244,FIND("|",IM244)+1,FIND("-",IM244,FIND("|",IM244))-FIND("|",IM244)-1))-VALUE(MID(IM244,FIND("-",IM244,FIND("|",IM244))+1,10)))))*$D$50),$D$34*(1-(IF($D$244=0,ABS($A$244-VALUE(MID(IM244,FIND("|",IM244)+1,FIND("-",IM244,FIND("|",IM244))-FIND("|",IM244)-1))),ABS($Q$244-(VALUE(MID(IM244,FIND("|",IM244)+1,FIND("-",IM244,FIND("|",IM244))-FIND("|",IM244)-1))-VALUE(MID(IM244,FIND("-",IM244,FIND("|",IM244))+1,10)))))*$D$50)))))*$I$244,0),0),0)</f>
        <v>0</v>
      </c>
      <c r="IO244" s="110"/>
      <c r="IP244" s="66" t="str">
        <f>Idiomas!$D$371</f>
        <v>Paste Values 3rd-4th place &amp; Final</v>
      </c>
      <c r="IQ244" s="85">
        <f t="shared" ref="IQ244" ca="1" si="3821">IFERROR(IF(LEFT(IP244,FIND("·",IP244)-1)=$K$244,IF($L$244=IFERROR(VALUE(MID(IP244,FIND("·",IP244)+1,1)),0),($D$33+($M$244=MID(IP244,FIND("|",IP244)+1,10))*$D$35+MAX(0,IF($D$50=1,$D$34*(1-(ABS($P$244-(VALUE(MID(IP244,FIND("|",IP244)+1,FIND("-",IP244,FIND("|",IP244))-FIND("|",IP244)-1))-VALUE(MID(IP244,FIND("-",IP244,FIND("|",IP244))+1,10)))))*$D$50),$D$34*(1-(IF($L$244=0,ABS($N$244-VALUE(MID(IP244,FIND("|",IP244)+1,FIND("-",IP244,FIND("|",IP244))-FIND("|",IP244)-1))),ABS($P$244-(VALUE(MID(IP244,FIND("|",IP244)+1,FIND("-",IP244,FIND("|",IP244))-FIND("|",IP244)-1))-VALUE(MID(IP244,FIND("-",IP244,FIND("|",IP244))+1,10)))))*$D$50)))))*$I$244,0),0),0)
+IFERROR(IF(LEFT(IP244,FIND("·",IP244)-1)=$C$244,IF($D$244=IFERROR(VALUE(MID(IP244,FIND("·",IP244)+1,1)),0),($D$33+($E$244=MID(IP244,FIND("|",IP244)+1,10))*$D$35+MAX(0,IF($D$50=1,$D$34*(1-(ABS($Q$244-(VALUE(MID(IP244,FIND("|",IP244)+1,FIND("-",IP244,FIND("|",IP244))-FIND("|",IP244)-1))-VALUE(MID(IP244,FIND("-",IP244,FIND("|",IP244))+1,10)))))*$D$50),$D$34*(1-(IF($D$244=0,ABS($A$244-VALUE(MID(IP244,FIND("|",IP244)+1,FIND("-",IP244,FIND("|",IP244))-FIND("|",IP244)-1))),ABS($Q$244-(VALUE(MID(IP244,FIND("|",IP244)+1,FIND("-",IP244,FIND("|",IP244))-FIND("|",IP244)-1))-VALUE(MID(IP244,FIND("-",IP244,FIND("|",IP244))+1,10)))))*$D$50)))))*$I$244,0),0),0)</f>
        <v>0</v>
      </c>
      <c r="IR244" s="110"/>
      <c r="IS244" s="66" t="str">
        <f>Idiomas!$D$371</f>
        <v>Paste Values 3rd-4th place &amp; Final</v>
      </c>
      <c r="IT244" s="85">
        <f t="shared" ref="IT244" ca="1" si="3822">IFERROR(IF(LEFT(IS244,FIND("·",IS244)-1)=$K$244,IF($L$244=IFERROR(VALUE(MID(IS244,FIND("·",IS244)+1,1)),0),($D$33+($M$244=MID(IS244,FIND("|",IS244)+1,10))*$D$35+MAX(0,IF($D$50=1,$D$34*(1-(ABS($P$244-(VALUE(MID(IS244,FIND("|",IS244)+1,FIND("-",IS244,FIND("|",IS244))-FIND("|",IS244)-1))-VALUE(MID(IS244,FIND("-",IS244,FIND("|",IS244))+1,10)))))*$D$50),$D$34*(1-(IF($L$244=0,ABS($N$244-VALUE(MID(IS244,FIND("|",IS244)+1,FIND("-",IS244,FIND("|",IS244))-FIND("|",IS244)-1))),ABS($P$244-(VALUE(MID(IS244,FIND("|",IS244)+1,FIND("-",IS244,FIND("|",IS244))-FIND("|",IS244)-1))-VALUE(MID(IS244,FIND("-",IS244,FIND("|",IS244))+1,10)))))*$D$50)))))*$I$244,0),0),0)
+IFERROR(IF(LEFT(IS244,FIND("·",IS244)-1)=$C$244,IF($D$244=IFERROR(VALUE(MID(IS244,FIND("·",IS244)+1,1)),0),($D$33+($E$244=MID(IS244,FIND("|",IS244)+1,10))*$D$35+MAX(0,IF($D$50=1,$D$34*(1-(ABS($Q$244-(VALUE(MID(IS244,FIND("|",IS244)+1,FIND("-",IS244,FIND("|",IS244))-FIND("|",IS244)-1))-VALUE(MID(IS244,FIND("-",IS244,FIND("|",IS244))+1,10)))))*$D$50),$D$34*(1-(IF($D$244=0,ABS($A$244-VALUE(MID(IS244,FIND("|",IS244)+1,FIND("-",IS244,FIND("|",IS244))-FIND("|",IS244)-1))),ABS($Q$244-(VALUE(MID(IS244,FIND("|",IS244)+1,FIND("-",IS244,FIND("|",IS244))-FIND("|",IS244)-1))-VALUE(MID(IS244,FIND("-",IS244,FIND("|",IS244))+1,10)))))*$D$50)))))*$I$244,0),0),0)</f>
        <v>0</v>
      </c>
      <c r="IU244" s="110"/>
      <c r="IV244" s="66" t="str">
        <f>Idiomas!$D$371</f>
        <v>Paste Values 3rd-4th place &amp; Final</v>
      </c>
      <c r="IW244" s="85">
        <f t="shared" ref="IW244" ca="1" si="3823">IFERROR(IF(LEFT(IV244,FIND("·",IV244)-1)=$K$244,IF($L$244=IFERROR(VALUE(MID(IV244,FIND("·",IV244)+1,1)),0),($D$33+($M$244=MID(IV244,FIND("|",IV244)+1,10))*$D$35+MAX(0,IF($D$50=1,$D$34*(1-(ABS($P$244-(VALUE(MID(IV244,FIND("|",IV244)+1,FIND("-",IV244,FIND("|",IV244))-FIND("|",IV244)-1))-VALUE(MID(IV244,FIND("-",IV244,FIND("|",IV244))+1,10)))))*$D$50),$D$34*(1-(IF($L$244=0,ABS($N$244-VALUE(MID(IV244,FIND("|",IV244)+1,FIND("-",IV244,FIND("|",IV244))-FIND("|",IV244)-1))),ABS($P$244-(VALUE(MID(IV244,FIND("|",IV244)+1,FIND("-",IV244,FIND("|",IV244))-FIND("|",IV244)-1))-VALUE(MID(IV244,FIND("-",IV244,FIND("|",IV244))+1,10)))))*$D$50)))))*$I$244,0),0),0)
+IFERROR(IF(LEFT(IV244,FIND("·",IV244)-1)=$C$244,IF($D$244=IFERROR(VALUE(MID(IV244,FIND("·",IV244)+1,1)),0),($D$33+($E$244=MID(IV244,FIND("|",IV244)+1,10))*$D$35+MAX(0,IF($D$50=1,$D$34*(1-(ABS($Q$244-(VALUE(MID(IV244,FIND("|",IV244)+1,FIND("-",IV244,FIND("|",IV244))-FIND("|",IV244)-1))-VALUE(MID(IV244,FIND("-",IV244,FIND("|",IV244))+1,10)))))*$D$50),$D$34*(1-(IF($D$244=0,ABS($A$244-VALUE(MID(IV244,FIND("|",IV244)+1,FIND("-",IV244,FIND("|",IV244))-FIND("|",IV244)-1))),ABS($Q$244-(VALUE(MID(IV244,FIND("|",IV244)+1,FIND("-",IV244,FIND("|",IV244))-FIND("|",IV244)-1))-VALUE(MID(IV244,FIND("-",IV244,FIND("|",IV244))+1,10)))))*$D$50)))))*$I$244,0),0),0)</f>
        <v>0</v>
      </c>
      <c r="IX244" s="110"/>
      <c r="IY244" s="66" t="str">
        <f>Idiomas!$D$371</f>
        <v>Paste Values 3rd-4th place &amp; Final</v>
      </c>
      <c r="IZ244" s="85">
        <f t="shared" ref="IZ244" ca="1" si="3824">IFERROR(IF(LEFT(IY244,FIND("·",IY244)-1)=$K$244,IF($L$244=IFERROR(VALUE(MID(IY244,FIND("·",IY244)+1,1)),0),($D$33+($M$244=MID(IY244,FIND("|",IY244)+1,10))*$D$35+MAX(0,IF($D$50=1,$D$34*(1-(ABS($P$244-(VALUE(MID(IY244,FIND("|",IY244)+1,FIND("-",IY244,FIND("|",IY244))-FIND("|",IY244)-1))-VALUE(MID(IY244,FIND("-",IY244,FIND("|",IY244))+1,10)))))*$D$50),$D$34*(1-(IF($L$244=0,ABS($N$244-VALUE(MID(IY244,FIND("|",IY244)+1,FIND("-",IY244,FIND("|",IY244))-FIND("|",IY244)-1))),ABS($P$244-(VALUE(MID(IY244,FIND("|",IY244)+1,FIND("-",IY244,FIND("|",IY244))-FIND("|",IY244)-1))-VALUE(MID(IY244,FIND("-",IY244,FIND("|",IY244))+1,10)))))*$D$50)))))*$I$244,0),0),0)
+IFERROR(IF(LEFT(IY244,FIND("·",IY244)-1)=$C$244,IF($D$244=IFERROR(VALUE(MID(IY244,FIND("·",IY244)+1,1)),0),($D$33+($E$244=MID(IY244,FIND("|",IY244)+1,10))*$D$35+MAX(0,IF($D$50=1,$D$34*(1-(ABS($Q$244-(VALUE(MID(IY244,FIND("|",IY244)+1,FIND("-",IY244,FIND("|",IY244))-FIND("|",IY244)-1))-VALUE(MID(IY244,FIND("-",IY244,FIND("|",IY244))+1,10)))))*$D$50),$D$34*(1-(IF($D$244=0,ABS($A$244-VALUE(MID(IY244,FIND("|",IY244)+1,FIND("-",IY244,FIND("|",IY244))-FIND("|",IY244)-1))),ABS($Q$244-(VALUE(MID(IY244,FIND("|",IY244)+1,FIND("-",IY244,FIND("|",IY244))-FIND("|",IY244)-1))-VALUE(MID(IY244,FIND("-",IY244,FIND("|",IY244))+1,10)))))*$D$50)))))*$I$244,0),0),0)</f>
        <v>0</v>
      </c>
      <c r="JA244" s="110"/>
      <c r="JB244" s="66" t="str">
        <f>Idiomas!$D$371</f>
        <v>Paste Values 3rd-4th place &amp; Final</v>
      </c>
      <c r="JC244" s="85">
        <f t="shared" ref="JC244" ca="1" si="3825">IFERROR(IF(LEFT(JB244,FIND("·",JB244)-1)=$K$244,IF($L$244=IFERROR(VALUE(MID(JB244,FIND("·",JB244)+1,1)),0),($D$33+($M$244=MID(JB244,FIND("|",JB244)+1,10))*$D$35+MAX(0,IF($D$50=1,$D$34*(1-(ABS($P$244-(VALUE(MID(JB244,FIND("|",JB244)+1,FIND("-",JB244,FIND("|",JB244))-FIND("|",JB244)-1))-VALUE(MID(JB244,FIND("-",JB244,FIND("|",JB244))+1,10)))))*$D$50),$D$34*(1-(IF($L$244=0,ABS($N$244-VALUE(MID(JB244,FIND("|",JB244)+1,FIND("-",JB244,FIND("|",JB244))-FIND("|",JB244)-1))),ABS($P$244-(VALUE(MID(JB244,FIND("|",JB244)+1,FIND("-",JB244,FIND("|",JB244))-FIND("|",JB244)-1))-VALUE(MID(JB244,FIND("-",JB244,FIND("|",JB244))+1,10)))))*$D$50)))))*$I$244,0),0),0)
+IFERROR(IF(LEFT(JB244,FIND("·",JB244)-1)=$C$244,IF($D$244=IFERROR(VALUE(MID(JB244,FIND("·",JB244)+1,1)),0),($D$33+($E$244=MID(JB244,FIND("|",JB244)+1,10))*$D$35+MAX(0,IF($D$50=1,$D$34*(1-(ABS($Q$244-(VALUE(MID(JB244,FIND("|",JB244)+1,FIND("-",JB244,FIND("|",JB244))-FIND("|",JB244)-1))-VALUE(MID(JB244,FIND("-",JB244,FIND("|",JB244))+1,10)))))*$D$50),$D$34*(1-(IF($D$244=0,ABS($A$244-VALUE(MID(JB244,FIND("|",JB244)+1,FIND("-",JB244,FIND("|",JB244))-FIND("|",JB244)-1))),ABS($Q$244-(VALUE(MID(JB244,FIND("|",JB244)+1,FIND("-",JB244,FIND("|",JB244))-FIND("|",JB244)-1))-VALUE(MID(JB244,FIND("-",JB244,FIND("|",JB244))+1,10)))))*$D$50)))))*$I$244,0),0),0)</f>
        <v>0</v>
      </c>
      <c r="JD244" s="110"/>
      <c r="JE244" s="66" t="str">
        <f>Idiomas!$D$371</f>
        <v>Paste Values 3rd-4th place &amp; Final</v>
      </c>
      <c r="JF244" s="85">
        <f t="shared" ref="JF244" ca="1" si="3826">IFERROR(IF(LEFT(JE244,FIND("·",JE244)-1)=$K$244,IF($L$244=IFERROR(VALUE(MID(JE244,FIND("·",JE244)+1,1)),0),($D$33+($M$244=MID(JE244,FIND("|",JE244)+1,10))*$D$35+MAX(0,IF($D$50=1,$D$34*(1-(ABS($P$244-(VALUE(MID(JE244,FIND("|",JE244)+1,FIND("-",JE244,FIND("|",JE244))-FIND("|",JE244)-1))-VALUE(MID(JE244,FIND("-",JE244,FIND("|",JE244))+1,10)))))*$D$50),$D$34*(1-(IF($L$244=0,ABS($N$244-VALUE(MID(JE244,FIND("|",JE244)+1,FIND("-",JE244,FIND("|",JE244))-FIND("|",JE244)-1))),ABS($P$244-(VALUE(MID(JE244,FIND("|",JE244)+1,FIND("-",JE244,FIND("|",JE244))-FIND("|",JE244)-1))-VALUE(MID(JE244,FIND("-",JE244,FIND("|",JE244))+1,10)))))*$D$50)))))*$I$244,0),0),0)
+IFERROR(IF(LEFT(JE244,FIND("·",JE244)-1)=$C$244,IF($D$244=IFERROR(VALUE(MID(JE244,FIND("·",JE244)+1,1)),0),($D$33+($E$244=MID(JE244,FIND("|",JE244)+1,10))*$D$35+MAX(0,IF($D$50=1,$D$34*(1-(ABS($Q$244-(VALUE(MID(JE244,FIND("|",JE244)+1,FIND("-",JE244,FIND("|",JE244))-FIND("|",JE244)-1))-VALUE(MID(JE244,FIND("-",JE244,FIND("|",JE244))+1,10)))))*$D$50),$D$34*(1-(IF($D$244=0,ABS($A$244-VALUE(MID(JE244,FIND("|",JE244)+1,FIND("-",JE244,FIND("|",JE244))-FIND("|",JE244)-1))),ABS($Q$244-(VALUE(MID(JE244,FIND("|",JE244)+1,FIND("-",JE244,FIND("|",JE244))-FIND("|",JE244)-1))-VALUE(MID(JE244,FIND("-",JE244,FIND("|",JE244))+1,10)))))*$D$50)))))*$I$244,0),0),0)</f>
        <v>0</v>
      </c>
      <c r="JG244" s="110"/>
      <c r="JH244" s="66" t="str">
        <f>Idiomas!$D$371</f>
        <v>Paste Values 3rd-4th place &amp; Final</v>
      </c>
      <c r="JI244" s="85">
        <f t="shared" ref="JI244" ca="1" si="3827">IFERROR(IF(LEFT(JH244,FIND("·",JH244)-1)=$K$244,IF($L$244=IFERROR(VALUE(MID(JH244,FIND("·",JH244)+1,1)),0),($D$33+($M$244=MID(JH244,FIND("|",JH244)+1,10))*$D$35+MAX(0,IF($D$50=1,$D$34*(1-(ABS($P$244-(VALUE(MID(JH244,FIND("|",JH244)+1,FIND("-",JH244,FIND("|",JH244))-FIND("|",JH244)-1))-VALUE(MID(JH244,FIND("-",JH244,FIND("|",JH244))+1,10)))))*$D$50),$D$34*(1-(IF($L$244=0,ABS($N$244-VALUE(MID(JH244,FIND("|",JH244)+1,FIND("-",JH244,FIND("|",JH244))-FIND("|",JH244)-1))),ABS($P$244-(VALUE(MID(JH244,FIND("|",JH244)+1,FIND("-",JH244,FIND("|",JH244))-FIND("|",JH244)-1))-VALUE(MID(JH244,FIND("-",JH244,FIND("|",JH244))+1,10)))))*$D$50)))))*$I$244,0),0),0)
+IFERROR(IF(LEFT(JH244,FIND("·",JH244)-1)=$C$244,IF($D$244=IFERROR(VALUE(MID(JH244,FIND("·",JH244)+1,1)),0),($D$33+($E$244=MID(JH244,FIND("|",JH244)+1,10))*$D$35+MAX(0,IF($D$50=1,$D$34*(1-(ABS($Q$244-(VALUE(MID(JH244,FIND("|",JH244)+1,FIND("-",JH244,FIND("|",JH244))-FIND("|",JH244)-1))-VALUE(MID(JH244,FIND("-",JH244,FIND("|",JH244))+1,10)))))*$D$50),$D$34*(1-(IF($D$244=0,ABS($A$244-VALUE(MID(JH244,FIND("|",JH244)+1,FIND("-",JH244,FIND("|",JH244))-FIND("|",JH244)-1))),ABS($Q$244-(VALUE(MID(JH244,FIND("|",JH244)+1,FIND("-",JH244,FIND("|",JH244))-FIND("|",JH244)-1))-VALUE(MID(JH244,FIND("-",JH244,FIND("|",JH244))+1,10)))))*$D$50)))))*$I$244,0),0),0)</f>
        <v>0</v>
      </c>
      <c r="JJ244" s="110"/>
      <c r="JK244" s="66" t="str">
        <f>Idiomas!$D$371</f>
        <v>Paste Values 3rd-4th place &amp; Final</v>
      </c>
      <c r="JL244" s="85">
        <f t="shared" ref="JL244" ca="1" si="3828">IFERROR(IF(LEFT(JK244,FIND("·",JK244)-1)=$K$244,IF($L$244=IFERROR(VALUE(MID(JK244,FIND("·",JK244)+1,1)),0),($D$33+($M$244=MID(JK244,FIND("|",JK244)+1,10))*$D$35+MAX(0,IF($D$50=1,$D$34*(1-(ABS($P$244-(VALUE(MID(JK244,FIND("|",JK244)+1,FIND("-",JK244,FIND("|",JK244))-FIND("|",JK244)-1))-VALUE(MID(JK244,FIND("-",JK244,FIND("|",JK244))+1,10)))))*$D$50),$D$34*(1-(IF($L$244=0,ABS($N$244-VALUE(MID(JK244,FIND("|",JK244)+1,FIND("-",JK244,FIND("|",JK244))-FIND("|",JK244)-1))),ABS($P$244-(VALUE(MID(JK244,FIND("|",JK244)+1,FIND("-",JK244,FIND("|",JK244))-FIND("|",JK244)-1))-VALUE(MID(JK244,FIND("-",JK244,FIND("|",JK244))+1,10)))))*$D$50)))))*$I$244,0),0),0)
+IFERROR(IF(LEFT(JK244,FIND("·",JK244)-1)=$C$244,IF($D$244=IFERROR(VALUE(MID(JK244,FIND("·",JK244)+1,1)),0),($D$33+($E$244=MID(JK244,FIND("|",JK244)+1,10))*$D$35+MAX(0,IF($D$50=1,$D$34*(1-(ABS($Q$244-(VALUE(MID(JK244,FIND("|",JK244)+1,FIND("-",JK244,FIND("|",JK244))-FIND("|",JK244)-1))-VALUE(MID(JK244,FIND("-",JK244,FIND("|",JK244))+1,10)))))*$D$50),$D$34*(1-(IF($D$244=0,ABS($A$244-VALUE(MID(JK244,FIND("|",JK244)+1,FIND("-",JK244,FIND("|",JK244))-FIND("|",JK244)-1))),ABS($Q$244-(VALUE(MID(JK244,FIND("|",JK244)+1,FIND("-",JK244,FIND("|",JK244))-FIND("|",JK244)-1))-VALUE(MID(JK244,FIND("-",JK244,FIND("|",JK244))+1,10)))))*$D$50)))))*$I$244,0),0),0)</f>
        <v>0</v>
      </c>
      <c r="JM244" s="110"/>
      <c r="JN244" s="66" t="str">
        <f>Idiomas!$D$371</f>
        <v>Paste Values 3rd-4th place &amp; Final</v>
      </c>
      <c r="JO244" s="85">
        <f t="shared" ref="JO244" ca="1" si="3829">IFERROR(IF(LEFT(JN244,FIND("·",JN244)-1)=$K$244,IF($L$244=IFERROR(VALUE(MID(JN244,FIND("·",JN244)+1,1)),0),($D$33+($M$244=MID(JN244,FIND("|",JN244)+1,10))*$D$35+MAX(0,IF($D$50=1,$D$34*(1-(ABS($P$244-(VALUE(MID(JN244,FIND("|",JN244)+1,FIND("-",JN244,FIND("|",JN244))-FIND("|",JN244)-1))-VALUE(MID(JN244,FIND("-",JN244,FIND("|",JN244))+1,10)))))*$D$50),$D$34*(1-(IF($L$244=0,ABS($N$244-VALUE(MID(JN244,FIND("|",JN244)+1,FIND("-",JN244,FIND("|",JN244))-FIND("|",JN244)-1))),ABS($P$244-(VALUE(MID(JN244,FIND("|",JN244)+1,FIND("-",JN244,FIND("|",JN244))-FIND("|",JN244)-1))-VALUE(MID(JN244,FIND("-",JN244,FIND("|",JN244))+1,10)))))*$D$50)))))*$I$244,0),0),0)
+IFERROR(IF(LEFT(JN244,FIND("·",JN244)-1)=$C$244,IF($D$244=IFERROR(VALUE(MID(JN244,FIND("·",JN244)+1,1)),0),($D$33+($E$244=MID(JN244,FIND("|",JN244)+1,10))*$D$35+MAX(0,IF($D$50=1,$D$34*(1-(ABS($Q$244-(VALUE(MID(JN244,FIND("|",JN244)+1,FIND("-",JN244,FIND("|",JN244))-FIND("|",JN244)-1))-VALUE(MID(JN244,FIND("-",JN244,FIND("|",JN244))+1,10)))))*$D$50),$D$34*(1-(IF($D$244=0,ABS($A$244-VALUE(MID(JN244,FIND("|",JN244)+1,FIND("-",JN244,FIND("|",JN244))-FIND("|",JN244)-1))),ABS($Q$244-(VALUE(MID(JN244,FIND("|",JN244)+1,FIND("-",JN244,FIND("|",JN244))-FIND("|",JN244)-1))-VALUE(MID(JN244,FIND("-",JN244,FIND("|",JN244))+1,10)))))*$D$50)))))*$I$244,0),0),0)</f>
        <v>0</v>
      </c>
      <c r="JP244" s="110"/>
      <c r="JQ244" s="66" t="str">
        <f>Idiomas!$D$371</f>
        <v>Paste Values 3rd-4th place &amp; Final</v>
      </c>
      <c r="JR244" s="85">
        <f t="shared" ref="JR244" ca="1" si="3830">IFERROR(IF(LEFT(JQ244,FIND("·",JQ244)-1)=$K$244,IF($L$244=IFERROR(VALUE(MID(JQ244,FIND("·",JQ244)+1,1)),0),($D$33+($M$244=MID(JQ244,FIND("|",JQ244)+1,10))*$D$35+MAX(0,IF($D$50=1,$D$34*(1-(ABS($P$244-(VALUE(MID(JQ244,FIND("|",JQ244)+1,FIND("-",JQ244,FIND("|",JQ244))-FIND("|",JQ244)-1))-VALUE(MID(JQ244,FIND("-",JQ244,FIND("|",JQ244))+1,10)))))*$D$50),$D$34*(1-(IF($L$244=0,ABS($N$244-VALUE(MID(JQ244,FIND("|",JQ244)+1,FIND("-",JQ244,FIND("|",JQ244))-FIND("|",JQ244)-1))),ABS($P$244-(VALUE(MID(JQ244,FIND("|",JQ244)+1,FIND("-",JQ244,FIND("|",JQ244))-FIND("|",JQ244)-1))-VALUE(MID(JQ244,FIND("-",JQ244,FIND("|",JQ244))+1,10)))))*$D$50)))))*$I$244,0),0),0)
+IFERROR(IF(LEFT(JQ244,FIND("·",JQ244)-1)=$C$244,IF($D$244=IFERROR(VALUE(MID(JQ244,FIND("·",JQ244)+1,1)),0),($D$33+($E$244=MID(JQ244,FIND("|",JQ244)+1,10))*$D$35+MAX(0,IF($D$50=1,$D$34*(1-(ABS($Q$244-(VALUE(MID(JQ244,FIND("|",JQ244)+1,FIND("-",JQ244,FIND("|",JQ244))-FIND("|",JQ244)-1))-VALUE(MID(JQ244,FIND("-",JQ244,FIND("|",JQ244))+1,10)))))*$D$50),$D$34*(1-(IF($D$244=0,ABS($A$244-VALUE(MID(JQ244,FIND("|",JQ244)+1,FIND("-",JQ244,FIND("|",JQ244))-FIND("|",JQ244)-1))),ABS($Q$244-(VALUE(MID(JQ244,FIND("|",JQ244)+1,FIND("-",JQ244,FIND("|",JQ244))-FIND("|",JQ244)-1))-VALUE(MID(JQ244,FIND("-",JQ244,FIND("|",JQ244))+1,10)))))*$D$50)))))*$I$244,0),0),0)</f>
        <v>0</v>
      </c>
      <c r="JS244" s="110"/>
      <c r="JT244" s="66" t="str">
        <f>Idiomas!$D$371</f>
        <v>Paste Values 3rd-4th place &amp; Final</v>
      </c>
      <c r="JU244" s="85">
        <f t="shared" ref="JU244" ca="1" si="3831">IFERROR(IF(LEFT(JT244,FIND("·",JT244)-1)=$K$244,IF($L$244=IFERROR(VALUE(MID(JT244,FIND("·",JT244)+1,1)),0),($D$33+($M$244=MID(JT244,FIND("|",JT244)+1,10))*$D$35+MAX(0,IF($D$50=1,$D$34*(1-(ABS($P$244-(VALUE(MID(JT244,FIND("|",JT244)+1,FIND("-",JT244,FIND("|",JT244))-FIND("|",JT244)-1))-VALUE(MID(JT244,FIND("-",JT244,FIND("|",JT244))+1,10)))))*$D$50),$D$34*(1-(IF($L$244=0,ABS($N$244-VALUE(MID(JT244,FIND("|",JT244)+1,FIND("-",JT244,FIND("|",JT244))-FIND("|",JT244)-1))),ABS($P$244-(VALUE(MID(JT244,FIND("|",JT244)+1,FIND("-",JT244,FIND("|",JT244))-FIND("|",JT244)-1))-VALUE(MID(JT244,FIND("-",JT244,FIND("|",JT244))+1,10)))))*$D$50)))))*$I$244,0),0),0)
+IFERROR(IF(LEFT(JT244,FIND("·",JT244)-1)=$C$244,IF($D$244=IFERROR(VALUE(MID(JT244,FIND("·",JT244)+1,1)),0),($D$33+($E$244=MID(JT244,FIND("|",JT244)+1,10))*$D$35+MAX(0,IF($D$50=1,$D$34*(1-(ABS($Q$244-(VALUE(MID(JT244,FIND("|",JT244)+1,FIND("-",JT244,FIND("|",JT244))-FIND("|",JT244)-1))-VALUE(MID(JT244,FIND("-",JT244,FIND("|",JT244))+1,10)))))*$D$50),$D$34*(1-(IF($D$244=0,ABS($A$244-VALUE(MID(JT244,FIND("|",JT244)+1,FIND("-",JT244,FIND("|",JT244))-FIND("|",JT244)-1))),ABS($Q$244-(VALUE(MID(JT244,FIND("|",JT244)+1,FIND("-",JT244,FIND("|",JT244))-FIND("|",JT244)-1))-VALUE(MID(JT244,FIND("-",JT244,FIND("|",JT244))+1,10)))))*$D$50)))))*$I$244,0),0),0)</f>
        <v>0</v>
      </c>
      <c r="JV244" s="110"/>
      <c r="JW244" s="66" t="str">
        <f>Idiomas!$D$371</f>
        <v>Paste Values 3rd-4th place &amp; Final</v>
      </c>
      <c r="JX244" s="85">
        <f t="shared" ref="JX244" ca="1" si="3832">IFERROR(IF(LEFT(JW244,FIND("·",JW244)-1)=$K$244,IF($L$244=IFERROR(VALUE(MID(JW244,FIND("·",JW244)+1,1)),0),($D$33+($M$244=MID(JW244,FIND("|",JW244)+1,10))*$D$35+MAX(0,IF($D$50=1,$D$34*(1-(ABS($P$244-(VALUE(MID(JW244,FIND("|",JW244)+1,FIND("-",JW244,FIND("|",JW244))-FIND("|",JW244)-1))-VALUE(MID(JW244,FIND("-",JW244,FIND("|",JW244))+1,10)))))*$D$50),$D$34*(1-(IF($L$244=0,ABS($N$244-VALUE(MID(JW244,FIND("|",JW244)+1,FIND("-",JW244,FIND("|",JW244))-FIND("|",JW244)-1))),ABS($P$244-(VALUE(MID(JW244,FIND("|",JW244)+1,FIND("-",JW244,FIND("|",JW244))-FIND("|",JW244)-1))-VALUE(MID(JW244,FIND("-",JW244,FIND("|",JW244))+1,10)))))*$D$50)))))*$I$244,0),0),0)
+IFERROR(IF(LEFT(JW244,FIND("·",JW244)-1)=$C$244,IF($D$244=IFERROR(VALUE(MID(JW244,FIND("·",JW244)+1,1)),0),($D$33+($E$244=MID(JW244,FIND("|",JW244)+1,10))*$D$35+MAX(0,IF($D$50=1,$D$34*(1-(ABS($Q$244-(VALUE(MID(JW244,FIND("|",JW244)+1,FIND("-",JW244,FIND("|",JW244))-FIND("|",JW244)-1))-VALUE(MID(JW244,FIND("-",JW244,FIND("|",JW244))+1,10)))))*$D$50),$D$34*(1-(IF($D$244=0,ABS($A$244-VALUE(MID(JW244,FIND("|",JW244)+1,FIND("-",JW244,FIND("|",JW244))-FIND("|",JW244)-1))),ABS($Q$244-(VALUE(MID(JW244,FIND("|",JW244)+1,FIND("-",JW244,FIND("|",JW244))-FIND("|",JW244)-1))-VALUE(MID(JW244,FIND("-",JW244,FIND("|",JW244))+1,10)))))*$D$50)))))*$I$244,0),0),0)</f>
        <v>0</v>
      </c>
      <c r="JY244" s="110"/>
      <c r="JZ244" s="66" t="str">
        <f>Idiomas!$D$371</f>
        <v>Paste Values 3rd-4th place &amp; Final</v>
      </c>
      <c r="KA244" s="85">
        <f t="shared" ref="KA244" ca="1" si="3833">IFERROR(IF(LEFT(JZ244,FIND("·",JZ244)-1)=$K$244,IF($L$244=IFERROR(VALUE(MID(JZ244,FIND("·",JZ244)+1,1)),0),($D$33+($M$244=MID(JZ244,FIND("|",JZ244)+1,10))*$D$35+MAX(0,IF($D$50=1,$D$34*(1-(ABS($P$244-(VALUE(MID(JZ244,FIND("|",JZ244)+1,FIND("-",JZ244,FIND("|",JZ244))-FIND("|",JZ244)-1))-VALUE(MID(JZ244,FIND("-",JZ244,FIND("|",JZ244))+1,10)))))*$D$50),$D$34*(1-(IF($L$244=0,ABS($N$244-VALUE(MID(JZ244,FIND("|",JZ244)+1,FIND("-",JZ244,FIND("|",JZ244))-FIND("|",JZ244)-1))),ABS($P$244-(VALUE(MID(JZ244,FIND("|",JZ244)+1,FIND("-",JZ244,FIND("|",JZ244))-FIND("|",JZ244)-1))-VALUE(MID(JZ244,FIND("-",JZ244,FIND("|",JZ244))+1,10)))))*$D$50)))))*$I$244,0),0),0)
+IFERROR(IF(LEFT(JZ244,FIND("·",JZ244)-1)=$C$244,IF($D$244=IFERROR(VALUE(MID(JZ244,FIND("·",JZ244)+1,1)),0),($D$33+($E$244=MID(JZ244,FIND("|",JZ244)+1,10))*$D$35+MAX(0,IF($D$50=1,$D$34*(1-(ABS($Q$244-(VALUE(MID(JZ244,FIND("|",JZ244)+1,FIND("-",JZ244,FIND("|",JZ244))-FIND("|",JZ244)-1))-VALUE(MID(JZ244,FIND("-",JZ244,FIND("|",JZ244))+1,10)))))*$D$50),$D$34*(1-(IF($D$244=0,ABS($A$244-VALUE(MID(JZ244,FIND("|",JZ244)+1,FIND("-",JZ244,FIND("|",JZ244))-FIND("|",JZ244)-1))),ABS($Q$244-(VALUE(MID(JZ244,FIND("|",JZ244)+1,FIND("-",JZ244,FIND("|",JZ244))-FIND("|",JZ244)-1))-VALUE(MID(JZ244,FIND("-",JZ244,FIND("|",JZ244))+1,10)))))*$D$50)))))*$I$244,0),0),0)</f>
        <v>0</v>
      </c>
      <c r="KB244" s="110"/>
      <c r="KC244" s="66" t="str">
        <f>Idiomas!$D$371</f>
        <v>Paste Values 3rd-4th place &amp; Final</v>
      </c>
      <c r="KD244" s="85">
        <f t="shared" ref="KD244" ca="1" si="3834">IFERROR(IF(LEFT(KC244,FIND("·",KC244)-1)=$K$244,IF($L$244=IFERROR(VALUE(MID(KC244,FIND("·",KC244)+1,1)),0),($D$33+($M$244=MID(KC244,FIND("|",KC244)+1,10))*$D$35+MAX(0,IF($D$50=1,$D$34*(1-(ABS($P$244-(VALUE(MID(KC244,FIND("|",KC244)+1,FIND("-",KC244,FIND("|",KC244))-FIND("|",KC244)-1))-VALUE(MID(KC244,FIND("-",KC244,FIND("|",KC244))+1,10)))))*$D$50),$D$34*(1-(IF($L$244=0,ABS($N$244-VALUE(MID(KC244,FIND("|",KC244)+1,FIND("-",KC244,FIND("|",KC244))-FIND("|",KC244)-1))),ABS($P$244-(VALUE(MID(KC244,FIND("|",KC244)+1,FIND("-",KC244,FIND("|",KC244))-FIND("|",KC244)-1))-VALUE(MID(KC244,FIND("-",KC244,FIND("|",KC244))+1,10)))))*$D$50)))))*$I$244,0),0),0)
+IFERROR(IF(LEFT(KC244,FIND("·",KC244)-1)=$C$244,IF($D$244=IFERROR(VALUE(MID(KC244,FIND("·",KC244)+1,1)),0),($D$33+($E$244=MID(KC244,FIND("|",KC244)+1,10))*$D$35+MAX(0,IF($D$50=1,$D$34*(1-(ABS($Q$244-(VALUE(MID(KC244,FIND("|",KC244)+1,FIND("-",KC244,FIND("|",KC244))-FIND("|",KC244)-1))-VALUE(MID(KC244,FIND("-",KC244,FIND("|",KC244))+1,10)))))*$D$50),$D$34*(1-(IF($D$244=0,ABS($A$244-VALUE(MID(KC244,FIND("|",KC244)+1,FIND("-",KC244,FIND("|",KC244))-FIND("|",KC244)-1))),ABS($Q$244-(VALUE(MID(KC244,FIND("|",KC244)+1,FIND("-",KC244,FIND("|",KC244))-FIND("|",KC244)-1))-VALUE(MID(KC244,FIND("-",KC244,FIND("|",KC244))+1,10)))))*$D$50)))))*$I$244,0),0),0)</f>
        <v>0</v>
      </c>
      <c r="KE244" s="110"/>
      <c r="KF244" s="66" t="str">
        <f>Idiomas!$D$371</f>
        <v>Paste Values 3rd-4th place &amp; Final</v>
      </c>
      <c r="KG244" s="85">
        <f t="shared" ref="KG244" ca="1" si="3835">IFERROR(IF(LEFT(KF244,FIND("·",KF244)-1)=$K$244,IF($L$244=IFERROR(VALUE(MID(KF244,FIND("·",KF244)+1,1)),0),($D$33+($M$244=MID(KF244,FIND("|",KF244)+1,10))*$D$35+MAX(0,IF($D$50=1,$D$34*(1-(ABS($P$244-(VALUE(MID(KF244,FIND("|",KF244)+1,FIND("-",KF244,FIND("|",KF244))-FIND("|",KF244)-1))-VALUE(MID(KF244,FIND("-",KF244,FIND("|",KF244))+1,10)))))*$D$50),$D$34*(1-(IF($L$244=0,ABS($N$244-VALUE(MID(KF244,FIND("|",KF244)+1,FIND("-",KF244,FIND("|",KF244))-FIND("|",KF244)-1))),ABS($P$244-(VALUE(MID(KF244,FIND("|",KF244)+1,FIND("-",KF244,FIND("|",KF244))-FIND("|",KF244)-1))-VALUE(MID(KF244,FIND("-",KF244,FIND("|",KF244))+1,10)))))*$D$50)))))*$I$244,0),0),0)
+IFERROR(IF(LEFT(KF244,FIND("·",KF244)-1)=$C$244,IF($D$244=IFERROR(VALUE(MID(KF244,FIND("·",KF244)+1,1)),0),($D$33+($E$244=MID(KF244,FIND("|",KF244)+1,10))*$D$35+MAX(0,IF($D$50=1,$D$34*(1-(ABS($Q$244-(VALUE(MID(KF244,FIND("|",KF244)+1,FIND("-",KF244,FIND("|",KF244))-FIND("|",KF244)-1))-VALUE(MID(KF244,FIND("-",KF244,FIND("|",KF244))+1,10)))))*$D$50),$D$34*(1-(IF($D$244=0,ABS($A$244-VALUE(MID(KF244,FIND("|",KF244)+1,FIND("-",KF244,FIND("|",KF244))-FIND("|",KF244)-1))),ABS($Q$244-(VALUE(MID(KF244,FIND("|",KF244)+1,FIND("-",KF244,FIND("|",KF244))-FIND("|",KF244)-1))-VALUE(MID(KF244,FIND("-",KF244,FIND("|",KF244))+1,10)))))*$D$50)))))*$I$244,0),0),0)</f>
        <v>0</v>
      </c>
      <c r="KH244" s="110"/>
      <c r="KI244" s="66" t="str">
        <f>Idiomas!$D$371</f>
        <v>Paste Values 3rd-4th place &amp; Final</v>
      </c>
      <c r="KJ244" s="85">
        <f t="shared" ref="KJ244" ca="1" si="3836">IFERROR(IF(LEFT(KI244,FIND("·",KI244)-1)=$K$244,IF($L$244=IFERROR(VALUE(MID(KI244,FIND("·",KI244)+1,1)),0),($D$33+($M$244=MID(KI244,FIND("|",KI244)+1,10))*$D$35+MAX(0,IF($D$50=1,$D$34*(1-(ABS($P$244-(VALUE(MID(KI244,FIND("|",KI244)+1,FIND("-",KI244,FIND("|",KI244))-FIND("|",KI244)-1))-VALUE(MID(KI244,FIND("-",KI244,FIND("|",KI244))+1,10)))))*$D$50),$D$34*(1-(IF($L$244=0,ABS($N$244-VALUE(MID(KI244,FIND("|",KI244)+1,FIND("-",KI244,FIND("|",KI244))-FIND("|",KI244)-1))),ABS($P$244-(VALUE(MID(KI244,FIND("|",KI244)+1,FIND("-",KI244,FIND("|",KI244))-FIND("|",KI244)-1))-VALUE(MID(KI244,FIND("-",KI244,FIND("|",KI244))+1,10)))))*$D$50)))))*$I$244,0),0),0)
+IFERROR(IF(LEFT(KI244,FIND("·",KI244)-1)=$C$244,IF($D$244=IFERROR(VALUE(MID(KI244,FIND("·",KI244)+1,1)),0),($D$33+($E$244=MID(KI244,FIND("|",KI244)+1,10))*$D$35+MAX(0,IF($D$50=1,$D$34*(1-(ABS($Q$244-(VALUE(MID(KI244,FIND("|",KI244)+1,FIND("-",KI244,FIND("|",KI244))-FIND("|",KI244)-1))-VALUE(MID(KI244,FIND("-",KI244,FIND("|",KI244))+1,10)))))*$D$50),$D$34*(1-(IF($D$244=0,ABS($A$244-VALUE(MID(KI244,FIND("|",KI244)+1,FIND("-",KI244,FIND("|",KI244))-FIND("|",KI244)-1))),ABS($Q$244-(VALUE(MID(KI244,FIND("|",KI244)+1,FIND("-",KI244,FIND("|",KI244))-FIND("|",KI244)-1))-VALUE(MID(KI244,FIND("-",KI244,FIND("|",KI244))+1,10)))))*$D$50)))))*$I$244,0),0),0)</f>
        <v>0</v>
      </c>
      <c r="KK244" s="110"/>
      <c r="KL244" s="66" t="str">
        <f>Idiomas!$D$371</f>
        <v>Paste Values 3rd-4th place &amp; Final</v>
      </c>
      <c r="KM244" s="85">
        <f t="shared" ref="KM244" ca="1" si="3837">IFERROR(IF(LEFT(KL244,FIND("·",KL244)-1)=$K$244,IF($L$244=IFERROR(VALUE(MID(KL244,FIND("·",KL244)+1,1)),0),($D$33+($M$244=MID(KL244,FIND("|",KL244)+1,10))*$D$35+MAX(0,IF($D$50=1,$D$34*(1-(ABS($P$244-(VALUE(MID(KL244,FIND("|",KL244)+1,FIND("-",KL244,FIND("|",KL244))-FIND("|",KL244)-1))-VALUE(MID(KL244,FIND("-",KL244,FIND("|",KL244))+1,10)))))*$D$50),$D$34*(1-(IF($L$244=0,ABS($N$244-VALUE(MID(KL244,FIND("|",KL244)+1,FIND("-",KL244,FIND("|",KL244))-FIND("|",KL244)-1))),ABS($P$244-(VALUE(MID(KL244,FIND("|",KL244)+1,FIND("-",KL244,FIND("|",KL244))-FIND("|",KL244)-1))-VALUE(MID(KL244,FIND("-",KL244,FIND("|",KL244))+1,10)))))*$D$50)))))*$I$244,0),0),0)
+IFERROR(IF(LEFT(KL244,FIND("·",KL244)-1)=$C$244,IF($D$244=IFERROR(VALUE(MID(KL244,FIND("·",KL244)+1,1)),0),($D$33+($E$244=MID(KL244,FIND("|",KL244)+1,10))*$D$35+MAX(0,IF($D$50=1,$D$34*(1-(ABS($Q$244-(VALUE(MID(KL244,FIND("|",KL244)+1,FIND("-",KL244,FIND("|",KL244))-FIND("|",KL244)-1))-VALUE(MID(KL244,FIND("-",KL244,FIND("|",KL244))+1,10)))))*$D$50),$D$34*(1-(IF($D$244=0,ABS($A$244-VALUE(MID(KL244,FIND("|",KL244)+1,FIND("-",KL244,FIND("|",KL244))-FIND("|",KL244)-1))),ABS($Q$244-(VALUE(MID(KL244,FIND("|",KL244)+1,FIND("-",KL244,FIND("|",KL244))-FIND("|",KL244)-1))-VALUE(MID(KL244,FIND("-",KL244,FIND("|",KL244))+1,10)))))*$D$50)))))*$I$244,0),0),0)</f>
        <v>0</v>
      </c>
      <c r="KN244" s="110"/>
      <c r="KO244" s="66" t="str">
        <f>Idiomas!$D$371</f>
        <v>Paste Values 3rd-4th place &amp; Final</v>
      </c>
      <c r="KP244" s="85">
        <f t="shared" ref="KP244" ca="1" si="3838">IFERROR(IF(LEFT(KO244,FIND("·",KO244)-1)=$K$244,IF($L$244=IFERROR(VALUE(MID(KO244,FIND("·",KO244)+1,1)),0),($D$33+($M$244=MID(KO244,FIND("|",KO244)+1,10))*$D$35+MAX(0,IF($D$50=1,$D$34*(1-(ABS($P$244-(VALUE(MID(KO244,FIND("|",KO244)+1,FIND("-",KO244,FIND("|",KO244))-FIND("|",KO244)-1))-VALUE(MID(KO244,FIND("-",KO244,FIND("|",KO244))+1,10)))))*$D$50),$D$34*(1-(IF($L$244=0,ABS($N$244-VALUE(MID(KO244,FIND("|",KO244)+1,FIND("-",KO244,FIND("|",KO244))-FIND("|",KO244)-1))),ABS($P$244-(VALUE(MID(KO244,FIND("|",KO244)+1,FIND("-",KO244,FIND("|",KO244))-FIND("|",KO244)-1))-VALUE(MID(KO244,FIND("-",KO244,FIND("|",KO244))+1,10)))))*$D$50)))))*$I$244,0),0),0)
+IFERROR(IF(LEFT(KO244,FIND("·",KO244)-1)=$C$244,IF($D$244=IFERROR(VALUE(MID(KO244,FIND("·",KO244)+1,1)),0),($D$33+($E$244=MID(KO244,FIND("|",KO244)+1,10))*$D$35+MAX(0,IF($D$50=1,$D$34*(1-(ABS($Q$244-(VALUE(MID(KO244,FIND("|",KO244)+1,FIND("-",KO244,FIND("|",KO244))-FIND("|",KO244)-1))-VALUE(MID(KO244,FIND("-",KO244,FIND("|",KO244))+1,10)))))*$D$50),$D$34*(1-(IF($D$244=0,ABS($A$244-VALUE(MID(KO244,FIND("|",KO244)+1,FIND("-",KO244,FIND("|",KO244))-FIND("|",KO244)-1))),ABS($Q$244-(VALUE(MID(KO244,FIND("|",KO244)+1,FIND("-",KO244,FIND("|",KO244))-FIND("|",KO244)-1))-VALUE(MID(KO244,FIND("-",KO244,FIND("|",KO244))+1,10)))))*$D$50)))))*$I$244,0),0),0)</f>
        <v>0</v>
      </c>
      <c r="KQ244" s="110"/>
      <c r="KR244" s="66" t="str">
        <f>Idiomas!$D$371</f>
        <v>Paste Values 3rd-4th place &amp; Final</v>
      </c>
      <c r="KS244" s="85">
        <f t="shared" ref="KS244" ca="1" si="3839">IFERROR(IF(LEFT(KR244,FIND("·",KR244)-1)=$K$244,IF($L$244=IFERROR(VALUE(MID(KR244,FIND("·",KR244)+1,1)),0),($D$33+($M$244=MID(KR244,FIND("|",KR244)+1,10))*$D$35+MAX(0,IF($D$50=1,$D$34*(1-(ABS($P$244-(VALUE(MID(KR244,FIND("|",KR244)+1,FIND("-",KR244,FIND("|",KR244))-FIND("|",KR244)-1))-VALUE(MID(KR244,FIND("-",KR244,FIND("|",KR244))+1,10)))))*$D$50),$D$34*(1-(IF($L$244=0,ABS($N$244-VALUE(MID(KR244,FIND("|",KR244)+1,FIND("-",KR244,FIND("|",KR244))-FIND("|",KR244)-1))),ABS($P$244-(VALUE(MID(KR244,FIND("|",KR244)+1,FIND("-",KR244,FIND("|",KR244))-FIND("|",KR244)-1))-VALUE(MID(KR244,FIND("-",KR244,FIND("|",KR244))+1,10)))))*$D$50)))))*$I$244,0),0),0)
+IFERROR(IF(LEFT(KR244,FIND("·",KR244)-1)=$C$244,IF($D$244=IFERROR(VALUE(MID(KR244,FIND("·",KR244)+1,1)),0),($D$33+($E$244=MID(KR244,FIND("|",KR244)+1,10))*$D$35+MAX(0,IF($D$50=1,$D$34*(1-(ABS($Q$244-(VALUE(MID(KR244,FIND("|",KR244)+1,FIND("-",KR244,FIND("|",KR244))-FIND("|",KR244)-1))-VALUE(MID(KR244,FIND("-",KR244,FIND("|",KR244))+1,10)))))*$D$50),$D$34*(1-(IF($D$244=0,ABS($A$244-VALUE(MID(KR244,FIND("|",KR244)+1,FIND("-",KR244,FIND("|",KR244))-FIND("|",KR244)-1))),ABS($Q$244-(VALUE(MID(KR244,FIND("|",KR244)+1,FIND("-",KR244,FIND("|",KR244))-FIND("|",KR244)-1))-VALUE(MID(KR244,FIND("-",KR244,FIND("|",KR244))+1,10)))))*$D$50)))))*$I$244,0),0),0)</f>
        <v>0</v>
      </c>
      <c r="KT244" s="110"/>
      <c r="KU244" s="66" t="str">
        <f>Idiomas!$D$371</f>
        <v>Paste Values 3rd-4th place &amp; Final</v>
      </c>
      <c r="KV244" s="85">
        <f t="shared" ref="KV244" ca="1" si="3840">IFERROR(IF(LEFT(KU244,FIND("·",KU244)-1)=$K$244,IF($L$244=IFERROR(VALUE(MID(KU244,FIND("·",KU244)+1,1)),0),($D$33+($M$244=MID(KU244,FIND("|",KU244)+1,10))*$D$35+MAX(0,IF($D$50=1,$D$34*(1-(ABS($P$244-(VALUE(MID(KU244,FIND("|",KU244)+1,FIND("-",KU244,FIND("|",KU244))-FIND("|",KU244)-1))-VALUE(MID(KU244,FIND("-",KU244,FIND("|",KU244))+1,10)))))*$D$50),$D$34*(1-(IF($L$244=0,ABS($N$244-VALUE(MID(KU244,FIND("|",KU244)+1,FIND("-",KU244,FIND("|",KU244))-FIND("|",KU244)-1))),ABS($P$244-(VALUE(MID(KU244,FIND("|",KU244)+1,FIND("-",KU244,FIND("|",KU244))-FIND("|",KU244)-1))-VALUE(MID(KU244,FIND("-",KU244,FIND("|",KU244))+1,10)))))*$D$50)))))*$I$244,0),0),0)
+IFERROR(IF(LEFT(KU244,FIND("·",KU244)-1)=$C$244,IF($D$244=IFERROR(VALUE(MID(KU244,FIND("·",KU244)+1,1)),0),($D$33+($E$244=MID(KU244,FIND("|",KU244)+1,10))*$D$35+MAX(0,IF($D$50=1,$D$34*(1-(ABS($Q$244-(VALUE(MID(KU244,FIND("|",KU244)+1,FIND("-",KU244,FIND("|",KU244))-FIND("|",KU244)-1))-VALUE(MID(KU244,FIND("-",KU244,FIND("|",KU244))+1,10)))))*$D$50),$D$34*(1-(IF($D$244=0,ABS($A$244-VALUE(MID(KU244,FIND("|",KU244)+1,FIND("-",KU244,FIND("|",KU244))-FIND("|",KU244)-1))),ABS($Q$244-(VALUE(MID(KU244,FIND("|",KU244)+1,FIND("-",KU244,FIND("|",KU244))-FIND("|",KU244)-1))-VALUE(MID(KU244,FIND("-",KU244,FIND("|",KU244))+1,10)))))*$D$50)))))*$I$244,0),0),0)</f>
        <v>0</v>
      </c>
      <c r="KW244" s="110"/>
      <c r="KX244" s="66" t="str">
        <f>Idiomas!$D$371</f>
        <v>Paste Values 3rd-4th place &amp; Final</v>
      </c>
      <c r="KY244" s="85">
        <f t="shared" ref="KY244" ca="1" si="3841">IFERROR(IF(LEFT(KX244,FIND("·",KX244)-1)=$K$244,IF($L$244=IFERROR(VALUE(MID(KX244,FIND("·",KX244)+1,1)),0),($D$33+($M$244=MID(KX244,FIND("|",KX244)+1,10))*$D$35+MAX(0,IF($D$50=1,$D$34*(1-(ABS($P$244-(VALUE(MID(KX244,FIND("|",KX244)+1,FIND("-",KX244,FIND("|",KX244))-FIND("|",KX244)-1))-VALUE(MID(KX244,FIND("-",KX244,FIND("|",KX244))+1,10)))))*$D$50),$D$34*(1-(IF($L$244=0,ABS($N$244-VALUE(MID(KX244,FIND("|",KX244)+1,FIND("-",KX244,FIND("|",KX244))-FIND("|",KX244)-1))),ABS($P$244-(VALUE(MID(KX244,FIND("|",KX244)+1,FIND("-",KX244,FIND("|",KX244))-FIND("|",KX244)-1))-VALUE(MID(KX244,FIND("-",KX244,FIND("|",KX244))+1,10)))))*$D$50)))))*$I$244,0),0),0)
+IFERROR(IF(LEFT(KX244,FIND("·",KX244)-1)=$C$244,IF($D$244=IFERROR(VALUE(MID(KX244,FIND("·",KX244)+1,1)),0),($D$33+($E$244=MID(KX244,FIND("|",KX244)+1,10))*$D$35+MAX(0,IF($D$50=1,$D$34*(1-(ABS($Q$244-(VALUE(MID(KX244,FIND("|",KX244)+1,FIND("-",KX244,FIND("|",KX244))-FIND("|",KX244)-1))-VALUE(MID(KX244,FIND("-",KX244,FIND("|",KX244))+1,10)))))*$D$50),$D$34*(1-(IF($D$244=0,ABS($A$244-VALUE(MID(KX244,FIND("|",KX244)+1,FIND("-",KX244,FIND("|",KX244))-FIND("|",KX244)-1))),ABS($Q$244-(VALUE(MID(KX244,FIND("|",KX244)+1,FIND("-",KX244,FIND("|",KX244))-FIND("|",KX244)-1))-VALUE(MID(KX244,FIND("-",KX244,FIND("|",KX244))+1,10)))))*$D$50)))))*$I$244,0),0),0)</f>
        <v>0</v>
      </c>
      <c r="KZ244" s="110"/>
      <c r="LA244" s="66" t="str">
        <f>Idiomas!$D$371</f>
        <v>Paste Values 3rd-4th place &amp; Final</v>
      </c>
      <c r="LB244" s="85">
        <f t="shared" ref="LB244" ca="1" si="3842">IFERROR(IF(LEFT(LA244,FIND("·",LA244)-1)=$K$244,IF($L$244=IFERROR(VALUE(MID(LA244,FIND("·",LA244)+1,1)),0),($D$33+($M$244=MID(LA244,FIND("|",LA244)+1,10))*$D$35+MAX(0,IF($D$50=1,$D$34*(1-(ABS($P$244-(VALUE(MID(LA244,FIND("|",LA244)+1,FIND("-",LA244,FIND("|",LA244))-FIND("|",LA244)-1))-VALUE(MID(LA244,FIND("-",LA244,FIND("|",LA244))+1,10)))))*$D$50),$D$34*(1-(IF($L$244=0,ABS($N$244-VALUE(MID(LA244,FIND("|",LA244)+1,FIND("-",LA244,FIND("|",LA244))-FIND("|",LA244)-1))),ABS($P$244-(VALUE(MID(LA244,FIND("|",LA244)+1,FIND("-",LA244,FIND("|",LA244))-FIND("|",LA244)-1))-VALUE(MID(LA244,FIND("-",LA244,FIND("|",LA244))+1,10)))))*$D$50)))))*$I$244,0),0),0)
+IFERROR(IF(LEFT(LA244,FIND("·",LA244)-1)=$C$244,IF($D$244=IFERROR(VALUE(MID(LA244,FIND("·",LA244)+1,1)),0),($D$33+($E$244=MID(LA244,FIND("|",LA244)+1,10))*$D$35+MAX(0,IF($D$50=1,$D$34*(1-(ABS($Q$244-(VALUE(MID(LA244,FIND("|",LA244)+1,FIND("-",LA244,FIND("|",LA244))-FIND("|",LA244)-1))-VALUE(MID(LA244,FIND("-",LA244,FIND("|",LA244))+1,10)))))*$D$50),$D$34*(1-(IF($D$244=0,ABS($A$244-VALUE(MID(LA244,FIND("|",LA244)+1,FIND("-",LA244,FIND("|",LA244))-FIND("|",LA244)-1))),ABS($Q$244-(VALUE(MID(LA244,FIND("|",LA244)+1,FIND("-",LA244,FIND("|",LA244))-FIND("|",LA244)-1))-VALUE(MID(LA244,FIND("-",LA244,FIND("|",LA244))+1,10)))))*$D$50)))))*$I$244,0),0),0)</f>
        <v>0</v>
      </c>
      <c r="LC244" s="110"/>
      <c r="LD244" s="66" t="str">
        <f>Idiomas!$D$371</f>
        <v>Paste Values 3rd-4th place &amp; Final</v>
      </c>
      <c r="LE244" s="85">
        <f t="shared" ref="LE244" ca="1" si="3843">IFERROR(IF(LEFT(LD244,FIND("·",LD244)-1)=$K$244,IF($L$244=IFERROR(VALUE(MID(LD244,FIND("·",LD244)+1,1)),0),($D$33+($M$244=MID(LD244,FIND("|",LD244)+1,10))*$D$35+MAX(0,IF($D$50=1,$D$34*(1-(ABS($P$244-(VALUE(MID(LD244,FIND("|",LD244)+1,FIND("-",LD244,FIND("|",LD244))-FIND("|",LD244)-1))-VALUE(MID(LD244,FIND("-",LD244,FIND("|",LD244))+1,10)))))*$D$50),$D$34*(1-(IF($L$244=0,ABS($N$244-VALUE(MID(LD244,FIND("|",LD244)+1,FIND("-",LD244,FIND("|",LD244))-FIND("|",LD244)-1))),ABS($P$244-(VALUE(MID(LD244,FIND("|",LD244)+1,FIND("-",LD244,FIND("|",LD244))-FIND("|",LD244)-1))-VALUE(MID(LD244,FIND("-",LD244,FIND("|",LD244))+1,10)))))*$D$50)))))*$I$244,0),0),0)
+IFERROR(IF(LEFT(LD244,FIND("·",LD244)-1)=$C$244,IF($D$244=IFERROR(VALUE(MID(LD244,FIND("·",LD244)+1,1)),0),($D$33+($E$244=MID(LD244,FIND("|",LD244)+1,10))*$D$35+MAX(0,IF($D$50=1,$D$34*(1-(ABS($Q$244-(VALUE(MID(LD244,FIND("|",LD244)+1,FIND("-",LD244,FIND("|",LD244))-FIND("|",LD244)-1))-VALUE(MID(LD244,FIND("-",LD244,FIND("|",LD244))+1,10)))))*$D$50),$D$34*(1-(IF($D$244=0,ABS($A$244-VALUE(MID(LD244,FIND("|",LD244)+1,FIND("-",LD244,FIND("|",LD244))-FIND("|",LD244)-1))),ABS($Q$244-(VALUE(MID(LD244,FIND("|",LD244)+1,FIND("-",LD244,FIND("|",LD244))-FIND("|",LD244)-1))-VALUE(MID(LD244,FIND("-",LD244,FIND("|",LD244))+1,10)))))*$D$50)))))*$I$244,0),0),0)</f>
        <v>0</v>
      </c>
      <c r="LF244" s="110"/>
      <c r="LG244" s="110"/>
    </row>
    <row r="245" spans="1:319">
      <c r="A245" s="25"/>
      <c r="B245" s="25"/>
      <c r="C245" s="25"/>
      <c r="D245" s="25"/>
      <c r="E245" s="25"/>
      <c r="F245" s="407"/>
      <c r="G245" s="407"/>
      <c r="H245" s="65"/>
      <c r="I245" s="50"/>
      <c r="J245" s="99"/>
      <c r="K245" s="434" t="str">
        <f>Idiomas!D467</f>
        <v>3-4 Match-up</v>
      </c>
      <c r="L245" s="435"/>
      <c r="M245" s="434" t="str">
        <f>"Max: "&amp;SUM($D$33:$D$35)*$I$244</f>
        <v>Max: 20</v>
      </c>
      <c r="N245" s="25"/>
      <c r="O245" s="25"/>
      <c r="P245" s="25"/>
      <c r="Q245" s="25"/>
      <c r="R245" s="17"/>
      <c r="S245" s="84"/>
      <c r="T245" s="83">
        <f ca="1">T244</f>
        <v>0</v>
      </c>
      <c r="U245" s="110"/>
      <c r="V245" s="84"/>
      <c r="W245" s="83">
        <f t="shared" ref="W245" ca="1" si="3844">W244</f>
        <v>0</v>
      </c>
      <c r="X245" s="110"/>
      <c r="Y245" s="84"/>
      <c r="Z245" s="83">
        <f t="shared" ref="Z245" ca="1" si="3845">Z244</f>
        <v>0</v>
      </c>
      <c r="AA245" s="110"/>
      <c r="AB245" s="82"/>
      <c r="AC245" s="83">
        <f t="shared" ref="AC245" ca="1" si="3846">AC244</f>
        <v>0</v>
      </c>
      <c r="AD245" s="110"/>
      <c r="AE245" s="84"/>
      <c r="AF245" s="83">
        <f t="shared" ref="AF245" ca="1" si="3847">AF244</f>
        <v>0</v>
      </c>
      <c r="AG245" s="110"/>
      <c r="AH245" s="84"/>
      <c r="AI245" s="83">
        <f t="shared" ref="AI245" ca="1" si="3848">AI244</f>
        <v>0</v>
      </c>
      <c r="AJ245" s="110"/>
      <c r="AK245" s="84"/>
      <c r="AL245" s="83">
        <f t="shared" ref="AL245" ca="1" si="3849">AL244</f>
        <v>0</v>
      </c>
      <c r="AM245" s="110"/>
      <c r="AN245" s="84"/>
      <c r="AO245" s="83">
        <f t="shared" ref="AO245" ca="1" si="3850">AO244</f>
        <v>0</v>
      </c>
      <c r="AP245" s="110"/>
      <c r="AQ245" s="84"/>
      <c r="AR245" s="83">
        <f t="shared" ref="AR245" ca="1" si="3851">AR244</f>
        <v>0</v>
      </c>
      <c r="AS245" s="110"/>
      <c r="AT245" s="84"/>
      <c r="AU245" s="83">
        <f t="shared" ref="AU245" ca="1" si="3852">AU244</f>
        <v>0</v>
      </c>
      <c r="AV245" s="110"/>
      <c r="AW245" s="84"/>
      <c r="AX245" s="83">
        <f t="shared" ref="AX245" ca="1" si="3853">AX244</f>
        <v>0</v>
      </c>
      <c r="AY245" s="110"/>
      <c r="AZ245" s="84"/>
      <c r="BA245" s="83">
        <f t="shared" ref="BA245" ca="1" si="3854">BA244</f>
        <v>0</v>
      </c>
      <c r="BB245" s="110"/>
      <c r="BC245" s="84"/>
      <c r="BD245" s="83">
        <f t="shared" ref="BD245" ca="1" si="3855">BD244</f>
        <v>0</v>
      </c>
      <c r="BE245" s="110"/>
      <c r="BF245" s="84"/>
      <c r="BG245" s="83">
        <f t="shared" ref="BG245" ca="1" si="3856">BG244</f>
        <v>0</v>
      </c>
      <c r="BH245" s="110"/>
      <c r="BI245" s="84"/>
      <c r="BJ245" s="83">
        <f t="shared" ref="BJ245" ca="1" si="3857">BJ244</f>
        <v>0</v>
      </c>
      <c r="BK245" s="110"/>
      <c r="BL245" s="84"/>
      <c r="BM245" s="83">
        <f t="shared" ref="BM245" ca="1" si="3858">BM244</f>
        <v>0</v>
      </c>
      <c r="BN245" s="110"/>
      <c r="BO245" s="84"/>
      <c r="BP245" s="83">
        <f t="shared" ref="BP245" ca="1" si="3859">BP244</f>
        <v>0</v>
      </c>
      <c r="BQ245" s="110"/>
      <c r="BR245" s="84"/>
      <c r="BS245" s="83">
        <f t="shared" ref="BS245" ca="1" si="3860">BS244</f>
        <v>0</v>
      </c>
      <c r="BT245" s="110"/>
      <c r="BU245" s="84"/>
      <c r="BV245" s="83">
        <f t="shared" ref="BV245" ca="1" si="3861">BV244</f>
        <v>0</v>
      </c>
      <c r="BW245" s="110"/>
      <c r="BX245" s="84"/>
      <c r="BY245" s="83">
        <f t="shared" ref="BY245" ca="1" si="3862">BY244</f>
        <v>0</v>
      </c>
      <c r="BZ245" s="110"/>
      <c r="CA245" s="84"/>
      <c r="CB245" s="83">
        <f t="shared" ref="CB245" ca="1" si="3863">CB244</f>
        <v>0</v>
      </c>
      <c r="CC245" s="110"/>
      <c r="CD245" s="84"/>
      <c r="CE245" s="83">
        <f t="shared" ref="CE245" ca="1" si="3864">CE244</f>
        <v>0</v>
      </c>
      <c r="CF245" s="110"/>
      <c r="CG245" s="84"/>
      <c r="CH245" s="83">
        <f t="shared" ref="CH245" ca="1" si="3865">CH244</f>
        <v>0</v>
      </c>
      <c r="CI245" s="110"/>
      <c r="CJ245" s="84"/>
      <c r="CK245" s="83">
        <f t="shared" ref="CK245" ca="1" si="3866">CK244</f>
        <v>0</v>
      </c>
      <c r="CL245" s="110"/>
      <c r="CM245" s="84"/>
      <c r="CN245" s="83">
        <f t="shared" ref="CN245" ca="1" si="3867">CN244</f>
        <v>0</v>
      </c>
      <c r="CO245" s="110"/>
      <c r="CP245" s="84"/>
      <c r="CQ245" s="83">
        <f t="shared" ref="CQ245" ca="1" si="3868">CQ244</f>
        <v>0</v>
      </c>
      <c r="CR245" s="110"/>
      <c r="CS245" s="84"/>
      <c r="CT245" s="83">
        <f t="shared" ref="CT245" ca="1" si="3869">CT244</f>
        <v>0</v>
      </c>
      <c r="CU245" s="110"/>
      <c r="CV245" s="84"/>
      <c r="CW245" s="83">
        <f t="shared" ref="CW245" ca="1" si="3870">CW244</f>
        <v>0</v>
      </c>
      <c r="CX245" s="110"/>
      <c r="CY245" s="84"/>
      <c r="CZ245" s="83">
        <f t="shared" ref="CZ245" ca="1" si="3871">CZ244</f>
        <v>0</v>
      </c>
      <c r="DA245" s="110"/>
      <c r="DB245" s="84"/>
      <c r="DC245" s="83">
        <f t="shared" ref="DC245" ca="1" si="3872">DC244</f>
        <v>0</v>
      </c>
      <c r="DD245" s="110"/>
      <c r="DE245" s="84"/>
      <c r="DF245" s="83">
        <f t="shared" ref="DF245" ca="1" si="3873">DF244</f>
        <v>0</v>
      </c>
      <c r="DG245" s="110"/>
      <c r="DH245" s="84"/>
      <c r="DI245" s="83">
        <f t="shared" ref="DI245" ca="1" si="3874">DI244</f>
        <v>0</v>
      </c>
      <c r="DJ245" s="110"/>
      <c r="DK245" s="84"/>
      <c r="DL245" s="83">
        <f t="shared" ref="DL245" ca="1" si="3875">DL244</f>
        <v>0</v>
      </c>
      <c r="DM245" s="110"/>
      <c r="DN245" s="84"/>
      <c r="DO245" s="83">
        <f t="shared" ref="DO245" ca="1" si="3876">DO244</f>
        <v>0</v>
      </c>
      <c r="DP245" s="110"/>
      <c r="DQ245" s="84"/>
      <c r="DR245" s="83">
        <f t="shared" ref="DR245" ca="1" si="3877">DR244</f>
        <v>0</v>
      </c>
      <c r="DS245" s="110"/>
      <c r="DT245" s="84"/>
      <c r="DU245" s="83">
        <f t="shared" ref="DU245" ca="1" si="3878">DU244</f>
        <v>0</v>
      </c>
      <c r="DV245" s="110"/>
      <c r="DW245" s="84"/>
      <c r="DX245" s="83">
        <f t="shared" ref="DX245" ca="1" si="3879">DX244</f>
        <v>0</v>
      </c>
      <c r="DY245" s="110"/>
      <c r="DZ245" s="84"/>
      <c r="EA245" s="83">
        <f t="shared" ref="EA245" ca="1" si="3880">EA244</f>
        <v>0</v>
      </c>
      <c r="EB245" s="110"/>
      <c r="EC245" s="84"/>
      <c r="ED245" s="83">
        <f t="shared" ref="ED245" ca="1" si="3881">ED244</f>
        <v>0</v>
      </c>
      <c r="EE245" s="110"/>
      <c r="EF245" s="84"/>
      <c r="EG245" s="83">
        <f t="shared" ref="EG245" ca="1" si="3882">EG244</f>
        <v>0</v>
      </c>
      <c r="EH245" s="110"/>
      <c r="EI245" s="84"/>
      <c r="EJ245" s="83">
        <f t="shared" ref="EJ245" ca="1" si="3883">EJ244</f>
        <v>10</v>
      </c>
      <c r="EK245" s="110"/>
      <c r="EL245" s="84"/>
      <c r="EM245" s="83">
        <f t="shared" ref="EM245" ca="1" si="3884">EM244</f>
        <v>0</v>
      </c>
      <c r="EN245" s="110"/>
      <c r="EO245" s="84"/>
      <c r="EP245" s="83">
        <f t="shared" ref="EP245" ca="1" si="3885">EP244</f>
        <v>0</v>
      </c>
      <c r="EQ245" s="110"/>
      <c r="ER245" s="84"/>
      <c r="ES245" s="83">
        <f t="shared" ref="ES245" ca="1" si="3886">ES244</f>
        <v>0</v>
      </c>
      <c r="ET245" s="110"/>
      <c r="EU245" s="84"/>
      <c r="EV245" s="83">
        <f t="shared" ref="EV245" ca="1" si="3887">EV244</f>
        <v>0</v>
      </c>
      <c r="EW245" s="110"/>
      <c r="EX245" s="84"/>
      <c r="EY245" s="83">
        <f t="shared" ref="EY245" ca="1" si="3888">EY244</f>
        <v>0</v>
      </c>
      <c r="EZ245" s="110"/>
      <c r="FA245" s="84"/>
      <c r="FB245" s="83">
        <f t="shared" ref="FB245" ca="1" si="3889">FB244</f>
        <v>0</v>
      </c>
      <c r="FC245" s="110"/>
      <c r="FD245" s="84"/>
      <c r="FE245" s="83">
        <f t="shared" ref="FE245" ca="1" si="3890">FE244</f>
        <v>0</v>
      </c>
      <c r="FF245" s="110"/>
      <c r="FG245" s="84"/>
      <c r="FH245" s="83">
        <f t="shared" ref="FH245" ca="1" si="3891">FH244</f>
        <v>0</v>
      </c>
      <c r="FI245" s="110"/>
      <c r="FJ245" s="84"/>
      <c r="FK245" s="83">
        <f t="shared" ref="FK245" ca="1" si="3892">FK244</f>
        <v>0</v>
      </c>
      <c r="FL245" s="110"/>
      <c r="FM245" s="84"/>
      <c r="FN245" s="83">
        <f t="shared" ref="FN245" ca="1" si="3893">FN244</f>
        <v>0</v>
      </c>
      <c r="FO245" s="110"/>
      <c r="FP245" s="84"/>
      <c r="FQ245" s="83">
        <f t="shared" ref="FQ245" ca="1" si="3894">FQ244</f>
        <v>0</v>
      </c>
      <c r="FR245" s="110"/>
      <c r="FS245" s="84"/>
      <c r="FT245" s="83">
        <f t="shared" ref="FT245" ca="1" si="3895">FT244</f>
        <v>0</v>
      </c>
      <c r="FU245" s="110"/>
      <c r="FV245" s="84"/>
      <c r="FW245" s="83">
        <f t="shared" ref="FW245" ca="1" si="3896">FW244</f>
        <v>0</v>
      </c>
      <c r="FX245" s="110"/>
      <c r="FY245" s="84"/>
      <c r="FZ245" s="83">
        <f t="shared" ref="FZ245" ca="1" si="3897">FZ244</f>
        <v>0</v>
      </c>
      <c r="GA245" s="110"/>
      <c r="GB245" s="84"/>
      <c r="GC245" s="83">
        <f t="shared" ref="GC245" ca="1" si="3898">GC244</f>
        <v>0</v>
      </c>
      <c r="GD245" s="110"/>
      <c r="GE245" s="84"/>
      <c r="GF245" s="83">
        <f t="shared" ref="GF245" ca="1" si="3899">GF244</f>
        <v>0</v>
      </c>
      <c r="GG245" s="110"/>
      <c r="GH245" s="84"/>
      <c r="GI245" s="83">
        <f t="shared" ref="GI245" ca="1" si="3900">GI244</f>
        <v>0</v>
      </c>
      <c r="GJ245" s="110"/>
      <c r="GK245" s="84"/>
      <c r="GL245" s="83">
        <f t="shared" ref="GL245" ca="1" si="3901">GL244</f>
        <v>0</v>
      </c>
      <c r="GM245" s="110"/>
      <c r="GN245" s="84"/>
      <c r="GO245" s="83">
        <f t="shared" ref="GO245" ca="1" si="3902">GO244</f>
        <v>0</v>
      </c>
      <c r="GP245" s="110"/>
      <c r="GQ245" s="84"/>
      <c r="GR245" s="83">
        <f t="shared" ref="GR245" ca="1" si="3903">GR244</f>
        <v>0</v>
      </c>
      <c r="GS245" s="110"/>
      <c r="GT245" s="84"/>
      <c r="GU245" s="83">
        <f t="shared" ref="GU245" ca="1" si="3904">GU244</f>
        <v>0</v>
      </c>
      <c r="GV245" s="110"/>
      <c r="GW245" s="84"/>
      <c r="GX245" s="83">
        <f t="shared" ref="GX245" ca="1" si="3905">GX244</f>
        <v>0</v>
      </c>
      <c r="GY245" s="110"/>
      <c r="GZ245" s="84"/>
      <c r="HA245" s="83">
        <f t="shared" ref="HA245" ca="1" si="3906">HA244</f>
        <v>0</v>
      </c>
      <c r="HB245" s="110"/>
      <c r="HC245" s="84"/>
      <c r="HD245" s="83">
        <f t="shared" ref="HD245" ca="1" si="3907">HD244</f>
        <v>0</v>
      </c>
      <c r="HE245" s="110"/>
      <c r="HF245" s="84"/>
      <c r="HG245" s="83">
        <f t="shared" ref="HG245" ca="1" si="3908">HG244</f>
        <v>0</v>
      </c>
      <c r="HH245" s="110"/>
      <c r="HI245" s="84"/>
      <c r="HJ245" s="83">
        <f t="shared" ref="HJ245" ca="1" si="3909">HJ244</f>
        <v>0</v>
      </c>
      <c r="HK245" s="110"/>
      <c r="HL245" s="84"/>
      <c r="HM245" s="83">
        <f t="shared" ref="HM245" ca="1" si="3910">HM244</f>
        <v>0</v>
      </c>
      <c r="HN245" s="110"/>
      <c r="HO245" s="84"/>
      <c r="HP245" s="83">
        <f t="shared" ref="HP245" ca="1" si="3911">HP244</f>
        <v>0</v>
      </c>
      <c r="HQ245" s="110"/>
      <c r="HR245" s="84"/>
      <c r="HS245" s="83">
        <f t="shared" ref="HS245" ca="1" si="3912">HS244</f>
        <v>0</v>
      </c>
      <c r="HT245" s="110"/>
      <c r="HU245" s="84"/>
      <c r="HV245" s="83">
        <f t="shared" ref="HV245" ca="1" si="3913">HV244</f>
        <v>0</v>
      </c>
      <c r="HW245" s="110"/>
      <c r="HX245" s="84"/>
      <c r="HY245" s="83">
        <f t="shared" ref="HY245" ca="1" si="3914">HY244</f>
        <v>0</v>
      </c>
      <c r="HZ245" s="110"/>
      <c r="IA245" s="84"/>
      <c r="IB245" s="83">
        <f t="shared" ref="IB245" ca="1" si="3915">IB244</f>
        <v>0</v>
      </c>
      <c r="IC245" s="110"/>
      <c r="ID245" s="84"/>
      <c r="IE245" s="83">
        <f t="shared" ref="IE245" ca="1" si="3916">IE244</f>
        <v>0</v>
      </c>
      <c r="IF245" s="110"/>
      <c r="IG245" s="84"/>
      <c r="IH245" s="83">
        <f t="shared" ref="IH245" ca="1" si="3917">IH244</f>
        <v>0</v>
      </c>
      <c r="II245" s="110"/>
      <c r="IJ245" s="84"/>
      <c r="IK245" s="83">
        <f t="shared" ref="IK245" ca="1" si="3918">IK244</f>
        <v>0</v>
      </c>
      <c r="IL245" s="110"/>
      <c r="IM245" s="84"/>
      <c r="IN245" s="83">
        <f t="shared" ref="IN245" ca="1" si="3919">IN244</f>
        <v>0</v>
      </c>
      <c r="IO245" s="110"/>
      <c r="IP245" s="84"/>
      <c r="IQ245" s="83">
        <f t="shared" ref="IQ245" ca="1" si="3920">IQ244</f>
        <v>0</v>
      </c>
      <c r="IR245" s="110"/>
      <c r="IS245" s="84"/>
      <c r="IT245" s="83">
        <f t="shared" ref="IT245" ca="1" si="3921">IT244</f>
        <v>0</v>
      </c>
      <c r="IU245" s="110"/>
      <c r="IV245" s="84"/>
      <c r="IW245" s="83">
        <f t="shared" ref="IW245" ca="1" si="3922">IW244</f>
        <v>0</v>
      </c>
      <c r="IX245" s="110"/>
      <c r="IY245" s="84"/>
      <c r="IZ245" s="83">
        <f t="shared" ref="IZ245" ca="1" si="3923">IZ244</f>
        <v>0</v>
      </c>
      <c r="JA245" s="110"/>
      <c r="JB245" s="84"/>
      <c r="JC245" s="83">
        <f t="shared" ref="JC245" ca="1" si="3924">JC244</f>
        <v>0</v>
      </c>
      <c r="JD245" s="110"/>
      <c r="JE245" s="84"/>
      <c r="JF245" s="83">
        <f t="shared" ref="JF245" ca="1" si="3925">JF244</f>
        <v>0</v>
      </c>
      <c r="JG245" s="110"/>
      <c r="JH245" s="84"/>
      <c r="JI245" s="83">
        <f t="shared" ref="JI245" ca="1" si="3926">JI244</f>
        <v>0</v>
      </c>
      <c r="JJ245" s="110"/>
      <c r="JK245" s="84"/>
      <c r="JL245" s="83">
        <f t="shared" ref="JL245" ca="1" si="3927">JL244</f>
        <v>0</v>
      </c>
      <c r="JM245" s="110"/>
      <c r="JN245" s="84"/>
      <c r="JO245" s="83">
        <f t="shared" ref="JO245" ca="1" si="3928">JO244</f>
        <v>0</v>
      </c>
      <c r="JP245" s="110"/>
      <c r="JQ245" s="84"/>
      <c r="JR245" s="83">
        <f t="shared" ref="JR245" ca="1" si="3929">JR244</f>
        <v>0</v>
      </c>
      <c r="JS245" s="110"/>
      <c r="JT245" s="84"/>
      <c r="JU245" s="83">
        <f t="shared" ref="JU245" ca="1" si="3930">JU244</f>
        <v>0</v>
      </c>
      <c r="JV245" s="110"/>
      <c r="JW245" s="84"/>
      <c r="JX245" s="83">
        <f t="shared" ref="JX245" ca="1" si="3931">JX244</f>
        <v>0</v>
      </c>
      <c r="JY245" s="110"/>
      <c r="JZ245" s="84"/>
      <c r="KA245" s="83">
        <f t="shared" ref="KA245" ca="1" si="3932">KA244</f>
        <v>0</v>
      </c>
      <c r="KB245" s="110"/>
      <c r="KC245" s="84"/>
      <c r="KD245" s="83">
        <f t="shared" ref="KD245" ca="1" si="3933">KD244</f>
        <v>0</v>
      </c>
      <c r="KE245" s="110"/>
      <c r="KF245" s="84"/>
      <c r="KG245" s="83">
        <f t="shared" ref="KG245" ca="1" si="3934">KG244</f>
        <v>0</v>
      </c>
      <c r="KH245" s="110"/>
      <c r="KI245" s="84"/>
      <c r="KJ245" s="83">
        <f t="shared" ref="KJ245" ca="1" si="3935">KJ244</f>
        <v>0</v>
      </c>
      <c r="KK245" s="110"/>
      <c r="KL245" s="84"/>
      <c r="KM245" s="83">
        <f t="shared" ref="KM245" ca="1" si="3936">KM244</f>
        <v>0</v>
      </c>
      <c r="KN245" s="110"/>
      <c r="KO245" s="84"/>
      <c r="KP245" s="83">
        <f t="shared" ref="KP245" ca="1" si="3937">KP244</f>
        <v>0</v>
      </c>
      <c r="KQ245" s="110"/>
      <c r="KR245" s="84"/>
      <c r="KS245" s="83">
        <f t="shared" ref="KS245" ca="1" si="3938">KS244</f>
        <v>0</v>
      </c>
      <c r="KT245" s="110"/>
      <c r="KU245" s="84"/>
      <c r="KV245" s="83">
        <f t="shared" ref="KV245" ca="1" si="3939">KV244</f>
        <v>0</v>
      </c>
      <c r="KW245" s="110"/>
      <c r="KX245" s="84"/>
      <c r="KY245" s="83">
        <f t="shared" ref="KY245" ca="1" si="3940">KY244</f>
        <v>0</v>
      </c>
      <c r="KZ245" s="110"/>
      <c r="LA245" s="84"/>
      <c r="LB245" s="83">
        <f t="shared" ref="LB245" ca="1" si="3941">LB244</f>
        <v>0</v>
      </c>
      <c r="LC245" s="110"/>
      <c r="LD245" s="84"/>
      <c r="LE245" s="83">
        <f t="shared" ref="LE245" ca="1" si="3942">LE244</f>
        <v>0</v>
      </c>
      <c r="LF245" s="110"/>
      <c r="LG245" s="110"/>
    </row>
    <row r="246" spans="1:319">
      <c r="A246" s="25"/>
      <c r="B246" s="25"/>
      <c r="C246" s="25"/>
      <c r="D246" s="25"/>
      <c r="E246" s="25"/>
      <c r="F246" s="407"/>
      <c r="G246" s="407"/>
      <c r="H246" s="65"/>
      <c r="I246" s="52" t="s">
        <v>1578</v>
      </c>
      <c r="J246" s="99"/>
      <c r="K246" s="113" t="str">
        <f>Idiomas!D148</f>
        <v>FINAL</v>
      </c>
      <c r="L246" s="50"/>
      <c r="M246" s="71"/>
      <c r="N246" s="25"/>
      <c r="O246" s="25"/>
      <c r="P246" s="25"/>
      <c r="Q246" s="25"/>
      <c r="R246" s="17"/>
      <c r="S246" s="84"/>
      <c r="T246" s="83"/>
      <c r="U246" s="110"/>
      <c r="V246" s="84"/>
      <c r="W246" s="83"/>
      <c r="X246" s="110"/>
      <c r="Y246" s="84"/>
      <c r="Z246" s="83"/>
      <c r="AA246" s="110"/>
      <c r="AB246" s="84"/>
      <c r="AC246" s="83"/>
      <c r="AD246" s="110"/>
      <c r="AE246" s="84"/>
      <c r="AF246" s="83"/>
      <c r="AG246" s="110"/>
      <c r="AH246" s="84"/>
      <c r="AI246" s="83"/>
      <c r="AJ246" s="110"/>
      <c r="AK246" s="84"/>
      <c r="AL246" s="83"/>
      <c r="AM246" s="110"/>
      <c r="AN246" s="84"/>
      <c r="AO246" s="83"/>
      <c r="AP246" s="110"/>
      <c r="AQ246" s="84"/>
      <c r="AR246" s="83"/>
      <c r="AS246" s="110"/>
      <c r="AT246" s="84"/>
      <c r="AU246" s="83"/>
      <c r="AV246" s="110"/>
      <c r="AW246" s="84"/>
      <c r="AX246" s="83"/>
      <c r="AY246" s="110"/>
      <c r="AZ246" s="84"/>
      <c r="BA246" s="83"/>
      <c r="BB246" s="110"/>
      <c r="BC246" s="84"/>
      <c r="BD246" s="83"/>
      <c r="BE246" s="110"/>
      <c r="BF246" s="84"/>
      <c r="BG246" s="83"/>
      <c r="BH246" s="110"/>
      <c r="BI246" s="84"/>
      <c r="BJ246" s="83"/>
      <c r="BK246" s="110"/>
      <c r="BL246" s="84"/>
      <c r="BM246" s="83"/>
      <c r="BN246" s="110"/>
      <c r="BO246" s="84"/>
      <c r="BP246" s="83"/>
      <c r="BQ246" s="110"/>
      <c r="BR246" s="84"/>
      <c r="BS246" s="83"/>
      <c r="BT246" s="110"/>
      <c r="BU246" s="84"/>
      <c r="BV246" s="83"/>
      <c r="BW246" s="110"/>
      <c r="BX246" s="84"/>
      <c r="BY246" s="83"/>
      <c r="BZ246" s="110"/>
      <c r="CA246" s="84"/>
      <c r="CB246" s="83"/>
      <c r="CC246" s="110"/>
      <c r="CD246" s="84"/>
      <c r="CE246" s="83"/>
      <c r="CF246" s="110"/>
      <c r="CG246" s="84"/>
      <c r="CH246" s="83"/>
      <c r="CI246" s="110"/>
      <c r="CJ246" s="84"/>
      <c r="CK246" s="83"/>
      <c r="CL246" s="110"/>
      <c r="CM246" s="84"/>
      <c r="CN246" s="83"/>
      <c r="CO246" s="110"/>
      <c r="CP246" s="84"/>
      <c r="CQ246" s="83"/>
      <c r="CR246" s="110"/>
      <c r="CS246" s="84"/>
      <c r="CT246" s="83"/>
      <c r="CU246" s="110"/>
      <c r="CV246" s="84"/>
      <c r="CW246" s="83"/>
      <c r="CX246" s="110"/>
      <c r="CY246" s="84"/>
      <c r="CZ246" s="83"/>
      <c r="DA246" s="110"/>
      <c r="DB246" s="84"/>
      <c r="DC246" s="83"/>
      <c r="DD246" s="110"/>
      <c r="DE246" s="84"/>
      <c r="DF246" s="83"/>
      <c r="DG246" s="110"/>
      <c r="DH246" s="84"/>
      <c r="DI246" s="83"/>
      <c r="DJ246" s="110"/>
      <c r="DK246" s="84"/>
      <c r="DL246" s="83"/>
      <c r="DM246" s="110"/>
      <c r="DN246" s="84"/>
      <c r="DO246" s="83"/>
      <c r="DP246" s="110"/>
      <c r="DQ246" s="84"/>
      <c r="DR246" s="83"/>
      <c r="DS246" s="110"/>
      <c r="DT246" s="84"/>
      <c r="DU246" s="83"/>
      <c r="DV246" s="110"/>
      <c r="DW246" s="84"/>
      <c r="DX246" s="83"/>
      <c r="DY246" s="110"/>
      <c r="DZ246" s="84"/>
      <c r="EA246" s="83"/>
      <c r="EB246" s="110"/>
      <c r="EC246" s="84"/>
      <c r="ED246" s="83"/>
      <c r="EE246" s="110"/>
      <c r="EF246" s="84"/>
      <c r="EG246" s="83"/>
      <c r="EH246" s="110"/>
      <c r="EI246" s="84"/>
      <c r="EJ246" s="83"/>
      <c r="EK246" s="110"/>
      <c r="EL246" s="84"/>
      <c r="EM246" s="83"/>
      <c r="EN246" s="110"/>
      <c r="EO246" s="84"/>
      <c r="EP246" s="83"/>
      <c r="EQ246" s="110"/>
      <c r="ER246" s="84"/>
      <c r="ES246" s="83"/>
      <c r="ET246" s="110"/>
      <c r="EU246" s="84"/>
      <c r="EV246" s="83"/>
      <c r="EW246" s="110"/>
      <c r="EX246" s="84"/>
      <c r="EY246" s="83"/>
      <c r="EZ246" s="110"/>
      <c r="FA246" s="84"/>
      <c r="FB246" s="83"/>
      <c r="FC246" s="110"/>
      <c r="FD246" s="84"/>
      <c r="FE246" s="83"/>
      <c r="FF246" s="110"/>
      <c r="FG246" s="84"/>
      <c r="FH246" s="83"/>
      <c r="FI246" s="110"/>
      <c r="FJ246" s="84"/>
      <c r="FK246" s="83"/>
      <c r="FL246" s="110"/>
      <c r="FM246" s="84"/>
      <c r="FN246" s="83"/>
      <c r="FO246" s="110"/>
      <c r="FP246" s="84"/>
      <c r="FQ246" s="83"/>
      <c r="FR246" s="110"/>
      <c r="FS246" s="84"/>
      <c r="FT246" s="83"/>
      <c r="FU246" s="110"/>
      <c r="FV246" s="84"/>
      <c r="FW246" s="83"/>
      <c r="FX246" s="110"/>
      <c r="FY246" s="84"/>
      <c r="FZ246" s="83"/>
      <c r="GA246" s="110"/>
      <c r="GB246" s="84"/>
      <c r="GC246" s="83"/>
      <c r="GD246" s="110"/>
      <c r="GE246" s="84"/>
      <c r="GF246" s="83"/>
      <c r="GG246" s="110"/>
      <c r="GH246" s="84"/>
      <c r="GI246" s="83"/>
      <c r="GJ246" s="110"/>
      <c r="GK246" s="84"/>
      <c r="GL246" s="83"/>
      <c r="GM246" s="110"/>
      <c r="GN246" s="84"/>
      <c r="GO246" s="83"/>
      <c r="GP246" s="110"/>
      <c r="GQ246" s="84"/>
      <c r="GR246" s="83"/>
      <c r="GS246" s="110"/>
      <c r="GT246" s="84"/>
      <c r="GU246" s="83"/>
      <c r="GV246" s="110"/>
      <c r="GW246" s="84"/>
      <c r="GX246" s="83"/>
      <c r="GY246" s="110"/>
      <c r="GZ246" s="84"/>
      <c r="HA246" s="83"/>
      <c r="HB246" s="110"/>
      <c r="HC246" s="84"/>
      <c r="HD246" s="83"/>
      <c r="HE246" s="110"/>
      <c r="HF246" s="84"/>
      <c r="HG246" s="83"/>
      <c r="HH246" s="110"/>
      <c r="HI246" s="84"/>
      <c r="HJ246" s="83"/>
      <c r="HK246" s="110"/>
      <c r="HL246" s="84"/>
      <c r="HM246" s="83"/>
      <c r="HN246" s="110"/>
      <c r="HO246" s="84"/>
      <c r="HP246" s="83"/>
      <c r="HQ246" s="110"/>
      <c r="HR246" s="84"/>
      <c r="HS246" s="83"/>
      <c r="HT246" s="110"/>
      <c r="HU246" s="84"/>
      <c r="HV246" s="83"/>
      <c r="HW246" s="110"/>
      <c r="HX246" s="84"/>
      <c r="HY246" s="83"/>
      <c r="HZ246" s="110"/>
      <c r="IA246" s="84"/>
      <c r="IB246" s="83"/>
      <c r="IC246" s="110"/>
      <c r="ID246" s="84"/>
      <c r="IE246" s="83"/>
      <c r="IF246" s="110"/>
      <c r="IG246" s="84"/>
      <c r="IH246" s="83"/>
      <c r="II246" s="110"/>
      <c r="IJ246" s="84"/>
      <c r="IK246" s="83"/>
      <c r="IL246" s="110"/>
      <c r="IM246" s="84"/>
      <c r="IN246" s="83"/>
      <c r="IO246" s="110"/>
      <c r="IP246" s="84"/>
      <c r="IQ246" s="83"/>
      <c r="IR246" s="110"/>
      <c r="IS246" s="84"/>
      <c r="IT246" s="83"/>
      <c r="IU246" s="110"/>
      <c r="IV246" s="84"/>
      <c r="IW246" s="83"/>
      <c r="IX246" s="110"/>
      <c r="IY246" s="84"/>
      <c r="IZ246" s="83"/>
      <c r="JA246" s="110"/>
      <c r="JB246" s="84"/>
      <c r="JC246" s="83"/>
      <c r="JD246" s="110"/>
      <c r="JE246" s="84"/>
      <c r="JF246" s="83"/>
      <c r="JG246" s="110"/>
      <c r="JH246" s="84"/>
      <c r="JI246" s="83"/>
      <c r="JJ246" s="110"/>
      <c r="JK246" s="84"/>
      <c r="JL246" s="83"/>
      <c r="JM246" s="110"/>
      <c r="JN246" s="84"/>
      <c r="JO246" s="83"/>
      <c r="JP246" s="110"/>
      <c r="JQ246" s="84"/>
      <c r="JR246" s="83"/>
      <c r="JS246" s="110"/>
      <c r="JT246" s="84"/>
      <c r="JU246" s="83"/>
      <c r="JV246" s="110"/>
      <c r="JW246" s="84"/>
      <c r="JX246" s="83"/>
      <c r="JY246" s="110"/>
      <c r="JZ246" s="84"/>
      <c r="KA246" s="83"/>
      <c r="KB246" s="110"/>
      <c r="KC246" s="84"/>
      <c r="KD246" s="83"/>
      <c r="KE246" s="110"/>
      <c r="KF246" s="84"/>
      <c r="KG246" s="83"/>
      <c r="KH246" s="110"/>
      <c r="KI246" s="84"/>
      <c r="KJ246" s="83"/>
      <c r="KK246" s="110"/>
      <c r="KL246" s="84"/>
      <c r="KM246" s="83"/>
      <c r="KN246" s="110"/>
      <c r="KO246" s="84"/>
      <c r="KP246" s="83"/>
      <c r="KQ246" s="110"/>
      <c r="KR246" s="84"/>
      <c r="KS246" s="83"/>
      <c r="KT246" s="110"/>
      <c r="KU246" s="84"/>
      <c r="KV246" s="83"/>
      <c r="KW246" s="110"/>
      <c r="KX246" s="84"/>
      <c r="KY246" s="83"/>
      <c r="KZ246" s="110"/>
      <c r="LA246" s="84"/>
      <c r="LB246" s="83"/>
      <c r="LC246" s="110"/>
      <c r="LD246" s="84"/>
      <c r="LE246" s="83"/>
      <c r="LF246" s="110"/>
      <c r="LG246" s="110"/>
    </row>
    <row r="247" spans="1:319" ht="20.25">
      <c r="A247" s="25">
        <f>WORLDCUP!AD147</f>
        <v>0</v>
      </c>
      <c r="B247" s="25">
        <f>WORLDCUP!AC147</f>
        <v>1</v>
      </c>
      <c r="C247" s="25" t="str">
        <f ca="1">CONCATENATE(WORLDCUP!AF147,"-",WORLDCUP!AA147)</f>
        <v>Argentina-Spain</v>
      </c>
      <c r="D247" s="25">
        <f>IF(WORLDCUP!AC147&gt;WORLDCUP!AD147,2,IF(WORLDCUP!AC147&lt;WORLDCUP!AD147,1,IF(AND(WORLDCUP!AC147=WORLDCUP!AD147,WORLDCUP!AC147&lt;&gt;"",WORLDCUP!AD147&lt;&gt;""),0,"PD")))</f>
        <v>2</v>
      </c>
      <c r="E247" s="25" t="str">
        <f>IF(OR(WORLDCUP!AD147="",WORLDCUP!AC147=""),"-",A247&amp;"-"&amp;B247)</f>
        <v>0-1</v>
      </c>
      <c r="F247" s="407">
        <f>SUM($D$36:$D$38)*$I$247</f>
        <v>20</v>
      </c>
      <c r="G247" s="407">
        <f ca="1">VLOOKUP(H247,Equipos!$Q$1:$R$25,2,0)</f>
        <v>24</v>
      </c>
      <c r="H247" s="65" t="str">
        <f>Idiomas!$D$264</f>
        <v>3-4 &amp; Final</v>
      </c>
      <c r="I247" s="43">
        <v>1</v>
      </c>
      <c r="J247" s="98" t="s">
        <v>4</v>
      </c>
      <c r="K247" s="114" t="str">
        <f ca="1">CONCATENATE(WORLDCUP!AA147,"-",WORLDCUP!AF147)</f>
        <v>Spain-Argentina</v>
      </c>
      <c r="L247" s="114">
        <f>IF(OR(WORLDCUP!AC147="",WORLDCUP!AD147=""),"PD",IF(WORLDCUP!AC147&gt;WORLDCUP!AD147,1,IF(WORLDCUP!AC147&lt;WORLDCUP!AD147,2,0)))</f>
        <v>1</v>
      </c>
      <c r="M247" s="117" t="str">
        <f>IF(L247="PD","-",N247&amp;"-"&amp;O247)</f>
        <v>1-0</v>
      </c>
      <c r="N247" s="25">
        <f>WORLDCUP!AC147</f>
        <v>1</v>
      </c>
      <c r="O247" s="25">
        <f>WORLDCUP!AD147</f>
        <v>0</v>
      </c>
      <c r="P247" s="25">
        <f>+N247-O247</f>
        <v>1</v>
      </c>
      <c r="Q247" s="25">
        <f>+A247-B247</f>
        <v>-1</v>
      </c>
      <c r="R247" s="17"/>
      <c r="S247" s="66" t="s">
        <v>1993</v>
      </c>
      <c r="T247" s="85">
        <f ca="1">IFERROR(IF(LEFT(S247,FIND("·",S247)-1)=$K$247,IF($L$247=IFERROR(VALUE(MID(S247,FIND("·",S247)+1,1)),0),($D$36+($M$247=MID(S247,FIND("|",S247)+1,10))*$D$38+MAX(0,IF($D$50=1,$D$37*(1-(ABS($P$247-(VALUE(MID(S247,FIND("|",S247)+1,FIND("-",S247,FIND("|",S247))-FIND("|",S247)-1))-VALUE(MID(S247,FIND("-",S247,FIND("|",S247))+1,10)))))*$D$50),$D$37*(1-(IF($L$247=0,ABS($N$247-VALUE(MID(S247,FIND("|",S247)+1,FIND("-",S247,FIND("|",S247))-FIND("|",S247)-1))),ABS($P$247-(VALUE(MID(S247,FIND("|",S247)+1,FIND("-",S247,FIND("|",S247))-FIND("|",S247)-1))-VALUE(MID(S247,FIND("-",S247,FIND("|",S247))+1,10)))))*$D$50)))))*$I$247,0),0),0)
+IFERROR(IF(LEFT(S247,FIND("·",S247)-1)=$C$247,IF($D$247=IFERROR(VALUE(MID(S247,FIND("·",S247)+1,1)),0),($D$36+($E$247=MID(S247,FIND("|",S247)+1,10))*$D$38+MAX(0,IF($D$50=1,$D$37*(1-(ABS($Q$247-(VALUE(MID(S247,FIND("|",S247)+1,FIND("-",S247,FIND("|",S247))-FIND("|",S247)-1))-VALUE(MID(S247,FIND("-",S247,FIND("|",S247))+1,10)))))*$D$50),$D$37*(1-(IF($D$247=0,ABS($A$247-VALUE(MID(S247,FIND("|",S247)+1,FIND("-",S247,FIND("|",S247))-FIND("|",S247)-1))),ABS($Q$247-(VALUE(MID(S247,FIND("|",S247)+1,FIND("-",S247,FIND("|",S247))-FIND("|",S247)-1))-VALUE(MID(S247,FIND("-",S247,FIND("|",S247))+1,10)))))*$D$50)))))*$I$247,0),0),0)</f>
        <v>0</v>
      </c>
      <c r="U247" s="110"/>
      <c r="V247" s="66" t="s">
        <v>2032</v>
      </c>
      <c r="W247" s="85">
        <f ca="1">IFERROR(IF(LEFT(V247,FIND("·",V247)-1)=$K$247,IF($L$247=IFERROR(VALUE(MID(V247,FIND("·",V247)+1,1)),0),($D$36+($M$247=MID(V247,FIND("|",V247)+1,10))*$D$38+MAX(0,IF($D$50=1,$D$37*(1-(ABS($P$247-(VALUE(MID(V247,FIND("|",V247)+1,FIND("-",V247,FIND("|",V247))-FIND("|",V247)-1))-VALUE(MID(V247,FIND("-",V247,FIND("|",V247))+1,10)))))*$D$50),$D$37*(1-(IF($L$247=0,ABS($N$247-VALUE(MID(V247,FIND("|",V247)+1,FIND("-",V247,FIND("|",V247))-FIND("|",V247)-1))),ABS($P$247-(VALUE(MID(V247,FIND("|",V247)+1,FIND("-",V247,FIND("|",V247))-FIND("|",V247)-1))-VALUE(MID(V247,FIND("-",V247,FIND("|",V247))+1,10)))))*$D$50)))))*$I$247,0),0),0)
+IFERROR(IF(LEFT(V247,FIND("·",V247)-1)=$C$247,IF($D$247=IFERROR(VALUE(MID(V247,FIND("·",V247)+1,1)),0),($D$36+($E$247=MID(V247,FIND("|",V247)+1,10))*$D$38+MAX(0,IF($D$50=1,$D$37*(1-(ABS($Q$247-(VALUE(MID(V247,FIND("|",V247)+1,FIND("-",V247,FIND("|",V247))-FIND("|",V247)-1))-VALUE(MID(V247,FIND("-",V247,FIND("|",V247))+1,10)))))*$D$50),$D$37*(1-(IF($D$247=0,ABS($A$247-VALUE(MID(V247,FIND("|",V247)+1,FIND("-",V247,FIND("|",V247))-FIND("|",V247)-1))),ABS($Q$247-(VALUE(MID(V247,FIND("|",V247)+1,FIND("-",V247,FIND("|",V247))-FIND("|",V247)-1))-VALUE(MID(V247,FIND("-",V247,FIND("|",V247))+1,10)))))*$D$50)))))*$I$247,0),0),0)</f>
        <v>0</v>
      </c>
      <c r="X247" s="110"/>
      <c r="Y247" s="66" t="s">
        <v>2066</v>
      </c>
      <c r="Z247" s="85">
        <f t="shared" ref="Z247" ca="1" si="3943">IFERROR(IF(LEFT(Y247,FIND("·",Y247)-1)=$K$247,IF($L$247=IFERROR(VALUE(MID(Y247,FIND("·",Y247)+1,1)),0),($D$36+($M$247=MID(Y247,FIND("|",Y247)+1,10))*$D$38+MAX(0,IF($D$50=1,$D$37*(1-(ABS($P$247-(VALUE(MID(Y247,FIND("|",Y247)+1,FIND("-",Y247,FIND("|",Y247))-FIND("|",Y247)-1))-VALUE(MID(Y247,FIND("-",Y247,FIND("|",Y247))+1,10)))))*$D$50),$D$37*(1-(IF($L$247=0,ABS($N$247-VALUE(MID(Y247,FIND("|",Y247)+1,FIND("-",Y247,FIND("|",Y247))-FIND("|",Y247)-1))),ABS($P$247-(VALUE(MID(Y247,FIND("|",Y247)+1,FIND("-",Y247,FIND("|",Y247))-FIND("|",Y247)-1))-VALUE(MID(Y247,FIND("-",Y247,FIND("|",Y247))+1,10)))))*$D$50)))))*$I$247,0),0),0)
+IFERROR(IF(LEFT(Y247,FIND("·",Y247)-1)=$C$247,IF($D$247=IFERROR(VALUE(MID(Y247,FIND("·",Y247)+1,1)),0),($D$36+($E$247=MID(Y247,FIND("|",Y247)+1,10))*$D$38+MAX(0,IF($D$50=1,$D$37*(1-(ABS($Q$247-(VALUE(MID(Y247,FIND("|",Y247)+1,FIND("-",Y247,FIND("|",Y247))-FIND("|",Y247)-1))-VALUE(MID(Y247,FIND("-",Y247,FIND("|",Y247))+1,10)))))*$D$50),$D$37*(1-(IF($D$247=0,ABS($A$247-VALUE(MID(Y247,FIND("|",Y247)+1,FIND("-",Y247,FIND("|",Y247))-FIND("|",Y247)-1))),ABS($Q$247-(VALUE(MID(Y247,FIND("|",Y247)+1,FIND("-",Y247,FIND("|",Y247))-FIND("|",Y247)-1))-VALUE(MID(Y247,FIND("-",Y247,FIND("|",Y247))+1,10)))))*$D$50)))))*$I$247,0),0),0)</f>
        <v>0</v>
      </c>
      <c r="AA247" s="110"/>
      <c r="AB247" s="66" t="s">
        <v>2100</v>
      </c>
      <c r="AC247" s="85">
        <f t="shared" ref="AC247" ca="1" si="3944">IFERROR(IF(LEFT(AB247,FIND("·",AB247)-1)=$K$247,IF($L$247=IFERROR(VALUE(MID(AB247,FIND("·",AB247)+1,1)),0),($D$36+($M$247=MID(AB247,FIND("|",AB247)+1,10))*$D$38+MAX(0,IF($D$50=1,$D$37*(1-(ABS($P$247-(VALUE(MID(AB247,FIND("|",AB247)+1,FIND("-",AB247,FIND("|",AB247))-FIND("|",AB247)-1))-VALUE(MID(AB247,FIND("-",AB247,FIND("|",AB247))+1,10)))))*$D$50),$D$37*(1-(IF($L$247=0,ABS($N$247-VALUE(MID(AB247,FIND("|",AB247)+1,FIND("-",AB247,FIND("|",AB247))-FIND("|",AB247)-1))),ABS($P$247-(VALUE(MID(AB247,FIND("|",AB247)+1,FIND("-",AB247,FIND("|",AB247))-FIND("|",AB247)-1))-VALUE(MID(AB247,FIND("-",AB247,FIND("|",AB247))+1,10)))))*$D$50)))))*$I$247,0),0),0)
+IFERROR(IF(LEFT(AB247,FIND("·",AB247)-1)=$C$247,IF($D$247=IFERROR(VALUE(MID(AB247,FIND("·",AB247)+1,1)),0),($D$36+($E$247=MID(AB247,FIND("|",AB247)+1,10))*$D$38+MAX(0,IF($D$50=1,$D$37*(1-(ABS($Q$247-(VALUE(MID(AB247,FIND("|",AB247)+1,FIND("-",AB247,FIND("|",AB247))-FIND("|",AB247)-1))-VALUE(MID(AB247,FIND("-",AB247,FIND("|",AB247))+1,10)))))*$D$50),$D$37*(1-(IF($D$247=0,ABS($A$247-VALUE(MID(AB247,FIND("|",AB247)+1,FIND("-",AB247,FIND("|",AB247))-FIND("|",AB247)-1))),ABS($Q$247-(VALUE(MID(AB247,FIND("|",AB247)+1,FIND("-",AB247,FIND("|",AB247))-FIND("|",AB247)-1))-VALUE(MID(AB247,FIND("-",AB247,FIND("|",AB247))+1,10)))))*$D$50)))))*$I$247,0),0),0)</f>
        <v>0</v>
      </c>
      <c r="AD247" s="110"/>
      <c r="AE247" s="66" t="s">
        <v>2126</v>
      </c>
      <c r="AF247" s="85">
        <f t="shared" ref="AF247" ca="1" si="3945">IFERROR(IF(LEFT(AE247,FIND("·",AE247)-1)=$K$247,IF($L$247=IFERROR(VALUE(MID(AE247,FIND("·",AE247)+1,1)),0),($D$36+($M$247=MID(AE247,FIND("|",AE247)+1,10))*$D$38+MAX(0,IF($D$50=1,$D$37*(1-(ABS($P$247-(VALUE(MID(AE247,FIND("|",AE247)+1,FIND("-",AE247,FIND("|",AE247))-FIND("|",AE247)-1))-VALUE(MID(AE247,FIND("-",AE247,FIND("|",AE247))+1,10)))))*$D$50),$D$37*(1-(IF($L$247=0,ABS($N$247-VALUE(MID(AE247,FIND("|",AE247)+1,FIND("-",AE247,FIND("|",AE247))-FIND("|",AE247)-1))),ABS($P$247-(VALUE(MID(AE247,FIND("|",AE247)+1,FIND("-",AE247,FIND("|",AE247))-FIND("|",AE247)-1))-VALUE(MID(AE247,FIND("-",AE247,FIND("|",AE247))+1,10)))))*$D$50)))))*$I$247,0),0),0)
+IFERROR(IF(LEFT(AE247,FIND("·",AE247)-1)=$C$247,IF($D$247=IFERROR(VALUE(MID(AE247,FIND("·",AE247)+1,1)),0),($D$36+($E$247=MID(AE247,FIND("|",AE247)+1,10))*$D$38+MAX(0,IF($D$50=1,$D$37*(1-(ABS($Q$247-(VALUE(MID(AE247,FIND("|",AE247)+1,FIND("-",AE247,FIND("|",AE247))-FIND("|",AE247)-1))-VALUE(MID(AE247,FIND("-",AE247,FIND("|",AE247))+1,10)))))*$D$50),$D$37*(1-(IF($D$247=0,ABS($A$247-VALUE(MID(AE247,FIND("|",AE247)+1,FIND("-",AE247,FIND("|",AE247))-FIND("|",AE247)-1))),ABS($Q$247-(VALUE(MID(AE247,FIND("|",AE247)+1,FIND("-",AE247,FIND("|",AE247))-FIND("|",AE247)-1))-VALUE(MID(AE247,FIND("-",AE247,FIND("|",AE247))+1,10)))))*$D$50)))))*$I$247,0),0),0)</f>
        <v>0</v>
      </c>
      <c r="AG247" s="110"/>
      <c r="AH247" s="66" t="s">
        <v>2158</v>
      </c>
      <c r="AI247" s="85">
        <f t="shared" ref="AI247" ca="1" si="3946">IFERROR(IF(LEFT(AH247,FIND("·",AH247)-1)=$K$247,IF($L$247=IFERROR(VALUE(MID(AH247,FIND("·",AH247)+1,1)),0),($D$36+($M$247=MID(AH247,FIND("|",AH247)+1,10))*$D$38+MAX(0,IF($D$50=1,$D$37*(1-(ABS($P$247-(VALUE(MID(AH247,FIND("|",AH247)+1,FIND("-",AH247,FIND("|",AH247))-FIND("|",AH247)-1))-VALUE(MID(AH247,FIND("-",AH247,FIND("|",AH247))+1,10)))))*$D$50),$D$37*(1-(IF($L$247=0,ABS($N$247-VALUE(MID(AH247,FIND("|",AH247)+1,FIND("-",AH247,FIND("|",AH247))-FIND("|",AH247)-1))),ABS($P$247-(VALUE(MID(AH247,FIND("|",AH247)+1,FIND("-",AH247,FIND("|",AH247))-FIND("|",AH247)-1))-VALUE(MID(AH247,FIND("-",AH247,FIND("|",AH247))+1,10)))))*$D$50)))))*$I$247,0),0),0)
+IFERROR(IF(LEFT(AH247,FIND("·",AH247)-1)=$C$247,IF($D$247=IFERROR(VALUE(MID(AH247,FIND("·",AH247)+1,1)),0),($D$36+($E$247=MID(AH247,FIND("|",AH247)+1,10))*$D$38+MAX(0,IF($D$50=1,$D$37*(1-(ABS($Q$247-(VALUE(MID(AH247,FIND("|",AH247)+1,FIND("-",AH247,FIND("|",AH247))-FIND("|",AH247)-1))-VALUE(MID(AH247,FIND("-",AH247,FIND("|",AH247))+1,10)))))*$D$50),$D$37*(1-(IF($D$247=0,ABS($A$247-VALUE(MID(AH247,FIND("|",AH247)+1,FIND("-",AH247,FIND("|",AH247))-FIND("|",AH247)-1))),ABS($Q$247-(VALUE(MID(AH247,FIND("|",AH247)+1,FIND("-",AH247,FIND("|",AH247))-FIND("|",AH247)-1))-VALUE(MID(AH247,FIND("-",AH247,FIND("|",AH247))+1,10)))))*$D$50)))))*$I$247,0),0),0)</f>
        <v>0</v>
      </c>
      <c r="AJ247" s="110"/>
      <c r="AK247" s="66" t="s">
        <v>2185</v>
      </c>
      <c r="AL247" s="85">
        <f t="shared" ref="AL247" ca="1" si="3947">IFERROR(IF(LEFT(AK247,FIND("·",AK247)-1)=$K$247,IF($L$247=IFERROR(VALUE(MID(AK247,FIND("·",AK247)+1,1)),0),($D$36+($M$247=MID(AK247,FIND("|",AK247)+1,10))*$D$38+MAX(0,IF($D$50=1,$D$37*(1-(ABS($P$247-(VALUE(MID(AK247,FIND("|",AK247)+1,FIND("-",AK247,FIND("|",AK247))-FIND("|",AK247)-1))-VALUE(MID(AK247,FIND("-",AK247,FIND("|",AK247))+1,10)))))*$D$50),$D$37*(1-(IF($L$247=0,ABS($N$247-VALUE(MID(AK247,FIND("|",AK247)+1,FIND("-",AK247,FIND("|",AK247))-FIND("|",AK247)-1))),ABS($P$247-(VALUE(MID(AK247,FIND("|",AK247)+1,FIND("-",AK247,FIND("|",AK247))-FIND("|",AK247)-1))-VALUE(MID(AK247,FIND("-",AK247,FIND("|",AK247))+1,10)))))*$D$50)))))*$I$247,0),0),0)
+IFERROR(IF(LEFT(AK247,FIND("·",AK247)-1)=$C$247,IF($D$247=IFERROR(VALUE(MID(AK247,FIND("·",AK247)+1,1)),0),($D$36+($E$247=MID(AK247,FIND("|",AK247)+1,10))*$D$38+MAX(0,IF($D$50=1,$D$37*(1-(ABS($Q$247-(VALUE(MID(AK247,FIND("|",AK247)+1,FIND("-",AK247,FIND("|",AK247))-FIND("|",AK247)-1))-VALUE(MID(AK247,FIND("-",AK247,FIND("|",AK247))+1,10)))))*$D$50),$D$37*(1-(IF($D$247=0,ABS($A$247-VALUE(MID(AK247,FIND("|",AK247)+1,FIND("-",AK247,FIND("|",AK247))-FIND("|",AK247)-1))),ABS($Q$247-(VALUE(MID(AK247,FIND("|",AK247)+1,FIND("-",AK247,FIND("|",AK247))-FIND("|",AK247)-1))-VALUE(MID(AK247,FIND("-",AK247,FIND("|",AK247))+1,10)))))*$D$50)))))*$I$247,0),0),0)</f>
        <v>0</v>
      </c>
      <c r="AM247" s="110"/>
      <c r="AN247" s="66" t="s">
        <v>2219</v>
      </c>
      <c r="AO247" s="85">
        <f t="shared" ref="AO247" ca="1" si="3948">IFERROR(IF(LEFT(AN247,FIND("·",AN247)-1)=$K$247,IF($L$247=IFERROR(VALUE(MID(AN247,FIND("·",AN247)+1,1)),0),($D$36+($M$247=MID(AN247,FIND("|",AN247)+1,10))*$D$38+MAX(0,IF($D$50=1,$D$37*(1-(ABS($P$247-(VALUE(MID(AN247,FIND("|",AN247)+1,FIND("-",AN247,FIND("|",AN247))-FIND("|",AN247)-1))-VALUE(MID(AN247,FIND("-",AN247,FIND("|",AN247))+1,10)))))*$D$50),$D$37*(1-(IF($L$247=0,ABS($N$247-VALUE(MID(AN247,FIND("|",AN247)+1,FIND("-",AN247,FIND("|",AN247))-FIND("|",AN247)-1))),ABS($P$247-(VALUE(MID(AN247,FIND("|",AN247)+1,FIND("-",AN247,FIND("|",AN247))-FIND("|",AN247)-1))-VALUE(MID(AN247,FIND("-",AN247,FIND("|",AN247))+1,10)))))*$D$50)))))*$I$247,0),0),0)
+IFERROR(IF(LEFT(AN247,FIND("·",AN247)-1)=$C$247,IF($D$247=IFERROR(VALUE(MID(AN247,FIND("·",AN247)+1,1)),0),($D$36+($E$247=MID(AN247,FIND("|",AN247)+1,10))*$D$38+MAX(0,IF($D$50=1,$D$37*(1-(ABS($Q$247-(VALUE(MID(AN247,FIND("|",AN247)+1,FIND("-",AN247,FIND("|",AN247))-FIND("|",AN247)-1))-VALUE(MID(AN247,FIND("-",AN247,FIND("|",AN247))+1,10)))))*$D$50),$D$37*(1-(IF($D$247=0,ABS($A$247-VALUE(MID(AN247,FIND("|",AN247)+1,FIND("-",AN247,FIND("|",AN247))-FIND("|",AN247)-1))),ABS($Q$247-(VALUE(MID(AN247,FIND("|",AN247)+1,FIND("-",AN247,FIND("|",AN247))-FIND("|",AN247)-1))-VALUE(MID(AN247,FIND("-",AN247,FIND("|",AN247))+1,10)))))*$D$50)))))*$I$247,0),0),0)</f>
        <v>0</v>
      </c>
      <c r="AP247" s="110"/>
      <c r="AQ247" s="66" t="s">
        <v>2246</v>
      </c>
      <c r="AR247" s="85">
        <f t="shared" ref="AR247" ca="1" si="3949">IFERROR(IF(LEFT(AQ247,FIND("·",AQ247)-1)=$K$247,IF($L$247=IFERROR(VALUE(MID(AQ247,FIND("·",AQ247)+1,1)),0),($D$36+($M$247=MID(AQ247,FIND("|",AQ247)+1,10))*$D$38+MAX(0,IF($D$50=1,$D$37*(1-(ABS($P$247-(VALUE(MID(AQ247,FIND("|",AQ247)+1,FIND("-",AQ247,FIND("|",AQ247))-FIND("|",AQ247)-1))-VALUE(MID(AQ247,FIND("-",AQ247,FIND("|",AQ247))+1,10)))))*$D$50),$D$37*(1-(IF($L$247=0,ABS($N$247-VALUE(MID(AQ247,FIND("|",AQ247)+1,FIND("-",AQ247,FIND("|",AQ247))-FIND("|",AQ247)-1))),ABS($P$247-(VALUE(MID(AQ247,FIND("|",AQ247)+1,FIND("-",AQ247,FIND("|",AQ247))-FIND("|",AQ247)-1))-VALUE(MID(AQ247,FIND("-",AQ247,FIND("|",AQ247))+1,10)))))*$D$50)))))*$I$247,0),0),0)
+IFERROR(IF(LEFT(AQ247,FIND("·",AQ247)-1)=$C$247,IF($D$247=IFERROR(VALUE(MID(AQ247,FIND("·",AQ247)+1,1)),0),($D$36+($E$247=MID(AQ247,FIND("|",AQ247)+1,10))*$D$38+MAX(0,IF($D$50=1,$D$37*(1-(ABS($Q$247-(VALUE(MID(AQ247,FIND("|",AQ247)+1,FIND("-",AQ247,FIND("|",AQ247))-FIND("|",AQ247)-1))-VALUE(MID(AQ247,FIND("-",AQ247,FIND("|",AQ247))+1,10)))))*$D$50),$D$37*(1-(IF($D$247=0,ABS($A$247-VALUE(MID(AQ247,FIND("|",AQ247)+1,FIND("-",AQ247,FIND("|",AQ247))-FIND("|",AQ247)-1))),ABS($Q$247-(VALUE(MID(AQ247,FIND("|",AQ247)+1,FIND("-",AQ247,FIND("|",AQ247))-FIND("|",AQ247)-1))-VALUE(MID(AQ247,FIND("-",AQ247,FIND("|",AQ247))+1,10)))))*$D$50)))))*$I$247,0),0),0)</f>
        <v>0</v>
      </c>
      <c r="AS247" s="110"/>
      <c r="AT247" s="66" t="s">
        <v>2276</v>
      </c>
      <c r="AU247" s="85">
        <f t="shared" ref="AU247" ca="1" si="3950">IFERROR(IF(LEFT(AT247,FIND("·",AT247)-1)=$K$247,IF($L$247=IFERROR(VALUE(MID(AT247,FIND("·",AT247)+1,1)),0),($D$36+($M$247=MID(AT247,FIND("|",AT247)+1,10))*$D$38+MAX(0,IF($D$50=1,$D$37*(1-(ABS($P$247-(VALUE(MID(AT247,FIND("|",AT247)+1,FIND("-",AT247,FIND("|",AT247))-FIND("|",AT247)-1))-VALUE(MID(AT247,FIND("-",AT247,FIND("|",AT247))+1,10)))))*$D$50),$D$37*(1-(IF($L$247=0,ABS($N$247-VALUE(MID(AT247,FIND("|",AT247)+1,FIND("-",AT247,FIND("|",AT247))-FIND("|",AT247)-1))),ABS($P$247-(VALUE(MID(AT247,FIND("|",AT247)+1,FIND("-",AT247,FIND("|",AT247))-FIND("|",AT247)-1))-VALUE(MID(AT247,FIND("-",AT247,FIND("|",AT247))+1,10)))))*$D$50)))))*$I$247,0),0),0)
+IFERROR(IF(LEFT(AT247,FIND("·",AT247)-1)=$C$247,IF($D$247=IFERROR(VALUE(MID(AT247,FIND("·",AT247)+1,1)),0),($D$36+($E$247=MID(AT247,FIND("|",AT247)+1,10))*$D$38+MAX(0,IF($D$50=1,$D$37*(1-(ABS($Q$247-(VALUE(MID(AT247,FIND("|",AT247)+1,FIND("-",AT247,FIND("|",AT247))-FIND("|",AT247)-1))-VALUE(MID(AT247,FIND("-",AT247,FIND("|",AT247))+1,10)))))*$D$50),$D$37*(1-(IF($D$247=0,ABS($A$247-VALUE(MID(AT247,FIND("|",AT247)+1,FIND("-",AT247,FIND("|",AT247))-FIND("|",AT247)-1))),ABS($Q$247-(VALUE(MID(AT247,FIND("|",AT247)+1,FIND("-",AT247,FIND("|",AT247))-FIND("|",AT247)-1))-VALUE(MID(AT247,FIND("-",AT247,FIND("|",AT247))+1,10)))))*$D$50)))))*$I$247,0),0),0)</f>
        <v>0</v>
      </c>
      <c r="AV247" s="110"/>
      <c r="AW247" s="66" t="s">
        <v>2304</v>
      </c>
      <c r="AX247" s="85">
        <f t="shared" ref="AX247" ca="1" si="3951">IFERROR(IF(LEFT(AW247,FIND("·",AW247)-1)=$K$247,IF($L$247=IFERROR(VALUE(MID(AW247,FIND("·",AW247)+1,1)),0),($D$36+($M$247=MID(AW247,FIND("|",AW247)+1,10))*$D$38+MAX(0,IF($D$50=1,$D$37*(1-(ABS($P$247-(VALUE(MID(AW247,FIND("|",AW247)+1,FIND("-",AW247,FIND("|",AW247))-FIND("|",AW247)-1))-VALUE(MID(AW247,FIND("-",AW247,FIND("|",AW247))+1,10)))))*$D$50),$D$37*(1-(IF($L$247=0,ABS($N$247-VALUE(MID(AW247,FIND("|",AW247)+1,FIND("-",AW247,FIND("|",AW247))-FIND("|",AW247)-1))),ABS($P$247-(VALUE(MID(AW247,FIND("|",AW247)+1,FIND("-",AW247,FIND("|",AW247))-FIND("|",AW247)-1))-VALUE(MID(AW247,FIND("-",AW247,FIND("|",AW247))+1,10)))))*$D$50)))))*$I$247,0),0),0)
+IFERROR(IF(LEFT(AW247,FIND("·",AW247)-1)=$C$247,IF($D$247=IFERROR(VALUE(MID(AW247,FIND("·",AW247)+1,1)),0),($D$36+($E$247=MID(AW247,FIND("|",AW247)+1,10))*$D$38+MAX(0,IF($D$50=1,$D$37*(1-(ABS($Q$247-(VALUE(MID(AW247,FIND("|",AW247)+1,FIND("-",AW247,FIND("|",AW247))-FIND("|",AW247)-1))-VALUE(MID(AW247,FIND("-",AW247,FIND("|",AW247))+1,10)))))*$D$50),$D$37*(1-(IF($D$247=0,ABS($A$247-VALUE(MID(AW247,FIND("|",AW247)+1,FIND("-",AW247,FIND("|",AW247))-FIND("|",AW247)-1))),ABS($Q$247-(VALUE(MID(AW247,FIND("|",AW247)+1,FIND("-",AW247,FIND("|",AW247))-FIND("|",AW247)-1))-VALUE(MID(AW247,FIND("-",AW247,FIND("|",AW247))+1,10)))))*$D$50)))))*$I$247,0),0),0)</f>
        <v>0</v>
      </c>
      <c r="AY247" s="110"/>
      <c r="AZ247" s="66" t="s">
        <v>2099</v>
      </c>
      <c r="BA247" s="85">
        <f t="shared" ref="BA247" ca="1" si="3952">IFERROR(IF(LEFT(AZ247,FIND("·",AZ247)-1)=$K$247,IF($L$247=IFERROR(VALUE(MID(AZ247,FIND("·",AZ247)+1,1)),0),($D$36+($M$247=MID(AZ247,FIND("|",AZ247)+1,10))*$D$38+MAX(0,IF($D$50=1,$D$37*(1-(ABS($P$247-(VALUE(MID(AZ247,FIND("|",AZ247)+1,FIND("-",AZ247,FIND("|",AZ247))-FIND("|",AZ247)-1))-VALUE(MID(AZ247,FIND("-",AZ247,FIND("|",AZ247))+1,10)))))*$D$50),$D$37*(1-(IF($L$247=0,ABS($N$247-VALUE(MID(AZ247,FIND("|",AZ247)+1,FIND("-",AZ247,FIND("|",AZ247))-FIND("|",AZ247)-1))),ABS($P$247-(VALUE(MID(AZ247,FIND("|",AZ247)+1,FIND("-",AZ247,FIND("|",AZ247))-FIND("|",AZ247)-1))-VALUE(MID(AZ247,FIND("-",AZ247,FIND("|",AZ247))+1,10)))))*$D$50)))))*$I$247,0),0),0)
+IFERROR(IF(LEFT(AZ247,FIND("·",AZ247)-1)=$C$247,IF($D$247=IFERROR(VALUE(MID(AZ247,FIND("·",AZ247)+1,1)),0),($D$36+($E$247=MID(AZ247,FIND("|",AZ247)+1,10))*$D$38+MAX(0,IF($D$50=1,$D$37*(1-(ABS($Q$247-(VALUE(MID(AZ247,FIND("|",AZ247)+1,FIND("-",AZ247,FIND("|",AZ247))-FIND("|",AZ247)-1))-VALUE(MID(AZ247,FIND("-",AZ247,FIND("|",AZ247))+1,10)))))*$D$50),$D$37*(1-(IF($D$247=0,ABS($A$247-VALUE(MID(AZ247,FIND("|",AZ247)+1,FIND("-",AZ247,FIND("|",AZ247))-FIND("|",AZ247)-1))),ABS($Q$247-(VALUE(MID(AZ247,FIND("|",AZ247)+1,FIND("-",AZ247,FIND("|",AZ247))-FIND("|",AZ247)-1))-VALUE(MID(AZ247,FIND("-",AZ247,FIND("|",AZ247))+1,10)))))*$D$50)))))*$I$247,0),0),0)</f>
        <v>0</v>
      </c>
      <c r="BB247" s="110"/>
      <c r="BC247" s="66" t="s">
        <v>2344</v>
      </c>
      <c r="BD247" s="85">
        <f t="shared" ref="BD247" ca="1" si="3953">IFERROR(IF(LEFT(BC247,FIND("·",BC247)-1)=$K$247,IF($L$247=IFERROR(VALUE(MID(BC247,FIND("·",BC247)+1,1)),0),($D$36+($M$247=MID(BC247,FIND("|",BC247)+1,10))*$D$38+MAX(0,IF($D$50=1,$D$37*(1-(ABS($P$247-(VALUE(MID(BC247,FIND("|",BC247)+1,FIND("-",BC247,FIND("|",BC247))-FIND("|",BC247)-1))-VALUE(MID(BC247,FIND("-",BC247,FIND("|",BC247))+1,10)))))*$D$50),$D$37*(1-(IF($L$247=0,ABS($N$247-VALUE(MID(BC247,FIND("|",BC247)+1,FIND("-",BC247,FIND("|",BC247))-FIND("|",BC247)-1))),ABS($P$247-(VALUE(MID(BC247,FIND("|",BC247)+1,FIND("-",BC247,FIND("|",BC247))-FIND("|",BC247)-1))-VALUE(MID(BC247,FIND("-",BC247,FIND("|",BC247))+1,10)))))*$D$50)))))*$I$247,0),0),0)
+IFERROR(IF(LEFT(BC247,FIND("·",BC247)-1)=$C$247,IF($D$247=IFERROR(VALUE(MID(BC247,FIND("·",BC247)+1,1)),0),($D$36+($E$247=MID(BC247,FIND("|",BC247)+1,10))*$D$38+MAX(0,IF($D$50=1,$D$37*(1-(ABS($Q$247-(VALUE(MID(BC247,FIND("|",BC247)+1,FIND("-",BC247,FIND("|",BC247))-FIND("|",BC247)-1))-VALUE(MID(BC247,FIND("-",BC247,FIND("|",BC247))+1,10)))))*$D$50),$D$37*(1-(IF($D$247=0,ABS($A$247-VALUE(MID(BC247,FIND("|",BC247)+1,FIND("-",BC247,FIND("|",BC247))-FIND("|",BC247)-1))),ABS($Q$247-(VALUE(MID(BC247,FIND("|",BC247)+1,FIND("-",BC247,FIND("|",BC247))-FIND("|",BC247)-1))-VALUE(MID(BC247,FIND("-",BC247,FIND("|",BC247))+1,10)))))*$D$50)))))*$I$247,0),0),0)</f>
        <v>0</v>
      </c>
      <c r="BE247" s="110"/>
      <c r="BF247" s="66" t="s">
        <v>2185</v>
      </c>
      <c r="BG247" s="85">
        <f t="shared" ref="BG247" ca="1" si="3954">IFERROR(IF(LEFT(BF247,FIND("·",BF247)-1)=$K$247,IF($L$247=IFERROR(VALUE(MID(BF247,FIND("·",BF247)+1,1)),0),($D$36+($M$247=MID(BF247,FIND("|",BF247)+1,10))*$D$38+MAX(0,IF($D$50=1,$D$37*(1-(ABS($P$247-(VALUE(MID(BF247,FIND("|",BF247)+1,FIND("-",BF247,FIND("|",BF247))-FIND("|",BF247)-1))-VALUE(MID(BF247,FIND("-",BF247,FIND("|",BF247))+1,10)))))*$D$50),$D$37*(1-(IF($L$247=0,ABS($N$247-VALUE(MID(BF247,FIND("|",BF247)+1,FIND("-",BF247,FIND("|",BF247))-FIND("|",BF247)-1))),ABS($P$247-(VALUE(MID(BF247,FIND("|",BF247)+1,FIND("-",BF247,FIND("|",BF247))-FIND("|",BF247)-1))-VALUE(MID(BF247,FIND("-",BF247,FIND("|",BF247))+1,10)))))*$D$50)))))*$I$247,0),0),0)
+IFERROR(IF(LEFT(BF247,FIND("·",BF247)-1)=$C$247,IF($D$247=IFERROR(VALUE(MID(BF247,FIND("·",BF247)+1,1)),0),($D$36+($E$247=MID(BF247,FIND("|",BF247)+1,10))*$D$38+MAX(0,IF($D$50=1,$D$37*(1-(ABS($Q$247-(VALUE(MID(BF247,FIND("|",BF247)+1,FIND("-",BF247,FIND("|",BF247))-FIND("|",BF247)-1))-VALUE(MID(BF247,FIND("-",BF247,FIND("|",BF247))+1,10)))))*$D$50),$D$37*(1-(IF($D$247=0,ABS($A$247-VALUE(MID(BF247,FIND("|",BF247)+1,FIND("-",BF247,FIND("|",BF247))-FIND("|",BF247)-1))),ABS($Q$247-(VALUE(MID(BF247,FIND("|",BF247)+1,FIND("-",BF247,FIND("|",BF247))-FIND("|",BF247)-1))-VALUE(MID(BF247,FIND("-",BF247,FIND("|",BF247))+1,10)))))*$D$50)))))*$I$247,0),0),0)</f>
        <v>0</v>
      </c>
      <c r="BH247" s="110"/>
      <c r="BI247" s="66" t="s">
        <v>2398</v>
      </c>
      <c r="BJ247" s="85">
        <f t="shared" ref="BJ247" ca="1" si="3955">IFERROR(IF(LEFT(BI247,FIND("·",BI247)-1)=$K$247,IF($L$247=IFERROR(VALUE(MID(BI247,FIND("·",BI247)+1,1)),0),($D$36+($M$247=MID(BI247,FIND("|",BI247)+1,10))*$D$38+MAX(0,IF($D$50=1,$D$37*(1-(ABS($P$247-(VALUE(MID(BI247,FIND("|",BI247)+1,FIND("-",BI247,FIND("|",BI247))-FIND("|",BI247)-1))-VALUE(MID(BI247,FIND("-",BI247,FIND("|",BI247))+1,10)))))*$D$50),$D$37*(1-(IF($L$247=0,ABS($N$247-VALUE(MID(BI247,FIND("|",BI247)+1,FIND("-",BI247,FIND("|",BI247))-FIND("|",BI247)-1))),ABS($P$247-(VALUE(MID(BI247,FIND("|",BI247)+1,FIND("-",BI247,FIND("|",BI247))-FIND("|",BI247)-1))-VALUE(MID(BI247,FIND("-",BI247,FIND("|",BI247))+1,10)))))*$D$50)))))*$I$247,0),0),0)
+IFERROR(IF(LEFT(BI247,FIND("·",BI247)-1)=$C$247,IF($D$247=IFERROR(VALUE(MID(BI247,FIND("·",BI247)+1,1)),0),($D$36+($E$247=MID(BI247,FIND("|",BI247)+1,10))*$D$38+MAX(0,IF($D$50=1,$D$37*(1-(ABS($Q$247-(VALUE(MID(BI247,FIND("|",BI247)+1,FIND("-",BI247,FIND("|",BI247))-FIND("|",BI247)-1))-VALUE(MID(BI247,FIND("-",BI247,FIND("|",BI247))+1,10)))))*$D$50),$D$37*(1-(IF($D$247=0,ABS($A$247-VALUE(MID(BI247,FIND("|",BI247)+1,FIND("-",BI247,FIND("|",BI247))-FIND("|",BI247)-1))),ABS($Q$247-(VALUE(MID(BI247,FIND("|",BI247)+1,FIND("-",BI247,FIND("|",BI247))-FIND("|",BI247)-1))-VALUE(MID(BI247,FIND("-",BI247,FIND("|",BI247))+1,10)))))*$D$50)))))*$I$247,0),0),0)</f>
        <v>0</v>
      </c>
      <c r="BK247" s="110"/>
      <c r="BL247" s="66" t="s">
        <v>2245</v>
      </c>
      <c r="BM247" s="85">
        <f t="shared" ref="BM247" ca="1" si="3956">IFERROR(IF(LEFT(BL247,FIND("·",BL247)-1)=$K$247,IF($L$247=IFERROR(VALUE(MID(BL247,FIND("·",BL247)+1,1)),0),($D$36+($M$247=MID(BL247,FIND("|",BL247)+1,10))*$D$38+MAX(0,IF($D$50=1,$D$37*(1-(ABS($P$247-(VALUE(MID(BL247,FIND("|",BL247)+1,FIND("-",BL247,FIND("|",BL247))-FIND("|",BL247)-1))-VALUE(MID(BL247,FIND("-",BL247,FIND("|",BL247))+1,10)))))*$D$50),$D$37*(1-(IF($L$247=0,ABS($N$247-VALUE(MID(BL247,FIND("|",BL247)+1,FIND("-",BL247,FIND("|",BL247))-FIND("|",BL247)-1))),ABS($P$247-(VALUE(MID(BL247,FIND("|",BL247)+1,FIND("-",BL247,FIND("|",BL247))-FIND("|",BL247)-1))-VALUE(MID(BL247,FIND("-",BL247,FIND("|",BL247))+1,10)))))*$D$50)))))*$I$247,0),0),0)
+IFERROR(IF(LEFT(BL247,FIND("·",BL247)-1)=$C$247,IF($D$247=IFERROR(VALUE(MID(BL247,FIND("·",BL247)+1,1)),0),($D$36+($E$247=MID(BL247,FIND("|",BL247)+1,10))*$D$38+MAX(0,IF($D$50=1,$D$37*(1-(ABS($Q$247-(VALUE(MID(BL247,FIND("|",BL247)+1,FIND("-",BL247,FIND("|",BL247))-FIND("|",BL247)-1))-VALUE(MID(BL247,FIND("-",BL247,FIND("|",BL247))+1,10)))))*$D$50),$D$37*(1-(IF($D$247=0,ABS($A$247-VALUE(MID(BL247,FIND("|",BL247)+1,FIND("-",BL247,FIND("|",BL247))-FIND("|",BL247)-1))),ABS($Q$247-(VALUE(MID(BL247,FIND("|",BL247)+1,FIND("-",BL247,FIND("|",BL247))-FIND("|",BL247)-1))-VALUE(MID(BL247,FIND("-",BL247,FIND("|",BL247))+1,10)))))*$D$50)))))*$I$247,0),0),0)</f>
        <v>12</v>
      </c>
      <c r="BN247" s="110"/>
      <c r="BO247" s="66" t="s">
        <v>2100</v>
      </c>
      <c r="BP247" s="85">
        <f t="shared" ref="BP247" ca="1" si="3957">IFERROR(IF(LEFT(BO247,FIND("·",BO247)-1)=$K$247,IF($L$247=IFERROR(VALUE(MID(BO247,FIND("·",BO247)+1,1)),0),($D$36+($M$247=MID(BO247,FIND("|",BO247)+1,10))*$D$38+MAX(0,IF($D$50=1,$D$37*(1-(ABS($P$247-(VALUE(MID(BO247,FIND("|",BO247)+1,FIND("-",BO247,FIND("|",BO247))-FIND("|",BO247)-1))-VALUE(MID(BO247,FIND("-",BO247,FIND("|",BO247))+1,10)))))*$D$50),$D$37*(1-(IF($L$247=0,ABS($N$247-VALUE(MID(BO247,FIND("|",BO247)+1,FIND("-",BO247,FIND("|",BO247))-FIND("|",BO247)-1))),ABS($P$247-(VALUE(MID(BO247,FIND("|",BO247)+1,FIND("-",BO247,FIND("|",BO247))-FIND("|",BO247)-1))-VALUE(MID(BO247,FIND("-",BO247,FIND("|",BO247))+1,10)))))*$D$50)))))*$I$247,0),0),0)
+IFERROR(IF(LEFT(BO247,FIND("·",BO247)-1)=$C$247,IF($D$247=IFERROR(VALUE(MID(BO247,FIND("·",BO247)+1,1)),0),($D$36+($E$247=MID(BO247,FIND("|",BO247)+1,10))*$D$38+MAX(0,IF($D$50=1,$D$37*(1-(ABS($Q$247-(VALUE(MID(BO247,FIND("|",BO247)+1,FIND("-",BO247,FIND("|",BO247))-FIND("|",BO247)-1))-VALUE(MID(BO247,FIND("-",BO247,FIND("|",BO247))+1,10)))))*$D$50),$D$37*(1-(IF($D$247=0,ABS($A$247-VALUE(MID(BO247,FIND("|",BO247)+1,FIND("-",BO247,FIND("|",BO247))-FIND("|",BO247)-1))),ABS($Q$247-(VALUE(MID(BO247,FIND("|",BO247)+1,FIND("-",BO247,FIND("|",BO247))-FIND("|",BO247)-1))-VALUE(MID(BO247,FIND("-",BO247,FIND("|",BO247))+1,10)))))*$D$50)))))*$I$247,0),0),0)</f>
        <v>0</v>
      </c>
      <c r="BQ247" s="110"/>
      <c r="BR247" s="66" t="s">
        <v>2465</v>
      </c>
      <c r="BS247" s="85">
        <f t="shared" ref="BS247" ca="1" si="3958">IFERROR(IF(LEFT(BR247,FIND("·",BR247)-1)=$K$247,IF($L$247=IFERROR(VALUE(MID(BR247,FIND("·",BR247)+1,1)),0),($D$36+($M$247=MID(BR247,FIND("|",BR247)+1,10))*$D$38+MAX(0,IF($D$50=1,$D$37*(1-(ABS($P$247-(VALUE(MID(BR247,FIND("|",BR247)+1,FIND("-",BR247,FIND("|",BR247))-FIND("|",BR247)-1))-VALUE(MID(BR247,FIND("-",BR247,FIND("|",BR247))+1,10)))))*$D$50),$D$37*(1-(IF($L$247=0,ABS($N$247-VALUE(MID(BR247,FIND("|",BR247)+1,FIND("-",BR247,FIND("|",BR247))-FIND("|",BR247)-1))),ABS($P$247-(VALUE(MID(BR247,FIND("|",BR247)+1,FIND("-",BR247,FIND("|",BR247))-FIND("|",BR247)-1))-VALUE(MID(BR247,FIND("-",BR247,FIND("|",BR247))+1,10)))))*$D$50)))))*$I$247,0),0),0)
+IFERROR(IF(LEFT(BR247,FIND("·",BR247)-1)=$C$247,IF($D$247=IFERROR(VALUE(MID(BR247,FIND("·",BR247)+1,1)),0),($D$36+($E$247=MID(BR247,FIND("|",BR247)+1,10))*$D$38+MAX(0,IF($D$50=1,$D$37*(1-(ABS($Q$247-(VALUE(MID(BR247,FIND("|",BR247)+1,FIND("-",BR247,FIND("|",BR247))-FIND("|",BR247)-1))-VALUE(MID(BR247,FIND("-",BR247,FIND("|",BR247))+1,10)))))*$D$50),$D$37*(1-(IF($D$247=0,ABS($A$247-VALUE(MID(BR247,FIND("|",BR247)+1,FIND("-",BR247,FIND("|",BR247))-FIND("|",BR247)-1))),ABS($Q$247-(VALUE(MID(BR247,FIND("|",BR247)+1,FIND("-",BR247,FIND("|",BR247))-FIND("|",BR247)-1))-VALUE(MID(BR247,FIND("-",BR247,FIND("|",BR247))+1,10)))))*$D$50)))))*$I$247,0),0),0)</f>
        <v>0</v>
      </c>
      <c r="BT247" s="110"/>
      <c r="BU247" s="66" t="s">
        <v>2126</v>
      </c>
      <c r="BV247" s="85">
        <f t="shared" ref="BV247" ca="1" si="3959">IFERROR(IF(LEFT(BU247,FIND("·",BU247)-1)=$K$247,IF($L$247=IFERROR(VALUE(MID(BU247,FIND("·",BU247)+1,1)),0),($D$36+($M$247=MID(BU247,FIND("|",BU247)+1,10))*$D$38+MAX(0,IF($D$50=1,$D$37*(1-(ABS($P$247-(VALUE(MID(BU247,FIND("|",BU247)+1,FIND("-",BU247,FIND("|",BU247))-FIND("|",BU247)-1))-VALUE(MID(BU247,FIND("-",BU247,FIND("|",BU247))+1,10)))))*$D$50),$D$37*(1-(IF($L$247=0,ABS($N$247-VALUE(MID(BU247,FIND("|",BU247)+1,FIND("-",BU247,FIND("|",BU247))-FIND("|",BU247)-1))),ABS($P$247-(VALUE(MID(BU247,FIND("|",BU247)+1,FIND("-",BU247,FIND("|",BU247))-FIND("|",BU247)-1))-VALUE(MID(BU247,FIND("-",BU247,FIND("|",BU247))+1,10)))))*$D$50)))))*$I$247,0),0),0)
+IFERROR(IF(LEFT(BU247,FIND("·",BU247)-1)=$C$247,IF($D$247=IFERROR(VALUE(MID(BU247,FIND("·",BU247)+1,1)),0),($D$36+($E$247=MID(BU247,FIND("|",BU247)+1,10))*$D$38+MAX(0,IF($D$50=1,$D$37*(1-(ABS($Q$247-(VALUE(MID(BU247,FIND("|",BU247)+1,FIND("-",BU247,FIND("|",BU247))-FIND("|",BU247)-1))-VALUE(MID(BU247,FIND("-",BU247,FIND("|",BU247))+1,10)))))*$D$50),$D$37*(1-(IF($D$247=0,ABS($A$247-VALUE(MID(BU247,FIND("|",BU247)+1,FIND("-",BU247,FIND("|",BU247))-FIND("|",BU247)-1))),ABS($Q$247-(VALUE(MID(BU247,FIND("|",BU247)+1,FIND("-",BU247,FIND("|",BU247))-FIND("|",BU247)-1))-VALUE(MID(BU247,FIND("-",BU247,FIND("|",BU247))+1,10)))))*$D$50)))))*$I$247,0),0),0)</f>
        <v>0</v>
      </c>
      <c r="BW247" s="110"/>
      <c r="BX247" s="66" t="s">
        <v>2158</v>
      </c>
      <c r="BY247" s="85">
        <f t="shared" ref="BY247" ca="1" si="3960">IFERROR(IF(LEFT(BX247,FIND("·",BX247)-1)=$K$247,IF($L$247=IFERROR(VALUE(MID(BX247,FIND("·",BX247)+1,1)),0),($D$36+($M$247=MID(BX247,FIND("|",BX247)+1,10))*$D$38+MAX(0,IF($D$50=1,$D$37*(1-(ABS($P$247-(VALUE(MID(BX247,FIND("|",BX247)+1,FIND("-",BX247,FIND("|",BX247))-FIND("|",BX247)-1))-VALUE(MID(BX247,FIND("-",BX247,FIND("|",BX247))+1,10)))))*$D$50),$D$37*(1-(IF($L$247=0,ABS($N$247-VALUE(MID(BX247,FIND("|",BX247)+1,FIND("-",BX247,FIND("|",BX247))-FIND("|",BX247)-1))),ABS($P$247-(VALUE(MID(BX247,FIND("|",BX247)+1,FIND("-",BX247,FIND("|",BX247))-FIND("|",BX247)-1))-VALUE(MID(BX247,FIND("-",BX247,FIND("|",BX247))+1,10)))))*$D$50)))))*$I$247,0),0),0)
+IFERROR(IF(LEFT(BX247,FIND("·",BX247)-1)=$C$247,IF($D$247=IFERROR(VALUE(MID(BX247,FIND("·",BX247)+1,1)),0),($D$36+($E$247=MID(BX247,FIND("|",BX247)+1,10))*$D$38+MAX(0,IF($D$50=1,$D$37*(1-(ABS($Q$247-(VALUE(MID(BX247,FIND("|",BX247)+1,FIND("-",BX247,FIND("|",BX247))-FIND("|",BX247)-1))-VALUE(MID(BX247,FIND("-",BX247,FIND("|",BX247))+1,10)))))*$D$50),$D$37*(1-(IF($D$247=0,ABS($A$247-VALUE(MID(BX247,FIND("|",BX247)+1,FIND("-",BX247,FIND("|",BX247))-FIND("|",BX247)-1))),ABS($Q$247-(VALUE(MID(BX247,FIND("|",BX247)+1,FIND("-",BX247,FIND("|",BX247))-FIND("|",BX247)-1))-VALUE(MID(BX247,FIND("-",BX247,FIND("|",BX247))+1,10)))))*$D$50)))))*$I$247,0),0),0)</f>
        <v>0</v>
      </c>
      <c r="BZ247" s="110"/>
      <c r="CA247" s="66" t="s">
        <v>2509</v>
      </c>
      <c r="CB247" s="85">
        <f t="shared" ref="CB247" ca="1" si="3961">IFERROR(IF(LEFT(CA247,FIND("·",CA247)-1)=$K$247,IF($L$247=IFERROR(VALUE(MID(CA247,FIND("·",CA247)+1,1)),0),($D$36+($M$247=MID(CA247,FIND("|",CA247)+1,10))*$D$38+MAX(0,IF($D$50=1,$D$37*(1-(ABS($P$247-(VALUE(MID(CA247,FIND("|",CA247)+1,FIND("-",CA247,FIND("|",CA247))-FIND("|",CA247)-1))-VALUE(MID(CA247,FIND("-",CA247,FIND("|",CA247))+1,10)))))*$D$50),$D$37*(1-(IF($L$247=0,ABS($N$247-VALUE(MID(CA247,FIND("|",CA247)+1,FIND("-",CA247,FIND("|",CA247))-FIND("|",CA247)-1))),ABS($P$247-(VALUE(MID(CA247,FIND("|",CA247)+1,FIND("-",CA247,FIND("|",CA247))-FIND("|",CA247)-1))-VALUE(MID(CA247,FIND("-",CA247,FIND("|",CA247))+1,10)))))*$D$50)))))*$I$247,0),0),0)
+IFERROR(IF(LEFT(CA247,FIND("·",CA247)-1)=$C$247,IF($D$247=IFERROR(VALUE(MID(CA247,FIND("·",CA247)+1,1)),0),($D$36+($E$247=MID(CA247,FIND("|",CA247)+1,10))*$D$38+MAX(0,IF($D$50=1,$D$37*(1-(ABS($Q$247-(VALUE(MID(CA247,FIND("|",CA247)+1,FIND("-",CA247,FIND("|",CA247))-FIND("|",CA247)-1))-VALUE(MID(CA247,FIND("-",CA247,FIND("|",CA247))+1,10)))))*$D$50),$D$37*(1-(IF($D$247=0,ABS($A$247-VALUE(MID(CA247,FIND("|",CA247)+1,FIND("-",CA247,FIND("|",CA247))-FIND("|",CA247)-1))),ABS($Q$247-(VALUE(MID(CA247,FIND("|",CA247)+1,FIND("-",CA247,FIND("|",CA247))-FIND("|",CA247)-1))-VALUE(MID(CA247,FIND("-",CA247,FIND("|",CA247))+1,10)))))*$D$50)))))*$I$247,0),0),0)</f>
        <v>0</v>
      </c>
      <c r="CC247" s="110"/>
      <c r="CD247" s="66" t="s">
        <v>2126</v>
      </c>
      <c r="CE247" s="85">
        <f t="shared" ref="CE247" ca="1" si="3962">IFERROR(IF(LEFT(CD247,FIND("·",CD247)-1)=$K$247,IF($L$247=IFERROR(VALUE(MID(CD247,FIND("·",CD247)+1,1)),0),($D$36+($M$247=MID(CD247,FIND("|",CD247)+1,10))*$D$38+MAX(0,IF($D$50=1,$D$37*(1-(ABS($P$247-(VALUE(MID(CD247,FIND("|",CD247)+1,FIND("-",CD247,FIND("|",CD247))-FIND("|",CD247)-1))-VALUE(MID(CD247,FIND("-",CD247,FIND("|",CD247))+1,10)))))*$D$50),$D$37*(1-(IF($L$247=0,ABS($N$247-VALUE(MID(CD247,FIND("|",CD247)+1,FIND("-",CD247,FIND("|",CD247))-FIND("|",CD247)-1))),ABS($P$247-(VALUE(MID(CD247,FIND("|",CD247)+1,FIND("-",CD247,FIND("|",CD247))-FIND("|",CD247)-1))-VALUE(MID(CD247,FIND("-",CD247,FIND("|",CD247))+1,10)))))*$D$50)))))*$I$247,0),0),0)
+IFERROR(IF(LEFT(CD247,FIND("·",CD247)-1)=$C$247,IF($D$247=IFERROR(VALUE(MID(CD247,FIND("·",CD247)+1,1)),0),($D$36+($E$247=MID(CD247,FIND("|",CD247)+1,10))*$D$38+MAX(0,IF($D$50=1,$D$37*(1-(ABS($Q$247-(VALUE(MID(CD247,FIND("|",CD247)+1,FIND("-",CD247,FIND("|",CD247))-FIND("|",CD247)-1))-VALUE(MID(CD247,FIND("-",CD247,FIND("|",CD247))+1,10)))))*$D$50),$D$37*(1-(IF($D$247=0,ABS($A$247-VALUE(MID(CD247,FIND("|",CD247)+1,FIND("-",CD247,FIND("|",CD247))-FIND("|",CD247)-1))),ABS($Q$247-(VALUE(MID(CD247,FIND("|",CD247)+1,FIND("-",CD247,FIND("|",CD247))-FIND("|",CD247)-1))-VALUE(MID(CD247,FIND("-",CD247,FIND("|",CD247))+1,10)))))*$D$50)))))*$I$247,0),0),0)</f>
        <v>0</v>
      </c>
      <c r="CF247" s="110"/>
      <c r="CG247" s="66" t="s">
        <v>2544</v>
      </c>
      <c r="CH247" s="85">
        <f t="shared" ref="CH247" ca="1" si="3963">IFERROR(IF(LEFT(CG247,FIND("·",CG247)-1)=$K$247,IF($L$247=IFERROR(VALUE(MID(CG247,FIND("·",CG247)+1,1)),0),($D$36+($M$247=MID(CG247,FIND("|",CG247)+1,10))*$D$38+MAX(0,IF($D$50=1,$D$37*(1-(ABS($P$247-(VALUE(MID(CG247,FIND("|",CG247)+1,FIND("-",CG247,FIND("|",CG247))-FIND("|",CG247)-1))-VALUE(MID(CG247,FIND("-",CG247,FIND("|",CG247))+1,10)))))*$D$50),$D$37*(1-(IF($L$247=0,ABS($N$247-VALUE(MID(CG247,FIND("|",CG247)+1,FIND("-",CG247,FIND("|",CG247))-FIND("|",CG247)-1))),ABS($P$247-(VALUE(MID(CG247,FIND("|",CG247)+1,FIND("-",CG247,FIND("|",CG247))-FIND("|",CG247)-1))-VALUE(MID(CG247,FIND("-",CG247,FIND("|",CG247))+1,10)))))*$D$50)))))*$I$247,0),0),0)
+IFERROR(IF(LEFT(CG247,FIND("·",CG247)-1)=$C$247,IF($D$247=IFERROR(VALUE(MID(CG247,FIND("·",CG247)+1,1)),0),($D$36+($E$247=MID(CG247,FIND("|",CG247)+1,10))*$D$38+MAX(0,IF($D$50=1,$D$37*(1-(ABS($Q$247-(VALUE(MID(CG247,FIND("|",CG247)+1,FIND("-",CG247,FIND("|",CG247))-FIND("|",CG247)-1))-VALUE(MID(CG247,FIND("-",CG247,FIND("|",CG247))+1,10)))))*$D$50),$D$37*(1-(IF($D$247=0,ABS($A$247-VALUE(MID(CG247,FIND("|",CG247)+1,FIND("-",CG247,FIND("|",CG247))-FIND("|",CG247)-1))),ABS($Q$247-(VALUE(MID(CG247,FIND("|",CG247)+1,FIND("-",CG247,FIND("|",CG247))-FIND("|",CG247)-1))-VALUE(MID(CG247,FIND("-",CG247,FIND("|",CG247))+1,10)))))*$D$50)))))*$I$247,0),0),0)</f>
        <v>0</v>
      </c>
      <c r="CI247" s="110"/>
      <c r="CJ247" s="66" t="s">
        <v>2341</v>
      </c>
      <c r="CK247" s="85">
        <f t="shared" ref="CK247" ca="1" si="3964">IFERROR(IF(LEFT(CJ247,FIND("·",CJ247)-1)=$K$247,IF($L$247=IFERROR(VALUE(MID(CJ247,FIND("·",CJ247)+1,1)),0),($D$36+($M$247=MID(CJ247,FIND("|",CJ247)+1,10))*$D$38+MAX(0,IF($D$50=1,$D$37*(1-(ABS($P$247-(VALUE(MID(CJ247,FIND("|",CJ247)+1,FIND("-",CJ247,FIND("|",CJ247))-FIND("|",CJ247)-1))-VALUE(MID(CJ247,FIND("-",CJ247,FIND("|",CJ247))+1,10)))))*$D$50),$D$37*(1-(IF($L$247=0,ABS($N$247-VALUE(MID(CJ247,FIND("|",CJ247)+1,FIND("-",CJ247,FIND("|",CJ247))-FIND("|",CJ247)-1))),ABS($P$247-(VALUE(MID(CJ247,FIND("|",CJ247)+1,FIND("-",CJ247,FIND("|",CJ247))-FIND("|",CJ247)-1))-VALUE(MID(CJ247,FIND("-",CJ247,FIND("|",CJ247))+1,10)))))*$D$50)))))*$I$247,0),0),0)
+IFERROR(IF(LEFT(CJ247,FIND("·",CJ247)-1)=$C$247,IF($D$247=IFERROR(VALUE(MID(CJ247,FIND("·",CJ247)+1,1)),0),($D$36+($E$247=MID(CJ247,FIND("|",CJ247)+1,10))*$D$38+MAX(0,IF($D$50=1,$D$37*(1-(ABS($Q$247-(VALUE(MID(CJ247,FIND("|",CJ247)+1,FIND("-",CJ247,FIND("|",CJ247))-FIND("|",CJ247)-1))-VALUE(MID(CJ247,FIND("-",CJ247,FIND("|",CJ247))+1,10)))))*$D$50),$D$37*(1-(IF($D$247=0,ABS($A$247-VALUE(MID(CJ247,FIND("|",CJ247)+1,FIND("-",CJ247,FIND("|",CJ247))-FIND("|",CJ247)-1))),ABS($Q$247-(VALUE(MID(CJ247,FIND("|",CJ247)+1,FIND("-",CJ247,FIND("|",CJ247))-FIND("|",CJ247)-1))-VALUE(MID(CJ247,FIND("-",CJ247,FIND("|",CJ247))+1,10)))))*$D$50)))))*$I$247,0),0),0)</f>
        <v>0</v>
      </c>
      <c r="CL247" s="110"/>
      <c r="CM247" s="66" t="s">
        <v>2589</v>
      </c>
      <c r="CN247" s="85">
        <f t="shared" ref="CN247" ca="1" si="3965">IFERROR(IF(LEFT(CM247,FIND("·",CM247)-1)=$K$247,IF($L$247=IFERROR(VALUE(MID(CM247,FIND("·",CM247)+1,1)),0),($D$36+($M$247=MID(CM247,FIND("|",CM247)+1,10))*$D$38+MAX(0,IF($D$50=1,$D$37*(1-(ABS($P$247-(VALUE(MID(CM247,FIND("|",CM247)+1,FIND("-",CM247,FIND("|",CM247))-FIND("|",CM247)-1))-VALUE(MID(CM247,FIND("-",CM247,FIND("|",CM247))+1,10)))))*$D$50),$D$37*(1-(IF($L$247=0,ABS($N$247-VALUE(MID(CM247,FIND("|",CM247)+1,FIND("-",CM247,FIND("|",CM247))-FIND("|",CM247)-1))),ABS($P$247-(VALUE(MID(CM247,FIND("|",CM247)+1,FIND("-",CM247,FIND("|",CM247))-FIND("|",CM247)-1))-VALUE(MID(CM247,FIND("-",CM247,FIND("|",CM247))+1,10)))))*$D$50)))))*$I$247,0),0),0)
+IFERROR(IF(LEFT(CM247,FIND("·",CM247)-1)=$C$247,IF($D$247=IFERROR(VALUE(MID(CM247,FIND("·",CM247)+1,1)),0),($D$36+($E$247=MID(CM247,FIND("|",CM247)+1,10))*$D$38+MAX(0,IF($D$50=1,$D$37*(1-(ABS($Q$247-(VALUE(MID(CM247,FIND("|",CM247)+1,FIND("-",CM247,FIND("|",CM247))-FIND("|",CM247)-1))-VALUE(MID(CM247,FIND("-",CM247,FIND("|",CM247))+1,10)))))*$D$50),$D$37*(1-(IF($D$247=0,ABS($A$247-VALUE(MID(CM247,FIND("|",CM247)+1,FIND("-",CM247,FIND("|",CM247))-FIND("|",CM247)-1))),ABS($Q$247-(VALUE(MID(CM247,FIND("|",CM247)+1,FIND("-",CM247,FIND("|",CM247))-FIND("|",CM247)-1))-VALUE(MID(CM247,FIND("-",CM247,FIND("|",CM247))+1,10)))))*$D$50)))))*$I$247,0),0),0)</f>
        <v>0</v>
      </c>
      <c r="CO247" s="110"/>
      <c r="CP247" s="66" t="s">
        <v>2365</v>
      </c>
      <c r="CQ247" s="85">
        <f t="shared" ref="CQ247" ca="1" si="3966">IFERROR(IF(LEFT(CP247,FIND("·",CP247)-1)=$K$247,IF($L$247=IFERROR(VALUE(MID(CP247,FIND("·",CP247)+1,1)),0),($D$36+($M$247=MID(CP247,FIND("|",CP247)+1,10))*$D$38+MAX(0,IF($D$50=1,$D$37*(1-(ABS($P$247-(VALUE(MID(CP247,FIND("|",CP247)+1,FIND("-",CP247,FIND("|",CP247))-FIND("|",CP247)-1))-VALUE(MID(CP247,FIND("-",CP247,FIND("|",CP247))+1,10)))))*$D$50),$D$37*(1-(IF($L$247=0,ABS($N$247-VALUE(MID(CP247,FIND("|",CP247)+1,FIND("-",CP247,FIND("|",CP247))-FIND("|",CP247)-1))),ABS($P$247-(VALUE(MID(CP247,FIND("|",CP247)+1,FIND("-",CP247,FIND("|",CP247))-FIND("|",CP247)-1))-VALUE(MID(CP247,FIND("-",CP247,FIND("|",CP247))+1,10)))))*$D$50)))))*$I$247,0),0),0)
+IFERROR(IF(LEFT(CP247,FIND("·",CP247)-1)=$C$247,IF($D$247=IFERROR(VALUE(MID(CP247,FIND("·",CP247)+1,1)),0),($D$36+($E$247=MID(CP247,FIND("|",CP247)+1,10))*$D$38+MAX(0,IF($D$50=1,$D$37*(1-(ABS($Q$247-(VALUE(MID(CP247,FIND("|",CP247)+1,FIND("-",CP247,FIND("|",CP247))-FIND("|",CP247)-1))-VALUE(MID(CP247,FIND("-",CP247,FIND("|",CP247))+1,10)))))*$D$50),$D$37*(1-(IF($D$247=0,ABS($A$247-VALUE(MID(CP247,FIND("|",CP247)+1,FIND("-",CP247,FIND("|",CP247))-FIND("|",CP247)-1))),ABS($Q$247-(VALUE(MID(CP247,FIND("|",CP247)+1,FIND("-",CP247,FIND("|",CP247))-FIND("|",CP247)-1))-VALUE(MID(CP247,FIND("-",CP247,FIND("|",CP247))+1,10)))))*$D$50)))))*$I$247,0),0),0)</f>
        <v>0</v>
      </c>
      <c r="CR247" s="110"/>
      <c r="CS247" s="66" t="s">
        <v>2629</v>
      </c>
      <c r="CT247" s="85">
        <f t="shared" ref="CT247" ca="1" si="3967">IFERROR(IF(LEFT(CS247,FIND("·",CS247)-1)=$K$247,IF($L$247=IFERROR(VALUE(MID(CS247,FIND("·",CS247)+1,1)),0),($D$36+($M$247=MID(CS247,FIND("|",CS247)+1,10))*$D$38+MAX(0,IF($D$50=1,$D$37*(1-(ABS($P$247-(VALUE(MID(CS247,FIND("|",CS247)+1,FIND("-",CS247,FIND("|",CS247))-FIND("|",CS247)-1))-VALUE(MID(CS247,FIND("-",CS247,FIND("|",CS247))+1,10)))))*$D$50),$D$37*(1-(IF($L$247=0,ABS($N$247-VALUE(MID(CS247,FIND("|",CS247)+1,FIND("-",CS247,FIND("|",CS247))-FIND("|",CS247)-1))),ABS($P$247-(VALUE(MID(CS247,FIND("|",CS247)+1,FIND("-",CS247,FIND("|",CS247))-FIND("|",CS247)-1))-VALUE(MID(CS247,FIND("-",CS247,FIND("|",CS247))+1,10)))))*$D$50)))))*$I$247,0),0),0)
+IFERROR(IF(LEFT(CS247,FIND("·",CS247)-1)=$C$247,IF($D$247=IFERROR(VALUE(MID(CS247,FIND("·",CS247)+1,1)),0),($D$36+($E$247=MID(CS247,FIND("|",CS247)+1,10))*$D$38+MAX(0,IF($D$50=1,$D$37*(1-(ABS($Q$247-(VALUE(MID(CS247,FIND("|",CS247)+1,FIND("-",CS247,FIND("|",CS247))-FIND("|",CS247)-1))-VALUE(MID(CS247,FIND("-",CS247,FIND("|",CS247))+1,10)))))*$D$50),$D$37*(1-(IF($D$247=0,ABS($A$247-VALUE(MID(CS247,FIND("|",CS247)+1,FIND("-",CS247,FIND("|",CS247))-FIND("|",CS247)-1))),ABS($Q$247-(VALUE(MID(CS247,FIND("|",CS247)+1,FIND("-",CS247,FIND("|",CS247))-FIND("|",CS247)-1))-VALUE(MID(CS247,FIND("-",CS247,FIND("|",CS247))+1,10)))))*$D$50)))))*$I$247,0),0),0)</f>
        <v>0</v>
      </c>
      <c r="CU247" s="110"/>
      <c r="CV247" s="66" t="s">
        <v>2654</v>
      </c>
      <c r="CW247" s="85">
        <f t="shared" ref="CW247" ca="1" si="3968">IFERROR(IF(LEFT(CV247,FIND("·",CV247)-1)=$K$247,IF($L$247=IFERROR(VALUE(MID(CV247,FIND("·",CV247)+1,1)),0),($D$36+($M$247=MID(CV247,FIND("|",CV247)+1,10))*$D$38+MAX(0,IF($D$50=1,$D$37*(1-(ABS($P$247-(VALUE(MID(CV247,FIND("|",CV247)+1,FIND("-",CV247,FIND("|",CV247))-FIND("|",CV247)-1))-VALUE(MID(CV247,FIND("-",CV247,FIND("|",CV247))+1,10)))))*$D$50),$D$37*(1-(IF($L$247=0,ABS($N$247-VALUE(MID(CV247,FIND("|",CV247)+1,FIND("-",CV247,FIND("|",CV247))-FIND("|",CV247)-1))),ABS($P$247-(VALUE(MID(CV247,FIND("|",CV247)+1,FIND("-",CV247,FIND("|",CV247))-FIND("|",CV247)-1))-VALUE(MID(CV247,FIND("-",CV247,FIND("|",CV247))+1,10)))))*$D$50)))))*$I$247,0),0),0)
+IFERROR(IF(LEFT(CV247,FIND("·",CV247)-1)=$C$247,IF($D$247=IFERROR(VALUE(MID(CV247,FIND("·",CV247)+1,1)),0),($D$36+($E$247=MID(CV247,FIND("|",CV247)+1,10))*$D$38+MAX(0,IF($D$50=1,$D$37*(1-(ABS($Q$247-(VALUE(MID(CV247,FIND("|",CV247)+1,FIND("-",CV247,FIND("|",CV247))-FIND("|",CV247)-1))-VALUE(MID(CV247,FIND("-",CV247,FIND("|",CV247))+1,10)))))*$D$50),$D$37*(1-(IF($D$247=0,ABS($A$247-VALUE(MID(CV247,FIND("|",CV247)+1,FIND("-",CV247,FIND("|",CV247))-FIND("|",CV247)-1))),ABS($Q$247-(VALUE(MID(CV247,FIND("|",CV247)+1,FIND("-",CV247,FIND("|",CV247))-FIND("|",CV247)-1))-VALUE(MID(CV247,FIND("-",CV247,FIND("|",CV247))+1,10)))))*$D$50)))))*$I$247,0),0),0)</f>
        <v>0</v>
      </c>
      <c r="CX247" s="110"/>
      <c r="CY247" s="66" t="s">
        <v>2690</v>
      </c>
      <c r="CZ247" s="85">
        <f t="shared" ref="CZ247" ca="1" si="3969">IFERROR(IF(LEFT(CY247,FIND("·",CY247)-1)=$K$247,IF($L$247=IFERROR(VALUE(MID(CY247,FIND("·",CY247)+1,1)),0),($D$36+($M$247=MID(CY247,FIND("|",CY247)+1,10))*$D$38+MAX(0,IF($D$50=1,$D$37*(1-(ABS($P$247-(VALUE(MID(CY247,FIND("|",CY247)+1,FIND("-",CY247,FIND("|",CY247))-FIND("|",CY247)-1))-VALUE(MID(CY247,FIND("-",CY247,FIND("|",CY247))+1,10)))))*$D$50),$D$37*(1-(IF($L$247=0,ABS($N$247-VALUE(MID(CY247,FIND("|",CY247)+1,FIND("-",CY247,FIND("|",CY247))-FIND("|",CY247)-1))),ABS($P$247-(VALUE(MID(CY247,FIND("|",CY247)+1,FIND("-",CY247,FIND("|",CY247))-FIND("|",CY247)-1))-VALUE(MID(CY247,FIND("-",CY247,FIND("|",CY247))+1,10)))))*$D$50)))))*$I$247,0),0),0)
+IFERROR(IF(LEFT(CY247,FIND("·",CY247)-1)=$C$247,IF($D$247=IFERROR(VALUE(MID(CY247,FIND("·",CY247)+1,1)),0),($D$36+($E$247=MID(CY247,FIND("|",CY247)+1,10))*$D$38+MAX(0,IF($D$50=1,$D$37*(1-(ABS($Q$247-(VALUE(MID(CY247,FIND("|",CY247)+1,FIND("-",CY247,FIND("|",CY247))-FIND("|",CY247)-1))-VALUE(MID(CY247,FIND("-",CY247,FIND("|",CY247))+1,10)))))*$D$50),$D$37*(1-(IF($D$247=0,ABS($A$247-VALUE(MID(CY247,FIND("|",CY247)+1,FIND("-",CY247,FIND("|",CY247))-FIND("|",CY247)-1))),ABS($Q$247-(VALUE(MID(CY247,FIND("|",CY247)+1,FIND("-",CY247,FIND("|",CY247))-FIND("|",CY247)-1))-VALUE(MID(CY247,FIND("-",CY247,FIND("|",CY247))+1,10)))))*$D$50)))))*$I$247,0),0),0)</f>
        <v>0</v>
      </c>
      <c r="DA247" s="110"/>
      <c r="DB247" s="66" t="s">
        <v>2708</v>
      </c>
      <c r="DC247" s="85">
        <f t="shared" ref="DC247" ca="1" si="3970">IFERROR(IF(LEFT(DB247,FIND("·",DB247)-1)=$K$247,IF($L$247=IFERROR(VALUE(MID(DB247,FIND("·",DB247)+1,1)),0),($D$36+($M$247=MID(DB247,FIND("|",DB247)+1,10))*$D$38+MAX(0,IF($D$50=1,$D$37*(1-(ABS($P$247-(VALUE(MID(DB247,FIND("|",DB247)+1,FIND("-",DB247,FIND("|",DB247))-FIND("|",DB247)-1))-VALUE(MID(DB247,FIND("-",DB247,FIND("|",DB247))+1,10)))))*$D$50),$D$37*(1-(IF($L$247=0,ABS($N$247-VALUE(MID(DB247,FIND("|",DB247)+1,FIND("-",DB247,FIND("|",DB247))-FIND("|",DB247)-1))),ABS($P$247-(VALUE(MID(DB247,FIND("|",DB247)+1,FIND("-",DB247,FIND("|",DB247))-FIND("|",DB247)-1))-VALUE(MID(DB247,FIND("-",DB247,FIND("|",DB247))+1,10)))))*$D$50)))))*$I$247,0),0),0)
+IFERROR(IF(LEFT(DB247,FIND("·",DB247)-1)=$C$247,IF($D$247=IFERROR(VALUE(MID(DB247,FIND("·",DB247)+1,1)),0),($D$36+($E$247=MID(DB247,FIND("|",DB247)+1,10))*$D$38+MAX(0,IF($D$50=1,$D$37*(1-(ABS($Q$247-(VALUE(MID(DB247,FIND("|",DB247)+1,FIND("-",DB247,FIND("|",DB247))-FIND("|",DB247)-1))-VALUE(MID(DB247,FIND("-",DB247,FIND("|",DB247))+1,10)))))*$D$50),$D$37*(1-(IF($D$247=0,ABS($A$247-VALUE(MID(DB247,FIND("|",DB247)+1,FIND("-",DB247,FIND("|",DB247))-FIND("|",DB247)-1))),ABS($Q$247-(VALUE(MID(DB247,FIND("|",DB247)+1,FIND("-",DB247,FIND("|",DB247))-FIND("|",DB247)-1))-VALUE(MID(DB247,FIND("-",DB247,FIND("|",DB247))+1,10)))))*$D$50)))))*$I$247,0),0),0)</f>
        <v>0</v>
      </c>
      <c r="DD247" s="110"/>
      <c r="DE247" s="66" t="s">
        <v>2719</v>
      </c>
      <c r="DF247" s="85">
        <f t="shared" ref="DF247" ca="1" si="3971">IFERROR(IF(LEFT(DE247,FIND("·",DE247)-1)=$K$247,IF($L$247=IFERROR(VALUE(MID(DE247,FIND("·",DE247)+1,1)),0),($D$36+($M$247=MID(DE247,FIND("|",DE247)+1,10))*$D$38+MAX(0,IF($D$50=1,$D$37*(1-(ABS($P$247-(VALUE(MID(DE247,FIND("|",DE247)+1,FIND("-",DE247,FIND("|",DE247))-FIND("|",DE247)-1))-VALUE(MID(DE247,FIND("-",DE247,FIND("|",DE247))+1,10)))))*$D$50),$D$37*(1-(IF($L$247=0,ABS($N$247-VALUE(MID(DE247,FIND("|",DE247)+1,FIND("-",DE247,FIND("|",DE247))-FIND("|",DE247)-1))),ABS($P$247-(VALUE(MID(DE247,FIND("|",DE247)+1,FIND("-",DE247,FIND("|",DE247))-FIND("|",DE247)-1))-VALUE(MID(DE247,FIND("-",DE247,FIND("|",DE247))+1,10)))))*$D$50)))))*$I$247,0),0),0)
+IFERROR(IF(LEFT(DE247,FIND("·",DE247)-1)=$C$247,IF($D$247=IFERROR(VALUE(MID(DE247,FIND("·",DE247)+1,1)),0),($D$36+($E$247=MID(DE247,FIND("|",DE247)+1,10))*$D$38+MAX(0,IF($D$50=1,$D$37*(1-(ABS($Q$247-(VALUE(MID(DE247,FIND("|",DE247)+1,FIND("-",DE247,FIND("|",DE247))-FIND("|",DE247)-1))-VALUE(MID(DE247,FIND("-",DE247,FIND("|",DE247))+1,10)))))*$D$50),$D$37*(1-(IF($D$247=0,ABS($A$247-VALUE(MID(DE247,FIND("|",DE247)+1,FIND("-",DE247,FIND("|",DE247))-FIND("|",DE247)-1))),ABS($Q$247-(VALUE(MID(DE247,FIND("|",DE247)+1,FIND("-",DE247,FIND("|",DE247))-FIND("|",DE247)-1))-VALUE(MID(DE247,FIND("-",DE247,FIND("|",DE247))+1,10)))))*$D$50)))))*$I$247,0),0),0)</f>
        <v>0</v>
      </c>
      <c r="DG247" s="110"/>
      <c r="DH247" s="66" t="s">
        <v>2742</v>
      </c>
      <c r="DI247" s="85">
        <f t="shared" ref="DI247" ca="1" si="3972">IFERROR(IF(LEFT(DH247,FIND("·",DH247)-1)=$K$247,IF($L$247=IFERROR(VALUE(MID(DH247,FIND("·",DH247)+1,1)),0),($D$36+($M$247=MID(DH247,FIND("|",DH247)+1,10))*$D$38+MAX(0,IF($D$50=1,$D$37*(1-(ABS($P$247-(VALUE(MID(DH247,FIND("|",DH247)+1,FIND("-",DH247,FIND("|",DH247))-FIND("|",DH247)-1))-VALUE(MID(DH247,FIND("-",DH247,FIND("|",DH247))+1,10)))))*$D$50),$D$37*(1-(IF($L$247=0,ABS($N$247-VALUE(MID(DH247,FIND("|",DH247)+1,FIND("-",DH247,FIND("|",DH247))-FIND("|",DH247)-1))),ABS($P$247-(VALUE(MID(DH247,FIND("|",DH247)+1,FIND("-",DH247,FIND("|",DH247))-FIND("|",DH247)-1))-VALUE(MID(DH247,FIND("-",DH247,FIND("|",DH247))+1,10)))))*$D$50)))))*$I$247,0),0),0)
+IFERROR(IF(LEFT(DH247,FIND("·",DH247)-1)=$C$247,IF($D$247=IFERROR(VALUE(MID(DH247,FIND("·",DH247)+1,1)),0),($D$36+($E$247=MID(DH247,FIND("|",DH247)+1,10))*$D$38+MAX(0,IF($D$50=1,$D$37*(1-(ABS($Q$247-(VALUE(MID(DH247,FIND("|",DH247)+1,FIND("-",DH247,FIND("|",DH247))-FIND("|",DH247)-1))-VALUE(MID(DH247,FIND("-",DH247,FIND("|",DH247))+1,10)))))*$D$50),$D$37*(1-(IF($D$247=0,ABS($A$247-VALUE(MID(DH247,FIND("|",DH247)+1,FIND("-",DH247,FIND("|",DH247))-FIND("|",DH247)-1))),ABS($Q$247-(VALUE(MID(DH247,FIND("|",DH247)+1,FIND("-",DH247,FIND("|",DH247))-FIND("|",DH247)-1))-VALUE(MID(DH247,FIND("-",DH247,FIND("|",DH247))+1,10)))))*$D$50)))))*$I$247,0),0),0)</f>
        <v>0</v>
      </c>
      <c r="DJ247" s="110"/>
      <c r="DK247" s="66" t="s">
        <v>2758</v>
      </c>
      <c r="DL247" s="85">
        <f t="shared" ref="DL247" ca="1" si="3973">IFERROR(IF(LEFT(DK247,FIND("·",DK247)-1)=$K$247,IF($L$247=IFERROR(VALUE(MID(DK247,FIND("·",DK247)+1,1)),0),($D$36+($M$247=MID(DK247,FIND("|",DK247)+1,10))*$D$38+MAX(0,IF($D$50=1,$D$37*(1-(ABS($P$247-(VALUE(MID(DK247,FIND("|",DK247)+1,FIND("-",DK247,FIND("|",DK247))-FIND("|",DK247)-1))-VALUE(MID(DK247,FIND("-",DK247,FIND("|",DK247))+1,10)))))*$D$50),$D$37*(1-(IF($L$247=0,ABS($N$247-VALUE(MID(DK247,FIND("|",DK247)+1,FIND("-",DK247,FIND("|",DK247))-FIND("|",DK247)-1))),ABS($P$247-(VALUE(MID(DK247,FIND("|",DK247)+1,FIND("-",DK247,FIND("|",DK247))-FIND("|",DK247)-1))-VALUE(MID(DK247,FIND("-",DK247,FIND("|",DK247))+1,10)))))*$D$50)))))*$I$247,0),0),0)
+IFERROR(IF(LEFT(DK247,FIND("·",DK247)-1)=$C$247,IF($D$247=IFERROR(VALUE(MID(DK247,FIND("·",DK247)+1,1)),0),($D$36+($E$247=MID(DK247,FIND("|",DK247)+1,10))*$D$38+MAX(0,IF($D$50=1,$D$37*(1-(ABS($Q$247-(VALUE(MID(DK247,FIND("|",DK247)+1,FIND("-",DK247,FIND("|",DK247))-FIND("|",DK247)-1))-VALUE(MID(DK247,FIND("-",DK247,FIND("|",DK247))+1,10)))))*$D$50),$D$37*(1-(IF($D$247=0,ABS($A$247-VALUE(MID(DK247,FIND("|",DK247)+1,FIND("-",DK247,FIND("|",DK247))-FIND("|",DK247)-1))),ABS($Q$247-(VALUE(MID(DK247,FIND("|",DK247)+1,FIND("-",DK247,FIND("|",DK247))-FIND("|",DK247)-1))-VALUE(MID(DK247,FIND("-",DK247,FIND("|",DK247))+1,10)))))*$D$50)))))*$I$247,0),0),0)</f>
        <v>0</v>
      </c>
      <c r="DM247" s="110"/>
      <c r="DN247" s="66" t="s">
        <v>2245</v>
      </c>
      <c r="DO247" s="85">
        <f t="shared" ref="DO247" ca="1" si="3974">IFERROR(IF(LEFT(DN247,FIND("·",DN247)-1)=$K$247,IF($L$247=IFERROR(VALUE(MID(DN247,FIND("·",DN247)+1,1)),0),($D$36+($M$247=MID(DN247,FIND("|",DN247)+1,10))*$D$38+MAX(0,IF($D$50=1,$D$37*(1-(ABS($P$247-(VALUE(MID(DN247,FIND("|",DN247)+1,FIND("-",DN247,FIND("|",DN247))-FIND("|",DN247)-1))-VALUE(MID(DN247,FIND("-",DN247,FIND("|",DN247))+1,10)))))*$D$50),$D$37*(1-(IF($L$247=0,ABS($N$247-VALUE(MID(DN247,FIND("|",DN247)+1,FIND("-",DN247,FIND("|",DN247))-FIND("|",DN247)-1))),ABS($P$247-(VALUE(MID(DN247,FIND("|",DN247)+1,FIND("-",DN247,FIND("|",DN247))-FIND("|",DN247)-1))-VALUE(MID(DN247,FIND("-",DN247,FIND("|",DN247))+1,10)))))*$D$50)))))*$I$247,0),0),0)
+IFERROR(IF(LEFT(DN247,FIND("·",DN247)-1)=$C$247,IF($D$247=IFERROR(VALUE(MID(DN247,FIND("·",DN247)+1,1)),0),($D$36+($E$247=MID(DN247,FIND("|",DN247)+1,10))*$D$38+MAX(0,IF($D$50=1,$D$37*(1-(ABS($Q$247-(VALUE(MID(DN247,FIND("|",DN247)+1,FIND("-",DN247,FIND("|",DN247))-FIND("|",DN247)-1))-VALUE(MID(DN247,FIND("-",DN247,FIND("|",DN247))+1,10)))))*$D$50),$D$37*(1-(IF($D$247=0,ABS($A$247-VALUE(MID(DN247,FIND("|",DN247)+1,FIND("-",DN247,FIND("|",DN247))-FIND("|",DN247)-1))),ABS($Q$247-(VALUE(MID(DN247,FIND("|",DN247)+1,FIND("-",DN247,FIND("|",DN247))-FIND("|",DN247)-1))-VALUE(MID(DN247,FIND("-",DN247,FIND("|",DN247))+1,10)))))*$D$50)))))*$I$247,0),0),0)</f>
        <v>12</v>
      </c>
      <c r="DP247" s="110"/>
      <c r="DQ247" s="66" t="s">
        <v>2784</v>
      </c>
      <c r="DR247" s="85">
        <f t="shared" ref="DR247" ca="1" si="3975">IFERROR(IF(LEFT(DQ247,FIND("·",DQ247)-1)=$K$247,IF($L$247=IFERROR(VALUE(MID(DQ247,FIND("·",DQ247)+1,1)),0),($D$36+($M$247=MID(DQ247,FIND("|",DQ247)+1,10))*$D$38+MAX(0,IF($D$50=1,$D$37*(1-(ABS($P$247-(VALUE(MID(DQ247,FIND("|",DQ247)+1,FIND("-",DQ247,FIND("|",DQ247))-FIND("|",DQ247)-1))-VALUE(MID(DQ247,FIND("-",DQ247,FIND("|",DQ247))+1,10)))))*$D$50),$D$37*(1-(IF($L$247=0,ABS($N$247-VALUE(MID(DQ247,FIND("|",DQ247)+1,FIND("-",DQ247,FIND("|",DQ247))-FIND("|",DQ247)-1))),ABS($P$247-(VALUE(MID(DQ247,FIND("|",DQ247)+1,FIND("-",DQ247,FIND("|",DQ247))-FIND("|",DQ247)-1))-VALUE(MID(DQ247,FIND("-",DQ247,FIND("|",DQ247))+1,10)))))*$D$50)))))*$I$247,0),0),0)
+IFERROR(IF(LEFT(DQ247,FIND("·",DQ247)-1)=$C$247,IF($D$247=IFERROR(VALUE(MID(DQ247,FIND("·",DQ247)+1,1)),0),($D$36+($E$247=MID(DQ247,FIND("|",DQ247)+1,10))*$D$38+MAX(0,IF($D$50=1,$D$37*(1-(ABS($Q$247-(VALUE(MID(DQ247,FIND("|",DQ247)+1,FIND("-",DQ247,FIND("|",DQ247))-FIND("|",DQ247)-1))-VALUE(MID(DQ247,FIND("-",DQ247,FIND("|",DQ247))+1,10)))))*$D$50),$D$37*(1-(IF($D$247=0,ABS($A$247-VALUE(MID(DQ247,FIND("|",DQ247)+1,FIND("-",DQ247,FIND("|",DQ247))-FIND("|",DQ247)-1))),ABS($Q$247-(VALUE(MID(DQ247,FIND("|",DQ247)+1,FIND("-",DQ247,FIND("|",DQ247))-FIND("|",DQ247)-1))-VALUE(MID(DQ247,FIND("-",DQ247,FIND("|",DQ247))+1,10)))))*$D$50)))))*$I$247,0),0),0)</f>
        <v>0</v>
      </c>
      <c r="DS247" s="110"/>
      <c r="DT247" s="66" t="s">
        <v>2800</v>
      </c>
      <c r="DU247" s="85">
        <f t="shared" ref="DU247" ca="1" si="3976">IFERROR(IF(LEFT(DT247,FIND("·",DT247)-1)=$K$247,IF($L$247=IFERROR(VALUE(MID(DT247,FIND("·",DT247)+1,1)),0),($D$36+($M$247=MID(DT247,FIND("|",DT247)+1,10))*$D$38+MAX(0,IF($D$50=1,$D$37*(1-(ABS($P$247-(VALUE(MID(DT247,FIND("|",DT247)+1,FIND("-",DT247,FIND("|",DT247))-FIND("|",DT247)-1))-VALUE(MID(DT247,FIND("-",DT247,FIND("|",DT247))+1,10)))))*$D$50),$D$37*(1-(IF($L$247=0,ABS($N$247-VALUE(MID(DT247,FIND("|",DT247)+1,FIND("-",DT247,FIND("|",DT247))-FIND("|",DT247)-1))),ABS($P$247-(VALUE(MID(DT247,FIND("|",DT247)+1,FIND("-",DT247,FIND("|",DT247))-FIND("|",DT247)-1))-VALUE(MID(DT247,FIND("-",DT247,FIND("|",DT247))+1,10)))))*$D$50)))))*$I$247,0),0),0)
+IFERROR(IF(LEFT(DT247,FIND("·",DT247)-1)=$C$247,IF($D$247=IFERROR(VALUE(MID(DT247,FIND("·",DT247)+1,1)),0),($D$36+($E$247=MID(DT247,FIND("|",DT247)+1,10))*$D$38+MAX(0,IF($D$50=1,$D$37*(1-(ABS($Q$247-(VALUE(MID(DT247,FIND("|",DT247)+1,FIND("-",DT247,FIND("|",DT247))-FIND("|",DT247)-1))-VALUE(MID(DT247,FIND("-",DT247,FIND("|",DT247))+1,10)))))*$D$50),$D$37*(1-(IF($D$247=0,ABS($A$247-VALUE(MID(DT247,FIND("|",DT247)+1,FIND("-",DT247,FIND("|",DT247))-FIND("|",DT247)-1))),ABS($Q$247-(VALUE(MID(DT247,FIND("|",DT247)+1,FIND("-",DT247,FIND("|",DT247))-FIND("|",DT247)-1))-VALUE(MID(DT247,FIND("-",DT247,FIND("|",DT247))+1,10)))))*$D$50)))))*$I$247,0),0),0)</f>
        <v>0</v>
      </c>
      <c r="DV247" s="110"/>
      <c r="DW247" s="66" t="s">
        <v>2398</v>
      </c>
      <c r="DX247" s="85">
        <f t="shared" ref="DX247" ca="1" si="3977">IFERROR(IF(LEFT(DW247,FIND("·",DW247)-1)=$K$247,IF($L$247=IFERROR(VALUE(MID(DW247,FIND("·",DW247)+1,1)),0),($D$36+($M$247=MID(DW247,FIND("|",DW247)+1,10))*$D$38+MAX(0,IF($D$50=1,$D$37*(1-(ABS($P$247-(VALUE(MID(DW247,FIND("|",DW247)+1,FIND("-",DW247,FIND("|",DW247))-FIND("|",DW247)-1))-VALUE(MID(DW247,FIND("-",DW247,FIND("|",DW247))+1,10)))))*$D$50),$D$37*(1-(IF($L$247=0,ABS($N$247-VALUE(MID(DW247,FIND("|",DW247)+1,FIND("-",DW247,FIND("|",DW247))-FIND("|",DW247)-1))),ABS($P$247-(VALUE(MID(DW247,FIND("|",DW247)+1,FIND("-",DW247,FIND("|",DW247))-FIND("|",DW247)-1))-VALUE(MID(DW247,FIND("-",DW247,FIND("|",DW247))+1,10)))))*$D$50)))))*$I$247,0),0),0)
+IFERROR(IF(LEFT(DW247,FIND("·",DW247)-1)=$C$247,IF($D$247=IFERROR(VALUE(MID(DW247,FIND("·",DW247)+1,1)),0),($D$36+($E$247=MID(DW247,FIND("|",DW247)+1,10))*$D$38+MAX(0,IF($D$50=1,$D$37*(1-(ABS($Q$247-(VALUE(MID(DW247,FIND("|",DW247)+1,FIND("-",DW247,FIND("|",DW247))-FIND("|",DW247)-1))-VALUE(MID(DW247,FIND("-",DW247,FIND("|",DW247))+1,10)))))*$D$50),$D$37*(1-(IF($D$247=0,ABS($A$247-VALUE(MID(DW247,FIND("|",DW247)+1,FIND("-",DW247,FIND("|",DW247))-FIND("|",DW247)-1))),ABS($Q$247-(VALUE(MID(DW247,FIND("|",DW247)+1,FIND("-",DW247,FIND("|",DW247))-FIND("|",DW247)-1))-VALUE(MID(DW247,FIND("-",DW247,FIND("|",DW247))+1,10)))))*$D$50)))))*$I$247,0),0),0)</f>
        <v>0</v>
      </c>
      <c r="DY247" s="110"/>
      <c r="DZ247" s="66" t="s">
        <v>2276</v>
      </c>
      <c r="EA247" s="85">
        <f t="shared" ref="EA247" ca="1" si="3978">IFERROR(IF(LEFT(DZ247,FIND("·",DZ247)-1)=$K$247,IF($L$247=IFERROR(VALUE(MID(DZ247,FIND("·",DZ247)+1,1)),0),($D$36+($M$247=MID(DZ247,FIND("|",DZ247)+1,10))*$D$38+MAX(0,IF($D$50=1,$D$37*(1-(ABS($P$247-(VALUE(MID(DZ247,FIND("|",DZ247)+1,FIND("-",DZ247,FIND("|",DZ247))-FIND("|",DZ247)-1))-VALUE(MID(DZ247,FIND("-",DZ247,FIND("|",DZ247))+1,10)))))*$D$50),$D$37*(1-(IF($L$247=0,ABS($N$247-VALUE(MID(DZ247,FIND("|",DZ247)+1,FIND("-",DZ247,FIND("|",DZ247))-FIND("|",DZ247)-1))),ABS($P$247-(VALUE(MID(DZ247,FIND("|",DZ247)+1,FIND("-",DZ247,FIND("|",DZ247))-FIND("|",DZ247)-1))-VALUE(MID(DZ247,FIND("-",DZ247,FIND("|",DZ247))+1,10)))))*$D$50)))))*$I$247,0),0),0)
+IFERROR(IF(LEFT(DZ247,FIND("·",DZ247)-1)=$C$247,IF($D$247=IFERROR(VALUE(MID(DZ247,FIND("·",DZ247)+1,1)),0),($D$36+($E$247=MID(DZ247,FIND("|",DZ247)+1,10))*$D$38+MAX(0,IF($D$50=1,$D$37*(1-(ABS($Q$247-(VALUE(MID(DZ247,FIND("|",DZ247)+1,FIND("-",DZ247,FIND("|",DZ247))-FIND("|",DZ247)-1))-VALUE(MID(DZ247,FIND("-",DZ247,FIND("|",DZ247))+1,10)))))*$D$50),$D$37*(1-(IF($D$247=0,ABS($A$247-VALUE(MID(DZ247,FIND("|",DZ247)+1,FIND("-",DZ247,FIND("|",DZ247))-FIND("|",DZ247)-1))),ABS($Q$247-(VALUE(MID(DZ247,FIND("|",DZ247)+1,FIND("-",DZ247,FIND("|",DZ247))-FIND("|",DZ247)-1))-VALUE(MID(DZ247,FIND("-",DZ247,FIND("|",DZ247))+1,10)))))*$D$50)))))*$I$247,0),0),0)</f>
        <v>0</v>
      </c>
      <c r="EB247" s="110"/>
      <c r="EC247" s="66" t="s">
        <v>2826</v>
      </c>
      <c r="ED247" s="85">
        <f t="shared" ref="ED247" ca="1" si="3979">IFERROR(IF(LEFT(EC247,FIND("·",EC247)-1)=$K$247,IF($L$247=IFERROR(VALUE(MID(EC247,FIND("·",EC247)+1,1)),0),($D$36+($M$247=MID(EC247,FIND("|",EC247)+1,10))*$D$38+MAX(0,IF($D$50=1,$D$37*(1-(ABS($P$247-(VALUE(MID(EC247,FIND("|",EC247)+1,FIND("-",EC247,FIND("|",EC247))-FIND("|",EC247)-1))-VALUE(MID(EC247,FIND("-",EC247,FIND("|",EC247))+1,10)))))*$D$50),$D$37*(1-(IF($L$247=0,ABS($N$247-VALUE(MID(EC247,FIND("|",EC247)+1,FIND("-",EC247,FIND("|",EC247))-FIND("|",EC247)-1))),ABS($P$247-(VALUE(MID(EC247,FIND("|",EC247)+1,FIND("-",EC247,FIND("|",EC247))-FIND("|",EC247)-1))-VALUE(MID(EC247,FIND("-",EC247,FIND("|",EC247))+1,10)))))*$D$50)))))*$I$247,0),0),0)
+IFERROR(IF(LEFT(EC247,FIND("·",EC247)-1)=$C$247,IF($D$247=IFERROR(VALUE(MID(EC247,FIND("·",EC247)+1,1)),0),($D$36+($E$247=MID(EC247,FIND("|",EC247)+1,10))*$D$38+MAX(0,IF($D$50=1,$D$37*(1-(ABS($Q$247-(VALUE(MID(EC247,FIND("|",EC247)+1,FIND("-",EC247,FIND("|",EC247))-FIND("|",EC247)-1))-VALUE(MID(EC247,FIND("-",EC247,FIND("|",EC247))+1,10)))))*$D$50),$D$37*(1-(IF($D$247=0,ABS($A$247-VALUE(MID(EC247,FIND("|",EC247)+1,FIND("-",EC247,FIND("|",EC247))-FIND("|",EC247)-1))),ABS($Q$247-(VALUE(MID(EC247,FIND("|",EC247)+1,FIND("-",EC247,FIND("|",EC247))-FIND("|",EC247)-1))-VALUE(MID(EC247,FIND("-",EC247,FIND("|",EC247))+1,10)))))*$D$50)))))*$I$247,0),0),0)</f>
        <v>0</v>
      </c>
      <c r="EE247" s="110"/>
      <c r="EF247" s="66" t="s">
        <v>2851</v>
      </c>
      <c r="EG247" s="85">
        <f t="shared" ref="EG247" ca="1" si="3980">IFERROR(IF(LEFT(EF247,FIND("·",EF247)-1)=$K$247,IF($L$247=IFERROR(VALUE(MID(EF247,FIND("·",EF247)+1,1)),0),($D$36+($M$247=MID(EF247,FIND("|",EF247)+1,10))*$D$38+MAX(0,IF($D$50=1,$D$37*(1-(ABS($P$247-(VALUE(MID(EF247,FIND("|",EF247)+1,FIND("-",EF247,FIND("|",EF247))-FIND("|",EF247)-1))-VALUE(MID(EF247,FIND("-",EF247,FIND("|",EF247))+1,10)))))*$D$50),$D$37*(1-(IF($L$247=0,ABS($N$247-VALUE(MID(EF247,FIND("|",EF247)+1,FIND("-",EF247,FIND("|",EF247))-FIND("|",EF247)-1))),ABS($P$247-(VALUE(MID(EF247,FIND("|",EF247)+1,FIND("-",EF247,FIND("|",EF247))-FIND("|",EF247)-1))-VALUE(MID(EF247,FIND("-",EF247,FIND("|",EF247))+1,10)))))*$D$50)))))*$I$247,0),0),0)
+IFERROR(IF(LEFT(EF247,FIND("·",EF247)-1)=$C$247,IF($D$247=IFERROR(VALUE(MID(EF247,FIND("·",EF247)+1,1)),0),($D$36+($E$247=MID(EF247,FIND("|",EF247)+1,10))*$D$38+MAX(0,IF($D$50=1,$D$37*(1-(ABS($Q$247-(VALUE(MID(EF247,FIND("|",EF247)+1,FIND("-",EF247,FIND("|",EF247))-FIND("|",EF247)-1))-VALUE(MID(EF247,FIND("-",EF247,FIND("|",EF247))+1,10)))))*$D$50),$D$37*(1-(IF($D$247=0,ABS($A$247-VALUE(MID(EF247,FIND("|",EF247)+1,FIND("-",EF247,FIND("|",EF247))-FIND("|",EF247)-1))),ABS($Q$247-(VALUE(MID(EF247,FIND("|",EF247)+1,FIND("-",EF247,FIND("|",EF247))-FIND("|",EF247)-1))-VALUE(MID(EF247,FIND("-",EF247,FIND("|",EF247))+1,10)))))*$D$50)))))*$I$247,0),0),0)</f>
        <v>0</v>
      </c>
      <c r="EH247" s="110"/>
      <c r="EI247" s="66" t="s">
        <v>2398</v>
      </c>
      <c r="EJ247" s="85">
        <f t="shared" ref="EJ247" ca="1" si="3981">IFERROR(IF(LEFT(EI247,FIND("·",EI247)-1)=$K$247,IF($L$247=IFERROR(VALUE(MID(EI247,FIND("·",EI247)+1,1)),0),($D$36+($M$247=MID(EI247,FIND("|",EI247)+1,10))*$D$38+MAX(0,IF($D$50=1,$D$37*(1-(ABS($P$247-(VALUE(MID(EI247,FIND("|",EI247)+1,FIND("-",EI247,FIND("|",EI247))-FIND("|",EI247)-1))-VALUE(MID(EI247,FIND("-",EI247,FIND("|",EI247))+1,10)))))*$D$50),$D$37*(1-(IF($L$247=0,ABS($N$247-VALUE(MID(EI247,FIND("|",EI247)+1,FIND("-",EI247,FIND("|",EI247))-FIND("|",EI247)-1))),ABS($P$247-(VALUE(MID(EI247,FIND("|",EI247)+1,FIND("-",EI247,FIND("|",EI247))-FIND("|",EI247)-1))-VALUE(MID(EI247,FIND("-",EI247,FIND("|",EI247))+1,10)))))*$D$50)))))*$I$247,0),0),0)
+IFERROR(IF(LEFT(EI247,FIND("·",EI247)-1)=$C$247,IF($D$247=IFERROR(VALUE(MID(EI247,FIND("·",EI247)+1,1)),0),($D$36+($E$247=MID(EI247,FIND("|",EI247)+1,10))*$D$38+MAX(0,IF($D$50=1,$D$37*(1-(ABS($Q$247-(VALUE(MID(EI247,FIND("|",EI247)+1,FIND("-",EI247,FIND("|",EI247))-FIND("|",EI247)-1))-VALUE(MID(EI247,FIND("-",EI247,FIND("|",EI247))+1,10)))))*$D$50),$D$37*(1-(IF($D$247=0,ABS($A$247-VALUE(MID(EI247,FIND("|",EI247)+1,FIND("-",EI247,FIND("|",EI247))-FIND("|",EI247)-1))),ABS($Q$247-(VALUE(MID(EI247,FIND("|",EI247)+1,FIND("-",EI247,FIND("|",EI247))-FIND("|",EI247)-1))-VALUE(MID(EI247,FIND("-",EI247,FIND("|",EI247))+1,10)))))*$D$50)))))*$I$247,0),0),0)</f>
        <v>0</v>
      </c>
      <c r="EK247" s="110"/>
      <c r="EL247" s="66" t="s">
        <v>2365</v>
      </c>
      <c r="EM247" s="85">
        <f t="shared" ref="EM247" ca="1" si="3982">IFERROR(IF(LEFT(EL247,FIND("·",EL247)-1)=$K$247,IF($L$247=IFERROR(VALUE(MID(EL247,FIND("·",EL247)+1,1)),0),($D$36+($M$247=MID(EL247,FIND("|",EL247)+1,10))*$D$38+MAX(0,IF($D$50=1,$D$37*(1-(ABS($P$247-(VALUE(MID(EL247,FIND("|",EL247)+1,FIND("-",EL247,FIND("|",EL247))-FIND("|",EL247)-1))-VALUE(MID(EL247,FIND("-",EL247,FIND("|",EL247))+1,10)))))*$D$50),$D$37*(1-(IF($L$247=0,ABS($N$247-VALUE(MID(EL247,FIND("|",EL247)+1,FIND("-",EL247,FIND("|",EL247))-FIND("|",EL247)-1))),ABS($P$247-(VALUE(MID(EL247,FIND("|",EL247)+1,FIND("-",EL247,FIND("|",EL247))-FIND("|",EL247)-1))-VALUE(MID(EL247,FIND("-",EL247,FIND("|",EL247))+1,10)))))*$D$50)))))*$I$247,0),0),0)
+IFERROR(IF(LEFT(EL247,FIND("·",EL247)-1)=$C$247,IF($D$247=IFERROR(VALUE(MID(EL247,FIND("·",EL247)+1,1)),0),($D$36+($E$247=MID(EL247,FIND("|",EL247)+1,10))*$D$38+MAX(0,IF($D$50=1,$D$37*(1-(ABS($Q$247-(VALUE(MID(EL247,FIND("|",EL247)+1,FIND("-",EL247,FIND("|",EL247))-FIND("|",EL247)-1))-VALUE(MID(EL247,FIND("-",EL247,FIND("|",EL247))+1,10)))))*$D$50),$D$37*(1-(IF($D$247=0,ABS($A$247-VALUE(MID(EL247,FIND("|",EL247)+1,FIND("-",EL247,FIND("|",EL247))-FIND("|",EL247)-1))),ABS($Q$247-(VALUE(MID(EL247,FIND("|",EL247)+1,FIND("-",EL247,FIND("|",EL247))-FIND("|",EL247)-1))-VALUE(MID(EL247,FIND("-",EL247,FIND("|",EL247))+1,10)))))*$D$50)))))*$I$247,0),0),0)</f>
        <v>0</v>
      </c>
      <c r="EN247" s="110"/>
      <c r="EO247" s="66" t="s">
        <v>2393</v>
      </c>
      <c r="EP247" s="85">
        <f t="shared" ref="EP247" ca="1" si="3983">IFERROR(IF(LEFT(EO247,FIND("·",EO247)-1)=$K$247,IF($L$247=IFERROR(VALUE(MID(EO247,FIND("·",EO247)+1,1)),0),($D$36+($M$247=MID(EO247,FIND("|",EO247)+1,10))*$D$38+MAX(0,IF($D$50=1,$D$37*(1-(ABS($P$247-(VALUE(MID(EO247,FIND("|",EO247)+1,FIND("-",EO247,FIND("|",EO247))-FIND("|",EO247)-1))-VALUE(MID(EO247,FIND("-",EO247,FIND("|",EO247))+1,10)))))*$D$50),$D$37*(1-(IF($L$247=0,ABS($N$247-VALUE(MID(EO247,FIND("|",EO247)+1,FIND("-",EO247,FIND("|",EO247))-FIND("|",EO247)-1))),ABS($P$247-(VALUE(MID(EO247,FIND("|",EO247)+1,FIND("-",EO247,FIND("|",EO247))-FIND("|",EO247)-1))-VALUE(MID(EO247,FIND("-",EO247,FIND("|",EO247))+1,10)))))*$D$50)))))*$I$247,0),0),0)
+IFERROR(IF(LEFT(EO247,FIND("·",EO247)-1)=$C$247,IF($D$247=IFERROR(VALUE(MID(EO247,FIND("·",EO247)+1,1)),0),($D$36+($E$247=MID(EO247,FIND("|",EO247)+1,10))*$D$38+MAX(0,IF($D$50=1,$D$37*(1-(ABS($Q$247-(VALUE(MID(EO247,FIND("|",EO247)+1,FIND("-",EO247,FIND("|",EO247))-FIND("|",EO247)-1))-VALUE(MID(EO247,FIND("-",EO247,FIND("|",EO247))+1,10)))))*$D$50),$D$37*(1-(IF($D$247=0,ABS($A$247-VALUE(MID(EO247,FIND("|",EO247)+1,FIND("-",EO247,FIND("|",EO247))-FIND("|",EO247)-1))),ABS($Q$247-(VALUE(MID(EO247,FIND("|",EO247)+1,FIND("-",EO247,FIND("|",EO247))-FIND("|",EO247)-1))-VALUE(MID(EO247,FIND("-",EO247,FIND("|",EO247))+1,10)))))*$D$50)))))*$I$247,0),0),0)</f>
        <v>0</v>
      </c>
      <c r="EQ247" s="110"/>
      <c r="ER247" s="66" t="s">
        <v>2894</v>
      </c>
      <c r="ES247" s="85">
        <f t="shared" ref="ES247" ca="1" si="3984">IFERROR(IF(LEFT(ER247,FIND("·",ER247)-1)=$K$247,IF($L$247=IFERROR(VALUE(MID(ER247,FIND("·",ER247)+1,1)),0),($D$36+($M$247=MID(ER247,FIND("|",ER247)+1,10))*$D$38+MAX(0,IF($D$50=1,$D$37*(1-(ABS($P$247-(VALUE(MID(ER247,FIND("|",ER247)+1,FIND("-",ER247,FIND("|",ER247))-FIND("|",ER247)-1))-VALUE(MID(ER247,FIND("-",ER247,FIND("|",ER247))+1,10)))))*$D$50),$D$37*(1-(IF($L$247=0,ABS($N$247-VALUE(MID(ER247,FIND("|",ER247)+1,FIND("-",ER247,FIND("|",ER247))-FIND("|",ER247)-1))),ABS($P$247-(VALUE(MID(ER247,FIND("|",ER247)+1,FIND("-",ER247,FIND("|",ER247))-FIND("|",ER247)-1))-VALUE(MID(ER247,FIND("-",ER247,FIND("|",ER247))+1,10)))))*$D$50)))))*$I$247,0),0),0)
+IFERROR(IF(LEFT(ER247,FIND("·",ER247)-1)=$C$247,IF($D$247=IFERROR(VALUE(MID(ER247,FIND("·",ER247)+1,1)),0),($D$36+($E$247=MID(ER247,FIND("|",ER247)+1,10))*$D$38+MAX(0,IF($D$50=1,$D$37*(1-(ABS($Q$247-(VALUE(MID(ER247,FIND("|",ER247)+1,FIND("-",ER247,FIND("|",ER247))-FIND("|",ER247)-1))-VALUE(MID(ER247,FIND("-",ER247,FIND("|",ER247))+1,10)))))*$D$50),$D$37*(1-(IF($D$247=0,ABS($A$247-VALUE(MID(ER247,FIND("|",ER247)+1,FIND("-",ER247,FIND("|",ER247))-FIND("|",ER247)-1))),ABS($Q$247-(VALUE(MID(ER247,FIND("|",ER247)+1,FIND("-",ER247,FIND("|",ER247))-FIND("|",ER247)-1))-VALUE(MID(ER247,FIND("-",ER247,FIND("|",ER247))+1,10)))))*$D$50)))))*$I$247,0),0),0)</f>
        <v>20</v>
      </c>
      <c r="ET247" s="110"/>
      <c r="EU247" s="66" t="s">
        <v>2393</v>
      </c>
      <c r="EV247" s="85">
        <f t="shared" ref="EV247" ca="1" si="3985">IFERROR(IF(LEFT(EU247,FIND("·",EU247)-1)=$K$247,IF($L$247=IFERROR(VALUE(MID(EU247,FIND("·",EU247)+1,1)),0),($D$36+($M$247=MID(EU247,FIND("|",EU247)+1,10))*$D$38+MAX(0,IF($D$50=1,$D$37*(1-(ABS($P$247-(VALUE(MID(EU247,FIND("|",EU247)+1,FIND("-",EU247,FIND("|",EU247))-FIND("|",EU247)-1))-VALUE(MID(EU247,FIND("-",EU247,FIND("|",EU247))+1,10)))))*$D$50),$D$37*(1-(IF($L$247=0,ABS($N$247-VALUE(MID(EU247,FIND("|",EU247)+1,FIND("-",EU247,FIND("|",EU247))-FIND("|",EU247)-1))),ABS($P$247-(VALUE(MID(EU247,FIND("|",EU247)+1,FIND("-",EU247,FIND("|",EU247))-FIND("|",EU247)-1))-VALUE(MID(EU247,FIND("-",EU247,FIND("|",EU247))+1,10)))))*$D$50)))))*$I$247,0),0),0)
+IFERROR(IF(LEFT(EU247,FIND("·",EU247)-1)=$C$247,IF($D$247=IFERROR(VALUE(MID(EU247,FIND("·",EU247)+1,1)),0),($D$36+($E$247=MID(EU247,FIND("|",EU247)+1,10))*$D$38+MAX(0,IF($D$50=1,$D$37*(1-(ABS($Q$247-(VALUE(MID(EU247,FIND("|",EU247)+1,FIND("-",EU247,FIND("|",EU247))-FIND("|",EU247)-1))-VALUE(MID(EU247,FIND("-",EU247,FIND("|",EU247))+1,10)))))*$D$50),$D$37*(1-(IF($D$247=0,ABS($A$247-VALUE(MID(EU247,FIND("|",EU247)+1,FIND("-",EU247,FIND("|",EU247))-FIND("|",EU247)-1))),ABS($Q$247-(VALUE(MID(EU247,FIND("|",EU247)+1,FIND("-",EU247,FIND("|",EU247))-FIND("|",EU247)-1))-VALUE(MID(EU247,FIND("-",EU247,FIND("|",EU247))+1,10)))))*$D$50)))))*$I$247,0),0),0)</f>
        <v>0</v>
      </c>
      <c r="EW247" s="110"/>
      <c r="EX247" s="66" t="s">
        <v>2922</v>
      </c>
      <c r="EY247" s="85">
        <f t="shared" ref="EY247" ca="1" si="3986">IFERROR(IF(LEFT(EX247,FIND("·",EX247)-1)=$K$247,IF($L$247=IFERROR(VALUE(MID(EX247,FIND("·",EX247)+1,1)),0),($D$36+($M$247=MID(EX247,FIND("|",EX247)+1,10))*$D$38+MAX(0,IF($D$50=1,$D$37*(1-(ABS($P$247-(VALUE(MID(EX247,FIND("|",EX247)+1,FIND("-",EX247,FIND("|",EX247))-FIND("|",EX247)-1))-VALUE(MID(EX247,FIND("-",EX247,FIND("|",EX247))+1,10)))))*$D$50),$D$37*(1-(IF($L$247=0,ABS($N$247-VALUE(MID(EX247,FIND("|",EX247)+1,FIND("-",EX247,FIND("|",EX247))-FIND("|",EX247)-1))),ABS($P$247-(VALUE(MID(EX247,FIND("|",EX247)+1,FIND("-",EX247,FIND("|",EX247))-FIND("|",EX247)-1))-VALUE(MID(EX247,FIND("-",EX247,FIND("|",EX247))+1,10)))))*$D$50)))))*$I$247,0),0),0)
+IFERROR(IF(LEFT(EX247,FIND("·",EX247)-1)=$C$247,IF($D$247=IFERROR(VALUE(MID(EX247,FIND("·",EX247)+1,1)),0),($D$36+($E$247=MID(EX247,FIND("|",EX247)+1,10))*$D$38+MAX(0,IF($D$50=1,$D$37*(1-(ABS($Q$247-(VALUE(MID(EX247,FIND("|",EX247)+1,FIND("-",EX247,FIND("|",EX247))-FIND("|",EX247)-1))-VALUE(MID(EX247,FIND("-",EX247,FIND("|",EX247))+1,10)))))*$D$50),$D$37*(1-(IF($D$247=0,ABS($A$247-VALUE(MID(EX247,FIND("|",EX247)+1,FIND("-",EX247,FIND("|",EX247))-FIND("|",EX247)-1))),ABS($Q$247-(VALUE(MID(EX247,FIND("|",EX247)+1,FIND("-",EX247,FIND("|",EX247))-FIND("|",EX247)-1))-VALUE(MID(EX247,FIND("-",EX247,FIND("|",EX247))+1,10)))))*$D$50)))))*$I$247,0),0),0)</f>
        <v>0</v>
      </c>
      <c r="EZ247" s="110"/>
      <c r="FA247" s="66" t="s">
        <v>2416</v>
      </c>
      <c r="FB247" s="85">
        <f t="shared" ref="FB247" ca="1" si="3987">IFERROR(IF(LEFT(FA247,FIND("·",FA247)-1)=$K$247,IF($L$247=IFERROR(VALUE(MID(FA247,FIND("·",FA247)+1,1)),0),($D$36+($M$247=MID(FA247,FIND("|",FA247)+1,10))*$D$38+MAX(0,IF($D$50=1,$D$37*(1-(ABS($P$247-(VALUE(MID(FA247,FIND("|",FA247)+1,FIND("-",FA247,FIND("|",FA247))-FIND("|",FA247)-1))-VALUE(MID(FA247,FIND("-",FA247,FIND("|",FA247))+1,10)))))*$D$50),$D$37*(1-(IF($L$247=0,ABS($N$247-VALUE(MID(FA247,FIND("|",FA247)+1,FIND("-",FA247,FIND("|",FA247))-FIND("|",FA247)-1))),ABS($P$247-(VALUE(MID(FA247,FIND("|",FA247)+1,FIND("-",FA247,FIND("|",FA247))-FIND("|",FA247)-1))-VALUE(MID(FA247,FIND("-",FA247,FIND("|",FA247))+1,10)))))*$D$50)))))*$I$247,0),0),0)
+IFERROR(IF(LEFT(FA247,FIND("·",FA247)-1)=$C$247,IF($D$247=IFERROR(VALUE(MID(FA247,FIND("·",FA247)+1,1)),0),($D$36+($E$247=MID(FA247,FIND("|",FA247)+1,10))*$D$38+MAX(0,IF($D$50=1,$D$37*(1-(ABS($Q$247-(VALUE(MID(FA247,FIND("|",FA247)+1,FIND("-",FA247,FIND("|",FA247))-FIND("|",FA247)-1))-VALUE(MID(FA247,FIND("-",FA247,FIND("|",FA247))+1,10)))))*$D$50),$D$37*(1-(IF($D$247=0,ABS($A$247-VALUE(MID(FA247,FIND("|",FA247)+1,FIND("-",FA247,FIND("|",FA247))-FIND("|",FA247)-1))),ABS($Q$247-(VALUE(MID(FA247,FIND("|",FA247)+1,FIND("-",FA247,FIND("|",FA247))-FIND("|",FA247)-1))-VALUE(MID(FA247,FIND("-",FA247,FIND("|",FA247))+1,10)))))*$D$50)))))*$I$247,0),0),0)</f>
        <v>0</v>
      </c>
      <c r="FC247" s="110"/>
      <c r="FD247" s="66" t="s">
        <v>2945</v>
      </c>
      <c r="FE247" s="85">
        <f t="shared" ref="FE247" ca="1" si="3988">IFERROR(IF(LEFT(FD247,FIND("·",FD247)-1)=$K$247,IF($L$247=IFERROR(VALUE(MID(FD247,FIND("·",FD247)+1,1)),0),($D$36+($M$247=MID(FD247,FIND("|",FD247)+1,10))*$D$38+MAX(0,IF($D$50=1,$D$37*(1-(ABS($P$247-(VALUE(MID(FD247,FIND("|",FD247)+1,FIND("-",FD247,FIND("|",FD247))-FIND("|",FD247)-1))-VALUE(MID(FD247,FIND("-",FD247,FIND("|",FD247))+1,10)))))*$D$50),$D$37*(1-(IF($L$247=0,ABS($N$247-VALUE(MID(FD247,FIND("|",FD247)+1,FIND("-",FD247,FIND("|",FD247))-FIND("|",FD247)-1))),ABS($P$247-(VALUE(MID(FD247,FIND("|",FD247)+1,FIND("-",FD247,FIND("|",FD247))-FIND("|",FD247)-1))-VALUE(MID(FD247,FIND("-",FD247,FIND("|",FD247))+1,10)))))*$D$50)))))*$I$247,0),0),0)
+IFERROR(IF(LEFT(FD247,FIND("·",FD247)-1)=$C$247,IF($D$247=IFERROR(VALUE(MID(FD247,FIND("·",FD247)+1,1)),0),($D$36+($E$247=MID(FD247,FIND("|",FD247)+1,10))*$D$38+MAX(0,IF($D$50=1,$D$37*(1-(ABS($Q$247-(VALUE(MID(FD247,FIND("|",FD247)+1,FIND("-",FD247,FIND("|",FD247))-FIND("|",FD247)-1))-VALUE(MID(FD247,FIND("-",FD247,FIND("|",FD247))+1,10)))))*$D$50),$D$37*(1-(IF($D$247=0,ABS($A$247-VALUE(MID(FD247,FIND("|",FD247)+1,FIND("-",FD247,FIND("|",FD247))-FIND("|",FD247)-1))),ABS($Q$247-(VALUE(MID(FD247,FIND("|",FD247)+1,FIND("-",FD247,FIND("|",FD247))-FIND("|",FD247)-1))-VALUE(MID(FD247,FIND("-",FD247,FIND("|",FD247))+1,10)))))*$D$50)))))*$I$247,0),0),0)</f>
        <v>0</v>
      </c>
      <c r="FF247" s="110"/>
      <c r="FG247" s="66" t="s">
        <v>2416</v>
      </c>
      <c r="FH247" s="85">
        <f t="shared" ref="FH247" ca="1" si="3989">IFERROR(IF(LEFT(FG247,FIND("·",FG247)-1)=$K$247,IF($L$247=IFERROR(VALUE(MID(FG247,FIND("·",FG247)+1,1)),0),($D$36+($M$247=MID(FG247,FIND("|",FG247)+1,10))*$D$38+MAX(0,IF($D$50=1,$D$37*(1-(ABS($P$247-(VALUE(MID(FG247,FIND("|",FG247)+1,FIND("-",FG247,FIND("|",FG247))-FIND("|",FG247)-1))-VALUE(MID(FG247,FIND("-",FG247,FIND("|",FG247))+1,10)))))*$D$50),$D$37*(1-(IF($L$247=0,ABS($N$247-VALUE(MID(FG247,FIND("|",FG247)+1,FIND("-",FG247,FIND("|",FG247))-FIND("|",FG247)-1))),ABS($P$247-(VALUE(MID(FG247,FIND("|",FG247)+1,FIND("-",FG247,FIND("|",FG247))-FIND("|",FG247)-1))-VALUE(MID(FG247,FIND("-",FG247,FIND("|",FG247))+1,10)))))*$D$50)))))*$I$247,0),0),0)
+IFERROR(IF(LEFT(FG247,FIND("·",FG247)-1)=$C$247,IF($D$247=IFERROR(VALUE(MID(FG247,FIND("·",FG247)+1,1)),0),($D$36+($E$247=MID(FG247,FIND("|",FG247)+1,10))*$D$38+MAX(0,IF($D$50=1,$D$37*(1-(ABS($Q$247-(VALUE(MID(FG247,FIND("|",FG247)+1,FIND("-",FG247,FIND("|",FG247))-FIND("|",FG247)-1))-VALUE(MID(FG247,FIND("-",FG247,FIND("|",FG247))+1,10)))))*$D$50),$D$37*(1-(IF($D$247=0,ABS($A$247-VALUE(MID(FG247,FIND("|",FG247)+1,FIND("-",FG247,FIND("|",FG247))-FIND("|",FG247)-1))),ABS($Q$247-(VALUE(MID(FG247,FIND("|",FG247)+1,FIND("-",FG247,FIND("|",FG247))-FIND("|",FG247)-1))-VALUE(MID(FG247,FIND("-",FG247,FIND("|",FG247))+1,10)))))*$D$50)))))*$I$247,0),0),0)</f>
        <v>0</v>
      </c>
      <c r="FI247" s="110"/>
      <c r="FJ247" s="66" t="s">
        <v>2398</v>
      </c>
      <c r="FK247" s="85">
        <f t="shared" ref="FK247" ca="1" si="3990">IFERROR(IF(LEFT(FJ247,FIND("·",FJ247)-1)=$K$247,IF($L$247=IFERROR(VALUE(MID(FJ247,FIND("·",FJ247)+1,1)),0),($D$36+($M$247=MID(FJ247,FIND("|",FJ247)+1,10))*$D$38+MAX(0,IF($D$50=1,$D$37*(1-(ABS($P$247-(VALUE(MID(FJ247,FIND("|",FJ247)+1,FIND("-",FJ247,FIND("|",FJ247))-FIND("|",FJ247)-1))-VALUE(MID(FJ247,FIND("-",FJ247,FIND("|",FJ247))+1,10)))))*$D$50),$D$37*(1-(IF($L$247=0,ABS($N$247-VALUE(MID(FJ247,FIND("|",FJ247)+1,FIND("-",FJ247,FIND("|",FJ247))-FIND("|",FJ247)-1))),ABS($P$247-(VALUE(MID(FJ247,FIND("|",FJ247)+1,FIND("-",FJ247,FIND("|",FJ247))-FIND("|",FJ247)-1))-VALUE(MID(FJ247,FIND("-",FJ247,FIND("|",FJ247))+1,10)))))*$D$50)))))*$I$247,0),0),0)
+IFERROR(IF(LEFT(FJ247,FIND("·",FJ247)-1)=$C$247,IF($D$247=IFERROR(VALUE(MID(FJ247,FIND("·",FJ247)+1,1)),0),($D$36+($E$247=MID(FJ247,FIND("|",FJ247)+1,10))*$D$38+MAX(0,IF($D$50=1,$D$37*(1-(ABS($Q$247-(VALUE(MID(FJ247,FIND("|",FJ247)+1,FIND("-",FJ247,FIND("|",FJ247))-FIND("|",FJ247)-1))-VALUE(MID(FJ247,FIND("-",FJ247,FIND("|",FJ247))+1,10)))))*$D$50),$D$37*(1-(IF($D$247=0,ABS($A$247-VALUE(MID(FJ247,FIND("|",FJ247)+1,FIND("-",FJ247,FIND("|",FJ247))-FIND("|",FJ247)-1))),ABS($Q$247-(VALUE(MID(FJ247,FIND("|",FJ247)+1,FIND("-",FJ247,FIND("|",FJ247))-FIND("|",FJ247)-1))-VALUE(MID(FJ247,FIND("-",FJ247,FIND("|",FJ247))+1,10)))))*$D$50)))))*$I$247,0),0),0)</f>
        <v>0</v>
      </c>
      <c r="FL247" s="110"/>
      <c r="FM247" s="66" t="s">
        <v>2975</v>
      </c>
      <c r="FN247" s="85">
        <f t="shared" ref="FN247" ca="1" si="3991">IFERROR(IF(LEFT(FM247,FIND("·",FM247)-1)=$K$247,IF($L$247=IFERROR(VALUE(MID(FM247,FIND("·",FM247)+1,1)),0),($D$36+($M$247=MID(FM247,FIND("|",FM247)+1,10))*$D$38+MAX(0,IF($D$50=1,$D$37*(1-(ABS($P$247-(VALUE(MID(FM247,FIND("|",FM247)+1,FIND("-",FM247,FIND("|",FM247))-FIND("|",FM247)-1))-VALUE(MID(FM247,FIND("-",FM247,FIND("|",FM247))+1,10)))))*$D$50),$D$37*(1-(IF($L$247=0,ABS($N$247-VALUE(MID(FM247,FIND("|",FM247)+1,FIND("-",FM247,FIND("|",FM247))-FIND("|",FM247)-1))),ABS($P$247-(VALUE(MID(FM247,FIND("|",FM247)+1,FIND("-",FM247,FIND("|",FM247))-FIND("|",FM247)-1))-VALUE(MID(FM247,FIND("-",FM247,FIND("|",FM247))+1,10)))))*$D$50)))))*$I$247,0),0),0)
+IFERROR(IF(LEFT(FM247,FIND("·",FM247)-1)=$C$247,IF($D$247=IFERROR(VALUE(MID(FM247,FIND("·",FM247)+1,1)),0),($D$36+($E$247=MID(FM247,FIND("|",FM247)+1,10))*$D$38+MAX(0,IF($D$50=1,$D$37*(1-(ABS($Q$247-(VALUE(MID(FM247,FIND("|",FM247)+1,FIND("-",FM247,FIND("|",FM247))-FIND("|",FM247)-1))-VALUE(MID(FM247,FIND("-",FM247,FIND("|",FM247))+1,10)))))*$D$50),$D$37*(1-(IF($D$247=0,ABS($A$247-VALUE(MID(FM247,FIND("|",FM247)+1,FIND("-",FM247,FIND("|",FM247))-FIND("|",FM247)-1))),ABS($Q$247-(VALUE(MID(FM247,FIND("|",FM247)+1,FIND("-",FM247,FIND("|",FM247))-FIND("|",FM247)-1))-VALUE(MID(FM247,FIND("-",FM247,FIND("|",FM247))+1,10)))))*$D$50)))))*$I$247,0),0),0)</f>
        <v>0</v>
      </c>
      <c r="FO247" s="110"/>
      <c r="FP247" s="66" t="s">
        <v>2982</v>
      </c>
      <c r="FQ247" s="85">
        <f t="shared" ref="FQ247" ca="1" si="3992">IFERROR(IF(LEFT(FP247,FIND("·",FP247)-1)=$K$247,IF($L$247=IFERROR(VALUE(MID(FP247,FIND("·",FP247)+1,1)),0),($D$36+($M$247=MID(FP247,FIND("|",FP247)+1,10))*$D$38+MAX(0,IF($D$50=1,$D$37*(1-(ABS($P$247-(VALUE(MID(FP247,FIND("|",FP247)+1,FIND("-",FP247,FIND("|",FP247))-FIND("|",FP247)-1))-VALUE(MID(FP247,FIND("-",FP247,FIND("|",FP247))+1,10)))))*$D$50),$D$37*(1-(IF($L$247=0,ABS($N$247-VALUE(MID(FP247,FIND("|",FP247)+1,FIND("-",FP247,FIND("|",FP247))-FIND("|",FP247)-1))),ABS($P$247-(VALUE(MID(FP247,FIND("|",FP247)+1,FIND("-",FP247,FIND("|",FP247))-FIND("|",FP247)-1))-VALUE(MID(FP247,FIND("-",FP247,FIND("|",FP247))+1,10)))))*$D$50)))))*$I$247,0),0),0)
+IFERROR(IF(LEFT(FP247,FIND("·",FP247)-1)=$C$247,IF($D$247=IFERROR(VALUE(MID(FP247,FIND("·",FP247)+1,1)),0),($D$36+($E$247=MID(FP247,FIND("|",FP247)+1,10))*$D$38+MAX(0,IF($D$50=1,$D$37*(1-(ABS($Q$247-(VALUE(MID(FP247,FIND("|",FP247)+1,FIND("-",FP247,FIND("|",FP247))-FIND("|",FP247)-1))-VALUE(MID(FP247,FIND("-",FP247,FIND("|",FP247))+1,10)))))*$D$50),$D$37*(1-(IF($D$247=0,ABS($A$247-VALUE(MID(FP247,FIND("|",FP247)+1,FIND("-",FP247,FIND("|",FP247))-FIND("|",FP247)-1))),ABS($Q$247-(VALUE(MID(FP247,FIND("|",FP247)+1,FIND("-",FP247,FIND("|",FP247))-FIND("|",FP247)-1))-VALUE(MID(FP247,FIND("-",FP247,FIND("|",FP247))+1,10)))))*$D$50)))))*$I$247,0),0),0)</f>
        <v>0</v>
      </c>
      <c r="FR247" s="110"/>
      <c r="FS247" s="66" t="s">
        <v>2991</v>
      </c>
      <c r="FT247" s="85">
        <f t="shared" ref="FT247" ca="1" si="3993">IFERROR(IF(LEFT(FS247,FIND("·",FS247)-1)=$K$247,IF($L$247=IFERROR(VALUE(MID(FS247,FIND("·",FS247)+1,1)),0),($D$36+($M$247=MID(FS247,FIND("|",FS247)+1,10))*$D$38+MAX(0,IF($D$50=1,$D$37*(1-(ABS($P$247-(VALUE(MID(FS247,FIND("|",FS247)+1,FIND("-",FS247,FIND("|",FS247))-FIND("|",FS247)-1))-VALUE(MID(FS247,FIND("-",FS247,FIND("|",FS247))+1,10)))))*$D$50),$D$37*(1-(IF($L$247=0,ABS($N$247-VALUE(MID(FS247,FIND("|",FS247)+1,FIND("-",FS247,FIND("|",FS247))-FIND("|",FS247)-1))),ABS($P$247-(VALUE(MID(FS247,FIND("|",FS247)+1,FIND("-",FS247,FIND("|",FS247))-FIND("|",FS247)-1))-VALUE(MID(FS247,FIND("-",FS247,FIND("|",FS247))+1,10)))))*$D$50)))))*$I$247,0),0),0)
+IFERROR(IF(LEFT(FS247,FIND("·",FS247)-1)=$C$247,IF($D$247=IFERROR(VALUE(MID(FS247,FIND("·",FS247)+1,1)),0),($D$36+($E$247=MID(FS247,FIND("|",FS247)+1,10))*$D$38+MAX(0,IF($D$50=1,$D$37*(1-(ABS($Q$247-(VALUE(MID(FS247,FIND("|",FS247)+1,FIND("-",FS247,FIND("|",FS247))-FIND("|",FS247)-1))-VALUE(MID(FS247,FIND("-",FS247,FIND("|",FS247))+1,10)))))*$D$50),$D$37*(1-(IF($D$247=0,ABS($A$247-VALUE(MID(FS247,FIND("|",FS247)+1,FIND("-",FS247,FIND("|",FS247))-FIND("|",FS247)-1))),ABS($Q$247-(VALUE(MID(FS247,FIND("|",FS247)+1,FIND("-",FS247,FIND("|",FS247))-FIND("|",FS247)-1))-VALUE(MID(FS247,FIND("-",FS247,FIND("|",FS247))+1,10)))))*$D$50)))))*$I$247,0),0),0)</f>
        <v>0</v>
      </c>
      <c r="FU247" s="110"/>
      <c r="FV247" s="66" t="s">
        <v>2741</v>
      </c>
      <c r="FW247" s="85">
        <f t="shared" ref="FW247" ca="1" si="3994">IFERROR(IF(LEFT(FV247,FIND("·",FV247)-1)=$K$247,IF($L$247=IFERROR(VALUE(MID(FV247,FIND("·",FV247)+1,1)),0),($D$36+($M$247=MID(FV247,FIND("|",FV247)+1,10))*$D$38+MAX(0,IF($D$50=1,$D$37*(1-(ABS($P$247-(VALUE(MID(FV247,FIND("|",FV247)+1,FIND("-",FV247,FIND("|",FV247))-FIND("|",FV247)-1))-VALUE(MID(FV247,FIND("-",FV247,FIND("|",FV247))+1,10)))))*$D$50),$D$37*(1-(IF($L$247=0,ABS($N$247-VALUE(MID(FV247,FIND("|",FV247)+1,FIND("-",FV247,FIND("|",FV247))-FIND("|",FV247)-1))),ABS($P$247-(VALUE(MID(FV247,FIND("|",FV247)+1,FIND("-",FV247,FIND("|",FV247))-FIND("|",FV247)-1))-VALUE(MID(FV247,FIND("-",FV247,FIND("|",FV247))+1,10)))))*$D$50)))))*$I$247,0),0),0)
+IFERROR(IF(LEFT(FV247,FIND("·",FV247)-1)=$C$247,IF($D$247=IFERROR(VALUE(MID(FV247,FIND("·",FV247)+1,1)),0),($D$36+($E$247=MID(FV247,FIND("|",FV247)+1,10))*$D$38+MAX(0,IF($D$50=1,$D$37*(1-(ABS($Q$247-(VALUE(MID(FV247,FIND("|",FV247)+1,FIND("-",FV247,FIND("|",FV247))-FIND("|",FV247)-1))-VALUE(MID(FV247,FIND("-",FV247,FIND("|",FV247))+1,10)))))*$D$50),$D$37*(1-(IF($D$247=0,ABS($A$247-VALUE(MID(FV247,FIND("|",FV247)+1,FIND("-",FV247,FIND("|",FV247))-FIND("|",FV247)-1))),ABS($Q$247-(VALUE(MID(FV247,FIND("|",FV247)+1,FIND("-",FV247,FIND("|",FV247))-FIND("|",FV247)-1))-VALUE(MID(FV247,FIND("-",FV247,FIND("|",FV247))+1,10)))))*$D$50)))))*$I$247,0),0),0)</f>
        <v>10</v>
      </c>
      <c r="FX247" s="110"/>
      <c r="FY247" s="66" t="s">
        <v>2440</v>
      </c>
      <c r="FZ247" s="85">
        <f t="shared" ref="FZ247" ca="1" si="3995">IFERROR(IF(LEFT(FY247,FIND("·",FY247)-1)=$K$247,IF($L$247=IFERROR(VALUE(MID(FY247,FIND("·",FY247)+1,1)),0),($D$36+($M$247=MID(FY247,FIND("|",FY247)+1,10))*$D$38+MAX(0,IF($D$50=1,$D$37*(1-(ABS($P$247-(VALUE(MID(FY247,FIND("|",FY247)+1,FIND("-",FY247,FIND("|",FY247))-FIND("|",FY247)-1))-VALUE(MID(FY247,FIND("-",FY247,FIND("|",FY247))+1,10)))))*$D$50),$D$37*(1-(IF($L$247=0,ABS($N$247-VALUE(MID(FY247,FIND("|",FY247)+1,FIND("-",FY247,FIND("|",FY247))-FIND("|",FY247)-1))),ABS($P$247-(VALUE(MID(FY247,FIND("|",FY247)+1,FIND("-",FY247,FIND("|",FY247))-FIND("|",FY247)-1))-VALUE(MID(FY247,FIND("-",FY247,FIND("|",FY247))+1,10)))))*$D$50)))))*$I$247,0),0),0)
+IFERROR(IF(LEFT(FY247,FIND("·",FY247)-1)=$C$247,IF($D$247=IFERROR(VALUE(MID(FY247,FIND("·",FY247)+1,1)),0),($D$36+($E$247=MID(FY247,FIND("|",FY247)+1,10))*$D$38+MAX(0,IF($D$50=1,$D$37*(1-(ABS($Q$247-(VALUE(MID(FY247,FIND("|",FY247)+1,FIND("-",FY247,FIND("|",FY247))-FIND("|",FY247)-1))-VALUE(MID(FY247,FIND("-",FY247,FIND("|",FY247))+1,10)))))*$D$50),$D$37*(1-(IF($D$247=0,ABS($A$247-VALUE(MID(FY247,FIND("|",FY247)+1,FIND("-",FY247,FIND("|",FY247))-FIND("|",FY247)-1))),ABS($Q$247-(VALUE(MID(FY247,FIND("|",FY247)+1,FIND("-",FY247,FIND("|",FY247))-FIND("|",FY247)-1))-VALUE(MID(FY247,FIND("-",FY247,FIND("|",FY247))+1,10)))))*$D$50)))))*$I$247,0),0),0)</f>
        <v>0</v>
      </c>
      <c r="GA247" s="110"/>
      <c r="GB247" s="66" t="s">
        <v>2099</v>
      </c>
      <c r="GC247" s="85">
        <f t="shared" ref="GC247" ca="1" si="3996">IFERROR(IF(LEFT(GB247,FIND("·",GB247)-1)=$K$247,IF($L$247=IFERROR(VALUE(MID(GB247,FIND("·",GB247)+1,1)),0),($D$36+($M$247=MID(GB247,FIND("|",GB247)+1,10))*$D$38+MAX(0,IF($D$50=1,$D$37*(1-(ABS($P$247-(VALUE(MID(GB247,FIND("|",GB247)+1,FIND("-",GB247,FIND("|",GB247))-FIND("|",GB247)-1))-VALUE(MID(GB247,FIND("-",GB247,FIND("|",GB247))+1,10)))))*$D$50),$D$37*(1-(IF($L$247=0,ABS($N$247-VALUE(MID(GB247,FIND("|",GB247)+1,FIND("-",GB247,FIND("|",GB247))-FIND("|",GB247)-1))),ABS($P$247-(VALUE(MID(GB247,FIND("|",GB247)+1,FIND("-",GB247,FIND("|",GB247))-FIND("|",GB247)-1))-VALUE(MID(GB247,FIND("-",GB247,FIND("|",GB247))+1,10)))))*$D$50)))))*$I$247,0),0),0)
+IFERROR(IF(LEFT(GB247,FIND("·",GB247)-1)=$C$247,IF($D$247=IFERROR(VALUE(MID(GB247,FIND("·",GB247)+1,1)),0),($D$36+($E$247=MID(GB247,FIND("|",GB247)+1,10))*$D$38+MAX(0,IF($D$50=1,$D$37*(1-(ABS($Q$247-(VALUE(MID(GB247,FIND("|",GB247)+1,FIND("-",GB247,FIND("|",GB247))-FIND("|",GB247)-1))-VALUE(MID(GB247,FIND("-",GB247,FIND("|",GB247))+1,10)))))*$D$50),$D$37*(1-(IF($D$247=0,ABS($A$247-VALUE(MID(GB247,FIND("|",GB247)+1,FIND("-",GB247,FIND("|",GB247))-FIND("|",GB247)-1))),ABS($Q$247-(VALUE(MID(GB247,FIND("|",GB247)+1,FIND("-",GB247,FIND("|",GB247))-FIND("|",GB247)-1))-VALUE(MID(GB247,FIND("-",GB247,FIND("|",GB247))+1,10)))))*$D$50)))))*$I$247,0),0),0)</f>
        <v>0</v>
      </c>
      <c r="GD247" s="110"/>
      <c r="GE247" s="66" t="s">
        <v>2687</v>
      </c>
      <c r="GF247" s="85">
        <f t="shared" ref="GF247" ca="1" si="3997">IFERROR(IF(LEFT(GE247,FIND("·",GE247)-1)=$K$247,IF($L$247=IFERROR(VALUE(MID(GE247,FIND("·",GE247)+1,1)),0),($D$36+($M$247=MID(GE247,FIND("|",GE247)+1,10))*$D$38+MAX(0,IF($D$50=1,$D$37*(1-(ABS($P$247-(VALUE(MID(GE247,FIND("|",GE247)+1,FIND("-",GE247,FIND("|",GE247))-FIND("|",GE247)-1))-VALUE(MID(GE247,FIND("-",GE247,FIND("|",GE247))+1,10)))))*$D$50),$D$37*(1-(IF($L$247=0,ABS($N$247-VALUE(MID(GE247,FIND("|",GE247)+1,FIND("-",GE247,FIND("|",GE247))-FIND("|",GE247)-1))),ABS($P$247-(VALUE(MID(GE247,FIND("|",GE247)+1,FIND("-",GE247,FIND("|",GE247))-FIND("|",GE247)-1))-VALUE(MID(GE247,FIND("-",GE247,FIND("|",GE247))+1,10)))))*$D$50)))))*$I$247,0),0),0)
+IFERROR(IF(LEFT(GE247,FIND("·",GE247)-1)=$C$247,IF($D$247=IFERROR(VALUE(MID(GE247,FIND("·",GE247)+1,1)),0),($D$36+($E$247=MID(GE247,FIND("|",GE247)+1,10))*$D$38+MAX(0,IF($D$50=1,$D$37*(1-(ABS($Q$247-(VALUE(MID(GE247,FIND("|",GE247)+1,FIND("-",GE247,FIND("|",GE247))-FIND("|",GE247)-1))-VALUE(MID(GE247,FIND("-",GE247,FIND("|",GE247))+1,10)))))*$D$50),$D$37*(1-(IF($D$247=0,ABS($A$247-VALUE(MID(GE247,FIND("|",GE247)+1,FIND("-",GE247,FIND("|",GE247))-FIND("|",GE247)-1))),ABS($Q$247-(VALUE(MID(GE247,FIND("|",GE247)+1,FIND("-",GE247,FIND("|",GE247))-FIND("|",GE247)-1))-VALUE(MID(GE247,FIND("-",GE247,FIND("|",GE247))+1,10)))))*$D$50)))))*$I$247,0),0),0)</f>
        <v>0</v>
      </c>
      <c r="GG247" s="110"/>
      <c r="GH247" s="66" t="s">
        <v>3054</v>
      </c>
      <c r="GI247" s="85">
        <f t="shared" ref="GI247" ca="1" si="3998">IFERROR(IF(LEFT(GH247,FIND("·",GH247)-1)=$K$247,IF($L$247=IFERROR(VALUE(MID(GH247,FIND("·",GH247)+1,1)),0),($D$36+($M$247=MID(GH247,FIND("|",GH247)+1,10))*$D$38+MAX(0,IF($D$50=1,$D$37*(1-(ABS($P$247-(VALUE(MID(GH247,FIND("|",GH247)+1,FIND("-",GH247,FIND("|",GH247))-FIND("|",GH247)-1))-VALUE(MID(GH247,FIND("-",GH247,FIND("|",GH247))+1,10)))))*$D$50),$D$37*(1-(IF($L$247=0,ABS($N$247-VALUE(MID(GH247,FIND("|",GH247)+1,FIND("-",GH247,FIND("|",GH247))-FIND("|",GH247)-1))),ABS($P$247-(VALUE(MID(GH247,FIND("|",GH247)+1,FIND("-",GH247,FIND("|",GH247))-FIND("|",GH247)-1))-VALUE(MID(GH247,FIND("-",GH247,FIND("|",GH247))+1,10)))))*$D$50)))))*$I$247,0),0),0)
+IFERROR(IF(LEFT(GH247,FIND("·",GH247)-1)=$C$247,IF($D$247=IFERROR(VALUE(MID(GH247,FIND("·",GH247)+1,1)),0),($D$36+($E$247=MID(GH247,FIND("|",GH247)+1,10))*$D$38+MAX(0,IF($D$50=1,$D$37*(1-(ABS($Q$247-(VALUE(MID(GH247,FIND("|",GH247)+1,FIND("-",GH247,FIND("|",GH247))-FIND("|",GH247)-1))-VALUE(MID(GH247,FIND("-",GH247,FIND("|",GH247))+1,10)))))*$D$50),$D$37*(1-(IF($D$247=0,ABS($A$247-VALUE(MID(GH247,FIND("|",GH247)+1,FIND("-",GH247,FIND("|",GH247))-FIND("|",GH247)-1))),ABS($Q$247-(VALUE(MID(GH247,FIND("|",GH247)+1,FIND("-",GH247,FIND("|",GH247))-FIND("|",GH247)-1))-VALUE(MID(GH247,FIND("-",GH247,FIND("|",GH247))+1,10)))))*$D$50)))))*$I$247,0),0),0)</f>
        <v>0</v>
      </c>
      <c r="GJ247" s="110"/>
      <c r="GK247" s="66" t="s">
        <v>3065</v>
      </c>
      <c r="GL247" s="85">
        <f t="shared" ref="GL247" ca="1" si="3999">IFERROR(IF(LEFT(GK247,FIND("·",GK247)-1)=$K$247,IF($L$247=IFERROR(VALUE(MID(GK247,FIND("·",GK247)+1,1)),0),($D$36+($M$247=MID(GK247,FIND("|",GK247)+1,10))*$D$38+MAX(0,IF($D$50=1,$D$37*(1-(ABS($P$247-(VALUE(MID(GK247,FIND("|",GK247)+1,FIND("-",GK247,FIND("|",GK247))-FIND("|",GK247)-1))-VALUE(MID(GK247,FIND("-",GK247,FIND("|",GK247))+1,10)))))*$D$50),$D$37*(1-(IF($L$247=0,ABS($N$247-VALUE(MID(GK247,FIND("|",GK247)+1,FIND("-",GK247,FIND("|",GK247))-FIND("|",GK247)-1))),ABS($P$247-(VALUE(MID(GK247,FIND("|",GK247)+1,FIND("-",GK247,FIND("|",GK247))-FIND("|",GK247)-1))-VALUE(MID(GK247,FIND("-",GK247,FIND("|",GK247))+1,10)))))*$D$50)))))*$I$247,0),0),0)
+IFERROR(IF(LEFT(GK247,FIND("·",GK247)-1)=$C$247,IF($D$247=IFERROR(VALUE(MID(GK247,FIND("·",GK247)+1,1)),0),($D$36+($E$247=MID(GK247,FIND("|",GK247)+1,10))*$D$38+MAX(0,IF($D$50=1,$D$37*(1-(ABS($Q$247-(VALUE(MID(GK247,FIND("|",GK247)+1,FIND("-",GK247,FIND("|",GK247))-FIND("|",GK247)-1))-VALUE(MID(GK247,FIND("-",GK247,FIND("|",GK247))+1,10)))))*$D$50),$D$37*(1-(IF($D$247=0,ABS($A$247-VALUE(MID(GK247,FIND("|",GK247)+1,FIND("-",GK247,FIND("|",GK247))-FIND("|",GK247)-1))),ABS($Q$247-(VALUE(MID(GK247,FIND("|",GK247)+1,FIND("-",GK247,FIND("|",GK247))-FIND("|",GK247)-1))-VALUE(MID(GK247,FIND("-",GK247,FIND("|",GK247))+1,10)))))*$D$50)))))*$I$247,0),0),0)</f>
        <v>0</v>
      </c>
      <c r="GM247" s="110"/>
      <c r="GN247" s="66"/>
      <c r="GO247" s="85">
        <f t="shared" ref="GO247" ca="1" si="4000">IFERROR(IF(LEFT(GN247,FIND("·",GN247)-1)=$K$247,IF($L$247=IFERROR(VALUE(MID(GN247,FIND("·",GN247)+1,1)),0),($D$36+($M$247=MID(GN247,FIND("|",GN247)+1,10))*$D$38+MAX(0,IF($D$50=1,$D$37*(1-(ABS($P$247-(VALUE(MID(GN247,FIND("|",GN247)+1,FIND("-",GN247,FIND("|",GN247))-FIND("|",GN247)-1))-VALUE(MID(GN247,FIND("-",GN247,FIND("|",GN247))+1,10)))))*$D$50),$D$37*(1-(IF($L$247=0,ABS($N$247-VALUE(MID(GN247,FIND("|",GN247)+1,FIND("-",GN247,FIND("|",GN247))-FIND("|",GN247)-1))),ABS($P$247-(VALUE(MID(GN247,FIND("|",GN247)+1,FIND("-",GN247,FIND("|",GN247))-FIND("|",GN247)-1))-VALUE(MID(GN247,FIND("-",GN247,FIND("|",GN247))+1,10)))))*$D$50)))))*$I$247,0),0),0)
+IFERROR(IF(LEFT(GN247,FIND("·",GN247)-1)=$C$247,IF($D$247=IFERROR(VALUE(MID(GN247,FIND("·",GN247)+1,1)),0),($D$36+($E$247=MID(GN247,FIND("|",GN247)+1,10))*$D$38+MAX(0,IF($D$50=1,$D$37*(1-(ABS($Q$247-(VALUE(MID(GN247,FIND("|",GN247)+1,FIND("-",GN247,FIND("|",GN247))-FIND("|",GN247)-1))-VALUE(MID(GN247,FIND("-",GN247,FIND("|",GN247))+1,10)))))*$D$50),$D$37*(1-(IF($D$247=0,ABS($A$247-VALUE(MID(GN247,FIND("|",GN247)+1,FIND("-",GN247,FIND("|",GN247))-FIND("|",GN247)-1))),ABS($Q$247-(VALUE(MID(GN247,FIND("|",GN247)+1,FIND("-",GN247,FIND("|",GN247))-FIND("|",GN247)-1))-VALUE(MID(GN247,FIND("-",GN247,FIND("|",GN247))+1,10)))))*$D$50)))))*$I$247,0),0),0)</f>
        <v>0</v>
      </c>
      <c r="GP247" s="110"/>
      <c r="GQ247" s="66"/>
      <c r="GR247" s="85">
        <f t="shared" ref="GR247" ca="1" si="4001">IFERROR(IF(LEFT(GQ247,FIND("·",GQ247)-1)=$K$247,IF($L$247=IFERROR(VALUE(MID(GQ247,FIND("·",GQ247)+1,1)),0),($D$36+($M$247=MID(GQ247,FIND("|",GQ247)+1,10))*$D$38+MAX(0,IF($D$50=1,$D$37*(1-(ABS($P$247-(VALUE(MID(GQ247,FIND("|",GQ247)+1,FIND("-",GQ247,FIND("|",GQ247))-FIND("|",GQ247)-1))-VALUE(MID(GQ247,FIND("-",GQ247,FIND("|",GQ247))+1,10)))))*$D$50),$D$37*(1-(IF($L$247=0,ABS($N$247-VALUE(MID(GQ247,FIND("|",GQ247)+1,FIND("-",GQ247,FIND("|",GQ247))-FIND("|",GQ247)-1))),ABS($P$247-(VALUE(MID(GQ247,FIND("|",GQ247)+1,FIND("-",GQ247,FIND("|",GQ247))-FIND("|",GQ247)-1))-VALUE(MID(GQ247,FIND("-",GQ247,FIND("|",GQ247))+1,10)))))*$D$50)))))*$I$247,0),0),0)
+IFERROR(IF(LEFT(GQ247,FIND("·",GQ247)-1)=$C$247,IF($D$247=IFERROR(VALUE(MID(GQ247,FIND("·",GQ247)+1,1)),0),($D$36+($E$247=MID(GQ247,FIND("|",GQ247)+1,10))*$D$38+MAX(0,IF($D$50=1,$D$37*(1-(ABS($Q$247-(VALUE(MID(GQ247,FIND("|",GQ247)+1,FIND("-",GQ247,FIND("|",GQ247))-FIND("|",GQ247)-1))-VALUE(MID(GQ247,FIND("-",GQ247,FIND("|",GQ247))+1,10)))))*$D$50),$D$37*(1-(IF($D$247=0,ABS($A$247-VALUE(MID(GQ247,FIND("|",GQ247)+1,FIND("-",GQ247,FIND("|",GQ247))-FIND("|",GQ247)-1))),ABS($Q$247-(VALUE(MID(GQ247,FIND("|",GQ247)+1,FIND("-",GQ247,FIND("|",GQ247))-FIND("|",GQ247)-1))-VALUE(MID(GQ247,FIND("-",GQ247,FIND("|",GQ247))+1,10)))))*$D$50)))))*$I$247,0),0),0)</f>
        <v>0</v>
      </c>
      <c r="GS247" s="110"/>
      <c r="GT247" s="66"/>
      <c r="GU247" s="85">
        <f t="shared" ref="GU247" ca="1" si="4002">IFERROR(IF(LEFT(GT247,FIND("·",GT247)-1)=$K$247,IF($L$247=IFERROR(VALUE(MID(GT247,FIND("·",GT247)+1,1)),0),($D$36+($M$247=MID(GT247,FIND("|",GT247)+1,10))*$D$38+MAX(0,IF($D$50=1,$D$37*(1-(ABS($P$247-(VALUE(MID(GT247,FIND("|",GT247)+1,FIND("-",GT247,FIND("|",GT247))-FIND("|",GT247)-1))-VALUE(MID(GT247,FIND("-",GT247,FIND("|",GT247))+1,10)))))*$D$50),$D$37*(1-(IF($L$247=0,ABS($N$247-VALUE(MID(GT247,FIND("|",GT247)+1,FIND("-",GT247,FIND("|",GT247))-FIND("|",GT247)-1))),ABS($P$247-(VALUE(MID(GT247,FIND("|",GT247)+1,FIND("-",GT247,FIND("|",GT247))-FIND("|",GT247)-1))-VALUE(MID(GT247,FIND("-",GT247,FIND("|",GT247))+1,10)))))*$D$50)))))*$I$247,0),0),0)
+IFERROR(IF(LEFT(GT247,FIND("·",GT247)-1)=$C$247,IF($D$247=IFERROR(VALUE(MID(GT247,FIND("·",GT247)+1,1)),0),($D$36+($E$247=MID(GT247,FIND("|",GT247)+1,10))*$D$38+MAX(0,IF($D$50=1,$D$37*(1-(ABS($Q$247-(VALUE(MID(GT247,FIND("|",GT247)+1,FIND("-",GT247,FIND("|",GT247))-FIND("|",GT247)-1))-VALUE(MID(GT247,FIND("-",GT247,FIND("|",GT247))+1,10)))))*$D$50),$D$37*(1-(IF($D$247=0,ABS($A$247-VALUE(MID(GT247,FIND("|",GT247)+1,FIND("-",GT247,FIND("|",GT247))-FIND("|",GT247)-1))),ABS($Q$247-(VALUE(MID(GT247,FIND("|",GT247)+1,FIND("-",GT247,FIND("|",GT247))-FIND("|",GT247)-1))-VALUE(MID(GT247,FIND("-",GT247,FIND("|",GT247))+1,10)))))*$D$50)))))*$I$247,0),0),0)</f>
        <v>0</v>
      </c>
      <c r="GV247" s="110"/>
      <c r="GW247" s="66"/>
      <c r="GX247" s="85">
        <f t="shared" ref="GX247" ca="1" si="4003">IFERROR(IF(LEFT(GW247,FIND("·",GW247)-1)=$K$247,IF($L$247=IFERROR(VALUE(MID(GW247,FIND("·",GW247)+1,1)),0),($D$36+($M$247=MID(GW247,FIND("|",GW247)+1,10))*$D$38+MAX(0,IF($D$50=1,$D$37*(1-(ABS($P$247-(VALUE(MID(GW247,FIND("|",GW247)+1,FIND("-",GW247,FIND("|",GW247))-FIND("|",GW247)-1))-VALUE(MID(GW247,FIND("-",GW247,FIND("|",GW247))+1,10)))))*$D$50),$D$37*(1-(IF($L$247=0,ABS($N$247-VALUE(MID(GW247,FIND("|",GW247)+1,FIND("-",GW247,FIND("|",GW247))-FIND("|",GW247)-1))),ABS($P$247-(VALUE(MID(GW247,FIND("|",GW247)+1,FIND("-",GW247,FIND("|",GW247))-FIND("|",GW247)-1))-VALUE(MID(GW247,FIND("-",GW247,FIND("|",GW247))+1,10)))))*$D$50)))))*$I$247,0),0),0)
+IFERROR(IF(LEFT(GW247,FIND("·",GW247)-1)=$C$247,IF($D$247=IFERROR(VALUE(MID(GW247,FIND("·",GW247)+1,1)),0),($D$36+($E$247=MID(GW247,FIND("|",GW247)+1,10))*$D$38+MAX(0,IF($D$50=1,$D$37*(1-(ABS($Q$247-(VALUE(MID(GW247,FIND("|",GW247)+1,FIND("-",GW247,FIND("|",GW247))-FIND("|",GW247)-1))-VALUE(MID(GW247,FIND("-",GW247,FIND("|",GW247))+1,10)))))*$D$50),$D$37*(1-(IF($D$247=0,ABS($A$247-VALUE(MID(GW247,FIND("|",GW247)+1,FIND("-",GW247,FIND("|",GW247))-FIND("|",GW247)-1))),ABS($Q$247-(VALUE(MID(GW247,FIND("|",GW247)+1,FIND("-",GW247,FIND("|",GW247))-FIND("|",GW247)-1))-VALUE(MID(GW247,FIND("-",GW247,FIND("|",GW247))+1,10)))))*$D$50)))))*$I$247,0),0),0)</f>
        <v>0</v>
      </c>
      <c r="GY247" s="110"/>
      <c r="GZ247" s="66"/>
      <c r="HA247" s="85">
        <f t="shared" ref="HA247" ca="1" si="4004">IFERROR(IF(LEFT(GZ247,FIND("·",GZ247)-1)=$K$247,IF($L$247=IFERROR(VALUE(MID(GZ247,FIND("·",GZ247)+1,1)),0),($D$36+($M$247=MID(GZ247,FIND("|",GZ247)+1,10))*$D$38+MAX(0,IF($D$50=1,$D$37*(1-(ABS($P$247-(VALUE(MID(GZ247,FIND("|",GZ247)+1,FIND("-",GZ247,FIND("|",GZ247))-FIND("|",GZ247)-1))-VALUE(MID(GZ247,FIND("-",GZ247,FIND("|",GZ247))+1,10)))))*$D$50),$D$37*(1-(IF($L$247=0,ABS($N$247-VALUE(MID(GZ247,FIND("|",GZ247)+1,FIND("-",GZ247,FIND("|",GZ247))-FIND("|",GZ247)-1))),ABS($P$247-(VALUE(MID(GZ247,FIND("|",GZ247)+1,FIND("-",GZ247,FIND("|",GZ247))-FIND("|",GZ247)-1))-VALUE(MID(GZ247,FIND("-",GZ247,FIND("|",GZ247))+1,10)))))*$D$50)))))*$I$247,0),0),0)
+IFERROR(IF(LEFT(GZ247,FIND("·",GZ247)-1)=$C$247,IF($D$247=IFERROR(VALUE(MID(GZ247,FIND("·",GZ247)+1,1)),0),($D$36+($E$247=MID(GZ247,FIND("|",GZ247)+1,10))*$D$38+MAX(0,IF($D$50=1,$D$37*(1-(ABS($Q$247-(VALUE(MID(GZ247,FIND("|",GZ247)+1,FIND("-",GZ247,FIND("|",GZ247))-FIND("|",GZ247)-1))-VALUE(MID(GZ247,FIND("-",GZ247,FIND("|",GZ247))+1,10)))))*$D$50),$D$37*(1-(IF($D$247=0,ABS($A$247-VALUE(MID(GZ247,FIND("|",GZ247)+1,FIND("-",GZ247,FIND("|",GZ247))-FIND("|",GZ247)-1))),ABS($Q$247-(VALUE(MID(GZ247,FIND("|",GZ247)+1,FIND("-",GZ247,FIND("|",GZ247))-FIND("|",GZ247)-1))-VALUE(MID(GZ247,FIND("-",GZ247,FIND("|",GZ247))+1,10)))))*$D$50)))))*$I$247,0),0),0)</f>
        <v>0</v>
      </c>
      <c r="HB247" s="110"/>
      <c r="HC247" s="66"/>
      <c r="HD247" s="85">
        <f t="shared" ref="HD247" ca="1" si="4005">IFERROR(IF(LEFT(HC247,FIND("·",HC247)-1)=$K$247,IF($L$247=IFERROR(VALUE(MID(HC247,FIND("·",HC247)+1,1)),0),($D$36+($M$247=MID(HC247,FIND("|",HC247)+1,10))*$D$38+MAX(0,IF($D$50=1,$D$37*(1-(ABS($P$247-(VALUE(MID(HC247,FIND("|",HC247)+1,FIND("-",HC247,FIND("|",HC247))-FIND("|",HC247)-1))-VALUE(MID(HC247,FIND("-",HC247,FIND("|",HC247))+1,10)))))*$D$50),$D$37*(1-(IF($L$247=0,ABS($N$247-VALUE(MID(HC247,FIND("|",HC247)+1,FIND("-",HC247,FIND("|",HC247))-FIND("|",HC247)-1))),ABS($P$247-(VALUE(MID(HC247,FIND("|",HC247)+1,FIND("-",HC247,FIND("|",HC247))-FIND("|",HC247)-1))-VALUE(MID(HC247,FIND("-",HC247,FIND("|",HC247))+1,10)))))*$D$50)))))*$I$247,0),0),0)
+IFERROR(IF(LEFT(HC247,FIND("·",HC247)-1)=$C$247,IF($D$247=IFERROR(VALUE(MID(HC247,FIND("·",HC247)+1,1)),0),($D$36+($E$247=MID(HC247,FIND("|",HC247)+1,10))*$D$38+MAX(0,IF($D$50=1,$D$37*(1-(ABS($Q$247-(VALUE(MID(HC247,FIND("|",HC247)+1,FIND("-",HC247,FIND("|",HC247))-FIND("|",HC247)-1))-VALUE(MID(HC247,FIND("-",HC247,FIND("|",HC247))+1,10)))))*$D$50),$D$37*(1-(IF($D$247=0,ABS($A$247-VALUE(MID(HC247,FIND("|",HC247)+1,FIND("-",HC247,FIND("|",HC247))-FIND("|",HC247)-1))),ABS($Q$247-(VALUE(MID(HC247,FIND("|",HC247)+1,FIND("-",HC247,FIND("|",HC247))-FIND("|",HC247)-1))-VALUE(MID(HC247,FIND("-",HC247,FIND("|",HC247))+1,10)))))*$D$50)))))*$I$247,0),0),0)</f>
        <v>0</v>
      </c>
      <c r="HE247" s="110"/>
      <c r="HF247" s="66"/>
      <c r="HG247" s="85">
        <f t="shared" ref="HG247" ca="1" si="4006">IFERROR(IF(LEFT(HF247,FIND("·",HF247)-1)=$K$247,IF($L$247=IFERROR(VALUE(MID(HF247,FIND("·",HF247)+1,1)),0),($D$36+($M$247=MID(HF247,FIND("|",HF247)+1,10))*$D$38+MAX(0,IF($D$50=1,$D$37*(1-(ABS($P$247-(VALUE(MID(HF247,FIND("|",HF247)+1,FIND("-",HF247,FIND("|",HF247))-FIND("|",HF247)-1))-VALUE(MID(HF247,FIND("-",HF247,FIND("|",HF247))+1,10)))))*$D$50),$D$37*(1-(IF($L$247=0,ABS($N$247-VALUE(MID(HF247,FIND("|",HF247)+1,FIND("-",HF247,FIND("|",HF247))-FIND("|",HF247)-1))),ABS($P$247-(VALUE(MID(HF247,FIND("|",HF247)+1,FIND("-",HF247,FIND("|",HF247))-FIND("|",HF247)-1))-VALUE(MID(HF247,FIND("-",HF247,FIND("|",HF247))+1,10)))))*$D$50)))))*$I$247,0),0),0)
+IFERROR(IF(LEFT(HF247,FIND("·",HF247)-1)=$C$247,IF($D$247=IFERROR(VALUE(MID(HF247,FIND("·",HF247)+1,1)),0),($D$36+($E$247=MID(HF247,FIND("|",HF247)+1,10))*$D$38+MAX(0,IF($D$50=1,$D$37*(1-(ABS($Q$247-(VALUE(MID(HF247,FIND("|",HF247)+1,FIND("-",HF247,FIND("|",HF247))-FIND("|",HF247)-1))-VALUE(MID(HF247,FIND("-",HF247,FIND("|",HF247))+1,10)))))*$D$50),$D$37*(1-(IF($D$247=0,ABS($A$247-VALUE(MID(HF247,FIND("|",HF247)+1,FIND("-",HF247,FIND("|",HF247))-FIND("|",HF247)-1))),ABS($Q$247-(VALUE(MID(HF247,FIND("|",HF247)+1,FIND("-",HF247,FIND("|",HF247))-FIND("|",HF247)-1))-VALUE(MID(HF247,FIND("-",HF247,FIND("|",HF247))+1,10)))))*$D$50)))))*$I$247,0),0),0)</f>
        <v>0</v>
      </c>
      <c r="HH247" s="110"/>
      <c r="HI247" s="66"/>
      <c r="HJ247" s="85">
        <f t="shared" ref="HJ247" ca="1" si="4007">IFERROR(IF(LEFT(HI247,FIND("·",HI247)-1)=$K$247,IF($L$247=IFERROR(VALUE(MID(HI247,FIND("·",HI247)+1,1)),0),($D$36+($M$247=MID(HI247,FIND("|",HI247)+1,10))*$D$38+MAX(0,IF($D$50=1,$D$37*(1-(ABS($P$247-(VALUE(MID(HI247,FIND("|",HI247)+1,FIND("-",HI247,FIND("|",HI247))-FIND("|",HI247)-1))-VALUE(MID(HI247,FIND("-",HI247,FIND("|",HI247))+1,10)))))*$D$50),$D$37*(1-(IF($L$247=0,ABS($N$247-VALUE(MID(HI247,FIND("|",HI247)+1,FIND("-",HI247,FIND("|",HI247))-FIND("|",HI247)-1))),ABS($P$247-(VALUE(MID(HI247,FIND("|",HI247)+1,FIND("-",HI247,FIND("|",HI247))-FIND("|",HI247)-1))-VALUE(MID(HI247,FIND("-",HI247,FIND("|",HI247))+1,10)))))*$D$50)))))*$I$247,0),0),0)
+IFERROR(IF(LEFT(HI247,FIND("·",HI247)-1)=$C$247,IF($D$247=IFERROR(VALUE(MID(HI247,FIND("·",HI247)+1,1)),0),($D$36+($E$247=MID(HI247,FIND("|",HI247)+1,10))*$D$38+MAX(0,IF($D$50=1,$D$37*(1-(ABS($Q$247-(VALUE(MID(HI247,FIND("|",HI247)+1,FIND("-",HI247,FIND("|",HI247))-FIND("|",HI247)-1))-VALUE(MID(HI247,FIND("-",HI247,FIND("|",HI247))+1,10)))))*$D$50),$D$37*(1-(IF($D$247=0,ABS($A$247-VALUE(MID(HI247,FIND("|",HI247)+1,FIND("-",HI247,FIND("|",HI247))-FIND("|",HI247)-1))),ABS($Q$247-(VALUE(MID(HI247,FIND("|",HI247)+1,FIND("-",HI247,FIND("|",HI247))-FIND("|",HI247)-1))-VALUE(MID(HI247,FIND("-",HI247,FIND("|",HI247))+1,10)))))*$D$50)))))*$I$247,0),0),0)</f>
        <v>0</v>
      </c>
      <c r="HK247" s="110"/>
      <c r="HL247" s="66"/>
      <c r="HM247" s="85">
        <f t="shared" ref="HM247" ca="1" si="4008">IFERROR(IF(LEFT(HL247,FIND("·",HL247)-1)=$K$247,IF($L$247=IFERROR(VALUE(MID(HL247,FIND("·",HL247)+1,1)),0),($D$36+($M$247=MID(HL247,FIND("|",HL247)+1,10))*$D$38+MAX(0,IF($D$50=1,$D$37*(1-(ABS($P$247-(VALUE(MID(HL247,FIND("|",HL247)+1,FIND("-",HL247,FIND("|",HL247))-FIND("|",HL247)-1))-VALUE(MID(HL247,FIND("-",HL247,FIND("|",HL247))+1,10)))))*$D$50),$D$37*(1-(IF($L$247=0,ABS($N$247-VALUE(MID(HL247,FIND("|",HL247)+1,FIND("-",HL247,FIND("|",HL247))-FIND("|",HL247)-1))),ABS($P$247-(VALUE(MID(HL247,FIND("|",HL247)+1,FIND("-",HL247,FIND("|",HL247))-FIND("|",HL247)-1))-VALUE(MID(HL247,FIND("-",HL247,FIND("|",HL247))+1,10)))))*$D$50)))))*$I$247,0),0),0)
+IFERROR(IF(LEFT(HL247,FIND("·",HL247)-1)=$C$247,IF($D$247=IFERROR(VALUE(MID(HL247,FIND("·",HL247)+1,1)),0),($D$36+($E$247=MID(HL247,FIND("|",HL247)+1,10))*$D$38+MAX(0,IF($D$50=1,$D$37*(1-(ABS($Q$247-(VALUE(MID(HL247,FIND("|",HL247)+1,FIND("-",HL247,FIND("|",HL247))-FIND("|",HL247)-1))-VALUE(MID(HL247,FIND("-",HL247,FIND("|",HL247))+1,10)))))*$D$50),$D$37*(1-(IF($D$247=0,ABS($A$247-VALUE(MID(HL247,FIND("|",HL247)+1,FIND("-",HL247,FIND("|",HL247))-FIND("|",HL247)-1))),ABS($Q$247-(VALUE(MID(HL247,FIND("|",HL247)+1,FIND("-",HL247,FIND("|",HL247))-FIND("|",HL247)-1))-VALUE(MID(HL247,FIND("-",HL247,FIND("|",HL247))+1,10)))))*$D$50)))))*$I$247,0),0),0)</f>
        <v>0</v>
      </c>
      <c r="HN247" s="110"/>
      <c r="HO247" s="66"/>
      <c r="HP247" s="85">
        <f t="shared" ref="HP247" ca="1" si="4009">IFERROR(IF(LEFT(HO247,FIND("·",HO247)-1)=$K$247,IF($L$247=IFERROR(VALUE(MID(HO247,FIND("·",HO247)+1,1)),0),($D$36+($M$247=MID(HO247,FIND("|",HO247)+1,10))*$D$38+MAX(0,IF($D$50=1,$D$37*(1-(ABS($P$247-(VALUE(MID(HO247,FIND("|",HO247)+1,FIND("-",HO247,FIND("|",HO247))-FIND("|",HO247)-1))-VALUE(MID(HO247,FIND("-",HO247,FIND("|",HO247))+1,10)))))*$D$50),$D$37*(1-(IF($L$247=0,ABS($N$247-VALUE(MID(HO247,FIND("|",HO247)+1,FIND("-",HO247,FIND("|",HO247))-FIND("|",HO247)-1))),ABS($P$247-(VALUE(MID(HO247,FIND("|",HO247)+1,FIND("-",HO247,FIND("|",HO247))-FIND("|",HO247)-1))-VALUE(MID(HO247,FIND("-",HO247,FIND("|",HO247))+1,10)))))*$D$50)))))*$I$247,0),0),0)
+IFERROR(IF(LEFT(HO247,FIND("·",HO247)-1)=$C$247,IF($D$247=IFERROR(VALUE(MID(HO247,FIND("·",HO247)+1,1)),0),($D$36+($E$247=MID(HO247,FIND("|",HO247)+1,10))*$D$38+MAX(0,IF($D$50=1,$D$37*(1-(ABS($Q$247-(VALUE(MID(HO247,FIND("|",HO247)+1,FIND("-",HO247,FIND("|",HO247))-FIND("|",HO247)-1))-VALUE(MID(HO247,FIND("-",HO247,FIND("|",HO247))+1,10)))))*$D$50),$D$37*(1-(IF($D$247=0,ABS($A$247-VALUE(MID(HO247,FIND("|",HO247)+1,FIND("-",HO247,FIND("|",HO247))-FIND("|",HO247)-1))),ABS($Q$247-(VALUE(MID(HO247,FIND("|",HO247)+1,FIND("-",HO247,FIND("|",HO247))-FIND("|",HO247)-1))-VALUE(MID(HO247,FIND("-",HO247,FIND("|",HO247))+1,10)))))*$D$50)))))*$I$247,0),0),0)</f>
        <v>0</v>
      </c>
      <c r="HQ247" s="110"/>
      <c r="HR247" s="66"/>
      <c r="HS247" s="85">
        <f t="shared" ref="HS247" ca="1" si="4010">IFERROR(IF(LEFT(HR247,FIND("·",HR247)-1)=$K$247,IF($L$247=IFERROR(VALUE(MID(HR247,FIND("·",HR247)+1,1)),0),($D$36+($M$247=MID(HR247,FIND("|",HR247)+1,10))*$D$38+MAX(0,IF($D$50=1,$D$37*(1-(ABS($P$247-(VALUE(MID(HR247,FIND("|",HR247)+1,FIND("-",HR247,FIND("|",HR247))-FIND("|",HR247)-1))-VALUE(MID(HR247,FIND("-",HR247,FIND("|",HR247))+1,10)))))*$D$50),$D$37*(1-(IF($L$247=0,ABS($N$247-VALUE(MID(HR247,FIND("|",HR247)+1,FIND("-",HR247,FIND("|",HR247))-FIND("|",HR247)-1))),ABS($P$247-(VALUE(MID(HR247,FIND("|",HR247)+1,FIND("-",HR247,FIND("|",HR247))-FIND("|",HR247)-1))-VALUE(MID(HR247,FIND("-",HR247,FIND("|",HR247))+1,10)))))*$D$50)))))*$I$247,0),0),0)
+IFERROR(IF(LEFT(HR247,FIND("·",HR247)-1)=$C$247,IF($D$247=IFERROR(VALUE(MID(HR247,FIND("·",HR247)+1,1)),0),($D$36+($E$247=MID(HR247,FIND("|",HR247)+1,10))*$D$38+MAX(0,IF($D$50=1,$D$37*(1-(ABS($Q$247-(VALUE(MID(HR247,FIND("|",HR247)+1,FIND("-",HR247,FIND("|",HR247))-FIND("|",HR247)-1))-VALUE(MID(HR247,FIND("-",HR247,FIND("|",HR247))+1,10)))))*$D$50),$D$37*(1-(IF($D$247=0,ABS($A$247-VALUE(MID(HR247,FIND("|",HR247)+1,FIND("-",HR247,FIND("|",HR247))-FIND("|",HR247)-1))),ABS($Q$247-(VALUE(MID(HR247,FIND("|",HR247)+1,FIND("-",HR247,FIND("|",HR247))-FIND("|",HR247)-1))-VALUE(MID(HR247,FIND("-",HR247,FIND("|",HR247))+1,10)))))*$D$50)))))*$I$247,0),0),0)</f>
        <v>0</v>
      </c>
      <c r="HT247" s="110"/>
      <c r="HU247" s="66"/>
      <c r="HV247" s="85">
        <f t="shared" ref="HV247" ca="1" si="4011">IFERROR(IF(LEFT(HU247,FIND("·",HU247)-1)=$K$247,IF($L$247=IFERROR(VALUE(MID(HU247,FIND("·",HU247)+1,1)),0),($D$36+($M$247=MID(HU247,FIND("|",HU247)+1,10))*$D$38+MAX(0,IF($D$50=1,$D$37*(1-(ABS($P$247-(VALUE(MID(HU247,FIND("|",HU247)+1,FIND("-",HU247,FIND("|",HU247))-FIND("|",HU247)-1))-VALUE(MID(HU247,FIND("-",HU247,FIND("|",HU247))+1,10)))))*$D$50),$D$37*(1-(IF($L$247=0,ABS($N$247-VALUE(MID(HU247,FIND("|",HU247)+1,FIND("-",HU247,FIND("|",HU247))-FIND("|",HU247)-1))),ABS($P$247-(VALUE(MID(HU247,FIND("|",HU247)+1,FIND("-",HU247,FIND("|",HU247))-FIND("|",HU247)-1))-VALUE(MID(HU247,FIND("-",HU247,FIND("|",HU247))+1,10)))))*$D$50)))))*$I$247,0),0),0)
+IFERROR(IF(LEFT(HU247,FIND("·",HU247)-1)=$C$247,IF($D$247=IFERROR(VALUE(MID(HU247,FIND("·",HU247)+1,1)),0),($D$36+($E$247=MID(HU247,FIND("|",HU247)+1,10))*$D$38+MAX(0,IF($D$50=1,$D$37*(1-(ABS($Q$247-(VALUE(MID(HU247,FIND("|",HU247)+1,FIND("-",HU247,FIND("|",HU247))-FIND("|",HU247)-1))-VALUE(MID(HU247,FIND("-",HU247,FIND("|",HU247))+1,10)))))*$D$50),$D$37*(1-(IF($D$247=0,ABS($A$247-VALUE(MID(HU247,FIND("|",HU247)+1,FIND("-",HU247,FIND("|",HU247))-FIND("|",HU247)-1))),ABS($Q$247-(VALUE(MID(HU247,FIND("|",HU247)+1,FIND("-",HU247,FIND("|",HU247))-FIND("|",HU247)-1))-VALUE(MID(HU247,FIND("-",HU247,FIND("|",HU247))+1,10)))))*$D$50)))))*$I$247,0),0),0)</f>
        <v>0</v>
      </c>
      <c r="HW247" s="110"/>
      <c r="HX247" s="66"/>
      <c r="HY247" s="85">
        <f t="shared" ref="HY247" ca="1" si="4012">IFERROR(IF(LEFT(HX247,FIND("·",HX247)-1)=$K$247,IF($L$247=IFERROR(VALUE(MID(HX247,FIND("·",HX247)+1,1)),0),($D$36+($M$247=MID(HX247,FIND("|",HX247)+1,10))*$D$38+MAX(0,IF($D$50=1,$D$37*(1-(ABS($P$247-(VALUE(MID(HX247,FIND("|",HX247)+1,FIND("-",HX247,FIND("|",HX247))-FIND("|",HX247)-1))-VALUE(MID(HX247,FIND("-",HX247,FIND("|",HX247))+1,10)))))*$D$50),$D$37*(1-(IF($L$247=0,ABS($N$247-VALUE(MID(HX247,FIND("|",HX247)+1,FIND("-",HX247,FIND("|",HX247))-FIND("|",HX247)-1))),ABS($P$247-(VALUE(MID(HX247,FIND("|",HX247)+1,FIND("-",HX247,FIND("|",HX247))-FIND("|",HX247)-1))-VALUE(MID(HX247,FIND("-",HX247,FIND("|",HX247))+1,10)))))*$D$50)))))*$I$247,0),0),0)
+IFERROR(IF(LEFT(HX247,FIND("·",HX247)-1)=$C$247,IF($D$247=IFERROR(VALUE(MID(HX247,FIND("·",HX247)+1,1)),0),($D$36+($E$247=MID(HX247,FIND("|",HX247)+1,10))*$D$38+MAX(0,IF($D$50=1,$D$37*(1-(ABS($Q$247-(VALUE(MID(HX247,FIND("|",HX247)+1,FIND("-",HX247,FIND("|",HX247))-FIND("|",HX247)-1))-VALUE(MID(HX247,FIND("-",HX247,FIND("|",HX247))+1,10)))))*$D$50),$D$37*(1-(IF($D$247=0,ABS($A$247-VALUE(MID(HX247,FIND("|",HX247)+1,FIND("-",HX247,FIND("|",HX247))-FIND("|",HX247)-1))),ABS($Q$247-(VALUE(MID(HX247,FIND("|",HX247)+1,FIND("-",HX247,FIND("|",HX247))-FIND("|",HX247)-1))-VALUE(MID(HX247,FIND("-",HX247,FIND("|",HX247))+1,10)))))*$D$50)))))*$I$247,0),0),0)</f>
        <v>0</v>
      </c>
      <c r="HZ247" s="110"/>
      <c r="IA247" s="66"/>
      <c r="IB247" s="85">
        <f t="shared" ref="IB247" ca="1" si="4013">IFERROR(IF(LEFT(IA247,FIND("·",IA247)-1)=$K$247,IF($L$247=IFERROR(VALUE(MID(IA247,FIND("·",IA247)+1,1)),0),($D$36+($M$247=MID(IA247,FIND("|",IA247)+1,10))*$D$38+MAX(0,IF($D$50=1,$D$37*(1-(ABS($P$247-(VALUE(MID(IA247,FIND("|",IA247)+1,FIND("-",IA247,FIND("|",IA247))-FIND("|",IA247)-1))-VALUE(MID(IA247,FIND("-",IA247,FIND("|",IA247))+1,10)))))*$D$50),$D$37*(1-(IF($L$247=0,ABS($N$247-VALUE(MID(IA247,FIND("|",IA247)+1,FIND("-",IA247,FIND("|",IA247))-FIND("|",IA247)-1))),ABS($P$247-(VALUE(MID(IA247,FIND("|",IA247)+1,FIND("-",IA247,FIND("|",IA247))-FIND("|",IA247)-1))-VALUE(MID(IA247,FIND("-",IA247,FIND("|",IA247))+1,10)))))*$D$50)))))*$I$247,0),0),0)
+IFERROR(IF(LEFT(IA247,FIND("·",IA247)-1)=$C$247,IF($D$247=IFERROR(VALUE(MID(IA247,FIND("·",IA247)+1,1)),0),($D$36+($E$247=MID(IA247,FIND("|",IA247)+1,10))*$D$38+MAX(0,IF($D$50=1,$D$37*(1-(ABS($Q$247-(VALUE(MID(IA247,FIND("|",IA247)+1,FIND("-",IA247,FIND("|",IA247))-FIND("|",IA247)-1))-VALUE(MID(IA247,FIND("-",IA247,FIND("|",IA247))+1,10)))))*$D$50),$D$37*(1-(IF($D$247=0,ABS($A$247-VALUE(MID(IA247,FIND("|",IA247)+1,FIND("-",IA247,FIND("|",IA247))-FIND("|",IA247)-1))),ABS($Q$247-(VALUE(MID(IA247,FIND("|",IA247)+1,FIND("-",IA247,FIND("|",IA247))-FIND("|",IA247)-1))-VALUE(MID(IA247,FIND("-",IA247,FIND("|",IA247))+1,10)))))*$D$50)))))*$I$247,0),0),0)</f>
        <v>0</v>
      </c>
      <c r="IC247" s="110"/>
      <c r="ID247" s="66"/>
      <c r="IE247" s="85">
        <f t="shared" ref="IE247" ca="1" si="4014">IFERROR(IF(LEFT(ID247,FIND("·",ID247)-1)=$K$247,IF($L$247=IFERROR(VALUE(MID(ID247,FIND("·",ID247)+1,1)),0),($D$36+($M$247=MID(ID247,FIND("|",ID247)+1,10))*$D$38+MAX(0,IF($D$50=1,$D$37*(1-(ABS($P$247-(VALUE(MID(ID247,FIND("|",ID247)+1,FIND("-",ID247,FIND("|",ID247))-FIND("|",ID247)-1))-VALUE(MID(ID247,FIND("-",ID247,FIND("|",ID247))+1,10)))))*$D$50),$D$37*(1-(IF($L$247=0,ABS($N$247-VALUE(MID(ID247,FIND("|",ID247)+1,FIND("-",ID247,FIND("|",ID247))-FIND("|",ID247)-1))),ABS($P$247-(VALUE(MID(ID247,FIND("|",ID247)+1,FIND("-",ID247,FIND("|",ID247))-FIND("|",ID247)-1))-VALUE(MID(ID247,FIND("-",ID247,FIND("|",ID247))+1,10)))))*$D$50)))))*$I$247,0),0),0)
+IFERROR(IF(LEFT(ID247,FIND("·",ID247)-1)=$C$247,IF($D$247=IFERROR(VALUE(MID(ID247,FIND("·",ID247)+1,1)),0),($D$36+($E$247=MID(ID247,FIND("|",ID247)+1,10))*$D$38+MAX(0,IF($D$50=1,$D$37*(1-(ABS($Q$247-(VALUE(MID(ID247,FIND("|",ID247)+1,FIND("-",ID247,FIND("|",ID247))-FIND("|",ID247)-1))-VALUE(MID(ID247,FIND("-",ID247,FIND("|",ID247))+1,10)))))*$D$50),$D$37*(1-(IF($D$247=0,ABS($A$247-VALUE(MID(ID247,FIND("|",ID247)+1,FIND("-",ID247,FIND("|",ID247))-FIND("|",ID247)-1))),ABS($Q$247-(VALUE(MID(ID247,FIND("|",ID247)+1,FIND("-",ID247,FIND("|",ID247))-FIND("|",ID247)-1))-VALUE(MID(ID247,FIND("-",ID247,FIND("|",ID247))+1,10)))))*$D$50)))))*$I$247,0),0),0)</f>
        <v>0</v>
      </c>
      <c r="IF247" s="110"/>
      <c r="IG247" s="66"/>
      <c r="IH247" s="85">
        <f t="shared" ref="IH247" ca="1" si="4015">IFERROR(IF(LEFT(IG247,FIND("·",IG247)-1)=$K$247,IF($L$247=IFERROR(VALUE(MID(IG247,FIND("·",IG247)+1,1)),0),($D$36+($M$247=MID(IG247,FIND("|",IG247)+1,10))*$D$38+MAX(0,IF($D$50=1,$D$37*(1-(ABS($P$247-(VALUE(MID(IG247,FIND("|",IG247)+1,FIND("-",IG247,FIND("|",IG247))-FIND("|",IG247)-1))-VALUE(MID(IG247,FIND("-",IG247,FIND("|",IG247))+1,10)))))*$D$50),$D$37*(1-(IF($L$247=0,ABS($N$247-VALUE(MID(IG247,FIND("|",IG247)+1,FIND("-",IG247,FIND("|",IG247))-FIND("|",IG247)-1))),ABS($P$247-(VALUE(MID(IG247,FIND("|",IG247)+1,FIND("-",IG247,FIND("|",IG247))-FIND("|",IG247)-1))-VALUE(MID(IG247,FIND("-",IG247,FIND("|",IG247))+1,10)))))*$D$50)))))*$I$247,0),0),0)
+IFERROR(IF(LEFT(IG247,FIND("·",IG247)-1)=$C$247,IF($D$247=IFERROR(VALUE(MID(IG247,FIND("·",IG247)+1,1)),0),($D$36+($E$247=MID(IG247,FIND("|",IG247)+1,10))*$D$38+MAX(0,IF($D$50=1,$D$37*(1-(ABS($Q$247-(VALUE(MID(IG247,FIND("|",IG247)+1,FIND("-",IG247,FIND("|",IG247))-FIND("|",IG247)-1))-VALUE(MID(IG247,FIND("-",IG247,FIND("|",IG247))+1,10)))))*$D$50),$D$37*(1-(IF($D$247=0,ABS($A$247-VALUE(MID(IG247,FIND("|",IG247)+1,FIND("-",IG247,FIND("|",IG247))-FIND("|",IG247)-1))),ABS($Q$247-(VALUE(MID(IG247,FIND("|",IG247)+1,FIND("-",IG247,FIND("|",IG247))-FIND("|",IG247)-1))-VALUE(MID(IG247,FIND("-",IG247,FIND("|",IG247))+1,10)))))*$D$50)))))*$I$247,0),0),0)</f>
        <v>0</v>
      </c>
      <c r="II247" s="110"/>
      <c r="IJ247" s="66"/>
      <c r="IK247" s="85">
        <f t="shared" ref="IK247" ca="1" si="4016">IFERROR(IF(LEFT(IJ247,FIND("·",IJ247)-1)=$K$247,IF($L$247=IFERROR(VALUE(MID(IJ247,FIND("·",IJ247)+1,1)),0),($D$36+($M$247=MID(IJ247,FIND("|",IJ247)+1,10))*$D$38+MAX(0,IF($D$50=1,$D$37*(1-(ABS($P$247-(VALUE(MID(IJ247,FIND("|",IJ247)+1,FIND("-",IJ247,FIND("|",IJ247))-FIND("|",IJ247)-1))-VALUE(MID(IJ247,FIND("-",IJ247,FIND("|",IJ247))+1,10)))))*$D$50),$D$37*(1-(IF($L$247=0,ABS($N$247-VALUE(MID(IJ247,FIND("|",IJ247)+1,FIND("-",IJ247,FIND("|",IJ247))-FIND("|",IJ247)-1))),ABS($P$247-(VALUE(MID(IJ247,FIND("|",IJ247)+1,FIND("-",IJ247,FIND("|",IJ247))-FIND("|",IJ247)-1))-VALUE(MID(IJ247,FIND("-",IJ247,FIND("|",IJ247))+1,10)))))*$D$50)))))*$I$247,0),0),0)
+IFERROR(IF(LEFT(IJ247,FIND("·",IJ247)-1)=$C$247,IF($D$247=IFERROR(VALUE(MID(IJ247,FIND("·",IJ247)+1,1)),0),($D$36+($E$247=MID(IJ247,FIND("|",IJ247)+1,10))*$D$38+MAX(0,IF($D$50=1,$D$37*(1-(ABS($Q$247-(VALUE(MID(IJ247,FIND("|",IJ247)+1,FIND("-",IJ247,FIND("|",IJ247))-FIND("|",IJ247)-1))-VALUE(MID(IJ247,FIND("-",IJ247,FIND("|",IJ247))+1,10)))))*$D$50),$D$37*(1-(IF($D$247=0,ABS($A$247-VALUE(MID(IJ247,FIND("|",IJ247)+1,FIND("-",IJ247,FIND("|",IJ247))-FIND("|",IJ247)-1))),ABS($Q$247-(VALUE(MID(IJ247,FIND("|",IJ247)+1,FIND("-",IJ247,FIND("|",IJ247))-FIND("|",IJ247)-1))-VALUE(MID(IJ247,FIND("-",IJ247,FIND("|",IJ247))+1,10)))))*$D$50)))))*$I$247,0),0),0)</f>
        <v>0</v>
      </c>
      <c r="IL247" s="110"/>
      <c r="IM247" s="66"/>
      <c r="IN247" s="85">
        <f t="shared" ref="IN247" ca="1" si="4017">IFERROR(IF(LEFT(IM247,FIND("·",IM247)-1)=$K$247,IF($L$247=IFERROR(VALUE(MID(IM247,FIND("·",IM247)+1,1)),0),($D$36+($M$247=MID(IM247,FIND("|",IM247)+1,10))*$D$38+MAX(0,IF($D$50=1,$D$37*(1-(ABS($P$247-(VALUE(MID(IM247,FIND("|",IM247)+1,FIND("-",IM247,FIND("|",IM247))-FIND("|",IM247)-1))-VALUE(MID(IM247,FIND("-",IM247,FIND("|",IM247))+1,10)))))*$D$50),$D$37*(1-(IF($L$247=0,ABS($N$247-VALUE(MID(IM247,FIND("|",IM247)+1,FIND("-",IM247,FIND("|",IM247))-FIND("|",IM247)-1))),ABS($P$247-(VALUE(MID(IM247,FIND("|",IM247)+1,FIND("-",IM247,FIND("|",IM247))-FIND("|",IM247)-1))-VALUE(MID(IM247,FIND("-",IM247,FIND("|",IM247))+1,10)))))*$D$50)))))*$I$247,0),0),0)
+IFERROR(IF(LEFT(IM247,FIND("·",IM247)-1)=$C$247,IF($D$247=IFERROR(VALUE(MID(IM247,FIND("·",IM247)+1,1)),0),($D$36+($E$247=MID(IM247,FIND("|",IM247)+1,10))*$D$38+MAX(0,IF($D$50=1,$D$37*(1-(ABS($Q$247-(VALUE(MID(IM247,FIND("|",IM247)+1,FIND("-",IM247,FIND("|",IM247))-FIND("|",IM247)-1))-VALUE(MID(IM247,FIND("-",IM247,FIND("|",IM247))+1,10)))))*$D$50),$D$37*(1-(IF($D$247=0,ABS($A$247-VALUE(MID(IM247,FIND("|",IM247)+1,FIND("-",IM247,FIND("|",IM247))-FIND("|",IM247)-1))),ABS($Q$247-(VALUE(MID(IM247,FIND("|",IM247)+1,FIND("-",IM247,FIND("|",IM247))-FIND("|",IM247)-1))-VALUE(MID(IM247,FIND("-",IM247,FIND("|",IM247))+1,10)))))*$D$50)))))*$I$247,0),0),0)</f>
        <v>0</v>
      </c>
      <c r="IO247" s="110"/>
      <c r="IP247" s="66"/>
      <c r="IQ247" s="85">
        <f t="shared" ref="IQ247" ca="1" si="4018">IFERROR(IF(LEFT(IP247,FIND("·",IP247)-1)=$K$247,IF($L$247=IFERROR(VALUE(MID(IP247,FIND("·",IP247)+1,1)),0),($D$36+($M$247=MID(IP247,FIND("|",IP247)+1,10))*$D$38+MAX(0,IF($D$50=1,$D$37*(1-(ABS($P$247-(VALUE(MID(IP247,FIND("|",IP247)+1,FIND("-",IP247,FIND("|",IP247))-FIND("|",IP247)-1))-VALUE(MID(IP247,FIND("-",IP247,FIND("|",IP247))+1,10)))))*$D$50),$D$37*(1-(IF($L$247=0,ABS($N$247-VALUE(MID(IP247,FIND("|",IP247)+1,FIND("-",IP247,FIND("|",IP247))-FIND("|",IP247)-1))),ABS($P$247-(VALUE(MID(IP247,FIND("|",IP247)+1,FIND("-",IP247,FIND("|",IP247))-FIND("|",IP247)-1))-VALUE(MID(IP247,FIND("-",IP247,FIND("|",IP247))+1,10)))))*$D$50)))))*$I$247,0),0),0)
+IFERROR(IF(LEFT(IP247,FIND("·",IP247)-1)=$C$247,IF($D$247=IFERROR(VALUE(MID(IP247,FIND("·",IP247)+1,1)),0),($D$36+($E$247=MID(IP247,FIND("|",IP247)+1,10))*$D$38+MAX(0,IF($D$50=1,$D$37*(1-(ABS($Q$247-(VALUE(MID(IP247,FIND("|",IP247)+1,FIND("-",IP247,FIND("|",IP247))-FIND("|",IP247)-1))-VALUE(MID(IP247,FIND("-",IP247,FIND("|",IP247))+1,10)))))*$D$50),$D$37*(1-(IF($D$247=0,ABS($A$247-VALUE(MID(IP247,FIND("|",IP247)+1,FIND("-",IP247,FIND("|",IP247))-FIND("|",IP247)-1))),ABS($Q$247-(VALUE(MID(IP247,FIND("|",IP247)+1,FIND("-",IP247,FIND("|",IP247))-FIND("|",IP247)-1))-VALUE(MID(IP247,FIND("-",IP247,FIND("|",IP247))+1,10)))))*$D$50)))))*$I$247,0),0),0)</f>
        <v>0</v>
      </c>
      <c r="IR247" s="110"/>
      <c r="IS247" s="66"/>
      <c r="IT247" s="85">
        <f t="shared" ref="IT247" ca="1" si="4019">IFERROR(IF(LEFT(IS247,FIND("·",IS247)-1)=$K$247,IF($L$247=IFERROR(VALUE(MID(IS247,FIND("·",IS247)+1,1)),0),($D$36+($M$247=MID(IS247,FIND("|",IS247)+1,10))*$D$38+MAX(0,IF($D$50=1,$D$37*(1-(ABS($P$247-(VALUE(MID(IS247,FIND("|",IS247)+1,FIND("-",IS247,FIND("|",IS247))-FIND("|",IS247)-1))-VALUE(MID(IS247,FIND("-",IS247,FIND("|",IS247))+1,10)))))*$D$50),$D$37*(1-(IF($L$247=0,ABS($N$247-VALUE(MID(IS247,FIND("|",IS247)+1,FIND("-",IS247,FIND("|",IS247))-FIND("|",IS247)-1))),ABS($P$247-(VALUE(MID(IS247,FIND("|",IS247)+1,FIND("-",IS247,FIND("|",IS247))-FIND("|",IS247)-1))-VALUE(MID(IS247,FIND("-",IS247,FIND("|",IS247))+1,10)))))*$D$50)))))*$I$247,0),0),0)
+IFERROR(IF(LEFT(IS247,FIND("·",IS247)-1)=$C$247,IF($D$247=IFERROR(VALUE(MID(IS247,FIND("·",IS247)+1,1)),0),($D$36+($E$247=MID(IS247,FIND("|",IS247)+1,10))*$D$38+MAX(0,IF($D$50=1,$D$37*(1-(ABS($Q$247-(VALUE(MID(IS247,FIND("|",IS247)+1,FIND("-",IS247,FIND("|",IS247))-FIND("|",IS247)-1))-VALUE(MID(IS247,FIND("-",IS247,FIND("|",IS247))+1,10)))))*$D$50),$D$37*(1-(IF($D$247=0,ABS($A$247-VALUE(MID(IS247,FIND("|",IS247)+1,FIND("-",IS247,FIND("|",IS247))-FIND("|",IS247)-1))),ABS($Q$247-(VALUE(MID(IS247,FIND("|",IS247)+1,FIND("-",IS247,FIND("|",IS247))-FIND("|",IS247)-1))-VALUE(MID(IS247,FIND("-",IS247,FIND("|",IS247))+1,10)))))*$D$50)))))*$I$247,0),0),0)</f>
        <v>0</v>
      </c>
      <c r="IU247" s="110"/>
      <c r="IV247" s="66"/>
      <c r="IW247" s="85">
        <f t="shared" ref="IW247" ca="1" si="4020">IFERROR(IF(LEFT(IV247,FIND("·",IV247)-1)=$K$247,IF($L$247=IFERROR(VALUE(MID(IV247,FIND("·",IV247)+1,1)),0),($D$36+($M$247=MID(IV247,FIND("|",IV247)+1,10))*$D$38+MAX(0,IF($D$50=1,$D$37*(1-(ABS($P$247-(VALUE(MID(IV247,FIND("|",IV247)+1,FIND("-",IV247,FIND("|",IV247))-FIND("|",IV247)-1))-VALUE(MID(IV247,FIND("-",IV247,FIND("|",IV247))+1,10)))))*$D$50),$D$37*(1-(IF($L$247=0,ABS($N$247-VALUE(MID(IV247,FIND("|",IV247)+1,FIND("-",IV247,FIND("|",IV247))-FIND("|",IV247)-1))),ABS($P$247-(VALUE(MID(IV247,FIND("|",IV247)+1,FIND("-",IV247,FIND("|",IV247))-FIND("|",IV247)-1))-VALUE(MID(IV247,FIND("-",IV247,FIND("|",IV247))+1,10)))))*$D$50)))))*$I$247,0),0),0)
+IFERROR(IF(LEFT(IV247,FIND("·",IV247)-1)=$C$247,IF($D$247=IFERROR(VALUE(MID(IV247,FIND("·",IV247)+1,1)),0),($D$36+($E$247=MID(IV247,FIND("|",IV247)+1,10))*$D$38+MAX(0,IF($D$50=1,$D$37*(1-(ABS($Q$247-(VALUE(MID(IV247,FIND("|",IV247)+1,FIND("-",IV247,FIND("|",IV247))-FIND("|",IV247)-1))-VALUE(MID(IV247,FIND("-",IV247,FIND("|",IV247))+1,10)))))*$D$50),$D$37*(1-(IF($D$247=0,ABS($A$247-VALUE(MID(IV247,FIND("|",IV247)+1,FIND("-",IV247,FIND("|",IV247))-FIND("|",IV247)-1))),ABS($Q$247-(VALUE(MID(IV247,FIND("|",IV247)+1,FIND("-",IV247,FIND("|",IV247))-FIND("|",IV247)-1))-VALUE(MID(IV247,FIND("-",IV247,FIND("|",IV247))+1,10)))))*$D$50)))))*$I$247,0),0),0)</f>
        <v>0</v>
      </c>
      <c r="IX247" s="110"/>
      <c r="IY247" s="66"/>
      <c r="IZ247" s="85">
        <f t="shared" ref="IZ247" ca="1" si="4021">IFERROR(IF(LEFT(IY247,FIND("·",IY247)-1)=$K$247,IF($L$247=IFERROR(VALUE(MID(IY247,FIND("·",IY247)+1,1)),0),($D$36+($M$247=MID(IY247,FIND("|",IY247)+1,10))*$D$38+MAX(0,IF($D$50=1,$D$37*(1-(ABS($P$247-(VALUE(MID(IY247,FIND("|",IY247)+1,FIND("-",IY247,FIND("|",IY247))-FIND("|",IY247)-1))-VALUE(MID(IY247,FIND("-",IY247,FIND("|",IY247))+1,10)))))*$D$50),$D$37*(1-(IF($L$247=0,ABS($N$247-VALUE(MID(IY247,FIND("|",IY247)+1,FIND("-",IY247,FIND("|",IY247))-FIND("|",IY247)-1))),ABS($P$247-(VALUE(MID(IY247,FIND("|",IY247)+1,FIND("-",IY247,FIND("|",IY247))-FIND("|",IY247)-1))-VALUE(MID(IY247,FIND("-",IY247,FIND("|",IY247))+1,10)))))*$D$50)))))*$I$247,0),0),0)
+IFERROR(IF(LEFT(IY247,FIND("·",IY247)-1)=$C$247,IF($D$247=IFERROR(VALUE(MID(IY247,FIND("·",IY247)+1,1)),0),($D$36+($E$247=MID(IY247,FIND("|",IY247)+1,10))*$D$38+MAX(0,IF($D$50=1,$D$37*(1-(ABS($Q$247-(VALUE(MID(IY247,FIND("|",IY247)+1,FIND("-",IY247,FIND("|",IY247))-FIND("|",IY247)-1))-VALUE(MID(IY247,FIND("-",IY247,FIND("|",IY247))+1,10)))))*$D$50),$D$37*(1-(IF($D$247=0,ABS($A$247-VALUE(MID(IY247,FIND("|",IY247)+1,FIND("-",IY247,FIND("|",IY247))-FIND("|",IY247)-1))),ABS($Q$247-(VALUE(MID(IY247,FIND("|",IY247)+1,FIND("-",IY247,FIND("|",IY247))-FIND("|",IY247)-1))-VALUE(MID(IY247,FIND("-",IY247,FIND("|",IY247))+1,10)))))*$D$50)))))*$I$247,0),0),0)</f>
        <v>0</v>
      </c>
      <c r="JA247" s="110"/>
      <c r="JB247" s="66"/>
      <c r="JC247" s="85">
        <f t="shared" ref="JC247" ca="1" si="4022">IFERROR(IF(LEFT(JB247,FIND("·",JB247)-1)=$K$247,IF($L$247=IFERROR(VALUE(MID(JB247,FIND("·",JB247)+1,1)),0),($D$36+($M$247=MID(JB247,FIND("|",JB247)+1,10))*$D$38+MAX(0,IF($D$50=1,$D$37*(1-(ABS($P$247-(VALUE(MID(JB247,FIND("|",JB247)+1,FIND("-",JB247,FIND("|",JB247))-FIND("|",JB247)-1))-VALUE(MID(JB247,FIND("-",JB247,FIND("|",JB247))+1,10)))))*$D$50),$D$37*(1-(IF($L$247=0,ABS($N$247-VALUE(MID(JB247,FIND("|",JB247)+1,FIND("-",JB247,FIND("|",JB247))-FIND("|",JB247)-1))),ABS($P$247-(VALUE(MID(JB247,FIND("|",JB247)+1,FIND("-",JB247,FIND("|",JB247))-FIND("|",JB247)-1))-VALUE(MID(JB247,FIND("-",JB247,FIND("|",JB247))+1,10)))))*$D$50)))))*$I$247,0),0),0)
+IFERROR(IF(LEFT(JB247,FIND("·",JB247)-1)=$C$247,IF($D$247=IFERROR(VALUE(MID(JB247,FIND("·",JB247)+1,1)),0),($D$36+($E$247=MID(JB247,FIND("|",JB247)+1,10))*$D$38+MAX(0,IF($D$50=1,$D$37*(1-(ABS($Q$247-(VALUE(MID(JB247,FIND("|",JB247)+1,FIND("-",JB247,FIND("|",JB247))-FIND("|",JB247)-1))-VALUE(MID(JB247,FIND("-",JB247,FIND("|",JB247))+1,10)))))*$D$50),$D$37*(1-(IF($D$247=0,ABS($A$247-VALUE(MID(JB247,FIND("|",JB247)+1,FIND("-",JB247,FIND("|",JB247))-FIND("|",JB247)-1))),ABS($Q$247-(VALUE(MID(JB247,FIND("|",JB247)+1,FIND("-",JB247,FIND("|",JB247))-FIND("|",JB247)-1))-VALUE(MID(JB247,FIND("-",JB247,FIND("|",JB247))+1,10)))))*$D$50)))))*$I$247,0),0),0)</f>
        <v>0</v>
      </c>
      <c r="JD247" s="110"/>
      <c r="JE247" s="66"/>
      <c r="JF247" s="85">
        <f t="shared" ref="JF247" ca="1" si="4023">IFERROR(IF(LEFT(JE247,FIND("·",JE247)-1)=$K$247,IF($L$247=IFERROR(VALUE(MID(JE247,FIND("·",JE247)+1,1)),0),($D$36+($M$247=MID(JE247,FIND("|",JE247)+1,10))*$D$38+MAX(0,IF($D$50=1,$D$37*(1-(ABS($P$247-(VALUE(MID(JE247,FIND("|",JE247)+1,FIND("-",JE247,FIND("|",JE247))-FIND("|",JE247)-1))-VALUE(MID(JE247,FIND("-",JE247,FIND("|",JE247))+1,10)))))*$D$50),$D$37*(1-(IF($L$247=0,ABS($N$247-VALUE(MID(JE247,FIND("|",JE247)+1,FIND("-",JE247,FIND("|",JE247))-FIND("|",JE247)-1))),ABS($P$247-(VALUE(MID(JE247,FIND("|",JE247)+1,FIND("-",JE247,FIND("|",JE247))-FIND("|",JE247)-1))-VALUE(MID(JE247,FIND("-",JE247,FIND("|",JE247))+1,10)))))*$D$50)))))*$I$247,0),0),0)
+IFERROR(IF(LEFT(JE247,FIND("·",JE247)-1)=$C$247,IF($D$247=IFERROR(VALUE(MID(JE247,FIND("·",JE247)+1,1)),0),($D$36+($E$247=MID(JE247,FIND("|",JE247)+1,10))*$D$38+MAX(0,IF($D$50=1,$D$37*(1-(ABS($Q$247-(VALUE(MID(JE247,FIND("|",JE247)+1,FIND("-",JE247,FIND("|",JE247))-FIND("|",JE247)-1))-VALUE(MID(JE247,FIND("-",JE247,FIND("|",JE247))+1,10)))))*$D$50),$D$37*(1-(IF($D$247=0,ABS($A$247-VALUE(MID(JE247,FIND("|",JE247)+1,FIND("-",JE247,FIND("|",JE247))-FIND("|",JE247)-1))),ABS($Q$247-(VALUE(MID(JE247,FIND("|",JE247)+1,FIND("-",JE247,FIND("|",JE247))-FIND("|",JE247)-1))-VALUE(MID(JE247,FIND("-",JE247,FIND("|",JE247))+1,10)))))*$D$50)))))*$I$247,0),0),0)</f>
        <v>0</v>
      </c>
      <c r="JG247" s="110"/>
      <c r="JH247" s="66"/>
      <c r="JI247" s="85">
        <f t="shared" ref="JI247" ca="1" si="4024">IFERROR(IF(LEFT(JH247,FIND("·",JH247)-1)=$K$247,IF($L$247=IFERROR(VALUE(MID(JH247,FIND("·",JH247)+1,1)),0),($D$36+($M$247=MID(JH247,FIND("|",JH247)+1,10))*$D$38+MAX(0,IF($D$50=1,$D$37*(1-(ABS($P$247-(VALUE(MID(JH247,FIND("|",JH247)+1,FIND("-",JH247,FIND("|",JH247))-FIND("|",JH247)-1))-VALUE(MID(JH247,FIND("-",JH247,FIND("|",JH247))+1,10)))))*$D$50),$D$37*(1-(IF($L$247=0,ABS($N$247-VALUE(MID(JH247,FIND("|",JH247)+1,FIND("-",JH247,FIND("|",JH247))-FIND("|",JH247)-1))),ABS($P$247-(VALUE(MID(JH247,FIND("|",JH247)+1,FIND("-",JH247,FIND("|",JH247))-FIND("|",JH247)-1))-VALUE(MID(JH247,FIND("-",JH247,FIND("|",JH247))+1,10)))))*$D$50)))))*$I$247,0),0),0)
+IFERROR(IF(LEFT(JH247,FIND("·",JH247)-1)=$C$247,IF($D$247=IFERROR(VALUE(MID(JH247,FIND("·",JH247)+1,1)),0),($D$36+($E$247=MID(JH247,FIND("|",JH247)+1,10))*$D$38+MAX(0,IF($D$50=1,$D$37*(1-(ABS($Q$247-(VALUE(MID(JH247,FIND("|",JH247)+1,FIND("-",JH247,FIND("|",JH247))-FIND("|",JH247)-1))-VALUE(MID(JH247,FIND("-",JH247,FIND("|",JH247))+1,10)))))*$D$50),$D$37*(1-(IF($D$247=0,ABS($A$247-VALUE(MID(JH247,FIND("|",JH247)+1,FIND("-",JH247,FIND("|",JH247))-FIND("|",JH247)-1))),ABS($Q$247-(VALUE(MID(JH247,FIND("|",JH247)+1,FIND("-",JH247,FIND("|",JH247))-FIND("|",JH247)-1))-VALUE(MID(JH247,FIND("-",JH247,FIND("|",JH247))+1,10)))))*$D$50)))))*$I$247,0),0),0)</f>
        <v>0</v>
      </c>
      <c r="JJ247" s="110"/>
      <c r="JK247" s="66"/>
      <c r="JL247" s="85">
        <f t="shared" ref="JL247" ca="1" si="4025">IFERROR(IF(LEFT(JK247,FIND("·",JK247)-1)=$K$247,IF($L$247=IFERROR(VALUE(MID(JK247,FIND("·",JK247)+1,1)),0),($D$36+($M$247=MID(JK247,FIND("|",JK247)+1,10))*$D$38+MAX(0,IF($D$50=1,$D$37*(1-(ABS($P$247-(VALUE(MID(JK247,FIND("|",JK247)+1,FIND("-",JK247,FIND("|",JK247))-FIND("|",JK247)-1))-VALUE(MID(JK247,FIND("-",JK247,FIND("|",JK247))+1,10)))))*$D$50),$D$37*(1-(IF($L$247=0,ABS($N$247-VALUE(MID(JK247,FIND("|",JK247)+1,FIND("-",JK247,FIND("|",JK247))-FIND("|",JK247)-1))),ABS($P$247-(VALUE(MID(JK247,FIND("|",JK247)+1,FIND("-",JK247,FIND("|",JK247))-FIND("|",JK247)-1))-VALUE(MID(JK247,FIND("-",JK247,FIND("|",JK247))+1,10)))))*$D$50)))))*$I$247,0),0),0)
+IFERROR(IF(LEFT(JK247,FIND("·",JK247)-1)=$C$247,IF($D$247=IFERROR(VALUE(MID(JK247,FIND("·",JK247)+1,1)),0),($D$36+($E$247=MID(JK247,FIND("|",JK247)+1,10))*$D$38+MAX(0,IF($D$50=1,$D$37*(1-(ABS($Q$247-(VALUE(MID(JK247,FIND("|",JK247)+1,FIND("-",JK247,FIND("|",JK247))-FIND("|",JK247)-1))-VALUE(MID(JK247,FIND("-",JK247,FIND("|",JK247))+1,10)))))*$D$50),$D$37*(1-(IF($D$247=0,ABS($A$247-VALUE(MID(JK247,FIND("|",JK247)+1,FIND("-",JK247,FIND("|",JK247))-FIND("|",JK247)-1))),ABS($Q$247-(VALUE(MID(JK247,FIND("|",JK247)+1,FIND("-",JK247,FIND("|",JK247))-FIND("|",JK247)-1))-VALUE(MID(JK247,FIND("-",JK247,FIND("|",JK247))+1,10)))))*$D$50)))))*$I$247,0),0),0)</f>
        <v>0</v>
      </c>
      <c r="JM247" s="110"/>
      <c r="JN247" s="66"/>
      <c r="JO247" s="85">
        <f t="shared" ref="JO247" ca="1" si="4026">IFERROR(IF(LEFT(JN247,FIND("·",JN247)-1)=$K$247,IF($L$247=IFERROR(VALUE(MID(JN247,FIND("·",JN247)+1,1)),0),($D$36+($M$247=MID(JN247,FIND("|",JN247)+1,10))*$D$38+MAX(0,IF($D$50=1,$D$37*(1-(ABS($P$247-(VALUE(MID(JN247,FIND("|",JN247)+1,FIND("-",JN247,FIND("|",JN247))-FIND("|",JN247)-1))-VALUE(MID(JN247,FIND("-",JN247,FIND("|",JN247))+1,10)))))*$D$50),$D$37*(1-(IF($L$247=0,ABS($N$247-VALUE(MID(JN247,FIND("|",JN247)+1,FIND("-",JN247,FIND("|",JN247))-FIND("|",JN247)-1))),ABS($P$247-(VALUE(MID(JN247,FIND("|",JN247)+1,FIND("-",JN247,FIND("|",JN247))-FIND("|",JN247)-1))-VALUE(MID(JN247,FIND("-",JN247,FIND("|",JN247))+1,10)))))*$D$50)))))*$I$247,0),0),0)
+IFERROR(IF(LEFT(JN247,FIND("·",JN247)-1)=$C$247,IF($D$247=IFERROR(VALUE(MID(JN247,FIND("·",JN247)+1,1)),0),($D$36+($E$247=MID(JN247,FIND("|",JN247)+1,10))*$D$38+MAX(0,IF($D$50=1,$D$37*(1-(ABS($Q$247-(VALUE(MID(JN247,FIND("|",JN247)+1,FIND("-",JN247,FIND("|",JN247))-FIND("|",JN247)-1))-VALUE(MID(JN247,FIND("-",JN247,FIND("|",JN247))+1,10)))))*$D$50),$D$37*(1-(IF($D$247=0,ABS($A$247-VALUE(MID(JN247,FIND("|",JN247)+1,FIND("-",JN247,FIND("|",JN247))-FIND("|",JN247)-1))),ABS($Q$247-(VALUE(MID(JN247,FIND("|",JN247)+1,FIND("-",JN247,FIND("|",JN247))-FIND("|",JN247)-1))-VALUE(MID(JN247,FIND("-",JN247,FIND("|",JN247))+1,10)))))*$D$50)))))*$I$247,0),0),0)</f>
        <v>0</v>
      </c>
      <c r="JP247" s="110"/>
      <c r="JQ247" s="66"/>
      <c r="JR247" s="85">
        <f t="shared" ref="JR247" ca="1" si="4027">IFERROR(IF(LEFT(JQ247,FIND("·",JQ247)-1)=$K$247,IF($L$247=IFERROR(VALUE(MID(JQ247,FIND("·",JQ247)+1,1)),0),($D$36+($M$247=MID(JQ247,FIND("|",JQ247)+1,10))*$D$38+MAX(0,IF($D$50=1,$D$37*(1-(ABS($P$247-(VALUE(MID(JQ247,FIND("|",JQ247)+1,FIND("-",JQ247,FIND("|",JQ247))-FIND("|",JQ247)-1))-VALUE(MID(JQ247,FIND("-",JQ247,FIND("|",JQ247))+1,10)))))*$D$50),$D$37*(1-(IF($L$247=0,ABS($N$247-VALUE(MID(JQ247,FIND("|",JQ247)+1,FIND("-",JQ247,FIND("|",JQ247))-FIND("|",JQ247)-1))),ABS($P$247-(VALUE(MID(JQ247,FIND("|",JQ247)+1,FIND("-",JQ247,FIND("|",JQ247))-FIND("|",JQ247)-1))-VALUE(MID(JQ247,FIND("-",JQ247,FIND("|",JQ247))+1,10)))))*$D$50)))))*$I$247,0),0),0)
+IFERROR(IF(LEFT(JQ247,FIND("·",JQ247)-1)=$C$247,IF($D$247=IFERROR(VALUE(MID(JQ247,FIND("·",JQ247)+1,1)),0),($D$36+($E$247=MID(JQ247,FIND("|",JQ247)+1,10))*$D$38+MAX(0,IF($D$50=1,$D$37*(1-(ABS($Q$247-(VALUE(MID(JQ247,FIND("|",JQ247)+1,FIND("-",JQ247,FIND("|",JQ247))-FIND("|",JQ247)-1))-VALUE(MID(JQ247,FIND("-",JQ247,FIND("|",JQ247))+1,10)))))*$D$50),$D$37*(1-(IF($D$247=0,ABS($A$247-VALUE(MID(JQ247,FIND("|",JQ247)+1,FIND("-",JQ247,FIND("|",JQ247))-FIND("|",JQ247)-1))),ABS($Q$247-(VALUE(MID(JQ247,FIND("|",JQ247)+1,FIND("-",JQ247,FIND("|",JQ247))-FIND("|",JQ247)-1))-VALUE(MID(JQ247,FIND("-",JQ247,FIND("|",JQ247))+1,10)))))*$D$50)))))*$I$247,0),0),0)</f>
        <v>0</v>
      </c>
      <c r="JS247" s="110"/>
      <c r="JT247" s="66"/>
      <c r="JU247" s="85">
        <f t="shared" ref="JU247" ca="1" si="4028">IFERROR(IF(LEFT(JT247,FIND("·",JT247)-1)=$K$247,IF($L$247=IFERROR(VALUE(MID(JT247,FIND("·",JT247)+1,1)),0),($D$36+($M$247=MID(JT247,FIND("|",JT247)+1,10))*$D$38+MAX(0,IF($D$50=1,$D$37*(1-(ABS($P$247-(VALUE(MID(JT247,FIND("|",JT247)+1,FIND("-",JT247,FIND("|",JT247))-FIND("|",JT247)-1))-VALUE(MID(JT247,FIND("-",JT247,FIND("|",JT247))+1,10)))))*$D$50),$D$37*(1-(IF($L$247=0,ABS($N$247-VALUE(MID(JT247,FIND("|",JT247)+1,FIND("-",JT247,FIND("|",JT247))-FIND("|",JT247)-1))),ABS($P$247-(VALUE(MID(JT247,FIND("|",JT247)+1,FIND("-",JT247,FIND("|",JT247))-FIND("|",JT247)-1))-VALUE(MID(JT247,FIND("-",JT247,FIND("|",JT247))+1,10)))))*$D$50)))))*$I$247,0),0),0)
+IFERROR(IF(LEFT(JT247,FIND("·",JT247)-1)=$C$247,IF($D$247=IFERROR(VALUE(MID(JT247,FIND("·",JT247)+1,1)),0),($D$36+($E$247=MID(JT247,FIND("|",JT247)+1,10))*$D$38+MAX(0,IF($D$50=1,$D$37*(1-(ABS($Q$247-(VALUE(MID(JT247,FIND("|",JT247)+1,FIND("-",JT247,FIND("|",JT247))-FIND("|",JT247)-1))-VALUE(MID(JT247,FIND("-",JT247,FIND("|",JT247))+1,10)))))*$D$50),$D$37*(1-(IF($D$247=0,ABS($A$247-VALUE(MID(JT247,FIND("|",JT247)+1,FIND("-",JT247,FIND("|",JT247))-FIND("|",JT247)-1))),ABS($Q$247-(VALUE(MID(JT247,FIND("|",JT247)+1,FIND("-",JT247,FIND("|",JT247))-FIND("|",JT247)-1))-VALUE(MID(JT247,FIND("-",JT247,FIND("|",JT247))+1,10)))))*$D$50)))))*$I$247,0),0),0)</f>
        <v>0</v>
      </c>
      <c r="JV247" s="110"/>
      <c r="JW247" s="66"/>
      <c r="JX247" s="85">
        <f t="shared" ref="JX247" ca="1" si="4029">IFERROR(IF(LEFT(JW247,FIND("·",JW247)-1)=$K$247,IF($L$247=IFERROR(VALUE(MID(JW247,FIND("·",JW247)+1,1)),0),($D$36+($M$247=MID(JW247,FIND("|",JW247)+1,10))*$D$38+MAX(0,IF($D$50=1,$D$37*(1-(ABS($P$247-(VALUE(MID(JW247,FIND("|",JW247)+1,FIND("-",JW247,FIND("|",JW247))-FIND("|",JW247)-1))-VALUE(MID(JW247,FIND("-",JW247,FIND("|",JW247))+1,10)))))*$D$50),$D$37*(1-(IF($L$247=0,ABS($N$247-VALUE(MID(JW247,FIND("|",JW247)+1,FIND("-",JW247,FIND("|",JW247))-FIND("|",JW247)-1))),ABS($P$247-(VALUE(MID(JW247,FIND("|",JW247)+1,FIND("-",JW247,FIND("|",JW247))-FIND("|",JW247)-1))-VALUE(MID(JW247,FIND("-",JW247,FIND("|",JW247))+1,10)))))*$D$50)))))*$I$247,0),0),0)
+IFERROR(IF(LEFT(JW247,FIND("·",JW247)-1)=$C$247,IF($D$247=IFERROR(VALUE(MID(JW247,FIND("·",JW247)+1,1)),0),($D$36+($E$247=MID(JW247,FIND("|",JW247)+1,10))*$D$38+MAX(0,IF($D$50=1,$D$37*(1-(ABS($Q$247-(VALUE(MID(JW247,FIND("|",JW247)+1,FIND("-",JW247,FIND("|",JW247))-FIND("|",JW247)-1))-VALUE(MID(JW247,FIND("-",JW247,FIND("|",JW247))+1,10)))))*$D$50),$D$37*(1-(IF($D$247=0,ABS($A$247-VALUE(MID(JW247,FIND("|",JW247)+1,FIND("-",JW247,FIND("|",JW247))-FIND("|",JW247)-1))),ABS($Q$247-(VALUE(MID(JW247,FIND("|",JW247)+1,FIND("-",JW247,FIND("|",JW247))-FIND("|",JW247)-1))-VALUE(MID(JW247,FIND("-",JW247,FIND("|",JW247))+1,10)))))*$D$50)))))*$I$247,0),0),0)</f>
        <v>0</v>
      </c>
      <c r="JY247" s="110"/>
      <c r="JZ247" s="66"/>
      <c r="KA247" s="85">
        <f t="shared" ref="KA247" ca="1" si="4030">IFERROR(IF(LEFT(JZ247,FIND("·",JZ247)-1)=$K$247,IF($L$247=IFERROR(VALUE(MID(JZ247,FIND("·",JZ247)+1,1)),0),($D$36+($M$247=MID(JZ247,FIND("|",JZ247)+1,10))*$D$38+MAX(0,IF($D$50=1,$D$37*(1-(ABS($P$247-(VALUE(MID(JZ247,FIND("|",JZ247)+1,FIND("-",JZ247,FIND("|",JZ247))-FIND("|",JZ247)-1))-VALUE(MID(JZ247,FIND("-",JZ247,FIND("|",JZ247))+1,10)))))*$D$50),$D$37*(1-(IF($L$247=0,ABS($N$247-VALUE(MID(JZ247,FIND("|",JZ247)+1,FIND("-",JZ247,FIND("|",JZ247))-FIND("|",JZ247)-1))),ABS($P$247-(VALUE(MID(JZ247,FIND("|",JZ247)+1,FIND("-",JZ247,FIND("|",JZ247))-FIND("|",JZ247)-1))-VALUE(MID(JZ247,FIND("-",JZ247,FIND("|",JZ247))+1,10)))))*$D$50)))))*$I$247,0),0),0)
+IFERROR(IF(LEFT(JZ247,FIND("·",JZ247)-1)=$C$247,IF($D$247=IFERROR(VALUE(MID(JZ247,FIND("·",JZ247)+1,1)),0),($D$36+($E$247=MID(JZ247,FIND("|",JZ247)+1,10))*$D$38+MAX(0,IF($D$50=1,$D$37*(1-(ABS($Q$247-(VALUE(MID(JZ247,FIND("|",JZ247)+1,FIND("-",JZ247,FIND("|",JZ247))-FIND("|",JZ247)-1))-VALUE(MID(JZ247,FIND("-",JZ247,FIND("|",JZ247))+1,10)))))*$D$50),$D$37*(1-(IF($D$247=0,ABS($A$247-VALUE(MID(JZ247,FIND("|",JZ247)+1,FIND("-",JZ247,FIND("|",JZ247))-FIND("|",JZ247)-1))),ABS($Q$247-(VALUE(MID(JZ247,FIND("|",JZ247)+1,FIND("-",JZ247,FIND("|",JZ247))-FIND("|",JZ247)-1))-VALUE(MID(JZ247,FIND("-",JZ247,FIND("|",JZ247))+1,10)))))*$D$50)))))*$I$247,0),0),0)</f>
        <v>0</v>
      </c>
      <c r="KB247" s="110"/>
      <c r="KC247" s="66"/>
      <c r="KD247" s="85">
        <f t="shared" ref="KD247" ca="1" si="4031">IFERROR(IF(LEFT(KC247,FIND("·",KC247)-1)=$K$247,IF($L$247=IFERROR(VALUE(MID(KC247,FIND("·",KC247)+1,1)),0),($D$36+($M$247=MID(KC247,FIND("|",KC247)+1,10))*$D$38+MAX(0,IF($D$50=1,$D$37*(1-(ABS($P$247-(VALUE(MID(KC247,FIND("|",KC247)+1,FIND("-",KC247,FIND("|",KC247))-FIND("|",KC247)-1))-VALUE(MID(KC247,FIND("-",KC247,FIND("|",KC247))+1,10)))))*$D$50),$D$37*(1-(IF($L$247=0,ABS($N$247-VALUE(MID(KC247,FIND("|",KC247)+1,FIND("-",KC247,FIND("|",KC247))-FIND("|",KC247)-1))),ABS($P$247-(VALUE(MID(KC247,FIND("|",KC247)+1,FIND("-",KC247,FIND("|",KC247))-FIND("|",KC247)-1))-VALUE(MID(KC247,FIND("-",KC247,FIND("|",KC247))+1,10)))))*$D$50)))))*$I$247,0),0),0)
+IFERROR(IF(LEFT(KC247,FIND("·",KC247)-1)=$C$247,IF($D$247=IFERROR(VALUE(MID(KC247,FIND("·",KC247)+1,1)),0),($D$36+($E$247=MID(KC247,FIND("|",KC247)+1,10))*$D$38+MAX(0,IF($D$50=1,$D$37*(1-(ABS($Q$247-(VALUE(MID(KC247,FIND("|",KC247)+1,FIND("-",KC247,FIND("|",KC247))-FIND("|",KC247)-1))-VALUE(MID(KC247,FIND("-",KC247,FIND("|",KC247))+1,10)))))*$D$50),$D$37*(1-(IF($D$247=0,ABS($A$247-VALUE(MID(KC247,FIND("|",KC247)+1,FIND("-",KC247,FIND("|",KC247))-FIND("|",KC247)-1))),ABS($Q$247-(VALUE(MID(KC247,FIND("|",KC247)+1,FIND("-",KC247,FIND("|",KC247))-FIND("|",KC247)-1))-VALUE(MID(KC247,FIND("-",KC247,FIND("|",KC247))+1,10)))))*$D$50)))))*$I$247,0),0),0)</f>
        <v>0</v>
      </c>
      <c r="KE247" s="110"/>
      <c r="KF247" s="66"/>
      <c r="KG247" s="85">
        <f t="shared" ref="KG247" ca="1" si="4032">IFERROR(IF(LEFT(KF247,FIND("·",KF247)-1)=$K$247,IF($L$247=IFERROR(VALUE(MID(KF247,FIND("·",KF247)+1,1)),0),($D$36+($M$247=MID(KF247,FIND("|",KF247)+1,10))*$D$38+MAX(0,IF($D$50=1,$D$37*(1-(ABS($P$247-(VALUE(MID(KF247,FIND("|",KF247)+1,FIND("-",KF247,FIND("|",KF247))-FIND("|",KF247)-1))-VALUE(MID(KF247,FIND("-",KF247,FIND("|",KF247))+1,10)))))*$D$50),$D$37*(1-(IF($L$247=0,ABS($N$247-VALUE(MID(KF247,FIND("|",KF247)+1,FIND("-",KF247,FIND("|",KF247))-FIND("|",KF247)-1))),ABS($P$247-(VALUE(MID(KF247,FIND("|",KF247)+1,FIND("-",KF247,FIND("|",KF247))-FIND("|",KF247)-1))-VALUE(MID(KF247,FIND("-",KF247,FIND("|",KF247))+1,10)))))*$D$50)))))*$I$247,0),0),0)
+IFERROR(IF(LEFT(KF247,FIND("·",KF247)-1)=$C$247,IF($D$247=IFERROR(VALUE(MID(KF247,FIND("·",KF247)+1,1)),0),($D$36+($E$247=MID(KF247,FIND("|",KF247)+1,10))*$D$38+MAX(0,IF($D$50=1,$D$37*(1-(ABS($Q$247-(VALUE(MID(KF247,FIND("|",KF247)+1,FIND("-",KF247,FIND("|",KF247))-FIND("|",KF247)-1))-VALUE(MID(KF247,FIND("-",KF247,FIND("|",KF247))+1,10)))))*$D$50),$D$37*(1-(IF($D$247=0,ABS($A$247-VALUE(MID(KF247,FIND("|",KF247)+1,FIND("-",KF247,FIND("|",KF247))-FIND("|",KF247)-1))),ABS($Q$247-(VALUE(MID(KF247,FIND("|",KF247)+1,FIND("-",KF247,FIND("|",KF247))-FIND("|",KF247)-1))-VALUE(MID(KF247,FIND("-",KF247,FIND("|",KF247))+1,10)))))*$D$50)))))*$I$247,0),0),0)</f>
        <v>0</v>
      </c>
      <c r="KH247" s="110"/>
      <c r="KI247" s="66"/>
      <c r="KJ247" s="85">
        <f t="shared" ref="KJ247" ca="1" si="4033">IFERROR(IF(LEFT(KI247,FIND("·",KI247)-1)=$K$247,IF($L$247=IFERROR(VALUE(MID(KI247,FIND("·",KI247)+1,1)),0),($D$36+($M$247=MID(KI247,FIND("|",KI247)+1,10))*$D$38+MAX(0,IF($D$50=1,$D$37*(1-(ABS($P$247-(VALUE(MID(KI247,FIND("|",KI247)+1,FIND("-",KI247,FIND("|",KI247))-FIND("|",KI247)-1))-VALUE(MID(KI247,FIND("-",KI247,FIND("|",KI247))+1,10)))))*$D$50),$D$37*(1-(IF($L$247=0,ABS($N$247-VALUE(MID(KI247,FIND("|",KI247)+1,FIND("-",KI247,FIND("|",KI247))-FIND("|",KI247)-1))),ABS($P$247-(VALUE(MID(KI247,FIND("|",KI247)+1,FIND("-",KI247,FIND("|",KI247))-FIND("|",KI247)-1))-VALUE(MID(KI247,FIND("-",KI247,FIND("|",KI247))+1,10)))))*$D$50)))))*$I$247,0),0),0)
+IFERROR(IF(LEFT(KI247,FIND("·",KI247)-1)=$C$247,IF($D$247=IFERROR(VALUE(MID(KI247,FIND("·",KI247)+1,1)),0),($D$36+($E$247=MID(KI247,FIND("|",KI247)+1,10))*$D$38+MAX(0,IF($D$50=1,$D$37*(1-(ABS($Q$247-(VALUE(MID(KI247,FIND("|",KI247)+1,FIND("-",KI247,FIND("|",KI247))-FIND("|",KI247)-1))-VALUE(MID(KI247,FIND("-",KI247,FIND("|",KI247))+1,10)))))*$D$50),$D$37*(1-(IF($D$247=0,ABS($A$247-VALUE(MID(KI247,FIND("|",KI247)+1,FIND("-",KI247,FIND("|",KI247))-FIND("|",KI247)-1))),ABS($Q$247-(VALUE(MID(KI247,FIND("|",KI247)+1,FIND("-",KI247,FIND("|",KI247))-FIND("|",KI247)-1))-VALUE(MID(KI247,FIND("-",KI247,FIND("|",KI247))+1,10)))))*$D$50)))))*$I$247,0),0),0)</f>
        <v>0</v>
      </c>
      <c r="KK247" s="110"/>
      <c r="KL247" s="66"/>
      <c r="KM247" s="85">
        <f t="shared" ref="KM247" ca="1" si="4034">IFERROR(IF(LEFT(KL247,FIND("·",KL247)-1)=$K$247,IF($L$247=IFERROR(VALUE(MID(KL247,FIND("·",KL247)+1,1)),0),($D$36+($M$247=MID(KL247,FIND("|",KL247)+1,10))*$D$38+MAX(0,IF($D$50=1,$D$37*(1-(ABS($P$247-(VALUE(MID(KL247,FIND("|",KL247)+1,FIND("-",KL247,FIND("|",KL247))-FIND("|",KL247)-1))-VALUE(MID(KL247,FIND("-",KL247,FIND("|",KL247))+1,10)))))*$D$50),$D$37*(1-(IF($L$247=0,ABS($N$247-VALUE(MID(KL247,FIND("|",KL247)+1,FIND("-",KL247,FIND("|",KL247))-FIND("|",KL247)-1))),ABS($P$247-(VALUE(MID(KL247,FIND("|",KL247)+1,FIND("-",KL247,FIND("|",KL247))-FIND("|",KL247)-1))-VALUE(MID(KL247,FIND("-",KL247,FIND("|",KL247))+1,10)))))*$D$50)))))*$I$247,0),0),0)
+IFERROR(IF(LEFT(KL247,FIND("·",KL247)-1)=$C$247,IF($D$247=IFERROR(VALUE(MID(KL247,FIND("·",KL247)+1,1)),0),($D$36+($E$247=MID(KL247,FIND("|",KL247)+1,10))*$D$38+MAX(0,IF($D$50=1,$D$37*(1-(ABS($Q$247-(VALUE(MID(KL247,FIND("|",KL247)+1,FIND("-",KL247,FIND("|",KL247))-FIND("|",KL247)-1))-VALUE(MID(KL247,FIND("-",KL247,FIND("|",KL247))+1,10)))))*$D$50),$D$37*(1-(IF($D$247=0,ABS($A$247-VALUE(MID(KL247,FIND("|",KL247)+1,FIND("-",KL247,FIND("|",KL247))-FIND("|",KL247)-1))),ABS($Q$247-(VALUE(MID(KL247,FIND("|",KL247)+1,FIND("-",KL247,FIND("|",KL247))-FIND("|",KL247)-1))-VALUE(MID(KL247,FIND("-",KL247,FIND("|",KL247))+1,10)))))*$D$50)))))*$I$247,0),0),0)</f>
        <v>0</v>
      </c>
      <c r="KN247" s="110"/>
      <c r="KO247" s="66"/>
      <c r="KP247" s="85">
        <f t="shared" ref="KP247" ca="1" si="4035">IFERROR(IF(LEFT(KO247,FIND("·",KO247)-1)=$K$247,IF($L$247=IFERROR(VALUE(MID(KO247,FIND("·",KO247)+1,1)),0),($D$36+($M$247=MID(KO247,FIND("|",KO247)+1,10))*$D$38+MAX(0,IF($D$50=1,$D$37*(1-(ABS($P$247-(VALUE(MID(KO247,FIND("|",KO247)+1,FIND("-",KO247,FIND("|",KO247))-FIND("|",KO247)-1))-VALUE(MID(KO247,FIND("-",KO247,FIND("|",KO247))+1,10)))))*$D$50),$D$37*(1-(IF($L$247=0,ABS($N$247-VALUE(MID(KO247,FIND("|",KO247)+1,FIND("-",KO247,FIND("|",KO247))-FIND("|",KO247)-1))),ABS($P$247-(VALUE(MID(KO247,FIND("|",KO247)+1,FIND("-",KO247,FIND("|",KO247))-FIND("|",KO247)-1))-VALUE(MID(KO247,FIND("-",KO247,FIND("|",KO247))+1,10)))))*$D$50)))))*$I$247,0),0),0)
+IFERROR(IF(LEFT(KO247,FIND("·",KO247)-1)=$C$247,IF($D$247=IFERROR(VALUE(MID(KO247,FIND("·",KO247)+1,1)),0),($D$36+($E$247=MID(KO247,FIND("|",KO247)+1,10))*$D$38+MAX(0,IF($D$50=1,$D$37*(1-(ABS($Q$247-(VALUE(MID(KO247,FIND("|",KO247)+1,FIND("-",KO247,FIND("|",KO247))-FIND("|",KO247)-1))-VALUE(MID(KO247,FIND("-",KO247,FIND("|",KO247))+1,10)))))*$D$50),$D$37*(1-(IF($D$247=0,ABS($A$247-VALUE(MID(KO247,FIND("|",KO247)+1,FIND("-",KO247,FIND("|",KO247))-FIND("|",KO247)-1))),ABS($Q$247-(VALUE(MID(KO247,FIND("|",KO247)+1,FIND("-",KO247,FIND("|",KO247))-FIND("|",KO247)-1))-VALUE(MID(KO247,FIND("-",KO247,FIND("|",KO247))+1,10)))))*$D$50)))))*$I$247,0),0),0)</f>
        <v>0</v>
      </c>
      <c r="KQ247" s="110"/>
      <c r="KR247" s="66"/>
      <c r="KS247" s="85">
        <f t="shared" ref="KS247" ca="1" si="4036">IFERROR(IF(LEFT(KR247,FIND("·",KR247)-1)=$K$247,IF($L$247=IFERROR(VALUE(MID(KR247,FIND("·",KR247)+1,1)),0),($D$36+($M$247=MID(KR247,FIND("|",KR247)+1,10))*$D$38+MAX(0,IF($D$50=1,$D$37*(1-(ABS($P$247-(VALUE(MID(KR247,FIND("|",KR247)+1,FIND("-",KR247,FIND("|",KR247))-FIND("|",KR247)-1))-VALUE(MID(KR247,FIND("-",KR247,FIND("|",KR247))+1,10)))))*$D$50),$D$37*(1-(IF($L$247=0,ABS($N$247-VALUE(MID(KR247,FIND("|",KR247)+1,FIND("-",KR247,FIND("|",KR247))-FIND("|",KR247)-1))),ABS($P$247-(VALUE(MID(KR247,FIND("|",KR247)+1,FIND("-",KR247,FIND("|",KR247))-FIND("|",KR247)-1))-VALUE(MID(KR247,FIND("-",KR247,FIND("|",KR247))+1,10)))))*$D$50)))))*$I$247,0),0),0)
+IFERROR(IF(LEFT(KR247,FIND("·",KR247)-1)=$C$247,IF($D$247=IFERROR(VALUE(MID(KR247,FIND("·",KR247)+1,1)),0),($D$36+($E$247=MID(KR247,FIND("|",KR247)+1,10))*$D$38+MAX(0,IF($D$50=1,$D$37*(1-(ABS($Q$247-(VALUE(MID(KR247,FIND("|",KR247)+1,FIND("-",KR247,FIND("|",KR247))-FIND("|",KR247)-1))-VALUE(MID(KR247,FIND("-",KR247,FIND("|",KR247))+1,10)))))*$D$50),$D$37*(1-(IF($D$247=0,ABS($A$247-VALUE(MID(KR247,FIND("|",KR247)+1,FIND("-",KR247,FIND("|",KR247))-FIND("|",KR247)-1))),ABS($Q$247-(VALUE(MID(KR247,FIND("|",KR247)+1,FIND("-",KR247,FIND("|",KR247))-FIND("|",KR247)-1))-VALUE(MID(KR247,FIND("-",KR247,FIND("|",KR247))+1,10)))))*$D$50)))))*$I$247,0),0),0)</f>
        <v>0</v>
      </c>
      <c r="KT247" s="110"/>
      <c r="KU247" s="66"/>
      <c r="KV247" s="85">
        <f t="shared" ref="KV247" ca="1" si="4037">IFERROR(IF(LEFT(KU247,FIND("·",KU247)-1)=$K$247,IF($L$247=IFERROR(VALUE(MID(KU247,FIND("·",KU247)+1,1)),0),($D$36+($M$247=MID(KU247,FIND("|",KU247)+1,10))*$D$38+MAX(0,IF($D$50=1,$D$37*(1-(ABS($P$247-(VALUE(MID(KU247,FIND("|",KU247)+1,FIND("-",KU247,FIND("|",KU247))-FIND("|",KU247)-1))-VALUE(MID(KU247,FIND("-",KU247,FIND("|",KU247))+1,10)))))*$D$50),$D$37*(1-(IF($L$247=0,ABS($N$247-VALUE(MID(KU247,FIND("|",KU247)+1,FIND("-",KU247,FIND("|",KU247))-FIND("|",KU247)-1))),ABS($P$247-(VALUE(MID(KU247,FIND("|",KU247)+1,FIND("-",KU247,FIND("|",KU247))-FIND("|",KU247)-1))-VALUE(MID(KU247,FIND("-",KU247,FIND("|",KU247))+1,10)))))*$D$50)))))*$I$247,0),0),0)
+IFERROR(IF(LEFT(KU247,FIND("·",KU247)-1)=$C$247,IF($D$247=IFERROR(VALUE(MID(KU247,FIND("·",KU247)+1,1)),0),($D$36+($E$247=MID(KU247,FIND("|",KU247)+1,10))*$D$38+MAX(0,IF($D$50=1,$D$37*(1-(ABS($Q$247-(VALUE(MID(KU247,FIND("|",KU247)+1,FIND("-",KU247,FIND("|",KU247))-FIND("|",KU247)-1))-VALUE(MID(KU247,FIND("-",KU247,FIND("|",KU247))+1,10)))))*$D$50),$D$37*(1-(IF($D$247=0,ABS($A$247-VALUE(MID(KU247,FIND("|",KU247)+1,FIND("-",KU247,FIND("|",KU247))-FIND("|",KU247)-1))),ABS($Q$247-(VALUE(MID(KU247,FIND("|",KU247)+1,FIND("-",KU247,FIND("|",KU247))-FIND("|",KU247)-1))-VALUE(MID(KU247,FIND("-",KU247,FIND("|",KU247))+1,10)))))*$D$50)))))*$I$247,0),0),0)</f>
        <v>0</v>
      </c>
      <c r="KW247" s="110"/>
      <c r="KX247" s="66"/>
      <c r="KY247" s="85">
        <f t="shared" ref="KY247" ca="1" si="4038">IFERROR(IF(LEFT(KX247,FIND("·",KX247)-1)=$K$247,IF($L$247=IFERROR(VALUE(MID(KX247,FIND("·",KX247)+1,1)),0),($D$36+($M$247=MID(KX247,FIND("|",KX247)+1,10))*$D$38+MAX(0,IF($D$50=1,$D$37*(1-(ABS($P$247-(VALUE(MID(KX247,FIND("|",KX247)+1,FIND("-",KX247,FIND("|",KX247))-FIND("|",KX247)-1))-VALUE(MID(KX247,FIND("-",KX247,FIND("|",KX247))+1,10)))))*$D$50),$D$37*(1-(IF($L$247=0,ABS($N$247-VALUE(MID(KX247,FIND("|",KX247)+1,FIND("-",KX247,FIND("|",KX247))-FIND("|",KX247)-1))),ABS($P$247-(VALUE(MID(KX247,FIND("|",KX247)+1,FIND("-",KX247,FIND("|",KX247))-FIND("|",KX247)-1))-VALUE(MID(KX247,FIND("-",KX247,FIND("|",KX247))+1,10)))))*$D$50)))))*$I$247,0),0),0)
+IFERROR(IF(LEFT(KX247,FIND("·",KX247)-1)=$C$247,IF($D$247=IFERROR(VALUE(MID(KX247,FIND("·",KX247)+1,1)),0),($D$36+($E$247=MID(KX247,FIND("|",KX247)+1,10))*$D$38+MAX(0,IF($D$50=1,$D$37*(1-(ABS($Q$247-(VALUE(MID(KX247,FIND("|",KX247)+1,FIND("-",KX247,FIND("|",KX247))-FIND("|",KX247)-1))-VALUE(MID(KX247,FIND("-",KX247,FIND("|",KX247))+1,10)))))*$D$50),$D$37*(1-(IF($D$247=0,ABS($A$247-VALUE(MID(KX247,FIND("|",KX247)+1,FIND("-",KX247,FIND("|",KX247))-FIND("|",KX247)-1))),ABS($Q$247-(VALUE(MID(KX247,FIND("|",KX247)+1,FIND("-",KX247,FIND("|",KX247))-FIND("|",KX247)-1))-VALUE(MID(KX247,FIND("-",KX247,FIND("|",KX247))+1,10)))))*$D$50)))))*$I$247,0),0),0)</f>
        <v>0</v>
      </c>
      <c r="KZ247" s="110"/>
      <c r="LA247" s="66"/>
      <c r="LB247" s="85">
        <f t="shared" ref="LB247" ca="1" si="4039">IFERROR(IF(LEFT(LA247,FIND("·",LA247)-1)=$K$247,IF($L$247=IFERROR(VALUE(MID(LA247,FIND("·",LA247)+1,1)),0),($D$36+($M$247=MID(LA247,FIND("|",LA247)+1,10))*$D$38+MAX(0,IF($D$50=1,$D$37*(1-(ABS($P$247-(VALUE(MID(LA247,FIND("|",LA247)+1,FIND("-",LA247,FIND("|",LA247))-FIND("|",LA247)-1))-VALUE(MID(LA247,FIND("-",LA247,FIND("|",LA247))+1,10)))))*$D$50),$D$37*(1-(IF($L$247=0,ABS($N$247-VALUE(MID(LA247,FIND("|",LA247)+1,FIND("-",LA247,FIND("|",LA247))-FIND("|",LA247)-1))),ABS($P$247-(VALUE(MID(LA247,FIND("|",LA247)+1,FIND("-",LA247,FIND("|",LA247))-FIND("|",LA247)-1))-VALUE(MID(LA247,FIND("-",LA247,FIND("|",LA247))+1,10)))))*$D$50)))))*$I$247,0),0),0)
+IFERROR(IF(LEFT(LA247,FIND("·",LA247)-1)=$C$247,IF($D$247=IFERROR(VALUE(MID(LA247,FIND("·",LA247)+1,1)),0),($D$36+($E$247=MID(LA247,FIND("|",LA247)+1,10))*$D$38+MAX(0,IF($D$50=1,$D$37*(1-(ABS($Q$247-(VALUE(MID(LA247,FIND("|",LA247)+1,FIND("-",LA247,FIND("|",LA247))-FIND("|",LA247)-1))-VALUE(MID(LA247,FIND("-",LA247,FIND("|",LA247))+1,10)))))*$D$50),$D$37*(1-(IF($D$247=0,ABS($A$247-VALUE(MID(LA247,FIND("|",LA247)+1,FIND("-",LA247,FIND("|",LA247))-FIND("|",LA247)-1))),ABS($Q$247-(VALUE(MID(LA247,FIND("|",LA247)+1,FIND("-",LA247,FIND("|",LA247))-FIND("|",LA247)-1))-VALUE(MID(LA247,FIND("-",LA247,FIND("|",LA247))+1,10)))))*$D$50)))))*$I$247,0),0),0)</f>
        <v>0</v>
      </c>
      <c r="LC247" s="110"/>
      <c r="LD247" s="66"/>
      <c r="LE247" s="85">
        <f t="shared" ref="LE247" ca="1" si="4040">IFERROR(IF(LEFT(LD247,FIND("·",LD247)-1)=$K$247,IF($L$247=IFERROR(VALUE(MID(LD247,FIND("·",LD247)+1,1)),0),($D$36+($M$247=MID(LD247,FIND("|",LD247)+1,10))*$D$38+MAX(0,IF($D$50=1,$D$37*(1-(ABS($P$247-(VALUE(MID(LD247,FIND("|",LD247)+1,FIND("-",LD247,FIND("|",LD247))-FIND("|",LD247)-1))-VALUE(MID(LD247,FIND("-",LD247,FIND("|",LD247))+1,10)))))*$D$50),$D$37*(1-(IF($L$247=0,ABS($N$247-VALUE(MID(LD247,FIND("|",LD247)+1,FIND("-",LD247,FIND("|",LD247))-FIND("|",LD247)-1))),ABS($P$247-(VALUE(MID(LD247,FIND("|",LD247)+1,FIND("-",LD247,FIND("|",LD247))-FIND("|",LD247)-1))-VALUE(MID(LD247,FIND("-",LD247,FIND("|",LD247))+1,10)))))*$D$50)))))*$I$247,0),0),0)
+IFERROR(IF(LEFT(LD247,FIND("·",LD247)-1)=$C$247,IF($D$247=IFERROR(VALUE(MID(LD247,FIND("·",LD247)+1,1)),0),($D$36+($E$247=MID(LD247,FIND("|",LD247)+1,10))*$D$38+MAX(0,IF($D$50=1,$D$37*(1-(ABS($Q$247-(VALUE(MID(LD247,FIND("|",LD247)+1,FIND("-",LD247,FIND("|",LD247))-FIND("|",LD247)-1))-VALUE(MID(LD247,FIND("-",LD247,FIND("|",LD247))+1,10)))))*$D$50),$D$37*(1-(IF($D$247=0,ABS($A$247-VALUE(MID(LD247,FIND("|",LD247)+1,FIND("-",LD247,FIND("|",LD247))-FIND("|",LD247)-1))),ABS($Q$247-(VALUE(MID(LD247,FIND("|",LD247)+1,FIND("-",LD247,FIND("|",LD247))-FIND("|",LD247)-1))-VALUE(MID(LD247,FIND("-",LD247,FIND("|",LD247))+1,10)))))*$D$50)))))*$I$247,0),0),0)</f>
        <v>0</v>
      </c>
      <c r="LF247" s="110"/>
      <c r="LG247" s="110"/>
    </row>
    <row r="248" spans="1:319">
      <c r="A248" s="25"/>
      <c r="B248" s="25"/>
      <c r="C248" s="25"/>
      <c r="D248" s="25"/>
      <c r="E248" s="25"/>
      <c r="F248" s="407"/>
      <c r="G248" s="407"/>
      <c r="H248" s="65"/>
      <c r="I248" s="50"/>
      <c r="J248" s="94"/>
      <c r="K248" s="434" t="str">
        <f>Idiomas!D468</f>
        <v>Final Match-up</v>
      </c>
      <c r="L248" s="435"/>
      <c r="M248" s="434" t="str">
        <f>"Max: "&amp;SUM($D$36:$D$38)*$I$247</f>
        <v>Max: 20</v>
      </c>
      <c r="N248" s="25"/>
      <c r="O248" s="25"/>
      <c r="P248" s="25"/>
      <c r="Q248" s="25"/>
      <c r="R248" s="17"/>
      <c r="S248" s="84"/>
      <c r="T248" s="71">
        <f ca="1">T247</f>
        <v>0</v>
      </c>
      <c r="U248" s="65"/>
      <c r="V248" s="84"/>
      <c r="W248" s="71">
        <f t="shared" ref="W248" ca="1" si="4041">W247</f>
        <v>0</v>
      </c>
      <c r="X248" s="65"/>
      <c r="Y248" s="84"/>
      <c r="Z248" s="71">
        <f t="shared" ref="Z248" ca="1" si="4042">Z247</f>
        <v>0</v>
      </c>
      <c r="AA248" s="65"/>
      <c r="AB248" s="84"/>
      <c r="AC248" s="71">
        <f t="shared" ref="AC248" ca="1" si="4043">AC247</f>
        <v>0</v>
      </c>
      <c r="AD248" s="65"/>
      <c r="AE248" s="84"/>
      <c r="AF248" s="71">
        <f t="shared" ref="AF248" ca="1" si="4044">AF247</f>
        <v>0</v>
      </c>
      <c r="AG248" s="65"/>
      <c r="AH248" s="84"/>
      <c r="AI248" s="71">
        <f t="shared" ref="AI248" ca="1" si="4045">AI247</f>
        <v>0</v>
      </c>
      <c r="AJ248" s="65"/>
      <c r="AK248" s="84"/>
      <c r="AL248" s="71">
        <f t="shared" ref="AL248" ca="1" si="4046">AL247</f>
        <v>0</v>
      </c>
      <c r="AM248" s="65"/>
      <c r="AN248" s="84"/>
      <c r="AO248" s="71">
        <f t="shared" ref="AO248" ca="1" si="4047">AO247</f>
        <v>0</v>
      </c>
      <c r="AP248" s="65"/>
      <c r="AQ248" s="84"/>
      <c r="AR248" s="71">
        <f t="shared" ref="AR248" ca="1" si="4048">AR247</f>
        <v>0</v>
      </c>
      <c r="AS248" s="65"/>
      <c r="AT248" s="84"/>
      <c r="AU248" s="71">
        <f t="shared" ref="AU248" ca="1" si="4049">AU247</f>
        <v>0</v>
      </c>
      <c r="AV248" s="65"/>
      <c r="AW248" s="84"/>
      <c r="AX248" s="71">
        <f t="shared" ref="AX248" ca="1" si="4050">AX247</f>
        <v>0</v>
      </c>
      <c r="AY248" s="65"/>
      <c r="AZ248" s="84"/>
      <c r="BA248" s="71">
        <f t="shared" ref="BA248" ca="1" si="4051">BA247</f>
        <v>0</v>
      </c>
      <c r="BB248" s="65"/>
      <c r="BC248" s="84"/>
      <c r="BD248" s="71">
        <f t="shared" ref="BD248" ca="1" si="4052">BD247</f>
        <v>0</v>
      </c>
      <c r="BE248" s="65"/>
      <c r="BF248" s="84"/>
      <c r="BG248" s="71">
        <f t="shared" ref="BG248" ca="1" si="4053">BG247</f>
        <v>0</v>
      </c>
      <c r="BH248" s="65"/>
      <c r="BI248" s="84"/>
      <c r="BJ248" s="71">
        <f t="shared" ref="BJ248" ca="1" si="4054">BJ247</f>
        <v>0</v>
      </c>
      <c r="BK248" s="65"/>
      <c r="BL248" s="84"/>
      <c r="BM248" s="71">
        <f t="shared" ref="BM248" ca="1" si="4055">BM247</f>
        <v>12</v>
      </c>
      <c r="BN248" s="65"/>
      <c r="BO248" s="84"/>
      <c r="BP248" s="71">
        <f t="shared" ref="BP248" ca="1" si="4056">BP247</f>
        <v>0</v>
      </c>
      <c r="BQ248" s="65"/>
      <c r="BR248" s="84"/>
      <c r="BS248" s="71">
        <f t="shared" ref="BS248" ca="1" si="4057">BS247</f>
        <v>0</v>
      </c>
      <c r="BT248" s="65"/>
      <c r="BU248" s="84"/>
      <c r="BV248" s="71">
        <f t="shared" ref="BV248" ca="1" si="4058">BV247</f>
        <v>0</v>
      </c>
      <c r="BW248" s="65"/>
      <c r="BX248" s="84"/>
      <c r="BY248" s="71">
        <f t="shared" ref="BY248" ca="1" si="4059">BY247</f>
        <v>0</v>
      </c>
      <c r="BZ248" s="65"/>
      <c r="CA248" s="84"/>
      <c r="CB248" s="71">
        <f t="shared" ref="CB248" ca="1" si="4060">CB247</f>
        <v>0</v>
      </c>
      <c r="CC248" s="65"/>
      <c r="CD248" s="84"/>
      <c r="CE248" s="71">
        <f t="shared" ref="CE248" ca="1" si="4061">CE247</f>
        <v>0</v>
      </c>
      <c r="CF248" s="65"/>
      <c r="CG248" s="84"/>
      <c r="CH248" s="71">
        <f t="shared" ref="CH248" ca="1" si="4062">CH247</f>
        <v>0</v>
      </c>
      <c r="CI248" s="65"/>
      <c r="CJ248" s="84"/>
      <c r="CK248" s="71">
        <f t="shared" ref="CK248" ca="1" si="4063">CK247</f>
        <v>0</v>
      </c>
      <c r="CL248" s="65"/>
      <c r="CM248" s="84"/>
      <c r="CN248" s="71">
        <f t="shared" ref="CN248" ca="1" si="4064">CN247</f>
        <v>0</v>
      </c>
      <c r="CO248" s="65"/>
      <c r="CP248" s="84"/>
      <c r="CQ248" s="71">
        <f t="shared" ref="CQ248" ca="1" si="4065">CQ247</f>
        <v>0</v>
      </c>
      <c r="CR248" s="65"/>
      <c r="CS248" s="84"/>
      <c r="CT248" s="71">
        <f t="shared" ref="CT248" ca="1" si="4066">CT247</f>
        <v>0</v>
      </c>
      <c r="CU248" s="65"/>
      <c r="CV248" s="84"/>
      <c r="CW248" s="71">
        <f t="shared" ref="CW248" ca="1" si="4067">CW247</f>
        <v>0</v>
      </c>
      <c r="CX248" s="65"/>
      <c r="CY248" s="84"/>
      <c r="CZ248" s="71">
        <f t="shared" ref="CZ248" ca="1" si="4068">CZ247</f>
        <v>0</v>
      </c>
      <c r="DA248" s="65"/>
      <c r="DB248" s="84"/>
      <c r="DC248" s="71">
        <f t="shared" ref="DC248" ca="1" si="4069">DC247</f>
        <v>0</v>
      </c>
      <c r="DD248" s="65"/>
      <c r="DE248" s="84"/>
      <c r="DF248" s="71">
        <f t="shared" ref="DF248" ca="1" si="4070">DF247</f>
        <v>0</v>
      </c>
      <c r="DG248" s="65"/>
      <c r="DH248" s="84"/>
      <c r="DI248" s="71">
        <f t="shared" ref="DI248" ca="1" si="4071">DI247</f>
        <v>0</v>
      </c>
      <c r="DJ248" s="65"/>
      <c r="DK248" s="84"/>
      <c r="DL248" s="71">
        <f t="shared" ref="DL248" ca="1" si="4072">DL247</f>
        <v>0</v>
      </c>
      <c r="DM248" s="65"/>
      <c r="DN248" s="84"/>
      <c r="DO248" s="71">
        <f t="shared" ref="DO248" ca="1" si="4073">DO247</f>
        <v>12</v>
      </c>
      <c r="DP248" s="65"/>
      <c r="DQ248" s="84"/>
      <c r="DR248" s="71">
        <f t="shared" ref="DR248" ca="1" si="4074">DR247</f>
        <v>0</v>
      </c>
      <c r="DS248" s="65"/>
      <c r="DT248" s="84"/>
      <c r="DU248" s="71">
        <f t="shared" ref="DU248" ca="1" si="4075">DU247</f>
        <v>0</v>
      </c>
      <c r="DV248" s="65"/>
      <c r="DW248" s="84"/>
      <c r="DX248" s="71">
        <f t="shared" ref="DX248" ca="1" si="4076">DX247</f>
        <v>0</v>
      </c>
      <c r="DY248" s="65"/>
      <c r="DZ248" s="84"/>
      <c r="EA248" s="71">
        <f t="shared" ref="EA248" ca="1" si="4077">EA247</f>
        <v>0</v>
      </c>
      <c r="EB248" s="65"/>
      <c r="EC248" s="84"/>
      <c r="ED248" s="71">
        <f t="shared" ref="ED248" ca="1" si="4078">ED247</f>
        <v>0</v>
      </c>
      <c r="EE248" s="65"/>
      <c r="EF248" s="84"/>
      <c r="EG248" s="71">
        <f t="shared" ref="EG248" ca="1" si="4079">EG247</f>
        <v>0</v>
      </c>
      <c r="EH248" s="65"/>
      <c r="EI248" s="84"/>
      <c r="EJ248" s="71">
        <f t="shared" ref="EJ248" ca="1" si="4080">EJ247</f>
        <v>0</v>
      </c>
      <c r="EK248" s="65"/>
      <c r="EL248" s="84"/>
      <c r="EM248" s="71">
        <f t="shared" ref="EM248" ca="1" si="4081">EM247</f>
        <v>0</v>
      </c>
      <c r="EN248" s="65"/>
      <c r="EO248" s="84"/>
      <c r="EP248" s="71">
        <f t="shared" ref="EP248" ca="1" si="4082">EP247</f>
        <v>0</v>
      </c>
      <c r="EQ248" s="65"/>
      <c r="ER248" s="84"/>
      <c r="ES248" s="71">
        <f t="shared" ref="ES248" ca="1" si="4083">ES247</f>
        <v>20</v>
      </c>
      <c r="ET248" s="65"/>
      <c r="EU248" s="84"/>
      <c r="EV248" s="71">
        <f t="shared" ref="EV248" ca="1" si="4084">EV247</f>
        <v>0</v>
      </c>
      <c r="EW248" s="65"/>
      <c r="EX248" s="84"/>
      <c r="EY248" s="71">
        <f t="shared" ref="EY248" ca="1" si="4085">EY247</f>
        <v>0</v>
      </c>
      <c r="EZ248" s="65"/>
      <c r="FA248" s="84"/>
      <c r="FB248" s="71">
        <f t="shared" ref="FB248" ca="1" si="4086">FB247</f>
        <v>0</v>
      </c>
      <c r="FC248" s="65"/>
      <c r="FD248" s="84"/>
      <c r="FE248" s="71">
        <f t="shared" ref="FE248" ca="1" si="4087">FE247</f>
        <v>0</v>
      </c>
      <c r="FF248" s="65"/>
      <c r="FG248" s="84"/>
      <c r="FH248" s="71">
        <f t="shared" ref="FH248" ca="1" si="4088">FH247</f>
        <v>0</v>
      </c>
      <c r="FI248" s="65"/>
      <c r="FJ248" s="84"/>
      <c r="FK248" s="71">
        <f t="shared" ref="FK248" ca="1" si="4089">FK247</f>
        <v>0</v>
      </c>
      <c r="FL248" s="65"/>
      <c r="FM248" s="84"/>
      <c r="FN248" s="71">
        <f t="shared" ref="FN248" ca="1" si="4090">FN247</f>
        <v>0</v>
      </c>
      <c r="FO248" s="65"/>
      <c r="FP248" s="84"/>
      <c r="FQ248" s="71">
        <f t="shared" ref="FQ248" ca="1" si="4091">FQ247</f>
        <v>0</v>
      </c>
      <c r="FR248" s="65"/>
      <c r="FS248" s="84"/>
      <c r="FT248" s="71">
        <f t="shared" ref="FT248" ca="1" si="4092">FT247</f>
        <v>0</v>
      </c>
      <c r="FU248" s="65"/>
      <c r="FV248" s="84"/>
      <c r="FW248" s="71">
        <f t="shared" ref="FW248" ca="1" si="4093">FW247</f>
        <v>10</v>
      </c>
      <c r="FX248" s="65"/>
      <c r="FY248" s="84"/>
      <c r="FZ248" s="71">
        <f t="shared" ref="FZ248" ca="1" si="4094">FZ247</f>
        <v>0</v>
      </c>
      <c r="GA248" s="65"/>
      <c r="GB248" s="84"/>
      <c r="GC248" s="71">
        <f t="shared" ref="GC248" ca="1" si="4095">GC247</f>
        <v>0</v>
      </c>
      <c r="GD248" s="65"/>
      <c r="GE248" s="84"/>
      <c r="GF248" s="71">
        <f t="shared" ref="GF248" ca="1" si="4096">GF247</f>
        <v>0</v>
      </c>
      <c r="GG248" s="65"/>
      <c r="GH248" s="84"/>
      <c r="GI248" s="71">
        <f t="shared" ref="GI248" ca="1" si="4097">GI247</f>
        <v>0</v>
      </c>
      <c r="GJ248" s="65"/>
      <c r="GK248" s="84"/>
      <c r="GL248" s="71">
        <f t="shared" ref="GL248" ca="1" si="4098">GL247</f>
        <v>0</v>
      </c>
      <c r="GM248" s="65"/>
      <c r="GN248" s="84"/>
      <c r="GO248" s="71">
        <f t="shared" ref="GO248" ca="1" si="4099">GO247</f>
        <v>0</v>
      </c>
      <c r="GP248" s="65"/>
      <c r="GQ248" s="84"/>
      <c r="GR248" s="71">
        <f t="shared" ref="GR248" ca="1" si="4100">GR247</f>
        <v>0</v>
      </c>
      <c r="GS248" s="65"/>
      <c r="GT248" s="84"/>
      <c r="GU248" s="71">
        <f t="shared" ref="GU248" ca="1" si="4101">GU247</f>
        <v>0</v>
      </c>
      <c r="GV248" s="65"/>
      <c r="GW248" s="84"/>
      <c r="GX248" s="71">
        <f t="shared" ref="GX248" ca="1" si="4102">GX247</f>
        <v>0</v>
      </c>
      <c r="GY248" s="65"/>
      <c r="GZ248" s="84"/>
      <c r="HA248" s="71">
        <f t="shared" ref="HA248" ca="1" si="4103">HA247</f>
        <v>0</v>
      </c>
      <c r="HB248" s="65"/>
      <c r="HC248" s="84"/>
      <c r="HD248" s="71">
        <f t="shared" ref="HD248" ca="1" si="4104">HD247</f>
        <v>0</v>
      </c>
      <c r="HE248" s="65"/>
      <c r="HF248" s="84"/>
      <c r="HG248" s="71">
        <f t="shared" ref="HG248" ca="1" si="4105">HG247</f>
        <v>0</v>
      </c>
      <c r="HH248" s="65"/>
      <c r="HI248" s="84"/>
      <c r="HJ248" s="71">
        <f t="shared" ref="HJ248" ca="1" si="4106">HJ247</f>
        <v>0</v>
      </c>
      <c r="HK248" s="65"/>
      <c r="HL248" s="84"/>
      <c r="HM248" s="71">
        <f t="shared" ref="HM248" ca="1" si="4107">HM247</f>
        <v>0</v>
      </c>
      <c r="HN248" s="65"/>
      <c r="HO248" s="84"/>
      <c r="HP248" s="71">
        <f t="shared" ref="HP248" ca="1" si="4108">HP247</f>
        <v>0</v>
      </c>
      <c r="HQ248" s="65"/>
      <c r="HR248" s="84"/>
      <c r="HS248" s="71">
        <f t="shared" ref="HS248" ca="1" si="4109">HS247</f>
        <v>0</v>
      </c>
      <c r="HT248" s="65"/>
      <c r="HU248" s="84"/>
      <c r="HV248" s="71">
        <f t="shared" ref="HV248" ca="1" si="4110">HV247</f>
        <v>0</v>
      </c>
      <c r="HW248" s="65"/>
      <c r="HX248" s="84"/>
      <c r="HY248" s="71">
        <f t="shared" ref="HY248" ca="1" si="4111">HY247</f>
        <v>0</v>
      </c>
      <c r="HZ248" s="65"/>
      <c r="IA248" s="84"/>
      <c r="IB248" s="71">
        <f t="shared" ref="IB248" ca="1" si="4112">IB247</f>
        <v>0</v>
      </c>
      <c r="IC248" s="65"/>
      <c r="ID248" s="84"/>
      <c r="IE248" s="71">
        <f t="shared" ref="IE248" ca="1" si="4113">IE247</f>
        <v>0</v>
      </c>
      <c r="IF248" s="65"/>
      <c r="IG248" s="84"/>
      <c r="IH248" s="71">
        <f t="shared" ref="IH248" ca="1" si="4114">IH247</f>
        <v>0</v>
      </c>
      <c r="II248" s="65"/>
      <c r="IJ248" s="84"/>
      <c r="IK248" s="71">
        <f t="shared" ref="IK248" ca="1" si="4115">IK247</f>
        <v>0</v>
      </c>
      <c r="IL248" s="65"/>
      <c r="IM248" s="84"/>
      <c r="IN248" s="71">
        <f t="shared" ref="IN248" ca="1" si="4116">IN247</f>
        <v>0</v>
      </c>
      <c r="IO248" s="65"/>
      <c r="IP248" s="84"/>
      <c r="IQ248" s="71">
        <f t="shared" ref="IQ248" ca="1" si="4117">IQ247</f>
        <v>0</v>
      </c>
      <c r="IR248" s="65"/>
      <c r="IS248" s="84"/>
      <c r="IT248" s="71">
        <f t="shared" ref="IT248" ca="1" si="4118">IT247</f>
        <v>0</v>
      </c>
      <c r="IU248" s="65"/>
      <c r="IV248" s="84"/>
      <c r="IW248" s="71">
        <f t="shared" ref="IW248" ca="1" si="4119">IW247</f>
        <v>0</v>
      </c>
      <c r="IX248" s="65"/>
      <c r="IY248" s="84"/>
      <c r="IZ248" s="71">
        <f t="shared" ref="IZ248" ca="1" si="4120">IZ247</f>
        <v>0</v>
      </c>
      <c r="JA248" s="65"/>
      <c r="JB248" s="84"/>
      <c r="JC248" s="71">
        <f t="shared" ref="JC248" ca="1" si="4121">JC247</f>
        <v>0</v>
      </c>
      <c r="JD248" s="65"/>
      <c r="JE248" s="84"/>
      <c r="JF248" s="71">
        <f t="shared" ref="JF248" ca="1" si="4122">JF247</f>
        <v>0</v>
      </c>
      <c r="JG248" s="65"/>
      <c r="JH248" s="84"/>
      <c r="JI248" s="71">
        <f t="shared" ref="JI248" ca="1" si="4123">JI247</f>
        <v>0</v>
      </c>
      <c r="JJ248" s="65"/>
      <c r="JK248" s="84"/>
      <c r="JL248" s="71">
        <f t="shared" ref="JL248" ca="1" si="4124">JL247</f>
        <v>0</v>
      </c>
      <c r="JM248" s="65"/>
      <c r="JN248" s="84"/>
      <c r="JO248" s="71">
        <f t="shared" ref="JO248" ca="1" si="4125">JO247</f>
        <v>0</v>
      </c>
      <c r="JP248" s="65"/>
      <c r="JQ248" s="84"/>
      <c r="JR248" s="71">
        <f t="shared" ref="JR248" ca="1" si="4126">JR247</f>
        <v>0</v>
      </c>
      <c r="JS248" s="65"/>
      <c r="JT248" s="84"/>
      <c r="JU248" s="71">
        <f t="shared" ref="JU248" ca="1" si="4127">JU247</f>
        <v>0</v>
      </c>
      <c r="JV248" s="65"/>
      <c r="JW248" s="84"/>
      <c r="JX248" s="71">
        <f t="shared" ref="JX248" ca="1" si="4128">JX247</f>
        <v>0</v>
      </c>
      <c r="JY248" s="65"/>
      <c r="JZ248" s="84"/>
      <c r="KA248" s="71">
        <f t="shared" ref="KA248" ca="1" si="4129">KA247</f>
        <v>0</v>
      </c>
      <c r="KB248" s="65"/>
      <c r="KC248" s="84"/>
      <c r="KD248" s="71">
        <f t="shared" ref="KD248" ca="1" si="4130">KD247</f>
        <v>0</v>
      </c>
      <c r="KE248" s="65"/>
      <c r="KF248" s="84"/>
      <c r="KG248" s="71">
        <f t="shared" ref="KG248" ca="1" si="4131">KG247</f>
        <v>0</v>
      </c>
      <c r="KH248" s="65"/>
      <c r="KI248" s="84"/>
      <c r="KJ248" s="71">
        <f t="shared" ref="KJ248" ca="1" si="4132">KJ247</f>
        <v>0</v>
      </c>
      <c r="KK248" s="65"/>
      <c r="KL248" s="84"/>
      <c r="KM248" s="71">
        <f t="shared" ref="KM248" ca="1" si="4133">KM247</f>
        <v>0</v>
      </c>
      <c r="KN248" s="65"/>
      <c r="KO248" s="84"/>
      <c r="KP248" s="71">
        <f t="shared" ref="KP248" ca="1" si="4134">KP247</f>
        <v>0</v>
      </c>
      <c r="KQ248" s="65"/>
      <c r="KR248" s="84"/>
      <c r="KS248" s="71">
        <f t="shared" ref="KS248" ca="1" si="4135">KS247</f>
        <v>0</v>
      </c>
      <c r="KT248" s="65"/>
      <c r="KU248" s="84"/>
      <c r="KV248" s="71">
        <f t="shared" ref="KV248" ca="1" si="4136">KV247</f>
        <v>0</v>
      </c>
      <c r="KW248" s="65"/>
      <c r="KX248" s="84"/>
      <c r="KY248" s="71">
        <f t="shared" ref="KY248" ca="1" si="4137">KY247</f>
        <v>0</v>
      </c>
      <c r="KZ248" s="65"/>
      <c r="LA248" s="84"/>
      <c r="LB248" s="71">
        <f t="shared" ref="LB248" ca="1" si="4138">LB247</f>
        <v>0</v>
      </c>
      <c r="LC248" s="65"/>
      <c r="LD248" s="84"/>
      <c r="LE248" s="71">
        <f t="shared" ref="LE248" ca="1" si="4139">LE247</f>
        <v>0</v>
      </c>
      <c r="LF248" s="65"/>
      <c r="LG248" s="65"/>
    </row>
    <row r="249" spans="1:319">
      <c r="A249" s="17"/>
      <c r="B249" s="17"/>
      <c r="C249" s="17"/>
      <c r="D249" s="17"/>
      <c r="E249" s="89"/>
      <c r="F249" s="407"/>
      <c r="G249" s="407"/>
      <c r="H249" s="65"/>
      <c r="I249" s="50"/>
      <c r="J249" s="94"/>
      <c r="K249" s="113" t="str">
        <f>Idiomas!D149</f>
        <v>HONOR BOX</v>
      </c>
      <c r="L249" s="50"/>
      <c r="M249" s="71"/>
      <c r="N249" s="25"/>
      <c r="O249" s="25"/>
      <c r="P249" s="25"/>
      <c r="Q249" s="25"/>
      <c r="R249" s="17"/>
      <c r="S249" s="84"/>
      <c r="T249" s="71"/>
      <c r="U249" s="65"/>
      <c r="V249" s="84"/>
      <c r="W249" s="71"/>
      <c r="X249" s="65"/>
      <c r="Y249" s="84"/>
      <c r="Z249" s="71"/>
      <c r="AA249" s="65"/>
      <c r="AB249" s="84"/>
      <c r="AC249" s="71"/>
      <c r="AD249" s="65"/>
      <c r="AE249" s="84"/>
      <c r="AF249" s="71"/>
      <c r="AG249" s="65"/>
      <c r="AH249" s="84"/>
      <c r="AI249" s="71"/>
      <c r="AJ249" s="65"/>
      <c r="AK249" s="84"/>
      <c r="AL249" s="71"/>
      <c r="AM249" s="65"/>
      <c r="AN249" s="84"/>
      <c r="AO249" s="71"/>
      <c r="AP249" s="65"/>
      <c r="AQ249" s="84"/>
      <c r="AR249" s="71"/>
      <c r="AS249" s="65"/>
      <c r="AT249" s="84"/>
      <c r="AU249" s="71"/>
      <c r="AV249" s="65"/>
      <c r="AW249" s="84"/>
      <c r="AX249" s="71"/>
      <c r="AY249" s="65"/>
      <c r="AZ249" s="84"/>
      <c r="BA249" s="71"/>
      <c r="BB249" s="65"/>
      <c r="BC249" s="84"/>
      <c r="BD249" s="71"/>
      <c r="BE249" s="65"/>
      <c r="BF249" s="84"/>
      <c r="BG249" s="71"/>
      <c r="BH249" s="65"/>
      <c r="BI249" s="84"/>
      <c r="BJ249" s="71"/>
      <c r="BK249" s="65"/>
      <c r="BL249" s="84"/>
      <c r="BM249" s="71"/>
      <c r="BN249" s="65"/>
      <c r="BO249" s="84"/>
      <c r="BP249" s="71"/>
      <c r="BQ249" s="65"/>
      <c r="BR249" s="84"/>
      <c r="BS249" s="71"/>
      <c r="BT249" s="65"/>
      <c r="BU249" s="84"/>
      <c r="BV249" s="71"/>
      <c r="BW249" s="65"/>
      <c r="BX249" s="84"/>
      <c r="BY249" s="71"/>
      <c r="BZ249" s="65"/>
      <c r="CA249" s="84"/>
      <c r="CB249" s="71"/>
      <c r="CC249" s="65"/>
      <c r="CD249" s="84"/>
      <c r="CE249" s="71"/>
      <c r="CF249" s="65"/>
      <c r="CG249" s="84"/>
      <c r="CH249" s="71"/>
      <c r="CI249" s="65"/>
      <c r="CJ249" s="84"/>
      <c r="CK249" s="71"/>
      <c r="CL249" s="65"/>
      <c r="CM249" s="84"/>
      <c r="CN249" s="71"/>
      <c r="CO249" s="65"/>
      <c r="CP249" s="84"/>
      <c r="CQ249" s="71"/>
      <c r="CR249" s="65"/>
      <c r="CS249" s="84"/>
      <c r="CT249" s="71"/>
      <c r="CU249" s="65"/>
      <c r="CV249" s="84"/>
      <c r="CW249" s="71"/>
      <c r="CX249" s="65"/>
      <c r="CY249" s="84"/>
      <c r="CZ249" s="71"/>
      <c r="DA249" s="65"/>
      <c r="DB249" s="84"/>
      <c r="DC249" s="71"/>
      <c r="DD249" s="65"/>
      <c r="DE249" s="84"/>
      <c r="DF249" s="71"/>
      <c r="DG249" s="65"/>
      <c r="DH249" s="84"/>
      <c r="DI249" s="71"/>
      <c r="DJ249" s="65"/>
      <c r="DK249" s="84"/>
      <c r="DL249" s="71"/>
      <c r="DM249" s="65"/>
      <c r="DN249" s="84"/>
      <c r="DO249" s="71"/>
      <c r="DP249" s="65"/>
      <c r="DQ249" s="84"/>
      <c r="DR249" s="71"/>
      <c r="DS249" s="65"/>
      <c r="DT249" s="84"/>
      <c r="DU249" s="71"/>
      <c r="DV249" s="65"/>
      <c r="DW249" s="84"/>
      <c r="DX249" s="71"/>
      <c r="DY249" s="65"/>
      <c r="DZ249" s="84"/>
      <c r="EA249" s="71"/>
      <c r="EB249" s="65"/>
      <c r="EC249" s="84"/>
      <c r="ED249" s="71"/>
      <c r="EE249" s="65"/>
      <c r="EF249" s="84"/>
      <c r="EG249" s="71"/>
      <c r="EH249" s="65"/>
      <c r="EI249" s="84"/>
      <c r="EJ249" s="71"/>
      <c r="EK249" s="65"/>
      <c r="EL249" s="84"/>
      <c r="EM249" s="71"/>
      <c r="EN249" s="65"/>
      <c r="EO249" s="84"/>
      <c r="EP249" s="71"/>
      <c r="EQ249" s="65"/>
      <c r="ER249" s="84"/>
      <c r="ES249" s="71"/>
      <c r="ET249" s="65"/>
      <c r="EU249" s="84"/>
      <c r="EV249" s="71"/>
      <c r="EW249" s="65"/>
      <c r="EX249" s="84"/>
      <c r="EY249" s="71"/>
      <c r="EZ249" s="65"/>
      <c r="FA249" s="84"/>
      <c r="FB249" s="71"/>
      <c r="FC249" s="65"/>
      <c r="FD249" s="84"/>
      <c r="FE249" s="71"/>
      <c r="FF249" s="65"/>
      <c r="FG249" s="84"/>
      <c r="FH249" s="71"/>
      <c r="FI249" s="65"/>
      <c r="FJ249" s="84"/>
      <c r="FK249" s="71"/>
      <c r="FL249" s="65"/>
      <c r="FM249" s="84"/>
      <c r="FN249" s="71"/>
      <c r="FO249" s="65"/>
      <c r="FP249" s="84"/>
      <c r="FQ249" s="71"/>
      <c r="FR249" s="65"/>
      <c r="FS249" s="84"/>
      <c r="FT249" s="71"/>
      <c r="FU249" s="65"/>
      <c r="FV249" s="84"/>
      <c r="FW249" s="71"/>
      <c r="FX249" s="65"/>
      <c r="FY249" s="84"/>
      <c r="FZ249" s="71"/>
      <c r="GA249" s="65"/>
      <c r="GB249" s="84"/>
      <c r="GC249" s="71"/>
      <c r="GD249" s="65"/>
      <c r="GE249" s="84"/>
      <c r="GF249" s="71"/>
      <c r="GG249" s="65"/>
      <c r="GH249" s="84"/>
      <c r="GI249" s="71"/>
      <c r="GJ249" s="65"/>
      <c r="GK249" s="84"/>
      <c r="GL249" s="71"/>
      <c r="GM249" s="65"/>
      <c r="GN249" s="84"/>
      <c r="GO249" s="71"/>
      <c r="GP249" s="65"/>
      <c r="GQ249" s="84"/>
      <c r="GR249" s="71"/>
      <c r="GS249" s="65"/>
      <c r="GT249" s="84"/>
      <c r="GU249" s="71"/>
      <c r="GV249" s="65"/>
      <c r="GW249" s="84"/>
      <c r="GX249" s="71"/>
      <c r="GY249" s="65"/>
      <c r="GZ249" s="84"/>
      <c r="HA249" s="71"/>
      <c r="HB249" s="65"/>
      <c r="HC249" s="84"/>
      <c r="HD249" s="71"/>
      <c r="HE249" s="65"/>
      <c r="HF249" s="84"/>
      <c r="HG249" s="71"/>
      <c r="HH249" s="65"/>
      <c r="HI249" s="84"/>
      <c r="HJ249" s="71"/>
      <c r="HK249" s="65"/>
      <c r="HL249" s="84"/>
      <c r="HM249" s="71"/>
      <c r="HN249" s="65"/>
      <c r="HO249" s="84"/>
      <c r="HP249" s="71"/>
      <c r="HQ249" s="65"/>
      <c r="HR249" s="84"/>
      <c r="HS249" s="71"/>
      <c r="HT249" s="65"/>
      <c r="HU249" s="84"/>
      <c r="HV249" s="71"/>
      <c r="HW249" s="65"/>
      <c r="HX249" s="84"/>
      <c r="HY249" s="71"/>
      <c r="HZ249" s="65"/>
      <c r="IA249" s="84"/>
      <c r="IB249" s="71"/>
      <c r="IC249" s="65"/>
      <c r="ID249" s="84"/>
      <c r="IE249" s="71"/>
      <c r="IF249" s="65"/>
      <c r="IG249" s="84"/>
      <c r="IH249" s="71"/>
      <c r="II249" s="65"/>
      <c r="IJ249" s="84"/>
      <c r="IK249" s="71"/>
      <c r="IL249" s="65"/>
      <c r="IM249" s="84"/>
      <c r="IN249" s="71"/>
      <c r="IO249" s="65"/>
      <c r="IP249" s="84"/>
      <c r="IQ249" s="71"/>
      <c r="IR249" s="65"/>
      <c r="IS249" s="84"/>
      <c r="IT249" s="71"/>
      <c r="IU249" s="65"/>
      <c r="IV249" s="84"/>
      <c r="IW249" s="71"/>
      <c r="IX249" s="65"/>
      <c r="IY249" s="84"/>
      <c r="IZ249" s="71"/>
      <c r="JA249" s="65"/>
      <c r="JB249" s="84"/>
      <c r="JC249" s="71"/>
      <c r="JD249" s="65"/>
      <c r="JE249" s="84"/>
      <c r="JF249" s="71"/>
      <c r="JG249" s="65"/>
      <c r="JH249" s="84"/>
      <c r="JI249" s="71"/>
      <c r="JJ249" s="65"/>
      <c r="JK249" s="84"/>
      <c r="JL249" s="71"/>
      <c r="JM249" s="65"/>
      <c r="JN249" s="84"/>
      <c r="JO249" s="71"/>
      <c r="JP249" s="65"/>
      <c r="JQ249" s="84"/>
      <c r="JR249" s="71"/>
      <c r="JS249" s="65"/>
      <c r="JT249" s="84"/>
      <c r="JU249" s="71"/>
      <c r="JV249" s="65"/>
      <c r="JW249" s="84"/>
      <c r="JX249" s="71"/>
      <c r="JY249" s="65"/>
      <c r="JZ249" s="84"/>
      <c r="KA249" s="71"/>
      <c r="KB249" s="65"/>
      <c r="KC249" s="84"/>
      <c r="KD249" s="71"/>
      <c r="KE249" s="65"/>
      <c r="KF249" s="84"/>
      <c r="KG249" s="71"/>
      <c r="KH249" s="65"/>
      <c r="KI249" s="84"/>
      <c r="KJ249" s="71"/>
      <c r="KK249" s="65"/>
      <c r="KL249" s="84"/>
      <c r="KM249" s="71"/>
      <c r="KN249" s="65"/>
      <c r="KO249" s="84"/>
      <c r="KP249" s="71"/>
      <c r="KQ249" s="65"/>
      <c r="KR249" s="84"/>
      <c r="KS249" s="71"/>
      <c r="KT249" s="65"/>
      <c r="KU249" s="84"/>
      <c r="KV249" s="71"/>
      <c r="KW249" s="65"/>
      <c r="KX249" s="84"/>
      <c r="KY249" s="71"/>
      <c r="KZ249" s="65"/>
      <c r="LA249" s="84"/>
      <c r="LB249" s="71"/>
      <c r="LC249" s="65"/>
      <c r="LD249" s="84"/>
      <c r="LE249" s="71"/>
      <c r="LF249" s="65"/>
      <c r="LG249" s="65"/>
    </row>
    <row r="250" spans="1:319" ht="16.149999999999999" customHeight="1">
      <c r="A250" s="17"/>
      <c r="B250" s="17"/>
      <c r="C250" s="17"/>
      <c r="D250" s="17"/>
      <c r="E250" s="89"/>
      <c r="F250" s="407">
        <f t="shared" ref="F250:F258" si="4140">D39</f>
        <v>50</v>
      </c>
      <c r="G250" s="407">
        <f ca="1">VLOOKUP(H250,Equipos!$Q$1:$R$25,2,0)</f>
        <v>24</v>
      </c>
      <c r="H250" s="65" t="str">
        <f>Idiomas!$D$264</f>
        <v>3-4 &amp; Final</v>
      </c>
      <c r="I250" s="50"/>
      <c r="J250" s="100"/>
      <c r="K250" s="53" t="str">
        <f>WORLDCUP!W150</f>
        <v>🥇Winner</v>
      </c>
      <c r="L250" s="53"/>
      <c r="M250" s="55" t="str">
        <f ca="1">WORLDCUP!AA150</f>
        <v>Spain</v>
      </c>
      <c r="N250" s="25"/>
      <c r="O250" s="25"/>
      <c r="P250" s="25"/>
      <c r="Q250" s="25"/>
      <c r="R250" s="17"/>
      <c r="S250" s="76" t="s">
        <v>295</v>
      </c>
      <c r="T250" s="77">
        <f ca="1">COUNTIF($M$250,S250)*$D$39</f>
        <v>50</v>
      </c>
      <c r="U250" s="64"/>
      <c r="V250" s="76" t="s">
        <v>291</v>
      </c>
      <c r="W250" s="77">
        <f t="shared" ref="W250" ca="1" si="4141">COUNTIF($M$250,V250)*$D$39</f>
        <v>0</v>
      </c>
      <c r="X250" s="64"/>
      <c r="Y250" s="76" t="s">
        <v>1282</v>
      </c>
      <c r="Z250" s="77">
        <f t="shared" ref="Z250" ca="1" si="4142">COUNTIF($M$250,Y250)*$D$39</f>
        <v>0</v>
      </c>
      <c r="AA250" s="64"/>
      <c r="AB250" s="76" t="s">
        <v>294</v>
      </c>
      <c r="AC250" s="77">
        <f t="shared" ref="AC250" ca="1" si="4143">COUNTIF($M$250,AB250)*$D$39</f>
        <v>0</v>
      </c>
      <c r="AD250" s="64"/>
      <c r="AE250" s="76" t="s">
        <v>294</v>
      </c>
      <c r="AF250" s="77">
        <f t="shared" ref="AF250" ca="1" si="4144">COUNTIF($M$250,AE250)*$D$39</f>
        <v>0</v>
      </c>
      <c r="AG250" s="64"/>
      <c r="AH250" s="76" t="s">
        <v>295</v>
      </c>
      <c r="AI250" s="77">
        <f t="shared" ref="AI250" ca="1" si="4145">COUNTIF($M$250,AH250)*$D$39</f>
        <v>50</v>
      </c>
      <c r="AJ250" s="64"/>
      <c r="AK250" s="76" t="s">
        <v>294</v>
      </c>
      <c r="AL250" s="77">
        <f t="shared" ref="AL250" ca="1" si="4146">COUNTIF($M$250,AK250)*$D$39</f>
        <v>0</v>
      </c>
      <c r="AM250" s="64"/>
      <c r="AN250" s="76" t="s">
        <v>1634</v>
      </c>
      <c r="AO250" s="77">
        <f t="shared" ref="AO250" ca="1" si="4147">COUNTIF($M$250,AN250)*$D$39</f>
        <v>0</v>
      </c>
      <c r="AP250" s="64"/>
      <c r="AQ250" s="76" t="s">
        <v>291</v>
      </c>
      <c r="AR250" s="77">
        <f t="shared" ref="AR250" ca="1" si="4148">COUNTIF($M$250,AQ250)*$D$39</f>
        <v>0</v>
      </c>
      <c r="AS250" s="64"/>
      <c r="AT250" s="76" t="s">
        <v>294</v>
      </c>
      <c r="AU250" s="77">
        <f t="shared" ref="AU250" ca="1" si="4149">COUNTIF($M$250,AT250)*$D$39</f>
        <v>0</v>
      </c>
      <c r="AV250" s="64"/>
      <c r="AW250" s="76" t="s">
        <v>498</v>
      </c>
      <c r="AX250" s="77">
        <f t="shared" ref="AX250" ca="1" si="4150">COUNTIF($M$250,AW250)*$D$39</f>
        <v>0</v>
      </c>
      <c r="AY250" s="64"/>
      <c r="AZ250" s="76" t="s">
        <v>295</v>
      </c>
      <c r="BA250" s="77">
        <f t="shared" ref="BA250" ca="1" si="4151">COUNTIF($M$250,AZ250)*$D$39</f>
        <v>50</v>
      </c>
      <c r="BB250" s="64"/>
      <c r="BC250" s="76" t="s">
        <v>291</v>
      </c>
      <c r="BD250" s="77">
        <f t="shared" ref="BD250" ca="1" si="4152">COUNTIF($M$250,BC250)*$D$39</f>
        <v>0</v>
      </c>
      <c r="BE250" s="64"/>
      <c r="BF250" s="76" t="s">
        <v>294</v>
      </c>
      <c r="BG250" s="77">
        <f t="shared" ref="BG250" ca="1" si="4153">COUNTIF($M$250,BF250)*$D$39</f>
        <v>0</v>
      </c>
      <c r="BH250" s="64"/>
      <c r="BI250" s="76" t="s">
        <v>295</v>
      </c>
      <c r="BJ250" s="77">
        <f t="shared" ref="BJ250" ca="1" si="4154">COUNTIF($M$250,BI250)*$D$39</f>
        <v>50</v>
      </c>
      <c r="BK250" s="64"/>
      <c r="BL250" s="76" t="s">
        <v>295</v>
      </c>
      <c r="BM250" s="77">
        <f t="shared" ref="BM250" ca="1" si="4155">COUNTIF($M$250,BL250)*$D$39</f>
        <v>50</v>
      </c>
      <c r="BN250" s="64"/>
      <c r="BO250" s="76" t="s">
        <v>294</v>
      </c>
      <c r="BP250" s="77">
        <f t="shared" ref="BP250" ca="1" si="4156">COUNTIF($M$250,BO250)*$D$39</f>
        <v>0</v>
      </c>
      <c r="BQ250" s="64"/>
      <c r="BR250" s="76" t="s">
        <v>292</v>
      </c>
      <c r="BS250" s="77">
        <f t="shared" ref="BS250" ca="1" si="4157">COUNTIF($M$250,BR250)*$D$39</f>
        <v>0</v>
      </c>
      <c r="BT250" s="64"/>
      <c r="BU250" s="76" t="s">
        <v>294</v>
      </c>
      <c r="BV250" s="77">
        <f t="shared" ref="BV250" ca="1" si="4158">COUNTIF($M$250,BU250)*$D$39</f>
        <v>0</v>
      </c>
      <c r="BW250" s="64"/>
      <c r="BX250" s="76" t="s">
        <v>295</v>
      </c>
      <c r="BY250" s="77">
        <f t="shared" ref="BY250" ca="1" si="4159">COUNTIF($M$250,BX250)*$D$39</f>
        <v>50</v>
      </c>
      <c r="BZ250" s="64"/>
      <c r="CA250" s="76" t="s">
        <v>295</v>
      </c>
      <c r="CB250" s="77">
        <f t="shared" ref="CB250" ca="1" si="4160">COUNTIF($M$250,CA250)*$D$39</f>
        <v>50</v>
      </c>
      <c r="CC250" s="64"/>
      <c r="CD250" s="76" t="s">
        <v>294</v>
      </c>
      <c r="CE250" s="77">
        <f t="shared" ref="CE250" ca="1" si="4161">COUNTIF($M$250,CD250)*$D$39</f>
        <v>0</v>
      </c>
      <c r="CF250" s="64"/>
      <c r="CG250" s="76" t="s">
        <v>294</v>
      </c>
      <c r="CH250" s="77">
        <f t="shared" ref="CH250" ca="1" si="4162">COUNTIF($M$250,CG250)*$D$39</f>
        <v>0</v>
      </c>
      <c r="CI250" s="64"/>
      <c r="CJ250" s="76" t="s">
        <v>291</v>
      </c>
      <c r="CK250" s="77">
        <f t="shared" ref="CK250" ca="1" si="4163">COUNTIF($M$250,CJ250)*$D$39</f>
        <v>0</v>
      </c>
      <c r="CL250" s="64"/>
      <c r="CM250" s="76" t="s">
        <v>79</v>
      </c>
      <c r="CN250" s="77">
        <f t="shared" ref="CN250" ca="1" si="4164">COUNTIF($M$250,CM250)*$D$39</f>
        <v>0</v>
      </c>
      <c r="CO250" s="64"/>
      <c r="CP250" s="76" t="s">
        <v>295</v>
      </c>
      <c r="CQ250" s="77">
        <f t="shared" ref="CQ250" ca="1" si="4165">COUNTIF($M$250,CP250)*$D$39</f>
        <v>50</v>
      </c>
      <c r="CR250" s="64"/>
      <c r="CS250" s="76" t="s">
        <v>1274</v>
      </c>
      <c r="CT250" s="77">
        <f t="shared" ref="CT250" ca="1" si="4166">COUNTIF($M$250,CS250)*$D$39</f>
        <v>0</v>
      </c>
      <c r="CU250" s="64"/>
      <c r="CV250" s="76" t="s">
        <v>291</v>
      </c>
      <c r="CW250" s="77">
        <f t="shared" ref="CW250" ca="1" si="4167">COUNTIF($M$250,CV250)*$D$39</f>
        <v>0</v>
      </c>
      <c r="CX250" s="64"/>
      <c r="CY250" s="76" t="s">
        <v>291</v>
      </c>
      <c r="CZ250" s="77">
        <f t="shared" ref="CZ250" ca="1" si="4168">COUNTIF($M$250,CY250)*$D$39</f>
        <v>0</v>
      </c>
      <c r="DA250" s="64"/>
      <c r="DB250" s="76" t="s">
        <v>294</v>
      </c>
      <c r="DC250" s="77">
        <f t="shared" ref="DC250" ca="1" si="4169">COUNTIF($M$250,DB250)*$D$39</f>
        <v>0</v>
      </c>
      <c r="DD250" s="64"/>
      <c r="DE250" s="76" t="s">
        <v>79</v>
      </c>
      <c r="DF250" s="77">
        <f t="shared" ref="DF250" ca="1" si="4170">COUNTIF($M$250,DE250)*$D$39</f>
        <v>0</v>
      </c>
      <c r="DG250" s="64"/>
      <c r="DH250" s="76" t="s">
        <v>294</v>
      </c>
      <c r="DI250" s="77">
        <f t="shared" ref="DI250" ca="1" si="4171">COUNTIF($M$250,DH250)*$D$39</f>
        <v>0</v>
      </c>
      <c r="DJ250" s="64"/>
      <c r="DK250" s="76" t="s">
        <v>295</v>
      </c>
      <c r="DL250" s="77">
        <f t="shared" ref="DL250" ca="1" si="4172">COUNTIF($M$250,DK250)*$D$39</f>
        <v>50</v>
      </c>
      <c r="DM250" s="64"/>
      <c r="DN250" s="76" t="s">
        <v>295</v>
      </c>
      <c r="DO250" s="77">
        <f t="shared" ref="DO250" ca="1" si="4173">COUNTIF($M$250,DN250)*$D$39</f>
        <v>50</v>
      </c>
      <c r="DP250" s="64"/>
      <c r="DQ250" s="76" t="s">
        <v>294</v>
      </c>
      <c r="DR250" s="77">
        <f t="shared" ref="DR250" ca="1" si="4174">COUNTIF($M$250,DQ250)*$D$39</f>
        <v>0</v>
      </c>
      <c r="DS250" s="64"/>
      <c r="DT250" s="76" t="s">
        <v>294</v>
      </c>
      <c r="DU250" s="77">
        <f t="shared" ref="DU250" ca="1" si="4175">COUNTIF($M$250,DT250)*$D$39</f>
        <v>0</v>
      </c>
      <c r="DV250" s="64"/>
      <c r="DW250" s="76" t="s">
        <v>295</v>
      </c>
      <c r="DX250" s="77">
        <f t="shared" ref="DX250" ca="1" si="4176">COUNTIF($M$250,DW250)*$D$39</f>
        <v>50</v>
      </c>
      <c r="DY250" s="64"/>
      <c r="DZ250" s="76" t="s">
        <v>294</v>
      </c>
      <c r="EA250" s="77">
        <f t="shared" ref="EA250" ca="1" si="4177">COUNTIF($M$250,DZ250)*$D$39</f>
        <v>0</v>
      </c>
      <c r="EB250" s="64"/>
      <c r="EC250" s="76" t="s">
        <v>294</v>
      </c>
      <c r="ED250" s="77">
        <f t="shared" ref="ED250" ca="1" si="4178">COUNTIF($M$250,EC250)*$D$39</f>
        <v>0</v>
      </c>
      <c r="EE250" s="64"/>
      <c r="EF250" s="76" t="s">
        <v>1274</v>
      </c>
      <c r="EG250" s="77">
        <f t="shared" ref="EG250" ca="1" si="4179">COUNTIF($M$250,EF250)*$D$39</f>
        <v>0</v>
      </c>
      <c r="EH250" s="64"/>
      <c r="EI250" s="76" t="s">
        <v>295</v>
      </c>
      <c r="EJ250" s="77">
        <f t="shared" ref="EJ250" ca="1" si="4180">COUNTIF($M$250,EI250)*$D$39</f>
        <v>50</v>
      </c>
      <c r="EK250" s="64"/>
      <c r="EL250" s="76" t="s">
        <v>295</v>
      </c>
      <c r="EM250" s="77">
        <f t="shared" ref="EM250" ca="1" si="4181">COUNTIF($M$250,EL250)*$D$39</f>
        <v>50</v>
      </c>
      <c r="EN250" s="64"/>
      <c r="EO250" s="76" t="s">
        <v>294</v>
      </c>
      <c r="EP250" s="77">
        <f t="shared" ref="EP250" ca="1" si="4182">COUNTIF($M$250,EO250)*$D$39</f>
        <v>0</v>
      </c>
      <c r="EQ250" s="64"/>
      <c r="ER250" s="76" t="s">
        <v>295</v>
      </c>
      <c r="ES250" s="77">
        <f t="shared" ref="ES250" ca="1" si="4183">COUNTIF($M$250,ER250)*$D$39</f>
        <v>50</v>
      </c>
      <c r="ET250" s="64"/>
      <c r="EU250" s="76" t="s">
        <v>294</v>
      </c>
      <c r="EV250" s="77">
        <f t="shared" ref="EV250" ca="1" si="4184">COUNTIF($M$250,EU250)*$D$39</f>
        <v>0</v>
      </c>
      <c r="EW250" s="64"/>
      <c r="EX250" s="76" t="s">
        <v>294</v>
      </c>
      <c r="EY250" s="77">
        <f t="shared" ref="EY250" ca="1" si="4185">COUNTIF($M$250,EX250)*$D$39</f>
        <v>0</v>
      </c>
      <c r="EZ250" s="64"/>
      <c r="FA250" s="76" t="s">
        <v>294</v>
      </c>
      <c r="FB250" s="77">
        <f t="shared" ref="FB250" ca="1" si="4186">COUNTIF($M$250,FA250)*$D$39</f>
        <v>0</v>
      </c>
      <c r="FC250" s="64"/>
      <c r="FD250" s="76" t="s">
        <v>291</v>
      </c>
      <c r="FE250" s="77">
        <f t="shared" ref="FE250" ca="1" si="4187">COUNTIF($M$250,FD250)*$D$39</f>
        <v>0</v>
      </c>
      <c r="FF250" s="64"/>
      <c r="FG250" s="76" t="s">
        <v>294</v>
      </c>
      <c r="FH250" s="77">
        <f t="shared" ref="FH250" ca="1" si="4188">COUNTIF($M$250,FG250)*$D$39</f>
        <v>0</v>
      </c>
      <c r="FI250" s="64"/>
      <c r="FJ250" s="76" t="s">
        <v>295</v>
      </c>
      <c r="FK250" s="77">
        <f t="shared" ref="FK250" ca="1" si="4189">COUNTIF($M$250,FJ250)*$D$39</f>
        <v>50</v>
      </c>
      <c r="FL250" s="64"/>
      <c r="FM250" s="76" t="s">
        <v>294</v>
      </c>
      <c r="FN250" s="77">
        <f t="shared" ref="FN250" ca="1" si="4190">COUNTIF($M$250,FM250)*$D$39</f>
        <v>0</v>
      </c>
      <c r="FO250" s="64"/>
      <c r="FP250" s="76" t="s">
        <v>79</v>
      </c>
      <c r="FQ250" s="77">
        <f t="shared" ref="FQ250" ca="1" si="4191">COUNTIF($M$250,FP250)*$D$39</f>
        <v>0</v>
      </c>
      <c r="FR250" s="64"/>
      <c r="FS250" s="76" t="s">
        <v>1274</v>
      </c>
      <c r="FT250" s="77">
        <f t="shared" ref="FT250" ca="1" si="4192">COUNTIF($M$250,FS250)*$D$39</f>
        <v>0</v>
      </c>
      <c r="FU250" s="64"/>
      <c r="FV250" s="76" t="s">
        <v>295</v>
      </c>
      <c r="FW250" s="77">
        <f t="shared" ref="FW250" ca="1" si="4193">COUNTIF($M$250,FV250)*$D$39</f>
        <v>50</v>
      </c>
      <c r="FX250" s="64"/>
      <c r="FY250" s="76" t="s">
        <v>295</v>
      </c>
      <c r="FZ250" s="77">
        <f t="shared" ref="FZ250" ca="1" si="4194">COUNTIF($M$250,FY250)*$D$39</f>
        <v>50</v>
      </c>
      <c r="GA250" s="64"/>
      <c r="GB250" s="76" t="s">
        <v>295</v>
      </c>
      <c r="GC250" s="77">
        <f t="shared" ref="GC250" ca="1" si="4195">COUNTIF($M$250,GB250)*$D$39</f>
        <v>50</v>
      </c>
      <c r="GD250" s="64"/>
      <c r="GE250" s="76" t="s">
        <v>291</v>
      </c>
      <c r="GF250" s="77">
        <f t="shared" ref="GF250" ca="1" si="4196">COUNTIF($M$250,GE250)*$D$39</f>
        <v>0</v>
      </c>
      <c r="GG250" s="64"/>
      <c r="GH250" s="76" t="s">
        <v>294</v>
      </c>
      <c r="GI250" s="77">
        <f t="shared" ref="GI250" ca="1" si="4197">COUNTIF($M$250,GH250)*$D$39</f>
        <v>0</v>
      </c>
      <c r="GJ250" s="64"/>
      <c r="GK250" s="76" t="s">
        <v>291</v>
      </c>
      <c r="GL250" s="77">
        <f t="shared" ref="GL250" ca="1" si="4198">COUNTIF($M$250,GK250)*$D$39</f>
        <v>0</v>
      </c>
      <c r="GM250" s="64"/>
      <c r="GN250" s="76"/>
      <c r="GO250" s="77">
        <f t="shared" ref="GO250" ca="1" si="4199">COUNTIF($M$250,GN250)*$D$39</f>
        <v>0</v>
      </c>
      <c r="GP250" s="64"/>
      <c r="GQ250" s="76"/>
      <c r="GR250" s="77">
        <f t="shared" ref="GR250" ca="1" si="4200">COUNTIF($M$250,GQ250)*$D$39</f>
        <v>0</v>
      </c>
      <c r="GS250" s="64"/>
      <c r="GT250" s="76"/>
      <c r="GU250" s="77">
        <f t="shared" ref="GU250" ca="1" si="4201">COUNTIF($M$250,GT250)*$D$39</f>
        <v>0</v>
      </c>
      <c r="GV250" s="64"/>
      <c r="GW250" s="76"/>
      <c r="GX250" s="77">
        <f t="shared" ref="GX250" ca="1" si="4202">COUNTIF($M$250,GW250)*$D$39</f>
        <v>0</v>
      </c>
      <c r="GY250" s="64"/>
      <c r="GZ250" s="76"/>
      <c r="HA250" s="77">
        <f t="shared" ref="HA250" ca="1" si="4203">COUNTIF($M$250,GZ250)*$D$39</f>
        <v>0</v>
      </c>
      <c r="HB250" s="64"/>
      <c r="HC250" s="76"/>
      <c r="HD250" s="77">
        <f t="shared" ref="HD250" ca="1" si="4204">COUNTIF($M$250,HC250)*$D$39</f>
        <v>0</v>
      </c>
      <c r="HE250" s="64"/>
      <c r="HF250" s="76"/>
      <c r="HG250" s="77">
        <f t="shared" ref="HG250" ca="1" si="4205">COUNTIF($M$250,HF250)*$D$39</f>
        <v>0</v>
      </c>
      <c r="HH250" s="64"/>
      <c r="HI250" s="76"/>
      <c r="HJ250" s="77">
        <f t="shared" ref="HJ250" ca="1" si="4206">COUNTIF($M$250,HI250)*$D$39</f>
        <v>0</v>
      </c>
      <c r="HK250" s="64"/>
      <c r="HL250" s="76"/>
      <c r="HM250" s="77">
        <f t="shared" ref="HM250" ca="1" si="4207">COUNTIF($M$250,HL250)*$D$39</f>
        <v>0</v>
      </c>
      <c r="HN250" s="64"/>
      <c r="HO250" s="76"/>
      <c r="HP250" s="77">
        <f t="shared" ref="HP250" ca="1" si="4208">COUNTIF($M$250,HO250)*$D$39</f>
        <v>0</v>
      </c>
      <c r="HQ250" s="64"/>
      <c r="HR250" s="76"/>
      <c r="HS250" s="77">
        <f t="shared" ref="HS250" ca="1" si="4209">COUNTIF($M$250,HR250)*$D$39</f>
        <v>0</v>
      </c>
      <c r="HT250" s="64"/>
      <c r="HU250" s="76"/>
      <c r="HV250" s="77">
        <f t="shared" ref="HV250" ca="1" si="4210">COUNTIF($M$250,HU250)*$D$39</f>
        <v>0</v>
      </c>
      <c r="HW250" s="64"/>
      <c r="HX250" s="76"/>
      <c r="HY250" s="77">
        <f t="shared" ref="HY250" ca="1" si="4211">COUNTIF($M$250,HX250)*$D$39</f>
        <v>0</v>
      </c>
      <c r="HZ250" s="64"/>
      <c r="IA250" s="76"/>
      <c r="IB250" s="77">
        <f t="shared" ref="IB250" ca="1" si="4212">COUNTIF($M$250,IA250)*$D$39</f>
        <v>0</v>
      </c>
      <c r="IC250" s="64"/>
      <c r="ID250" s="76"/>
      <c r="IE250" s="77">
        <f t="shared" ref="IE250" ca="1" si="4213">COUNTIF($M$250,ID250)*$D$39</f>
        <v>0</v>
      </c>
      <c r="IF250" s="64"/>
      <c r="IG250" s="76"/>
      <c r="IH250" s="77">
        <f t="shared" ref="IH250" ca="1" si="4214">COUNTIF($M$250,IG250)*$D$39</f>
        <v>0</v>
      </c>
      <c r="II250" s="64"/>
      <c r="IJ250" s="76"/>
      <c r="IK250" s="77">
        <f t="shared" ref="IK250" ca="1" si="4215">COUNTIF($M$250,IJ250)*$D$39</f>
        <v>0</v>
      </c>
      <c r="IL250" s="64"/>
      <c r="IM250" s="76"/>
      <c r="IN250" s="77">
        <f t="shared" ref="IN250" ca="1" si="4216">COUNTIF($M$250,IM250)*$D$39</f>
        <v>0</v>
      </c>
      <c r="IO250" s="64"/>
      <c r="IP250" s="76"/>
      <c r="IQ250" s="77">
        <f t="shared" ref="IQ250" ca="1" si="4217">COUNTIF($M$250,IP250)*$D$39</f>
        <v>0</v>
      </c>
      <c r="IR250" s="64"/>
      <c r="IS250" s="76"/>
      <c r="IT250" s="77">
        <f t="shared" ref="IT250" ca="1" si="4218">COUNTIF($M$250,IS250)*$D$39</f>
        <v>0</v>
      </c>
      <c r="IU250" s="64"/>
      <c r="IV250" s="76"/>
      <c r="IW250" s="77">
        <f t="shared" ref="IW250" ca="1" si="4219">COUNTIF($M$250,IV250)*$D$39</f>
        <v>0</v>
      </c>
      <c r="IX250" s="64"/>
      <c r="IY250" s="76"/>
      <c r="IZ250" s="77">
        <f t="shared" ref="IZ250" ca="1" si="4220">COUNTIF($M$250,IY250)*$D$39</f>
        <v>0</v>
      </c>
      <c r="JA250" s="64"/>
      <c r="JB250" s="76"/>
      <c r="JC250" s="77">
        <f t="shared" ref="JC250" ca="1" si="4221">COUNTIF($M$250,JB250)*$D$39</f>
        <v>0</v>
      </c>
      <c r="JD250" s="64"/>
      <c r="JE250" s="76"/>
      <c r="JF250" s="77">
        <f t="shared" ref="JF250" ca="1" si="4222">COUNTIF($M$250,JE250)*$D$39</f>
        <v>0</v>
      </c>
      <c r="JG250" s="64"/>
      <c r="JH250" s="76"/>
      <c r="JI250" s="77">
        <f t="shared" ref="JI250" ca="1" si="4223">COUNTIF($M$250,JH250)*$D$39</f>
        <v>0</v>
      </c>
      <c r="JJ250" s="64"/>
      <c r="JK250" s="76"/>
      <c r="JL250" s="77">
        <f t="shared" ref="JL250" ca="1" si="4224">COUNTIF($M$250,JK250)*$D$39</f>
        <v>0</v>
      </c>
      <c r="JM250" s="64"/>
      <c r="JN250" s="76"/>
      <c r="JO250" s="77">
        <f t="shared" ref="JO250" ca="1" si="4225">COUNTIF($M$250,JN250)*$D$39</f>
        <v>0</v>
      </c>
      <c r="JP250" s="64"/>
      <c r="JQ250" s="76"/>
      <c r="JR250" s="77">
        <f t="shared" ref="JR250" ca="1" si="4226">COUNTIF($M$250,JQ250)*$D$39</f>
        <v>0</v>
      </c>
      <c r="JS250" s="64"/>
      <c r="JT250" s="76"/>
      <c r="JU250" s="77">
        <f t="shared" ref="JU250" ca="1" si="4227">COUNTIF($M$250,JT250)*$D$39</f>
        <v>0</v>
      </c>
      <c r="JV250" s="64"/>
      <c r="JW250" s="76"/>
      <c r="JX250" s="77">
        <f t="shared" ref="JX250" ca="1" si="4228">COUNTIF($M$250,JW250)*$D$39</f>
        <v>0</v>
      </c>
      <c r="JY250" s="64"/>
      <c r="JZ250" s="76"/>
      <c r="KA250" s="77">
        <f t="shared" ref="KA250" ca="1" si="4229">COUNTIF($M$250,JZ250)*$D$39</f>
        <v>0</v>
      </c>
      <c r="KB250" s="64"/>
      <c r="KC250" s="76"/>
      <c r="KD250" s="77">
        <f t="shared" ref="KD250" ca="1" si="4230">COUNTIF($M$250,KC250)*$D$39</f>
        <v>0</v>
      </c>
      <c r="KE250" s="64"/>
      <c r="KF250" s="76"/>
      <c r="KG250" s="77">
        <f t="shared" ref="KG250" ca="1" si="4231">COUNTIF($M$250,KF250)*$D$39</f>
        <v>0</v>
      </c>
      <c r="KH250" s="64"/>
      <c r="KI250" s="76"/>
      <c r="KJ250" s="77">
        <f t="shared" ref="KJ250" ca="1" si="4232">COUNTIF($M$250,KI250)*$D$39</f>
        <v>0</v>
      </c>
      <c r="KK250" s="64"/>
      <c r="KL250" s="76"/>
      <c r="KM250" s="77">
        <f t="shared" ref="KM250" ca="1" si="4233">COUNTIF($M$250,KL250)*$D$39</f>
        <v>0</v>
      </c>
      <c r="KN250" s="64"/>
      <c r="KO250" s="76"/>
      <c r="KP250" s="77">
        <f t="shared" ref="KP250" ca="1" si="4234">COUNTIF($M$250,KO250)*$D$39</f>
        <v>0</v>
      </c>
      <c r="KQ250" s="64"/>
      <c r="KR250" s="76"/>
      <c r="KS250" s="77">
        <f t="shared" ref="KS250" ca="1" si="4235">COUNTIF($M$250,KR250)*$D$39</f>
        <v>0</v>
      </c>
      <c r="KT250" s="64"/>
      <c r="KU250" s="76"/>
      <c r="KV250" s="77">
        <f t="shared" ref="KV250" ca="1" si="4236">COUNTIF($M$250,KU250)*$D$39</f>
        <v>0</v>
      </c>
      <c r="KW250" s="64"/>
      <c r="KX250" s="76"/>
      <c r="KY250" s="77">
        <f t="shared" ref="KY250" ca="1" si="4237">COUNTIF($M$250,KX250)*$D$39</f>
        <v>0</v>
      </c>
      <c r="KZ250" s="64"/>
      <c r="LA250" s="76"/>
      <c r="LB250" s="77">
        <f t="shared" ref="LB250" ca="1" si="4238">COUNTIF($M$250,LA250)*$D$39</f>
        <v>0</v>
      </c>
      <c r="LC250" s="64"/>
      <c r="LD250" s="76"/>
      <c r="LE250" s="77">
        <f t="shared" ref="LE250" ca="1" si="4239">COUNTIF($M$250,LD250)*$D$39</f>
        <v>0</v>
      </c>
      <c r="LF250" s="64"/>
      <c r="LG250" s="64"/>
    </row>
    <row r="251" spans="1:319" ht="16.149999999999999" customHeight="1">
      <c r="A251" s="17"/>
      <c r="B251" s="17"/>
      <c r="C251" s="17"/>
      <c r="D251" s="17"/>
      <c r="E251" s="89"/>
      <c r="F251" s="407">
        <f t="shared" si="4140"/>
        <v>30</v>
      </c>
      <c r="G251" s="407">
        <f ca="1">VLOOKUP(H251,Equipos!$Q$1:$R$25,2,0)</f>
        <v>24</v>
      </c>
      <c r="H251" s="65" t="str">
        <f>Idiomas!$D$264</f>
        <v>3-4 &amp; Final</v>
      </c>
      <c r="I251" s="50"/>
      <c r="J251" s="101"/>
      <c r="K251" s="56" t="str">
        <f>WORLDCUP!W151</f>
        <v>🥈Runner-up</v>
      </c>
      <c r="L251" s="53"/>
      <c r="M251" s="55" t="str">
        <f ca="1">WORLDCUP!AA151</f>
        <v>Argentina</v>
      </c>
      <c r="N251" s="25"/>
      <c r="O251" s="25"/>
      <c r="P251" s="25"/>
      <c r="Q251" s="25"/>
      <c r="R251" s="17"/>
      <c r="S251" s="74" t="s">
        <v>290</v>
      </c>
      <c r="T251" s="73">
        <f ca="1">COUNTIF($M$251,S251)*$D$40</f>
        <v>0</v>
      </c>
      <c r="U251" s="64"/>
      <c r="V251" s="74" t="s">
        <v>1256</v>
      </c>
      <c r="W251" s="73">
        <f t="shared" ref="W251" ca="1" si="4240">COUNTIF($M$251,V251)*$D$40</f>
        <v>30</v>
      </c>
      <c r="X251" s="64"/>
      <c r="Y251" s="74" t="s">
        <v>1274</v>
      </c>
      <c r="Z251" s="73">
        <f t="shared" ref="Z251" ca="1" si="4241">COUNTIF($M$251,Y251)*$D$40</f>
        <v>0</v>
      </c>
      <c r="AA251" s="64"/>
      <c r="AB251" s="74" t="s">
        <v>1256</v>
      </c>
      <c r="AC251" s="73">
        <f t="shared" ref="AC251" ca="1" si="4242">COUNTIF($M$251,AB251)*$D$40</f>
        <v>30</v>
      </c>
      <c r="AD251" s="64"/>
      <c r="AE251" s="74" t="s">
        <v>79</v>
      </c>
      <c r="AF251" s="73">
        <f t="shared" ref="AF251" ca="1" si="4243">COUNTIF($M$251,AE251)*$D$40</f>
        <v>0</v>
      </c>
      <c r="AG251" s="64"/>
      <c r="AH251" s="74" t="s">
        <v>1274</v>
      </c>
      <c r="AI251" s="73">
        <f t="shared" ref="AI251" ca="1" si="4244">COUNTIF($M$251,AH251)*$D$40</f>
        <v>0</v>
      </c>
      <c r="AJ251" s="64"/>
      <c r="AK251" s="74" t="s">
        <v>1274</v>
      </c>
      <c r="AL251" s="73">
        <f t="shared" ref="AL251" ca="1" si="4245">COUNTIF($M$251,AK251)*$D$40</f>
        <v>0</v>
      </c>
      <c r="AM251" s="64"/>
      <c r="AN251" s="74" t="s">
        <v>1319</v>
      </c>
      <c r="AO251" s="73">
        <f t="shared" ref="AO251" ca="1" si="4246">COUNTIF($M$251,AN251)*$D$40</f>
        <v>0</v>
      </c>
      <c r="AP251" s="64"/>
      <c r="AQ251" s="74" t="s">
        <v>1274</v>
      </c>
      <c r="AR251" s="73">
        <f t="shared" ref="AR251" ca="1" si="4247">COUNTIF($M$251,AQ251)*$D$40</f>
        <v>0</v>
      </c>
      <c r="AS251" s="64"/>
      <c r="AT251" s="74" t="s">
        <v>1274</v>
      </c>
      <c r="AU251" s="73">
        <f t="shared" ref="AU251" ca="1" si="4248">COUNTIF($M$251,AT251)*$D$40</f>
        <v>0</v>
      </c>
      <c r="AV251" s="64"/>
      <c r="AW251" s="74" t="s">
        <v>297</v>
      </c>
      <c r="AX251" s="73">
        <f t="shared" ref="AX251" ca="1" si="4249">COUNTIF($M$251,AW251)*$D$40</f>
        <v>0</v>
      </c>
      <c r="AY251" s="64"/>
      <c r="AZ251" s="74" t="s">
        <v>1274</v>
      </c>
      <c r="BA251" s="73">
        <f t="shared" ref="BA251" ca="1" si="4250">COUNTIF($M$251,AZ251)*$D$40</f>
        <v>0</v>
      </c>
      <c r="BB251" s="64"/>
      <c r="BC251" s="74" t="s">
        <v>295</v>
      </c>
      <c r="BD251" s="73">
        <f t="shared" ref="BD251" ca="1" si="4251">COUNTIF($M$251,BC251)*$D$40</f>
        <v>0</v>
      </c>
      <c r="BE251" s="64"/>
      <c r="BF251" s="74" t="s">
        <v>1274</v>
      </c>
      <c r="BG251" s="73">
        <f t="shared" ref="BG251" ca="1" si="4252">COUNTIF($M$251,BF251)*$D$40</f>
        <v>0</v>
      </c>
      <c r="BH251" s="64"/>
      <c r="BI251" s="74" t="s">
        <v>79</v>
      </c>
      <c r="BJ251" s="73">
        <f t="shared" ref="BJ251" ca="1" si="4253">COUNTIF($M$251,BI251)*$D$40</f>
        <v>0</v>
      </c>
      <c r="BK251" s="64"/>
      <c r="BL251" s="74" t="s">
        <v>1256</v>
      </c>
      <c r="BM251" s="73">
        <f t="shared" ref="BM251" ca="1" si="4254">COUNTIF($M$251,BL251)*$D$40</f>
        <v>30</v>
      </c>
      <c r="BN251" s="64"/>
      <c r="BO251" s="74" t="s">
        <v>1256</v>
      </c>
      <c r="BP251" s="73">
        <f t="shared" ref="BP251" ca="1" si="4255">COUNTIF($M$251,BO251)*$D$40</f>
        <v>30</v>
      </c>
      <c r="BQ251" s="64"/>
      <c r="BR251" s="74" t="s">
        <v>294</v>
      </c>
      <c r="BS251" s="73">
        <f t="shared" ref="BS251" ca="1" si="4256">COUNTIF($M$251,BR251)*$D$40</f>
        <v>0</v>
      </c>
      <c r="BT251" s="64"/>
      <c r="BU251" s="74" t="s">
        <v>79</v>
      </c>
      <c r="BV251" s="73">
        <f t="shared" ref="BV251" ca="1" si="4257">COUNTIF($M$251,BU251)*$D$40</f>
        <v>0</v>
      </c>
      <c r="BW251" s="64"/>
      <c r="BX251" s="74" t="s">
        <v>1274</v>
      </c>
      <c r="BY251" s="73">
        <f t="shared" ref="BY251" ca="1" si="4258">COUNTIF($M$251,BX251)*$D$40</f>
        <v>0</v>
      </c>
      <c r="BZ251" s="64"/>
      <c r="CA251" s="74" t="s">
        <v>292</v>
      </c>
      <c r="CB251" s="73">
        <f t="shared" ref="CB251" ca="1" si="4259">COUNTIF($M$251,CA251)*$D$40</f>
        <v>0</v>
      </c>
      <c r="CC251" s="64"/>
      <c r="CD251" s="74" t="s">
        <v>79</v>
      </c>
      <c r="CE251" s="73">
        <f t="shared" ref="CE251" ca="1" si="4260">COUNTIF($M$251,CD251)*$D$40</f>
        <v>0</v>
      </c>
      <c r="CF251" s="64"/>
      <c r="CG251" s="74" t="s">
        <v>1256</v>
      </c>
      <c r="CH251" s="73">
        <f t="shared" ref="CH251" ca="1" si="4261">COUNTIF($M$251,CG251)*$D$40</f>
        <v>30</v>
      </c>
      <c r="CI251" s="64"/>
      <c r="CJ251" s="74" t="s">
        <v>292</v>
      </c>
      <c r="CK251" s="73">
        <f t="shared" ref="CK251" ca="1" si="4262">COUNTIF($M$251,CJ251)*$D$40</f>
        <v>0</v>
      </c>
      <c r="CL251" s="64"/>
      <c r="CM251" s="74" t="s">
        <v>295</v>
      </c>
      <c r="CN251" s="73">
        <f t="shared" ref="CN251" ca="1" si="4263">COUNTIF($M$251,CM251)*$D$40</f>
        <v>0</v>
      </c>
      <c r="CO251" s="64"/>
      <c r="CP251" s="74" t="s">
        <v>79</v>
      </c>
      <c r="CQ251" s="73">
        <f t="shared" ref="CQ251" ca="1" si="4264">COUNTIF($M$251,CP251)*$D$40</f>
        <v>0</v>
      </c>
      <c r="CR251" s="64"/>
      <c r="CS251" s="74" t="s">
        <v>297</v>
      </c>
      <c r="CT251" s="73">
        <f t="shared" ref="CT251" ca="1" si="4265">COUNTIF($M$251,CS251)*$D$40</f>
        <v>0</v>
      </c>
      <c r="CU251" s="64"/>
      <c r="CV251" s="74" t="s">
        <v>1256</v>
      </c>
      <c r="CW251" s="73">
        <f t="shared" ref="CW251" ca="1" si="4266">COUNTIF($M$251,CV251)*$D$40</f>
        <v>30</v>
      </c>
      <c r="CX251" s="64"/>
      <c r="CY251" s="74" t="s">
        <v>1318</v>
      </c>
      <c r="CZ251" s="73">
        <f t="shared" ref="CZ251" ca="1" si="4267">COUNTIF($M$251,CY251)*$D$40</f>
        <v>0</v>
      </c>
      <c r="DA251" s="64"/>
      <c r="DB251" s="74" t="s">
        <v>1256</v>
      </c>
      <c r="DC251" s="73">
        <f t="shared" ref="DC251" ca="1" si="4268">COUNTIF($M$251,DB251)*$D$40</f>
        <v>30</v>
      </c>
      <c r="DD251" s="64"/>
      <c r="DE251" s="74" t="s">
        <v>295</v>
      </c>
      <c r="DF251" s="73">
        <f t="shared" ref="DF251" ca="1" si="4269">COUNTIF($M$251,DE251)*$D$40</f>
        <v>0</v>
      </c>
      <c r="DG251" s="64"/>
      <c r="DH251" s="74" t="s">
        <v>1274</v>
      </c>
      <c r="DI251" s="73">
        <f t="shared" ref="DI251" ca="1" si="4270">COUNTIF($M$251,DH251)*$D$40</f>
        <v>0</v>
      </c>
      <c r="DJ251" s="64"/>
      <c r="DK251" s="74" t="s">
        <v>1274</v>
      </c>
      <c r="DL251" s="73">
        <f t="shared" ref="DL251" ca="1" si="4271">COUNTIF($M$251,DK251)*$D$40</f>
        <v>0</v>
      </c>
      <c r="DM251" s="64"/>
      <c r="DN251" s="74" t="s">
        <v>1256</v>
      </c>
      <c r="DO251" s="73">
        <f t="shared" ref="DO251" ca="1" si="4272">COUNTIF($M$251,DN251)*$D$40</f>
        <v>30</v>
      </c>
      <c r="DP251" s="64"/>
      <c r="DQ251" s="74" t="s">
        <v>292</v>
      </c>
      <c r="DR251" s="73">
        <f t="shared" ref="DR251" ca="1" si="4273">COUNTIF($M$251,DQ251)*$D$40</f>
        <v>0</v>
      </c>
      <c r="DS251" s="64"/>
      <c r="DT251" s="74" t="s">
        <v>79</v>
      </c>
      <c r="DU251" s="73">
        <f t="shared" ref="DU251" ca="1" si="4274">COUNTIF($M$251,DT251)*$D$40</f>
        <v>0</v>
      </c>
      <c r="DV251" s="64"/>
      <c r="DW251" s="74" t="s">
        <v>79</v>
      </c>
      <c r="DX251" s="73">
        <f t="shared" ref="DX251" ca="1" si="4275">COUNTIF($M$251,DW251)*$D$40</f>
        <v>0</v>
      </c>
      <c r="DY251" s="64"/>
      <c r="DZ251" s="74" t="s">
        <v>1274</v>
      </c>
      <c r="EA251" s="73">
        <f t="shared" ref="EA251" ca="1" si="4276">COUNTIF($M$251,DZ251)*$D$40</f>
        <v>0</v>
      </c>
      <c r="EB251" s="64"/>
      <c r="EC251" s="74" t="s">
        <v>1256</v>
      </c>
      <c r="ED251" s="73">
        <f t="shared" ref="ED251" ca="1" si="4277">COUNTIF($M$251,EC251)*$D$40</f>
        <v>30</v>
      </c>
      <c r="EE251" s="64"/>
      <c r="EF251" s="74" t="s">
        <v>297</v>
      </c>
      <c r="EG251" s="73">
        <f t="shared" ref="EG251" ca="1" si="4278">COUNTIF($M$251,EF251)*$D$40</f>
        <v>0</v>
      </c>
      <c r="EH251" s="64"/>
      <c r="EI251" s="74" t="s">
        <v>79</v>
      </c>
      <c r="EJ251" s="73">
        <f t="shared" ref="EJ251" ca="1" si="4279">COUNTIF($M$251,EI251)*$D$40</f>
        <v>0</v>
      </c>
      <c r="EK251" s="64"/>
      <c r="EL251" s="74" t="s">
        <v>79</v>
      </c>
      <c r="EM251" s="73">
        <f t="shared" ref="EM251" ca="1" si="4280">COUNTIF($M$251,EL251)*$D$40</f>
        <v>0</v>
      </c>
      <c r="EN251" s="64"/>
      <c r="EO251" s="74" t="s">
        <v>292</v>
      </c>
      <c r="EP251" s="73">
        <f t="shared" ref="EP251" ca="1" si="4281">COUNTIF($M$251,EO251)*$D$40</f>
        <v>0</v>
      </c>
      <c r="EQ251" s="64"/>
      <c r="ER251" s="74" t="s">
        <v>1256</v>
      </c>
      <c r="ES251" s="73">
        <f t="shared" ref="ES251" ca="1" si="4282">COUNTIF($M$251,ER251)*$D$40</f>
        <v>30</v>
      </c>
      <c r="ET251" s="64"/>
      <c r="EU251" s="74" t="s">
        <v>292</v>
      </c>
      <c r="EV251" s="73">
        <f t="shared" ref="EV251" ca="1" si="4283">COUNTIF($M$251,EU251)*$D$40</f>
        <v>0</v>
      </c>
      <c r="EW251" s="64"/>
      <c r="EX251" s="74" t="s">
        <v>1274</v>
      </c>
      <c r="EY251" s="73">
        <f t="shared" ref="EY251" ca="1" si="4284">COUNTIF($M$251,EX251)*$D$40</f>
        <v>0</v>
      </c>
      <c r="EZ251" s="64"/>
      <c r="FA251" s="74" t="s">
        <v>292</v>
      </c>
      <c r="FB251" s="73">
        <f t="shared" ref="FB251" ca="1" si="4285">COUNTIF($M$251,FA251)*$D$40</f>
        <v>0</v>
      </c>
      <c r="FC251" s="64"/>
      <c r="FD251" s="74" t="s">
        <v>292</v>
      </c>
      <c r="FE251" s="73">
        <f t="shared" ref="FE251" ca="1" si="4286">COUNTIF($M$251,FD251)*$D$40</f>
        <v>0</v>
      </c>
      <c r="FF251" s="64"/>
      <c r="FG251" s="74" t="s">
        <v>292</v>
      </c>
      <c r="FH251" s="73">
        <f t="shared" ref="FH251" ca="1" si="4287">COUNTIF($M$251,FG251)*$D$40</f>
        <v>0</v>
      </c>
      <c r="FI251" s="64"/>
      <c r="FJ251" s="74" t="s">
        <v>79</v>
      </c>
      <c r="FK251" s="73">
        <f t="shared" ref="FK251" ca="1" si="4288">COUNTIF($M$251,FJ251)*$D$40</f>
        <v>0</v>
      </c>
      <c r="FL251" s="64"/>
      <c r="FM251" s="74" t="s">
        <v>292</v>
      </c>
      <c r="FN251" s="73">
        <f t="shared" ref="FN251" ca="1" si="4289">COUNTIF($M$251,FM251)*$D$40</f>
        <v>0</v>
      </c>
      <c r="FO251" s="64"/>
      <c r="FP251" s="74" t="s">
        <v>294</v>
      </c>
      <c r="FQ251" s="73">
        <f t="shared" ref="FQ251" ca="1" si="4290">COUNTIF($M$251,FP251)*$D$40</f>
        <v>0</v>
      </c>
      <c r="FR251" s="64"/>
      <c r="FS251" s="74" t="s">
        <v>295</v>
      </c>
      <c r="FT251" s="73">
        <f t="shared" ref="FT251" ca="1" si="4291">COUNTIF($M$251,FS251)*$D$40</f>
        <v>0</v>
      </c>
      <c r="FU251" s="64"/>
      <c r="FV251" s="74" t="s">
        <v>1256</v>
      </c>
      <c r="FW251" s="73">
        <f t="shared" ref="FW251" ca="1" si="4292">COUNTIF($M$251,FV251)*$D$40</f>
        <v>30</v>
      </c>
      <c r="FX251" s="64"/>
      <c r="FY251" s="74" t="s">
        <v>292</v>
      </c>
      <c r="FZ251" s="73">
        <f t="shared" ref="FZ251" ca="1" si="4293">COUNTIF($M$251,FY251)*$D$40</f>
        <v>0</v>
      </c>
      <c r="GA251" s="64"/>
      <c r="GB251" s="74" t="s">
        <v>1274</v>
      </c>
      <c r="GC251" s="73">
        <f t="shared" ref="GC251" ca="1" si="4294">COUNTIF($M$251,GB251)*$D$40</f>
        <v>0</v>
      </c>
      <c r="GD251" s="64"/>
      <c r="GE251" s="74" t="s">
        <v>1256</v>
      </c>
      <c r="GF251" s="73">
        <f t="shared" ref="GF251" ca="1" si="4295">COUNTIF($M$251,GE251)*$D$40</f>
        <v>30</v>
      </c>
      <c r="GG251" s="64"/>
      <c r="GH251" s="74" t="s">
        <v>1274</v>
      </c>
      <c r="GI251" s="73">
        <f t="shared" ref="GI251" ca="1" si="4296">COUNTIF($M$251,GH251)*$D$40</f>
        <v>0</v>
      </c>
      <c r="GJ251" s="64"/>
      <c r="GK251" s="74" t="s">
        <v>79</v>
      </c>
      <c r="GL251" s="73">
        <f t="shared" ref="GL251" ca="1" si="4297">COUNTIF($M$251,GK251)*$D$40</f>
        <v>0</v>
      </c>
      <c r="GM251" s="64"/>
      <c r="GN251" s="74"/>
      <c r="GO251" s="73">
        <f t="shared" ref="GO251" ca="1" si="4298">COUNTIF($M$251,GN251)*$D$40</f>
        <v>0</v>
      </c>
      <c r="GP251" s="64"/>
      <c r="GQ251" s="74"/>
      <c r="GR251" s="73">
        <f t="shared" ref="GR251" ca="1" si="4299">COUNTIF($M$251,GQ251)*$D$40</f>
        <v>0</v>
      </c>
      <c r="GS251" s="64"/>
      <c r="GT251" s="74"/>
      <c r="GU251" s="73">
        <f t="shared" ref="GU251" ca="1" si="4300">COUNTIF($M$251,GT251)*$D$40</f>
        <v>0</v>
      </c>
      <c r="GV251" s="64"/>
      <c r="GW251" s="74"/>
      <c r="GX251" s="73">
        <f t="shared" ref="GX251" ca="1" si="4301">COUNTIF($M$251,GW251)*$D$40</f>
        <v>0</v>
      </c>
      <c r="GY251" s="64"/>
      <c r="GZ251" s="74"/>
      <c r="HA251" s="73">
        <f t="shared" ref="HA251" ca="1" si="4302">COUNTIF($M$251,GZ251)*$D$40</f>
        <v>0</v>
      </c>
      <c r="HB251" s="64"/>
      <c r="HC251" s="74"/>
      <c r="HD251" s="73">
        <f t="shared" ref="HD251" ca="1" si="4303">COUNTIF($M$251,HC251)*$D$40</f>
        <v>0</v>
      </c>
      <c r="HE251" s="64"/>
      <c r="HF251" s="74"/>
      <c r="HG251" s="73">
        <f t="shared" ref="HG251" ca="1" si="4304">COUNTIF($M$251,HF251)*$D$40</f>
        <v>0</v>
      </c>
      <c r="HH251" s="64"/>
      <c r="HI251" s="74"/>
      <c r="HJ251" s="73">
        <f t="shared" ref="HJ251" ca="1" si="4305">COUNTIF($M$251,HI251)*$D$40</f>
        <v>0</v>
      </c>
      <c r="HK251" s="64"/>
      <c r="HL251" s="74"/>
      <c r="HM251" s="73">
        <f t="shared" ref="HM251" ca="1" si="4306">COUNTIF($M$251,HL251)*$D$40</f>
        <v>0</v>
      </c>
      <c r="HN251" s="64"/>
      <c r="HO251" s="74"/>
      <c r="HP251" s="73">
        <f t="shared" ref="HP251" ca="1" si="4307">COUNTIF($M$251,HO251)*$D$40</f>
        <v>0</v>
      </c>
      <c r="HQ251" s="64"/>
      <c r="HR251" s="74"/>
      <c r="HS251" s="73">
        <f t="shared" ref="HS251" ca="1" si="4308">COUNTIF($M$251,HR251)*$D$40</f>
        <v>0</v>
      </c>
      <c r="HT251" s="64"/>
      <c r="HU251" s="74"/>
      <c r="HV251" s="73">
        <f t="shared" ref="HV251" ca="1" si="4309">COUNTIF($M$251,HU251)*$D$40</f>
        <v>0</v>
      </c>
      <c r="HW251" s="64"/>
      <c r="HX251" s="74"/>
      <c r="HY251" s="73">
        <f t="shared" ref="HY251" ca="1" si="4310">COUNTIF($M$251,HX251)*$D$40</f>
        <v>0</v>
      </c>
      <c r="HZ251" s="64"/>
      <c r="IA251" s="74"/>
      <c r="IB251" s="73">
        <f t="shared" ref="IB251" ca="1" si="4311">COUNTIF($M$251,IA251)*$D$40</f>
        <v>0</v>
      </c>
      <c r="IC251" s="64"/>
      <c r="ID251" s="74"/>
      <c r="IE251" s="73">
        <f t="shared" ref="IE251" ca="1" si="4312">COUNTIF($M$251,ID251)*$D$40</f>
        <v>0</v>
      </c>
      <c r="IF251" s="64"/>
      <c r="IG251" s="74"/>
      <c r="IH251" s="73">
        <f t="shared" ref="IH251" ca="1" si="4313">COUNTIF($M$251,IG251)*$D$40</f>
        <v>0</v>
      </c>
      <c r="II251" s="64"/>
      <c r="IJ251" s="74"/>
      <c r="IK251" s="73">
        <f t="shared" ref="IK251" ca="1" si="4314">COUNTIF($M$251,IJ251)*$D$40</f>
        <v>0</v>
      </c>
      <c r="IL251" s="64"/>
      <c r="IM251" s="74"/>
      <c r="IN251" s="73">
        <f t="shared" ref="IN251" ca="1" si="4315">COUNTIF($M$251,IM251)*$D$40</f>
        <v>0</v>
      </c>
      <c r="IO251" s="64"/>
      <c r="IP251" s="74"/>
      <c r="IQ251" s="73">
        <f t="shared" ref="IQ251" ca="1" si="4316">COUNTIF($M$251,IP251)*$D$40</f>
        <v>0</v>
      </c>
      <c r="IR251" s="64"/>
      <c r="IS251" s="74"/>
      <c r="IT251" s="73">
        <f t="shared" ref="IT251" ca="1" si="4317">COUNTIF($M$251,IS251)*$D$40</f>
        <v>0</v>
      </c>
      <c r="IU251" s="64"/>
      <c r="IV251" s="74"/>
      <c r="IW251" s="73">
        <f t="shared" ref="IW251" ca="1" si="4318">COUNTIF($M$251,IV251)*$D$40</f>
        <v>0</v>
      </c>
      <c r="IX251" s="64"/>
      <c r="IY251" s="74"/>
      <c r="IZ251" s="73">
        <f t="shared" ref="IZ251" ca="1" si="4319">COUNTIF($M$251,IY251)*$D$40</f>
        <v>0</v>
      </c>
      <c r="JA251" s="64"/>
      <c r="JB251" s="74"/>
      <c r="JC251" s="73">
        <f t="shared" ref="JC251" ca="1" si="4320">COUNTIF($M$251,JB251)*$D$40</f>
        <v>0</v>
      </c>
      <c r="JD251" s="64"/>
      <c r="JE251" s="74"/>
      <c r="JF251" s="73">
        <f t="shared" ref="JF251" ca="1" si="4321">COUNTIF($M$251,JE251)*$D$40</f>
        <v>0</v>
      </c>
      <c r="JG251" s="64"/>
      <c r="JH251" s="74"/>
      <c r="JI251" s="73">
        <f t="shared" ref="JI251" ca="1" si="4322">COUNTIF($M$251,JH251)*$D$40</f>
        <v>0</v>
      </c>
      <c r="JJ251" s="64"/>
      <c r="JK251" s="74"/>
      <c r="JL251" s="73">
        <f t="shared" ref="JL251" ca="1" si="4323">COUNTIF($M$251,JK251)*$D$40</f>
        <v>0</v>
      </c>
      <c r="JM251" s="64"/>
      <c r="JN251" s="74"/>
      <c r="JO251" s="73">
        <f t="shared" ref="JO251" ca="1" si="4324">COUNTIF($M$251,JN251)*$D$40</f>
        <v>0</v>
      </c>
      <c r="JP251" s="64"/>
      <c r="JQ251" s="74"/>
      <c r="JR251" s="73">
        <f t="shared" ref="JR251" ca="1" si="4325">COUNTIF($M$251,JQ251)*$D$40</f>
        <v>0</v>
      </c>
      <c r="JS251" s="64"/>
      <c r="JT251" s="74"/>
      <c r="JU251" s="73">
        <f t="shared" ref="JU251" ca="1" si="4326">COUNTIF($M$251,JT251)*$D$40</f>
        <v>0</v>
      </c>
      <c r="JV251" s="64"/>
      <c r="JW251" s="74"/>
      <c r="JX251" s="73">
        <f t="shared" ref="JX251" ca="1" si="4327">COUNTIF($M$251,JW251)*$D$40</f>
        <v>0</v>
      </c>
      <c r="JY251" s="64"/>
      <c r="JZ251" s="74"/>
      <c r="KA251" s="73">
        <f t="shared" ref="KA251" ca="1" si="4328">COUNTIF($M$251,JZ251)*$D$40</f>
        <v>0</v>
      </c>
      <c r="KB251" s="64"/>
      <c r="KC251" s="74"/>
      <c r="KD251" s="73">
        <f t="shared" ref="KD251" ca="1" si="4329">COUNTIF($M$251,KC251)*$D$40</f>
        <v>0</v>
      </c>
      <c r="KE251" s="64"/>
      <c r="KF251" s="74"/>
      <c r="KG251" s="73">
        <f t="shared" ref="KG251" ca="1" si="4330">COUNTIF($M$251,KF251)*$D$40</f>
        <v>0</v>
      </c>
      <c r="KH251" s="64"/>
      <c r="KI251" s="74"/>
      <c r="KJ251" s="73">
        <f t="shared" ref="KJ251" ca="1" si="4331">COUNTIF($M$251,KI251)*$D$40</f>
        <v>0</v>
      </c>
      <c r="KK251" s="64"/>
      <c r="KL251" s="74"/>
      <c r="KM251" s="73">
        <f t="shared" ref="KM251" ca="1" si="4332">COUNTIF($M$251,KL251)*$D$40</f>
        <v>0</v>
      </c>
      <c r="KN251" s="64"/>
      <c r="KO251" s="74"/>
      <c r="KP251" s="73">
        <f t="shared" ref="KP251" ca="1" si="4333">COUNTIF($M$251,KO251)*$D$40</f>
        <v>0</v>
      </c>
      <c r="KQ251" s="64"/>
      <c r="KR251" s="74"/>
      <c r="KS251" s="73">
        <f t="shared" ref="KS251" ca="1" si="4334">COUNTIF($M$251,KR251)*$D$40</f>
        <v>0</v>
      </c>
      <c r="KT251" s="64"/>
      <c r="KU251" s="74"/>
      <c r="KV251" s="73">
        <f t="shared" ref="KV251" ca="1" si="4335">COUNTIF($M$251,KU251)*$D$40</f>
        <v>0</v>
      </c>
      <c r="KW251" s="64"/>
      <c r="KX251" s="74"/>
      <c r="KY251" s="73">
        <f t="shared" ref="KY251" ca="1" si="4336">COUNTIF($M$251,KX251)*$D$40</f>
        <v>0</v>
      </c>
      <c r="KZ251" s="64"/>
      <c r="LA251" s="74"/>
      <c r="LB251" s="73">
        <f t="shared" ref="LB251" ca="1" si="4337">COUNTIF($M$251,LA251)*$D$40</f>
        <v>0</v>
      </c>
      <c r="LC251" s="64"/>
      <c r="LD251" s="74"/>
      <c r="LE251" s="73">
        <f t="shared" ref="LE251" ca="1" si="4338">COUNTIF($M$251,LD251)*$D$40</f>
        <v>0</v>
      </c>
      <c r="LF251" s="64"/>
      <c r="LG251" s="64"/>
    </row>
    <row r="252" spans="1:319" ht="16.149999999999999" customHeight="1">
      <c r="A252" s="17"/>
      <c r="B252" s="17"/>
      <c r="C252" s="17"/>
      <c r="D252" s="17"/>
      <c r="E252" s="89"/>
      <c r="F252" s="407">
        <f t="shared" si="4140"/>
        <v>20</v>
      </c>
      <c r="G252" s="407">
        <f ca="1">VLOOKUP(H252,Equipos!$Q$1:$R$25,2,0)</f>
        <v>24</v>
      </c>
      <c r="H252" s="65" t="str">
        <f>Idiomas!$D$264</f>
        <v>3-4 &amp; Final</v>
      </c>
      <c r="I252" s="50"/>
      <c r="J252" s="101"/>
      <c r="K252" s="56" t="str">
        <f>WORLDCUP!W152</f>
        <v>🥉3rd place</v>
      </c>
      <c r="L252" s="53"/>
      <c r="M252" s="55" t="str">
        <f ca="1">WORLDCUP!AA152</f>
        <v>England</v>
      </c>
      <c r="N252" s="25"/>
      <c r="O252" s="25"/>
      <c r="P252" s="25"/>
      <c r="Q252" s="25"/>
      <c r="R252" s="17"/>
      <c r="S252" s="74" t="s">
        <v>1274</v>
      </c>
      <c r="T252" s="73">
        <f ca="1">COUNTIF($M$252,S252)*$D$41</f>
        <v>0</v>
      </c>
      <c r="U252" s="64"/>
      <c r="V252" s="74" t="s">
        <v>295</v>
      </c>
      <c r="W252" s="73">
        <f t="shared" ref="W252" ca="1" si="4339">COUNTIF($M$252,V252)*$D$41</f>
        <v>0</v>
      </c>
      <c r="X252" s="64"/>
      <c r="Y252" s="74" t="s">
        <v>80</v>
      </c>
      <c r="Z252" s="73">
        <f t="shared" ref="Z252" ca="1" si="4340">COUNTIF($M$252,Y252)*$D$41</f>
        <v>0</v>
      </c>
      <c r="AA252" s="64"/>
      <c r="AB252" s="74" t="s">
        <v>295</v>
      </c>
      <c r="AC252" s="73">
        <f t="shared" ref="AC252" ca="1" si="4341">COUNTIF($M$252,AB252)*$D$41</f>
        <v>0</v>
      </c>
      <c r="AD252" s="64"/>
      <c r="AE252" s="74" t="s">
        <v>295</v>
      </c>
      <c r="AF252" s="73">
        <f t="shared" ref="AF252" ca="1" si="4342">COUNTIF($M$252,AE252)*$D$41</f>
        <v>0</v>
      </c>
      <c r="AG252" s="64"/>
      <c r="AH252" s="74" t="s">
        <v>79</v>
      </c>
      <c r="AI252" s="73">
        <f t="shared" ref="AI252" ca="1" si="4343">COUNTIF($M$252,AH252)*$D$41</f>
        <v>0</v>
      </c>
      <c r="AJ252" s="64"/>
      <c r="AK252" s="74" t="s">
        <v>295</v>
      </c>
      <c r="AL252" s="73">
        <f t="shared" ref="AL252" ca="1" si="4344">COUNTIF($M$252,AK252)*$D$41</f>
        <v>0</v>
      </c>
      <c r="AM252" s="64"/>
      <c r="AN252" s="74" t="s">
        <v>1278</v>
      </c>
      <c r="AO252" s="73">
        <f t="shared" ref="AO252" ca="1" si="4345">COUNTIF($M$252,AN252)*$D$41</f>
        <v>0</v>
      </c>
      <c r="AP252" s="64"/>
      <c r="AQ252" s="74" t="s">
        <v>295</v>
      </c>
      <c r="AR252" s="73">
        <f t="shared" ref="AR252" ca="1" si="4346">COUNTIF($M$252,AQ252)*$D$41</f>
        <v>0</v>
      </c>
      <c r="AS252" s="64"/>
      <c r="AT252" s="74" t="s">
        <v>295</v>
      </c>
      <c r="AU252" s="73">
        <f t="shared" ref="AU252" ca="1" si="4347">COUNTIF($M$252,AT252)*$D$41</f>
        <v>0</v>
      </c>
      <c r="AV252" s="64"/>
      <c r="AW252" s="74" t="s">
        <v>292</v>
      </c>
      <c r="AX252" s="73">
        <f t="shared" ref="AX252" ca="1" si="4348">COUNTIF($M$252,AW252)*$D$41</f>
        <v>20</v>
      </c>
      <c r="AY252" s="64"/>
      <c r="AZ252" s="74" t="s">
        <v>294</v>
      </c>
      <c r="BA252" s="73">
        <f t="shared" ref="BA252" ca="1" si="4349">COUNTIF($M$252,AZ252)*$D$41</f>
        <v>0</v>
      </c>
      <c r="BB252" s="64"/>
      <c r="BC252" s="74" t="s">
        <v>294</v>
      </c>
      <c r="BD252" s="73">
        <f t="shared" ref="BD252" ca="1" si="4350">COUNTIF($M$252,BC252)*$D$41</f>
        <v>0</v>
      </c>
      <c r="BE252" s="64"/>
      <c r="BF252" s="74" t="s">
        <v>295</v>
      </c>
      <c r="BG252" s="73">
        <f t="shared" ref="BG252" ca="1" si="4351">COUNTIF($M$252,BF252)*$D$41</f>
        <v>0</v>
      </c>
      <c r="BH252" s="64"/>
      <c r="BI252" s="74" t="s">
        <v>291</v>
      </c>
      <c r="BJ252" s="73">
        <f t="shared" ref="BJ252" ca="1" si="4352">COUNTIF($M$252,BI252)*$D$41</f>
        <v>0</v>
      </c>
      <c r="BK252" s="64"/>
      <c r="BL252" s="74" t="s">
        <v>294</v>
      </c>
      <c r="BM252" s="73">
        <f t="shared" ref="BM252" ca="1" si="4353">COUNTIF($M$252,BL252)*$D$41</f>
        <v>0</v>
      </c>
      <c r="BN252" s="64"/>
      <c r="BO252" s="74" t="s">
        <v>295</v>
      </c>
      <c r="BP252" s="73">
        <f t="shared" ref="BP252" ca="1" si="4354">COUNTIF($M$252,BO252)*$D$41</f>
        <v>0</v>
      </c>
      <c r="BQ252" s="64"/>
      <c r="BR252" s="74" t="s">
        <v>295</v>
      </c>
      <c r="BS252" s="73">
        <f t="shared" ref="BS252" ca="1" si="4355">COUNTIF($M$252,BR252)*$D$41</f>
        <v>0</v>
      </c>
      <c r="BT252" s="64"/>
      <c r="BU252" s="74" t="s">
        <v>295</v>
      </c>
      <c r="BV252" s="73">
        <f t="shared" ref="BV252" ca="1" si="4356">COUNTIF($M$252,BU252)*$D$41</f>
        <v>0</v>
      </c>
      <c r="BW252" s="64"/>
      <c r="BX252" s="74" t="s">
        <v>297</v>
      </c>
      <c r="BY252" s="73">
        <f t="shared" ref="BY252" ca="1" si="4357">COUNTIF($M$252,BX252)*$D$41</f>
        <v>0</v>
      </c>
      <c r="BZ252" s="64"/>
      <c r="CA252" s="74" t="s">
        <v>294</v>
      </c>
      <c r="CB252" s="73">
        <f t="shared" ref="CB252" ca="1" si="4358">COUNTIF($M$252,CA252)*$D$41</f>
        <v>0</v>
      </c>
      <c r="CC252" s="64"/>
      <c r="CD252" s="74" t="s">
        <v>295</v>
      </c>
      <c r="CE252" s="73">
        <f t="shared" ref="CE252" ca="1" si="4359">COUNTIF($M$252,CD252)*$D$41</f>
        <v>0</v>
      </c>
      <c r="CF252" s="64"/>
      <c r="CG252" s="74" t="s">
        <v>292</v>
      </c>
      <c r="CH252" s="73">
        <f t="shared" ref="CH252" ca="1" si="4360">COUNTIF($M$252,CG252)*$D$41</f>
        <v>20</v>
      </c>
      <c r="CI252" s="64"/>
      <c r="CJ252" s="74" t="s">
        <v>295</v>
      </c>
      <c r="CK252" s="73">
        <f t="shared" ref="CK252" ca="1" si="4361">COUNTIF($M$252,CJ252)*$D$41</f>
        <v>0</v>
      </c>
      <c r="CL252" s="64"/>
      <c r="CM252" s="74" t="s">
        <v>292</v>
      </c>
      <c r="CN252" s="73">
        <f t="shared" ref="CN252" ca="1" si="4362">COUNTIF($M$252,CM252)*$D$41</f>
        <v>20</v>
      </c>
      <c r="CO252" s="64"/>
      <c r="CP252" s="74" t="s">
        <v>297</v>
      </c>
      <c r="CQ252" s="73">
        <f t="shared" ref="CQ252" ca="1" si="4363">COUNTIF($M$252,CP252)*$D$41</f>
        <v>0</v>
      </c>
      <c r="CR252" s="64"/>
      <c r="CS252" s="74" t="s">
        <v>295</v>
      </c>
      <c r="CT252" s="73">
        <f t="shared" ref="CT252" ca="1" si="4364">COUNTIF($M$252,CS252)*$D$41</f>
        <v>0</v>
      </c>
      <c r="CU252" s="64"/>
      <c r="CV252" s="74" t="s">
        <v>295</v>
      </c>
      <c r="CW252" s="73">
        <f t="shared" ref="CW252" ca="1" si="4365">COUNTIF($M$252,CV252)*$D$41</f>
        <v>0</v>
      </c>
      <c r="CX252" s="64"/>
      <c r="CY252" s="74" t="s">
        <v>1256</v>
      </c>
      <c r="CZ252" s="73">
        <f t="shared" ref="CZ252" ca="1" si="4366">COUNTIF($M$252,CY252)*$D$41</f>
        <v>0</v>
      </c>
      <c r="DA252" s="64"/>
      <c r="DB252" s="74" t="s">
        <v>295</v>
      </c>
      <c r="DC252" s="73">
        <f t="shared" ref="DC252" ca="1" si="4367">COUNTIF($M$252,DB252)*$D$41</f>
        <v>0</v>
      </c>
      <c r="DD252" s="64"/>
      <c r="DE252" s="74" t="s">
        <v>294</v>
      </c>
      <c r="DF252" s="73">
        <f t="shared" ref="DF252" ca="1" si="4368">COUNTIF($M$252,DE252)*$D$41</f>
        <v>0</v>
      </c>
      <c r="DG252" s="64"/>
      <c r="DH252" s="74" t="s">
        <v>295</v>
      </c>
      <c r="DI252" s="73">
        <f t="shared" ref="DI252" ca="1" si="4369">COUNTIF($M$252,DH252)*$D$41</f>
        <v>0</v>
      </c>
      <c r="DJ252" s="64"/>
      <c r="DK252" s="74" t="s">
        <v>294</v>
      </c>
      <c r="DL252" s="73">
        <f t="shared" ref="DL252" ca="1" si="4370">COUNTIF($M$252,DK252)*$D$41</f>
        <v>0</v>
      </c>
      <c r="DM252" s="64"/>
      <c r="DN252" s="74" t="s">
        <v>292</v>
      </c>
      <c r="DO252" s="73">
        <f t="shared" ref="DO252" ca="1" si="4371">COUNTIF($M$252,DN252)*$D$41</f>
        <v>20</v>
      </c>
      <c r="DP252" s="64"/>
      <c r="DQ252" s="74" t="s">
        <v>295</v>
      </c>
      <c r="DR252" s="73">
        <f t="shared" ref="DR252" ca="1" si="4372">COUNTIF($M$252,DQ252)*$D$41</f>
        <v>0</v>
      </c>
      <c r="DS252" s="64"/>
      <c r="DT252" s="74" t="s">
        <v>295</v>
      </c>
      <c r="DU252" s="73">
        <f t="shared" ref="DU252" ca="1" si="4373">COUNTIF($M$252,DT252)*$D$41</f>
        <v>0</v>
      </c>
      <c r="DV252" s="64"/>
      <c r="DW252" s="74" t="s">
        <v>294</v>
      </c>
      <c r="DX252" s="73">
        <f t="shared" ref="DX252" ca="1" si="4374">COUNTIF($M$252,DW252)*$D$41</f>
        <v>0</v>
      </c>
      <c r="DY252" s="64"/>
      <c r="DZ252" s="74" t="s">
        <v>1256</v>
      </c>
      <c r="EA252" s="73">
        <f t="shared" ref="EA252" ca="1" si="4375">COUNTIF($M$252,DZ252)*$D$41</f>
        <v>0</v>
      </c>
      <c r="EB252" s="64"/>
      <c r="EC252" s="74" t="s">
        <v>1274</v>
      </c>
      <c r="ED252" s="73">
        <f t="shared" ref="ED252" ca="1" si="4376">COUNTIF($M$252,EC252)*$D$41</f>
        <v>0</v>
      </c>
      <c r="EE252" s="64"/>
      <c r="EF252" s="74" t="s">
        <v>79</v>
      </c>
      <c r="EG252" s="73">
        <f t="shared" ref="EG252" ca="1" si="4377">COUNTIF($M$252,EF252)*$D$41</f>
        <v>0</v>
      </c>
      <c r="EH252" s="64"/>
      <c r="EI252" s="74" t="s">
        <v>292</v>
      </c>
      <c r="EJ252" s="73">
        <f t="shared" ref="EJ252" ca="1" si="4378">COUNTIF($M$252,EI252)*$D$41</f>
        <v>20</v>
      </c>
      <c r="EK252" s="64"/>
      <c r="EL252" s="74" t="s">
        <v>294</v>
      </c>
      <c r="EM252" s="73">
        <f t="shared" ref="EM252" ca="1" si="4379">COUNTIF($M$252,EL252)*$D$41</f>
        <v>0</v>
      </c>
      <c r="EN252" s="64"/>
      <c r="EO252" s="74" t="s">
        <v>295</v>
      </c>
      <c r="EP252" s="73">
        <f t="shared" ref="EP252" ca="1" si="4380">COUNTIF($M$252,EO252)*$D$41</f>
        <v>0</v>
      </c>
      <c r="EQ252" s="64"/>
      <c r="ER252" s="74" t="s">
        <v>294</v>
      </c>
      <c r="ES252" s="73">
        <f t="shared" ref="ES252" ca="1" si="4381">COUNTIF($M$252,ER252)*$D$41</f>
        <v>0</v>
      </c>
      <c r="ET252" s="64"/>
      <c r="EU252" s="74" t="s">
        <v>299</v>
      </c>
      <c r="EV252" s="73">
        <f t="shared" ref="EV252" ca="1" si="4382">COUNTIF($M$252,EU252)*$D$41</f>
        <v>0</v>
      </c>
      <c r="EW252" s="64"/>
      <c r="EX252" s="74" t="s">
        <v>295</v>
      </c>
      <c r="EY252" s="73">
        <f t="shared" ref="EY252" ca="1" si="4383">COUNTIF($M$252,EX252)*$D$41</f>
        <v>0</v>
      </c>
      <c r="EZ252" s="64"/>
      <c r="FA252" s="74" t="s">
        <v>79</v>
      </c>
      <c r="FB252" s="73">
        <f t="shared" ref="FB252" ca="1" si="4384">COUNTIF($M$252,FA252)*$D$41</f>
        <v>0</v>
      </c>
      <c r="FC252" s="64"/>
      <c r="FD252" s="74" t="s">
        <v>295</v>
      </c>
      <c r="FE252" s="73">
        <f t="shared" ref="FE252" ca="1" si="4385">COUNTIF($M$252,FD252)*$D$41</f>
        <v>0</v>
      </c>
      <c r="FF252" s="64"/>
      <c r="FG252" s="74" t="s">
        <v>79</v>
      </c>
      <c r="FH252" s="73">
        <f t="shared" ref="FH252" ca="1" si="4386">COUNTIF($M$252,FG252)*$D$41</f>
        <v>0</v>
      </c>
      <c r="FI252" s="64"/>
      <c r="FJ252" s="74" t="s">
        <v>294</v>
      </c>
      <c r="FK252" s="73">
        <f t="shared" ref="FK252" ca="1" si="4387">COUNTIF($M$252,FJ252)*$D$41</f>
        <v>0</v>
      </c>
      <c r="FL252" s="64"/>
      <c r="FM252" s="74" t="s">
        <v>295</v>
      </c>
      <c r="FN252" s="73">
        <f t="shared" ref="FN252" ca="1" si="4388">COUNTIF($M$252,FM252)*$D$41</f>
        <v>0</v>
      </c>
      <c r="FO252" s="64"/>
      <c r="FP252" s="74" t="s">
        <v>295</v>
      </c>
      <c r="FQ252" s="73">
        <f t="shared" ref="FQ252" ca="1" si="4389">COUNTIF($M$252,FP252)*$D$41</f>
        <v>0</v>
      </c>
      <c r="FR252" s="64"/>
      <c r="FS252" s="74" t="s">
        <v>1256</v>
      </c>
      <c r="FT252" s="73">
        <f t="shared" ref="FT252" ca="1" si="4390">COUNTIF($M$252,FS252)*$D$41</f>
        <v>0</v>
      </c>
      <c r="FU252" s="64"/>
      <c r="FV252" s="74" t="s">
        <v>291</v>
      </c>
      <c r="FW252" s="73">
        <f t="shared" ref="FW252" ca="1" si="4391">COUNTIF($M$252,FV252)*$D$41</f>
        <v>0</v>
      </c>
      <c r="FX252" s="64"/>
      <c r="FY252" s="74" t="s">
        <v>294</v>
      </c>
      <c r="FZ252" s="73">
        <f t="shared" ref="FZ252" ca="1" si="4392">COUNTIF($M$252,FY252)*$D$41</f>
        <v>0</v>
      </c>
      <c r="GA252" s="64"/>
      <c r="GB252" s="74" t="s">
        <v>294</v>
      </c>
      <c r="GC252" s="73">
        <f t="shared" ref="GC252" ca="1" si="4393">COUNTIF($M$252,GB252)*$D$41</f>
        <v>0</v>
      </c>
      <c r="GD252" s="64"/>
      <c r="GE252" s="74" t="s">
        <v>295</v>
      </c>
      <c r="GF252" s="73">
        <f t="shared" ref="GF252" ca="1" si="4394">COUNTIF($M$252,GE252)*$D$41</f>
        <v>0</v>
      </c>
      <c r="GG252" s="64"/>
      <c r="GH252" s="74" t="s">
        <v>79</v>
      </c>
      <c r="GI252" s="73">
        <f t="shared" ref="GI252" ca="1" si="4395">COUNTIF($M$252,GH252)*$D$41</f>
        <v>0</v>
      </c>
      <c r="GJ252" s="64"/>
      <c r="GK252" s="74" t="s">
        <v>295</v>
      </c>
      <c r="GL252" s="73">
        <f t="shared" ref="GL252" ca="1" si="4396">COUNTIF($M$252,GK252)*$D$41</f>
        <v>0</v>
      </c>
      <c r="GM252" s="64"/>
      <c r="GN252" s="74"/>
      <c r="GO252" s="73">
        <f t="shared" ref="GO252" ca="1" si="4397">COUNTIF($M$252,GN252)*$D$41</f>
        <v>0</v>
      </c>
      <c r="GP252" s="64"/>
      <c r="GQ252" s="74"/>
      <c r="GR252" s="73">
        <f t="shared" ref="GR252" ca="1" si="4398">COUNTIF($M$252,GQ252)*$D$41</f>
        <v>0</v>
      </c>
      <c r="GS252" s="64"/>
      <c r="GT252" s="74"/>
      <c r="GU252" s="73">
        <f t="shared" ref="GU252" ca="1" si="4399">COUNTIF($M$252,GT252)*$D$41</f>
        <v>0</v>
      </c>
      <c r="GV252" s="64"/>
      <c r="GW252" s="74"/>
      <c r="GX252" s="73">
        <f t="shared" ref="GX252" ca="1" si="4400">COUNTIF($M$252,GW252)*$D$41</f>
        <v>0</v>
      </c>
      <c r="GY252" s="64"/>
      <c r="GZ252" s="74"/>
      <c r="HA252" s="73">
        <f t="shared" ref="HA252" ca="1" si="4401">COUNTIF($M$252,GZ252)*$D$41</f>
        <v>0</v>
      </c>
      <c r="HB252" s="64"/>
      <c r="HC252" s="74"/>
      <c r="HD252" s="73">
        <f t="shared" ref="HD252" ca="1" si="4402">COUNTIF($M$252,HC252)*$D$41</f>
        <v>0</v>
      </c>
      <c r="HE252" s="64"/>
      <c r="HF252" s="74"/>
      <c r="HG252" s="73">
        <f t="shared" ref="HG252" ca="1" si="4403">COUNTIF($M$252,HF252)*$D$41</f>
        <v>0</v>
      </c>
      <c r="HH252" s="64"/>
      <c r="HI252" s="74"/>
      <c r="HJ252" s="73">
        <f t="shared" ref="HJ252" ca="1" si="4404">COUNTIF($M$252,HI252)*$D$41</f>
        <v>0</v>
      </c>
      <c r="HK252" s="64"/>
      <c r="HL252" s="74"/>
      <c r="HM252" s="73">
        <f t="shared" ref="HM252" ca="1" si="4405">COUNTIF($M$252,HL252)*$D$41</f>
        <v>0</v>
      </c>
      <c r="HN252" s="64"/>
      <c r="HO252" s="74"/>
      <c r="HP252" s="73">
        <f t="shared" ref="HP252" ca="1" si="4406">COUNTIF($M$252,HO252)*$D$41</f>
        <v>0</v>
      </c>
      <c r="HQ252" s="64"/>
      <c r="HR252" s="74"/>
      <c r="HS252" s="73">
        <f t="shared" ref="HS252" ca="1" si="4407">COUNTIF($M$252,HR252)*$D$41</f>
        <v>0</v>
      </c>
      <c r="HT252" s="64"/>
      <c r="HU252" s="74"/>
      <c r="HV252" s="73">
        <f t="shared" ref="HV252" ca="1" si="4408">COUNTIF($M$252,HU252)*$D$41</f>
        <v>0</v>
      </c>
      <c r="HW252" s="64"/>
      <c r="HX252" s="74"/>
      <c r="HY252" s="73">
        <f t="shared" ref="HY252" ca="1" si="4409">COUNTIF($M$252,HX252)*$D$41</f>
        <v>0</v>
      </c>
      <c r="HZ252" s="64"/>
      <c r="IA252" s="74"/>
      <c r="IB252" s="73">
        <f t="shared" ref="IB252" ca="1" si="4410">COUNTIF($M$252,IA252)*$D$41</f>
        <v>0</v>
      </c>
      <c r="IC252" s="64"/>
      <c r="ID252" s="74"/>
      <c r="IE252" s="73">
        <f t="shared" ref="IE252" ca="1" si="4411">COUNTIF($M$252,ID252)*$D$41</f>
        <v>0</v>
      </c>
      <c r="IF252" s="64"/>
      <c r="IG252" s="74"/>
      <c r="IH252" s="73">
        <f t="shared" ref="IH252" ca="1" si="4412">COUNTIF($M$252,IG252)*$D$41</f>
        <v>0</v>
      </c>
      <c r="II252" s="64"/>
      <c r="IJ252" s="74"/>
      <c r="IK252" s="73">
        <f t="shared" ref="IK252" ca="1" si="4413">COUNTIF($M$252,IJ252)*$D$41</f>
        <v>0</v>
      </c>
      <c r="IL252" s="64"/>
      <c r="IM252" s="74"/>
      <c r="IN252" s="73">
        <f t="shared" ref="IN252" ca="1" si="4414">COUNTIF($M$252,IM252)*$D$41</f>
        <v>0</v>
      </c>
      <c r="IO252" s="64"/>
      <c r="IP252" s="74"/>
      <c r="IQ252" s="73">
        <f t="shared" ref="IQ252" ca="1" si="4415">COUNTIF($M$252,IP252)*$D$41</f>
        <v>0</v>
      </c>
      <c r="IR252" s="64"/>
      <c r="IS252" s="74"/>
      <c r="IT252" s="73">
        <f t="shared" ref="IT252" ca="1" si="4416">COUNTIF($M$252,IS252)*$D$41</f>
        <v>0</v>
      </c>
      <c r="IU252" s="64"/>
      <c r="IV252" s="74"/>
      <c r="IW252" s="73">
        <f t="shared" ref="IW252" ca="1" si="4417">COUNTIF($M$252,IV252)*$D$41</f>
        <v>0</v>
      </c>
      <c r="IX252" s="64"/>
      <c r="IY252" s="74"/>
      <c r="IZ252" s="73">
        <f t="shared" ref="IZ252" ca="1" si="4418">COUNTIF($M$252,IY252)*$D$41</f>
        <v>0</v>
      </c>
      <c r="JA252" s="64"/>
      <c r="JB252" s="74"/>
      <c r="JC252" s="73">
        <f t="shared" ref="JC252" ca="1" si="4419">COUNTIF($M$252,JB252)*$D$41</f>
        <v>0</v>
      </c>
      <c r="JD252" s="64"/>
      <c r="JE252" s="74"/>
      <c r="JF252" s="73">
        <f t="shared" ref="JF252" ca="1" si="4420">COUNTIF($M$252,JE252)*$D$41</f>
        <v>0</v>
      </c>
      <c r="JG252" s="64"/>
      <c r="JH252" s="74"/>
      <c r="JI252" s="73">
        <f t="shared" ref="JI252" ca="1" si="4421">COUNTIF($M$252,JH252)*$D$41</f>
        <v>0</v>
      </c>
      <c r="JJ252" s="64"/>
      <c r="JK252" s="74"/>
      <c r="JL252" s="73">
        <f t="shared" ref="JL252" ca="1" si="4422">COUNTIF($M$252,JK252)*$D$41</f>
        <v>0</v>
      </c>
      <c r="JM252" s="64"/>
      <c r="JN252" s="74"/>
      <c r="JO252" s="73">
        <f t="shared" ref="JO252" ca="1" si="4423">COUNTIF($M$252,JN252)*$D$41</f>
        <v>0</v>
      </c>
      <c r="JP252" s="64"/>
      <c r="JQ252" s="74"/>
      <c r="JR252" s="73">
        <f t="shared" ref="JR252" ca="1" si="4424">COUNTIF($M$252,JQ252)*$D$41</f>
        <v>0</v>
      </c>
      <c r="JS252" s="64"/>
      <c r="JT252" s="74"/>
      <c r="JU252" s="73">
        <f t="shared" ref="JU252" ca="1" si="4425">COUNTIF($M$252,JT252)*$D$41</f>
        <v>0</v>
      </c>
      <c r="JV252" s="64"/>
      <c r="JW252" s="74"/>
      <c r="JX252" s="73">
        <f t="shared" ref="JX252" ca="1" si="4426">COUNTIF($M$252,JW252)*$D$41</f>
        <v>0</v>
      </c>
      <c r="JY252" s="64"/>
      <c r="JZ252" s="74"/>
      <c r="KA252" s="73">
        <f t="shared" ref="KA252" ca="1" si="4427">COUNTIF($M$252,JZ252)*$D$41</f>
        <v>0</v>
      </c>
      <c r="KB252" s="64"/>
      <c r="KC252" s="74"/>
      <c r="KD252" s="73">
        <f t="shared" ref="KD252" ca="1" si="4428">COUNTIF($M$252,KC252)*$D$41</f>
        <v>0</v>
      </c>
      <c r="KE252" s="64"/>
      <c r="KF252" s="74"/>
      <c r="KG252" s="73">
        <f t="shared" ref="KG252" ca="1" si="4429">COUNTIF($M$252,KF252)*$D$41</f>
        <v>0</v>
      </c>
      <c r="KH252" s="64"/>
      <c r="KI252" s="74"/>
      <c r="KJ252" s="73">
        <f t="shared" ref="KJ252" ca="1" si="4430">COUNTIF($M$252,KI252)*$D$41</f>
        <v>0</v>
      </c>
      <c r="KK252" s="64"/>
      <c r="KL252" s="74"/>
      <c r="KM252" s="73">
        <f t="shared" ref="KM252" ca="1" si="4431">COUNTIF($M$252,KL252)*$D$41</f>
        <v>0</v>
      </c>
      <c r="KN252" s="64"/>
      <c r="KO252" s="74"/>
      <c r="KP252" s="73">
        <f t="shared" ref="KP252" ca="1" si="4432">COUNTIF($M$252,KO252)*$D$41</f>
        <v>0</v>
      </c>
      <c r="KQ252" s="64"/>
      <c r="KR252" s="74"/>
      <c r="KS252" s="73">
        <f t="shared" ref="KS252" ca="1" si="4433">COUNTIF($M$252,KR252)*$D$41</f>
        <v>0</v>
      </c>
      <c r="KT252" s="64"/>
      <c r="KU252" s="74"/>
      <c r="KV252" s="73">
        <f t="shared" ref="KV252" ca="1" si="4434">COUNTIF($M$252,KU252)*$D$41</f>
        <v>0</v>
      </c>
      <c r="KW252" s="64"/>
      <c r="KX252" s="74"/>
      <c r="KY252" s="73">
        <f t="shared" ref="KY252" ca="1" si="4435">COUNTIF($M$252,KX252)*$D$41</f>
        <v>0</v>
      </c>
      <c r="KZ252" s="64"/>
      <c r="LA252" s="74"/>
      <c r="LB252" s="73">
        <f t="shared" ref="LB252" ca="1" si="4436">COUNTIF($M$252,LA252)*$D$41</f>
        <v>0</v>
      </c>
      <c r="LC252" s="64"/>
      <c r="LD252" s="74"/>
      <c r="LE252" s="73">
        <f t="shared" ref="LE252" ca="1" si="4437">COUNTIF($M$252,LD252)*$D$41</f>
        <v>0</v>
      </c>
      <c r="LF252" s="64"/>
      <c r="LG252" s="64"/>
    </row>
    <row r="253" spans="1:319" ht="16.149999999999999" customHeight="1">
      <c r="A253" s="17"/>
      <c r="B253" s="17"/>
      <c r="C253" s="17"/>
      <c r="D253" s="17"/>
      <c r="E253" s="89"/>
      <c r="F253" s="407">
        <f t="shared" si="4140"/>
        <v>20</v>
      </c>
      <c r="G253" s="407">
        <f ca="1">VLOOKUP(H253,Equipos!$Q$1:$R$25,2,0)</f>
        <v>24</v>
      </c>
      <c r="H253" s="65" t="str">
        <f>Idiomas!$D$264</f>
        <v>3-4 &amp; Final</v>
      </c>
      <c r="I253" s="50"/>
      <c r="J253" s="102"/>
      <c r="K253" s="56" t="str">
        <f>WORLDCUP!W154</f>
        <v>Golden Boot  (Top Scorer)</v>
      </c>
      <c r="L253" s="53"/>
      <c r="M253" s="55" t="str">
        <f>WORLDCUP!AA154</f>
        <v>Mbappé</v>
      </c>
      <c r="N253" s="25"/>
      <c r="O253" s="25"/>
      <c r="P253" s="25"/>
      <c r="Q253" s="25"/>
      <c r="R253" s="17"/>
      <c r="S253" s="74" t="s">
        <v>3014</v>
      </c>
      <c r="T253" s="73">
        <f>COUNTIF($M$253,S253)*$D$42</f>
        <v>20</v>
      </c>
      <c r="U253" s="64"/>
      <c r="V253" s="74" t="s">
        <v>2033</v>
      </c>
      <c r="W253" s="73">
        <f t="shared" ref="W253" si="4438">COUNTIF($M$253,V253)*$D$42</f>
        <v>0</v>
      </c>
      <c r="X253" s="64"/>
      <c r="Y253" s="74" t="s">
        <v>3014</v>
      </c>
      <c r="Z253" s="73">
        <f t="shared" ref="Z253" si="4439">COUNTIF($M$253,Y253)*$D$42</f>
        <v>20</v>
      </c>
      <c r="AA253" s="64"/>
      <c r="AB253" s="74" t="s">
        <v>3014</v>
      </c>
      <c r="AC253" s="73">
        <f t="shared" ref="AC253" si="4440">COUNTIF($M$253,AB253)*$D$42</f>
        <v>20</v>
      </c>
      <c r="AD253" s="64"/>
      <c r="AE253" s="74" t="s">
        <v>2067</v>
      </c>
      <c r="AF253" s="73">
        <f t="shared" ref="AF253" si="4441">COUNTIF($M$253,AE253)*$D$42</f>
        <v>0</v>
      </c>
      <c r="AG253" s="64"/>
      <c r="AH253" s="74" t="s">
        <v>3014</v>
      </c>
      <c r="AI253" s="73">
        <f t="shared" ref="AI253" si="4442">COUNTIF($M$253,AH253)*$D$42</f>
        <v>20</v>
      </c>
      <c r="AJ253" s="64"/>
      <c r="AK253" s="74" t="s">
        <v>3014</v>
      </c>
      <c r="AL253" s="73">
        <f t="shared" ref="AL253" si="4443">COUNTIF($M$253,AK253)*$D$42</f>
        <v>20</v>
      </c>
      <c r="AM253" s="64"/>
      <c r="AN253" s="74" t="s">
        <v>2220</v>
      </c>
      <c r="AO253" s="73">
        <f t="shared" ref="AO253" si="4444">COUNTIF($M$253,AN253)*$D$42</f>
        <v>0</v>
      </c>
      <c r="AP253" s="64"/>
      <c r="AQ253" s="74" t="s">
        <v>2247</v>
      </c>
      <c r="AR253" s="73">
        <f t="shared" ref="AR253" si="4445">COUNTIF($M$253,AQ253)*$D$42</f>
        <v>0</v>
      </c>
      <c r="AS253" s="64"/>
      <c r="AT253" s="74" t="s">
        <v>3014</v>
      </c>
      <c r="AU253" s="73">
        <f t="shared" ref="AU253" si="4446">COUNTIF($M$253,AT253)*$D$42</f>
        <v>20</v>
      </c>
      <c r="AV253" s="64"/>
      <c r="AW253" s="74" t="s">
        <v>2067</v>
      </c>
      <c r="AX253" s="73">
        <f t="shared" ref="AX253" si="4447">COUNTIF($M$253,AW253)*$D$42</f>
        <v>0</v>
      </c>
      <c r="AY253" s="64"/>
      <c r="AZ253" s="74" t="s">
        <v>3014</v>
      </c>
      <c r="BA253" s="73">
        <f t="shared" ref="BA253" si="4448">COUNTIF($M$253,AZ253)*$D$42</f>
        <v>20</v>
      </c>
      <c r="BB253" s="64"/>
      <c r="BC253" s="74" t="s">
        <v>2067</v>
      </c>
      <c r="BD253" s="73">
        <f t="shared" ref="BD253" si="4449">COUNTIF($M$253,BC253)*$D$42</f>
        <v>0</v>
      </c>
      <c r="BE253" s="64"/>
      <c r="BF253" s="74" t="s">
        <v>3014</v>
      </c>
      <c r="BG253" s="73">
        <f t="shared" ref="BG253" si="4450">COUNTIF($M$253,BF253)*$D$42</f>
        <v>20</v>
      </c>
      <c r="BH253" s="64"/>
      <c r="BI253" s="74" t="s">
        <v>2399</v>
      </c>
      <c r="BJ253" s="73">
        <f t="shared" ref="BJ253" si="4451">COUNTIF($M$253,BI253)*$D$42</f>
        <v>0</v>
      </c>
      <c r="BK253" s="64"/>
      <c r="BL253" s="74" t="s">
        <v>3014</v>
      </c>
      <c r="BM253" s="73">
        <f t="shared" ref="BM253" si="4452">COUNTIF($M$253,BL253)*$D$42</f>
        <v>20</v>
      </c>
      <c r="BN253" s="64"/>
      <c r="BO253" s="74" t="s">
        <v>2102</v>
      </c>
      <c r="BP253" s="73">
        <f t="shared" ref="BP253" si="4453">COUNTIF($M$253,BO253)*$D$42</f>
        <v>0</v>
      </c>
      <c r="BQ253" s="64"/>
      <c r="BR253" s="74" t="s">
        <v>2102</v>
      </c>
      <c r="BS253" s="73">
        <f t="shared" ref="BS253" si="4454">COUNTIF($M$253,BR253)*$D$42</f>
        <v>0</v>
      </c>
      <c r="BT253" s="64"/>
      <c r="BU253" s="74" t="s">
        <v>2102</v>
      </c>
      <c r="BV253" s="73">
        <f t="shared" ref="BV253" si="4455">COUNTIF($M$253,BU253)*$D$42</f>
        <v>0</v>
      </c>
      <c r="BW253" s="64"/>
      <c r="BX253" s="74" t="s">
        <v>3014</v>
      </c>
      <c r="BY253" s="73">
        <f t="shared" ref="BY253" si="4456">COUNTIF($M$253,BX253)*$D$42</f>
        <v>20</v>
      </c>
      <c r="BZ253" s="64"/>
      <c r="CA253" s="74" t="s">
        <v>2248</v>
      </c>
      <c r="CB253" s="73">
        <f t="shared" ref="CB253" si="4457">COUNTIF($M$253,CA253)*$D$42</f>
        <v>0</v>
      </c>
      <c r="CC253" s="64"/>
      <c r="CD253" s="74" t="s">
        <v>3014</v>
      </c>
      <c r="CE253" s="73">
        <f t="shared" ref="CE253" si="4458">COUNTIF($M$253,CD253)*$D$42</f>
        <v>20</v>
      </c>
      <c r="CF253" s="64"/>
      <c r="CG253" s="74" t="s">
        <v>3014</v>
      </c>
      <c r="CH253" s="73">
        <f t="shared" ref="CH253" si="4459">COUNTIF($M$253,CG253)*$D$42</f>
        <v>20</v>
      </c>
      <c r="CI253" s="64"/>
      <c r="CJ253" s="74" t="s">
        <v>1994</v>
      </c>
      <c r="CK253" s="73">
        <f t="shared" ref="CK253" si="4460">COUNTIF($M$253,CJ253)*$D$42</f>
        <v>0</v>
      </c>
      <c r="CL253" s="64"/>
      <c r="CM253" s="74" t="s">
        <v>2067</v>
      </c>
      <c r="CN253" s="73">
        <f t="shared" ref="CN253" si="4461">COUNTIF($M$253,CM253)*$D$42</f>
        <v>0</v>
      </c>
      <c r="CO253" s="64"/>
      <c r="CP253" s="74" t="s">
        <v>3014</v>
      </c>
      <c r="CQ253" s="73">
        <f t="shared" ref="CQ253" si="4462">COUNTIF($M$253,CP253)*$D$42</f>
        <v>20</v>
      </c>
      <c r="CR253" s="64"/>
      <c r="CS253" s="74" t="s">
        <v>2160</v>
      </c>
      <c r="CT253" s="73">
        <f t="shared" ref="CT253" si="4463">COUNTIF($M$253,CS253)*$D$42</f>
        <v>0</v>
      </c>
      <c r="CU253" s="64"/>
      <c r="CV253" s="74" t="s">
        <v>2655</v>
      </c>
      <c r="CW253" s="73">
        <f t="shared" ref="CW253" si="4464">COUNTIF($M$253,CV253)*$D$42</f>
        <v>0</v>
      </c>
      <c r="CX253" s="64"/>
      <c r="CY253" s="74" t="s">
        <v>2691</v>
      </c>
      <c r="CZ253" s="73">
        <f t="shared" ref="CZ253" si="4465">COUNTIF($M$253,CY253)*$D$42</f>
        <v>0</v>
      </c>
      <c r="DA253" s="64"/>
      <c r="DB253" s="74" t="s">
        <v>3014</v>
      </c>
      <c r="DC253" s="73">
        <f t="shared" ref="DC253" si="4466">COUNTIF($M$253,DB253)*$D$42</f>
        <v>20</v>
      </c>
      <c r="DD253" s="64"/>
      <c r="DE253" s="74" t="s">
        <v>3014</v>
      </c>
      <c r="DF253" s="73">
        <f t="shared" ref="DF253" si="4467">COUNTIF($M$253,DE253)*$D$42</f>
        <v>20</v>
      </c>
      <c r="DG253" s="64"/>
      <c r="DH253" s="74" t="s">
        <v>3014</v>
      </c>
      <c r="DI253" s="73">
        <f t="shared" ref="DI253" si="4468">COUNTIF($M$253,DH253)*$D$42</f>
        <v>20</v>
      </c>
      <c r="DJ253" s="64"/>
      <c r="DK253" s="74" t="s">
        <v>3014</v>
      </c>
      <c r="DL253" s="73">
        <f t="shared" ref="DL253" si="4469">COUNTIF($M$253,DK253)*$D$42</f>
        <v>20</v>
      </c>
      <c r="DM253" s="64"/>
      <c r="DN253" s="74" t="s">
        <v>2774</v>
      </c>
      <c r="DO253" s="73">
        <f t="shared" ref="DO253" si="4470">COUNTIF($M$253,DN253)*$D$42</f>
        <v>0</v>
      </c>
      <c r="DP253" s="64"/>
      <c r="DQ253" s="74" t="s">
        <v>3014</v>
      </c>
      <c r="DR253" s="73">
        <f t="shared" ref="DR253" si="4471">COUNTIF($M$253,DQ253)*$D$42</f>
        <v>20</v>
      </c>
      <c r="DS253" s="64"/>
      <c r="DT253" s="74" t="s">
        <v>2442</v>
      </c>
      <c r="DU253" s="73">
        <f t="shared" ref="DU253" si="4472">COUNTIF($M$253,DT253)*$D$42</f>
        <v>0</v>
      </c>
      <c r="DV253" s="64"/>
      <c r="DW253" s="74" t="s">
        <v>2035</v>
      </c>
      <c r="DX253" s="73">
        <f t="shared" ref="DX253" si="4473">COUNTIF($M$253,DW253)*$D$42</f>
        <v>0</v>
      </c>
      <c r="DY253" s="64"/>
      <c r="DZ253" s="74" t="s">
        <v>3014</v>
      </c>
      <c r="EA253" s="73">
        <f t="shared" ref="EA253" si="4474">COUNTIF($M$253,DZ253)*$D$42</f>
        <v>20</v>
      </c>
      <c r="EB253" s="64"/>
      <c r="EC253" s="74" t="s">
        <v>3014</v>
      </c>
      <c r="ED253" s="73">
        <f t="shared" ref="ED253" si="4475">COUNTIF($M$253,EC253)*$D$42</f>
        <v>20</v>
      </c>
      <c r="EE253" s="64"/>
      <c r="EF253" s="74" t="s">
        <v>2852</v>
      </c>
      <c r="EG253" s="73">
        <f t="shared" ref="EG253" si="4476">COUNTIF($M$253,EF253)*$D$42</f>
        <v>0</v>
      </c>
      <c r="EH253" s="64"/>
      <c r="EI253" s="74" t="s">
        <v>3014</v>
      </c>
      <c r="EJ253" s="73">
        <f t="shared" ref="EJ253" si="4477">COUNTIF($M$253,EI253)*$D$42</f>
        <v>20</v>
      </c>
      <c r="EK253" s="64"/>
      <c r="EL253" s="74" t="s">
        <v>3014</v>
      </c>
      <c r="EM253" s="73">
        <f t="shared" ref="EM253" si="4478">COUNTIF($M$253,EL253)*$D$42</f>
        <v>20</v>
      </c>
      <c r="EN253" s="64"/>
      <c r="EO253" s="74" t="s">
        <v>3014</v>
      </c>
      <c r="EP253" s="73">
        <f t="shared" ref="EP253" si="4479">COUNTIF($M$253,EO253)*$D$42</f>
        <v>20</v>
      </c>
      <c r="EQ253" s="64"/>
      <c r="ER253" s="74" t="s">
        <v>2067</v>
      </c>
      <c r="ES253" s="73">
        <f t="shared" ref="ES253" si="4480">COUNTIF($M$253,ER253)*$D$42</f>
        <v>0</v>
      </c>
      <c r="ET253" s="64"/>
      <c r="EU253" s="74" t="s">
        <v>2914</v>
      </c>
      <c r="EV253" s="73">
        <f t="shared" ref="EV253" si="4481">COUNTIF($M$253,EU253)*$D$42</f>
        <v>0</v>
      </c>
      <c r="EW253" s="64"/>
      <c r="EX253" s="74" t="s">
        <v>2476</v>
      </c>
      <c r="EY253" s="73">
        <f t="shared" ref="EY253" si="4482">COUNTIF($M$253,EX253)*$D$42</f>
        <v>0</v>
      </c>
      <c r="EZ253" s="64"/>
      <c r="FA253" s="74" t="s">
        <v>3014</v>
      </c>
      <c r="FB253" s="73">
        <f t="shared" ref="FB253" si="4483">COUNTIF($M$253,FA253)*$D$42</f>
        <v>20</v>
      </c>
      <c r="FC253" s="64"/>
      <c r="FD253" s="74" t="s">
        <v>2946</v>
      </c>
      <c r="FE253" s="73">
        <f t="shared" ref="FE253" si="4484">COUNTIF($M$253,FD253)*$D$42</f>
        <v>0</v>
      </c>
      <c r="FF253" s="64"/>
      <c r="FG253" s="74" t="s">
        <v>3014</v>
      </c>
      <c r="FH253" s="73">
        <f t="shared" ref="FH253" si="4485">COUNTIF($M$253,FG253)*$D$42</f>
        <v>20</v>
      </c>
      <c r="FI253" s="64"/>
      <c r="FJ253" s="74" t="s">
        <v>3014</v>
      </c>
      <c r="FK253" s="73">
        <f t="shared" ref="FK253" si="4486">COUNTIF($M$253,FJ253)*$D$42</f>
        <v>20</v>
      </c>
      <c r="FL253" s="64"/>
      <c r="FM253" s="74" t="s">
        <v>3014</v>
      </c>
      <c r="FN253" s="73">
        <f t="shared" ref="FN253" si="4487">COUNTIF($M$253,FM253)*$D$42</f>
        <v>20</v>
      </c>
      <c r="FO253" s="64"/>
      <c r="FP253" s="74" t="s">
        <v>2528</v>
      </c>
      <c r="FQ253" s="73">
        <f t="shared" ref="FQ253" si="4488">COUNTIF($M$253,FP253)*$D$42</f>
        <v>0</v>
      </c>
      <c r="FR253" s="64"/>
      <c r="FS253" s="74" t="s">
        <v>3014</v>
      </c>
      <c r="FT253" s="73">
        <f t="shared" ref="FT253" si="4489">COUNTIF($M$253,FS253)*$D$42</f>
        <v>20</v>
      </c>
      <c r="FU253" s="64"/>
      <c r="FV253" s="74" t="s">
        <v>2345</v>
      </c>
      <c r="FW253" s="73">
        <f t="shared" ref="FW253" si="4490">COUNTIF($M$253,FV253)*$D$42</f>
        <v>0</v>
      </c>
      <c r="FX253" s="64"/>
      <c r="FY253" s="74" t="s">
        <v>3014</v>
      </c>
      <c r="FZ253" s="73">
        <f t="shared" ref="FZ253" si="4491">COUNTIF($M$253,FY253)*$D$42</f>
        <v>20</v>
      </c>
      <c r="GA253" s="64"/>
      <c r="GB253" s="74" t="s">
        <v>3027</v>
      </c>
      <c r="GC253" s="73">
        <f t="shared" ref="GC253" si="4492">COUNTIF($M$253,GB253)*$D$42</f>
        <v>0</v>
      </c>
      <c r="GD253" s="64"/>
      <c r="GE253" s="74" t="s">
        <v>2345</v>
      </c>
      <c r="GF253" s="73">
        <f t="shared" ref="GF253" si="4493">COUNTIF($M$253,GE253)*$D$42</f>
        <v>0</v>
      </c>
      <c r="GG253" s="64"/>
      <c r="GH253" s="74" t="s">
        <v>3014</v>
      </c>
      <c r="GI253" s="73">
        <f t="shared" ref="GI253" si="4494">COUNTIF($M$253,GH253)*$D$42</f>
        <v>20</v>
      </c>
      <c r="GJ253" s="64"/>
      <c r="GK253" s="74" t="s">
        <v>2067</v>
      </c>
      <c r="GL253" s="73">
        <f t="shared" ref="GL253" si="4495">COUNTIF($M$253,GK253)*$D$42</f>
        <v>0</v>
      </c>
      <c r="GM253" s="64"/>
      <c r="GN253" s="74" t="str">
        <f>Idiomas!$D$373</f>
        <v>Paste Values Honor Box</v>
      </c>
      <c r="GO253" s="73">
        <f t="shared" ref="GO253" si="4496">COUNTIF($M$253,GN253)*$D$42</f>
        <v>0</v>
      </c>
      <c r="GP253" s="64"/>
      <c r="GQ253" s="74" t="str">
        <f>Idiomas!$D$373</f>
        <v>Paste Values Honor Box</v>
      </c>
      <c r="GR253" s="73">
        <f t="shared" ref="GR253" si="4497">COUNTIF($M$253,GQ253)*$D$42</f>
        <v>0</v>
      </c>
      <c r="GS253" s="64"/>
      <c r="GT253" s="74" t="str">
        <f>Idiomas!$D$373</f>
        <v>Paste Values Honor Box</v>
      </c>
      <c r="GU253" s="73">
        <f t="shared" ref="GU253" si="4498">COUNTIF($M$253,GT253)*$D$42</f>
        <v>0</v>
      </c>
      <c r="GV253" s="64"/>
      <c r="GW253" s="74" t="str">
        <f>Idiomas!$D$373</f>
        <v>Paste Values Honor Box</v>
      </c>
      <c r="GX253" s="73">
        <f t="shared" ref="GX253" si="4499">COUNTIF($M$253,GW253)*$D$42</f>
        <v>0</v>
      </c>
      <c r="GY253" s="64"/>
      <c r="GZ253" s="74" t="str">
        <f>Idiomas!$D$373</f>
        <v>Paste Values Honor Box</v>
      </c>
      <c r="HA253" s="73">
        <f t="shared" ref="HA253" si="4500">COUNTIF($M$253,GZ253)*$D$42</f>
        <v>0</v>
      </c>
      <c r="HB253" s="64"/>
      <c r="HC253" s="74" t="str">
        <f>Idiomas!$D$373</f>
        <v>Paste Values Honor Box</v>
      </c>
      <c r="HD253" s="73">
        <f t="shared" ref="HD253" si="4501">COUNTIF($M$253,HC253)*$D$42</f>
        <v>0</v>
      </c>
      <c r="HE253" s="64"/>
      <c r="HF253" s="74" t="str">
        <f>Idiomas!$D$373</f>
        <v>Paste Values Honor Box</v>
      </c>
      <c r="HG253" s="73">
        <f t="shared" ref="HG253" si="4502">COUNTIF($M$253,HF253)*$D$42</f>
        <v>0</v>
      </c>
      <c r="HH253" s="64"/>
      <c r="HI253" s="74" t="str">
        <f>Idiomas!$D$373</f>
        <v>Paste Values Honor Box</v>
      </c>
      <c r="HJ253" s="73">
        <f t="shared" ref="HJ253" si="4503">COUNTIF($M$253,HI253)*$D$42</f>
        <v>0</v>
      </c>
      <c r="HK253" s="64"/>
      <c r="HL253" s="74" t="str">
        <f>Idiomas!$D$373</f>
        <v>Paste Values Honor Box</v>
      </c>
      <c r="HM253" s="73">
        <f t="shared" ref="HM253" si="4504">COUNTIF($M$253,HL253)*$D$42</f>
        <v>0</v>
      </c>
      <c r="HN253" s="64"/>
      <c r="HO253" s="74" t="str">
        <f>Idiomas!$D$373</f>
        <v>Paste Values Honor Box</v>
      </c>
      <c r="HP253" s="73">
        <f t="shared" ref="HP253" si="4505">COUNTIF($M$253,HO253)*$D$42</f>
        <v>0</v>
      </c>
      <c r="HQ253" s="64"/>
      <c r="HR253" s="74" t="str">
        <f>Idiomas!$D$373</f>
        <v>Paste Values Honor Box</v>
      </c>
      <c r="HS253" s="73">
        <f t="shared" ref="HS253" si="4506">COUNTIF($M$253,HR253)*$D$42</f>
        <v>0</v>
      </c>
      <c r="HT253" s="64"/>
      <c r="HU253" s="74" t="str">
        <f>Idiomas!$D$373</f>
        <v>Paste Values Honor Box</v>
      </c>
      <c r="HV253" s="73">
        <f t="shared" ref="HV253" si="4507">COUNTIF($M$253,HU253)*$D$42</f>
        <v>0</v>
      </c>
      <c r="HW253" s="64"/>
      <c r="HX253" s="74" t="str">
        <f>Idiomas!$D$373</f>
        <v>Paste Values Honor Box</v>
      </c>
      <c r="HY253" s="73">
        <f t="shared" ref="HY253" si="4508">COUNTIF($M$253,HX253)*$D$42</f>
        <v>0</v>
      </c>
      <c r="HZ253" s="64"/>
      <c r="IA253" s="74" t="str">
        <f>Idiomas!$D$373</f>
        <v>Paste Values Honor Box</v>
      </c>
      <c r="IB253" s="73">
        <f t="shared" ref="IB253" si="4509">COUNTIF($M$253,IA253)*$D$42</f>
        <v>0</v>
      </c>
      <c r="IC253" s="64"/>
      <c r="ID253" s="74" t="str">
        <f>Idiomas!$D$373</f>
        <v>Paste Values Honor Box</v>
      </c>
      <c r="IE253" s="73">
        <f t="shared" ref="IE253" si="4510">COUNTIF($M$253,ID253)*$D$42</f>
        <v>0</v>
      </c>
      <c r="IF253" s="64"/>
      <c r="IG253" s="74" t="str">
        <f>Idiomas!$D$373</f>
        <v>Paste Values Honor Box</v>
      </c>
      <c r="IH253" s="73">
        <f t="shared" ref="IH253" si="4511">COUNTIF($M$253,IG253)*$D$42</f>
        <v>0</v>
      </c>
      <c r="II253" s="64"/>
      <c r="IJ253" s="74" t="str">
        <f>Idiomas!$D$373</f>
        <v>Paste Values Honor Box</v>
      </c>
      <c r="IK253" s="73">
        <f t="shared" ref="IK253" si="4512">COUNTIF($M$253,IJ253)*$D$42</f>
        <v>0</v>
      </c>
      <c r="IL253" s="64"/>
      <c r="IM253" s="74" t="str">
        <f>Idiomas!$D$373</f>
        <v>Paste Values Honor Box</v>
      </c>
      <c r="IN253" s="73">
        <f t="shared" ref="IN253" si="4513">COUNTIF($M$253,IM253)*$D$42</f>
        <v>0</v>
      </c>
      <c r="IO253" s="64"/>
      <c r="IP253" s="74" t="str">
        <f>Idiomas!$D$373</f>
        <v>Paste Values Honor Box</v>
      </c>
      <c r="IQ253" s="73">
        <f t="shared" ref="IQ253" si="4514">COUNTIF($M$253,IP253)*$D$42</f>
        <v>0</v>
      </c>
      <c r="IR253" s="64"/>
      <c r="IS253" s="74" t="str">
        <f>Idiomas!$D$373</f>
        <v>Paste Values Honor Box</v>
      </c>
      <c r="IT253" s="73">
        <f t="shared" ref="IT253" si="4515">COUNTIF($M$253,IS253)*$D$42</f>
        <v>0</v>
      </c>
      <c r="IU253" s="64"/>
      <c r="IV253" s="74" t="str">
        <f>Idiomas!$D$373</f>
        <v>Paste Values Honor Box</v>
      </c>
      <c r="IW253" s="73">
        <f t="shared" ref="IW253" si="4516">COUNTIF($M$253,IV253)*$D$42</f>
        <v>0</v>
      </c>
      <c r="IX253" s="64"/>
      <c r="IY253" s="74" t="str">
        <f>Idiomas!$D$373</f>
        <v>Paste Values Honor Box</v>
      </c>
      <c r="IZ253" s="73">
        <f t="shared" ref="IZ253" si="4517">COUNTIF($M$253,IY253)*$D$42</f>
        <v>0</v>
      </c>
      <c r="JA253" s="64"/>
      <c r="JB253" s="74" t="str">
        <f>Idiomas!$D$373</f>
        <v>Paste Values Honor Box</v>
      </c>
      <c r="JC253" s="73">
        <f t="shared" ref="JC253" si="4518">COUNTIF($M$253,JB253)*$D$42</f>
        <v>0</v>
      </c>
      <c r="JD253" s="64"/>
      <c r="JE253" s="74" t="str">
        <f>Idiomas!$D$373</f>
        <v>Paste Values Honor Box</v>
      </c>
      <c r="JF253" s="73">
        <f t="shared" ref="JF253" si="4519">COUNTIF($M$253,JE253)*$D$42</f>
        <v>0</v>
      </c>
      <c r="JG253" s="64"/>
      <c r="JH253" s="74" t="str">
        <f>Idiomas!$D$373</f>
        <v>Paste Values Honor Box</v>
      </c>
      <c r="JI253" s="73">
        <f t="shared" ref="JI253" si="4520">COUNTIF($M$253,JH253)*$D$42</f>
        <v>0</v>
      </c>
      <c r="JJ253" s="64"/>
      <c r="JK253" s="74" t="str">
        <f>Idiomas!$D$373</f>
        <v>Paste Values Honor Box</v>
      </c>
      <c r="JL253" s="73">
        <f t="shared" ref="JL253" si="4521">COUNTIF($M$253,JK253)*$D$42</f>
        <v>0</v>
      </c>
      <c r="JM253" s="64"/>
      <c r="JN253" s="74" t="str">
        <f>Idiomas!$D$373</f>
        <v>Paste Values Honor Box</v>
      </c>
      <c r="JO253" s="73">
        <f t="shared" ref="JO253" si="4522">COUNTIF($M$253,JN253)*$D$42</f>
        <v>0</v>
      </c>
      <c r="JP253" s="64"/>
      <c r="JQ253" s="74" t="str">
        <f>Idiomas!$D$373</f>
        <v>Paste Values Honor Box</v>
      </c>
      <c r="JR253" s="73">
        <f t="shared" ref="JR253" si="4523">COUNTIF($M$253,JQ253)*$D$42</f>
        <v>0</v>
      </c>
      <c r="JS253" s="64"/>
      <c r="JT253" s="74" t="str">
        <f>Idiomas!$D$373</f>
        <v>Paste Values Honor Box</v>
      </c>
      <c r="JU253" s="73">
        <f t="shared" ref="JU253" si="4524">COUNTIF($M$253,JT253)*$D$42</f>
        <v>0</v>
      </c>
      <c r="JV253" s="64"/>
      <c r="JW253" s="74" t="str">
        <f>Idiomas!$D$373</f>
        <v>Paste Values Honor Box</v>
      </c>
      <c r="JX253" s="73">
        <f t="shared" ref="JX253" si="4525">COUNTIF($M$253,JW253)*$D$42</f>
        <v>0</v>
      </c>
      <c r="JY253" s="64"/>
      <c r="JZ253" s="74" t="str">
        <f>Idiomas!$D$373</f>
        <v>Paste Values Honor Box</v>
      </c>
      <c r="KA253" s="73">
        <f t="shared" ref="KA253" si="4526">COUNTIF($M$253,JZ253)*$D$42</f>
        <v>0</v>
      </c>
      <c r="KB253" s="64"/>
      <c r="KC253" s="74" t="str">
        <f>Idiomas!$D$373</f>
        <v>Paste Values Honor Box</v>
      </c>
      <c r="KD253" s="73">
        <f t="shared" ref="KD253" si="4527">COUNTIF($M$253,KC253)*$D$42</f>
        <v>0</v>
      </c>
      <c r="KE253" s="64"/>
      <c r="KF253" s="74" t="str">
        <f>Idiomas!$D$373</f>
        <v>Paste Values Honor Box</v>
      </c>
      <c r="KG253" s="73">
        <f t="shared" ref="KG253" si="4528">COUNTIF($M$253,KF253)*$D$42</f>
        <v>0</v>
      </c>
      <c r="KH253" s="64"/>
      <c r="KI253" s="74" t="str">
        <f>Idiomas!$D$373</f>
        <v>Paste Values Honor Box</v>
      </c>
      <c r="KJ253" s="73">
        <f t="shared" ref="KJ253" si="4529">COUNTIF($M$253,KI253)*$D$42</f>
        <v>0</v>
      </c>
      <c r="KK253" s="64"/>
      <c r="KL253" s="74" t="str">
        <f>Idiomas!$D$373</f>
        <v>Paste Values Honor Box</v>
      </c>
      <c r="KM253" s="73">
        <f t="shared" ref="KM253" si="4530">COUNTIF($M$253,KL253)*$D$42</f>
        <v>0</v>
      </c>
      <c r="KN253" s="64"/>
      <c r="KO253" s="74" t="str">
        <f>Idiomas!$D$373</f>
        <v>Paste Values Honor Box</v>
      </c>
      <c r="KP253" s="73">
        <f t="shared" ref="KP253" si="4531">COUNTIF($M$253,KO253)*$D$42</f>
        <v>0</v>
      </c>
      <c r="KQ253" s="64"/>
      <c r="KR253" s="74" t="str">
        <f>Idiomas!$D$373</f>
        <v>Paste Values Honor Box</v>
      </c>
      <c r="KS253" s="73">
        <f t="shared" ref="KS253" si="4532">COUNTIF($M$253,KR253)*$D$42</f>
        <v>0</v>
      </c>
      <c r="KT253" s="64"/>
      <c r="KU253" s="74" t="str">
        <f>Idiomas!$D$373</f>
        <v>Paste Values Honor Box</v>
      </c>
      <c r="KV253" s="73">
        <f t="shared" ref="KV253" si="4533">COUNTIF($M$253,KU253)*$D$42</f>
        <v>0</v>
      </c>
      <c r="KW253" s="64"/>
      <c r="KX253" s="74" t="str">
        <f>Idiomas!$D$373</f>
        <v>Paste Values Honor Box</v>
      </c>
      <c r="KY253" s="73">
        <f t="shared" ref="KY253" si="4534">COUNTIF($M$253,KX253)*$D$42</f>
        <v>0</v>
      </c>
      <c r="KZ253" s="64"/>
      <c r="LA253" s="74" t="str">
        <f>Idiomas!$D$373</f>
        <v>Paste Values Honor Box</v>
      </c>
      <c r="LB253" s="73">
        <f t="shared" ref="LB253" si="4535">COUNTIF($M$253,LA253)*$D$42</f>
        <v>0</v>
      </c>
      <c r="LC253" s="64"/>
      <c r="LD253" s="74" t="str">
        <f>Idiomas!$D$373</f>
        <v>Paste Values Honor Box</v>
      </c>
      <c r="LE253" s="73">
        <f t="shared" ref="LE253" si="4536">COUNTIF($M$253,LD253)*$D$42</f>
        <v>0</v>
      </c>
      <c r="LF253" s="64"/>
      <c r="LG253" s="64"/>
    </row>
    <row r="254" spans="1:319" ht="16.149999999999999" customHeight="1">
      <c r="A254" s="17"/>
      <c r="B254" s="17"/>
      <c r="C254" s="17"/>
      <c r="D254" s="17"/>
      <c r="E254" s="89"/>
      <c r="F254" s="407">
        <f t="shared" si="4140"/>
        <v>10</v>
      </c>
      <c r="G254" s="407">
        <f ca="1">VLOOKUP(H254,Equipos!$Q$1:$R$25,2,0)</f>
        <v>24</v>
      </c>
      <c r="H254" s="65" t="str">
        <f>Idiomas!$D$264</f>
        <v>3-4 &amp; Final</v>
      </c>
      <c r="I254" s="50"/>
      <c r="J254" s="103"/>
      <c r="K254" s="56" t="str">
        <f>WORLDCUP!W155</f>
        <v>Silver Boot  (2nd Top Scorer)</v>
      </c>
      <c r="L254" s="53"/>
      <c r="M254" s="55" t="str">
        <f>WORLDCUP!AA155</f>
        <v>Messi</v>
      </c>
      <c r="N254" s="25"/>
      <c r="O254" s="25"/>
      <c r="P254" s="25"/>
      <c r="Q254" s="25"/>
      <c r="R254" s="17"/>
      <c r="S254" s="74" t="s">
        <v>1994</v>
      </c>
      <c r="T254" s="73">
        <f>COUNTIF($M$254,S254)*$D$43</f>
        <v>0</v>
      </c>
      <c r="U254" s="64"/>
      <c r="V254" s="74" t="s">
        <v>2034</v>
      </c>
      <c r="W254" s="73">
        <f t="shared" ref="W254" si="4537">COUNTIF($M$254,V254)*$D$43</f>
        <v>0</v>
      </c>
      <c r="X254" s="64"/>
      <c r="Y254" s="74" t="s">
        <v>2067</v>
      </c>
      <c r="Z254" s="73">
        <f t="shared" ref="Z254" si="4538">COUNTIF($M$254,Y254)*$D$43</f>
        <v>0</v>
      </c>
      <c r="AA254" s="64"/>
      <c r="AB254" s="74" t="s">
        <v>2102</v>
      </c>
      <c r="AC254" s="73">
        <f t="shared" ref="AC254" si="4539">COUNTIF($M$254,AB254)*$D$43</f>
        <v>0</v>
      </c>
      <c r="AD254" s="64"/>
      <c r="AE254" s="74" t="s">
        <v>2034</v>
      </c>
      <c r="AF254" s="73">
        <f t="shared" ref="AF254" si="4540">COUNTIF($M$254,AE254)*$D$43</f>
        <v>0</v>
      </c>
      <c r="AG254" s="64"/>
      <c r="AH254" s="74" t="s">
        <v>2067</v>
      </c>
      <c r="AI254" s="73">
        <f t="shared" ref="AI254" si="4541">COUNTIF($M$254,AH254)*$D$43</f>
        <v>0</v>
      </c>
      <c r="AJ254" s="64"/>
      <c r="AK254" s="74" t="s">
        <v>2067</v>
      </c>
      <c r="AL254" s="73">
        <f t="shared" ref="AL254" si="4542">COUNTIF($M$254,AK254)*$D$43</f>
        <v>0</v>
      </c>
      <c r="AM254" s="64"/>
      <c r="AN254" s="74" t="s">
        <v>2221</v>
      </c>
      <c r="AO254" s="73">
        <f t="shared" ref="AO254" si="4543">COUNTIF($M$254,AN254)*$D$43</f>
        <v>0</v>
      </c>
      <c r="AP254" s="64"/>
      <c r="AQ254" s="74" t="s">
        <v>2101</v>
      </c>
      <c r="AR254" s="73">
        <f t="shared" ref="AR254" si="4544">COUNTIF($M$254,AQ254)*$D$43</f>
        <v>0</v>
      </c>
      <c r="AS254" s="64"/>
      <c r="AT254" s="74" t="s">
        <v>2033</v>
      </c>
      <c r="AU254" s="73">
        <f t="shared" ref="AU254" si="4545">COUNTIF($M$254,AT254)*$D$43</f>
        <v>0</v>
      </c>
      <c r="AV254" s="64"/>
      <c r="AW254" s="74" t="s">
        <v>2036</v>
      </c>
      <c r="AX254" s="73">
        <f t="shared" ref="AX254" si="4546">COUNTIF($M$254,AW254)*$D$43</f>
        <v>0</v>
      </c>
      <c r="AY254" s="64"/>
      <c r="AZ254" s="74" t="s">
        <v>2067</v>
      </c>
      <c r="BA254" s="73">
        <f t="shared" ref="BA254" si="4547">COUNTIF($M$254,AZ254)*$D$43</f>
        <v>0</v>
      </c>
      <c r="BB254" s="64"/>
      <c r="BC254" s="74" t="s">
        <v>2035</v>
      </c>
      <c r="BD254" s="73">
        <f t="shared" ref="BD254" si="4548">COUNTIF($M$254,BC254)*$D$43</f>
        <v>0</v>
      </c>
      <c r="BE254" s="64"/>
      <c r="BF254" s="74" t="s">
        <v>2033</v>
      </c>
      <c r="BG254" s="73">
        <f t="shared" ref="BG254" si="4549">COUNTIF($M$254,BF254)*$D$43</f>
        <v>0</v>
      </c>
      <c r="BH254" s="64"/>
      <c r="BI254" s="74" t="s">
        <v>2305</v>
      </c>
      <c r="BJ254" s="73">
        <f t="shared" ref="BJ254" si="4550">COUNTIF($M$254,BI254)*$D$43</f>
        <v>0</v>
      </c>
      <c r="BK254" s="64"/>
      <c r="BL254" s="74" t="s">
        <v>1998</v>
      </c>
      <c r="BM254" s="73">
        <f t="shared" ref="BM254" si="4551">COUNTIF($M$254,BL254)*$D$43</f>
        <v>0</v>
      </c>
      <c r="BN254" s="64"/>
      <c r="BO254" s="74" t="s">
        <v>2441</v>
      </c>
      <c r="BP254" s="73">
        <f t="shared" ref="BP254" si="4552">COUNTIF($M$254,BO254)*$D$43</f>
        <v>10</v>
      </c>
      <c r="BQ254" s="64"/>
      <c r="BR254" s="74" t="s">
        <v>2466</v>
      </c>
      <c r="BS254" s="73">
        <f t="shared" ref="BS254" si="4553">COUNTIF($M$254,BR254)*$D$43</f>
        <v>0</v>
      </c>
      <c r="BT254" s="64"/>
      <c r="BU254" s="74" t="s">
        <v>2101</v>
      </c>
      <c r="BV254" s="73">
        <f t="shared" ref="BV254" si="4554">COUNTIF($M$254,BU254)*$D$43</f>
        <v>0</v>
      </c>
      <c r="BW254" s="64"/>
      <c r="BX254" s="74" t="s">
        <v>2102</v>
      </c>
      <c r="BY254" s="73">
        <f t="shared" ref="BY254" si="4555">COUNTIF($M$254,BX254)*$D$43</f>
        <v>0</v>
      </c>
      <c r="BZ254" s="64"/>
      <c r="CA254" s="74" t="s">
        <v>2476</v>
      </c>
      <c r="CB254" s="73">
        <f t="shared" ref="CB254" si="4556">COUNTIF($M$254,CA254)*$D$43</f>
        <v>0</v>
      </c>
      <c r="CC254" s="64"/>
      <c r="CD254" s="74" t="s">
        <v>2033</v>
      </c>
      <c r="CE254" s="73">
        <f t="shared" ref="CE254" si="4557">COUNTIF($M$254,CD254)*$D$43</f>
        <v>0</v>
      </c>
      <c r="CF254" s="64"/>
      <c r="CG254" s="74" t="s">
        <v>2067</v>
      </c>
      <c r="CH254" s="73">
        <f t="shared" ref="CH254" si="4558">COUNTIF($M$254,CG254)*$D$43</f>
        <v>0</v>
      </c>
      <c r="CI254" s="64"/>
      <c r="CJ254" s="74" t="s">
        <v>2567</v>
      </c>
      <c r="CK254" s="73">
        <f t="shared" ref="CK254" si="4559">COUNTIF($M$254,CJ254)*$D$43</f>
        <v>0</v>
      </c>
      <c r="CL254" s="64"/>
      <c r="CM254" s="74" t="s">
        <v>2590</v>
      </c>
      <c r="CN254" s="73">
        <f t="shared" ref="CN254" si="4560">COUNTIF($M$254,CM254)*$D$43</f>
        <v>0</v>
      </c>
      <c r="CO254" s="64"/>
      <c r="CP254" s="74" t="s">
        <v>2035</v>
      </c>
      <c r="CQ254" s="73">
        <f t="shared" ref="CQ254" si="4561">COUNTIF($M$254,CP254)*$D$43</f>
        <v>0</v>
      </c>
      <c r="CR254" s="64"/>
      <c r="CS254" s="74" t="s">
        <v>2630</v>
      </c>
      <c r="CT254" s="73">
        <f t="shared" ref="CT254" si="4562">COUNTIF($M$254,CS254)*$D$43</f>
        <v>0</v>
      </c>
      <c r="CU254" s="64"/>
      <c r="CV254" s="74" t="s">
        <v>2441</v>
      </c>
      <c r="CW254" s="73">
        <f t="shared" ref="CW254" si="4563">COUNTIF($M$254,CV254)*$D$43</f>
        <v>10</v>
      </c>
      <c r="CX254" s="64"/>
      <c r="CY254" s="74" t="s">
        <v>2034</v>
      </c>
      <c r="CZ254" s="73">
        <f t="shared" ref="CZ254" si="4564">COUNTIF($M$254,CY254)*$D$43</f>
        <v>0</v>
      </c>
      <c r="DA254" s="64"/>
      <c r="DB254" s="74" t="s">
        <v>2102</v>
      </c>
      <c r="DC254" s="73">
        <f t="shared" ref="DC254" si="4565">COUNTIF($M$254,DB254)*$D$43</f>
        <v>0</v>
      </c>
      <c r="DD254" s="64"/>
      <c r="DE254" s="74" t="s">
        <v>2248</v>
      </c>
      <c r="DF254" s="73">
        <f t="shared" ref="DF254" si="4566">COUNTIF($M$254,DE254)*$D$43</f>
        <v>0</v>
      </c>
      <c r="DG254" s="64"/>
      <c r="DH254" s="74" t="s">
        <v>2067</v>
      </c>
      <c r="DI254" s="73">
        <f t="shared" ref="DI254" si="4567">COUNTIF($M$254,DH254)*$D$43</f>
        <v>0</v>
      </c>
      <c r="DJ254" s="64"/>
      <c r="DK254" s="74" t="s">
        <v>2759</v>
      </c>
      <c r="DL254" s="73">
        <f t="shared" ref="DL254" si="4568">COUNTIF($M$254,DK254)*$D$43</f>
        <v>0</v>
      </c>
      <c r="DM254" s="64"/>
      <c r="DN254" s="74" t="s">
        <v>2775</v>
      </c>
      <c r="DO254" s="73">
        <f t="shared" ref="DO254" si="4569">COUNTIF($M$254,DN254)*$D$43</f>
        <v>0</v>
      </c>
      <c r="DP254" s="64"/>
      <c r="DQ254" s="74" t="s">
        <v>2785</v>
      </c>
      <c r="DR254" s="73">
        <f t="shared" ref="DR254" si="4570">COUNTIF($M$254,DQ254)*$D$43</f>
        <v>0</v>
      </c>
      <c r="DS254" s="64"/>
      <c r="DT254" s="74" t="s">
        <v>2603</v>
      </c>
      <c r="DU254" s="73">
        <f t="shared" ref="DU254" si="4571">COUNTIF($M$254,DT254)*$D$43</f>
        <v>0</v>
      </c>
      <c r="DV254" s="64"/>
      <c r="DW254" s="74" t="s">
        <v>2033</v>
      </c>
      <c r="DX254" s="73">
        <f t="shared" ref="DX254" si="4572">COUNTIF($M$254,DW254)*$D$43</f>
        <v>0</v>
      </c>
      <c r="DY254" s="64"/>
      <c r="DZ254" s="74" t="s">
        <v>2067</v>
      </c>
      <c r="EA254" s="73">
        <f t="shared" ref="EA254" si="4573">COUNTIF($M$254,DZ254)*$D$43</f>
        <v>0</v>
      </c>
      <c r="EB254" s="64"/>
      <c r="EC254" s="74" t="s">
        <v>2067</v>
      </c>
      <c r="ED254" s="73">
        <f t="shared" ref="ED254" si="4574">COUNTIF($M$254,EC254)*$D$43</f>
        <v>0</v>
      </c>
      <c r="EE254" s="64"/>
      <c r="EF254" s="74" t="s">
        <v>2853</v>
      </c>
      <c r="EG254" s="73">
        <f t="shared" ref="EG254" si="4575">COUNTIF($M$254,EF254)*$D$43</f>
        <v>0</v>
      </c>
      <c r="EH254" s="64"/>
      <c r="EI254" s="74" t="s">
        <v>2102</v>
      </c>
      <c r="EJ254" s="73">
        <f t="shared" ref="EJ254" si="4576">COUNTIF($M$254,EI254)*$D$43</f>
        <v>0</v>
      </c>
      <c r="EK254" s="64"/>
      <c r="EL254" s="74" t="s">
        <v>2870</v>
      </c>
      <c r="EM254" s="73">
        <f t="shared" ref="EM254" si="4577">COUNTIF($M$254,EL254)*$D$43</f>
        <v>0</v>
      </c>
      <c r="EN254" s="64"/>
      <c r="EO254" s="74" t="s">
        <v>2067</v>
      </c>
      <c r="EP254" s="73">
        <f t="shared" ref="EP254" si="4578">COUNTIF($M$254,EO254)*$D$43</f>
        <v>0</v>
      </c>
      <c r="EQ254" s="64"/>
      <c r="ER254" s="74" t="s">
        <v>2159</v>
      </c>
      <c r="ES254" s="73">
        <f t="shared" ref="ES254" si="4579">COUNTIF($M$254,ER254)*$D$43</f>
        <v>0</v>
      </c>
      <c r="ET254" s="64"/>
      <c r="EU254" s="74" t="s">
        <v>2915</v>
      </c>
      <c r="EV254" s="73">
        <f t="shared" ref="EV254" si="4580">COUNTIF($M$254,EU254)*$D$43</f>
        <v>0</v>
      </c>
      <c r="EW254" s="64"/>
      <c r="EX254" s="74" t="s">
        <v>2248</v>
      </c>
      <c r="EY254" s="73">
        <f t="shared" ref="EY254" si="4581">COUNTIF($M$254,EX254)*$D$43</f>
        <v>0</v>
      </c>
      <c r="EZ254" s="64"/>
      <c r="FA254" s="74" t="s">
        <v>2067</v>
      </c>
      <c r="FB254" s="73">
        <f t="shared" ref="FB254" si="4582">COUNTIF($M$254,FA254)*$D$43</f>
        <v>0</v>
      </c>
      <c r="FC254" s="64"/>
      <c r="FD254" s="74" t="s">
        <v>2345</v>
      </c>
      <c r="FE254" s="73">
        <f t="shared" ref="FE254" si="4583">COUNTIF($M$254,FD254)*$D$43</f>
        <v>0</v>
      </c>
      <c r="FF254" s="64"/>
      <c r="FG254" s="74" t="s">
        <v>2916</v>
      </c>
      <c r="FH254" s="73">
        <f t="shared" ref="FH254" si="4584">COUNTIF($M$254,FG254)*$D$43</f>
        <v>0</v>
      </c>
      <c r="FI254" s="64"/>
      <c r="FJ254" s="74" t="s">
        <v>2033</v>
      </c>
      <c r="FK254" s="73">
        <f t="shared" ref="FK254" si="4585">COUNTIF($M$254,FJ254)*$D$43</f>
        <v>0</v>
      </c>
      <c r="FL254" s="64"/>
      <c r="FM254" s="74" t="s">
        <v>2693</v>
      </c>
      <c r="FN254" s="73">
        <f t="shared" ref="FN254" si="4586">COUNTIF($M$254,FM254)*$D$43</f>
        <v>0</v>
      </c>
      <c r="FO254" s="64"/>
      <c r="FP254" s="74" t="s">
        <v>2034</v>
      </c>
      <c r="FQ254" s="73">
        <f t="shared" ref="FQ254" si="4587">COUNTIF($M$254,FP254)*$D$43</f>
        <v>0</v>
      </c>
      <c r="FR254" s="64"/>
      <c r="FS254" s="74" t="s">
        <v>2036</v>
      </c>
      <c r="FT254" s="73">
        <f t="shared" ref="FT254" si="4588">COUNTIF($M$254,FS254)*$D$43</f>
        <v>0</v>
      </c>
      <c r="FU254" s="64"/>
      <c r="FV254" s="74" t="s">
        <v>3014</v>
      </c>
      <c r="FW254" s="73">
        <f t="shared" ref="FW254" si="4589">COUNTIF($M$254,FV254)*$D$43</f>
        <v>0</v>
      </c>
      <c r="FX254" s="64"/>
      <c r="FY254" s="74" t="s">
        <v>2102</v>
      </c>
      <c r="FZ254" s="73">
        <f t="shared" ref="FZ254" si="4590">COUNTIF($M$254,FY254)*$D$43</f>
        <v>0</v>
      </c>
      <c r="GA254" s="64"/>
      <c r="GB254" s="74" t="s">
        <v>2033</v>
      </c>
      <c r="GC254" s="73">
        <f t="shared" ref="GC254" si="4591">COUNTIF($M$254,GB254)*$D$43</f>
        <v>0</v>
      </c>
      <c r="GD254" s="64"/>
      <c r="GE254" s="74" t="s">
        <v>2102</v>
      </c>
      <c r="GF254" s="73">
        <f t="shared" ref="GF254" si="4592">COUNTIF($M$254,GE254)*$D$43</f>
        <v>0</v>
      </c>
      <c r="GG254" s="64"/>
      <c r="GH254" s="74" t="s">
        <v>3055</v>
      </c>
      <c r="GI254" s="73">
        <f t="shared" ref="GI254" si="4593">COUNTIF($M$254,GH254)*$D$43</f>
        <v>0</v>
      </c>
      <c r="GJ254" s="64"/>
      <c r="GK254" s="74" t="s">
        <v>3066</v>
      </c>
      <c r="GL254" s="73">
        <f t="shared" ref="GL254" si="4594">COUNTIF($M$254,GK254)*$D$43</f>
        <v>0</v>
      </c>
      <c r="GM254" s="64"/>
      <c r="GN254" s="74"/>
      <c r="GO254" s="73">
        <f t="shared" ref="GO254" si="4595">COUNTIF($M$254,GN254)*$D$43</f>
        <v>0</v>
      </c>
      <c r="GP254" s="64"/>
      <c r="GQ254" s="74"/>
      <c r="GR254" s="73">
        <f t="shared" ref="GR254" si="4596">COUNTIF($M$254,GQ254)*$D$43</f>
        <v>0</v>
      </c>
      <c r="GS254" s="64"/>
      <c r="GT254" s="74"/>
      <c r="GU254" s="73">
        <f t="shared" ref="GU254" si="4597">COUNTIF($M$254,GT254)*$D$43</f>
        <v>0</v>
      </c>
      <c r="GV254" s="64"/>
      <c r="GW254" s="74"/>
      <c r="GX254" s="73">
        <f t="shared" ref="GX254" si="4598">COUNTIF($M$254,GW254)*$D$43</f>
        <v>0</v>
      </c>
      <c r="GY254" s="64"/>
      <c r="GZ254" s="74"/>
      <c r="HA254" s="73">
        <f t="shared" ref="HA254" si="4599">COUNTIF($M$254,GZ254)*$D$43</f>
        <v>0</v>
      </c>
      <c r="HB254" s="64"/>
      <c r="HC254" s="74"/>
      <c r="HD254" s="73">
        <f t="shared" ref="HD254" si="4600">COUNTIF($M$254,HC254)*$D$43</f>
        <v>0</v>
      </c>
      <c r="HE254" s="64"/>
      <c r="HF254" s="74"/>
      <c r="HG254" s="73">
        <f t="shared" ref="HG254" si="4601">COUNTIF($M$254,HF254)*$D$43</f>
        <v>0</v>
      </c>
      <c r="HH254" s="64"/>
      <c r="HI254" s="74"/>
      <c r="HJ254" s="73">
        <f t="shared" ref="HJ254" si="4602">COUNTIF($M$254,HI254)*$D$43</f>
        <v>0</v>
      </c>
      <c r="HK254" s="64"/>
      <c r="HL254" s="74"/>
      <c r="HM254" s="73">
        <f t="shared" ref="HM254" si="4603">COUNTIF($M$254,HL254)*$D$43</f>
        <v>0</v>
      </c>
      <c r="HN254" s="64"/>
      <c r="HO254" s="74"/>
      <c r="HP254" s="73">
        <f t="shared" ref="HP254" si="4604">COUNTIF($M$254,HO254)*$D$43</f>
        <v>0</v>
      </c>
      <c r="HQ254" s="64"/>
      <c r="HR254" s="74"/>
      <c r="HS254" s="73">
        <f t="shared" ref="HS254" si="4605">COUNTIF($M$254,HR254)*$D$43</f>
        <v>0</v>
      </c>
      <c r="HT254" s="64"/>
      <c r="HU254" s="74"/>
      <c r="HV254" s="73">
        <f t="shared" ref="HV254" si="4606">COUNTIF($M$254,HU254)*$D$43</f>
        <v>0</v>
      </c>
      <c r="HW254" s="64"/>
      <c r="HX254" s="74"/>
      <c r="HY254" s="73">
        <f t="shared" ref="HY254" si="4607">COUNTIF($M$254,HX254)*$D$43</f>
        <v>0</v>
      </c>
      <c r="HZ254" s="64"/>
      <c r="IA254" s="74"/>
      <c r="IB254" s="73">
        <f t="shared" ref="IB254" si="4608">COUNTIF($M$254,IA254)*$D$43</f>
        <v>0</v>
      </c>
      <c r="IC254" s="64"/>
      <c r="ID254" s="74"/>
      <c r="IE254" s="73">
        <f t="shared" ref="IE254" si="4609">COUNTIF($M$254,ID254)*$D$43</f>
        <v>0</v>
      </c>
      <c r="IF254" s="64"/>
      <c r="IG254" s="74"/>
      <c r="IH254" s="73">
        <f t="shared" ref="IH254" si="4610">COUNTIF($M$254,IG254)*$D$43</f>
        <v>0</v>
      </c>
      <c r="II254" s="64"/>
      <c r="IJ254" s="74"/>
      <c r="IK254" s="73">
        <f t="shared" ref="IK254" si="4611">COUNTIF($M$254,IJ254)*$D$43</f>
        <v>0</v>
      </c>
      <c r="IL254" s="64"/>
      <c r="IM254" s="74"/>
      <c r="IN254" s="73">
        <f t="shared" ref="IN254" si="4612">COUNTIF($M$254,IM254)*$D$43</f>
        <v>0</v>
      </c>
      <c r="IO254" s="64"/>
      <c r="IP254" s="74"/>
      <c r="IQ254" s="73">
        <f t="shared" ref="IQ254" si="4613">COUNTIF($M$254,IP254)*$D$43</f>
        <v>0</v>
      </c>
      <c r="IR254" s="64"/>
      <c r="IS254" s="74"/>
      <c r="IT254" s="73">
        <f t="shared" ref="IT254" si="4614">COUNTIF($M$254,IS254)*$D$43</f>
        <v>0</v>
      </c>
      <c r="IU254" s="64"/>
      <c r="IV254" s="74"/>
      <c r="IW254" s="73">
        <f t="shared" ref="IW254" si="4615">COUNTIF($M$254,IV254)*$D$43</f>
        <v>0</v>
      </c>
      <c r="IX254" s="64"/>
      <c r="IY254" s="74"/>
      <c r="IZ254" s="73">
        <f t="shared" ref="IZ254" si="4616">COUNTIF($M$254,IY254)*$D$43</f>
        <v>0</v>
      </c>
      <c r="JA254" s="64"/>
      <c r="JB254" s="74"/>
      <c r="JC254" s="73">
        <f t="shared" ref="JC254" si="4617">COUNTIF($M$254,JB254)*$D$43</f>
        <v>0</v>
      </c>
      <c r="JD254" s="64"/>
      <c r="JE254" s="74"/>
      <c r="JF254" s="73">
        <f t="shared" ref="JF254" si="4618">COUNTIF($M$254,JE254)*$D$43</f>
        <v>0</v>
      </c>
      <c r="JG254" s="64"/>
      <c r="JH254" s="74"/>
      <c r="JI254" s="73">
        <f t="shared" ref="JI254" si="4619">COUNTIF($M$254,JH254)*$D$43</f>
        <v>0</v>
      </c>
      <c r="JJ254" s="64"/>
      <c r="JK254" s="74"/>
      <c r="JL254" s="73">
        <f t="shared" ref="JL254" si="4620">COUNTIF($M$254,JK254)*$D$43</f>
        <v>0</v>
      </c>
      <c r="JM254" s="64"/>
      <c r="JN254" s="74"/>
      <c r="JO254" s="73">
        <f t="shared" ref="JO254" si="4621">COUNTIF($M$254,JN254)*$D$43</f>
        <v>0</v>
      </c>
      <c r="JP254" s="64"/>
      <c r="JQ254" s="74"/>
      <c r="JR254" s="73">
        <f t="shared" ref="JR254" si="4622">COUNTIF($M$254,JQ254)*$D$43</f>
        <v>0</v>
      </c>
      <c r="JS254" s="64"/>
      <c r="JT254" s="74"/>
      <c r="JU254" s="73">
        <f t="shared" ref="JU254" si="4623">COUNTIF($M$254,JT254)*$D$43</f>
        <v>0</v>
      </c>
      <c r="JV254" s="64"/>
      <c r="JW254" s="74"/>
      <c r="JX254" s="73">
        <f t="shared" ref="JX254" si="4624">COUNTIF($M$254,JW254)*$D$43</f>
        <v>0</v>
      </c>
      <c r="JY254" s="64"/>
      <c r="JZ254" s="74"/>
      <c r="KA254" s="73">
        <f t="shared" ref="KA254" si="4625">COUNTIF($M$254,JZ254)*$D$43</f>
        <v>0</v>
      </c>
      <c r="KB254" s="64"/>
      <c r="KC254" s="74"/>
      <c r="KD254" s="73">
        <f t="shared" ref="KD254" si="4626">COUNTIF($M$254,KC254)*$D$43</f>
        <v>0</v>
      </c>
      <c r="KE254" s="64"/>
      <c r="KF254" s="74"/>
      <c r="KG254" s="73">
        <f t="shared" ref="KG254" si="4627">COUNTIF($M$254,KF254)*$D$43</f>
        <v>0</v>
      </c>
      <c r="KH254" s="64"/>
      <c r="KI254" s="74"/>
      <c r="KJ254" s="73">
        <f t="shared" ref="KJ254" si="4628">COUNTIF($M$254,KI254)*$D$43</f>
        <v>0</v>
      </c>
      <c r="KK254" s="64"/>
      <c r="KL254" s="74"/>
      <c r="KM254" s="73">
        <f t="shared" ref="KM254" si="4629">COUNTIF($M$254,KL254)*$D$43</f>
        <v>0</v>
      </c>
      <c r="KN254" s="64"/>
      <c r="KO254" s="74"/>
      <c r="KP254" s="73">
        <f t="shared" ref="KP254" si="4630">COUNTIF($M$254,KO254)*$D$43</f>
        <v>0</v>
      </c>
      <c r="KQ254" s="64"/>
      <c r="KR254" s="74"/>
      <c r="KS254" s="73">
        <f t="shared" ref="KS254" si="4631">COUNTIF($M$254,KR254)*$D$43</f>
        <v>0</v>
      </c>
      <c r="KT254" s="64"/>
      <c r="KU254" s="74"/>
      <c r="KV254" s="73">
        <f t="shared" ref="KV254" si="4632">COUNTIF($M$254,KU254)*$D$43</f>
        <v>0</v>
      </c>
      <c r="KW254" s="64"/>
      <c r="KX254" s="74"/>
      <c r="KY254" s="73">
        <f t="shared" ref="KY254" si="4633">COUNTIF($M$254,KX254)*$D$43</f>
        <v>0</v>
      </c>
      <c r="KZ254" s="64"/>
      <c r="LA254" s="74"/>
      <c r="LB254" s="73">
        <f t="shared" ref="LB254" si="4634">COUNTIF($M$254,LA254)*$D$43</f>
        <v>0</v>
      </c>
      <c r="LC254" s="64"/>
      <c r="LD254" s="74"/>
      <c r="LE254" s="73">
        <f t="shared" ref="LE254" si="4635">COUNTIF($M$254,LD254)*$D$43</f>
        <v>0</v>
      </c>
      <c r="LF254" s="64"/>
      <c r="LG254" s="64"/>
    </row>
    <row r="255" spans="1:319" ht="16.149999999999999" customHeight="1">
      <c r="A255" s="17"/>
      <c r="B255" s="17"/>
      <c r="C255" s="17"/>
      <c r="D255" s="17"/>
      <c r="E255" s="89"/>
      <c r="F255" s="407">
        <f t="shared" si="4140"/>
        <v>5</v>
      </c>
      <c r="G255" s="407">
        <f ca="1">VLOOKUP(H255,Equipos!$Q$1:$R$25,2,0)</f>
        <v>24</v>
      </c>
      <c r="H255" s="65" t="str">
        <f>Idiomas!$D$264</f>
        <v>3-4 &amp; Final</v>
      </c>
      <c r="I255" s="50"/>
      <c r="J255" s="103"/>
      <c r="K255" s="56" t="str">
        <f>WORLDCUP!W156</f>
        <v>Bronze Boot (3rd Top Scorer)</v>
      </c>
      <c r="L255" s="53"/>
      <c r="M255" s="55" t="str">
        <f>WORLDCUP!AA156</f>
        <v>Bellingham / Haaland</v>
      </c>
      <c r="N255" s="25"/>
      <c r="O255" s="25"/>
      <c r="P255" s="25"/>
      <c r="Q255" s="25"/>
      <c r="R255" s="17"/>
      <c r="S255" s="74" t="s">
        <v>1995</v>
      </c>
      <c r="T255" s="73">
        <f>COUNTIF($M$255,S255)*$D$44</f>
        <v>0</v>
      </c>
      <c r="U255" s="64"/>
      <c r="V255" s="74" t="s">
        <v>2035</v>
      </c>
      <c r="W255" s="73">
        <f t="shared" ref="W255" si="4636">COUNTIF($M$255,V255)*$D$44</f>
        <v>0</v>
      </c>
      <c r="X255" s="64"/>
      <c r="Y255" s="74" t="s">
        <v>2068</v>
      </c>
      <c r="Z255" s="73">
        <f t="shared" ref="Z255" si="4637">COUNTIF($M$255,Y255)*$D$44</f>
        <v>0</v>
      </c>
      <c r="AA255" s="64"/>
      <c r="AB255" s="74" t="s">
        <v>2103</v>
      </c>
      <c r="AC255" s="73">
        <f t="shared" ref="AC255" si="4638">COUNTIF($M$255,AB255)*$D$44</f>
        <v>0</v>
      </c>
      <c r="AD255" s="64"/>
      <c r="AE255" s="74" t="s">
        <v>2127</v>
      </c>
      <c r="AF255" s="73">
        <f t="shared" ref="AF255" si="4639">COUNTIF($M$255,AE255)*$D$44</f>
        <v>0</v>
      </c>
      <c r="AG255" s="64"/>
      <c r="AH255" s="74" t="s">
        <v>2033</v>
      </c>
      <c r="AI255" s="73">
        <f t="shared" ref="AI255" si="4640">COUNTIF($M$255,AH255)*$D$44</f>
        <v>0</v>
      </c>
      <c r="AJ255" s="64"/>
      <c r="AK255" s="74" t="s">
        <v>3069</v>
      </c>
      <c r="AL255" s="73">
        <f t="shared" ref="AL255" si="4641">COUNTIF($M$255,AK255)*$D$44</f>
        <v>5</v>
      </c>
      <c r="AM255" s="64"/>
      <c r="AN255" s="74" t="s">
        <v>2222</v>
      </c>
      <c r="AO255" s="73">
        <f t="shared" ref="AO255" si="4642">COUNTIF($M$255,AN255)*$D$44</f>
        <v>0</v>
      </c>
      <c r="AP255" s="64"/>
      <c r="AQ255" s="74" t="s">
        <v>2102</v>
      </c>
      <c r="AR255" s="73">
        <f t="shared" ref="AR255" si="4643">COUNTIF($M$255,AQ255)*$D$44</f>
        <v>0</v>
      </c>
      <c r="AS255" s="64"/>
      <c r="AT255" s="74" t="s">
        <v>2067</v>
      </c>
      <c r="AU255" s="73">
        <f t="shared" ref="AU255" si="4644">COUNTIF($M$255,AT255)*$D$44</f>
        <v>0</v>
      </c>
      <c r="AV255" s="64"/>
      <c r="AW255" s="74" t="s">
        <v>2159</v>
      </c>
      <c r="AX255" s="73">
        <f t="shared" ref="AX255" si="4645">COUNTIF($M$255,AW255)*$D$44</f>
        <v>0</v>
      </c>
      <c r="AY255" s="64"/>
      <c r="AZ255" s="74" t="s">
        <v>3069</v>
      </c>
      <c r="BA255" s="73">
        <f t="shared" ref="BA255" si="4646">COUNTIF($M$255,AZ255)*$D$44</f>
        <v>5</v>
      </c>
      <c r="BB255" s="64"/>
      <c r="BC255" s="74" t="s">
        <v>3069</v>
      </c>
      <c r="BD255" s="73">
        <f t="shared" ref="BD255" si="4647">COUNTIF($M$255,BC255)*$D$44</f>
        <v>5</v>
      </c>
      <c r="BE255" s="64"/>
      <c r="BF255" s="74" t="s">
        <v>2366</v>
      </c>
      <c r="BG255" s="73">
        <f t="shared" ref="BG255" si="4648">COUNTIF($M$255,BF255)*$D$44</f>
        <v>0</v>
      </c>
      <c r="BH255" s="64"/>
      <c r="BI255" s="74" t="s">
        <v>2400</v>
      </c>
      <c r="BJ255" s="73">
        <f t="shared" ref="BJ255" si="4649">COUNTIF($M$255,BI255)*$D$44</f>
        <v>0</v>
      </c>
      <c r="BK255" s="64"/>
      <c r="BL255" s="74" t="s">
        <v>3069</v>
      </c>
      <c r="BM255" s="73">
        <f t="shared" ref="BM255" si="4650">COUNTIF($M$255,BL255)*$D$44</f>
        <v>5</v>
      </c>
      <c r="BN255" s="64"/>
      <c r="BO255" s="74" t="s">
        <v>2101</v>
      </c>
      <c r="BP255" s="73">
        <f t="shared" ref="BP255" si="4651">COUNTIF($M$255,BO255)*$D$44</f>
        <v>0</v>
      </c>
      <c r="BQ255" s="64"/>
      <c r="BR255" s="74" t="s">
        <v>2101</v>
      </c>
      <c r="BS255" s="73">
        <f t="shared" ref="BS255" si="4652">COUNTIF($M$255,BR255)*$D$44</f>
        <v>0</v>
      </c>
      <c r="BT255" s="64"/>
      <c r="BU255" s="74" t="s">
        <v>3069</v>
      </c>
      <c r="BV255" s="73">
        <f t="shared" ref="BV255" si="4653">COUNTIF($M$255,BU255)*$D$44</f>
        <v>5</v>
      </c>
      <c r="BW255" s="64"/>
      <c r="BX255" s="74" t="s">
        <v>2488</v>
      </c>
      <c r="BY255" s="73">
        <f t="shared" ref="BY255" si="4654">COUNTIF($M$255,BX255)*$D$44</f>
        <v>0</v>
      </c>
      <c r="BZ255" s="64"/>
      <c r="CA255" s="74" t="s">
        <v>2102</v>
      </c>
      <c r="CB255" s="73">
        <f t="shared" ref="CB255" si="4655">COUNTIF($M$255,CA255)*$D$44</f>
        <v>0</v>
      </c>
      <c r="CC255" s="64"/>
      <c r="CD255" s="74" t="s">
        <v>2035</v>
      </c>
      <c r="CE255" s="73">
        <f t="shared" ref="CE255" si="4656">COUNTIF($M$255,CD255)*$D$44</f>
        <v>0</v>
      </c>
      <c r="CF255" s="64"/>
      <c r="CG255" s="74" t="s">
        <v>3069</v>
      </c>
      <c r="CH255" s="73">
        <f t="shared" ref="CH255" si="4657">COUNTIF($M$255,CG255)*$D$44</f>
        <v>5</v>
      </c>
      <c r="CI255" s="64"/>
      <c r="CJ255" s="74" t="s">
        <v>2568</v>
      </c>
      <c r="CK255" s="73">
        <f t="shared" ref="CK255" si="4658">COUNTIF($M$255,CJ255)*$D$44</f>
        <v>0</v>
      </c>
      <c r="CL255" s="64"/>
      <c r="CM255" s="74" t="s">
        <v>2591</v>
      </c>
      <c r="CN255" s="73">
        <f t="shared" ref="CN255" si="4659">COUNTIF($M$255,CM255)*$D$44</f>
        <v>0</v>
      </c>
      <c r="CO255" s="64"/>
      <c r="CP255" s="74" t="s">
        <v>2067</v>
      </c>
      <c r="CQ255" s="73">
        <f t="shared" ref="CQ255" si="4660">COUNTIF($M$255,CP255)*$D$44</f>
        <v>0</v>
      </c>
      <c r="CR255" s="64"/>
      <c r="CS255" s="74" t="s">
        <v>2631</v>
      </c>
      <c r="CT255" s="73">
        <f t="shared" ref="CT255" si="4661">COUNTIF($M$255,CS255)*$D$44</f>
        <v>0</v>
      </c>
      <c r="CU255" s="64"/>
      <c r="CV255" s="74" t="s">
        <v>2657</v>
      </c>
      <c r="CW255" s="73">
        <f t="shared" ref="CW255" si="4662">COUNTIF($M$255,CV255)*$D$44</f>
        <v>0</v>
      </c>
      <c r="CX255" s="64"/>
      <c r="CY255" s="74" t="s">
        <v>2067</v>
      </c>
      <c r="CZ255" s="73">
        <f t="shared" ref="CZ255" si="4663">COUNTIF($M$255,CY255)*$D$44</f>
        <v>0</v>
      </c>
      <c r="DA255" s="64"/>
      <c r="DB255" s="74" t="s">
        <v>2476</v>
      </c>
      <c r="DC255" s="73">
        <f t="shared" ref="DC255" si="4664">COUNTIF($M$255,DB255)*$D$44</f>
        <v>0</v>
      </c>
      <c r="DD255" s="64"/>
      <c r="DE255" s="74" t="s">
        <v>2488</v>
      </c>
      <c r="DF255" s="73">
        <f t="shared" ref="DF255" si="4665">COUNTIF($M$255,DE255)*$D$44</f>
        <v>0</v>
      </c>
      <c r="DG255" s="64"/>
      <c r="DH255" s="74" t="s">
        <v>2743</v>
      </c>
      <c r="DI255" s="73">
        <f t="shared" ref="DI255" si="4666">COUNTIF($M$255,DH255)*$D$44</f>
        <v>0</v>
      </c>
      <c r="DJ255" s="64"/>
      <c r="DK255" s="74" t="s">
        <v>3069</v>
      </c>
      <c r="DL255" s="73">
        <f t="shared" ref="DL255" si="4667">COUNTIF($M$255,DK255)*$D$44</f>
        <v>5</v>
      </c>
      <c r="DM255" s="64"/>
      <c r="DN255" s="74" t="s">
        <v>2102</v>
      </c>
      <c r="DO255" s="73">
        <f t="shared" ref="DO255" si="4668">COUNTIF($M$255,DN255)*$D$44</f>
        <v>0</v>
      </c>
      <c r="DP255" s="64"/>
      <c r="DQ255" s="74" t="s">
        <v>2786</v>
      </c>
      <c r="DR255" s="73">
        <f t="shared" ref="DR255" si="4669">COUNTIF($M$255,DQ255)*$D$44</f>
        <v>0</v>
      </c>
      <c r="DS255" s="64"/>
      <c r="DT255" s="74" t="s">
        <v>3069</v>
      </c>
      <c r="DU255" s="73">
        <f t="shared" ref="DU255" si="4670">COUNTIF($M$255,DT255)*$D$44</f>
        <v>5</v>
      </c>
      <c r="DV255" s="64"/>
      <c r="DW255" s="74" t="s">
        <v>2067</v>
      </c>
      <c r="DX255" s="73">
        <f t="shared" ref="DX255" si="4671">COUNTIF($M$255,DW255)*$D$44</f>
        <v>0</v>
      </c>
      <c r="DY255" s="64"/>
      <c r="DZ255" s="74" t="s">
        <v>3069</v>
      </c>
      <c r="EA255" s="73">
        <f t="shared" ref="EA255" si="4672">COUNTIF($M$255,DZ255)*$D$44</f>
        <v>5</v>
      </c>
      <c r="EB255" s="64"/>
      <c r="EC255" s="74" t="s">
        <v>3069</v>
      </c>
      <c r="ED255" s="73">
        <f t="shared" ref="ED255" si="4673">COUNTIF($M$255,EC255)*$D$44</f>
        <v>5</v>
      </c>
      <c r="EE255" s="64"/>
      <c r="EF255" s="74" t="s">
        <v>2854</v>
      </c>
      <c r="EG255" s="73">
        <f t="shared" ref="EG255" si="4674">COUNTIF($M$255,EF255)*$D$44</f>
        <v>0</v>
      </c>
      <c r="EH255" s="64"/>
      <c r="EI255" s="74" t="s">
        <v>2488</v>
      </c>
      <c r="EJ255" s="73">
        <f t="shared" ref="EJ255" si="4675">COUNTIF($M$255,EI255)*$D$44</f>
        <v>0</v>
      </c>
      <c r="EK255" s="64"/>
      <c r="EL255" s="74" t="s">
        <v>2067</v>
      </c>
      <c r="EM255" s="73">
        <f t="shared" ref="EM255" si="4676">COUNTIF($M$255,EL255)*$D$44</f>
        <v>0</v>
      </c>
      <c r="EN255" s="64"/>
      <c r="EO255" s="74" t="s">
        <v>2870</v>
      </c>
      <c r="EP255" s="73">
        <f t="shared" ref="EP255" si="4677">COUNTIF($M$255,EO255)*$D$44</f>
        <v>0</v>
      </c>
      <c r="EQ255" s="64"/>
      <c r="ER255" s="74" t="s">
        <v>2895</v>
      </c>
      <c r="ES255" s="73">
        <f t="shared" ref="ES255" si="4678">COUNTIF($M$255,ER255)*$D$44</f>
        <v>0</v>
      </c>
      <c r="ET255" s="64"/>
      <c r="EU255" s="74" t="s">
        <v>2916</v>
      </c>
      <c r="EV255" s="73">
        <f t="shared" ref="EV255" si="4679">COUNTIF($M$255,EU255)*$D$44</f>
        <v>0</v>
      </c>
      <c r="EW255" s="64"/>
      <c r="EX255" s="74" t="s">
        <v>2467</v>
      </c>
      <c r="EY255" s="73">
        <f t="shared" ref="EY255" si="4680">COUNTIF($M$255,EX255)*$D$44</f>
        <v>0</v>
      </c>
      <c r="EZ255" s="64"/>
      <c r="FA255" s="74" t="s">
        <v>3069</v>
      </c>
      <c r="FB255" s="73">
        <f t="shared" ref="FB255" si="4681">COUNTIF($M$255,FA255)*$D$44</f>
        <v>5</v>
      </c>
      <c r="FC255" s="64"/>
      <c r="FD255" s="74" t="s">
        <v>2102</v>
      </c>
      <c r="FE255" s="73">
        <f t="shared" ref="FE255" si="4682">COUNTIF($M$255,FD255)*$D$44</f>
        <v>0</v>
      </c>
      <c r="FF255" s="64"/>
      <c r="FG255" s="74" t="s">
        <v>2964</v>
      </c>
      <c r="FH255" s="73">
        <f t="shared" ref="FH255" si="4683">COUNTIF($M$255,FG255)*$D$44</f>
        <v>0</v>
      </c>
      <c r="FI255" s="64"/>
      <c r="FJ255" s="74" t="s">
        <v>2691</v>
      </c>
      <c r="FK255" s="73">
        <f t="shared" ref="FK255" si="4684">COUNTIF($M$255,FJ255)*$D$44</f>
        <v>0</v>
      </c>
      <c r="FL255" s="64"/>
      <c r="FM255" s="74" t="s">
        <v>2033</v>
      </c>
      <c r="FN255" s="73">
        <f t="shared" ref="FN255" si="4685">COUNTIF($M$255,FM255)*$D$44</f>
        <v>0</v>
      </c>
      <c r="FO255" s="64"/>
      <c r="FP255" s="74" t="s">
        <v>2067</v>
      </c>
      <c r="FQ255" s="73">
        <f t="shared" ref="FQ255" si="4686">COUNTIF($M$255,FP255)*$D$44</f>
        <v>0</v>
      </c>
      <c r="FR255" s="64"/>
      <c r="FS255" s="74" t="s">
        <v>2160</v>
      </c>
      <c r="FT255" s="73">
        <f t="shared" ref="FT255" si="4687">COUNTIF($M$255,FS255)*$D$44</f>
        <v>0</v>
      </c>
      <c r="FU255" s="64"/>
      <c r="FV255" s="74" t="s">
        <v>2441</v>
      </c>
      <c r="FW255" s="73">
        <f t="shared" ref="FW255" si="4688">COUNTIF($M$255,FV255)*$D$44</f>
        <v>0</v>
      </c>
      <c r="FX255" s="64"/>
      <c r="FY255" s="74" t="s">
        <v>3015</v>
      </c>
      <c r="FZ255" s="73">
        <f t="shared" ref="FZ255" si="4689">COUNTIF($M$255,FY255)*$D$44</f>
        <v>0</v>
      </c>
      <c r="GA255" s="64"/>
      <c r="GB255" s="74" t="s">
        <v>3028</v>
      </c>
      <c r="GC255" s="73">
        <f t="shared" ref="GC255" si="4690">COUNTIF($M$255,GB255)*$D$44</f>
        <v>0</v>
      </c>
      <c r="GD255" s="64"/>
      <c r="GE255" s="74" t="s">
        <v>3040</v>
      </c>
      <c r="GF255" s="73">
        <f t="shared" ref="GF255" si="4691">COUNTIF($M$255,GE255)*$D$44</f>
        <v>0</v>
      </c>
      <c r="GG255" s="64"/>
      <c r="GH255" s="74" t="s">
        <v>2305</v>
      </c>
      <c r="GI255" s="73">
        <f t="shared" ref="GI255" si="4692">COUNTIF($M$255,GH255)*$D$44</f>
        <v>0</v>
      </c>
      <c r="GJ255" s="64"/>
      <c r="GK255" s="74" t="s">
        <v>3067</v>
      </c>
      <c r="GL255" s="73">
        <f t="shared" ref="GL255" si="4693">COUNTIF($M$255,GK255)*$D$44</f>
        <v>0</v>
      </c>
      <c r="GM255" s="64"/>
      <c r="GN255" s="74"/>
      <c r="GO255" s="73">
        <f t="shared" ref="GO255" si="4694">COUNTIF($M$255,GN255)*$D$44</f>
        <v>0</v>
      </c>
      <c r="GP255" s="64"/>
      <c r="GQ255" s="74"/>
      <c r="GR255" s="73">
        <f t="shared" ref="GR255" si="4695">COUNTIF($M$255,GQ255)*$D$44</f>
        <v>0</v>
      </c>
      <c r="GS255" s="64"/>
      <c r="GT255" s="74"/>
      <c r="GU255" s="73">
        <f t="shared" ref="GU255" si="4696">COUNTIF($M$255,GT255)*$D$44</f>
        <v>0</v>
      </c>
      <c r="GV255" s="64"/>
      <c r="GW255" s="74"/>
      <c r="GX255" s="73">
        <f t="shared" ref="GX255" si="4697">COUNTIF($M$255,GW255)*$D$44</f>
        <v>0</v>
      </c>
      <c r="GY255" s="64"/>
      <c r="GZ255" s="74"/>
      <c r="HA255" s="73">
        <f t="shared" ref="HA255" si="4698">COUNTIF($M$255,GZ255)*$D$44</f>
        <v>0</v>
      </c>
      <c r="HB255" s="64"/>
      <c r="HC255" s="74"/>
      <c r="HD255" s="73">
        <f t="shared" ref="HD255" si="4699">COUNTIF($M$255,HC255)*$D$44</f>
        <v>0</v>
      </c>
      <c r="HE255" s="64"/>
      <c r="HF255" s="74"/>
      <c r="HG255" s="73">
        <f t="shared" ref="HG255" si="4700">COUNTIF($M$255,HF255)*$D$44</f>
        <v>0</v>
      </c>
      <c r="HH255" s="64"/>
      <c r="HI255" s="74"/>
      <c r="HJ255" s="73">
        <f t="shared" ref="HJ255" si="4701">COUNTIF($M$255,HI255)*$D$44</f>
        <v>0</v>
      </c>
      <c r="HK255" s="64"/>
      <c r="HL255" s="74"/>
      <c r="HM255" s="73">
        <f t="shared" ref="HM255" si="4702">COUNTIF($M$255,HL255)*$D$44</f>
        <v>0</v>
      </c>
      <c r="HN255" s="64"/>
      <c r="HO255" s="74"/>
      <c r="HP255" s="73">
        <f t="shared" ref="HP255" si="4703">COUNTIF($M$255,HO255)*$D$44</f>
        <v>0</v>
      </c>
      <c r="HQ255" s="64"/>
      <c r="HR255" s="74"/>
      <c r="HS255" s="73">
        <f t="shared" ref="HS255" si="4704">COUNTIF($M$255,HR255)*$D$44</f>
        <v>0</v>
      </c>
      <c r="HT255" s="64"/>
      <c r="HU255" s="74"/>
      <c r="HV255" s="73">
        <f t="shared" ref="HV255" si="4705">COUNTIF($M$255,HU255)*$D$44</f>
        <v>0</v>
      </c>
      <c r="HW255" s="64"/>
      <c r="HX255" s="74"/>
      <c r="HY255" s="73">
        <f t="shared" ref="HY255" si="4706">COUNTIF($M$255,HX255)*$D$44</f>
        <v>0</v>
      </c>
      <c r="HZ255" s="64"/>
      <c r="IA255" s="74"/>
      <c r="IB255" s="73">
        <f t="shared" ref="IB255" si="4707">COUNTIF($M$255,IA255)*$D$44</f>
        <v>0</v>
      </c>
      <c r="IC255" s="64"/>
      <c r="ID255" s="74"/>
      <c r="IE255" s="73">
        <f t="shared" ref="IE255" si="4708">COUNTIF($M$255,ID255)*$D$44</f>
        <v>0</v>
      </c>
      <c r="IF255" s="64"/>
      <c r="IG255" s="74"/>
      <c r="IH255" s="73">
        <f t="shared" ref="IH255" si="4709">COUNTIF($M$255,IG255)*$D$44</f>
        <v>0</v>
      </c>
      <c r="II255" s="64"/>
      <c r="IJ255" s="74"/>
      <c r="IK255" s="73">
        <f t="shared" ref="IK255" si="4710">COUNTIF($M$255,IJ255)*$D$44</f>
        <v>0</v>
      </c>
      <c r="IL255" s="64"/>
      <c r="IM255" s="74"/>
      <c r="IN255" s="73">
        <f t="shared" ref="IN255" si="4711">COUNTIF($M$255,IM255)*$D$44</f>
        <v>0</v>
      </c>
      <c r="IO255" s="64"/>
      <c r="IP255" s="74"/>
      <c r="IQ255" s="73">
        <f t="shared" ref="IQ255" si="4712">COUNTIF($M$255,IP255)*$D$44</f>
        <v>0</v>
      </c>
      <c r="IR255" s="64"/>
      <c r="IS255" s="74"/>
      <c r="IT255" s="73">
        <f t="shared" ref="IT255" si="4713">COUNTIF($M$255,IS255)*$D$44</f>
        <v>0</v>
      </c>
      <c r="IU255" s="64"/>
      <c r="IV255" s="74"/>
      <c r="IW255" s="73">
        <f t="shared" ref="IW255" si="4714">COUNTIF($M$255,IV255)*$D$44</f>
        <v>0</v>
      </c>
      <c r="IX255" s="64"/>
      <c r="IY255" s="74"/>
      <c r="IZ255" s="73">
        <f t="shared" ref="IZ255" si="4715">COUNTIF($M$255,IY255)*$D$44</f>
        <v>0</v>
      </c>
      <c r="JA255" s="64"/>
      <c r="JB255" s="74"/>
      <c r="JC255" s="73">
        <f t="shared" ref="JC255" si="4716">COUNTIF($M$255,JB255)*$D$44</f>
        <v>0</v>
      </c>
      <c r="JD255" s="64"/>
      <c r="JE255" s="74"/>
      <c r="JF255" s="73">
        <f t="shared" ref="JF255" si="4717">COUNTIF($M$255,JE255)*$D$44</f>
        <v>0</v>
      </c>
      <c r="JG255" s="64"/>
      <c r="JH255" s="74"/>
      <c r="JI255" s="73">
        <f t="shared" ref="JI255" si="4718">COUNTIF($M$255,JH255)*$D$44</f>
        <v>0</v>
      </c>
      <c r="JJ255" s="64"/>
      <c r="JK255" s="74"/>
      <c r="JL255" s="73">
        <f t="shared" ref="JL255" si="4719">COUNTIF($M$255,JK255)*$D$44</f>
        <v>0</v>
      </c>
      <c r="JM255" s="64"/>
      <c r="JN255" s="74"/>
      <c r="JO255" s="73">
        <f t="shared" ref="JO255" si="4720">COUNTIF($M$255,JN255)*$D$44</f>
        <v>0</v>
      </c>
      <c r="JP255" s="64"/>
      <c r="JQ255" s="74"/>
      <c r="JR255" s="73">
        <f t="shared" ref="JR255" si="4721">COUNTIF($M$255,JQ255)*$D$44</f>
        <v>0</v>
      </c>
      <c r="JS255" s="64"/>
      <c r="JT255" s="74"/>
      <c r="JU255" s="73">
        <f t="shared" ref="JU255" si="4722">COUNTIF($M$255,JT255)*$D$44</f>
        <v>0</v>
      </c>
      <c r="JV255" s="64"/>
      <c r="JW255" s="74"/>
      <c r="JX255" s="73">
        <f t="shared" ref="JX255" si="4723">COUNTIF($M$255,JW255)*$D$44</f>
        <v>0</v>
      </c>
      <c r="JY255" s="64"/>
      <c r="JZ255" s="74"/>
      <c r="KA255" s="73">
        <f t="shared" ref="KA255" si="4724">COUNTIF($M$255,JZ255)*$D$44</f>
        <v>0</v>
      </c>
      <c r="KB255" s="64"/>
      <c r="KC255" s="74"/>
      <c r="KD255" s="73">
        <f t="shared" ref="KD255" si="4725">COUNTIF($M$255,KC255)*$D$44</f>
        <v>0</v>
      </c>
      <c r="KE255" s="64"/>
      <c r="KF255" s="74"/>
      <c r="KG255" s="73">
        <f t="shared" ref="KG255" si="4726">COUNTIF($M$255,KF255)*$D$44</f>
        <v>0</v>
      </c>
      <c r="KH255" s="64"/>
      <c r="KI255" s="74"/>
      <c r="KJ255" s="73">
        <f t="shared" ref="KJ255" si="4727">COUNTIF($M$255,KI255)*$D$44</f>
        <v>0</v>
      </c>
      <c r="KK255" s="64"/>
      <c r="KL255" s="74"/>
      <c r="KM255" s="73">
        <f t="shared" ref="KM255" si="4728">COUNTIF($M$255,KL255)*$D$44</f>
        <v>0</v>
      </c>
      <c r="KN255" s="64"/>
      <c r="KO255" s="74"/>
      <c r="KP255" s="73">
        <f t="shared" ref="KP255" si="4729">COUNTIF($M$255,KO255)*$D$44</f>
        <v>0</v>
      </c>
      <c r="KQ255" s="64"/>
      <c r="KR255" s="74"/>
      <c r="KS255" s="73">
        <f t="shared" ref="KS255" si="4730">COUNTIF($M$255,KR255)*$D$44</f>
        <v>0</v>
      </c>
      <c r="KT255" s="64"/>
      <c r="KU255" s="74"/>
      <c r="KV255" s="73">
        <f t="shared" ref="KV255" si="4731">COUNTIF($M$255,KU255)*$D$44</f>
        <v>0</v>
      </c>
      <c r="KW255" s="64"/>
      <c r="KX255" s="74"/>
      <c r="KY255" s="73">
        <f t="shared" ref="KY255" si="4732">COUNTIF($M$255,KX255)*$D$44</f>
        <v>0</v>
      </c>
      <c r="KZ255" s="64"/>
      <c r="LA255" s="74"/>
      <c r="LB255" s="73">
        <f t="shared" ref="LB255" si="4733">COUNTIF($M$255,LA255)*$D$44</f>
        <v>0</v>
      </c>
      <c r="LC255" s="64"/>
      <c r="LD255" s="74"/>
      <c r="LE255" s="73">
        <f t="shared" ref="LE255" si="4734">COUNTIF($M$255,LD255)*$D$44</f>
        <v>0</v>
      </c>
      <c r="LF255" s="64"/>
      <c r="LG255" s="64"/>
    </row>
    <row r="256" spans="1:319" ht="16.149999999999999" customHeight="1">
      <c r="A256" s="17"/>
      <c r="B256" s="17"/>
      <c r="C256" s="17"/>
      <c r="D256" s="17"/>
      <c r="E256" s="89"/>
      <c r="F256" s="407">
        <f t="shared" si="4140"/>
        <v>15</v>
      </c>
      <c r="G256" s="407">
        <f ca="1">VLOOKUP(H256,Equipos!$Q$1:$R$25,2,0)</f>
        <v>24</v>
      </c>
      <c r="H256" s="65" t="str">
        <f>Idiomas!$D$264</f>
        <v>3-4 &amp; Final</v>
      </c>
      <c r="I256" s="50"/>
      <c r="J256" s="100"/>
      <c r="K256" s="56" t="str">
        <f>WORLDCUP!W158</f>
        <v>Golden Ball (Best Player)</v>
      </c>
      <c r="L256" s="53"/>
      <c r="M256" s="55" t="str">
        <f>WORLDCUP!AA158</f>
        <v>Rodri</v>
      </c>
      <c r="N256" s="25"/>
      <c r="O256" s="25"/>
      <c r="P256" s="25"/>
      <c r="Q256" s="25"/>
      <c r="R256" s="17"/>
      <c r="S256" s="74" t="s">
        <v>1996</v>
      </c>
      <c r="T256" s="73">
        <f>COUNTIF($M$256,S256)*$D$45</f>
        <v>0</v>
      </c>
      <c r="U256" s="64"/>
      <c r="V256" s="74" t="s">
        <v>2034</v>
      </c>
      <c r="W256" s="73">
        <f t="shared" ref="W256" si="4735">COUNTIF($M$256,V256)*$D$45</f>
        <v>0</v>
      </c>
      <c r="X256" s="64"/>
      <c r="Y256" s="74" t="s">
        <v>2034</v>
      </c>
      <c r="Z256" s="73">
        <f t="shared" ref="Z256" si="4736">COUNTIF($M$256,Y256)*$D$45</f>
        <v>0</v>
      </c>
      <c r="AA256" s="64"/>
      <c r="AB256" s="74" t="s">
        <v>2101</v>
      </c>
      <c r="AC256" s="73">
        <f t="shared" ref="AC256" si="4737">COUNTIF($M$256,AB256)*$D$45</f>
        <v>0</v>
      </c>
      <c r="AD256" s="64"/>
      <c r="AE256" s="74" t="s">
        <v>2034</v>
      </c>
      <c r="AF256" s="73">
        <f t="shared" ref="AF256" si="4738">COUNTIF($M$256,AE256)*$D$45</f>
        <v>0</v>
      </c>
      <c r="AG256" s="64"/>
      <c r="AH256" s="74" t="s">
        <v>2033</v>
      </c>
      <c r="AI256" s="73">
        <f t="shared" ref="AI256" si="4739">COUNTIF($M$256,AH256)*$D$45</f>
        <v>0</v>
      </c>
      <c r="AJ256" s="64"/>
      <c r="AK256" s="74" t="s">
        <v>2186</v>
      </c>
      <c r="AL256" s="73">
        <f t="shared" ref="AL256" si="4740">COUNTIF($M$256,AK256)*$D$45</f>
        <v>0</v>
      </c>
      <c r="AM256" s="64"/>
      <c r="AN256" s="74" t="s">
        <v>2220</v>
      </c>
      <c r="AO256" s="73">
        <f t="shared" ref="AO256" si="4741">COUNTIF($M$256,AN256)*$D$45</f>
        <v>0</v>
      </c>
      <c r="AP256" s="64"/>
      <c r="AQ256" s="74" t="s">
        <v>2248</v>
      </c>
      <c r="AR256" s="73">
        <f t="shared" ref="AR256" si="4742">COUNTIF($M$256,AQ256)*$D$45</f>
        <v>0</v>
      </c>
      <c r="AS256" s="64"/>
      <c r="AT256" s="74" t="s">
        <v>2159</v>
      </c>
      <c r="AU256" s="73">
        <f t="shared" ref="AU256" si="4743">COUNTIF($M$256,AT256)*$D$45</f>
        <v>0</v>
      </c>
      <c r="AV256" s="64"/>
      <c r="AW256" s="74" t="s">
        <v>2033</v>
      </c>
      <c r="AX256" s="73">
        <f t="shared" ref="AX256" si="4744">COUNTIF($M$256,AW256)*$D$45</f>
        <v>0</v>
      </c>
      <c r="AY256" s="64"/>
      <c r="AZ256" s="74" t="s">
        <v>2248</v>
      </c>
      <c r="BA256" s="73">
        <f t="shared" ref="BA256" si="4745">COUNTIF($M$256,AZ256)*$D$45</f>
        <v>0</v>
      </c>
      <c r="BB256" s="64"/>
      <c r="BC256" s="74" t="s">
        <v>2345</v>
      </c>
      <c r="BD256" s="73">
        <f t="shared" ref="BD256" si="4746">COUNTIF($M$256,BC256)*$D$45</f>
        <v>0</v>
      </c>
      <c r="BE256" s="64"/>
      <c r="BF256" s="74" t="s">
        <v>2033</v>
      </c>
      <c r="BG256" s="73">
        <f t="shared" ref="BG256" si="4747">COUNTIF($M$256,BF256)*$D$45</f>
        <v>0</v>
      </c>
      <c r="BH256" s="64"/>
      <c r="BI256" s="74" t="s">
        <v>2401</v>
      </c>
      <c r="BJ256" s="73">
        <f t="shared" ref="BJ256" si="4748">COUNTIF($M$256,BI256)*$D$45</f>
        <v>0</v>
      </c>
      <c r="BK256" s="64"/>
      <c r="BL256" s="74" t="s">
        <v>1998</v>
      </c>
      <c r="BM256" s="73">
        <f t="shared" ref="BM256" si="4749">COUNTIF($M$256,BL256)*$D$45</f>
        <v>0</v>
      </c>
      <c r="BN256" s="64"/>
      <c r="BO256" s="74" t="s">
        <v>2441</v>
      </c>
      <c r="BP256" s="73">
        <f t="shared" ref="BP256" si="4750">COUNTIF($M$256,BO256)*$D$45</f>
        <v>0</v>
      </c>
      <c r="BQ256" s="64"/>
      <c r="BR256" s="74" t="s">
        <v>2102</v>
      </c>
      <c r="BS256" s="73">
        <f t="shared" ref="BS256" si="4751">COUNTIF($M$256,BR256)*$D$45</f>
        <v>0</v>
      </c>
      <c r="BT256" s="64"/>
      <c r="BU256" s="74" t="s">
        <v>2102</v>
      </c>
      <c r="BV256" s="73">
        <f t="shared" ref="BV256" si="4752">COUNTIF($M$256,BU256)*$D$45</f>
        <v>0</v>
      </c>
      <c r="BW256" s="64"/>
      <c r="BX256" s="74" t="s">
        <v>2489</v>
      </c>
      <c r="BY256" s="73">
        <f t="shared" ref="BY256" si="4753">COUNTIF($M$256,BX256)*$D$45</f>
        <v>0</v>
      </c>
      <c r="BZ256" s="64"/>
      <c r="CA256" s="74" t="s">
        <v>2476</v>
      </c>
      <c r="CB256" s="73">
        <f t="shared" ref="CB256" si="4754">COUNTIF($M$256,CA256)*$D$45</f>
        <v>0</v>
      </c>
      <c r="CC256" s="64"/>
      <c r="CD256" s="74" t="s">
        <v>2528</v>
      </c>
      <c r="CE256" s="73">
        <f t="shared" ref="CE256" si="4755">COUNTIF($M$256,CD256)*$D$45</f>
        <v>0</v>
      </c>
      <c r="CF256" s="64"/>
      <c r="CG256" s="74" t="s">
        <v>2034</v>
      </c>
      <c r="CH256" s="73">
        <f t="shared" ref="CH256" si="4756">COUNTIF($M$256,CG256)*$D$45</f>
        <v>0</v>
      </c>
      <c r="CI256" s="64"/>
      <c r="CJ256" s="74" t="s">
        <v>2569</v>
      </c>
      <c r="CK256" s="73">
        <f t="shared" ref="CK256" si="4757">COUNTIF($M$256,CJ256)*$D$45</f>
        <v>0</v>
      </c>
      <c r="CL256" s="64"/>
      <c r="CM256" s="74" t="s">
        <v>2367</v>
      </c>
      <c r="CN256" s="73">
        <f t="shared" ref="CN256" si="4758">COUNTIF($M$256,CM256)*$D$45</f>
        <v>0</v>
      </c>
      <c r="CO256" s="64"/>
      <c r="CP256" s="74" t="s">
        <v>2305</v>
      </c>
      <c r="CQ256" s="73">
        <f t="shared" ref="CQ256" si="4759">COUNTIF($M$256,CP256)*$D$45</f>
        <v>0</v>
      </c>
      <c r="CR256" s="64"/>
      <c r="CS256" s="74" t="s">
        <v>2630</v>
      </c>
      <c r="CT256" s="73">
        <f t="shared" ref="CT256" si="4760">COUNTIF($M$256,CS256)*$D$45</f>
        <v>0</v>
      </c>
      <c r="CU256" s="64"/>
      <c r="CV256" s="74" t="s">
        <v>2657</v>
      </c>
      <c r="CW256" s="73">
        <f t="shared" ref="CW256" si="4761">COUNTIF($M$256,CV256)*$D$45</f>
        <v>0</v>
      </c>
      <c r="CX256" s="64"/>
      <c r="CY256" s="74" t="s">
        <v>2692</v>
      </c>
      <c r="CZ256" s="73">
        <f t="shared" ref="CZ256" si="4762">COUNTIF($M$256,CY256)*$D$45</f>
        <v>0</v>
      </c>
      <c r="DA256" s="64"/>
      <c r="DB256" s="74" t="s">
        <v>2101</v>
      </c>
      <c r="DC256" s="73">
        <f t="shared" ref="DC256" si="4763">COUNTIF($M$256,DB256)*$D$45</f>
        <v>0</v>
      </c>
      <c r="DD256" s="64"/>
      <c r="DE256" s="74" t="s">
        <v>2101</v>
      </c>
      <c r="DF256" s="73">
        <f t="shared" ref="DF256" si="4764">COUNTIF($M$256,DE256)*$D$45</f>
        <v>0</v>
      </c>
      <c r="DG256" s="64"/>
      <c r="DH256" s="74" t="s">
        <v>2744</v>
      </c>
      <c r="DI256" s="73">
        <f t="shared" ref="DI256" si="4765">COUNTIF($M$256,DH256)*$D$45</f>
        <v>0</v>
      </c>
      <c r="DJ256" s="64"/>
      <c r="DK256" s="74" t="s">
        <v>2034</v>
      </c>
      <c r="DL256" s="73">
        <f t="shared" ref="DL256" si="4766">COUNTIF($M$256,DK256)*$D$45</f>
        <v>0</v>
      </c>
      <c r="DM256" s="64"/>
      <c r="DN256" s="74" t="s">
        <v>2248</v>
      </c>
      <c r="DO256" s="73">
        <f t="shared" ref="DO256" si="4767">COUNTIF($M$256,DN256)*$D$45</f>
        <v>0</v>
      </c>
      <c r="DP256" s="64"/>
      <c r="DQ256" s="74" t="s">
        <v>2787</v>
      </c>
      <c r="DR256" s="73">
        <f t="shared" ref="DR256" si="4768">COUNTIF($M$256,DQ256)*$D$45</f>
        <v>0</v>
      </c>
      <c r="DS256" s="64"/>
      <c r="DT256" s="74" t="s">
        <v>2442</v>
      </c>
      <c r="DU256" s="73">
        <f t="shared" ref="DU256" si="4769">COUNTIF($M$256,DT256)*$D$45</f>
        <v>0</v>
      </c>
      <c r="DV256" s="64"/>
      <c r="DW256" s="74" t="s">
        <v>2033</v>
      </c>
      <c r="DX256" s="73">
        <f t="shared" ref="DX256" si="4770">COUNTIF($M$256,DW256)*$D$45</f>
        <v>0</v>
      </c>
      <c r="DY256" s="64"/>
      <c r="DZ256" s="74" t="s">
        <v>2034</v>
      </c>
      <c r="EA256" s="73">
        <f t="shared" ref="EA256" si="4771">COUNTIF($M$256,DZ256)*$D$45</f>
        <v>0</v>
      </c>
      <c r="EB256" s="64"/>
      <c r="EC256" s="74" t="s">
        <v>2034</v>
      </c>
      <c r="ED256" s="73">
        <f t="shared" ref="ED256" si="4772">COUNTIF($M$256,EC256)*$D$45</f>
        <v>0</v>
      </c>
      <c r="EE256" s="64"/>
      <c r="EF256" s="74" t="s">
        <v>2855</v>
      </c>
      <c r="EG256" s="73">
        <f t="shared" ref="EG256" si="4773">COUNTIF($M$256,EF256)*$D$45</f>
        <v>0</v>
      </c>
      <c r="EH256" s="64"/>
      <c r="EI256" s="74" t="s">
        <v>2101</v>
      </c>
      <c r="EJ256" s="73">
        <f t="shared" ref="EJ256" si="4774">COUNTIF($M$256,EI256)*$D$45</f>
        <v>0</v>
      </c>
      <c r="EK256" s="64"/>
      <c r="EL256" s="74" t="s">
        <v>2033</v>
      </c>
      <c r="EM256" s="73">
        <f t="shared" ref="EM256" si="4775">COUNTIF($M$256,EL256)*$D$45</f>
        <v>0</v>
      </c>
      <c r="EN256" s="64"/>
      <c r="EO256" s="74" t="s">
        <v>2656</v>
      </c>
      <c r="EP256" s="73">
        <f t="shared" ref="EP256" si="4776">COUNTIF($M$256,EO256)*$D$45</f>
        <v>0</v>
      </c>
      <c r="EQ256" s="64"/>
      <c r="ER256" s="74" t="s">
        <v>2159</v>
      </c>
      <c r="ES256" s="73">
        <f t="shared" ref="ES256" si="4777">COUNTIF($M$256,ER256)*$D$45</f>
        <v>0</v>
      </c>
      <c r="ET256" s="64"/>
      <c r="EU256" s="74" t="s">
        <v>2036</v>
      </c>
      <c r="EV256" s="73">
        <f t="shared" ref="EV256" si="4778">COUNTIF($M$256,EU256)*$D$45</f>
        <v>0</v>
      </c>
      <c r="EW256" s="64"/>
      <c r="EX256" s="74" t="s">
        <v>2476</v>
      </c>
      <c r="EY256" s="73">
        <f t="shared" ref="EY256" si="4779">COUNTIF($M$256,EX256)*$D$45</f>
        <v>0</v>
      </c>
      <c r="EZ256" s="64"/>
      <c r="FA256" s="74" t="s">
        <v>2034</v>
      </c>
      <c r="FB256" s="73">
        <f t="shared" ref="FB256" si="4780">COUNTIF($M$256,FA256)*$D$45</f>
        <v>0</v>
      </c>
      <c r="FC256" s="64"/>
      <c r="FD256" s="74" t="s">
        <v>2947</v>
      </c>
      <c r="FE256" s="73">
        <f t="shared" ref="FE256" si="4781">COUNTIF($M$256,FD256)*$D$45</f>
        <v>0</v>
      </c>
      <c r="FF256" s="64"/>
      <c r="FG256" s="74" t="s">
        <v>2965</v>
      </c>
      <c r="FH256" s="73">
        <f t="shared" ref="FH256" si="4782">COUNTIF($M$256,FG256)*$D$45</f>
        <v>0</v>
      </c>
      <c r="FI256" s="64"/>
      <c r="FJ256" s="74" t="s">
        <v>2033</v>
      </c>
      <c r="FK256" s="73">
        <f t="shared" ref="FK256" si="4783">COUNTIF($M$256,FJ256)*$D$45</f>
        <v>0</v>
      </c>
      <c r="FL256" s="64"/>
      <c r="FM256" s="74" t="s">
        <v>2401</v>
      </c>
      <c r="FN256" s="73">
        <f t="shared" ref="FN256" si="4784">COUNTIF($M$256,FM256)*$D$45</f>
        <v>0</v>
      </c>
      <c r="FO256" s="64"/>
      <c r="FP256" s="74" t="s">
        <v>2104</v>
      </c>
      <c r="FQ256" s="73">
        <f t="shared" ref="FQ256" si="4785">COUNTIF($M$256,FP256)*$D$45</f>
        <v>0</v>
      </c>
      <c r="FR256" s="64"/>
      <c r="FS256" s="74" t="s">
        <v>2160</v>
      </c>
      <c r="FT256" s="73">
        <f t="shared" ref="FT256" si="4786">COUNTIF($M$256,FS256)*$D$45</f>
        <v>0</v>
      </c>
      <c r="FU256" s="64"/>
      <c r="FV256" s="74" t="s">
        <v>2999</v>
      </c>
      <c r="FW256" s="73">
        <f t="shared" ref="FW256" si="4787">COUNTIF($M$256,FV256)*$D$45</f>
        <v>0</v>
      </c>
      <c r="FX256" s="64"/>
      <c r="FY256" s="74" t="s">
        <v>2102</v>
      </c>
      <c r="FZ256" s="73">
        <f t="shared" ref="FZ256" si="4788">COUNTIF($M$256,FY256)*$D$45</f>
        <v>0</v>
      </c>
      <c r="GA256" s="64"/>
      <c r="GB256" s="74" t="s">
        <v>2033</v>
      </c>
      <c r="GC256" s="73">
        <f t="shared" ref="GC256" si="4789">COUNTIF($M$256,GB256)*$D$45</f>
        <v>0</v>
      </c>
      <c r="GD256" s="64"/>
      <c r="GE256" s="74" t="s">
        <v>3041</v>
      </c>
      <c r="GF256" s="73">
        <f t="shared" ref="GF256" si="4790">COUNTIF($M$256,GE256)*$D$45</f>
        <v>0</v>
      </c>
      <c r="GG256" s="64"/>
      <c r="GH256" s="74" t="s">
        <v>2034</v>
      </c>
      <c r="GI256" s="73">
        <f t="shared" ref="GI256" si="4791">COUNTIF($M$256,GH256)*$D$45</f>
        <v>0</v>
      </c>
      <c r="GJ256" s="64"/>
      <c r="GK256" s="74" t="s">
        <v>2656</v>
      </c>
      <c r="GL256" s="73">
        <f t="shared" ref="GL256" si="4792">COUNTIF($M$256,GK256)*$D$45</f>
        <v>0</v>
      </c>
      <c r="GM256" s="64"/>
      <c r="GN256" s="74"/>
      <c r="GO256" s="73">
        <f t="shared" ref="GO256" si="4793">COUNTIF($M$256,GN256)*$D$45</f>
        <v>0</v>
      </c>
      <c r="GP256" s="64"/>
      <c r="GQ256" s="74"/>
      <c r="GR256" s="73">
        <f t="shared" ref="GR256" si="4794">COUNTIF($M$256,GQ256)*$D$45</f>
        <v>0</v>
      </c>
      <c r="GS256" s="64"/>
      <c r="GT256" s="74"/>
      <c r="GU256" s="73">
        <f t="shared" ref="GU256" si="4795">COUNTIF($M$256,GT256)*$D$45</f>
        <v>0</v>
      </c>
      <c r="GV256" s="64"/>
      <c r="GW256" s="74"/>
      <c r="GX256" s="73">
        <f t="shared" ref="GX256" si="4796">COUNTIF($M$256,GW256)*$D$45</f>
        <v>0</v>
      </c>
      <c r="GY256" s="64"/>
      <c r="GZ256" s="74"/>
      <c r="HA256" s="73">
        <f t="shared" ref="HA256" si="4797">COUNTIF($M$256,GZ256)*$D$45</f>
        <v>0</v>
      </c>
      <c r="HB256" s="64"/>
      <c r="HC256" s="74"/>
      <c r="HD256" s="73">
        <f t="shared" ref="HD256" si="4798">COUNTIF($M$256,HC256)*$D$45</f>
        <v>0</v>
      </c>
      <c r="HE256" s="64"/>
      <c r="HF256" s="74"/>
      <c r="HG256" s="73">
        <f t="shared" ref="HG256" si="4799">COUNTIF($M$256,HF256)*$D$45</f>
        <v>0</v>
      </c>
      <c r="HH256" s="64"/>
      <c r="HI256" s="74"/>
      <c r="HJ256" s="73">
        <f t="shared" ref="HJ256" si="4800">COUNTIF($M$256,HI256)*$D$45</f>
        <v>0</v>
      </c>
      <c r="HK256" s="64"/>
      <c r="HL256" s="74"/>
      <c r="HM256" s="73">
        <f t="shared" ref="HM256" si="4801">COUNTIF($M$256,HL256)*$D$45</f>
        <v>0</v>
      </c>
      <c r="HN256" s="64"/>
      <c r="HO256" s="74"/>
      <c r="HP256" s="73">
        <f t="shared" ref="HP256" si="4802">COUNTIF($M$256,HO256)*$D$45</f>
        <v>0</v>
      </c>
      <c r="HQ256" s="64"/>
      <c r="HR256" s="74"/>
      <c r="HS256" s="73">
        <f t="shared" ref="HS256" si="4803">COUNTIF($M$256,HR256)*$D$45</f>
        <v>0</v>
      </c>
      <c r="HT256" s="64"/>
      <c r="HU256" s="74"/>
      <c r="HV256" s="73">
        <f t="shared" ref="HV256" si="4804">COUNTIF($M$256,HU256)*$D$45</f>
        <v>0</v>
      </c>
      <c r="HW256" s="64"/>
      <c r="HX256" s="74"/>
      <c r="HY256" s="73">
        <f t="shared" ref="HY256" si="4805">COUNTIF($M$256,HX256)*$D$45</f>
        <v>0</v>
      </c>
      <c r="HZ256" s="64"/>
      <c r="IA256" s="74"/>
      <c r="IB256" s="73">
        <f t="shared" ref="IB256" si="4806">COUNTIF($M$256,IA256)*$D$45</f>
        <v>0</v>
      </c>
      <c r="IC256" s="64"/>
      <c r="ID256" s="74"/>
      <c r="IE256" s="73">
        <f t="shared" ref="IE256" si="4807">COUNTIF($M$256,ID256)*$D$45</f>
        <v>0</v>
      </c>
      <c r="IF256" s="64"/>
      <c r="IG256" s="74"/>
      <c r="IH256" s="73">
        <f t="shared" ref="IH256" si="4808">COUNTIF($M$256,IG256)*$D$45</f>
        <v>0</v>
      </c>
      <c r="II256" s="64"/>
      <c r="IJ256" s="74"/>
      <c r="IK256" s="73">
        <f t="shared" ref="IK256" si="4809">COUNTIF($M$256,IJ256)*$D$45</f>
        <v>0</v>
      </c>
      <c r="IL256" s="64"/>
      <c r="IM256" s="74"/>
      <c r="IN256" s="73">
        <f t="shared" ref="IN256" si="4810">COUNTIF($M$256,IM256)*$D$45</f>
        <v>0</v>
      </c>
      <c r="IO256" s="64"/>
      <c r="IP256" s="74"/>
      <c r="IQ256" s="73">
        <f t="shared" ref="IQ256" si="4811">COUNTIF($M$256,IP256)*$D$45</f>
        <v>0</v>
      </c>
      <c r="IR256" s="64"/>
      <c r="IS256" s="74"/>
      <c r="IT256" s="73">
        <f t="shared" ref="IT256" si="4812">COUNTIF($M$256,IS256)*$D$45</f>
        <v>0</v>
      </c>
      <c r="IU256" s="64"/>
      <c r="IV256" s="74"/>
      <c r="IW256" s="73">
        <f t="shared" ref="IW256" si="4813">COUNTIF($M$256,IV256)*$D$45</f>
        <v>0</v>
      </c>
      <c r="IX256" s="64"/>
      <c r="IY256" s="74"/>
      <c r="IZ256" s="73">
        <f t="shared" ref="IZ256" si="4814">COUNTIF($M$256,IY256)*$D$45</f>
        <v>0</v>
      </c>
      <c r="JA256" s="64"/>
      <c r="JB256" s="74"/>
      <c r="JC256" s="73">
        <f t="shared" ref="JC256" si="4815">COUNTIF($M$256,JB256)*$D$45</f>
        <v>0</v>
      </c>
      <c r="JD256" s="64"/>
      <c r="JE256" s="74"/>
      <c r="JF256" s="73">
        <f t="shared" ref="JF256" si="4816">COUNTIF($M$256,JE256)*$D$45</f>
        <v>0</v>
      </c>
      <c r="JG256" s="64"/>
      <c r="JH256" s="74"/>
      <c r="JI256" s="73">
        <f t="shared" ref="JI256" si="4817">COUNTIF($M$256,JH256)*$D$45</f>
        <v>0</v>
      </c>
      <c r="JJ256" s="64"/>
      <c r="JK256" s="74"/>
      <c r="JL256" s="73">
        <f t="shared" ref="JL256" si="4818">COUNTIF($M$256,JK256)*$D$45</f>
        <v>0</v>
      </c>
      <c r="JM256" s="64"/>
      <c r="JN256" s="74"/>
      <c r="JO256" s="73">
        <f t="shared" ref="JO256" si="4819">COUNTIF($M$256,JN256)*$D$45</f>
        <v>0</v>
      </c>
      <c r="JP256" s="64"/>
      <c r="JQ256" s="74"/>
      <c r="JR256" s="73">
        <f t="shared" ref="JR256" si="4820">COUNTIF($M$256,JQ256)*$D$45</f>
        <v>0</v>
      </c>
      <c r="JS256" s="64"/>
      <c r="JT256" s="74"/>
      <c r="JU256" s="73">
        <f t="shared" ref="JU256" si="4821">COUNTIF($M$256,JT256)*$D$45</f>
        <v>0</v>
      </c>
      <c r="JV256" s="64"/>
      <c r="JW256" s="74"/>
      <c r="JX256" s="73">
        <f t="shared" ref="JX256" si="4822">COUNTIF($M$256,JW256)*$D$45</f>
        <v>0</v>
      </c>
      <c r="JY256" s="64"/>
      <c r="JZ256" s="74"/>
      <c r="KA256" s="73">
        <f t="shared" ref="KA256" si="4823">COUNTIF($M$256,JZ256)*$D$45</f>
        <v>0</v>
      </c>
      <c r="KB256" s="64"/>
      <c r="KC256" s="74"/>
      <c r="KD256" s="73">
        <f t="shared" ref="KD256" si="4824">COUNTIF($M$256,KC256)*$D$45</f>
        <v>0</v>
      </c>
      <c r="KE256" s="64"/>
      <c r="KF256" s="74"/>
      <c r="KG256" s="73">
        <f t="shared" ref="KG256" si="4825">COUNTIF($M$256,KF256)*$D$45</f>
        <v>0</v>
      </c>
      <c r="KH256" s="64"/>
      <c r="KI256" s="74"/>
      <c r="KJ256" s="73">
        <f t="shared" ref="KJ256" si="4826">COUNTIF($M$256,KI256)*$D$45</f>
        <v>0</v>
      </c>
      <c r="KK256" s="64"/>
      <c r="KL256" s="74"/>
      <c r="KM256" s="73">
        <f t="shared" ref="KM256" si="4827">COUNTIF($M$256,KL256)*$D$45</f>
        <v>0</v>
      </c>
      <c r="KN256" s="64"/>
      <c r="KO256" s="74"/>
      <c r="KP256" s="73">
        <f t="shared" ref="KP256" si="4828">COUNTIF($M$256,KO256)*$D$45</f>
        <v>0</v>
      </c>
      <c r="KQ256" s="64"/>
      <c r="KR256" s="74"/>
      <c r="KS256" s="73">
        <f t="shared" ref="KS256" si="4829">COUNTIF($M$256,KR256)*$D$45</f>
        <v>0</v>
      </c>
      <c r="KT256" s="64"/>
      <c r="KU256" s="74"/>
      <c r="KV256" s="73">
        <f t="shared" ref="KV256" si="4830">COUNTIF($M$256,KU256)*$D$45</f>
        <v>0</v>
      </c>
      <c r="KW256" s="64"/>
      <c r="KX256" s="74"/>
      <c r="KY256" s="73">
        <f t="shared" ref="KY256" si="4831">COUNTIF($M$256,KX256)*$D$45</f>
        <v>0</v>
      </c>
      <c r="KZ256" s="64"/>
      <c r="LA256" s="74"/>
      <c r="LB256" s="73">
        <f t="shared" ref="LB256" si="4832">COUNTIF($M$256,LA256)*$D$45</f>
        <v>0</v>
      </c>
      <c r="LC256" s="64"/>
      <c r="LD256" s="74"/>
      <c r="LE256" s="73">
        <f t="shared" ref="LE256" si="4833">COUNTIF($M$256,LD256)*$D$45</f>
        <v>0</v>
      </c>
      <c r="LF256" s="64"/>
      <c r="LG256" s="64"/>
    </row>
    <row r="257" spans="1:319" ht="16.149999999999999" customHeight="1">
      <c r="A257" s="17"/>
      <c r="B257" s="17"/>
      <c r="C257" s="17"/>
      <c r="D257" s="17"/>
      <c r="E257" s="89"/>
      <c r="F257" s="407">
        <f t="shared" si="4140"/>
        <v>8</v>
      </c>
      <c r="G257" s="407">
        <f ca="1">VLOOKUP(H257,Equipos!$Q$1:$R$25,2,0)</f>
        <v>24</v>
      </c>
      <c r="H257" s="65" t="str">
        <f>Idiomas!$D$264</f>
        <v>3-4 &amp; Final</v>
      </c>
      <c r="I257" s="50"/>
      <c r="J257" s="101"/>
      <c r="K257" s="56" t="str">
        <f>WORLDCUP!W159</f>
        <v>Silver Ball (2nd Best Player)</v>
      </c>
      <c r="L257" s="53"/>
      <c r="M257" s="55" t="str">
        <f>WORLDCUP!AA159</f>
        <v>Messi</v>
      </c>
      <c r="N257" s="25"/>
      <c r="O257" s="25"/>
      <c r="P257" s="25"/>
      <c r="Q257" s="25"/>
      <c r="R257" s="17"/>
      <c r="S257" s="74" t="s">
        <v>1997</v>
      </c>
      <c r="T257" s="73">
        <f>COUNTIF($M$257,S257)*$D$46</f>
        <v>0</v>
      </c>
      <c r="U257" s="64"/>
      <c r="V257" s="74" t="s">
        <v>2033</v>
      </c>
      <c r="W257" s="73">
        <f t="shared" ref="W257" si="4834">COUNTIF($M$257,V257)*$D$46</f>
        <v>0</v>
      </c>
      <c r="X257" s="64"/>
      <c r="Y257" s="74" t="s">
        <v>2033</v>
      </c>
      <c r="Z257" s="73">
        <f t="shared" ref="Z257" si="4835">COUNTIF($M$257,Y257)*$D$46</f>
        <v>0</v>
      </c>
      <c r="AA257" s="64"/>
      <c r="AB257" s="74" t="s">
        <v>2104</v>
      </c>
      <c r="AC257" s="73">
        <f t="shared" ref="AC257" si="4836">COUNTIF($M$257,AB257)*$D$46</f>
        <v>0</v>
      </c>
      <c r="AD257" s="64"/>
      <c r="AE257" s="74" t="s">
        <v>2104</v>
      </c>
      <c r="AF257" s="73">
        <f t="shared" ref="AF257" si="4837">COUNTIF($M$257,AE257)*$D$46</f>
        <v>0</v>
      </c>
      <c r="AG257" s="64"/>
      <c r="AH257" s="74" t="s">
        <v>2160</v>
      </c>
      <c r="AI257" s="73">
        <f t="shared" ref="AI257" si="4838">COUNTIF($M$257,AH257)*$D$46</f>
        <v>0</v>
      </c>
      <c r="AJ257" s="64"/>
      <c r="AK257" s="74" t="s">
        <v>2033</v>
      </c>
      <c r="AL257" s="73">
        <f t="shared" ref="AL257" si="4839">COUNTIF($M$257,AK257)*$D$46</f>
        <v>0</v>
      </c>
      <c r="AM257" s="64"/>
      <c r="AN257" s="74" t="s">
        <v>2223</v>
      </c>
      <c r="AO257" s="73">
        <f t="shared" ref="AO257" si="4840">COUNTIF($M$257,AN257)*$D$46</f>
        <v>0</v>
      </c>
      <c r="AP257" s="64"/>
      <c r="AQ257" s="74" t="s">
        <v>2249</v>
      </c>
      <c r="AR257" s="73">
        <f t="shared" ref="AR257" si="4841">COUNTIF($M$257,AQ257)*$D$46</f>
        <v>0</v>
      </c>
      <c r="AS257" s="64"/>
      <c r="AT257" s="74" t="s">
        <v>2248</v>
      </c>
      <c r="AU257" s="73">
        <f t="shared" ref="AU257" si="4842">COUNTIF($M$257,AT257)*$D$46</f>
        <v>0</v>
      </c>
      <c r="AV257" s="64"/>
      <c r="AW257" s="74" t="s">
        <v>2305</v>
      </c>
      <c r="AX257" s="73">
        <f t="shared" ref="AX257" si="4843">COUNTIF($M$257,AW257)*$D$46</f>
        <v>0</v>
      </c>
      <c r="AY257" s="64"/>
      <c r="AZ257" s="74" t="s">
        <v>2101</v>
      </c>
      <c r="BA257" s="73">
        <f t="shared" ref="BA257" si="4844">COUNTIF($M$257,AZ257)*$D$46</f>
        <v>0</v>
      </c>
      <c r="BB257" s="64"/>
      <c r="BC257" s="74" t="s">
        <v>2346</v>
      </c>
      <c r="BD257" s="73">
        <f t="shared" ref="BD257" si="4845">COUNTIF($M$257,BC257)*$D$46</f>
        <v>0</v>
      </c>
      <c r="BE257" s="64"/>
      <c r="BF257" s="74" t="s">
        <v>2159</v>
      </c>
      <c r="BG257" s="73">
        <f t="shared" ref="BG257" si="4846">COUNTIF($M$257,BF257)*$D$46</f>
        <v>0</v>
      </c>
      <c r="BH257" s="64"/>
      <c r="BI257" s="74" t="s">
        <v>2402</v>
      </c>
      <c r="BJ257" s="73">
        <f t="shared" ref="BJ257" si="4847">COUNTIF($M$257,BI257)*$D$46</f>
        <v>0</v>
      </c>
      <c r="BK257" s="64"/>
      <c r="BL257" s="74" t="s">
        <v>2417</v>
      </c>
      <c r="BM257" s="73">
        <f t="shared" ref="BM257" si="4848">COUNTIF($M$257,BL257)*$D$46</f>
        <v>0</v>
      </c>
      <c r="BN257" s="64"/>
      <c r="BO257" s="74" t="s">
        <v>2442</v>
      </c>
      <c r="BP257" s="73">
        <f t="shared" ref="BP257" si="4849">COUNTIF($M$257,BO257)*$D$46</f>
        <v>0</v>
      </c>
      <c r="BQ257" s="64"/>
      <c r="BR257" s="74" t="s">
        <v>2442</v>
      </c>
      <c r="BS257" s="73">
        <f t="shared" ref="BS257" si="4850">COUNTIF($M$257,BR257)*$D$46</f>
        <v>0</v>
      </c>
      <c r="BT257" s="64"/>
      <c r="BU257" s="74" t="s">
        <v>2476</v>
      </c>
      <c r="BV257" s="73">
        <f t="shared" ref="BV257" si="4851">COUNTIF($M$257,BU257)*$D$46</f>
        <v>0</v>
      </c>
      <c r="BW257" s="64"/>
      <c r="BX257" s="74" t="s">
        <v>2442</v>
      </c>
      <c r="BY257" s="73">
        <f t="shared" ref="BY257" si="4852">COUNTIF($M$257,BX257)*$D$46</f>
        <v>0</v>
      </c>
      <c r="BZ257" s="64"/>
      <c r="CA257" s="74" t="s">
        <v>2102</v>
      </c>
      <c r="CB257" s="73">
        <f t="shared" ref="CB257" si="4853">COUNTIF($M$257,CA257)*$D$46</f>
        <v>0</v>
      </c>
      <c r="CC257" s="64"/>
      <c r="CD257" s="74" t="s">
        <v>2529</v>
      </c>
      <c r="CE257" s="73">
        <f t="shared" ref="CE257" si="4854">COUNTIF($M$257,CD257)*$D$46</f>
        <v>0</v>
      </c>
      <c r="CF257" s="64"/>
      <c r="CG257" s="74" t="s">
        <v>2545</v>
      </c>
      <c r="CH257" s="73">
        <f t="shared" ref="CH257" si="4855">COUNTIF($M$257,CG257)*$D$46</f>
        <v>0</v>
      </c>
      <c r="CI257" s="64"/>
      <c r="CJ257" s="74" t="s">
        <v>2570</v>
      </c>
      <c r="CK257" s="73">
        <f t="shared" ref="CK257" si="4856">COUNTIF($M$257,CJ257)*$D$46</f>
        <v>0</v>
      </c>
      <c r="CL257" s="64"/>
      <c r="CM257" s="74" t="s">
        <v>2067</v>
      </c>
      <c r="CN257" s="73">
        <f t="shared" ref="CN257" si="4857">COUNTIF($M$257,CM257)*$D$46</f>
        <v>0</v>
      </c>
      <c r="CO257" s="64"/>
      <c r="CP257" s="74" t="s">
        <v>2033</v>
      </c>
      <c r="CQ257" s="73">
        <f t="shared" ref="CQ257" si="4858">COUNTIF($M$257,CP257)*$D$46</f>
        <v>0</v>
      </c>
      <c r="CR257" s="64"/>
      <c r="CS257" s="74" t="s">
        <v>2160</v>
      </c>
      <c r="CT257" s="73">
        <f t="shared" ref="CT257" si="4859">COUNTIF($M$257,CS257)*$D$46</f>
        <v>0</v>
      </c>
      <c r="CU257" s="64"/>
      <c r="CV257" s="74" t="s">
        <v>2658</v>
      </c>
      <c r="CW257" s="73">
        <f t="shared" ref="CW257" si="4860">COUNTIF($M$257,CV257)*$D$46</f>
        <v>0</v>
      </c>
      <c r="CX257" s="64"/>
      <c r="CY257" s="74" t="s">
        <v>2693</v>
      </c>
      <c r="CZ257" s="73">
        <f t="shared" ref="CZ257" si="4861">COUNTIF($M$257,CY257)*$D$46</f>
        <v>0</v>
      </c>
      <c r="DA257" s="64"/>
      <c r="DB257" s="74" t="s">
        <v>2441</v>
      </c>
      <c r="DC257" s="73">
        <f t="shared" ref="DC257" si="4862">COUNTIF($M$257,DB257)*$D$46</f>
        <v>8</v>
      </c>
      <c r="DD257" s="64"/>
      <c r="DE257" s="74" t="s">
        <v>2248</v>
      </c>
      <c r="DF257" s="73">
        <f t="shared" ref="DF257" si="4863">COUNTIF($M$257,DE257)*$D$46</f>
        <v>0</v>
      </c>
      <c r="DG257" s="64"/>
      <c r="DH257" s="74" t="s">
        <v>2033</v>
      </c>
      <c r="DI257" s="73">
        <f t="shared" ref="DI257" si="4864">COUNTIF($M$257,DH257)*$D$46</f>
        <v>0</v>
      </c>
      <c r="DJ257" s="64"/>
      <c r="DK257" s="74" t="s">
        <v>2033</v>
      </c>
      <c r="DL257" s="73">
        <f t="shared" ref="DL257" si="4865">COUNTIF($M$257,DK257)*$D$46</f>
        <v>0</v>
      </c>
      <c r="DM257" s="64"/>
      <c r="DN257" s="74" t="s">
        <v>2775</v>
      </c>
      <c r="DO257" s="73">
        <f t="shared" ref="DO257" si="4866">COUNTIF($M$257,DN257)*$D$46</f>
        <v>0</v>
      </c>
      <c r="DP257" s="64"/>
      <c r="DQ257" s="74" t="s">
        <v>2788</v>
      </c>
      <c r="DR257" s="73">
        <f t="shared" ref="DR257" si="4867">COUNTIF($M$257,DQ257)*$D$46</f>
        <v>0</v>
      </c>
      <c r="DS257" s="64"/>
      <c r="DT257" s="74" t="s">
        <v>2488</v>
      </c>
      <c r="DU257" s="73">
        <f t="shared" ref="DU257" si="4868">COUNTIF($M$257,DT257)*$D$46</f>
        <v>0</v>
      </c>
      <c r="DV257" s="64"/>
      <c r="DW257" s="74" t="s">
        <v>2367</v>
      </c>
      <c r="DX257" s="73">
        <f t="shared" ref="DX257" si="4869">COUNTIF($M$257,DW257)*$D$46</f>
        <v>0</v>
      </c>
      <c r="DY257" s="64"/>
      <c r="DZ257" s="74" t="s">
        <v>2033</v>
      </c>
      <c r="EA257" s="73">
        <f t="shared" ref="EA257" si="4870">COUNTIF($M$257,DZ257)*$D$46</f>
        <v>0</v>
      </c>
      <c r="EB257" s="64"/>
      <c r="EC257" s="74" t="s">
        <v>2441</v>
      </c>
      <c r="ED257" s="73">
        <f t="shared" ref="ED257" si="4871">COUNTIF($M$257,EC257)*$D$46</f>
        <v>8</v>
      </c>
      <c r="EE257" s="64"/>
      <c r="EF257" s="74" t="s">
        <v>2852</v>
      </c>
      <c r="EG257" s="73">
        <f t="shared" ref="EG257" si="4872">COUNTIF($M$257,EF257)*$D$46</f>
        <v>0</v>
      </c>
      <c r="EH257" s="64"/>
      <c r="EI257" s="74" t="s">
        <v>2248</v>
      </c>
      <c r="EJ257" s="73">
        <f t="shared" ref="EJ257" si="4873">COUNTIF($M$257,EI257)*$D$46</f>
        <v>0</v>
      </c>
      <c r="EK257" s="64"/>
      <c r="EL257" s="74" t="s">
        <v>2441</v>
      </c>
      <c r="EM257" s="73">
        <f t="shared" ref="EM257" si="4874">COUNTIF($M$257,EL257)*$D$46</f>
        <v>8</v>
      </c>
      <c r="EN257" s="64"/>
      <c r="EO257" s="74" t="s">
        <v>2528</v>
      </c>
      <c r="EP257" s="73">
        <f t="shared" ref="EP257" si="4875">COUNTIF($M$257,EO257)*$D$46</f>
        <v>0</v>
      </c>
      <c r="EQ257" s="64"/>
      <c r="ER257" s="74" t="s">
        <v>2441</v>
      </c>
      <c r="ES257" s="73">
        <f t="shared" ref="ES257" si="4876">COUNTIF($M$257,ER257)*$D$46</f>
        <v>8</v>
      </c>
      <c r="ET257" s="64"/>
      <c r="EU257" s="74" t="s">
        <v>2917</v>
      </c>
      <c r="EV257" s="73">
        <f t="shared" ref="EV257" si="4877">COUNTIF($M$257,EU257)*$D$46</f>
        <v>0</v>
      </c>
      <c r="EW257" s="64"/>
      <c r="EX257" s="74" t="s">
        <v>2248</v>
      </c>
      <c r="EY257" s="73">
        <f t="shared" ref="EY257" si="4878">COUNTIF($M$257,EX257)*$D$46</f>
        <v>0</v>
      </c>
      <c r="EZ257" s="64"/>
      <c r="FA257" s="74" t="s">
        <v>2033</v>
      </c>
      <c r="FB257" s="73">
        <f t="shared" ref="FB257" si="4879">COUNTIF($M$257,FA257)*$D$46</f>
        <v>0</v>
      </c>
      <c r="FC257" s="64"/>
      <c r="FD257" s="74" t="s">
        <v>2101</v>
      </c>
      <c r="FE257" s="73">
        <f t="shared" ref="FE257" si="4880">COUNTIF($M$257,FD257)*$D$46</f>
        <v>0</v>
      </c>
      <c r="FF257" s="64"/>
      <c r="FG257" s="74" t="s">
        <v>2916</v>
      </c>
      <c r="FH257" s="73">
        <f t="shared" ref="FH257" si="4881">COUNTIF($M$257,FG257)*$D$46</f>
        <v>0</v>
      </c>
      <c r="FI257" s="64"/>
      <c r="FJ257" s="74" t="s">
        <v>2367</v>
      </c>
      <c r="FK257" s="73">
        <f t="shared" ref="FK257" si="4882">COUNTIF($M$257,FJ257)*$D$46</f>
        <v>0</v>
      </c>
      <c r="FL257" s="64"/>
      <c r="FM257" s="74" t="s">
        <v>2034</v>
      </c>
      <c r="FN257" s="73">
        <f t="shared" ref="FN257" si="4883">COUNTIF($M$257,FM257)*$D$46</f>
        <v>0</v>
      </c>
      <c r="FO257" s="64"/>
      <c r="FP257" s="74" t="s">
        <v>2068</v>
      </c>
      <c r="FQ257" s="73">
        <f t="shared" ref="FQ257" si="4884">COUNTIF($M$257,FP257)*$D$46</f>
        <v>0</v>
      </c>
      <c r="FR257" s="64"/>
      <c r="FS257" s="74" t="s">
        <v>2033</v>
      </c>
      <c r="FT257" s="73">
        <f t="shared" ref="FT257" si="4885">COUNTIF($M$257,FS257)*$D$46</f>
        <v>0</v>
      </c>
      <c r="FU257" s="64"/>
      <c r="FV257" s="74" t="s">
        <v>2442</v>
      </c>
      <c r="FW257" s="73">
        <f t="shared" ref="FW257" si="4886">COUNTIF($M$257,FV257)*$D$46</f>
        <v>0</v>
      </c>
      <c r="FX257" s="64"/>
      <c r="FY257" s="74" t="s">
        <v>3014</v>
      </c>
      <c r="FZ257" s="73">
        <f t="shared" ref="FZ257" si="4887">COUNTIF($M$257,FY257)*$D$46</f>
        <v>0</v>
      </c>
      <c r="GA257" s="64"/>
      <c r="GB257" s="74" t="s">
        <v>3029</v>
      </c>
      <c r="GC257" s="73">
        <f t="shared" ref="GC257" si="4888">COUNTIF($M$257,GB257)*$D$46</f>
        <v>0</v>
      </c>
      <c r="GD257" s="64"/>
      <c r="GE257" s="74" t="s">
        <v>3042</v>
      </c>
      <c r="GF257" s="73">
        <f t="shared" ref="GF257" si="4889">COUNTIF($M$257,GE257)*$D$46</f>
        <v>0</v>
      </c>
      <c r="GG257" s="64"/>
      <c r="GH257" s="74" t="s">
        <v>3056</v>
      </c>
      <c r="GI257" s="73">
        <f t="shared" ref="GI257" si="4890">COUNTIF($M$257,GH257)*$D$46</f>
        <v>0</v>
      </c>
      <c r="GJ257" s="64"/>
      <c r="GK257" s="74" t="s">
        <v>2545</v>
      </c>
      <c r="GL257" s="73">
        <f t="shared" ref="GL257" si="4891">COUNTIF($M$257,GK257)*$D$46</f>
        <v>0</v>
      </c>
      <c r="GM257" s="64"/>
      <c r="GN257" s="74"/>
      <c r="GO257" s="73">
        <f t="shared" ref="GO257" si="4892">COUNTIF($M$257,GN257)*$D$46</f>
        <v>0</v>
      </c>
      <c r="GP257" s="64"/>
      <c r="GQ257" s="74"/>
      <c r="GR257" s="73">
        <f t="shared" ref="GR257" si="4893">COUNTIF($M$257,GQ257)*$D$46</f>
        <v>0</v>
      </c>
      <c r="GS257" s="64"/>
      <c r="GT257" s="74"/>
      <c r="GU257" s="73">
        <f t="shared" ref="GU257" si="4894">COUNTIF($M$257,GT257)*$D$46</f>
        <v>0</v>
      </c>
      <c r="GV257" s="64"/>
      <c r="GW257" s="74"/>
      <c r="GX257" s="73">
        <f t="shared" ref="GX257" si="4895">COUNTIF($M$257,GW257)*$D$46</f>
        <v>0</v>
      </c>
      <c r="GY257" s="64"/>
      <c r="GZ257" s="74"/>
      <c r="HA257" s="73">
        <f t="shared" ref="HA257" si="4896">COUNTIF($M$257,GZ257)*$D$46</f>
        <v>0</v>
      </c>
      <c r="HB257" s="64"/>
      <c r="HC257" s="74"/>
      <c r="HD257" s="73">
        <f t="shared" ref="HD257" si="4897">COUNTIF($M$257,HC257)*$D$46</f>
        <v>0</v>
      </c>
      <c r="HE257" s="64"/>
      <c r="HF257" s="74"/>
      <c r="HG257" s="73">
        <f t="shared" ref="HG257" si="4898">COUNTIF($M$257,HF257)*$D$46</f>
        <v>0</v>
      </c>
      <c r="HH257" s="64"/>
      <c r="HI257" s="74"/>
      <c r="HJ257" s="73">
        <f t="shared" ref="HJ257" si="4899">COUNTIF($M$257,HI257)*$D$46</f>
        <v>0</v>
      </c>
      <c r="HK257" s="64"/>
      <c r="HL257" s="74"/>
      <c r="HM257" s="73">
        <f t="shared" ref="HM257" si="4900">COUNTIF($M$257,HL257)*$D$46</f>
        <v>0</v>
      </c>
      <c r="HN257" s="64"/>
      <c r="HO257" s="74"/>
      <c r="HP257" s="73">
        <f t="shared" ref="HP257" si="4901">COUNTIF($M$257,HO257)*$D$46</f>
        <v>0</v>
      </c>
      <c r="HQ257" s="64"/>
      <c r="HR257" s="74"/>
      <c r="HS257" s="73">
        <f t="shared" ref="HS257" si="4902">COUNTIF($M$257,HR257)*$D$46</f>
        <v>0</v>
      </c>
      <c r="HT257" s="64"/>
      <c r="HU257" s="74"/>
      <c r="HV257" s="73">
        <f t="shared" ref="HV257" si="4903">COUNTIF($M$257,HU257)*$D$46</f>
        <v>0</v>
      </c>
      <c r="HW257" s="64"/>
      <c r="HX257" s="74"/>
      <c r="HY257" s="73">
        <f t="shared" ref="HY257" si="4904">COUNTIF($M$257,HX257)*$D$46</f>
        <v>0</v>
      </c>
      <c r="HZ257" s="64"/>
      <c r="IA257" s="74"/>
      <c r="IB257" s="73">
        <f t="shared" ref="IB257" si="4905">COUNTIF($M$257,IA257)*$D$46</f>
        <v>0</v>
      </c>
      <c r="IC257" s="64"/>
      <c r="ID257" s="74"/>
      <c r="IE257" s="73">
        <f t="shared" ref="IE257" si="4906">COUNTIF($M$257,ID257)*$D$46</f>
        <v>0</v>
      </c>
      <c r="IF257" s="64"/>
      <c r="IG257" s="74"/>
      <c r="IH257" s="73">
        <f t="shared" ref="IH257" si="4907">COUNTIF($M$257,IG257)*$D$46</f>
        <v>0</v>
      </c>
      <c r="II257" s="64"/>
      <c r="IJ257" s="74"/>
      <c r="IK257" s="73">
        <f t="shared" ref="IK257" si="4908">COUNTIF($M$257,IJ257)*$D$46</f>
        <v>0</v>
      </c>
      <c r="IL257" s="64"/>
      <c r="IM257" s="74"/>
      <c r="IN257" s="73">
        <f t="shared" ref="IN257" si="4909">COUNTIF($M$257,IM257)*$D$46</f>
        <v>0</v>
      </c>
      <c r="IO257" s="64"/>
      <c r="IP257" s="74"/>
      <c r="IQ257" s="73">
        <f t="shared" ref="IQ257" si="4910">COUNTIF($M$257,IP257)*$D$46</f>
        <v>0</v>
      </c>
      <c r="IR257" s="64"/>
      <c r="IS257" s="74"/>
      <c r="IT257" s="73">
        <f t="shared" ref="IT257" si="4911">COUNTIF($M$257,IS257)*$D$46</f>
        <v>0</v>
      </c>
      <c r="IU257" s="64"/>
      <c r="IV257" s="74"/>
      <c r="IW257" s="73">
        <f t="shared" ref="IW257" si="4912">COUNTIF($M$257,IV257)*$D$46</f>
        <v>0</v>
      </c>
      <c r="IX257" s="64"/>
      <c r="IY257" s="74"/>
      <c r="IZ257" s="73">
        <f t="shared" ref="IZ257" si="4913">COUNTIF($M$257,IY257)*$D$46</f>
        <v>0</v>
      </c>
      <c r="JA257" s="64"/>
      <c r="JB257" s="74"/>
      <c r="JC257" s="73">
        <f t="shared" ref="JC257" si="4914">COUNTIF($M$257,JB257)*$D$46</f>
        <v>0</v>
      </c>
      <c r="JD257" s="64"/>
      <c r="JE257" s="74"/>
      <c r="JF257" s="73">
        <f t="shared" ref="JF257" si="4915">COUNTIF($M$257,JE257)*$D$46</f>
        <v>0</v>
      </c>
      <c r="JG257" s="64"/>
      <c r="JH257" s="74"/>
      <c r="JI257" s="73">
        <f t="shared" ref="JI257" si="4916">COUNTIF($M$257,JH257)*$D$46</f>
        <v>0</v>
      </c>
      <c r="JJ257" s="64"/>
      <c r="JK257" s="74"/>
      <c r="JL257" s="73">
        <f t="shared" ref="JL257" si="4917">COUNTIF($M$257,JK257)*$D$46</f>
        <v>0</v>
      </c>
      <c r="JM257" s="64"/>
      <c r="JN257" s="74"/>
      <c r="JO257" s="73">
        <f t="shared" ref="JO257" si="4918">COUNTIF($M$257,JN257)*$D$46</f>
        <v>0</v>
      </c>
      <c r="JP257" s="64"/>
      <c r="JQ257" s="74"/>
      <c r="JR257" s="73">
        <f t="shared" ref="JR257" si="4919">COUNTIF($M$257,JQ257)*$D$46</f>
        <v>0</v>
      </c>
      <c r="JS257" s="64"/>
      <c r="JT257" s="74"/>
      <c r="JU257" s="73">
        <f t="shared" ref="JU257" si="4920">COUNTIF($M$257,JT257)*$D$46</f>
        <v>0</v>
      </c>
      <c r="JV257" s="64"/>
      <c r="JW257" s="74"/>
      <c r="JX257" s="73">
        <f t="shared" ref="JX257" si="4921">COUNTIF($M$257,JW257)*$D$46</f>
        <v>0</v>
      </c>
      <c r="JY257" s="64"/>
      <c r="JZ257" s="74"/>
      <c r="KA257" s="73">
        <f t="shared" ref="KA257" si="4922">COUNTIF($M$257,JZ257)*$D$46</f>
        <v>0</v>
      </c>
      <c r="KB257" s="64"/>
      <c r="KC257" s="74"/>
      <c r="KD257" s="73">
        <f t="shared" ref="KD257" si="4923">COUNTIF($M$257,KC257)*$D$46</f>
        <v>0</v>
      </c>
      <c r="KE257" s="64"/>
      <c r="KF257" s="74"/>
      <c r="KG257" s="73">
        <f t="shared" ref="KG257" si="4924">COUNTIF($M$257,KF257)*$D$46</f>
        <v>0</v>
      </c>
      <c r="KH257" s="64"/>
      <c r="KI257" s="74"/>
      <c r="KJ257" s="73">
        <f t="shared" ref="KJ257" si="4925">COUNTIF($M$257,KI257)*$D$46</f>
        <v>0</v>
      </c>
      <c r="KK257" s="64"/>
      <c r="KL257" s="74"/>
      <c r="KM257" s="73">
        <f t="shared" ref="KM257" si="4926">COUNTIF($M$257,KL257)*$D$46</f>
        <v>0</v>
      </c>
      <c r="KN257" s="64"/>
      <c r="KO257" s="74"/>
      <c r="KP257" s="73">
        <f t="shared" ref="KP257" si="4927">COUNTIF($M$257,KO257)*$D$46</f>
        <v>0</v>
      </c>
      <c r="KQ257" s="64"/>
      <c r="KR257" s="74"/>
      <c r="KS257" s="73">
        <f t="shared" ref="KS257" si="4928">COUNTIF($M$257,KR257)*$D$46</f>
        <v>0</v>
      </c>
      <c r="KT257" s="64"/>
      <c r="KU257" s="74"/>
      <c r="KV257" s="73">
        <f t="shared" ref="KV257" si="4929">COUNTIF($M$257,KU257)*$D$46</f>
        <v>0</v>
      </c>
      <c r="KW257" s="64"/>
      <c r="KX257" s="74"/>
      <c r="KY257" s="73">
        <f t="shared" ref="KY257" si="4930">COUNTIF($M$257,KX257)*$D$46</f>
        <v>0</v>
      </c>
      <c r="KZ257" s="64"/>
      <c r="LA257" s="74"/>
      <c r="LB257" s="73">
        <f t="shared" ref="LB257" si="4931">COUNTIF($M$257,LA257)*$D$46</f>
        <v>0</v>
      </c>
      <c r="LC257" s="64"/>
      <c r="LD257" s="74"/>
      <c r="LE257" s="73">
        <f t="shared" ref="LE257" si="4932">COUNTIF($M$257,LD257)*$D$46</f>
        <v>0</v>
      </c>
      <c r="LF257" s="64"/>
      <c r="LG257" s="64"/>
    </row>
    <row r="258" spans="1:319" ht="16.149999999999999" customHeight="1">
      <c r="A258" s="17"/>
      <c r="B258" s="17"/>
      <c r="C258" s="17"/>
      <c r="D258" s="17"/>
      <c r="E258" s="89"/>
      <c r="F258" s="407">
        <f t="shared" si="4140"/>
        <v>4</v>
      </c>
      <c r="G258" s="407">
        <f ca="1">VLOOKUP(H258,Equipos!$Q$1:$R$25,2,0)</f>
        <v>24</v>
      </c>
      <c r="H258" s="65" t="str">
        <f>Idiomas!$D$264</f>
        <v>3-4 &amp; Final</v>
      </c>
      <c r="I258" s="50"/>
      <c r="J258" s="101"/>
      <c r="K258" s="115" t="str">
        <f>WORLDCUP!W160</f>
        <v>Bronze Ball (3rd Best Player))</v>
      </c>
      <c r="L258" s="115"/>
      <c r="M258" s="116" t="str">
        <f>WORLDCUP!AA160</f>
        <v>Mbappé</v>
      </c>
      <c r="N258" s="25"/>
      <c r="O258" s="25"/>
      <c r="P258" s="25"/>
      <c r="Q258" s="25"/>
      <c r="R258" s="17"/>
      <c r="S258" s="80" t="s">
        <v>1998</v>
      </c>
      <c r="T258" s="81">
        <f>COUNTIF($M$258,S258)*$D$47</f>
        <v>0</v>
      </c>
      <c r="U258" s="64"/>
      <c r="V258" s="80" t="s">
        <v>2036</v>
      </c>
      <c r="W258" s="81">
        <f t="shared" ref="W258" si="4933">COUNTIF($M$258,V258)*$D$47</f>
        <v>0</v>
      </c>
      <c r="X258" s="64"/>
      <c r="Y258" s="80" t="s">
        <v>2068</v>
      </c>
      <c r="Z258" s="81">
        <f t="shared" ref="Z258" si="4934">COUNTIF($M$258,Y258)*$D$47</f>
        <v>0</v>
      </c>
      <c r="AA258" s="64"/>
      <c r="AB258" s="80" t="s">
        <v>2102</v>
      </c>
      <c r="AC258" s="81">
        <f t="shared" ref="AC258" si="4935">COUNTIF($M$258,AB258)*$D$47</f>
        <v>0</v>
      </c>
      <c r="AD258" s="64"/>
      <c r="AE258" s="80" t="s">
        <v>2067</v>
      </c>
      <c r="AF258" s="81">
        <f t="shared" ref="AF258" si="4936">COUNTIF($M$258,AE258)*$D$47</f>
        <v>0</v>
      </c>
      <c r="AG258" s="64"/>
      <c r="AH258" s="80" t="s">
        <v>3014</v>
      </c>
      <c r="AI258" s="81">
        <f t="shared" ref="AI258" si="4937">COUNTIF($M$258,AH258)*$D$47</f>
        <v>4</v>
      </c>
      <c r="AJ258" s="64"/>
      <c r="AK258" s="80" t="s">
        <v>3014</v>
      </c>
      <c r="AL258" s="81">
        <f t="shared" ref="AL258" si="4938">COUNTIF($M$258,AK258)*$D$47</f>
        <v>4</v>
      </c>
      <c r="AM258" s="64"/>
      <c r="AN258" s="80" t="s">
        <v>2224</v>
      </c>
      <c r="AO258" s="81">
        <f t="shared" ref="AO258" si="4939">COUNTIF($M$258,AN258)*$D$47</f>
        <v>0</v>
      </c>
      <c r="AP258" s="64"/>
      <c r="AQ258" s="80" t="s">
        <v>2250</v>
      </c>
      <c r="AR258" s="81">
        <f t="shared" ref="AR258" si="4940">COUNTIF($M$258,AQ258)*$D$47</f>
        <v>0</v>
      </c>
      <c r="AS258" s="64"/>
      <c r="AT258" s="80" t="s">
        <v>2160</v>
      </c>
      <c r="AU258" s="81">
        <f t="shared" ref="AU258" si="4941">COUNTIF($M$258,AT258)*$D$47</f>
        <v>0</v>
      </c>
      <c r="AV258" s="64"/>
      <c r="AW258" s="80" t="s">
        <v>2067</v>
      </c>
      <c r="AX258" s="81">
        <f t="shared" ref="AX258" si="4942">COUNTIF($M$258,AW258)*$D$47</f>
        <v>0</v>
      </c>
      <c r="AY258" s="64"/>
      <c r="AZ258" s="80" t="s">
        <v>2160</v>
      </c>
      <c r="BA258" s="81">
        <f t="shared" ref="BA258" si="4943">COUNTIF($M$258,AZ258)*$D$47</f>
        <v>0</v>
      </c>
      <c r="BB258" s="64"/>
      <c r="BC258" s="80" t="s">
        <v>2347</v>
      </c>
      <c r="BD258" s="81">
        <f t="shared" ref="BD258" si="4944">COUNTIF($M$258,BC258)*$D$47</f>
        <v>0</v>
      </c>
      <c r="BE258" s="64"/>
      <c r="BF258" s="80" t="s">
        <v>2367</v>
      </c>
      <c r="BG258" s="81">
        <f t="shared" ref="BG258" si="4945">COUNTIF($M$258,BF258)*$D$47</f>
        <v>0</v>
      </c>
      <c r="BH258" s="64"/>
      <c r="BI258" s="80" t="s">
        <v>2403</v>
      </c>
      <c r="BJ258" s="81">
        <f t="shared" ref="BJ258" si="4946">COUNTIF($M$258,BI258)*$D$47</f>
        <v>0</v>
      </c>
      <c r="BK258" s="64"/>
      <c r="BL258" s="80" t="s">
        <v>2418</v>
      </c>
      <c r="BM258" s="81">
        <f t="shared" ref="BM258" si="4947">COUNTIF($M$258,BL258)*$D$47</f>
        <v>0</v>
      </c>
      <c r="BN258" s="64"/>
      <c r="BO258" s="80" t="s">
        <v>2102</v>
      </c>
      <c r="BP258" s="81">
        <f t="shared" ref="BP258" si="4948">COUNTIF($M$258,BO258)*$D$47</f>
        <v>0</v>
      </c>
      <c r="BQ258" s="64"/>
      <c r="BR258" s="80" t="s">
        <v>2467</v>
      </c>
      <c r="BS258" s="81">
        <f t="shared" ref="BS258" si="4949">COUNTIF($M$258,BR258)*$D$47</f>
        <v>0</v>
      </c>
      <c r="BT258" s="64"/>
      <c r="BU258" s="80" t="s">
        <v>2441</v>
      </c>
      <c r="BV258" s="81">
        <f t="shared" ref="BV258" si="4950">COUNTIF($M$258,BU258)*$D$47</f>
        <v>0</v>
      </c>
      <c r="BW258" s="64"/>
      <c r="BX258" s="80" t="s">
        <v>2490</v>
      </c>
      <c r="BY258" s="81">
        <f t="shared" ref="BY258" si="4951">COUNTIF($M$258,BX258)*$D$47</f>
        <v>0</v>
      </c>
      <c r="BZ258" s="64"/>
      <c r="CA258" s="80" t="s">
        <v>2248</v>
      </c>
      <c r="CB258" s="81">
        <f t="shared" ref="CB258" si="4952">COUNTIF($M$258,CA258)*$D$47</f>
        <v>0</v>
      </c>
      <c r="CC258" s="64"/>
      <c r="CD258" s="80" t="s">
        <v>2530</v>
      </c>
      <c r="CE258" s="81">
        <f t="shared" ref="CE258" si="4953">COUNTIF($M$258,CD258)*$D$47</f>
        <v>0</v>
      </c>
      <c r="CF258" s="64"/>
      <c r="CG258" s="80" t="s">
        <v>2546</v>
      </c>
      <c r="CH258" s="81">
        <f t="shared" ref="CH258" si="4954">COUNTIF($M$258,CG258)*$D$47</f>
        <v>0</v>
      </c>
      <c r="CI258" s="64"/>
      <c r="CJ258" s="80" t="s">
        <v>1994</v>
      </c>
      <c r="CK258" s="81">
        <f t="shared" ref="CK258" si="4955">COUNTIF($M$258,CJ258)*$D$47</f>
        <v>0</v>
      </c>
      <c r="CL258" s="64"/>
      <c r="CM258" s="80" t="s">
        <v>2033</v>
      </c>
      <c r="CN258" s="81">
        <f t="shared" ref="CN258" si="4956">COUNTIF($M$258,CM258)*$D$47</f>
        <v>0</v>
      </c>
      <c r="CO258" s="64"/>
      <c r="CP258" s="80" t="s">
        <v>2603</v>
      </c>
      <c r="CQ258" s="81">
        <f t="shared" ref="CQ258" si="4957">COUNTIF($M$258,CP258)*$D$47</f>
        <v>0</v>
      </c>
      <c r="CR258" s="64"/>
      <c r="CS258" s="80" t="s">
        <v>2631</v>
      </c>
      <c r="CT258" s="81">
        <f t="shared" ref="CT258" si="4958">COUNTIF($M$258,CS258)*$D$47</f>
        <v>0</v>
      </c>
      <c r="CU258" s="64"/>
      <c r="CV258" s="80" t="s">
        <v>3014</v>
      </c>
      <c r="CW258" s="81">
        <f t="shared" ref="CW258" si="4959">COUNTIF($M$258,CV258)*$D$47</f>
        <v>4</v>
      </c>
      <c r="CX258" s="64"/>
      <c r="CY258" s="80" t="s">
        <v>2694</v>
      </c>
      <c r="CZ258" s="81">
        <f t="shared" ref="CZ258" si="4960">COUNTIF($M$258,CY258)*$D$47</f>
        <v>0</v>
      </c>
      <c r="DA258" s="64"/>
      <c r="DB258" s="80" t="s">
        <v>2476</v>
      </c>
      <c r="DC258" s="81">
        <f t="shared" ref="DC258" si="4961">COUNTIF($M$258,DB258)*$D$47</f>
        <v>0</v>
      </c>
      <c r="DD258" s="64"/>
      <c r="DE258" s="80" t="s">
        <v>2720</v>
      </c>
      <c r="DF258" s="81">
        <f t="shared" ref="DF258" si="4962">COUNTIF($M$258,DE258)*$D$47</f>
        <v>0</v>
      </c>
      <c r="DG258" s="64"/>
      <c r="DH258" s="80" t="s">
        <v>2745</v>
      </c>
      <c r="DI258" s="81">
        <f t="shared" ref="DI258" si="4963">COUNTIF($M$258,DH258)*$D$47</f>
        <v>0</v>
      </c>
      <c r="DJ258" s="64"/>
      <c r="DK258" s="80" t="s">
        <v>2545</v>
      </c>
      <c r="DL258" s="81">
        <f t="shared" ref="DL258" si="4964">COUNTIF($M$258,DK258)*$D$47</f>
        <v>0</v>
      </c>
      <c r="DM258" s="64"/>
      <c r="DN258" s="80" t="s">
        <v>2250</v>
      </c>
      <c r="DO258" s="81">
        <f t="shared" ref="DO258" si="4965">COUNTIF($M$258,DN258)*$D$47</f>
        <v>0</v>
      </c>
      <c r="DP258" s="64"/>
      <c r="DQ258" s="80" t="s">
        <v>2789</v>
      </c>
      <c r="DR258" s="81">
        <f t="shared" ref="DR258" si="4966">COUNTIF($M$258,DQ258)*$D$47</f>
        <v>0</v>
      </c>
      <c r="DS258" s="64"/>
      <c r="DT258" s="80" t="s">
        <v>2249</v>
      </c>
      <c r="DU258" s="81">
        <f t="shared" ref="DU258" si="4967">COUNTIF($M$258,DT258)*$D$47</f>
        <v>0</v>
      </c>
      <c r="DV258" s="64"/>
      <c r="DW258" s="80" t="s">
        <v>2127</v>
      </c>
      <c r="DX258" s="81">
        <f t="shared" ref="DX258" si="4968">COUNTIF($M$258,DW258)*$D$47</f>
        <v>0</v>
      </c>
      <c r="DY258" s="64"/>
      <c r="DZ258" s="80" t="s">
        <v>2656</v>
      </c>
      <c r="EA258" s="81">
        <f t="shared" ref="EA258" si="4969">COUNTIF($M$258,DZ258)*$D$47</f>
        <v>0</v>
      </c>
      <c r="EB258" s="64"/>
      <c r="EC258" s="80" t="s">
        <v>2067</v>
      </c>
      <c r="ED258" s="81">
        <f t="shared" ref="ED258" si="4970">COUNTIF($M$258,EC258)*$D$47</f>
        <v>0</v>
      </c>
      <c r="EE258" s="64"/>
      <c r="EF258" s="80" t="s">
        <v>3014</v>
      </c>
      <c r="EG258" s="81">
        <f t="shared" ref="EG258" si="4971">COUNTIF($M$258,EF258)*$D$47</f>
        <v>4</v>
      </c>
      <c r="EH258" s="64"/>
      <c r="EI258" s="80" t="s">
        <v>2102</v>
      </c>
      <c r="EJ258" s="81">
        <f t="shared" ref="EJ258" si="4972">COUNTIF($M$258,EI258)*$D$47</f>
        <v>0</v>
      </c>
      <c r="EK258" s="64"/>
      <c r="EL258" s="80" t="s">
        <v>3014</v>
      </c>
      <c r="EM258" s="81">
        <f t="shared" ref="EM258" si="4973">COUNTIF($M$258,EL258)*$D$47</f>
        <v>4</v>
      </c>
      <c r="EN258" s="64"/>
      <c r="EO258" s="80" t="s">
        <v>2887</v>
      </c>
      <c r="EP258" s="81">
        <f t="shared" ref="EP258" si="4974">COUNTIF($M$258,EO258)*$D$47</f>
        <v>0</v>
      </c>
      <c r="EQ258" s="64"/>
      <c r="ER258" s="80" t="s">
        <v>2036</v>
      </c>
      <c r="ES258" s="81">
        <f t="shared" ref="ES258" si="4975">COUNTIF($M$258,ER258)*$D$47</f>
        <v>0</v>
      </c>
      <c r="ET258" s="64"/>
      <c r="EU258" s="80" t="s">
        <v>2918</v>
      </c>
      <c r="EV258" s="81">
        <f t="shared" ref="EV258" si="4976">COUNTIF($M$258,EU258)*$D$47</f>
        <v>0</v>
      </c>
      <c r="EW258" s="64"/>
      <c r="EX258" s="80" t="s">
        <v>2104</v>
      </c>
      <c r="EY258" s="81">
        <f t="shared" ref="EY258" si="4977">COUNTIF($M$258,EX258)*$D$47</f>
        <v>0</v>
      </c>
      <c r="EZ258" s="64"/>
      <c r="FA258" s="80" t="s">
        <v>2545</v>
      </c>
      <c r="FB258" s="81">
        <f t="shared" ref="FB258" si="4978">COUNTIF($M$258,FA258)*$D$47</f>
        <v>0</v>
      </c>
      <c r="FC258" s="64"/>
      <c r="FD258" s="80" t="s">
        <v>2248</v>
      </c>
      <c r="FE258" s="81">
        <f t="shared" ref="FE258" si="4979">COUNTIF($M$258,FD258)*$D$47</f>
        <v>0</v>
      </c>
      <c r="FF258" s="64"/>
      <c r="FG258" s="80" t="s">
        <v>3014</v>
      </c>
      <c r="FH258" s="81">
        <f t="shared" ref="FH258" si="4980">COUNTIF($M$258,FG258)*$D$47</f>
        <v>4</v>
      </c>
      <c r="FI258" s="64"/>
      <c r="FJ258" s="80" t="s">
        <v>3014</v>
      </c>
      <c r="FK258" s="81">
        <f t="shared" ref="FK258" si="4981">COUNTIF($M$258,FJ258)*$D$47</f>
        <v>4</v>
      </c>
      <c r="FL258" s="64"/>
      <c r="FM258" s="80" t="s">
        <v>2545</v>
      </c>
      <c r="FN258" s="81">
        <f t="shared" ref="FN258" si="4982">COUNTIF($M$258,FM258)*$D$47</f>
        <v>0</v>
      </c>
      <c r="FO258" s="64"/>
      <c r="FP258" s="80" t="s">
        <v>2656</v>
      </c>
      <c r="FQ258" s="81">
        <f t="shared" ref="FQ258" si="4983">COUNTIF($M$258,FP258)*$D$47</f>
        <v>0</v>
      </c>
      <c r="FR258" s="64"/>
      <c r="FS258" s="80" t="s">
        <v>2545</v>
      </c>
      <c r="FT258" s="81">
        <f t="shared" ref="FT258" si="4984">COUNTIF($M$258,FS258)*$D$47</f>
        <v>0</v>
      </c>
      <c r="FU258" s="64"/>
      <c r="FV258" s="80" t="s">
        <v>2345</v>
      </c>
      <c r="FW258" s="81">
        <f t="shared" ref="FW258" si="4985">COUNTIF($M$258,FV258)*$D$47</f>
        <v>0</v>
      </c>
      <c r="FX258" s="64"/>
      <c r="FY258" s="80" t="s">
        <v>2441</v>
      </c>
      <c r="FZ258" s="81">
        <f t="shared" ref="FZ258" si="4986">COUNTIF($M$258,FY258)*$D$47</f>
        <v>0</v>
      </c>
      <c r="GA258" s="64"/>
      <c r="GB258" s="80" t="s">
        <v>3030</v>
      </c>
      <c r="GC258" s="81">
        <f t="shared" ref="GC258" si="4987">COUNTIF($M$258,GB258)*$D$47</f>
        <v>0</v>
      </c>
      <c r="GD258" s="64"/>
      <c r="GE258" s="80" t="s">
        <v>2248</v>
      </c>
      <c r="GF258" s="81">
        <f t="shared" ref="GF258" si="4988">COUNTIF($M$258,GE258)*$D$47</f>
        <v>0</v>
      </c>
      <c r="GG258" s="64"/>
      <c r="GH258" s="80" t="s">
        <v>3055</v>
      </c>
      <c r="GI258" s="81">
        <f t="shared" ref="GI258" si="4989">COUNTIF($M$258,GH258)*$D$47</f>
        <v>0</v>
      </c>
      <c r="GJ258" s="64"/>
      <c r="GK258" s="80" t="s">
        <v>3068</v>
      </c>
      <c r="GL258" s="81">
        <f t="shared" ref="GL258" si="4990">COUNTIF($M$258,GK258)*$D$47</f>
        <v>0</v>
      </c>
      <c r="GM258" s="64"/>
      <c r="GN258" s="80"/>
      <c r="GO258" s="81">
        <f t="shared" ref="GO258" si="4991">COUNTIF($M$258,GN258)*$D$47</f>
        <v>0</v>
      </c>
      <c r="GP258" s="64"/>
      <c r="GQ258" s="80"/>
      <c r="GR258" s="81">
        <f t="shared" ref="GR258" si="4992">COUNTIF($M$258,GQ258)*$D$47</f>
        <v>0</v>
      </c>
      <c r="GS258" s="64"/>
      <c r="GT258" s="80"/>
      <c r="GU258" s="81">
        <f t="shared" ref="GU258" si="4993">COUNTIF($M$258,GT258)*$D$47</f>
        <v>0</v>
      </c>
      <c r="GV258" s="64"/>
      <c r="GW258" s="80"/>
      <c r="GX258" s="81">
        <f t="shared" ref="GX258" si="4994">COUNTIF($M$258,GW258)*$D$47</f>
        <v>0</v>
      </c>
      <c r="GY258" s="64"/>
      <c r="GZ258" s="80"/>
      <c r="HA258" s="81">
        <f t="shared" ref="HA258" si="4995">COUNTIF($M$258,GZ258)*$D$47</f>
        <v>0</v>
      </c>
      <c r="HB258" s="64"/>
      <c r="HC258" s="80"/>
      <c r="HD258" s="81">
        <f t="shared" ref="HD258" si="4996">COUNTIF($M$258,HC258)*$D$47</f>
        <v>0</v>
      </c>
      <c r="HE258" s="64"/>
      <c r="HF258" s="80"/>
      <c r="HG258" s="81">
        <f t="shared" ref="HG258" si="4997">COUNTIF($M$258,HF258)*$D$47</f>
        <v>0</v>
      </c>
      <c r="HH258" s="64"/>
      <c r="HI258" s="80"/>
      <c r="HJ258" s="81">
        <f t="shared" ref="HJ258" si="4998">COUNTIF($M$258,HI258)*$D$47</f>
        <v>0</v>
      </c>
      <c r="HK258" s="64"/>
      <c r="HL258" s="80"/>
      <c r="HM258" s="81">
        <f t="shared" ref="HM258" si="4999">COUNTIF($M$258,HL258)*$D$47</f>
        <v>0</v>
      </c>
      <c r="HN258" s="64"/>
      <c r="HO258" s="80"/>
      <c r="HP258" s="81">
        <f t="shared" ref="HP258" si="5000">COUNTIF($M$258,HO258)*$D$47</f>
        <v>0</v>
      </c>
      <c r="HQ258" s="64"/>
      <c r="HR258" s="80"/>
      <c r="HS258" s="81">
        <f t="shared" ref="HS258" si="5001">COUNTIF($M$258,HR258)*$D$47</f>
        <v>0</v>
      </c>
      <c r="HT258" s="64"/>
      <c r="HU258" s="80"/>
      <c r="HV258" s="81">
        <f t="shared" ref="HV258" si="5002">COUNTIF($M$258,HU258)*$D$47</f>
        <v>0</v>
      </c>
      <c r="HW258" s="64"/>
      <c r="HX258" s="80"/>
      <c r="HY258" s="81">
        <f t="shared" ref="HY258" si="5003">COUNTIF($M$258,HX258)*$D$47</f>
        <v>0</v>
      </c>
      <c r="HZ258" s="64"/>
      <c r="IA258" s="80"/>
      <c r="IB258" s="81">
        <f t="shared" ref="IB258" si="5004">COUNTIF($M$258,IA258)*$D$47</f>
        <v>0</v>
      </c>
      <c r="IC258" s="64"/>
      <c r="ID258" s="80"/>
      <c r="IE258" s="81">
        <f t="shared" ref="IE258" si="5005">COUNTIF($M$258,ID258)*$D$47</f>
        <v>0</v>
      </c>
      <c r="IF258" s="64"/>
      <c r="IG258" s="80"/>
      <c r="IH258" s="81">
        <f t="shared" ref="IH258" si="5006">COUNTIF($M$258,IG258)*$D$47</f>
        <v>0</v>
      </c>
      <c r="II258" s="64"/>
      <c r="IJ258" s="80"/>
      <c r="IK258" s="81">
        <f t="shared" ref="IK258" si="5007">COUNTIF($M$258,IJ258)*$D$47</f>
        <v>0</v>
      </c>
      <c r="IL258" s="64"/>
      <c r="IM258" s="80"/>
      <c r="IN258" s="81">
        <f t="shared" ref="IN258" si="5008">COUNTIF($M$258,IM258)*$D$47</f>
        <v>0</v>
      </c>
      <c r="IO258" s="64"/>
      <c r="IP258" s="80"/>
      <c r="IQ258" s="81">
        <f t="shared" ref="IQ258" si="5009">COUNTIF($M$258,IP258)*$D$47</f>
        <v>0</v>
      </c>
      <c r="IR258" s="64"/>
      <c r="IS258" s="80"/>
      <c r="IT258" s="81">
        <f t="shared" ref="IT258" si="5010">COUNTIF($M$258,IS258)*$D$47</f>
        <v>0</v>
      </c>
      <c r="IU258" s="64"/>
      <c r="IV258" s="80"/>
      <c r="IW258" s="81">
        <f t="shared" ref="IW258" si="5011">COUNTIF($M$258,IV258)*$D$47</f>
        <v>0</v>
      </c>
      <c r="IX258" s="64"/>
      <c r="IY258" s="80"/>
      <c r="IZ258" s="81">
        <f t="shared" ref="IZ258" si="5012">COUNTIF($M$258,IY258)*$D$47</f>
        <v>0</v>
      </c>
      <c r="JA258" s="64"/>
      <c r="JB258" s="80"/>
      <c r="JC258" s="81">
        <f t="shared" ref="JC258" si="5013">COUNTIF($M$258,JB258)*$D$47</f>
        <v>0</v>
      </c>
      <c r="JD258" s="64"/>
      <c r="JE258" s="80"/>
      <c r="JF258" s="81">
        <f t="shared" ref="JF258" si="5014">COUNTIF($M$258,JE258)*$D$47</f>
        <v>0</v>
      </c>
      <c r="JG258" s="64"/>
      <c r="JH258" s="80"/>
      <c r="JI258" s="81">
        <f t="shared" ref="JI258" si="5015">COUNTIF($M$258,JH258)*$D$47</f>
        <v>0</v>
      </c>
      <c r="JJ258" s="64"/>
      <c r="JK258" s="80"/>
      <c r="JL258" s="81">
        <f t="shared" ref="JL258" si="5016">COUNTIF($M$258,JK258)*$D$47</f>
        <v>0</v>
      </c>
      <c r="JM258" s="64"/>
      <c r="JN258" s="80"/>
      <c r="JO258" s="81">
        <f t="shared" ref="JO258" si="5017">COUNTIF($M$258,JN258)*$D$47</f>
        <v>0</v>
      </c>
      <c r="JP258" s="64"/>
      <c r="JQ258" s="80"/>
      <c r="JR258" s="81">
        <f t="shared" ref="JR258" si="5018">COUNTIF($M$258,JQ258)*$D$47</f>
        <v>0</v>
      </c>
      <c r="JS258" s="64"/>
      <c r="JT258" s="80"/>
      <c r="JU258" s="81">
        <f t="shared" ref="JU258" si="5019">COUNTIF($M$258,JT258)*$D$47</f>
        <v>0</v>
      </c>
      <c r="JV258" s="64"/>
      <c r="JW258" s="80"/>
      <c r="JX258" s="81">
        <f t="shared" ref="JX258" si="5020">COUNTIF($M$258,JW258)*$D$47</f>
        <v>0</v>
      </c>
      <c r="JY258" s="64"/>
      <c r="JZ258" s="80"/>
      <c r="KA258" s="81">
        <f t="shared" ref="KA258" si="5021">COUNTIF($M$258,JZ258)*$D$47</f>
        <v>0</v>
      </c>
      <c r="KB258" s="64"/>
      <c r="KC258" s="80"/>
      <c r="KD258" s="81">
        <f t="shared" ref="KD258" si="5022">COUNTIF($M$258,KC258)*$D$47</f>
        <v>0</v>
      </c>
      <c r="KE258" s="64"/>
      <c r="KF258" s="80"/>
      <c r="KG258" s="81">
        <f t="shared" ref="KG258" si="5023">COUNTIF($M$258,KF258)*$D$47</f>
        <v>0</v>
      </c>
      <c r="KH258" s="64"/>
      <c r="KI258" s="80"/>
      <c r="KJ258" s="81">
        <f t="shared" ref="KJ258" si="5024">COUNTIF($M$258,KI258)*$D$47</f>
        <v>0</v>
      </c>
      <c r="KK258" s="64"/>
      <c r="KL258" s="80"/>
      <c r="KM258" s="81">
        <f t="shared" ref="KM258" si="5025">COUNTIF($M$258,KL258)*$D$47</f>
        <v>0</v>
      </c>
      <c r="KN258" s="64"/>
      <c r="KO258" s="80"/>
      <c r="KP258" s="81">
        <f t="shared" ref="KP258" si="5026">COUNTIF($M$258,KO258)*$D$47</f>
        <v>0</v>
      </c>
      <c r="KQ258" s="64"/>
      <c r="KR258" s="80"/>
      <c r="KS258" s="81">
        <f t="shared" ref="KS258" si="5027">COUNTIF($M$258,KR258)*$D$47</f>
        <v>0</v>
      </c>
      <c r="KT258" s="64"/>
      <c r="KU258" s="80"/>
      <c r="KV258" s="81">
        <f t="shared" ref="KV258" si="5028">COUNTIF($M$258,KU258)*$D$47</f>
        <v>0</v>
      </c>
      <c r="KW258" s="64"/>
      <c r="KX258" s="80"/>
      <c r="KY258" s="81">
        <f t="shared" ref="KY258" si="5029">COUNTIF($M$258,KX258)*$D$47</f>
        <v>0</v>
      </c>
      <c r="KZ258" s="64"/>
      <c r="LA258" s="80"/>
      <c r="LB258" s="81">
        <f t="shared" ref="LB258" si="5030">COUNTIF($M$258,LA258)*$D$47</f>
        <v>0</v>
      </c>
      <c r="LC258" s="64"/>
      <c r="LD258" s="80"/>
      <c r="LE258" s="81">
        <f t="shared" ref="LE258" si="5031">COUNTIF($M$258,LD258)*$D$47</f>
        <v>0</v>
      </c>
      <c r="LF258" s="64"/>
      <c r="LG258" s="64"/>
    </row>
    <row r="259" spans="1:319">
      <c r="A259" s="49"/>
      <c r="B259" s="49"/>
      <c r="C259" s="49"/>
      <c r="D259" s="49"/>
      <c r="E259" s="111"/>
      <c r="F259" s="729"/>
      <c r="G259" s="730"/>
      <c r="H259" s="49"/>
      <c r="I259" s="50"/>
      <c r="J259" s="94"/>
      <c r="K259" s="434" t="str">
        <f>Idiomas!D469</f>
        <v xml:space="preserve">Honor Box </v>
      </c>
      <c r="L259" s="435"/>
      <c r="M259" s="434" t="str">
        <f>"Max: "&amp;SUM($D$39:$D$47)</f>
        <v>Max: 162</v>
      </c>
      <c r="N259" s="19"/>
      <c r="O259" s="19"/>
      <c r="P259" s="19"/>
      <c r="Q259" s="19"/>
      <c r="R259" s="297"/>
      <c r="S259" s="71"/>
      <c r="T259" s="71">
        <f ca="1">SUM(T250:T258)</f>
        <v>70</v>
      </c>
      <c r="U259" s="65"/>
      <c r="V259" s="71"/>
      <c r="W259" s="71">
        <f t="shared" ref="W259" ca="1" si="5032">SUM(W250:W258)</f>
        <v>30</v>
      </c>
      <c r="X259" s="65"/>
      <c r="Y259" s="71"/>
      <c r="Z259" s="71">
        <f t="shared" ref="Z259" ca="1" si="5033">SUM(Z250:Z258)</f>
        <v>20</v>
      </c>
      <c r="AA259" s="65"/>
      <c r="AB259" s="71"/>
      <c r="AC259" s="71">
        <f t="shared" ref="AC259" ca="1" si="5034">SUM(AC250:AC258)</f>
        <v>50</v>
      </c>
      <c r="AD259" s="65"/>
      <c r="AE259" s="71"/>
      <c r="AF259" s="71">
        <f t="shared" ref="AF259" ca="1" si="5035">SUM(AF250:AF258)</f>
        <v>0</v>
      </c>
      <c r="AG259" s="65"/>
      <c r="AH259" s="71"/>
      <c r="AI259" s="71">
        <f t="shared" ref="AI259" ca="1" si="5036">SUM(AI250:AI258)</f>
        <v>74</v>
      </c>
      <c r="AJ259" s="65"/>
      <c r="AK259" s="71"/>
      <c r="AL259" s="71">
        <f t="shared" ref="AL259" ca="1" si="5037">SUM(AL250:AL258)</f>
        <v>29</v>
      </c>
      <c r="AM259" s="65"/>
      <c r="AN259" s="71"/>
      <c r="AO259" s="71">
        <f t="shared" ref="AO259" ca="1" si="5038">SUM(AO250:AO258)</f>
        <v>0</v>
      </c>
      <c r="AP259" s="65"/>
      <c r="AQ259" s="71"/>
      <c r="AR259" s="71">
        <f t="shared" ref="AR259" ca="1" si="5039">SUM(AR250:AR258)</f>
        <v>0</v>
      </c>
      <c r="AS259" s="65"/>
      <c r="AT259" s="71"/>
      <c r="AU259" s="71">
        <f t="shared" ref="AU259" ca="1" si="5040">SUM(AU250:AU258)</f>
        <v>20</v>
      </c>
      <c r="AV259" s="65"/>
      <c r="AW259" s="71"/>
      <c r="AX259" s="71">
        <f t="shared" ref="AX259" ca="1" si="5041">SUM(AX250:AX258)</f>
        <v>20</v>
      </c>
      <c r="AY259" s="65"/>
      <c r="AZ259" s="71"/>
      <c r="BA259" s="71">
        <f t="shared" ref="BA259" ca="1" si="5042">SUM(BA250:BA258)</f>
        <v>75</v>
      </c>
      <c r="BB259" s="65"/>
      <c r="BC259" s="71"/>
      <c r="BD259" s="71">
        <f t="shared" ref="BD259" ca="1" si="5043">SUM(BD250:BD258)</f>
        <v>5</v>
      </c>
      <c r="BE259" s="65"/>
      <c r="BF259" s="71"/>
      <c r="BG259" s="71">
        <f t="shared" ref="BG259" ca="1" si="5044">SUM(BG250:BG258)</f>
        <v>20</v>
      </c>
      <c r="BH259" s="65"/>
      <c r="BI259" s="71"/>
      <c r="BJ259" s="71">
        <f t="shared" ref="BJ259" ca="1" si="5045">SUM(BJ250:BJ258)</f>
        <v>50</v>
      </c>
      <c r="BK259" s="65"/>
      <c r="BL259" s="71"/>
      <c r="BM259" s="71">
        <f t="shared" ref="BM259" ca="1" si="5046">SUM(BM250:BM258)</f>
        <v>105</v>
      </c>
      <c r="BN259" s="65"/>
      <c r="BO259" s="71"/>
      <c r="BP259" s="71">
        <f t="shared" ref="BP259" ca="1" si="5047">SUM(BP250:BP258)</f>
        <v>40</v>
      </c>
      <c r="BQ259" s="65"/>
      <c r="BR259" s="71"/>
      <c r="BS259" s="71">
        <f t="shared" ref="BS259" ca="1" si="5048">SUM(BS250:BS258)</f>
        <v>0</v>
      </c>
      <c r="BT259" s="65"/>
      <c r="BU259" s="71"/>
      <c r="BV259" s="71">
        <f t="shared" ref="BV259" ca="1" si="5049">SUM(BV250:BV258)</f>
        <v>5</v>
      </c>
      <c r="BW259" s="65"/>
      <c r="BX259" s="71"/>
      <c r="BY259" s="71">
        <f t="shared" ref="BY259" ca="1" si="5050">SUM(BY250:BY258)</f>
        <v>70</v>
      </c>
      <c r="BZ259" s="65"/>
      <c r="CA259" s="71"/>
      <c r="CB259" s="71">
        <f t="shared" ref="CB259" ca="1" si="5051">SUM(CB250:CB258)</f>
        <v>50</v>
      </c>
      <c r="CC259" s="65"/>
      <c r="CD259" s="71"/>
      <c r="CE259" s="71">
        <f t="shared" ref="CE259" ca="1" si="5052">SUM(CE250:CE258)</f>
        <v>20</v>
      </c>
      <c r="CF259" s="65"/>
      <c r="CG259" s="71"/>
      <c r="CH259" s="71">
        <f t="shared" ref="CH259" ca="1" si="5053">SUM(CH250:CH258)</f>
        <v>75</v>
      </c>
      <c r="CI259" s="65"/>
      <c r="CJ259" s="71"/>
      <c r="CK259" s="71">
        <f t="shared" ref="CK259" ca="1" si="5054">SUM(CK250:CK258)</f>
        <v>0</v>
      </c>
      <c r="CL259" s="65"/>
      <c r="CM259" s="71"/>
      <c r="CN259" s="71">
        <f t="shared" ref="CN259" ca="1" si="5055">SUM(CN250:CN258)</f>
        <v>20</v>
      </c>
      <c r="CO259" s="65"/>
      <c r="CP259" s="71"/>
      <c r="CQ259" s="71">
        <f t="shared" ref="CQ259" ca="1" si="5056">SUM(CQ250:CQ258)</f>
        <v>70</v>
      </c>
      <c r="CR259" s="65"/>
      <c r="CS259" s="71"/>
      <c r="CT259" s="71">
        <f t="shared" ref="CT259" ca="1" si="5057">SUM(CT250:CT258)</f>
        <v>0</v>
      </c>
      <c r="CU259" s="65"/>
      <c r="CV259" s="71"/>
      <c r="CW259" s="71">
        <f t="shared" ref="CW259" ca="1" si="5058">SUM(CW250:CW258)</f>
        <v>44</v>
      </c>
      <c r="CX259" s="65"/>
      <c r="CY259" s="71"/>
      <c r="CZ259" s="71">
        <f t="shared" ref="CZ259" ca="1" si="5059">SUM(CZ250:CZ258)</f>
        <v>0</v>
      </c>
      <c r="DA259" s="65"/>
      <c r="DB259" s="71"/>
      <c r="DC259" s="71">
        <f t="shared" ref="DC259" ca="1" si="5060">SUM(DC250:DC258)</f>
        <v>58</v>
      </c>
      <c r="DD259" s="65"/>
      <c r="DE259" s="71"/>
      <c r="DF259" s="71">
        <f t="shared" ref="DF259" ca="1" si="5061">SUM(DF250:DF258)</f>
        <v>20</v>
      </c>
      <c r="DG259" s="65"/>
      <c r="DH259" s="71"/>
      <c r="DI259" s="71">
        <f t="shared" ref="DI259" ca="1" si="5062">SUM(DI250:DI258)</f>
        <v>20</v>
      </c>
      <c r="DJ259" s="65"/>
      <c r="DK259" s="71"/>
      <c r="DL259" s="71">
        <f t="shared" ref="DL259" ca="1" si="5063">SUM(DL250:DL258)</f>
        <v>75</v>
      </c>
      <c r="DM259" s="65"/>
      <c r="DN259" s="71"/>
      <c r="DO259" s="71">
        <f t="shared" ref="DO259" ca="1" si="5064">SUM(DO250:DO258)</f>
        <v>100</v>
      </c>
      <c r="DP259" s="65"/>
      <c r="DQ259" s="71"/>
      <c r="DR259" s="71">
        <f t="shared" ref="DR259" ca="1" si="5065">SUM(DR250:DR258)</f>
        <v>20</v>
      </c>
      <c r="DS259" s="65"/>
      <c r="DT259" s="71"/>
      <c r="DU259" s="71">
        <f t="shared" ref="DU259" ca="1" si="5066">SUM(DU250:DU258)</f>
        <v>5</v>
      </c>
      <c r="DV259" s="65"/>
      <c r="DW259" s="71"/>
      <c r="DX259" s="71">
        <f t="shared" ref="DX259" ca="1" si="5067">SUM(DX250:DX258)</f>
        <v>50</v>
      </c>
      <c r="DY259" s="65"/>
      <c r="DZ259" s="71"/>
      <c r="EA259" s="71">
        <f t="shared" ref="EA259" ca="1" si="5068">SUM(EA250:EA258)</f>
        <v>25</v>
      </c>
      <c r="EB259" s="65"/>
      <c r="EC259" s="71"/>
      <c r="ED259" s="71">
        <f t="shared" ref="ED259" ca="1" si="5069">SUM(ED250:ED258)</f>
        <v>63</v>
      </c>
      <c r="EE259" s="65"/>
      <c r="EF259" s="71"/>
      <c r="EG259" s="71">
        <f t="shared" ref="EG259" ca="1" si="5070">SUM(EG250:EG258)</f>
        <v>4</v>
      </c>
      <c r="EH259" s="65"/>
      <c r="EI259" s="71"/>
      <c r="EJ259" s="71">
        <f t="shared" ref="EJ259" ca="1" si="5071">SUM(EJ250:EJ258)</f>
        <v>90</v>
      </c>
      <c r="EK259" s="65"/>
      <c r="EL259" s="71"/>
      <c r="EM259" s="71">
        <f t="shared" ref="EM259" ca="1" si="5072">SUM(EM250:EM258)</f>
        <v>82</v>
      </c>
      <c r="EN259" s="65"/>
      <c r="EO259" s="71"/>
      <c r="EP259" s="71">
        <f t="shared" ref="EP259" ca="1" si="5073">SUM(EP250:EP258)</f>
        <v>20</v>
      </c>
      <c r="EQ259" s="65"/>
      <c r="ER259" s="71"/>
      <c r="ES259" s="71">
        <f t="shared" ref="ES259" ca="1" si="5074">SUM(ES250:ES258)</f>
        <v>88</v>
      </c>
      <c r="ET259" s="65"/>
      <c r="EU259" s="71"/>
      <c r="EV259" s="71">
        <f t="shared" ref="EV259" ca="1" si="5075">SUM(EV250:EV258)</f>
        <v>0</v>
      </c>
      <c r="EW259" s="65"/>
      <c r="EX259" s="71"/>
      <c r="EY259" s="71">
        <f t="shared" ref="EY259" ca="1" si="5076">SUM(EY250:EY258)</f>
        <v>0</v>
      </c>
      <c r="EZ259" s="65"/>
      <c r="FA259" s="71"/>
      <c r="FB259" s="71">
        <f t="shared" ref="FB259" ca="1" si="5077">SUM(FB250:FB258)</f>
        <v>25</v>
      </c>
      <c r="FC259" s="65"/>
      <c r="FD259" s="71"/>
      <c r="FE259" s="71">
        <f t="shared" ref="FE259" ca="1" si="5078">SUM(FE250:FE258)</f>
        <v>0</v>
      </c>
      <c r="FF259" s="65"/>
      <c r="FG259" s="71"/>
      <c r="FH259" s="71">
        <f t="shared" ref="FH259" ca="1" si="5079">SUM(FH250:FH258)</f>
        <v>24</v>
      </c>
      <c r="FI259" s="65"/>
      <c r="FJ259" s="71"/>
      <c r="FK259" s="71">
        <f t="shared" ref="FK259" ca="1" si="5080">SUM(FK250:FK258)</f>
        <v>74</v>
      </c>
      <c r="FL259" s="65"/>
      <c r="FM259" s="71"/>
      <c r="FN259" s="71">
        <f t="shared" ref="FN259" ca="1" si="5081">SUM(FN250:FN258)</f>
        <v>20</v>
      </c>
      <c r="FO259" s="65"/>
      <c r="FP259" s="71"/>
      <c r="FQ259" s="71">
        <f t="shared" ref="FQ259" ca="1" si="5082">SUM(FQ250:FQ258)</f>
        <v>0</v>
      </c>
      <c r="FR259" s="65"/>
      <c r="FS259" s="71"/>
      <c r="FT259" s="71">
        <f t="shared" ref="FT259" ca="1" si="5083">SUM(FT250:FT258)</f>
        <v>20</v>
      </c>
      <c r="FU259" s="65"/>
      <c r="FV259" s="71"/>
      <c r="FW259" s="71">
        <f t="shared" ref="FW259" ca="1" si="5084">SUM(FW250:FW258)</f>
        <v>80</v>
      </c>
      <c r="FX259" s="65"/>
      <c r="FY259" s="71"/>
      <c r="FZ259" s="71">
        <f t="shared" ref="FZ259" ca="1" si="5085">SUM(FZ250:FZ258)</f>
        <v>70</v>
      </c>
      <c r="GA259" s="65"/>
      <c r="GB259" s="71"/>
      <c r="GC259" s="71">
        <f t="shared" ref="GC259" ca="1" si="5086">SUM(GC250:GC258)</f>
        <v>50</v>
      </c>
      <c r="GD259" s="65"/>
      <c r="GE259" s="71"/>
      <c r="GF259" s="71">
        <f t="shared" ref="GF259" ca="1" si="5087">SUM(GF250:GF258)</f>
        <v>30</v>
      </c>
      <c r="GG259" s="65"/>
      <c r="GH259" s="71"/>
      <c r="GI259" s="71">
        <f t="shared" ref="GI259" ca="1" si="5088">SUM(GI250:GI258)</f>
        <v>20</v>
      </c>
      <c r="GJ259" s="65"/>
      <c r="GK259" s="71"/>
      <c r="GL259" s="71">
        <f t="shared" ref="GL259" ca="1" si="5089">SUM(GL250:GL258)</f>
        <v>0</v>
      </c>
      <c r="GM259" s="65"/>
      <c r="GN259" s="71"/>
      <c r="GO259" s="71">
        <f t="shared" ref="GO259" ca="1" si="5090">SUM(GO250:GO258)</f>
        <v>0</v>
      </c>
      <c r="GP259" s="65"/>
      <c r="GQ259" s="71"/>
      <c r="GR259" s="71">
        <f t="shared" ref="GR259" ca="1" si="5091">SUM(GR250:GR258)</f>
        <v>0</v>
      </c>
      <c r="GS259" s="65"/>
      <c r="GT259" s="71"/>
      <c r="GU259" s="71">
        <f t="shared" ref="GU259" ca="1" si="5092">SUM(GU250:GU258)</f>
        <v>0</v>
      </c>
      <c r="GV259" s="65"/>
      <c r="GW259" s="71"/>
      <c r="GX259" s="71">
        <f t="shared" ref="GX259" ca="1" si="5093">SUM(GX250:GX258)</f>
        <v>0</v>
      </c>
      <c r="GY259" s="65"/>
      <c r="GZ259" s="71"/>
      <c r="HA259" s="71">
        <f t="shared" ref="HA259" ca="1" si="5094">SUM(HA250:HA258)</f>
        <v>0</v>
      </c>
      <c r="HB259" s="65"/>
      <c r="HC259" s="71"/>
      <c r="HD259" s="71">
        <f t="shared" ref="HD259" ca="1" si="5095">SUM(HD250:HD258)</f>
        <v>0</v>
      </c>
      <c r="HE259" s="65"/>
      <c r="HF259" s="71"/>
      <c r="HG259" s="71">
        <f t="shared" ref="HG259" ca="1" si="5096">SUM(HG250:HG258)</f>
        <v>0</v>
      </c>
      <c r="HH259" s="65"/>
      <c r="HI259" s="71"/>
      <c r="HJ259" s="71">
        <f t="shared" ref="HJ259" ca="1" si="5097">SUM(HJ250:HJ258)</f>
        <v>0</v>
      </c>
      <c r="HK259" s="65"/>
      <c r="HL259" s="71"/>
      <c r="HM259" s="71">
        <f t="shared" ref="HM259" ca="1" si="5098">SUM(HM250:HM258)</f>
        <v>0</v>
      </c>
      <c r="HN259" s="65"/>
      <c r="HO259" s="71"/>
      <c r="HP259" s="71">
        <f t="shared" ref="HP259" ca="1" si="5099">SUM(HP250:HP258)</f>
        <v>0</v>
      </c>
      <c r="HQ259" s="65"/>
      <c r="HR259" s="71"/>
      <c r="HS259" s="71">
        <f t="shared" ref="HS259" ca="1" si="5100">SUM(HS250:HS258)</f>
        <v>0</v>
      </c>
      <c r="HT259" s="65"/>
      <c r="HU259" s="71"/>
      <c r="HV259" s="71">
        <f t="shared" ref="HV259" ca="1" si="5101">SUM(HV250:HV258)</f>
        <v>0</v>
      </c>
      <c r="HW259" s="65"/>
      <c r="HX259" s="71"/>
      <c r="HY259" s="71">
        <f t="shared" ref="HY259" ca="1" si="5102">SUM(HY250:HY258)</f>
        <v>0</v>
      </c>
      <c r="HZ259" s="65"/>
      <c r="IA259" s="71"/>
      <c r="IB259" s="71">
        <f t="shared" ref="IB259" ca="1" si="5103">SUM(IB250:IB258)</f>
        <v>0</v>
      </c>
      <c r="IC259" s="65"/>
      <c r="ID259" s="71"/>
      <c r="IE259" s="71">
        <f t="shared" ref="IE259" ca="1" si="5104">SUM(IE250:IE258)</f>
        <v>0</v>
      </c>
      <c r="IF259" s="65"/>
      <c r="IG259" s="71"/>
      <c r="IH259" s="71">
        <f t="shared" ref="IH259" ca="1" si="5105">SUM(IH250:IH258)</f>
        <v>0</v>
      </c>
      <c r="II259" s="65"/>
      <c r="IJ259" s="71"/>
      <c r="IK259" s="71">
        <f t="shared" ref="IK259" ca="1" si="5106">SUM(IK250:IK258)</f>
        <v>0</v>
      </c>
      <c r="IL259" s="65"/>
      <c r="IM259" s="71"/>
      <c r="IN259" s="71">
        <f t="shared" ref="IN259" ca="1" si="5107">SUM(IN250:IN258)</f>
        <v>0</v>
      </c>
      <c r="IO259" s="65"/>
      <c r="IP259" s="71"/>
      <c r="IQ259" s="71">
        <f t="shared" ref="IQ259" ca="1" si="5108">SUM(IQ250:IQ258)</f>
        <v>0</v>
      </c>
      <c r="IR259" s="65"/>
      <c r="IS259" s="71"/>
      <c r="IT259" s="71">
        <f t="shared" ref="IT259" ca="1" si="5109">SUM(IT250:IT258)</f>
        <v>0</v>
      </c>
      <c r="IU259" s="65"/>
      <c r="IV259" s="71"/>
      <c r="IW259" s="71">
        <f t="shared" ref="IW259" ca="1" si="5110">SUM(IW250:IW258)</f>
        <v>0</v>
      </c>
      <c r="IX259" s="65"/>
      <c r="IY259" s="71"/>
      <c r="IZ259" s="71">
        <f t="shared" ref="IZ259" ca="1" si="5111">SUM(IZ250:IZ258)</f>
        <v>0</v>
      </c>
      <c r="JA259" s="65"/>
      <c r="JB259" s="71"/>
      <c r="JC259" s="71">
        <f t="shared" ref="JC259" ca="1" si="5112">SUM(JC250:JC258)</f>
        <v>0</v>
      </c>
      <c r="JD259" s="65"/>
      <c r="JE259" s="71"/>
      <c r="JF259" s="71">
        <f t="shared" ref="JF259" ca="1" si="5113">SUM(JF250:JF258)</f>
        <v>0</v>
      </c>
      <c r="JG259" s="65"/>
      <c r="JH259" s="71"/>
      <c r="JI259" s="71">
        <f t="shared" ref="JI259" ca="1" si="5114">SUM(JI250:JI258)</f>
        <v>0</v>
      </c>
      <c r="JJ259" s="65"/>
      <c r="JK259" s="71"/>
      <c r="JL259" s="71">
        <f t="shared" ref="JL259" ca="1" si="5115">SUM(JL250:JL258)</f>
        <v>0</v>
      </c>
      <c r="JM259" s="65"/>
      <c r="JN259" s="71"/>
      <c r="JO259" s="71">
        <f t="shared" ref="JO259" ca="1" si="5116">SUM(JO250:JO258)</f>
        <v>0</v>
      </c>
      <c r="JP259" s="65"/>
      <c r="JQ259" s="71"/>
      <c r="JR259" s="71">
        <f t="shared" ref="JR259" ca="1" si="5117">SUM(JR250:JR258)</f>
        <v>0</v>
      </c>
      <c r="JS259" s="65"/>
      <c r="JT259" s="71"/>
      <c r="JU259" s="71">
        <f t="shared" ref="JU259" ca="1" si="5118">SUM(JU250:JU258)</f>
        <v>0</v>
      </c>
      <c r="JV259" s="65"/>
      <c r="JW259" s="71"/>
      <c r="JX259" s="71">
        <f t="shared" ref="JX259" ca="1" si="5119">SUM(JX250:JX258)</f>
        <v>0</v>
      </c>
      <c r="JY259" s="65"/>
      <c r="JZ259" s="71"/>
      <c r="KA259" s="71">
        <f t="shared" ref="KA259" ca="1" si="5120">SUM(KA250:KA258)</f>
        <v>0</v>
      </c>
      <c r="KB259" s="65"/>
      <c r="KC259" s="71"/>
      <c r="KD259" s="71">
        <f t="shared" ref="KD259" ca="1" si="5121">SUM(KD250:KD258)</f>
        <v>0</v>
      </c>
      <c r="KE259" s="65"/>
      <c r="KF259" s="71"/>
      <c r="KG259" s="71">
        <f t="shared" ref="KG259" ca="1" si="5122">SUM(KG250:KG258)</f>
        <v>0</v>
      </c>
      <c r="KH259" s="65"/>
      <c r="KI259" s="71"/>
      <c r="KJ259" s="71">
        <f t="shared" ref="KJ259" ca="1" si="5123">SUM(KJ250:KJ258)</f>
        <v>0</v>
      </c>
      <c r="KK259" s="65"/>
      <c r="KL259" s="71"/>
      <c r="KM259" s="71">
        <f t="shared" ref="KM259" ca="1" si="5124">SUM(KM250:KM258)</f>
        <v>0</v>
      </c>
      <c r="KN259" s="65"/>
      <c r="KO259" s="71"/>
      <c r="KP259" s="71">
        <f t="shared" ref="KP259" ca="1" si="5125">SUM(KP250:KP258)</f>
        <v>0</v>
      </c>
      <c r="KQ259" s="65"/>
      <c r="KR259" s="71"/>
      <c r="KS259" s="71">
        <f t="shared" ref="KS259" ca="1" si="5126">SUM(KS250:KS258)</f>
        <v>0</v>
      </c>
      <c r="KT259" s="65"/>
      <c r="KU259" s="71"/>
      <c r="KV259" s="71">
        <f t="shared" ref="KV259" ca="1" si="5127">SUM(KV250:KV258)</f>
        <v>0</v>
      </c>
      <c r="KW259" s="65"/>
      <c r="KX259" s="71"/>
      <c r="KY259" s="71">
        <f t="shared" ref="KY259" ca="1" si="5128">SUM(KY250:KY258)</f>
        <v>0</v>
      </c>
      <c r="KZ259" s="65"/>
      <c r="LA259" s="71"/>
      <c r="LB259" s="71">
        <f t="shared" ref="LB259" ca="1" si="5129">SUM(LB250:LB258)</f>
        <v>0</v>
      </c>
      <c r="LC259" s="65"/>
      <c r="LD259" s="71"/>
      <c r="LE259" s="71">
        <f t="shared" ref="LE259" ca="1" si="5130">SUM(LE250:LE258)</f>
        <v>0</v>
      </c>
      <c r="LF259" s="65"/>
      <c r="LG259" s="65"/>
    </row>
    <row r="260" spans="1:319">
      <c r="A260" s="49"/>
      <c r="B260" s="49"/>
      <c r="C260" s="49"/>
      <c r="D260" s="49"/>
      <c r="E260" s="111"/>
      <c r="F260" s="729"/>
      <c r="G260" s="49"/>
      <c r="H260" s="49"/>
      <c r="I260" s="50"/>
      <c r="J260" s="94"/>
      <c r="K260" s="71"/>
      <c r="L260" s="50"/>
      <c r="M260" s="71"/>
      <c r="N260" s="25"/>
      <c r="O260" s="25"/>
      <c r="P260" s="25"/>
      <c r="Q260" s="25"/>
      <c r="R260" s="17"/>
      <c r="S260" s="71"/>
      <c r="T260" s="71"/>
      <c r="U260" s="65"/>
      <c r="V260" s="71"/>
      <c r="W260" s="71"/>
      <c r="X260" s="65"/>
      <c r="Y260" s="71"/>
      <c r="Z260" s="71"/>
      <c r="AA260" s="65"/>
      <c r="AB260" s="71"/>
      <c r="AC260" s="71"/>
      <c r="AD260" s="65"/>
      <c r="AE260" s="71"/>
      <c r="AF260" s="71"/>
      <c r="AG260" s="65"/>
      <c r="AH260" s="71"/>
      <c r="AI260" s="71"/>
      <c r="AJ260" s="65"/>
      <c r="AK260" s="71"/>
      <c r="AL260" s="71"/>
      <c r="AM260" s="65"/>
      <c r="AN260" s="71"/>
      <c r="AO260" s="71"/>
      <c r="AP260" s="65"/>
      <c r="AQ260" s="71"/>
      <c r="AR260" s="71"/>
      <c r="AS260" s="65"/>
      <c r="AT260" s="71"/>
      <c r="AU260" s="71"/>
      <c r="AV260" s="65"/>
      <c r="AW260" s="71"/>
      <c r="AX260" s="71"/>
      <c r="AY260" s="65"/>
      <c r="AZ260" s="71"/>
      <c r="BA260" s="71"/>
      <c r="BB260" s="65"/>
      <c r="BC260" s="71"/>
      <c r="BD260" s="71"/>
      <c r="BE260" s="65"/>
      <c r="BF260" s="71"/>
      <c r="BG260" s="71"/>
      <c r="BH260" s="65"/>
      <c r="BI260" s="71"/>
      <c r="BJ260" s="71"/>
      <c r="BK260" s="65"/>
      <c r="BL260" s="71"/>
      <c r="BM260" s="71"/>
      <c r="BN260" s="65"/>
      <c r="BO260" s="71"/>
      <c r="BP260" s="71"/>
      <c r="BQ260" s="65"/>
      <c r="BR260" s="71"/>
      <c r="BS260" s="71"/>
      <c r="BT260" s="65"/>
      <c r="BU260" s="71"/>
      <c r="BV260" s="71"/>
      <c r="BW260" s="65"/>
      <c r="BX260" s="71"/>
      <c r="BY260" s="71"/>
      <c r="BZ260" s="65"/>
      <c r="CA260" s="71"/>
      <c r="CB260" s="71"/>
      <c r="CC260" s="65"/>
      <c r="CD260" s="71"/>
      <c r="CE260" s="71"/>
      <c r="CF260" s="65"/>
      <c r="CG260" s="71"/>
      <c r="CH260" s="71"/>
      <c r="CI260" s="65"/>
      <c r="CJ260" s="71"/>
      <c r="CK260" s="71"/>
      <c r="CL260" s="65"/>
      <c r="CM260" s="71"/>
      <c r="CN260" s="71"/>
      <c r="CO260" s="65"/>
      <c r="CP260" s="71"/>
      <c r="CQ260" s="71"/>
      <c r="CR260" s="65"/>
      <c r="CS260" s="71"/>
      <c r="CT260" s="71"/>
      <c r="CU260" s="65"/>
      <c r="CV260" s="71"/>
      <c r="CW260" s="71"/>
      <c r="CX260" s="65"/>
      <c r="CY260" s="71"/>
      <c r="CZ260" s="71"/>
      <c r="DA260" s="65"/>
      <c r="DB260" s="71"/>
      <c r="DC260" s="71"/>
      <c r="DD260" s="65"/>
      <c r="DE260" s="71"/>
      <c r="DF260" s="71"/>
      <c r="DG260" s="65"/>
      <c r="DH260" s="71"/>
      <c r="DI260" s="71"/>
      <c r="DJ260" s="65"/>
      <c r="DK260" s="71"/>
      <c r="DL260" s="71"/>
      <c r="DM260" s="65"/>
      <c r="DN260" s="71"/>
      <c r="DO260" s="71"/>
      <c r="DP260" s="65"/>
      <c r="DQ260" s="71"/>
      <c r="DR260" s="71"/>
      <c r="DS260" s="65"/>
      <c r="DT260" s="71"/>
      <c r="DU260" s="71"/>
      <c r="DV260" s="65"/>
      <c r="DW260" s="71"/>
      <c r="DX260" s="71"/>
      <c r="DY260" s="65"/>
      <c r="DZ260" s="71"/>
      <c r="EA260" s="71"/>
      <c r="EB260" s="65"/>
      <c r="EC260" s="71"/>
      <c r="ED260" s="71"/>
      <c r="EE260" s="65"/>
      <c r="EF260" s="71"/>
      <c r="EG260" s="71"/>
      <c r="EH260" s="65"/>
      <c r="EI260" s="71"/>
      <c r="EJ260" s="71"/>
      <c r="EK260" s="65"/>
      <c r="EL260" s="71"/>
      <c r="EM260" s="71"/>
      <c r="EN260" s="65"/>
      <c r="EO260" s="71"/>
      <c r="EP260" s="71"/>
      <c r="EQ260" s="65"/>
      <c r="ER260" s="71"/>
      <c r="ES260" s="71"/>
      <c r="ET260" s="65"/>
      <c r="EU260" s="71"/>
      <c r="EV260" s="71"/>
      <c r="EW260" s="65"/>
      <c r="EX260" s="71"/>
      <c r="EY260" s="71"/>
      <c r="EZ260" s="65"/>
      <c r="FA260" s="71"/>
      <c r="FB260" s="71"/>
      <c r="FC260" s="65"/>
      <c r="FD260" s="71"/>
      <c r="FE260" s="71"/>
      <c r="FF260" s="65"/>
      <c r="FG260" s="71"/>
      <c r="FH260" s="71"/>
      <c r="FI260" s="65"/>
      <c r="FJ260" s="71"/>
      <c r="FK260" s="71"/>
      <c r="FL260" s="65"/>
      <c r="FM260" s="71"/>
      <c r="FN260" s="71"/>
      <c r="FO260" s="65"/>
      <c r="FP260" s="71"/>
      <c r="FQ260" s="71"/>
      <c r="FR260" s="65"/>
      <c r="FS260" s="71"/>
      <c r="FT260" s="71"/>
      <c r="FU260" s="65"/>
      <c r="FV260" s="71"/>
      <c r="FW260" s="71"/>
      <c r="FX260" s="65"/>
      <c r="FY260" s="71"/>
      <c r="FZ260" s="71"/>
      <c r="GA260" s="65"/>
      <c r="GB260" s="71"/>
      <c r="GC260" s="71"/>
      <c r="GD260" s="65"/>
      <c r="GE260" s="71"/>
      <c r="GF260" s="71"/>
      <c r="GG260" s="65"/>
      <c r="GH260" s="71"/>
      <c r="GI260" s="71"/>
      <c r="GJ260" s="65"/>
      <c r="GK260" s="71"/>
      <c r="GL260" s="71"/>
      <c r="GM260" s="65"/>
      <c r="GN260" s="71"/>
      <c r="GO260" s="71"/>
      <c r="GP260" s="65"/>
      <c r="GQ260" s="71"/>
      <c r="GR260" s="71"/>
      <c r="GS260" s="65"/>
      <c r="GT260" s="71"/>
      <c r="GU260" s="71"/>
      <c r="GV260" s="65"/>
      <c r="GW260" s="71"/>
      <c r="GX260" s="71"/>
      <c r="GY260" s="65"/>
      <c r="GZ260" s="71"/>
      <c r="HA260" s="71"/>
      <c r="HB260" s="65"/>
      <c r="HC260" s="71"/>
      <c r="HD260" s="71"/>
      <c r="HE260" s="65"/>
      <c r="HF260" s="71"/>
      <c r="HG260" s="71"/>
      <c r="HH260" s="65"/>
      <c r="HI260" s="71"/>
      <c r="HJ260" s="71"/>
      <c r="HK260" s="65"/>
      <c r="HL260" s="71"/>
      <c r="HM260" s="71"/>
      <c r="HN260" s="65"/>
      <c r="HO260" s="71"/>
      <c r="HP260" s="71"/>
      <c r="HQ260" s="65"/>
      <c r="HR260" s="71"/>
      <c r="HS260" s="71"/>
      <c r="HT260" s="65"/>
      <c r="HU260" s="71"/>
      <c r="HV260" s="71"/>
      <c r="HW260" s="65"/>
      <c r="HX260" s="71"/>
      <c r="HY260" s="71"/>
      <c r="HZ260" s="65"/>
      <c r="IA260" s="71"/>
      <c r="IB260" s="71"/>
      <c r="IC260" s="65"/>
      <c r="ID260" s="71"/>
      <c r="IE260" s="71"/>
      <c r="IF260" s="65"/>
      <c r="IG260" s="71"/>
      <c r="IH260" s="71"/>
      <c r="II260" s="65"/>
      <c r="IJ260" s="71"/>
      <c r="IK260" s="71"/>
      <c r="IL260" s="65"/>
      <c r="IM260" s="71"/>
      <c r="IN260" s="71"/>
      <c r="IO260" s="65"/>
      <c r="IP260" s="71"/>
      <c r="IQ260" s="71"/>
      <c r="IR260" s="65"/>
      <c r="IS260" s="71"/>
      <c r="IT260" s="71"/>
      <c r="IU260" s="65"/>
      <c r="IV260" s="71"/>
      <c r="IW260" s="71"/>
      <c r="IX260" s="65"/>
      <c r="IY260" s="71"/>
      <c r="IZ260" s="71"/>
      <c r="JA260" s="65"/>
      <c r="JB260" s="71"/>
      <c r="JC260" s="71"/>
      <c r="JD260" s="65"/>
      <c r="JE260" s="71"/>
      <c r="JF260" s="71"/>
      <c r="JG260" s="65"/>
      <c r="JH260" s="71"/>
      <c r="JI260" s="71"/>
      <c r="JJ260" s="65"/>
      <c r="JK260" s="71"/>
      <c r="JL260" s="71"/>
      <c r="JM260" s="65"/>
      <c r="JN260" s="71"/>
      <c r="JO260" s="71"/>
      <c r="JP260" s="65"/>
      <c r="JQ260" s="71"/>
      <c r="JR260" s="71"/>
      <c r="JS260" s="65"/>
      <c r="JT260" s="71"/>
      <c r="JU260" s="71"/>
      <c r="JV260" s="65"/>
      <c r="JW260" s="71"/>
      <c r="JX260" s="71"/>
      <c r="JY260" s="65"/>
      <c r="JZ260" s="71"/>
      <c r="KA260" s="71"/>
      <c r="KB260" s="65"/>
      <c r="KC260" s="71"/>
      <c r="KD260" s="71"/>
      <c r="KE260" s="65"/>
      <c r="KF260" s="71"/>
      <c r="KG260" s="71"/>
      <c r="KH260" s="65"/>
      <c r="KI260" s="71"/>
      <c r="KJ260" s="71"/>
      <c r="KK260" s="65"/>
      <c r="KL260" s="71"/>
      <c r="KM260" s="71"/>
      <c r="KN260" s="65"/>
      <c r="KO260" s="71"/>
      <c r="KP260" s="71"/>
      <c r="KQ260" s="65"/>
      <c r="KR260" s="71"/>
      <c r="KS260" s="71"/>
      <c r="KT260" s="65"/>
      <c r="KU260" s="71"/>
      <c r="KV260" s="71"/>
      <c r="KW260" s="65"/>
      <c r="KX260" s="71"/>
      <c r="KY260" s="71"/>
      <c r="KZ260" s="65"/>
      <c r="LA260" s="71"/>
      <c r="LB260" s="71"/>
      <c r="LC260" s="65"/>
      <c r="LD260" s="71"/>
      <c r="LE260" s="71"/>
      <c r="LF260" s="65"/>
      <c r="LG260" s="65"/>
    </row>
    <row r="261" spans="1:319" customFormat="1">
      <c r="A261" s="17"/>
      <c r="B261" s="17"/>
      <c r="C261" s="17"/>
      <c r="D261" s="17"/>
      <c r="E261" s="89"/>
      <c r="F261" s="728"/>
      <c r="G261" s="728"/>
      <c r="H261" s="728"/>
      <c r="I261" s="17"/>
      <c r="J261" s="17"/>
      <c r="K261" s="17"/>
      <c r="L261" s="17"/>
      <c r="M261" s="17"/>
      <c r="N261" s="25"/>
      <c r="O261" s="25"/>
      <c r="P261" s="25"/>
      <c r="Q261" s="25"/>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row>
    <row r="262" spans="1:319" customFormat="1">
      <c r="A262" s="17"/>
      <c r="B262" s="17"/>
      <c r="C262" s="17"/>
      <c r="D262" s="17"/>
      <c r="E262" s="89"/>
      <c r="F262" s="728"/>
      <c r="G262" s="728"/>
      <c r="H262" s="728"/>
      <c r="I262" s="17"/>
      <c r="J262" s="25" t="s">
        <v>1706</v>
      </c>
      <c r="K262" s="25"/>
      <c r="L262" s="25"/>
      <c r="M262" s="25" t="str">
        <f>DailyClas!I1</f>
        <v>3-4 &amp; Final</v>
      </c>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17"/>
    </row>
    <row r="263" spans="1:319" customFormat="1">
      <c r="A263" s="17"/>
      <c r="B263" s="17"/>
      <c r="C263" s="17"/>
      <c r="D263" s="17"/>
      <c r="E263" s="89"/>
      <c r="F263" s="728"/>
      <c r="G263" s="728"/>
      <c r="H263" s="728"/>
      <c r="I263" s="17"/>
      <c r="J263" s="25"/>
      <c r="K263" s="25"/>
      <c r="L263" s="25"/>
      <c r="M263" s="25" t="s">
        <v>1707</v>
      </c>
      <c r="N263" s="25"/>
      <c r="O263" s="25"/>
      <c r="P263" s="25"/>
      <c r="Q263" s="25"/>
      <c r="R263" s="25"/>
      <c r="S263" s="25">
        <f ca="1">RANK(S264,OFFSET($S$264,0,0,1,$D$5*3),0)</f>
        <v>12</v>
      </c>
      <c r="T263" s="25"/>
      <c r="U263" s="25"/>
      <c r="V263" s="25">
        <f ca="1">RANK(V264,OFFSET($S$264,0,0,1,$D$5*3),0)</f>
        <v>25</v>
      </c>
      <c r="W263" s="25"/>
      <c r="X263" s="25"/>
      <c r="Y263" s="25">
        <f ca="1">RANK(Y264,OFFSET($S$264,0,0,1,$D$5*3),0)</f>
        <v>31</v>
      </c>
      <c r="Z263" s="25"/>
      <c r="AA263" s="25"/>
      <c r="AB263" s="25">
        <f ca="1">RANK(AB264,OFFSET($S$264,0,0,1,$D$5*3),0)</f>
        <v>18</v>
      </c>
      <c r="AC263" s="25"/>
      <c r="AD263" s="25"/>
      <c r="AE263" s="25">
        <f ca="1">RANK(AE264,OFFSET($S$264,0,0,1,$D$5*3),0)</f>
        <v>48</v>
      </c>
      <c r="AF263" s="25"/>
      <c r="AG263" s="25"/>
      <c r="AH263" s="25">
        <f ca="1">RANK(AH264,OFFSET($S$264,0,0,1,$D$5*3),0)</f>
        <v>10</v>
      </c>
      <c r="AI263" s="25"/>
      <c r="AJ263" s="25"/>
      <c r="AK263" s="25">
        <f ca="1">RANK(AK264,OFFSET($S$264,0,0,1,$D$5*3),0)</f>
        <v>27</v>
      </c>
      <c r="AL263" s="25"/>
      <c r="AM263" s="25"/>
      <c r="AN263" s="25">
        <f ca="1">RANK(AN264,OFFSET($S$264,0,0,1,$D$5*3),0)</f>
        <v>49</v>
      </c>
      <c r="AO263" s="25"/>
      <c r="AP263" s="25"/>
      <c r="AQ263" s="25">
        <f ca="1">RANK(AQ264,OFFSET($S$264,0,0,1,$D$5*3),0)</f>
        <v>50</v>
      </c>
      <c r="AR263" s="25"/>
      <c r="AS263" s="25"/>
      <c r="AT263" s="25">
        <f ca="1">RANK(AT264,OFFSET($S$264,0,0,1,$D$5*3),0)</f>
        <v>32</v>
      </c>
      <c r="AU263" s="25"/>
      <c r="AV263" s="25"/>
      <c r="AW263" s="25">
        <f ca="1">RANK(AW264,OFFSET($S$264,0,0,1,$D$5*3),0)</f>
        <v>33</v>
      </c>
      <c r="AX263" s="25"/>
      <c r="AY263" s="25"/>
      <c r="AZ263" s="25">
        <f ca="1">RANK(AZ264,OFFSET($S$264,0,0,1,$D$5*3),0)</f>
        <v>7</v>
      </c>
      <c r="BA263" s="25"/>
      <c r="BB263" s="25"/>
      <c r="BC263" s="25">
        <f ca="1">RANK(BC264,OFFSET($S$264,0,0,1,$D$5*3),0)</f>
        <v>44</v>
      </c>
      <c r="BD263" s="25"/>
      <c r="BE263" s="25"/>
      <c r="BF263" s="25">
        <f ca="1">RANK(BF264,OFFSET($S$264,0,0,1,$D$5*3),0)</f>
        <v>34</v>
      </c>
      <c r="BG263" s="25"/>
      <c r="BH263" s="25"/>
      <c r="BI263" s="25">
        <f ca="1">RANK(BI264,OFFSET($S$264,0,0,1,$D$5*3),0)</f>
        <v>19</v>
      </c>
      <c r="BJ263" s="25"/>
      <c r="BK263" s="25"/>
      <c r="BL263" s="25">
        <f ca="1">RANK(BL264,OFFSET($S$264,0,0,1,$D$5*3),0)</f>
        <v>1</v>
      </c>
      <c r="BM263" s="25"/>
      <c r="BN263" s="25"/>
      <c r="BO263" s="25">
        <f ca="1">RANK(BO264,OFFSET($S$264,0,0,1,$D$5*3),0)</f>
        <v>24</v>
      </c>
      <c r="BP263" s="25"/>
      <c r="BQ263" s="25"/>
      <c r="BR263" s="25">
        <f ca="1">RANK(BR264,OFFSET($S$264,0,0,1,$D$5*3),0)</f>
        <v>51</v>
      </c>
      <c r="BS263" s="25"/>
      <c r="BT263" s="25"/>
      <c r="BU263" s="25">
        <f ca="1">RANK(BU264,OFFSET($S$264,0,0,1,$D$5*3),0)</f>
        <v>45</v>
      </c>
      <c r="BV263" s="25"/>
      <c r="BW263" s="25"/>
      <c r="BX263" s="25">
        <f ca="1">RANK(BX264,OFFSET($S$264,0,0,1,$D$5*3),0)</f>
        <v>13</v>
      </c>
      <c r="BY263" s="25"/>
      <c r="BZ263" s="25"/>
      <c r="CA263" s="25">
        <f ca="1">RANK(CA264,OFFSET($S$264,0,0,1,$D$5*3),0)</f>
        <v>20</v>
      </c>
      <c r="CB263" s="25"/>
      <c r="CC263" s="25"/>
      <c r="CD263" s="25">
        <f ca="1">RANK(CD264,OFFSET($S$264,0,0,1,$D$5*3),0)</f>
        <v>35</v>
      </c>
      <c r="CE263" s="25"/>
      <c r="CF263" s="25"/>
      <c r="CG263" s="25">
        <f ca="1">RANK(CG264,OFFSET($S$264,0,0,1,$D$5*3),0)</f>
        <v>8</v>
      </c>
      <c r="CH263" s="25"/>
      <c r="CI263" s="25"/>
      <c r="CJ263" s="25">
        <f ca="1">RANK(CJ264,OFFSET($S$264,0,0,1,$D$5*3),0)</f>
        <v>52</v>
      </c>
      <c r="CK263" s="25"/>
      <c r="CL263" s="25"/>
      <c r="CM263" s="25">
        <f ca="1">RANK(CM264,OFFSET($S$264,0,0,1,$D$5*3),0)</f>
        <v>36</v>
      </c>
      <c r="CN263" s="25"/>
      <c r="CO263" s="25"/>
      <c r="CP263" s="25">
        <f ca="1">RANK(CP264,OFFSET($S$264,0,0,1,$D$5*3),0)</f>
        <v>14</v>
      </c>
      <c r="CQ263" s="25"/>
      <c r="CR263" s="25"/>
      <c r="CS263" s="25">
        <f ca="1">RANK(CS264,OFFSET($S$264,0,0,1,$D$5*3),0)</f>
        <v>53</v>
      </c>
      <c r="CT263" s="25"/>
      <c r="CU263" s="25"/>
      <c r="CV263" s="25">
        <f ca="1">RANK(CV264,OFFSET($S$264,0,0,1,$D$5*3),0)</f>
        <v>23</v>
      </c>
      <c r="CW263" s="25"/>
      <c r="CX263" s="25"/>
      <c r="CY263" s="25">
        <f ca="1">RANK(CY264,OFFSET($S$264,0,0,1,$D$5*3),0)</f>
        <v>54</v>
      </c>
      <c r="CZ263" s="25"/>
      <c r="DA263" s="25"/>
      <c r="DB263" s="25">
        <f ca="1">RANK(DB264,OFFSET($S$264,0,0,1,$D$5*3),0)</f>
        <v>17</v>
      </c>
      <c r="DC263" s="25"/>
      <c r="DD263" s="25"/>
      <c r="DE263" s="25">
        <f ca="1">RANK(DE264,OFFSET($S$264,0,0,1,$D$5*3),0)</f>
        <v>37</v>
      </c>
      <c r="DF263" s="25"/>
      <c r="DG263" s="25"/>
      <c r="DH263" s="25">
        <f ca="1">RANK(DH264,OFFSET($S$264,0,0,1,$D$5*3),0)</f>
        <v>38</v>
      </c>
      <c r="DI263" s="25"/>
      <c r="DJ263" s="25"/>
      <c r="DK263" s="25">
        <f ca="1">RANK(DK264,OFFSET($S$264,0,0,1,$D$5*3),0)</f>
        <v>9</v>
      </c>
      <c r="DL263" s="25"/>
      <c r="DM263" s="25"/>
      <c r="DN263" s="25">
        <f ca="1">RANK(DN264,OFFSET($S$264,0,0,1,$D$5*3),0)</f>
        <v>2</v>
      </c>
      <c r="DO263" s="25"/>
      <c r="DP263" s="25"/>
      <c r="DQ263" s="25">
        <f ca="1">RANK(DQ264,OFFSET($S$264,0,0,1,$D$5*3),0)</f>
        <v>39</v>
      </c>
      <c r="DR263" s="25"/>
      <c r="DS263" s="25"/>
      <c r="DT263" s="25">
        <f ca="1">RANK(DT264,OFFSET($S$264,0,0,1,$D$5*3),0)</f>
        <v>46</v>
      </c>
      <c r="DU263" s="25"/>
      <c r="DV263" s="25"/>
      <c r="DW263" s="25">
        <f ca="1">RANK(DW264,OFFSET($S$264,0,0,1,$D$5*3),0)</f>
        <v>21</v>
      </c>
      <c r="DX263" s="25"/>
      <c r="DY263" s="25"/>
      <c r="DZ263" s="25">
        <f ca="1">RANK(DZ264,OFFSET($S$264,0,0,1,$D$5*3),0)</f>
        <v>28</v>
      </c>
      <c r="EA263" s="25"/>
      <c r="EB263" s="25"/>
      <c r="EC263" s="25">
        <f ca="1">RANK(EC264,OFFSET($S$264,0,0,1,$D$5*3),0)</f>
        <v>16</v>
      </c>
      <c r="ED263" s="25"/>
      <c r="EE263" s="25"/>
      <c r="EF263" s="25">
        <f ca="1">RANK(EF264,OFFSET($S$264,0,0,1,$D$5*3),0)</f>
        <v>47</v>
      </c>
      <c r="EG263" s="25"/>
      <c r="EH263" s="25"/>
      <c r="EI263" s="25">
        <f ca="1">RANK(EI264,OFFSET($S$264,0,0,1,$D$5*3),0)</f>
        <v>4</v>
      </c>
      <c r="EJ263" s="25"/>
      <c r="EK263" s="25"/>
      <c r="EL263" s="25">
        <f ca="1">RANK(EL264,OFFSET($S$264,0,0,1,$D$5*3),0)</f>
        <v>6</v>
      </c>
      <c r="EM263" s="25"/>
      <c r="EN263" s="25"/>
      <c r="EO263" s="25">
        <f ca="1">RANK(EO264,OFFSET($S$264,0,0,1,$D$5*3),0)</f>
        <v>40</v>
      </c>
      <c r="EP263" s="25"/>
      <c r="EQ263" s="25"/>
      <c r="ER263" s="25">
        <f ca="1">RANK(ER264,OFFSET($S$264,0,0,1,$D$5*3),0)</f>
        <v>3</v>
      </c>
      <c r="ES263" s="25"/>
      <c r="ET263" s="25"/>
      <c r="EU263" s="25">
        <f ca="1">RANK(EU264,OFFSET($S$264,0,0,1,$D$5*3),0)</f>
        <v>55</v>
      </c>
      <c r="EV263" s="25"/>
      <c r="EW263" s="25"/>
      <c r="EX263" s="25">
        <f ca="1">RANK(EX264,OFFSET($S$264,0,0,1,$D$5*3),0)</f>
        <v>56</v>
      </c>
      <c r="EY263" s="25"/>
      <c r="EZ263" s="25"/>
      <c r="FA263" s="25">
        <f ca="1">RANK(FA264,OFFSET($S$264,0,0,1,$D$5*3),0)</f>
        <v>29</v>
      </c>
      <c r="FB263" s="25"/>
      <c r="FC263" s="25"/>
      <c r="FD263" s="25">
        <f ca="1">RANK(FD264,OFFSET($S$264,0,0,1,$D$5*3),0)</f>
        <v>57</v>
      </c>
      <c r="FE263" s="25"/>
      <c r="FF263" s="25"/>
      <c r="FG263" s="25">
        <f ca="1">RANK(FG264,OFFSET($S$264,0,0,1,$D$5*3),0)</f>
        <v>30</v>
      </c>
      <c r="FH263" s="25"/>
      <c r="FI263" s="25"/>
      <c r="FJ263" s="25">
        <f ca="1">RANK(FJ264,OFFSET($S$264,0,0,1,$D$5*3),0)</f>
        <v>11</v>
      </c>
      <c r="FK263" s="25"/>
      <c r="FL263" s="25"/>
      <c r="FM263" s="25">
        <f ca="1">RANK(FM264,OFFSET($S$264,0,0,1,$D$5*3),0)</f>
        <v>41</v>
      </c>
      <c r="FN263" s="25"/>
      <c r="FO263" s="25"/>
      <c r="FP263" s="25">
        <f ca="1">RANK(FP264,OFFSET($S$264,0,0,1,$D$5*3),0)</f>
        <v>58</v>
      </c>
      <c r="FQ263" s="25"/>
      <c r="FR263" s="25"/>
      <c r="FS263" s="25">
        <f ca="1">RANK(FS264,OFFSET($S$264,0,0,1,$D$5*3),0)</f>
        <v>42</v>
      </c>
      <c r="FT263" s="25"/>
      <c r="FU263" s="25"/>
      <c r="FV263" s="25">
        <f ca="1">RANK(FV264,OFFSET($S$264,0,0,1,$D$5*3),0)</f>
        <v>5</v>
      </c>
      <c r="FW263" s="25"/>
      <c r="FX263" s="25"/>
      <c r="FY263" s="25">
        <f ca="1">RANK(FY264,OFFSET($S$264,0,0,1,$D$5*3),0)</f>
        <v>15</v>
      </c>
      <c r="FZ263" s="25"/>
      <c r="GA263" s="25"/>
      <c r="GB263" s="25">
        <f ca="1">RANK(GB264,OFFSET($S$264,0,0,1,$D$5*3),0)</f>
        <v>22</v>
      </c>
      <c r="GC263" s="25"/>
      <c r="GD263" s="25"/>
      <c r="GE263" s="25">
        <f ca="1">RANK(GE264,OFFSET($S$264,0,0,1,$D$5*3),0)</f>
        <v>26</v>
      </c>
      <c r="GF263" s="25"/>
      <c r="GG263" s="25"/>
      <c r="GH263" s="25">
        <f ca="1">RANK(GH264,OFFSET($S$264,0,0,1,$D$5*3),0)</f>
        <v>43</v>
      </c>
      <c r="GI263" s="25"/>
      <c r="GJ263" s="25"/>
      <c r="GK263" s="25">
        <f ca="1">RANK(GK264,OFFSET($S$264,0,0,1,$D$5*3),0)</f>
        <v>59</v>
      </c>
      <c r="GL263" s="25"/>
      <c r="GM263" s="25"/>
      <c r="GN263" s="25" t="e">
        <f ca="1">RANK(GN264,OFFSET($S$264,0,0,1,$D$5*3),0)</f>
        <v>#N/A</v>
      </c>
      <c r="GO263" s="25"/>
      <c r="GP263" s="25"/>
      <c r="GQ263" s="25" t="e">
        <f ca="1">RANK(GQ264,OFFSET($S$264,0,0,1,$D$5*3),0)</f>
        <v>#N/A</v>
      </c>
      <c r="GR263" s="25"/>
      <c r="GS263" s="25"/>
      <c r="GT263" s="25" t="e">
        <f ca="1">RANK(GT264,OFFSET($S$264,0,0,1,$D$5*3),0)</f>
        <v>#N/A</v>
      </c>
      <c r="GU263" s="25"/>
      <c r="GV263" s="25"/>
      <c r="GW263" s="25" t="e">
        <f ca="1">RANK(GW264,OFFSET($S$264,0,0,1,$D$5*3),0)</f>
        <v>#N/A</v>
      </c>
      <c r="GX263" s="25"/>
      <c r="GY263" s="25"/>
      <c r="GZ263" s="25" t="e">
        <f ca="1">RANK(GZ264,OFFSET($S$264,0,0,1,$D$5*3),0)</f>
        <v>#N/A</v>
      </c>
      <c r="HA263" s="25"/>
      <c r="HB263" s="25"/>
      <c r="HC263" s="25" t="e">
        <f ca="1">RANK(HC264,OFFSET($S$264,0,0,1,$D$5*3),0)</f>
        <v>#N/A</v>
      </c>
      <c r="HD263" s="25"/>
      <c r="HE263" s="25"/>
      <c r="HF263" s="25" t="e">
        <f ca="1">RANK(HF264,OFFSET($S$264,0,0,1,$D$5*3),0)</f>
        <v>#N/A</v>
      </c>
      <c r="HG263" s="25"/>
      <c r="HH263" s="25"/>
      <c r="HI263" s="25" t="e">
        <f ca="1">RANK(HI264,OFFSET($S$264,0,0,1,$D$5*3),0)</f>
        <v>#N/A</v>
      </c>
      <c r="HJ263" s="25"/>
      <c r="HK263" s="25"/>
      <c r="HL263" s="25" t="e">
        <f ca="1">RANK(HL264,OFFSET($S$264,0,0,1,$D$5*3),0)</f>
        <v>#N/A</v>
      </c>
      <c r="HM263" s="25"/>
      <c r="HN263" s="25"/>
      <c r="HO263" s="25" t="e">
        <f ca="1">RANK(HO264,OFFSET($S$264,0,0,1,$D$5*3),0)</f>
        <v>#N/A</v>
      </c>
      <c r="HP263" s="25"/>
      <c r="HQ263" s="25"/>
      <c r="HR263" s="25" t="e">
        <f ca="1">RANK(HR264,OFFSET($S$264,0,0,1,$D$5*3),0)</f>
        <v>#N/A</v>
      </c>
      <c r="HS263" s="25"/>
      <c r="HT263" s="25"/>
      <c r="HU263" s="25" t="e">
        <f ca="1">RANK(HU264,OFFSET($S$264,0,0,1,$D$5*3),0)</f>
        <v>#N/A</v>
      </c>
      <c r="HV263" s="25"/>
      <c r="HW263" s="25"/>
      <c r="HX263" s="25" t="e">
        <f ca="1">RANK(HX264,OFFSET($S$264,0,0,1,$D$5*3),0)</f>
        <v>#N/A</v>
      </c>
      <c r="HY263" s="25"/>
      <c r="HZ263" s="25"/>
      <c r="IA263" s="25" t="e">
        <f ca="1">RANK(IA264,OFFSET($S$264,0,0,1,$D$5*3),0)</f>
        <v>#N/A</v>
      </c>
      <c r="IB263" s="25"/>
      <c r="IC263" s="25"/>
      <c r="ID263" s="25" t="e">
        <f ca="1">RANK(ID264,OFFSET($S$264,0,0,1,$D$5*3),0)</f>
        <v>#N/A</v>
      </c>
      <c r="IE263" s="25"/>
      <c r="IF263" s="25"/>
      <c r="IG263" s="25" t="e">
        <f ca="1">RANK(IG264,OFFSET($S$264,0,0,1,$D$5*3),0)</f>
        <v>#N/A</v>
      </c>
      <c r="IH263" s="25"/>
      <c r="II263" s="25"/>
      <c r="IJ263" s="25" t="e">
        <f ca="1">RANK(IJ264,OFFSET($S$264,0,0,1,$D$5*3),0)</f>
        <v>#N/A</v>
      </c>
      <c r="IK263" s="25"/>
      <c r="IL263" s="25"/>
      <c r="IM263" s="25" t="e">
        <f ca="1">RANK(IM264,OFFSET($S$264,0,0,1,$D$5*3),0)</f>
        <v>#N/A</v>
      </c>
      <c r="IN263" s="25"/>
      <c r="IO263" s="25"/>
      <c r="IP263" s="25" t="e">
        <f ca="1">RANK(IP264,OFFSET($S$264,0,0,1,$D$5*3),0)</f>
        <v>#N/A</v>
      </c>
      <c r="IQ263" s="25"/>
      <c r="IR263" s="25"/>
      <c r="IS263" s="25" t="e">
        <f ca="1">RANK(IS264,OFFSET($S$264,0,0,1,$D$5*3),0)</f>
        <v>#N/A</v>
      </c>
      <c r="IT263" s="25"/>
      <c r="IU263" s="25"/>
      <c r="IV263" s="25" t="e">
        <f ca="1">RANK(IV264,OFFSET($S$264,0,0,1,$D$5*3),0)</f>
        <v>#N/A</v>
      </c>
      <c r="IW263" s="25"/>
      <c r="IX263" s="25"/>
      <c r="IY263" s="25" t="e">
        <f ca="1">RANK(IY264,OFFSET($S$264,0,0,1,$D$5*3),0)</f>
        <v>#N/A</v>
      </c>
      <c r="IZ263" s="25"/>
      <c r="JA263" s="25"/>
      <c r="JB263" s="25" t="e">
        <f ca="1">RANK(JB264,OFFSET($S$264,0,0,1,$D$5*3),0)</f>
        <v>#N/A</v>
      </c>
      <c r="JC263" s="25"/>
      <c r="JD263" s="25"/>
      <c r="JE263" s="25" t="e">
        <f ca="1">RANK(JE264,OFFSET($S$264,0,0,1,$D$5*3),0)</f>
        <v>#N/A</v>
      </c>
      <c r="JF263" s="25"/>
      <c r="JG263" s="25"/>
      <c r="JH263" s="25" t="e">
        <f ca="1">RANK(JH264,OFFSET($S$264,0,0,1,$D$5*3),0)</f>
        <v>#N/A</v>
      </c>
      <c r="JI263" s="25"/>
      <c r="JJ263" s="25"/>
      <c r="JK263" s="25" t="e">
        <f ca="1">RANK(JK264,OFFSET($S$264,0,0,1,$D$5*3),0)</f>
        <v>#N/A</v>
      </c>
      <c r="JL263" s="25"/>
      <c r="JM263" s="25"/>
      <c r="JN263" s="25" t="e">
        <f ca="1">RANK(JN264,OFFSET($S$264,0,0,1,$D$5*3),0)</f>
        <v>#N/A</v>
      </c>
      <c r="JO263" s="25"/>
      <c r="JP263" s="25"/>
      <c r="JQ263" s="25" t="e">
        <f ca="1">RANK(JQ264,OFFSET($S$264,0,0,1,$D$5*3),0)</f>
        <v>#N/A</v>
      </c>
      <c r="JR263" s="25"/>
      <c r="JS263" s="25"/>
      <c r="JT263" s="25" t="e">
        <f ca="1">RANK(JT264,OFFSET($S$264,0,0,1,$D$5*3),0)</f>
        <v>#N/A</v>
      </c>
      <c r="JU263" s="25"/>
      <c r="JV263" s="25"/>
      <c r="JW263" s="25" t="e">
        <f ca="1">RANK(JW264,OFFSET($S$264,0,0,1,$D$5*3),0)</f>
        <v>#N/A</v>
      </c>
      <c r="JX263" s="25"/>
      <c r="JY263" s="25"/>
      <c r="JZ263" s="25" t="e">
        <f ca="1">RANK(JZ264,OFFSET($S$264,0,0,1,$D$5*3),0)</f>
        <v>#N/A</v>
      </c>
      <c r="KA263" s="25"/>
      <c r="KB263" s="25"/>
      <c r="KC263" s="25" t="e">
        <f ca="1">RANK(KC264,OFFSET($S$264,0,0,1,$D$5*3),0)</f>
        <v>#N/A</v>
      </c>
      <c r="KD263" s="25"/>
      <c r="KE263" s="25"/>
      <c r="KF263" s="25" t="e">
        <f ca="1">RANK(KF264,OFFSET($S$264,0,0,1,$D$5*3),0)</f>
        <v>#N/A</v>
      </c>
      <c r="KG263" s="25"/>
      <c r="KH263" s="25"/>
      <c r="KI263" s="25" t="e">
        <f ca="1">RANK(KI264,OFFSET($S$264,0,0,1,$D$5*3),0)</f>
        <v>#N/A</v>
      </c>
      <c r="KJ263" s="25"/>
      <c r="KK263" s="25"/>
      <c r="KL263" s="25" t="e">
        <f ca="1">RANK(KL264,OFFSET($S$264,0,0,1,$D$5*3),0)</f>
        <v>#N/A</v>
      </c>
      <c r="KM263" s="25"/>
      <c r="KN263" s="25"/>
      <c r="KO263" s="25" t="e">
        <f ca="1">RANK(KO264,OFFSET($S$264,0,0,1,$D$5*3),0)</f>
        <v>#N/A</v>
      </c>
      <c r="KP263" s="25"/>
      <c r="KQ263" s="25"/>
      <c r="KR263" s="25" t="e">
        <f ca="1">RANK(KR264,OFFSET($S$264,0,0,1,$D$5*3),0)</f>
        <v>#N/A</v>
      </c>
      <c r="KS263" s="25"/>
      <c r="KT263" s="25"/>
      <c r="KU263" s="25" t="e">
        <f ca="1">RANK(KU264,OFFSET($S$264,0,0,1,$D$5*3),0)</f>
        <v>#N/A</v>
      </c>
      <c r="KV263" s="25"/>
      <c r="KW263" s="25"/>
      <c r="KX263" s="25" t="e">
        <f ca="1">RANK(KX264,OFFSET($S$264,0,0,1,$D$5*3),0)</f>
        <v>#N/A</v>
      </c>
      <c r="KY263" s="25"/>
      <c r="KZ263" s="25"/>
      <c r="LA263" s="25" t="e">
        <f ca="1">RANK(LA264,OFFSET($S$264,0,0,1,$D$5*3),0)</f>
        <v>#N/A</v>
      </c>
      <c r="LB263" s="25"/>
      <c r="LC263" s="25"/>
      <c r="LD263" s="25" t="e">
        <f ca="1">RANK(LD264,OFFSET($S$264,0,0,1,$D$5*3),0)</f>
        <v>#N/A</v>
      </c>
      <c r="LE263" s="25"/>
      <c r="LF263" s="25"/>
      <c r="LG263" s="17"/>
    </row>
    <row r="264" spans="1:319" customFormat="1">
      <c r="A264" s="17"/>
      <c r="B264" s="17"/>
      <c r="C264" s="17"/>
      <c r="D264" s="17"/>
      <c r="E264" s="89"/>
      <c r="F264" s="728"/>
      <c r="G264" s="728"/>
      <c r="H264" s="728"/>
      <c r="I264" s="17"/>
      <c r="J264" s="25"/>
      <c r="K264" s="25"/>
      <c r="L264" s="25"/>
      <c r="M264" s="25" t="s">
        <v>1709</v>
      </c>
      <c r="N264" s="25"/>
      <c r="O264" s="25"/>
      <c r="P264" s="25"/>
      <c r="Q264" s="25"/>
      <c r="R264" s="25"/>
      <c r="S264" s="25">
        <f ca="1">S266-(COLUMN()/10000)</f>
        <v>69.998099999999994</v>
      </c>
      <c r="T264" s="25"/>
      <c r="U264" s="25"/>
      <c r="V264" s="25">
        <f t="shared" ref="V264" ca="1" si="5131">V266-(COLUMN()/10000)</f>
        <v>29.997800000000002</v>
      </c>
      <c r="W264" s="25"/>
      <c r="X264" s="25"/>
      <c r="Y264" s="25">
        <f t="shared" ref="Y264" ca="1" si="5132">Y266-(COLUMN()/10000)</f>
        <v>19.997499999999999</v>
      </c>
      <c r="Z264" s="25"/>
      <c r="AA264" s="25"/>
      <c r="AB264" s="25">
        <f t="shared" ref="AB264" ca="1" si="5133">AB266-(COLUMN()/10000)</f>
        <v>49.997199999999999</v>
      </c>
      <c r="AC264" s="25"/>
      <c r="AD264" s="25"/>
      <c r="AE264" s="25">
        <f t="shared" ref="AE264" ca="1" si="5134">AE266-(COLUMN()/10000)</f>
        <v>-3.0999999999999999E-3</v>
      </c>
      <c r="AF264" s="25"/>
      <c r="AG264" s="25"/>
      <c r="AH264" s="25">
        <f t="shared" ref="AH264" ca="1" si="5135">AH266-(COLUMN()/10000)</f>
        <v>73.996600000000001</v>
      </c>
      <c r="AI264" s="25"/>
      <c r="AJ264" s="25"/>
      <c r="AK264" s="25">
        <f t="shared" ref="AK264" ca="1" si="5136">AK266-(COLUMN()/10000)</f>
        <v>28.996300000000002</v>
      </c>
      <c r="AL264" s="25"/>
      <c r="AM264" s="25"/>
      <c r="AN264" s="25">
        <f t="shared" ref="AN264" ca="1" si="5137">AN266-(COLUMN()/10000)</f>
        <v>-4.0000000000000001E-3</v>
      </c>
      <c r="AO264" s="25"/>
      <c r="AP264" s="25"/>
      <c r="AQ264" s="25">
        <f t="shared" ref="AQ264" ca="1" si="5138">AQ266-(COLUMN()/10000)</f>
        <v>-4.3E-3</v>
      </c>
      <c r="AR264" s="25"/>
      <c r="AS264" s="25"/>
      <c r="AT264" s="25">
        <f t="shared" ref="AT264" ca="1" si="5139">AT266-(COLUMN()/10000)</f>
        <v>19.9954</v>
      </c>
      <c r="AU264" s="25"/>
      <c r="AV264" s="25"/>
      <c r="AW264" s="25">
        <f t="shared" ref="AW264" ca="1" si="5140">AW266-(COLUMN()/10000)</f>
        <v>19.995100000000001</v>
      </c>
      <c r="AX264" s="25"/>
      <c r="AY264" s="25"/>
      <c r="AZ264" s="25">
        <f t="shared" ref="AZ264" ca="1" si="5141">AZ266-(COLUMN()/10000)</f>
        <v>74.994799999999998</v>
      </c>
      <c r="BA264" s="25"/>
      <c r="BB264" s="25"/>
      <c r="BC264" s="25">
        <f t="shared" ref="BC264" ca="1" si="5142">BC266-(COLUMN()/10000)</f>
        <v>4.9945000000000004</v>
      </c>
      <c r="BD264" s="25"/>
      <c r="BE264" s="25"/>
      <c r="BF264" s="25">
        <f t="shared" ref="BF264" ca="1" si="5143">BF266-(COLUMN()/10000)</f>
        <v>19.994199999999999</v>
      </c>
      <c r="BG264" s="25"/>
      <c r="BH264" s="25"/>
      <c r="BI264" s="25">
        <f t="shared" ref="BI264" ca="1" si="5144">BI266-(COLUMN()/10000)</f>
        <v>49.993899999999996</v>
      </c>
      <c r="BJ264" s="25"/>
      <c r="BK264" s="25"/>
      <c r="BL264" s="25">
        <f t="shared" ref="BL264" ca="1" si="5145">BL266-(COLUMN()/10000)</f>
        <v>116.9936</v>
      </c>
      <c r="BM264" s="25"/>
      <c r="BN264" s="25"/>
      <c r="BO264" s="25">
        <f t="shared" ref="BO264" ca="1" si="5146">BO266-(COLUMN()/10000)</f>
        <v>39.993299999999998</v>
      </c>
      <c r="BP264" s="25"/>
      <c r="BQ264" s="25"/>
      <c r="BR264" s="25">
        <f t="shared" ref="BR264" ca="1" si="5147">BR266-(COLUMN()/10000)</f>
        <v>-7.0000000000000001E-3</v>
      </c>
      <c r="BS264" s="25"/>
      <c r="BT264" s="25"/>
      <c r="BU264" s="25">
        <f t="shared" ref="BU264" ca="1" si="5148">BU266-(COLUMN()/10000)</f>
        <v>4.9927000000000001</v>
      </c>
      <c r="BV264" s="25"/>
      <c r="BW264" s="25"/>
      <c r="BX264" s="25">
        <f t="shared" ref="BX264" ca="1" si="5149">BX266-(COLUMN()/10000)</f>
        <v>69.992400000000004</v>
      </c>
      <c r="BY264" s="25"/>
      <c r="BZ264" s="25"/>
      <c r="CA264" s="25">
        <f t="shared" ref="CA264" ca="1" si="5150">CA266-(COLUMN()/10000)</f>
        <v>49.992100000000001</v>
      </c>
      <c r="CB264" s="25"/>
      <c r="CC264" s="25"/>
      <c r="CD264" s="25">
        <f t="shared" ref="CD264" ca="1" si="5151">CD266-(COLUMN()/10000)</f>
        <v>19.991800000000001</v>
      </c>
      <c r="CE264" s="25"/>
      <c r="CF264" s="25"/>
      <c r="CG264" s="25">
        <f t="shared" ref="CG264" ca="1" si="5152">CG266-(COLUMN()/10000)</f>
        <v>74.991500000000002</v>
      </c>
      <c r="CH264" s="25"/>
      <c r="CI264" s="25"/>
      <c r="CJ264" s="25">
        <f t="shared" ref="CJ264" ca="1" si="5153">CJ266-(COLUMN()/10000)</f>
        <v>-8.8000000000000005E-3</v>
      </c>
      <c r="CK264" s="25"/>
      <c r="CL264" s="25"/>
      <c r="CM264" s="25">
        <f t="shared" ref="CM264" ca="1" si="5154">CM266-(COLUMN()/10000)</f>
        <v>19.9909</v>
      </c>
      <c r="CN264" s="25"/>
      <c r="CO264" s="25"/>
      <c r="CP264" s="25">
        <f t="shared" ref="CP264" ca="1" si="5155">CP266-(COLUMN()/10000)</f>
        <v>69.990600000000001</v>
      </c>
      <c r="CQ264" s="25"/>
      <c r="CR264" s="25"/>
      <c r="CS264" s="25">
        <f t="shared" ref="CS264" ca="1" si="5156">CS266-(COLUMN()/10000)</f>
        <v>-9.7000000000000003E-3</v>
      </c>
      <c r="CT264" s="25"/>
      <c r="CU264" s="25"/>
      <c r="CV264" s="25">
        <f t="shared" ref="CV264" ca="1" si="5157">CV266-(COLUMN()/10000)</f>
        <v>43.99</v>
      </c>
      <c r="CW264" s="25"/>
      <c r="CX264" s="25"/>
      <c r="CY264" s="25">
        <f t="shared" ref="CY264" ca="1" si="5158">CY266-(COLUMN()/10000)</f>
        <v>-1.03E-2</v>
      </c>
      <c r="CZ264" s="25"/>
      <c r="DA264" s="25"/>
      <c r="DB264" s="25">
        <f t="shared" ref="DB264" ca="1" si="5159">DB266-(COLUMN()/10000)</f>
        <v>57.989400000000003</v>
      </c>
      <c r="DC264" s="25"/>
      <c r="DD264" s="25"/>
      <c r="DE264" s="25">
        <f t="shared" ref="DE264" ca="1" si="5160">DE266-(COLUMN()/10000)</f>
        <v>19.989100000000001</v>
      </c>
      <c r="DF264" s="25"/>
      <c r="DG264" s="25"/>
      <c r="DH264" s="25">
        <f t="shared" ref="DH264" ca="1" si="5161">DH266-(COLUMN()/10000)</f>
        <v>19.988800000000001</v>
      </c>
      <c r="DI264" s="25"/>
      <c r="DJ264" s="25"/>
      <c r="DK264" s="25">
        <f t="shared" ref="DK264" ca="1" si="5162">DK266-(COLUMN()/10000)</f>
        <v>74.988500000000002</v>
      </c>
      <c r="DL264" s="25"/>
      <c r="DM264" s="25"/>
      <c r="DN264" s="25">
        <f t="shared" ref="DN264" ca="1" si="5163">DN266-(COLUMN()/10000)</f>
        <v>111.98820000000001</v>
      </c>
      <c r="DO264" s="25"/>
      <c r="DP264" s="25"/>
      <c r="DQ264" s="25">
        <f t="shared" ref="DQ264" ca="1" si="5164">DQ266-(COLUMN()/10000)</f>
        <v>19.9879</v>
      </c>
      <c r="DR264" s="25"/>
      <c r="DS264" s="25"/>
      <c r="DT264" s="25">
        <f t="shared" ref="DT264" ca="1" si="5165">DT266-(COLUMN()/10000)</f>
        <v>4.9875999999999996</v>
      </c>
      <c r="DU264" s="25"/>
      <c r="DV264" s="25"/>
      <c r="DW264" s="25">
        <f t="shared" ref="DW264" ca="1" si="5166">DW266-(COLUMN()/10000)</f>
        <v>49.987299999999998</v>
      </c>
      <c r="DX264" s="25"/>
      <c r="DY264" s="25"/>
      <c r="DZ264" s="25">
        <f t="shared" ref="DZ264" ca="1" si="5167">DZ266-(COLUMN()/10000)</f>
        <v>24.986999999999998</v>
      </c>
      <c r="EA264" s="25"/>
      <c r="EB264" s="25"/>
      <c r="EC264" s="25">
        <f t="shared" ref="EC264" ca="1" si="5168">EC266-(COLUMN()/10000)</f>
        <v>62.986699999999999</v>
      </c>
      <c r="ED264" s="25"/>
      <c r="EE264" s="25"/>
      <c r="EF264" s="25">
        <f t="shared" ref="EF264" ca="1" si="5169">EF266-(COLUMN()/10000)</f>
        <v>3.9864000000000002</v>
      </c>
      <c r="EG264" s="25"/>
      <c r="EH264" s="25"/>
      <c r="EI264" s="25">
        <f t="shared" ref="EI264" ca="1" si="5170">EI266-(COLUMN()/10000)</f>
        <v>99.986099999999993</v>
      </c>
      <c r="EJ264" s="25"/>
      <c r="EK264" s="25"/>
      <c r="EL264" s="25">
        <f t="shared" ref="EL264" ca="1" si="5171">EL266-(COLUMN()/10000)</f>
        <v>81.985799999999998</v>
      </c>
      <c r="EM264" s="25"/>
      <c r="EN264" s="25"/>
      <c r="EO264" s="25">
        <f t="shared" ref="EO264" ca="1" si="5172">EO266-(COLUMN()/10000)</f>
        <v>19.985499999999998</v>
      </c>
      <c r="EP264" s="25"/>
      <c r="EQ264" s="25"/>
      <c r="ER264" s="25">
        <f t="shared" ref="ER264" ca="1" si="5173">ER266-(COLUMN()/10000)</f>
        <v>107.98520000000001</v>
      </c>
      <c r="ES264" s="25"/>
      <c r="ET264" s="25"/>
      <c r="EU264" s="25">
        <f t="shared" ref="EU264" ca="1" si="5174">EU266-(COLUMN()/10000)</f>
        <v>-1.5100000000000001E-2</v>
      </c>
      <c r="EV264" s="25"/>
      <c r="EW264" s="25"/>
      <c r="EX264" s="25">
        <f t="shared" ref="EX264" ca="1" si="5175">EX266-(COLUMN()/10000)</f>
        <v>-1.54E-2</v>
      </c>
      <c r="EY264" s="25"/>
      <c r="EZ264" s="25"/>
      <c r="FA264" s="25">
        <f t="shared" ref="FA264" ca="1" si="5176">FA266-(COLUMN()/10000)</f>
        <v>24.984300000000001</v>
      </c>
      <c r="FB264" s="25"/>
      <c r="FC264" s="25"/>
      <c r="FD264" s="25">
        <f t="shared" ref="FD264" ca="1" si="5177">FD266-(COLUMN()/10000)</f>
        <v>-1.6E-2</v>
      </c>
      <c r="FE264" s="25"/>
      <c r="FF264" s="25"/>
      <c r="FG264" s="25">
        <f t="shared" ref="FG264" ca="1" si="5178">FG266-(COLUMN()/10000)</f>
        <v>23.983699999999999</v>
      </c>
      <c r="FH264" s="25"/>
      <c r="FI264" s="25"/>
      <c r="FJ264" s="25">
        <f t="shared" ref="FJ264" ca="1" si="5179">FJ266-(COLUMN()/10000)</f>
        <v>73.983400000000003</v>
      </c>
      <c r="FK264" s="25"/>
      <c r="FL264" s="25"/>
      <c r="FM264" s="25">
        <f t="shared" ref="FM264" ca="1" si="5180">FM266-(COLUMN()/10000)</f>
        <v>19.9831</v>
      </c>
      <c r="FN264" s="25"/>
      <c r="FO264" s="25"/>
      <c r="FP264" s="25">
        <f t="shared" ref="FP264" ca="1" si="5181">FP266-(COLUMN()/10000)</f>
        <v>-1.72E-2</v>
      </c>
      <c r="FQ264" s="25"/>
      <c r="FR264" s="25"/>
      <c r="FS264" s="25">
        <f t="shared" ref="FS264" ca="1" si="5182">FS266-(COLUMN()/10000)</f>
        <v>19.982500000000002</v>
      </c>
      <c r="FT264" s="25"/>
      <c r="FU264" s="25"/>
      <c r="FV264" s="25">
        <f t="shared" ref="FV264" ca="1" si="5183">FV266-(COLUMN()/10000)</f>
        <v>89.982200000000006</v>
      </c>
      <c r="FW264" s="25"/>
      <c r="FX264" s="25"/>
      <c r="FY264" s="25">
        <f t="shared" ref="FY264" ca="1" si="5184">FY266-(COLUMN()/10000)</f>
        <v>69.981899999999996</v>
      </c>
      <c r="FZ264" s="25"/>
      <c r="GA264" s="25"/>
      <c r="GB264" s="25">
        <f t="shared" ref="GB264" ca="1" si="5185">GB266-(COLUMN()/10000)</f>
        <v>49.9816</v>
      </c>
      <c r="GC264" s="25"/>
      <c r="GD264" s="25"/>
      <c r="GE264" s="25">
        <f t="shared" ref="GE264" ca="1" si="5186">GE266-(COLUMN()/10000)</f>
        <v>29.981300000000001</v>
      </c>
      <c r="GF264" s="25"/>
      <c r="GG264" s="25"/>
      <c r="GH264" s="25">
        <f t="shared" ref="GH264" ca="1" si="5187">GH266-(COLUMN()/10000)</f>
        <v>19.981000000000002</v>
      </c>
      <c r="GI264" s="25"/>
      <c r="GJ264" s="25"/>
      <c r="GK264" s="25">
        <f t="shared" ref="GK264" ca="1" si="5188">GK266-(COLUMN()/10000)</f>
        <v>-1.9300000000000001E-2</v>
      </c>
      <c r="GL264" s="25"/>
      <c r="GM264" s="25"/>
      <c r="GN264" s="25">
        <f t="shared" ref="GN264" ca="1" si="5189">GN266-(COLUMN()/10000)</f>
        <v>-1.9599999999999999E-2</v>
      </c>
      <c r="GO264" s="25"/>
      <c r="GP264" s="25"/>
      <c r="GQ264" s="25">
        <f t="shared" ref="GQ264" ca="1" si="5190">GQ266-(COLUMN()/10000)</f>
        <v>-1.9900000000000001E-2</v>
      </c>
      <c r="GR264" s="25"/>
      <c r="GS264" s="25"/>
      <c r="GT264" s="25">
        <f t="shared" ref="GT264" ca="1" si="5191">GT266-(COLUMN()/10000)</f>
        <v>-2.0199999999999999E-2</v>
      </c>
      <c r="GU264" s="25"/>
      <c r="GV264" s="25"/>
      <c r="GW264" s="25">
        <f t="shared" ref="GW264" ca="1" si="5192">GW266-(COLUMN()/10000)</f>
        <v>-2.0500000000000001E-2</v>
      </c>
      <c r="GX264" s="25"/>
      <c r="GY264" s="25"/>
      <c r="GZ264" s="25">
        <f t="shared" ref="GZ264" ca="1" si="5193">GZ266-(COLUMN()/10000)</f>
        <v>-2.0799999999999999E-2</v>
      </c>
      <c r="HA264" s="25"/>
      <c r="HB264" s="25"/>
      <c r="HC264" s="25">
        <f t="shared" ref="HC264" ca="1" si="5194">HC266-(COLUMN()/10000)</f>
        <v>-2.1100000000000001E-2</v>
      </c>
      <c r="HD264" s="25"/>
      <c r="HE264" s="25"/>
      <c r="HF264" s="25">
        <f t="shared" ref="HF264" ca="1" si="5195">HF266-(COLUMN()/10000)</f>
        <v>-2.1399999999999999E-2</v>
      </c>
      <c r="HG264" s="25"/>
      <c r="HH264" s="25"/>
      <c r="HI264" s="25">
        <f t="shared" ref="HI264" ca="1" si="5196">HI266-(COLUMN()/10000)</f>
        <v>-2.1700000000000001E-2</v>
      </c>
      <c r="HJ264" s="25"/>
      <c r="HK264" s="25"/>
      <c r="HL264" s="25">
        <f t="shared" ref="HL264" ca="1" si="5197">HL266-(COLUMN()/10000)</f>
        <v>-2.1999999999999999E-2</v>
      </c>
      <c r="HM264" s="25"/>
      <c r="HN264" s="25"/>
      <c r="HO264" s="25">
        <f t="shared" ref="HO264" ca="1" si="5198">HO266-(COLUMN()/10000)</f>
        <v>-2.23E-2</v>
      </c>
      <c r="HP264" s="25"/>
      <c r="HQ264" s="25"/>
      <c r="HR264" s="25">
        <f t="shared" ref="HR264" ca="1" si="5199">HR266-(COLUMN()/10000)</f>
        <v>-2.2599999999999999E-2</v>
      </c>
      <c r="HS264" s="25"/>
      <c r="HT264" s="25"/>
      <c r="HU264" s="25">
        <f t="shared" ref="HU264" ca="1" si="5200">HU266-(COLUMN()/10000)</f>
        <v>-2.29E-2</v>
      </c>
      <c r="HV264" s="25"/>
      <c r="HW264" s="25"/>
      <c r="HX264" s="25">
        <f t="shared" ref="HX264" ca="1" si="5201">HX266-(COLUMN()/10000)</f>
        <v>-2.3199999999999998E-2</v>
      </c>
      <c r="HY264" s="25"/>
      <c r="HZ264" s="25"/>
      <c r="IA264" s="25">
        <f t="shared" ref="IA264" ca="1" si="5202">IA266-(COLUMN()/10000)</f>
        <v>-2.35E-2</v>
      </c>
      <c r="IB264" s="25"/>
      <c r="IC264" s="25"/>
      <c r="ID264" s="25">
        <f t="shared" ref="ID264" ca="1" si="5203">ID266-(COLUMN()/10000)</f>
        <v>-2.3800000000000002E-2</v>
      </c>
      <c r="IE264" s="25"/>
      <c r="IF264" s="25"/>
      <c r="IG264" s="25">
        <f t="shared" ref="IG264" ca="1" si="5204">IG266-(COLUMN()/10000)</f>
        <v>-2.41E-2</v>
      </c>
      <c r="IH264" s="25"/>
      <c r="II264" s="25"/>
      <c r="IJ264" s="25">
        <f t="shared" ref="IJ264" ca="1" si="5205">IJ266-(COLUMN()/10000)</f>
        <v>-2.4400000000000002E-2</v>
      </c>
      <c r="IK264" s="25"/>
      <c r="IL264" s="25"/>
      <c r="IM264" s="25">
        <f t="shared" ref="IM264" ca="1" si="5206">IM266-(COLUMN()/10000)</f>
        <v>-2.47E-2</v>
      </c>
      <c r="IN264" s="25"/>
      <c r="IO264" s="25"/>
      <c r="IP264" s="25">
        <f t="shared" ref="IP264" ca="1" si="5207">IP266-(COLUMN()/10000)</f>
        <v>-2.5000000000000001E-2</v>
      </c>
      <c r="IQ264" s="25"/>
      <c r="IR264" s="25"/>
      <c r="IS264" s="25">
        <f t="shared" ref="IS264" ca="1" si="5208">IS266-(COLUMN()/10000)</f>
        <v>-2.53E-2</v>
      </c>
      <c r="IT264" s="25"/>
      <c r="IU264" s="25"/>
      <c r="IV264" s="25">
        <f t="shared" ref="IV264" ca="1" si="5209">IV266-(COLUMN()/10000)</f>
        <v>-2.5600000000000001E-2</v>
      </c>
      <c r="IW264" s="25"/>
      <c r="IX264" s="25"/>
      <c r="IY264" s="25">
        <f t="shared" ref="IY264" ca="1" si="5210">IY266-(COLUMN()/10000)</f>
        <v>-2.5899999999999999E-2</v>
      </c>
      <c r="IZ264" s="25"/>
      <c r="JA264" s="25"/>
      <c r="JB264" s="25">
        <f t="shared" ref="JB264" ca="1" si="5211">JB266-(COLUMN()/10000)</f>
        <v>-2.6200000000000001E-2</v>
      </c>
      <c r="JC264" s="25"/>
      <c r="JD264" s="25"/>
      <c r="JE264" s="25">
        <f t="shared" ref="JE264" ca="1" si="5212">JE266-(COLUMN()/10000)</f>
        <v>-2.6499999999999999E-2</v>
      </c>
      <c r="JF264" s="25"/>
      <c r="JG264" s="25"/>
      <c r="JH264" s="25">
        <f t="shared" ref="JH264" ca="1" si="5213">JH266-(COLUMN()/10000)</f>
        <v>-2.6800000000000001E-2</v>
      </c>
      <c r="JI264" s="25"/>
      <c r="JJ264" s="25"/>
      <c r="JK264" s="25">
        <f t="shared" ref="JK264" ca="1" si="5214">JK266-(COLUMN()/10000)</f>
        <v>-2.7099999999999999E-2</v>
      </c>
      <c r="JL264" s="25"/>
      <c r="JM264" s="25"/>
      <c r="JN264" s="25">
        <f t="shared" ref="JN264" ca="1" si="5215">JN266-(COLUMN()/10000)</f>
        <v>-2.7400000000000001E-2</v>
      </c>
      <c r="JO264" s="25"/>
      <c r="JP264" s="25"/>
      <c r="JQ264" s="25">
        <f t="shared" ref="JQ264" ca="1" si="5216">JQ266-(COLUMN()/10000)</f>
        <v>-2.7699999999999999E-2</v>
      </c>
      <c r="JR264" s="25"/>
      <c r="JS264" s="25"/>
      <c r="JT264" s="25">
        <f t="shared" ref="JT264" ca="1" si="5217">JT266-(COLUMN()/10000)</f>
        <v>-2.8000000000000001E-2</v>
      </c>
      <c r="JU264" s="25"/>
      <c r="JV264" s="25"/>
      <c r="JW264" s="25">
        <f t="shared" ref="JW264" ca="1" si="5218">JW266-(COLUMN()/10000)</f>
        <v>-2.8299999999999999E-2</v>
      </c>
      <c r="JX264" s="25"/>
      <c r="JY264" s="25"/>
      <c r="JZ264" s="25">
        <f t="shared" ref="JZ264" ca="1" si="5219">JZ266-(COLUMN()/10000)</f>
        <v>-2.86E-2</v>
      </c>
      <c r="KA264" s="25"/>
      <c r="KB264" s="25"/>
      <c r="KC264" s="25">
        <f t="shared" ref="KC264" ca="1" si="5220">KC266-(COLUMN()/10000)</f>
        <v>-2.8899999999999999E-2</v>
      </c>
      <c r="KD264" s="25"/>
      <c r="KE264" s="25"/>
      <c r="KF264" s="25">
        <f t="shared" ref="KF264" ca="1" si="5221">KF266-(COLUMN()/10000)</f>
        <v>-2.92E-2</v>
      </c>
      <c r="KG264" s="25"/>
      <c r="KH264" s="25"/>
      <c r="KI264" s="25">
        <f t="shared" ref="KI264" ca="1" si="5222">KI266-(COLUMN()/10000)</f>
        <v>-2.9499999999999998E-2</v>
      </c>
      <c r="KJ264" s="25"/>
      <c r="KK264" s="25"/>
      <c r="KL264" s="25">
        <f t="shared" ref="KL264" ca="1" si="5223">KL266-(COLUMN()/10000)</f>
        <v>-2.98E-2</v>
      </c>
      <c r="KM264" s="25"/>
      <c r="KN264" s="25"/>
      <c r="KO264" s="25">
        <f t="shared" ref="KO264" ca="1" si="5224">KO266-(COLUMN()/10000)</f>
        <v>-3.0099999999999998E-2</v>
      </c>
      <c r="KP264" s="25"/>
      <c r="KQ264" s="25"/>
      <c r="KR264" s="25">
        <f t="shared" ref="KR264" ca="1" si="5225">KR266-(COLUMN()/10000)</f>
        <v>-3.04E-2</v>
      </c>
      <c r="KS264" s="25"/>
      <c r="KT264" s="25"/>
      <c r="KU264" s="25">
        <f t="shared" ref="KU264" ca="1" si="5226">KU266-(COLUMN()/10000)</f>
        <v>-3.0700000000000002E-2</v>
      </c>
      <c r="KV264" s="25"/>
      <c r="KW264" s="25"/>
      <c r="KX264" s="25">
        <f t="shared" ref="KX264" ca="1" si="5227">KX266-(COLUMN()/10000)</f>
        <v>-3.1E-2</v>
      </c>
      <c r="KY264" s="25"/>
      <c r="KZ264" s="25"/>
      <c r="LA264" s="25">
        <f t="shared" ref="LA264" ca="1" si="5228">LA266-(COLUMN()/10000)</f>
        <v>-3.1300000000000001E-2</v>
      </c>
      <c r="LB264" s="25"/>
      <c r="LC264" s="25"/>
      <c r="LD264" s="25">
        <f t="shared" ref="LD264" ca="1" si="5229">LD266-(COLUMN()/10000)</f>
        <v>-3.1600000000000003E-2</v>
      </c>
      <c r="LE264" s="25"/>
      <c r="LF264" s="25"/>
      <c r="LG264" s="17"/>
    </row>
    <row r="265" spans="1:319" customFormat="1">
      <c r="A265" s="17"/>
      <c r="B265" s="17"/>
      <c r="C265" s="17"/>
      <c r="D265" s="17"/>
      <c r="E265" s="89"/>
      <c r="F265" s="728"/>
      <c r="G265" s="728"/>
      <c r="H265" s="728"/>
      <c r="I265" s="17"/>
      <c r="J265" s="25"/>
      <c r="K265" s="25"/>
      <c r="L265" s="25"/>
      <c r="M265" s="25" t="s">
        <v>1708</v>
      </c>
      <c r="N265" s="25"/>
      <c r="O265" s="25"/>
      <c r="P265" s="25"/>
      <c r="Q265" s="25"/>
      <c r="R265" s="25"/>
      <c r="S265" s="25">
        <f ca="1">RANK(S266,OFFSET($S$266,0,0,1,$D$5*3),0)</f>
        <v>12</v>
      </c>
      <c r="T265" s="25"/>
      <c r="U265" s="25"/>
      <c r="V265" s="25">
        <f ca="1">RANK(V266,OFFSET($S$266,0,0,1,$D$5*3),0)</f>
        <v>25</v>
      </c>
      <c r="W265" s="25"/>
      <c r="X265" s="25"/>
      <c r="Y265" s="25">
        <f ca="1">RANK(Y266,OFFSET($S$266,0,0,1,$D$5*3),0)</f>
        <v>31</v>
      </c>
      <c r="Z265" s="25"/>
      <c r="AA265" s="25"/>
      <c r="AB265" s="25">
        <f ca="1">RANK(AB266,OFFSET($S$266,0,0,1,$D$5*3),0)</f>
        <v>18</v>
      </c>
      <c r="AC265" s="25"/>
      <c r="AD265" s="25"/>
      <c r="AE265" s="25">
        <f ca="1">RANK(AE266,OFFSET($S$266,0,0,1,$D$5*3),0)</f>
        <v>48</v>
      </c>
      <c r="AF265" s="25"/>
      <c r="AG265" s="25"/>
      <c r="AH265" s="25">
        <f ca="1">RANK(AH266,OFFSET($S$266,0,0,1,$D$5*3),0)</f>
        <v>10</v>
      </c>
      <c r="AI265" s="25"/>
      <c r="AJ265" s="25"/>
      <c r="AK265" s="25">
        <f ca="1">RANK(AK266,OFFSET($S$266,0,0,1,$D$5*3),0)</f>
        <v>27</v>
      </c>
      <c r="AL265" s="25"/>
      <c r="AM265" s="25"/>
      <c r="AN265" s="25">
        <f ca="1">RANK(AN266,OFFSET($S$266,0,0,1,$D$5*3),0)</f>
        <v>48</v>
      </c>
      <c r="AO265" s="25"/>
      <c r="AP265" s="25"/>
      <c r="AQ265" s="25">
        <f ca="1">RANK(AQ266,OFFSET($S$266,0,0,1,$D$5*3),0)</f>
        <v>48</v>
      </c>
      <c r="AR265" s="25"/>
      <c r="AS265" s="25"/>
      <c r="AT265" s="25">
        <f ca="1">RANK(AT266,OFFSET($S$266,0,0,1,$D$5*3),0)</f>
        <v>31</v>
      </c>
      <c r="AU265" s="25"/>
      <c r="AV265" s="25"/>
      <c r="AW265" s="25">
        <f ca="1">RANK(AW266,OFFSET($S$266,0,0,1,$D$5*3),0)</f>
        <v>31</v>
      </c>
      <c r="AX265" s="25"/>
      <c r="AY265" s="25"/>
      <c r="AZ265" s="25">
        <f ca="1">RANK(AZ266,OFFSET($S$266,0,0,1,$D$5*3),0)</f>
        <v>7</v>
      </c>
      <c r="BA265" s="25"/>
      <c r="BB265" s="25"/>
      <c r="BC265" s="25">
        <f ca="1">RANK(BC266,OFFSET($S$266,0,0,1,$D$5*3),0)</f>
        <v>44</v>
      </c>
      <c r="BD265" s="25"/>
      <c r="BE265" s="25"/>
      <c r="BF265" s="25">
        <f ca="1">RANK(BF266,OFFSET($S$266,0,0,1,$D$5*3),0)</f>
        <v>31</v>
      </c>
      <c r="BG265" s="25"/>
      <c r="BH265" s="25"/>
      <c r="BI265" s="25">
        <f ca="1">RANK(BI266,OFFSET($S$266,0,0,1,$D$5*3),0)</f>
        <v>18</v>
      </c>
      <c r="BJ265" s="25"/>
      <c r="BK265" s="25"/>
      <c r="BL265" s="25">
        <f ca="1">RANK(BL266,OFFSET($S$266,0,0,1,$D$5*3),0)</f>
        <v>1</v>
      </c>
      <c r="BM265" s="25"/>
      <c r="BN265" s="25"/>
      <c r="BO265" s="25">
        <f ca="1">RANK(BO266,OFFSET($S$266,0,0,1,$D$5*3),0)</f>
        <v>24</v>
      </c>
      <c r="BP265" s="25"/>
      <c r="BQ265" s="25"/>
      <c r="BR265" s="25">
        <f ca="1">RANK(BR266,OFFSET($S$266,0,0,1,$D$5*3),0)</f>
        <v>48</v>
      </c>
      <c r="BS265" s="25"/>
      <c r="BT265" s="25"/>
      <c r="BU265" s="25">
        <f ca="1">RANK(BU266,OFFSET($S$266,0,0,1,$D$5*3),0)</f>
        <v>44</v>
      </c>
      <c r="BV265" s="25"/>
      <c r="BW265" s="25"/>
      <c r="BX265" s="25">
        <f ca="1">RANK(BX266,OFFSET($S$266,0,0,1,$D$5*3),0)</f>
        <v>12</v>
      </c>
      <c r="BY265" s="25"/>
      <c r="BZ265" s="25"/>
      <c r="CA265" s="25">
        <f ca="1">RANK(CA266,OFFSET($S$266,0,0,1,$D$5*3),0)</f>
        <v>18</v>
      </c>
      <c r="CB265" s="25"/>
      <c r="CC265" s="25"/>
      <c r="CD265" s="25">
        <f ca="1">RANK(CD266,OFFSET($S$266,0,0,1,$D$5*3),0)</f>
        <v>31</v>
      </c>
      <c r="CE265" s="25"/>
      <c r="CF265" s="25"/>
      <c r="CG265" s="25">
        <f ca="1">RANK(CG266,OFFSET($S$266,0,0,1,$D$5*3),0)</f>
        <v>7</v>
      </c>
      <c r="CH265" s="25"/>
      <c r="CI265" s="25"/>
      <c r="CJ265" s="25">
        <f ca="1">RANK(CJ266,OFFSET($S$266,0,0,1,$D$5*3),0)</f>
        <v>48</v>
      </c>
      <c r="CK265" s="25"/>
      <c r="CL265" s="25"/>
      <c r="CM265" s="25">
        <f ca="1">RANK(CM266,OFFSET($S$266,0,0,1,$D$5*3),0)</f>
        <v>31</v>
      </c>
      <c r="CN265" s="25"/>
      <c r="CO265" s="25"/>
      <c r="CP265" s="25">
        <f ca="1">RANK(CP266,OFFSET($S$266,0,0,1,$D$5*3),0)</f>
        <v>12</v>
      </c>
      <c r="CQ265" s="25"/>
      <c r="CR265" s="25"/>
      <c r="CS265" s="25">
        <f ca="1">RANK(CS266,OFFSET($S$266,0,0,1,$D$5*3),0)</f>
        <v>48</v>
      </c>
      <c r="CT265" s="25"/>
      <c r="CU265" s="25"/>
      <c r="CV265" s="25">
        <f ca="1">RANK(CV266,OFFSET($S$266,0,0,1,$D$5*3),0)</f>
        <v>23</v>
      </c>
      <c r="CW265" s="25"/>
      <c r="CX265" s="25"/>
      <c r="CY265" s="25">
        <f ca="1">RANK(CY266,OFFSET($S$266,0,0,1,$D$5*3),0)</f>
        <v>48</v>
      </c>
      <c r="CZ265" s="25"/>
      <c r="DA265" s="25"/>
      <c r="DB265" s="25">
        <f ca="1">RANK(DB266,OFFSET($S$266,0,0,1,$D$5*3),0)</f>
        <v>17</v>
      </c>
      <c r="DC265" s="25"/>
      <c r="DD265" s="25"/>
      <c r="DE265" s="25">
        <f ca="1">RANK(DE266,OFFSET($S$266,0,0,1,$D$5*3),0)</f>
        <v>31</v>
      </c>
      <c r="DF265" s="25"/>
      <c r="DG265" s="25"/>
      <c r="DH265" s="25">
        <f ca="1">RANK(DH266,OFFSET($S$266,0,0,1,$D$5*3),0)</f>
        <v>31</v>
      </c>
      <c r="DI265" s="25"/>
      <c r="DJ265" s="25"/>
      <c r="DK265" s="25">
        <f ca="1">RANK(DK266,OFFSET($S$266,0,0,1,$D$5*3),0)</f>
        <v>7</v>
      </c>
      <c r="DL265" s="25"/>
      <c r="DM265" s="25"/>
      <c r="DN265" s="25">
        <f ca="1">RANK(DN266,OFFSET($S$266,0,0,1,$D$5*3),0)</f>
        <v>2</v>
      </c>
      <c r="DO265" s="25"/>
      <c r="DP265" s="25"/>
      <c r="DQ265" s="25">
        <f ca="1">RANK(DQ266,OFFSET($S$266,0,0,1,$D$5*3),0)</f>
        <v>31</v>
      </c>
      <c r="DR265" s="25"/>
      <c r="DS265" s="25"/>
      <c r="DT265" s="25">
        <f ca="1">RANK(DT266,OFFSET($S$266,0,0,1,$D$5*3),0)</f>
        <v>44</v>
      </c>
      <c r="DU265" s="25"/>
      <c r="DV265" s="25"/>
      <c r="DW265" s="25">
        <f ca="1">RANK(DW266,OFFSET($S$266,0,0,1,$D$5*3),0)</f>
        <v>18</v>
      </c>
      <c r="DX265" s="25"/>
      <c r="DY265" s="25"/>
      <c r="DZ265" s="25">
        <f ca="1">RANK(DZ266,OFFSET($S$266,0,0,1,$D$5*3),0)</f>
        <v>28</v>
      </c>
      <c r="EA265" s="25"/>
      <c r="EB265" s="25"/>
      <c r="EC265" s="25">
        <f ca="1">RANK(EC266,OFFSET($S$266,0,0,1,$D$5*3),0)</f>
        <v>16</v>
      </c>
      <c r="ED265" s="25"/>
      <c r="EE265" s="25"/>
      <c r="EF265" s="25">
        <f ca="1">RANK(EF266,OFFSET($S$266,0,0,1,$D$5*3),0)</f>
        <v>47</v>
      </c>
      <c r="EG265" s="25"/>
      <c r="EH265" s="25"/>
      <c r="EI265" s="25">
        <f ca="1">RANK(EI266,OFFSET($S$266,0,0,1,$D$5*3),0)</f>
        <v>4</v>
      </c>
      <c r="EJ265" s="25"/>
      <c r="EK265" s="25"/>
      <c r="EL265" s="25">
        <f ca="1">RANK(EL266,OFFSET($S$266,0,0,1,$D$5*3),0)</f>
        <v>6</v>
      </c>
      <c r="EM265" s="25"/>
      <c r="EN265" s="25"/>
      <c r="EO265" s="25">
        <f ca="1">RANK(EO266,OFFSET($S$266,0,0,1,$D$5*3),0)</f>
        <v>31</v>
      </c>
      <c r="EP265" s="25"/>
      <c r="EQ265" s="25"/>
      <c r="ER265" s="25">
        <f ca="1">RANK(ER266,OFFSET($S$266,0,0,1,$D$5*3),0)</f>
        <v>3</v>
      </c>
      <c r="ES265" s="25"/>
      <c r="ET265" s="25"/>
      <c r="EU265" s="25">
        <f ca="1">RANK(EU266,OFFSET($S$266,0,0,1,$D$5*3),0)</f>
        <v>48</v>
      </c>
      <c r="EV265" s="25"/>
      <c r="EW265" s="25"/>
      <c r="EX265" s="25">
        <f ca="1">RANK(EX266,OFFSET($S$266,0,0,1,$D$5*3),0)</f>
        <v>48</v>
      </c>
      <c r="EY265" s="25"/>
      <c r="EZ265" s="25"/>
      <c r="FA265" s="25">
        <f ca="1">RANK(FA266,OFFSET($S$266,0,0,1,$D$5*3),0)</f>
        <v>28</v>
      </c>
      <c r="FB265" s="25"/>
      <c r="FC265" s="25"/>
      <c r="FD265" s="25">
        <f ca="1">RANK(FD266,OFFSET($S$266,0,0,1,$D$5*3),0)</f>
        <v>48</v>
      </c>
      <c r="FE265" s="25"/>
      <c r="FF265" s="25"/>
      <c r="FG265" s="25">
        <f ca="1">RANK(FG266,OFFSET($S$266,0,0,1,$D$5*3),0)</f>
        <v>30</v>
      </c>
      <c r="FH265" s="25"/>
      <c r="FI265" s="25"/>
      <c r="FJ265" s="25">
        <f ca="1">RANK(FJ266,OFFSET($S$266,0,0,1,$D$5*3),0)</f>
        <v>10</v>
      </c>
      <c r="FK265" s="25"/>
      <c r="FL265" s="25"/>
      <c r="FM265" s="25">
        <f ca="1">RANK(FM266,OFFSET($S$266,0,0,1,$D$5*3),0)</f>
        <v>31</v>
      </c>
      <c r="FN265" s="25"/>
      <c r="FO265" s="25"/>
      <c r="FP265" s="25">
        <f ca="1">RANK(FP266,OFFSET($S$266,0,0,1,$D$5*3),0)</f>
        <v>48</v>
      </c>
      <c r="FQ265" s="25"/>
      <c r="FR265" s="25"/>
      <c r="FS265" s="25">
        <f ca="1">RANK(FS266,OFFSET($S$266,0,0,1,$D$5*3),0)</f>
        <v>31</v>
      </c>
      <c r="FT265" s="25"/>
      <c r="FU265" s="25"/>
      <c r="FV265" s="25">
        <f ca="1">RANK(FV266,OFFSET($S$266,0,0,1,$D$5*3),0)</f>
        <v>5</v>
      </c>
      <c r="FW265" s="25"/>
      <c r="FX265" s="25"/>
      <c r="FY265" s="25">
        <f ca="1">RANK(FY266,OFFSET($S$266,0,0,1,$D$5*3),0)</f>
        <v>12</v>
      </c>
      <c r="FZ265" s="25"/>
      <c r="GA265" s="25"/>
      <c r="GB265" s="25">
        <f ca="1">RANK(GB266,OFFSET($S$266,0,0,1,$D$5*3),0)</f>
        <v>18</v>
      </c>
      <c r="GC265" s="25"/>
      <c r="GD265" s="25"/>
      <c r="GE265" s="25">
        <f ca="1">RANK(GE266,OFFSET($S$266,0,0,1,$D$5*3),0)</f>
        <v>25</v>
      </c>
      <c r="GF265" s="25"/>
      <c r="GG265" s="25"/>
      <c r="GH265" s="25">
        <f ca="1">RANK(GH266,OFFSET($S$266,0,0,1,$D$5*3),0)</f>
        <v>31</v>
      </c>
      <c r="GI265" s="25"/>
      <c r="GJ265" s="25"/>
      <c r="GK265" s="25">
        <f ca="1">RANK(GK266,OFFSET($S$266,0,0,1,$D$5*3),0)</f>
        <v>48</v>
      </c>
      <c r="GL265" s="25"/>
      <c r="GM265" s="25"/>
      <c r="GN265" s="25">
        <f ca="1">RANK(GN266,OFFSET($S$266,0,0,1,$D$5*3),0)</f>
        <v>48</v>
      </c>
      <c r="GO265" s="25"/>
      <c r="GP265" s="25"/>
      <c r="GQ265" s="25">
        <f ca="1">RANK(GQ266,OFFSET($S$266,0,0,1,$D$5*3),0)</f>
        <v>48</v>
      </c>
      <c r="GR265" s="25"/>
      <c r="GS265" s="25"/>
      <c r="GT265" s="25">
        <f ca="1">RANK(GT266,OFFSET($S$266,0,0,1,$D$5*3),0)</f>
        <v>48</v>
      </c>
      <c r="GU265" s="25"/>
      <c r="GV265" s="25"/>
      <c r="GW265" s="25">
        <f ca="1">RANK(GW266,OFFSET($S$266,0,0,1,$D$5*3),0)</f>
        <v>48</v>
      </c>
      <c r="GX265" s="25"/>
      <c r="GY265" s="25"/>
      <c r="GZ265" s="25">
        <f ca="1">RANK(GZ266,OFFSET($S$266,0,0,1,$D$5*3),0)</f>
        <v>48</v>
      </c>
      <c r="HA265" s="25"/>
      <c r="HB265" s="25"/>
      <c r="HC265" s="25">
        <f ca="1">RANK(HC266,OFFSET($S$266,0,0,1,$D$5*3),0)</f>
        <v>48</v>
      </c>
      <c r="HD265" s="25"/>
      <c r="HE265" s="25"/>
      <c r="HF265" s="25">
        <f ca="1">RANK(HF266,OFFSET($S$266,0,0,1,$D$5*3),0)</f>
        <v>48</v>
      </c>
      <c r="HG265" s="25"/>
      <c r="HH265" s="25"/>
      <c r="HI265" s="25">
        <f ca="1">RANK(HI266,OFFSET($S$266,0,0,1,$D$5*3),0)</f>
        <v>48</v>
      </c>
      <c r="HJ265" s="25"/>
      <c r="HK265" s="25"/>
      <c r="HL265" s="25">
        <f ca="1">RANK(HL266,OFFSET($S$266,0,0,1,$D$5*3),0)</f>
        <v>48</v>
      </c>
      <c r="HM265" s="25"/>
      <c r="HN265" s="25"/>
      <c r="HO265" s="25">
        <f ca="1">RANK(HO266,OFFSET($S$266,0,0,1,$D$5*3),0)</f>
        <v>48</v>
      </c>
      <c r="HP265" s="25"/>
      <c r="HQ265" s="25"/>
      <c r="HR265" s="25">
        <f ca="1">RANK(HR266,OFFSET($S$266,0,0,1,$D$5*3),0)</f>
        <v>48</v>
      </c>
      <c r="HS265" s="25"/>
      <c r="HT265" s="25"/>
      <c r="HU265" s="25">
        <f ca="1">RANK(HU266,OFFSET($S$266,0,0,1,$D$5*3),0)</f>
        <v>48</v>
      </c>
      <c r="HV265" s="25"/>
      <c r="HW265" s="25"/>
      <c r="HX265" s="25">
        <f ca="1">RANK(HX266,OFFSET($S$266,0,0,1,$D$5*3),0)</f>
        <v>48</v>
      </c>
      <c r="HY265" s="25"/>
      <c r="HZ265" s="25"/>
      <c r="IA265" s="25">
        <f ca="1">RANK(IA266,OFFSET($S$266,0,0,1,$D$5*3),0)</f>
        <v>48</v>
      </c>
      <c r="IB265" s="25"/>
      <c r="IC265" s="25"/>
      <c r="ID265" s="25">
        <f ca="1">RANK(ID266,OFFSET($S$266,0,0,1,$D$5*3),0)</f>
        <v>48</v>
      </c>
      <c r="IE265" s="25"/>
      <c r="IF265" s="25"/>
      <c r="IG265" s="25">
        <f ca="1">RANK(IG266,OFFSET($S$266,0,0,1,$D$5*3),0)</f>
        <v>48</v>
      </c>
      <c r="IH265" s="25"/>
      <c r="II265" s="25"/>
      <c r="IJ265" s="25">
        <f ca="1">RANK(IJ266,OFFSET($S$266,0,0,1,$D$5*3),0)</f>
        <v>48</v>
      </c>
      <c r="IK265" s="25"/>
      <c r="IL265" s="25"/>
      <c r="IM265" s="25">
        <f ca="1">RANK(IM266,OFFSET($S$266,0,0,1,$D$5*3),0)</f>
        <v>48</v>
      </c>
      <c r="IN265" s="25"/>
      <c r="IO265" s="25"/>
      <c r="IP265" s="25">
        <f ca="1">RANK(IP266,OFFSET($S$266,0,0,1,$D$5*3),0)</f>
        <v>48</v>
      </c>
      <c r="IQ265" s="25"/>
      <c r="IR265" s="25"/>
      <c r="IS265" s="25">
        <f ca="1">RANK(IS266,OFFSET($S$266,0,0,1,$D$5*3),0)</f>
        <v>48</v>
      </c>
      <c r="IT265" s="25"/>
      <c r="IU265" s="25"/>
      <c r="IV265" s="25">
        <f ca="1">RANK(IV266,OFFSET($S$266,0,0,1,$D$5*3),0)</f>
        <v>48</v>
      </c>
      <c r="IW265" s="25"/>
      <c r="IX265" s="25"/>
      <c r="IY265" s="25">
        <f ca="1">RANK(IY266,OFFSET($S$266,0,0,1,$D$5*3),0)</f>
        <v>48</v>
      </c>
      <c r="IZ265" s="25"/>
      <c r="JA265" s="25"/>
      <c r="JB265" s="25">
        <f ca="1">RANK(JB266,OFFSET($S$266,0,0,1,$D$5*3),0)</f>
        <v>48</v>
      </c>
      <c r="JC265" s="25"/>
      <c r="JD265" s="25"/>
      <c r="JE265" s="25">
        <f ca="1">RANK(JE266,OFFSET($S$266,0,0,1,$D$5*3),0)</f>
        <v>48</v>
      </c>
      <c r="JF265" s="25"/>
      <c r="JG265" s="25"/>
      <c r="JH265" s="25">
        <f ca="1">RANK(JH266,OFFSET($S$266,0,0,1,$D$5*3),0)</f>
        <v>48</v>
      </c>
      <c r="JI265" s="25"/>
      <c r="JJ265" s="25"/>
      <c r="JK265" s="25">
        <f ca="1">RANK(JK266,OFFSET($S$266,0,0,1,$D$5*3),0)</f>
        <v>48</v>
      </c>
      <c r="JL265" s="25"/>
      <c r="JM265" s="25"/>
      <c r="JN265" s="25">
        <f ca="1">RANK(JN266,OFFSET($S$266,0,0,1,$D$5*3),0)</f>
        <v>48</v>
      </c>
      <c r="JO265" s="25"/>
      <c r="JP265" s="25"/>
      <c r="JQ265" s="25">
        <f ca="1">RANK(JQ266,OFFSET($S$266,0,0,1,$D$5*3),0)</f>
        <v>48</v>
      </c>
      <c r="JR265" s="25"/>
      <c r="JS265" s="25"/>
      <c r="JT265" s="25">
        <f ca="1">RANK(JT266,OFFSET($S$266,0,0,1,$D$5*3),0)</f>
        <v>48</v>
      </c>
      <c r="JU265" s="25"/>
      <c r="JV265" s="25"/>
      <c r="JW265" s="25">
        <f ca="1">RANK(JW266,OFFSET($S$266,0,0,1,$D$5*3),0)</f>
        <v>48</v>
      </c>
      <c r="JX265" s="25"/>
      <c r="JY265" s="25"/>
      <c r="JZ265" s="25">
        <f ca="1">RANK(JZ266,OFFSET($S$266,0,0,1,$D$5*3),0)</f>
        <v>48</v>
      </c>
      <c r="KA265" s="25"/>
      <c r="KB265" s="25"/>
      <c r="KC265" s="25">
        <f ca="1">RANK(KC266,OFFSET($S$266,0,0,1,$D$5*3),0)</f>
        <v>48</v>
      </c>
      <c r="KD265" s="25"/>
      <c r="KE265" s="25"/>
      <c r="KF265" s="25">
        <f ca="1">RANK(KF266,OFFSET($S$266,0,0,1,$D$5*3),0)</f>
        <v>48</v>
      </c>
      <c r="KG265" s="25"/>
      <c r="KH265" s="25"/>
      <c r="KI265" s="25">
        <f ca="1">RANK(KI266,OFFSET($S$266,0,0,1,$D$5*3),0)</f>
        <v>48</v>
      </c>
      <c r="KJ265" s="25"/>
      <c r="KK265" s="25"/>
      <c r="KL265" s="25">
        <f ca="1">RANK(KL266,OFFSET($S$266,0,0,1,$D$5*3),0)</f>
        <v>48</v>
      </c>
      <c r="KM265" s="25"/>
      <c r="KN265" s="25"/>
      <c r="KO265" s="25">
        <f ca="1">RANK(KO266,OFFSET($S$266,0,0,1,$D$5*3),0)</f>
        <v>48</v>
      </c>
      <c r="KP265" s="25"/>
      <c r="KQ265" s="25"/>
      <c r="KR265" s="25">
        <f ca="1">RANK(KR266,OFFSET($S$266,0,0,1,$D$5*3),0)</f>
        <v>48</v>
      </c>
      <c r="KS265" s="25"/>
      <c r="KT265" s="25"/>
      <c r="KU265" s="25">
        <f ca="1">RANK(KU266,OFFSET($S$266,0,0,1,$D$5*3),0)</f>
        <v>48</v>
      </c>
      <c r="KV265" s="25"/>
      <c r="KW265" s="25"/>
      <c r="KX265" s="25">
        <f ca="1">RANK(KX266,OFFSET($S$266,0,0,1,$D$5*3),0)</f>
        <v>48</v>
      </c>
      <c r="KY265" s="25"/>
      <c r="KZ265" s="25"/>
      <c r="LA265" s="25">
        <f ca="1">RANK(LA266,OFFSET($S$266,0,0,1,$D$5*3),0)</f>
        <v>48</v>
      </c>
      <c r="LB265" s="25"/>
      <c r="LC265" s="25"/>
      <c r="LD265" s="25">
        <f ca="1">RANK(LD266,OFFSET($S$266,0,0,1,$D$5*3),0)</f>
        <v>48</v>
      </c>
      <c r="LE265" s="25"/>
      <c r="LF265" s="25"/>
      <c r="LG265" s="17"/>
    </row>
    <row r="266" spans="1:319" customFormat="1">
      <c r="A266" s="17"/>
      <c r="B266" s="17"/>
      <c r="C266" s="17"/>
      <c r="D266" s="17"/>
      <c r="E266" s="89"/>
      <c r="F266" s="728"/>
      <c r="G266" s="728"/>
      <c r="H266" s="728"/>
      <c r="I266" s="17"/>
      <c r="J266" s="25"/>
      <c r="K266" s="25"/>
      <c r="L266" s="25"/>
      <c r="M266" s="25" t="s">
        <v>614</v>
      </c>
      <c r="N266" s="25"/>
      <c r="O266" s="25"/>
      <c r="P266" s="25"/>
      <c r="Q266" s="25"/>
      <c r="R266" s="25"/>
      <c r="S266" s="25">
        <f ca="1">SUMIFS((T6:T259),$H$6:$H$259,$M$262)</f>
        <v>70</v>
      </c>
      <c r="T266" s="25"/>
      <c r="U266" s="25"/>
      <c r="V266" s="25">
        <f ca="1">SUMIFS((W6:W259),$H$6:$H$259,$M$262)</f>
        <v>30</v>
      </c>
      <c r="W266" s="25"/>
      <c r="X266" s="25"/>
      <c r="Y266" s="25">
        <f ca="1">SUMIFS((Z6:Z259),$H$6:$H$259,$M$262)</f>
        <v>20</v>
      </c>
      <c r="Z266" s="25"/>
      <c r="AA266" s="25"/>
      <c r="AB266" s="25">
        <f ca="1">SUMIFS((AC6:AC259),$H$6:$H$259,$M$262)</f>
        <v>50</v>
      </c>
      <c r="AC266" s="25"/>
      <c r="AD266" s="25"/>
      <c r="AE266" s="25">
        <f ca="1">SUMIFS((AF6:AF259),$H$6:$H$259,$M$262)</f>
        <v>0</v>
      </c>
      <c r="AF266" s="25"/>
      <c r="AG266" s="25"/>
      <c r="AH266" s="25">
        <f ca="1">SUMIFS((AI6:AI259),$H$6:$H$259,$M$262)</f>
        <v>74</v>
      </c>
      <c r="AI266" s="25"/>
      <c r="AJ266" s="25"/>
      <c r="AK266" s="25">
        <f ca="1">SUMIFS((AL6:AL259),$H$6:$H$259,$M$262)</f>
        <v>29</v>
      </c>
      <c r="AL266" s="25"/>
      <c r="AM266" s="25"/>
      <c r="AN266" s="25">
        <f ca="1">SUMIFS((AO6:AO259),$H$6:$H$259,$M$262)</f>
        <v>0</v>
      </c>
      <c r="AO266" s="25"/>
      <c r="AP266" s="25"/>
      <c r="AQ266" s="25">
        <f ca="1">SUMIFS((AR6:AR259),$H$6:$H$259,$M$262)</f>
        <v>0</v>
      </c>
      <c r="AR266" s="25"/>
      <c r="AS266" s="25"/>
      <c r="AT266" s="25">
        <f ca="1">SUMIFS((AU6:AU259),$H$6:$H$259,$M$262)</f>
        <v>20</v>
      </c>
      <c r="AU266" s="25"/>
      <c r="AV266" s="25"/>
      <c r="AW266" s="25">
        <f ca="1">SUMIFS((AX6:AX259),$H$6:$H$259,$M$262)</f>
        <v>20</v>
      </c>
      <c r="AX266" s="25"/>
      <c r="AY266" s="25"/>
      <c r="AZ266" s="25">
        <f ca="1">SUMIFS((BA6:BA259),$H$6:$H$259,$M$262)</f>
        <v>75</v>
      </c>
      <c r="BA266" s="25"/>
      <c r="BB266" s="25"/>
      <c r="BC266" s="25">
        <f ca="1">SUMIFS((BD6:BD259),$H$6:$H$259,$M$262)</f>
        <v>5</v>
      </c>
      <c r="BD266" s="25"/>
      <c r="BE266" s="25"/>
      <c r="BF266" s="25">
        <f ca="1">SUMIFS((BG6:BG259),$H$6:$H$259,$M$262)</f>
        <v>20</v>
      </c>
      <c r="BG266" s="25"/>
      <c r="BH266" s="25"/>
      <c r="BI266" s="25">
        <f ca="1">SUMIFS((BJ6:BJ259),$H$6:$H$259,$M$262)</f>
        <v>50</v>
      </c>
      <c r="BJ266" s="25"/>
      <c r="BK266" s="25"/>
      <c r="BL266" s="25">
        <f ca="1">SUMIFS((BM6:BM259),$H$6:$H$259,$M$262)</f>
        <v>117</v>
      </c>
      <c r="BM266" s="25"/>
      <c r="BN266" s="25"/>
      <c r="BO266" s="25">
        <f ca="1">SUMIFS((BP6:BP259),$H$6:$H$259,$M$262)</f>
        <v>40</v>
      </c>
      <c r="BP266" s="25"/>
      <c r="BQ266" s="25"/>
      <c r="BR266" s="25">
        <f ca="1">SUMIFS((BS6:BS259),$H$6:$H$259,$M$262)</f>
        <v>0</v>
      </c>
      <c r="BS266" s="25"/>
      <c r="BT266" s="25"/>
      <c r="BU266" s="25">
        <f ca="1">SUMIFS((BV6:BV259),$H$6:$H$259,$M$262)</f>
        <v>5</v>
      </c>
      <c r="BV266" s="25"/>
      <c r="BW266" s="25"/>
      <c r="BX266" s="25">
        <f ca="1">SUMIFS((BY6:BY259),$H$6:$H$259,$M$262)</f>
        <v>70</v>
      </c>
      <c r="BY266" s="25"/>
      <c r="BZ266" s="25"/>
      <c r="CA266" s="25">
        <f ca="1">SUMIFS((CB6:CB259),$H$6:$H$259,$M$262)</f>
        <v>50</v>
      </c>
      <c r="CB266" s="25"/>
      <c r="CC266" s="25"/>
      <c r="CD266" s="25">
        <f ca="1">SUMIFS((CE6:CE259),$H$6:$H$259,$M$262)</f>
        <v>20</v>
      </c>
      <c r="CE266" s="25"/>
      <c r="CF266" s="25"/>
      <c r="CG266" s="25">
        <f ca="1">SUMIFS((CH6:CH259),$H$6:$H$259,$M$262)</f>
        <v>75</v>
      </c>
      <c r="CH266" s="25"/>
      <c r="CI266" s="25"/>
      <c r="CJ266" s="25">
        <f ca="1">SUMIFS((CK6:CK259),$H$6:$H$259,$M$262)</f>
        <v>0</v>
      </c>
      <c r="CK266" s="25"/>
      <c r="CL266" s="25"/>
      <c r="CM266" s="25">
        <f ca="1">SUMIFS((CN6:CN259),$H$6:$H$259,$M$262)</f>
        <v>20</v>
      </c>
      <c r="CN266" s="25"/>
      <c r="CO266" s="25"/>
      <c r="CP266" s="25">
        <f ca="1">SUMIFS((CQ6:CQ259),$H$6:$H$259,$M$262)</f>
        <v>70</v>
      </c>
      <c r="CQ266" s="25"/>
      <c r="CR266" s="25"/>
      <c r="CS266" s="25">
        <f ca="1">SUMIFS((CT6:CT259),$H$6:$H$259,$M$262)</f>
        <v>0</v>
      </c>
      <c r="CT266" s="25"/>
      <c r="CU266" s="25"/>
      <c r="CV266" s="25">
        <f ca="1">SUMIFS((CW6:CW259),$H$6:$H$259,$M$262)</f>
        <v>44</v>
      </c>
      <c r="CW266" s="25"/>
      <c r="CX266" s="25"/>
      <c r="CY266" s="25">
        <f ca="1">SUMIFS((CZ6:CZ259),$H$6:$H$259,$M$262)</f>
        <v>0</v>
      </c>
      <c r="CZ266" s="25"/>
      <c r="DA266" s="25"/>
      <c r="DB266" s="25">
        <f ca="1">SUMIFS((DC6:DC259),$H$6:$H$259,$M$262)</f>
        <v>58</v>
      </c>
      <c r="DC266" s="25"/>
      <c r="DD266" s="25"/>
      <c r="DE266" s="25">
        <f ca="1">SUMIFS((DF6:DF259),$H$6:$H$259,$M$262)</f>
        <v>20</v>
      </c>
      <c r="DF266" s="25"/>
      <c r="DG266" s="25"/>
      <c r="DH266" s="25">
        <f ca="1">SUMIFS((DI6:DI259),$H$6:$H$259,$M$262)</f>
        <v>20</v>
      </c>
      <c r="DI266" s="25"/>
      <c r="DJ266" s="25"/>
      <c r="DK266" s="25">
        <f ca="1">SUMIFS((DL6:DL259),$H$6:$H$259,$M$262)</f>
        <v>75</v>
      </c>
      <c r="DL266" s="25"/>
      <c r="DM266" s="25"/>
      <c r="DN266" s="25">
        <f ca="1">SUMIFS((DO6:DO259),$H$6:$H$259,$M$262)</f>
        <v>112</v>
      </c>
      <c r="DO266" s="25"/>
      <c r="DP266" s="25"/>
      <c r="DQ266" s="25">
        <f ca="1">SUMIFS((DR6:DR259),$H$6:$H$259,$M$262)</f>
        <v>20</v>
      </c>
      <c r="DR266" s="25"/>
      <c r="DS266" s="25"/>
      <c r="DT266" s="25">
        <f ca="1">SUMIFS((DU6:DU259),$H$6:$H$259,$M$262)</f>
        <v>5</v>
      </c>
      <c r="DU266" s="25"/>
      <c r="DV266" s="25"/>
      <c r="DW266" s="25">
        <f ca="1">SUMIFS((DX6:DX259),$H$6:$H$259,$M$262)</f>
        <v>50</v>
      </c>
      <c r="DX266" s="25"/>
      <c r="DY266" s="25"/>
      <c r="DZ266" s="25">
        <f ca="1">SUMIFS((EA6:EA259),$H$6:$H$259,$M$262)</f>
        <v>25</v>
      </c>
      <c r="EA266" s="25"/>
      <c r="EB266" s="25"/>
      <c r="EC266" s="25">
        <f ca="1">SUMIFS((ED6:ED259),$H$6:$H$259,$M$262)</f>
        <v>63</v>
      </c>
      <c r="ED266" s="25"/>
      <c r="EE266" s="25"/>
      <c r="EF266" s="25">
        <f ca="1">SUMIFS((EG6:EG259),$H$6:$H$259,$M$262)</f>
        <v>4</v>
      </c>
      <c r="EG266" s="25"/>
      <c r="EH266" s="25"/>
      <c r="EI266" s="25">
        <f ca="1">SUMIFS((EJ6:EJ259),$H$6:$H$259,$M$262)</f>
        <v>100</v>
      </c>
      <c r="EJ266" s="25"/>
      <c r="EK266" s="25"/>
      <c r="EL266" s="25">
        <f ca="1">SUMIFS((EM6:EM259),$H$6:$H$259,$M$262)</f>
        <v>82</v>
      </c>
      <c r="EM266" s="25"/>
      <c r="EN266" s="25"/>
      <c r="EO266" s="25">
        <f ca="1">SUMIFS((EP6:EP259),$H$6:$H$259,$M$262)</f>
        <v>20</v>
      </c>
      <c r="EP266" s="25"/>
      <c r="EQ266" s="25"/>
      <c r="ER266" s="25">
        <f ca="1">SUMIFS((ES6:ES259),$H$6:$H$259,$M$262)</f>
        <v>108</v>
      </c>
      <c r="ES266" s="25"/>
      <c r="ET266" s="25"/>
      <c r="EU266" s="25">
        <f ca="1">SUMIFS((EV6:EV259),$H$6:$H$259,$M$262)</f>
        <v>0</v>
      </c>
      <c r="EV266" s="25"/>
      <c r="EW266" s="25"/>
      <c r="EX266" s="25">
        <f ca="1">SUMIFS((EY6:EY259),$H$6:$H$259,$M$262)</f>
        <v>0</v>
      </c>
      <c r="EY266" s="25"/>
      <c r="EZ266" s="25"/>
      <c r="FA266" s="25">
        <f ca="1">SUMIFS((FB6:FB259),$H$6:$H$259,$M$262)</f>
        <v>25</v>
      </c>
      <c r="FB266" s="25"/>
      <c r="FC266" s="25"/>
      <c r="FD266" s="25">
        <f ca="1">SUMIFS((FE6:FE259),$H$6:$H$259,$M$262)</f>
        <v>0</v>
      </c>
      <c r="FE266" s="25"/>
      <c r="FF266" s="25"/>
      <c r="FG266" s="25">
        <f ca="1">SUMIFS((FH6:FH259),$H$6:$H$259,$M$262)</f>
        <v>24</v>
      </c>
      <c r="FH266" s="25"/>
      <c r="FI266" s="25"/>
      <c r="FJ266" s="25">
        <f ca="1">SUMIFS((FK6:FK259),$H$6:$H$259,$M$262)</f>
        <v>74</v>
      </c>
      <c r="FK266" s="25"/>
      <c r="FL266" s="25"/>
      <c r="FM266" s="25">
        <f ca="1">SUMIFS((FN6:FN259),$H$6:$H$259,$M$262)</f>
        <v>20</v>
      </c>
      <c r="FN266" s="25"/>
      <c r="FO266" s="25"/>
      <c r="FP266" s="25">
        <f ca="1">SUMIFS((FQ6:FQ259),$H$6:$H$259,$M$262)</f>
        <v>0</v>
      </c>
      <c r="FQ266" s="25"/>
      <c r="FR266" s="25"/>
      <c r="FS266" s="25">
        <f ca="1">SUMIFS((FT6:FT259),$H$6:$H$259,$M$262)</f>
        <v>20</v>
      </c>
      <c r="FT266" s="25"/>
      <c r="FU266" s="25"/>
      <c r="FV266" s="25">
        <f ca="1">SUMIFS((FW6:FW259),$H$6:$H$259,$M$262)</f>
        <v>90</v>
      </c>
      <c r="FW266" s="25"/>
      <c r="FX266" s="25"/>
      <c r="FY266" s="25">
        <f ca="1">SUMIFS((FZ6:FZ259),$H$6:$H$259,$M$262)</f>
        <v>70</v>
      </c>
      <c r="FZ266" s="25"/>
      <c r="GA266" s="25"/>
      <c r="GB266" s="25">
        <f ca="1">SUMIFS((GC6:GC259),$H$6:$H$259,$M$262)</f>
        <v>50</v>
      </c>
      <c r="GC266" s="25"/>
      <c r="GD266" s="25"/>
      <c r="GE266" s="25">
        <f ca="1">SUMIFS((GF6:GF259),$H$6:$H$259,$M$262)</f>
        <v>30</v>
      </c>
      <c r="GF266" s="25"/>
      <c r="GG266" s="25"/>
      <c r="GH266" s="25">
        <f ca="1">SUMIFS((GI6:GI259),$H$6:$H$259,$M$262)</f>
        <v>20</v>
      </c>
      <c r="GI266" s="25"/>
      <c r="GJ266" s="25"/>
      <c r="GK266" s="25">
        <f ca="1">SUMIFS((GL6:GL259),$H$6:$H$259,$M$262)</f>
        <v>0</v>
      </c>
      <c r="GL266" s="25"/>
      <c r="GM266" s="25"/>
      <c r="GN266" s="25">
        <f ca="1">SUMIFS((GO6:GO259),$H$6:$H$259,$M$262)</f>
        <v>0</v>
      </c>
      <c r="GO266" s="25"/>
      <c r="GP266" s="25"/>
      <c r="GQ266" s="25">
        <f ca="1">SUMIFS((GR6:GR259),$H$6:$H$259,$M$262)</f>
        <v>0</v>
      </c>
      <c r="GR266" s="25"/>
      <c r="GS266" s="25"/>
      <c r="GT266" s="25">
        <f ca="1">SUMIFS((GU6:GU259),$H$6:$H$259,$M$262)</f>
        <v>0</v>
      </c>
      <c r="GU266" s="25"/>
      <c r="GV266" s="25"/>
      <c r="GW266" s="25">
        <f ca="1">SUMIFS((GX6:GX259),$H$6:$H$259,$M$262)</f>
        <v>0</v>
      </c>
      <c r="GX266" s="25"/>
      <c r="GY266" s="25"/>
      <c r="GZ266" s="25">
        <f ca="1">SUMIFS((HA6:HA259),$H$6:$H$259,$M$262)</f>
        <v>0</v>
      </c>
      <c r="HA266" s="25"/>
      <c r="HB266" s="25"/>
      <c r="HC266" s="25">
        <f ca="1">SUMIFS((HD6:HD259),$H$6:$H$259,$M$262)</f>
        <v>0</v>
      </c>
      <c r="HD266" s="25"/>
      <c r="HE266" s="25"/>
      <c r="HF266" s="25">
        <f ca="1">SUMIFS((HG6:HG259),$H$6:$H$259,$M$262)</f>
        <v>0</v>
      </c>
      <c r="HG266" s="25"/>
      <c r="HH266" s="25"/>
      <c r="HI266" s="25">
        <f ca="1">SUMIFS((HJ6:HJ259),$H$6:$H$259,$M$262)</f>
        <v>0</v>
      </c>
      <c r="HJ266" s="25"/>
      <c r="HK266" s="25"/>
      <c r="HL266" s="25">
        <f ca="1">SUMIFS((HM6:HM259),$H$6:$H$259,$M$262)</f>
        <v>0</v>
      </c>
      <c r="HM266" s="25"/>
      <c r="HN266" s="25"/>
      <c r="HO266" s="25">
        <f ca="1">SUMIFS((HP6:HP259),$H$6:$H$259,$M$262)</f>
        <v>0</v>
      </c>
      <c r="HP266" s="25"/>
      <c r="HQ266" s="25"/>
      <c r="HR266" s="25">
        <f ca="1">SUMIFS((HS6:HS259),$H$6:$H$259,$M$262)</f>
        <v>0</v>
      </c>
      <c r="HS266" s="25"/>
      <c r="HT266" s="25"/>
      <c r="HU266" s="25">
        <f ca="1">SUMIFS((HV6:HV259),$H$6:$H$259,$M$262)</f>
        <v>0</v>
      </c>
      <c r="HV266" s="25"/>
      <c r="HW266" s="25"/>
      <c r="HX266" s="25">
        <f ca="1">SUMIFS((HY6:HY259),$H$6:$H$259,$M$262)</f>
        <v>0</v>
      </c>
      <c r="HY266" s="25"/>
      <c r="HZ266" s="25"/>
      <c r="IA266" s="25">
        <f ca="1">SUMIFS((IB6:IB259),$H$6:$H$259,$M$262)</f>
        <v>0</v>
      </c>
      <c r="IB266" s="25"/>
      <c r="IC266" s="25"/>
      <c r="ID266" s="25">
        <f ca="1">SUMIFS((IE6:IE259),$H$6:$H$259,$M$262)</f>
        <v>0</v>
      </c>
      <c r="IE266" s="25"/>
      <c r="IF266" s="25"/>
      <c r="IG266" s="25">
        <f ca="1">SUMIFS((IH6:IH259),$H$6:$H$259,$M$262)</f>
        <v>0</v>
      </c>
      <c r="IH266" s="25"/>
      <c r="II266" s="25"/>
      <c r="IJ266" s="25">
        <f ca="1">SUMIFS((IK6:IK259),$H$6:$H$259,$M$262)</f>
        <v>0</v>
      </c>
      <c r="IK266" s="25"/>
      <c r="IL266" s="25"/>
      <c r="IM266" s="25">
        <f ca="1">SUMIFS((IN6:IN259),$H$6:$H$259,$M$262)</f>
        <v>0</v>
      </c>
      <c r="IN266" s="25"/>
      <c r="IO266" s="25"/>
      <c r="IP266" s="25">
        <f ca="1">SUMIFS((IQ6:IQ259),$H$6:$H$259,$M$262)</f>
        <v>0</v>
      </c>
      <c r="IQ266" s="25"/>
      <c r="IR266" s="25"/>
      <c r="IS266" s="25">
        <f ca="1">SUMIFS((IT6:IT259),$H$6:$H$259,$M$262)</f>
        <v>0</v>
      </c>
      <c r="IT266" s="25"/>
      <c r="IU266" s="25"/>
      <c r="IV266" s="25">
        <f ca="1">SUMIFS((IW6:IW259),$H$6:$H$259,$M$262)</f>
        <v>0</v>
      </c>
      <c r="IW266" s="25"/>
      <c r="IX266" s="25"/>
      <c r="IY266" s="25">
        <f ca="1">SUMIFS((IZ6:IZ259),$H$6:$H$259,$M$262)</f>
        <v>0</v>
      </c>
      <c r="IZ266" s="25"/>
      <c r="JA266" s="25"/>
      <c r="JB266" s="25">
        <f ca="1">SUMIFS((JC6:JC259),$H$6:$H$259,$M$262)</f>
        <v>0</v>
      </c>
      <c r="JC266" s="25"/>
      <c r="JD266" s="25"/>
      <c r="JE266" s="25">
        <f ca="1">SUMIFS((JF6:JF259),$H$6:$H$259,$M$262)</f>
        <v>0</v>
      </c>
      <c r="JF266" s="25"/>
      <c r="JG266" s="25"/>
      <c r="JH266" s="25">
        <f ca="1">SUMIFS((JI6:JI259),$H$6:$H$259,$M$262)</f>
        <v>0</v>
      </c>
      <c r="JI266" s="25"/>
      <c r="JJ266" s="25"/>
      <c r="JK266" s="25">
        <f ca="1">SUMIFS((JL6:JL259),$H$6:$H$259,$M$262)</f>
        <v>0</v>
      </c>
      <c r="JL266" s="25"/>
      <c r="JM266" s="25"/>
      <c r="JN266" s="25">
        <f ca="1">SUMIFS((JO6:JO259),$H$6:$H$259,$M$262)</f>
        <v>0</v>
      </c>
      <c r="JO266" s="25"/>
      <c r="JP266" s="25"/>
      <c r="JQ266" s="25">
        <f ca="1">SUMIFS((JR6:JR259),$H$6:$H$259,$M$262)</f>
        <v>0</v>
      </c>
      <c r="JR266" s="25"/>
      <c r="JS266" s="25"/>
      <c r="JT266" s="25">
        <f ca="1">SUMIFS((JU6:JU259),$H$6:$H$259,$M$262)</f>
        <v>0</v>
      </c>
      <c r="JU266" s="25"/>
      <c r="JV266" s="25"/>
      <c r="JW266" s="25">
        <f ca="1">SUMIFS((JX6:JX259),$H$6:$H$259,$M$262)</f>
        <v>0</v>
      </c>
      <c r="JX266" s="25"/>
      <c r="JY266" s="25"/>
      <c r="JZ266" s="25">
        <f ca="1">SUMIFS((KA6:KA259),$H$6:$H$259,$M$262)</f>
        <v>0</v>
      </c>
      <c r="KA266" s="25"/>
      <c r="KB266" s="25"/>
      <c r="KC266" s="25">
        <f ca="1">SUMIFS((KD6:KD259),$H$6:$H$259,$M$262)</f>
        <v>0</v>
      </c>
      <c r="KD266" s="25"/>
      <c r="KE266" s="25"/>
      <c r="KF266" s="25">
        <f ca="1">SUMIFS((KG6:KG259),$H$6:$H$259,$M$262)</f>
        <v>0</v>
      </c>
      <c r="KG266" s="25"/>
      <c r="KH266" s="25"/>
      <c r="KI266" s="25">
        <f ca="1">SUMIFS((KJ6:KJ259),$H$6:$H$259,$M$262)</f>
        <v>0</v>
      </c>
      <c r="KJ266" s="25"/>
      <c r="KK266" s="25"/>
      <c r="KL266" s="25">
        <f ca="1">SUMIFS((KM6:KM259),$H$6:$H$259,$M$262)</f>
        <v>0</v>
      </c>
      <c r="KM266" s="25"/>
      <c r="KN266" s="25"/>
      <c r="KO266" s="25">
        <f ca="1">SUMIFS((KP6:KP259),$H$6:$H$259,$M$262)</f>
        <v>0</v>
      </c>
      <c r="KP266" s="25"/>
      <c r="KQ266" s="25"/>
      <c r="KR266" s="25">
        <f ca="1">SUMIFS((KS6:KS259),$H$6:$H$259,$M$262)</f>
        <v>0</v>
      </c>
      <c r="KS266" s="25"/>
      <c r="KT266" s="25"/>
      <c r="KU266" s="25">
        <f ca="1">SUMIFS((KV6:KV259),$H$6:$H$259,$M$262)</f>
        <v>0</v>
      </c>
      <c r="KV266" s="25"/>
      <c r="KW266" s="25"/>
      <c r="KX266" s="25">
        <f ca="1">SUMIFS((KY6:KY259),$H$6:$H$259,$M$262)</f>
        <v>0</v>
      </c>
      <c r="KY266" s="25"/>
      <c r="KZ266" s="25"/>
      <c r="LA266" s="25">
        <f ca="1">SUMIFS((LB6:LB259),$H$6:$H$259,$M$262)</f>
        <v>0</v>
      </c>
      <c r="LB266" s="25"/>
      <c r="LC266" s="25"/>
      <c r="LD266" s="25">
        <f ca="1">SUMIFS((LE6:LE259),$H$6:$H$259,$M$262)</f>
        <v>0</v>
      </c>
      <c r="LE266" s="25"/>
      <c r="LF266" s="25"/>
      <c r="LG266" s="17"/>
    </row>
    <row r="267" spans="1:319" customFormat="1">
      <c r="A267" s="17"/>
      <c r="B267" s="17"/>
      <c r="C267" s="17"/>
      <c r="D267" s="17"/>
      <c r="E267" s="89"/>
      <c r="F267" s="728"/>
      <c r="G267" s="728"/>
      <c r="H267" s="728"/>
      <c r="I267" s="17"/>
      <c r="J267" s="25"/>
      <c r="K267" s="25"/>
      <c r="L267" s="25"/>
      <c r="M267" s="25" t="s">
        <v>268</v>
      </c>
      <c r="N267" s="25"/>
      <c r="O267" s="25"/>
      <c r="P267" s="25"/>
      <c r="Q267" s="25"/>
      <c r="R267" s="25"/>
      <c r="S267" s="25" t="str">
        <f>S5</f>
        <v xml:space="preserve">Ruben Esseling </v>
      </c>
      <c r="T267" s="25"/>
      <c r="U267" s="25"/>
      <c r="V267" s="25" t="str">
        <f t="shared" ref="V267" si="5230">V5</f>
        <v>Kasper Braamskamp</v>
      </c>
      <c r="W267" s="25"/>
      <c r="X267" s="25"/>
      <c r="Y267" s="25" t="str">
        <f t="shared" ref="Y267" si="5231">Y5</f>
        <v>Stefan Kempers</v>
      </c>
      <c r="Z267" s="25"/>
      <c r="AA267" s="25"/>
      <c r="AB267" s="25" t="str">
        <f t="shared" ref="AB267" si="5232">AB5</f>
        <v>Mart-Jan aan het Rot</v>
      </c>
      <c r="AC267" s="25"/>
      <c r="AD267" s="25"/>
      <c r="AE267" s="25" t="str">
        <f t="shared" ref="AE267" si="5233">AE5</f>
        <v>Julian Roes</v>
      </c>
      <c r="AF267" s="25"/>
      <c r="AG267" s="25"/>
      <c r="AH267" s="25" t="str">
        <f t="shared" ref="AH267" si="5234">AH5</f>
        <v>Ruben van Wamelen</v>
      </c>
      <c r="AI267" s="25"/>
      <c r="AJ267" s="25"/>
      <c r="AK267" s="25" t="str">
        <f t="shared" ref="AK267" si="5235">AK5</f>
        <v>Niels Tomesen</v>
      </c>
      <c r="AL267" s="25"/>
      <c r="AM267" s="25"/>
      <c r="AN267" s="25" t="str">
        <f t="shared" ref="AN267" si="5236">AN5</f>
        <v>Floris Boel</v>
      </c>
      <c r="AO267" s="25"/>
      <c r="AP267" s="25"/>
      <c r="AQ267" s="25" t="str">
        <f t="shared" ref="AQ267" si="5237">AQ5</f>
        <v>Michael de Graaf</v>
      </c>
      <c r="AR267" s="25"/>
      <c r="AS267" s="25"/>
      <c r="AT267" s="25" t="str">
        <f t="shared" ref="AT267" si="5238">AT5</f>
        <v>Niels Besselink</v>
      </c>
      <c r="AU267" s="25"/>
      <c r="AV267" s="25"/>
      <c r="AW267" s="25" t="str">
        <f t="shared" ref="AW267" si="5239">AW5</f>
        <v>Bart Olde Keizer</v>
      </c>
      <c r="AX267" s="25"/>
      <c r="AY267" s="25"/>
      <c r="AZ267" s="25" t="str">
        <f t="shared" ref="AZ267" si="5240">AZ5</f>
        <v>Twan Veldhuis</v>
      </c>
      <c r="BA267" s="25"/>
      <c r="BB267" s="25"/>
      <c r="BC267" s="25" t="str">
        <f t="shared" ref="BC267" si="5241">BC5</f>
        <v>Herald Hessing</v>
      </c>
      <c r="BD267" s="25"/>
      <c r="BE267" s="25"/>
      <c r="BF267" s="25" t="str">
        <f t="shared" ref="BF267" si="5242">BF5</f>
        <v>Bart van Moorsel</v>
      </c>
      <c r="BG267" s="25"/>
      <c r="BH267" s="25"/>
      <c r="BI267" s="25" t="str">
        <f t="shared" ref="BI267" si="5243">BI5</f>
        <v>Joris Reinders</v>
      </c>
      <c r="BJ267" s="25"/>
      <c r="BK267" s="25"/>
      <c r="BL267" s="25" t="str">
        <f t="shared" ref="BL267" si="5244">BL5</f>
        <v>Jesper Schutten</v>
      </c>
      <c r="BM267" s="25"/>
      <c r="BN267" s="25"/>
      <c r="BO267" s="25" t="str">
        <f t="shared" ref="BO267" si="5245">BO5</f>
        <v>Albert Ros</v>
      </c>
      <c r="BP267" s="25"/>
      <c r="BQ267" s="25"/>
      <c r="BR267" s="25" t="str">
        <f t="shared" ref="BR267" si="5246">BR5</f>
        <v>Timo Konniger</v>
      </c>
      <c r="BS267" s="25"/>
      <c r="BT267" s="25"/>
      <c r="BU267" s="25" t="str">
        <f t="shared" ref="BU267" si="5247">BU5</f>
        <v>Leon de Bok</v>
      </c>
      <c r="BV267" s="25"/>
      <c r="BW267" s="25"/>
      <c r="BX267" s="25" t="str">
        <f t="shared" ref="BX267" si="5248">BX5</f>
        <v>Tom Olde Keizer</v>
      </c>
      <c r="BY267" s="25"/>
      <c r="BZ267" s="25"/>
      <c r="CA267" s="25" t="str">
        <f t="shared" ref="CA267" si="5249">CA5</f>
        <v>Niels Mulder</v>
      </c>
      <c r="CB267" s="25"/>
      <c r="CC267" s="25"/>
      <c r="CD267" s="25" t="str">
        <f t="shared" ref="CD267" si="5250">CD5</f>
        <v>Niels Klein Gebbink</v>
      </c>
      <c r="CE267" s="25"/>
      <c r="CF267" s="25"/>
      <c r="CG267" s="25" t="str">
        <f t="shared" ref="CG267" si="5251">CG5</f>
        <v>Martijn Pierik</v>
      </c>
      <c r="CH267" s="25"/>
      <c r="CI267" s="25"/>
      <c r="CJ267" s="25" t="str">
        <f t="shared" ref="CJ267" si="5252">CJ5</f>
        <v>Tjarco van Loon</v>
      </c>
      <c r="CK267" s="25"/>
      <c r="CL267" s="25"/>
      <c r="CM267" s="25" t="str">
        <f t="shared" ref="CM267" si="5253">CM5</f>
        <v>Bart Veltmann</v>
      </c>
      <c r="CN267" s="25"/>
      <c r="CO267" s="25"/>
      <c r="CP267" s="25" t="str">
        <f t="shared" ref="CP267" si="5254">CP5</f>
        <v>Petra Hemmer - Kleis</v>
      </c>
      <c r="CQ267" s="25"/>
      <c r="CR267" s="25"/>
      <c r="CS267" s="25" t="str">
        <f t="shared" ref="CS267" si="5255">CS5</f>
        <v>Patrick Bielderman</v>
      </c>
      <c r="CT267" s="25"/>
      <c r="CU267" s="25"/>
      <c r="CV267" s="25" t="str">
        <f t="shared" ref="CV267" si="5256">CV5</f>
        <v>Wouter Schiphorst</v>
      </c>
      <c r="CW267" s="25"/>
      <c r="CX267" s="25"/>
      <c r="CY267" s="25" t="str">
        <f t="shared" ref="CY267" si="5257">CY5</f>
        <v>Tom Westendorp</v>
      </c>
      <c r="CZ267" s="25"/>
      <c r="DA267" s="25"/>
      <c r="DB267" s="25" t="str">
        <f t="shared" ref="DB267" si="5258">DB5</f>
        <v>Jurgen Wiegerinck</v>
      </c>
      <c r="DC267" s="25"/>
      <c r="DD267" s="25"/>
      <c r="DE267" s="25" t="str">
        <f t="shared" ref="DE267" si="5259">DE5</f>
        <v>Hobie Duijn</v>
      </c>
      <c r="DF267" s="25"/>
      <c r="DG267" s="25"/>
      <c r="DH267" s="25" t="str">
        <f t="shared" ref="DH267" si="5260">DH5</f>
        <v>Luuk Walhof</v>
      </c>
      <c r="DI267" s="25"/>
      <c r="DJ267" s="25"/>
      <c r="DK267" s="25" t="str">
        <f t="shared" ref="DK267" si="5261">DK5</f>
        <v>Stan Hofstra</v>
      </c>
      <c r="DL267" s="25"/>
      <c r="DM267" s="25"/>
      <c r="DN267" s="25" t="str">
        <f t="shared" ref="DN267" si="5262">DN5</f>
        <v>Pien Breukers</v>
      </c>
      <c r="DO267" s="25"/>
      <c r="DP267" s="25"/>
      <c r="DQ267" s="25" t="str">
        <f t="shared" ref="DQ267" si="5263">DQ5</f>
        <v>Marnix van der Molen</v>
      </c>
      <c r="DR267" s="25"/>
      <c r="DS267" s="25"/>
      <c r="DT267" s="25" t="str">
        <f t="shared" ref="DT267" si="5264">DT5</f>
        <v>Dennis Molendijk</v>
      </c>
      <c r="DU267" s="25"/>
      <c r="DV267" s="25"/>
      <c r="DW267" s="25" t="str">
        <f t="shared" ref="DW267" si="5265">DW5</f>
        <v>Niek Oonk</v>
      </c>
      <c r="DX267" s="25"/>
      <c r="DY267" s="25"/>
      <c r="DZ267" s="25" t="str">
        <f t="shared" ref="DZ267" si="5266">DZ5</f>
        <v>Henriko Bakkenes</v>
      </c>
      <c r="EA267" s="25"/>
      <c r="EB267" s="25"/>
      <c r="EC267" s="25" t="str">
        <f t="shared" ref="EC267" si="5267">EC5</f>
        <v xml:space="preserve">Esmee Pruim </v>
      </c>
      <c r="ED267" s="25"/>
      <c r="EE267" s="25"/>
      <c r="EF267" s="25" t="str">
        <f t="shared" ref="EF267" si="5268">EF5</f>
        <v>Jordy Brouwer</v>
      </c>
      <c r="EG267" s="25"/>
      <c r="EH267" s="25"/>
      <c r="EI267" s="25" t="str">
        <f t="shared" ref="EI267" si="5269">EI5</f>
        <v>Roel Westerveld</v>
      </c>
      <c r="EJ267" s="25"/>
      <c r="EK267" s="25"/>
      <c r="EL267" s="25" t="str">
        <f t="shared" ref="EL267" si="5270">EL5</f>
        <v>Martijn Nijmeijer</v>
      </c>
      <c r="EM267" s="25"/>
      <c r="EN267" s="25"/>
      <c r="EO267" s="25" t="str">
        <f t="shared" ref="EO267" si="5271">EO5</f>
        <v>Mandy Reijntjes</v>
      </c>
      <c r="EP267" s="25"/>
      <c r="EQ267" s="25"/>
      <c r="ER267" s="25" t="str">
        <f t="shared" ref="ER267" si="5272">ER5</f>
        <v>Evelien ten Thije</v>
      </c>
      <c r="ES267" s="25"/>
      <c r="ET267" s="25"/>
      <c r="EU267" s="25" t="str">
        <f t="shared" ref="EU267" si="5273">EU5</f>
        <v>Rita Vermeer</v>
      </c>
      <c r="EV267" s="25"/>
      <c r="EW267" s="25"/>
      <c r="EX267" s="25" t="str">
        <f t="shared" ref="EX267" si="5274">EX5</f>
        <v>Niek Slots</v>
      </c>
      <c r="EY267" s="25"/>
      <c r="EZ267" s="25"/>
      <c r="FA267" s="25" t="str">
        <f t="shared" ref="FA267" si="5275">FA5</f>
        <v>Bart Kok</v>
      </c>
      <c r="FB267" s="25"/>
      <c r="FC267" s="25"/>
      <c r="FD267" s="25" t="str">
        <f t="shared" ref="FD267" si="5276">FD5</f>
        <v>Ilonka Zwienenberg</v>
      </c>
      <c r="FE267" s="25"/>
      <c r="FF267" s="25"/>
      <c r="FG267" s="25" t="str">
        <f t="shared" ref="FG267" si="5277">FG5</f>
        <v>sebastiaan jansen</v>
      </c>
      <c r="FH267" s="25"/>
      <c r="FI267" s="25"/>
      <c r="FJ267" s="25" t="str">
        <f t="shared" ref="FJ267" si="5278">FJ5</f>
        <v>Laura Hospers</v>
      </c>
      <c r="FK267" s="25"/>
      <c r="FL267" s="25"/>
      <c r="FM267" s="25" t="str">
        <f t="shared" ref="FM267" si="5279">FM5</f>
        <v>Jose van Wijk</v>
      </c>
      <c r="FN267" s="25"/>
      <c r="FO267" s="25"/>
      <c r="FP267" s="25" t="str">
        <f t="shared" ref="FP267" si="5280">FP5</f>
        <v>Marco Aaltink</v>
      </c>
      <c r="FQ267" s="25"/>
      <c r="FR267" s="25"/>
      <c r="FS267" s="25" t="str">
        <f t="shared" ref="FS267" si="5281">FS5</f>
        <v>Ilker Esmer</v>
      </c>
      <c r="FT267" s="25"/>
      <c r="FU267" s="25"/>
      <c r="FV267" s="25" t="str">
        <f t="shared" ref="FV267" si="5282">FV5</f>
        <v>Florian Boitelle</v>
      </c>
      <c r="FW267" s="25"/>
      <c r="FX267" s="25"/>
      <c r="FY267" s="25" t="str">
        <f t="shared" ref="FY267" si="5283">FY5</f>
        <v>Chantal Wolbers</v>
      </c>
      <c r="FZ267" s="25"/>
      <c r="GA267" s="25"/>
      <c r="GB267" s="25" t="str">
        <f t="shared" ref="GB267" si="5284">GB5</f>
        <v>Luca Paloschi</v>
      </c>
      <c r="GC267" s="25"/>
      <c r="GD267" s="25"/>
      <c r="GE267" s="25" t="str">
        <f t="shared" ref="GE267" si="5285">GE5</f>
        <v>Sven Schlichter</v>
      </c>
      <c r="GF267" s="25"/>
      <c r="GG267" s="25"/>
      <c r="GH267" s="25" t="str">
        <f t="shared" ref="GH267" si="5286">GH5</f>
        <v>Nick van Soest</v>
      </c>
      <c r="GI267" s="25"/>
      <c r="GJ267" s="25"/>
      <c r="GK267" s="25" t="str">
        <f t="shared" ref="GK267" si="5287">GK5</f>
        <v>Niek Pampiermole</v>
      </c>
      <c r="GL267" s="25"/>
      <c r="GM267" s="25"/>
      <c r="GN267" s="25" t="str">
        <f t="shared" ref="GN267" si="5288">GN5</f>
        <v>Pegar Valores Nombre J60</v>
      </c>
      <c r="GO267" s="25"/>
      <c r="GP267" s="25"/>
      <c r="GQ267" s="25" t="str">
        <f t="shared" ref="GQ267" si="5289">GQ5</f>
        <v>Pegar Valores Nombre J61</v>
      </c>
      <c r="GR267" s="25"/>
      <c r="GS267" s="25"/>
      <c r="GT267" s="25" t="str">
        <f t="shared" ref="GT267" si="5290">GT5</f>
        <v>Pegar Valores Nombre J62</v>
      </c>
      <c r="GU267" s="25"/>
      <c r="GV267" s="25"/>
      <c r="GW267" s="25" t="str">
        <f t="shared" ref="GW267" si="5291">GW5</f>
        <v>Pegar Valores Nombre J63</v>
      </c>
      <c r="GX267" s="25"/>
      <c r="GY267" s="25"/>
      <c r="GZ267" s="25" t="str">
        <f t="shared" ref="GZ267" si="5292">GZ5</f>
        <v>Pegar Valores Nombre J64</v>
      </c>
      <c r="HA267" s="25"/>
      <c r="HB267" s="25"/>
      <c r="HC267" s="25" t="str">
        <f t="shared" ref="HC267" si="5293">HC5</f>
        <v>Pegar Valores Nombre J65</v>
      </c>
      <c r="HD267" s="25"/>
      <c r="HE267" s="25"/>
      <c r="HF267" s="25" t="str">
        <f t="shared" ref="HF267" si="5294">HF5</f>
        <v>Pegar Valores Nombre J66</v>
      </c>
      <c r="HG267" s="25"/>
      <c r="HH267" s="25"/>
      <c r="HI267" s="25" t="str">
        <f t="shared" ref="HI267" si="5295">HI5</f>
        <v>Pegar Valores Nombre J67</v>
      </c>
      <c r="HJ267" s="25"/>
      <c r="HK267" s="25"/>
      <c r="HL267" s="25" t="str">
        <f t="shared" ref="HL267" si="5296">HL5</f>
        <v>Pegar Valores Nombre J68</v>
      </c>
      <c r="HM267" s="25"/>
      <c r="HN267" s="25"/>
      <c r="HO267" s="25" t="str">
        <f t="shared" ref="HO267" si="5297">HO5</f>
        <v>Pegar Valores Nombre J69</v>
      </c>
      <c r="HP267" s="25"/>
      <c r="HQ267" s="25"/>
      <c r="HR267" s="25" t="str">
        <f t="shared" ref="HR267" si="5298">HR5</f>
        <v>Pegar Valores Nombre J70</v>
      </c>
      <c r="HS267" s="25"/>
      <c r="HT267" s="25"/>
      <c r="HU267" s="25" t="str">
        <f t="shared" ref="HU267" si="5299">HU5</f>
        <v>Pegar Valores Nombre J71</v>
      </c>
      <c r="HV267" s="25"/>
      <c r="HW267" s="25"/>
      <c r="HX267" s="25" t="str">
        <f t="shared" ref="HX267" si="5300">HX5</f>
        <v>Pegar Valores Nombre J72</v>
      </c>
      <c r="HY267" s="25"/>
      <c r="HZ267" s="25"/>
      <c r="IA267" s="25" t="str">
        <f t="shared" ref="IA267" si="5301">IA5</f>
        <v>Pegar Valores Nombre J73</v>
      </c>
      <c r="IB267" s="25"/>
      <c r="IC267" s="25"/>
      <c r="ID267" s="25" t="str">
        <f t="shared" ref="ID267" si="5302">ID5</f>
        <v>Pegar Valores Nombre J74</v>
      </c>
      <c r="IE267" s="25"/>
      <c r="IF267" s="25"/>
      <c r="IG267" s="25" t="str">
        <f t="shared" ref="IG267" si="5303">IG5</f>
        <v>Pegar Valores Nombre J75</v>
      </c>
      <c r="IH267" s="25"/>
      <c r="II267" s="25"/>
      <c r="IJ267" s="25" t="str">
        <f t="shared" ref="IJ267" si="5304">IJ5</f>
        <v>Pegar Valores Nombre J76</v>
      </c>
      <c r="IK267" s="25"/>
      <c r="IL267" s="25"/>
      <c r="IM267" s="25" t="str">
        <f t="shared" ref="IM267" si="5305">IM5</f>
        <v>Pegar Valores Nombre J77</v>
      </c>
      <c r="IN267" s="25"/>
      <c r="IO267" s="25"/>
      <c r="IP267" s="25" t="str">
        <f t="shared" ref="IP267" si="5306">IP5</f>
        <v>Pegar Valores Nombre J78</v>
      </c>
      <c r="IQ267" s="25"/>
      <c r="IR267" s="25"/>
      <c r="IS267" s="25" t="str">
        <f t="shared" ref="IS267" si="5307">IS5</f>
        <v>Pegar Valores Nombre J79</v>
      </c>
      <c r="IT267" s="25"/>
      <c r="IU267" s="25"/>
      <c r="IV267" s="25" t="str">
        <f t="shared" ref="IV267" si="5308">IV5</f>
        <v>Pegar Valores Nombre J80</v>
      </c>
      <c r="IW267" s="25"/>
      <c r="IX267" s="25"/>
      <c r="IY267" s="25" t="str">
        <f t="shared" ref="IY267" si="5309">IY5</f>
        <v>Pegar Valores Nombre J81</v>
      </c>
      <c r="IZ267" s="25"/>
      <c r="JA267" s="25"/>
      <c r="JB267" s="25" t="str">
        <f t="shared" ref="JB267" si="5310">JB5</f>
        <v>Pegar Valores Nombre J82</v>
      </c>
      <c r="JC267" s="25"/>
      <c r="JD267" s="25"/>
      <c r="JE267" s="25" t="str">
        <f t="shared" ref="JE267" si="5311">JE5</f>
        <v>Pegar Valores Nombre J83</v>
      </c>
      <c r="JF267" s="25"/>
      <c r="JG267" s="25"/>
      <c r="JH267" s="25" t="str">
        <f t="shared" ref="JH267" si="5312">JH5</f>
        <v>Pegar Valores Nombre J84</v>
      </c>
      <c r="JI267" s="25"/>
      <c r="JJ267" s="25"/>
      <c r="JK267" s="25" t="str">
        <f t="shared" ref="JK267" si="5313">JK5</f>
        <v>Pegar Valores Nombre J85</v>
      </c>
      <c r="JL267" s="25"/>
      <c r="JM267" s="25"/>
      <c r="JN267" s="25" t="str">
        <f t="shared" ref="JN267" si="5314">JN5</f>
        <v>Pegar Valores Nombre J86</v>
      </c>
      <c r="JO267" s="25"/>
      <c r="JP267" s="25"/>
      <c r="JQ267" s="25" t="str">
        <f t="shared" ref="JQ267" si="5315">JQ5</f>
        <v>Pegar Valores Nombre J87</v>
      </c>
      <c r="JR267" s="25"/>
      <c r="JS267" s="25"/>
      <c r="JT267" s="25" t="str">
        <f t="shared" ref="JT267" si="5316">JT5</f>
        <v>Pegar Valores Nombre J88</v>
      </c>
      <c r="JU267" s="25"/>
      <c r="JV267" s="25"/>
      <c r="JW267" s="25" t="str">
        <f t="shared" ref="JW267" si="5317">JW5</f>
        <v>Pegar Valores Nombre J89</v>
      </c>
      <c r="JX267" s="25"/>
      <c r="JY267" s="25"/>
      <c r="JZ267" s="25" t="str">
        <f t="shared" ref="JZ267" si="5318">JZ5</f>
        <v>Pegar Valores Nombre J90</v>
      </c>
      <c r="KA267" s="25"/>
      <c r="KB267" s="25"/>
      <c r="KC267" s="25" t="str">
        <f t="shared" ref="KC267" si="5319">KC5</f>
        <v>Pegar Valores Nombre J91</v>
      </c>
      <c r="KD267" s="25"/>
      <c r="KE267" s="25"/>
      <c r="KF267" s="25" t="str">
        <f t="shared" ref="KF267" si="5320">KF5</f>
        <v>Pegar Valores Nombre J92</v>
      </c>
      <c r="KG267" s="25"/>
      <c r="KH267" s="25"/>
      <c r="KI267" s="25" t="str">
        <f t="shared" ref="KI267" si="5321">KI5</f>
        <v>Pegar Valores Nombre J93</v>
      </c>
      <c r="KJ267" s="25"/>
      <c r="KK267" s="25"/>
      <c r="KL267" s="25" t="str">
        <f t="shared" ref="KL267" si="5322">KL5</f>
        <v>Pegar Valores Nombre J94</v>
      </c>
      <c r="KM267" s="25"/>
      <c r="KN267" s="25"/>
      <c r="KO267" s="25" t="str">
        <f t="shared" ref="KO267" si="5323">KO5</f>
        <v>Pegar Valores Nombre J95</v>
      </c>
      <c r="KP267" s="25"/>
      <c r="KQ267" s="25"/>
      <c r="KR267" s="25" t="str">
        <f t="shared" ref="KR267" si="5324">KR5</f>
        <v>Pegar Valores Nombre J96</v>
      </c>
      <c r="KS267" s="25"/>
      <c r="KT267" s="25"/>
      <c r="KU267" s="25" t="str">
        <f t="shared" ref="KU267" si="5325">KU5</f>
        <v>Pegar Valores Nombre J97</v>
      </c>
      <c r="KV267" s="25"/>
      <c r="KW267" s="25"/>
      <c r="KX267" s="25" t="str">
        <f t="shared" ref="KX267" si="5326">KX5</f>
        <v>Pegar Valores Nombre J98</v>
      </c>
      <c r="KY267" s="25"/>
      <c r="KZ267" s="25"/>
      <c r="LA267" s="25" t="str">
        <f t="shared" ref="LA267" si="5327">LA5</f>
        <v>Pegar Valores Nombre J99</v>
      </c>
      <c r="LB267" s="25"/>
      <c r="LC267" s="25"/>
      <c r="LD267" s="25" t="str">
        <f t="shared" ref="LD267" si="5328">LD5</f>
        <v>Pegar Valores Nombre J100</v>
      </c>
      <c r="LE267" s="25"/>
      <c r="LF267" s="25"/>
      <c r="LG267" s="17"/>
    </row>
    <row r="268" spans="1:319" customFormat="1">
      <c r="A268" s="17"/>
      <c r="B268" s="17"/>
      <c r="C268" s="17"/>
      <c r="D268" s="17"/>
      <c r="E268" s="89"/>
      <c r="F268" s="728"/>
      <c r="G268" s="728"/>
      <c r="H268" s="728"/>
      <c r="I268" s="17"/>
      <c r="J268" s="17"/>
      <c r="K268" s="17"/>
      <c r="L268" s="17"/>
      <c r="M268" s="17"/>
      <c r="N268" s="25"/>
      <c r="O268" s="25"/>
      <c r="P268" s="25"/>
      <c r="Q268" s="25"/>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row>
    <row r="269" spans="1:319" customFormat="1">
      <c r="A269" s="17"/>
      <c r="B269" s="17"/>
      <c r="C269" s="17"/>
      <c r="D269" s="17"/>
      <c r="E269" s="89"/>
      <c r="F269" s="728"/>
      <c r="G269" s="728"/>
      <c r="H269" s="728"/>
      <c r="I269" s="17"/>
      <c r="J269" s="17"/>
      <c r="K269" s="17"/>
      <c r="L269" s="17"/>
      <c r="M269" s="17"/>
      <c r="N269" s="25"/>
      <c r="O269" s="25"/>
      <c r="P269" s="25"/>
      <c r="Q269" s="25"/>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row>
  </sheetData>
  <sheetProtection algorithmName="SHA-512" hashValue="jwPXeJwCRsjtboBy9k4fOrf+S87rNVNasvkU+QREmb7VfJ0IARwkFvgXDS+UJ7pen9aL3LB5hqNPsEfQnwgftw==" saltValue="byP0dIDEP7BO/cmWo/ykmQ==" spinCount="100000" sheet="1" objects="1" scenarios="1" selectLockedCells="1"/>
  <mergeCells count="22">
    <mergeCell ref="J124:J127"/>
    <mergeCell ref="J80:J83"/>
    <mergeCell ref="J84:J87"/>
    <mergeCell ref="J88:J91"/>
    <mergeCell ref="J92:J95"/>
    <mergeCell ref="J96:J99"/>
    <mergeCell ref="J100:J103"/>
    <mergeCell ref="J104:J107"/>
    <mergeCell ref="J108:J111"/>
    <mergeCell ref="J112:J115"/>
    <mergeCell ref="J116:J119"/>
    <mergeCell ref="J120:J123"/>
    <mergeCell ref="J226:J229"/>
    <mergeCell ref="J232:J233"/>
    <mergeCell ref="J236:J237"/>
    <mergeCell ref="J240:J241"/>
    <mergeCell ref="J130:J161"/>
    <mergeCell ref="J164:J179"/>
    <mergeCell ref="J182:J197"/>
    <mergeCell ref="J200:J207"/>
    <mergeCell ref="J210:J217"/>
    <mergeCell ref="J220:J223"/>
  </mergeCells>
  <phoneticPr fontId="14" type="noConversion"/>
  <conditionalFormatting sqref="I6:I77 K6:M77 I164:I179 K164:M179 I200:I207 K200:M207 I220:I223 K220:M223 I232:I233 K232:M233 I244 K244:M244 I247 K247:M247">
    <cfRule type="expression" dxfId="23" priority="1">
      <formula>IF($I6=3,1,0)</formula>
    </cfRule>
    <cfRule type="expression" dxfId="22" priority="2">
      <formula>IF($I6=2,1,0)</formula>
    </cfRule>
  </conditionalFormatting>
  <dataValidations count="1">
    <dataValidation type="whole" allowBlank="1" showInputMessage="1" showErrorMessage="1" sqref="D8:D47" xr:uid="{A1B1C6C2-F3F7-B84F-9BD8-67571B849A66}">
      <formula1>0</formula1>
      <formula2>10000</formula2>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4">
        <x14:dataValidation type="list" allowBlank="1" showInputMessage="1" showErrorMessage="1" xr:uid="{6A23B056-CAD3-F440-98DE-C24B9F9F2B51}">
          <x14:formula1>
            <xm:f>Equipos!$O$2:$O$101</xm:f>
          </x14:formula1>
          <xm:sqref>D5</xm:sqref>
        </x14:dataValidation>
        <x14:dataValidation type="list" allowBlank="1" showInputMessage="1" showErrorMessage="1" xr:uid="{00842A13-BBC9-3544-BC25-9D4D2489E36C}">
          <x14:formula1>
            <xm:f>Equipos!$O$2:$O$4</xm:f>
          </x14:formula1>
          <xm:sqref>I247 I164:I179 I200:I207 I220:I223 I232:I233 I244 I6:I77</xm:sqref>
        </x14:dataValidation>
        <x14:dataValidation type="list" allowBlank="1" showInputMessage="1" showErrorMessage="1" xr:uid="{99B50FE3-274E-7649-B394-822550F06755}">
          <x14:formula1>
            <xm:f>Equipos!$T$1:$T$21</xm:f>
          </x14:formula1>
          <xm:sqref>D57</xm:sqref>
        </x14:dataValidation>
        <x14:dataValidation type="list" allowBlank="1" showInputMessage="1" showErrorMessage="1" xr:uid="{9F99B29D-A840-7143-A8B7-2798C0386F83}">
          <x14:formula1>
            <xm:f>Equipos!$T$1:$T$20</xm:f>
          </x14:formula1>
          <xm:sqref>D49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92A77-67B2-2A44-915B-6A5B38A75739}">
  <sheetPr codeName="Hoja14"/>
  <dimension ref="A1:U106"/>
  <sheetViews>
    <sheetView showGridLines="0" showRowColHeaders="0" tabSelected="1" zoomScaleNormal="100" workbookViewId="0">
      <selection activeCell="C19" sqref="C19"/>
    </sheetView>
  </sheetViews>
  <sheetFormatPr defaultColWidth="0" defaultRowHeight="15"/>
  <cols>
    <col min="1" max="1" width="4.7109375" style="7" customWidth="1"/>
    <col min="2" max="2" width="4.7109375" style="1" bestFit="1" customWidth="1"/>
    <col min="3" max="3" width="22.7109375" style="1" customWidth="1"/>
    <col min="4" max="21" width="10.7109375" style="1" customWidth="1"/>
    <col min="22" max="16384" width="10.7109375" style="1" hidden="1"/>
  </cols>
  <sheetData>
    <row r="1" spans="1:21" ht="45.75" thickBot="1">
      <c r="A1" s="90"/>
      <c r="B1" s="792" t="str">
        <f>Idiomas!D451&amp;" "&amp;Home!C10</f>
        <v>STANDINGS WORLD CUP 2026 HK WK Poule</v>
      </c>
      <c r="C1" s="793"/>
      <c r="D1" s="793"/>
      <c r="E1" s="793"/>
      <c r="F1" s="793"/>
      <c r="G1" s="793"/>
      <c r="H1" s="793"/>
      <c r="I1" s="793"/>
      <c r="J1" s="793"/>
      <c r="K1" s="793"/>
      <c r="L1" s="793"/>
      <c r="M1" s="793"/>
      <c r="N1" s="793"/>
      <c r="O1" s="793"/>
      <c r="P1" s="793"/>
      <c r="Q1" s="793"/>
      <c r="R1" s="793"/>
      <c r="S1" s="793"/>
      <c r="T1" s="297"/>
      <c r="U1" s="297"/>
    </row>
    <row r="2" spans="1:21" ht="9" customHeight="1">
      <c r="A2" s="90"/>
      <c r="B2" s="107"/>
      <c r="C2" s="107"/>
      <c r="D2" s="107"/>
      <c r="E2" s="108">
        <f ca="1">MATCH(E$4,ADMIN!$K:$K,0)</f>
        <v>78</v>
      </c>
      <c r="F2" s="108">
        <f ca="1">MATCH(F$4,ADMIN!$K:$K,0)</f>
        <v>128</v>
      </c>
      <c r="G2" s="108">
        <f ca="1">MATCH(G$4,ADMIN!$K:$K,0)</f>
        <v>162</v>
      </c>
      <c r="H2" s="108">
        <f ca="1">MATCH(H$4,ADMIN!$K:$K,0)</f>
        <v>180</v>
      </c>
      <c r="I2" s="108">
        <f ca="1">MATCH(I$4,ADMIN!$K:$K,0)</f>
        <v>198</v>
      </c>
      <c r="J2" s="108">
        <f ca="1">MATCH(J$4,ADMIN!$K:$K,0)</f>
        <v>208</v>
      </c>
      <c r="K2" s="108">
        <f ca="1">MATCH(K$4,ADMIN!$K:$K,0)</f>
        <v>218</v>
      </c>
      <c r="L2" s="108">
        <f ca="1">MATCH(L$4,ADMIN!$K:$K,0)</f>
        <v>224</v>
      </c>
      <c r="M2" s="108">
        <f ca="1">MATCH(M$4,ADMIN!$K:$K,0)</f>
        <v>230</v>
      </c>
      <c r="N2" s="108">
        <f ca="1">MATCH(N$4,ADMIN!$K:$K,0)</f>
        <v>234</v>
      </c>
      <c r="O2" s="108">
        <f ca="1">MATCH(O$4,ADMIN!$K:$K,0)</f>
        <v>238</v>
      </c>
      <c r="P2" s="108">
        <f ca="1">MATCH(P$4,ADMIN!$K:$K,0)</f>
        <v>242</v>
      </c>
      <c r="Q2" s="108">
        <f ca="1">MATCH(Q$4,ADMIN!$K:$K,0)</f>
        <v>245</v>
      </c>
      <c r="R2" s="108">
        <f ca="1">MATCH(R$4,ADMIN!$K:$K,0)</f>
        <v>248</v>
      </c>
      <c r="S2" s="108">
        <f ca="1">MATCH(S$4,ADMIN!$K:$K,0)</f>
        <v>259</v>
      </c>
      <c r="T2" s="297"/>
      <c r="U2" s="297"/>
    </row>
    <row r="3" spans="1:21" ht="15" customHeight="1" thickBot="1">
      <c r="A3" s="90"/>
      <c r="B3" s="105"/>
      <c r="C3" s="105"/>
      <c r="D3" s="105"/>
      <c r="E3" s="106" t="str">
        <f ca="1">+INDEX(ADMIN!$M$5:$M$259,MATCH(CLAS!E4,ADMIN!$K$5:$K$259,0))</f>
        <v>Max: 1440</v>
      </c>
      <c r="F3" s="106" t="str">
        <f ca="1">+INDEX(ADMIN!$M$5:$M$259,MATCH(CLAS!F4,ADMIN!$K$5:$K$259,0))</f>
        <v>Max: 456</v>
      </c>
      <c r="G3" s="106" t="str">
        <f ca="1">+INDEX(ADMIN!$M$5:$M$259,MATCH(CLAS!G4,ADMIN!$K$5:$K$259,0))</f>
        <v>Max: 160</v>
      </c>
      <c r="H3" s="106" t="str">
        <f ca="1">+INDEX(ADMIN!$M$5:$M$259,MATCH(CLAS!H4,ADMIN!$K$5:$K$259,0))</f>
        <v>Max: 320</v>
      </c>
      <c r="I3" s="106" t="str">
        <f ca="1">+INDEX(ADMIN!$M$5:$M$259,MATCH(CLAS!I4,ADMIN!$K$5:$K$259,0))</f>
        <v>Max: 160</v>
      </c>
      <c r="J3" s="106" t="str">
        <f ca="1">+INDEX(ADMIN!$M$5:$M$259,MATCH(CLAS!J4,ADMIN!$K$5:$K$259,0))</f>
        <v>Max: 160</v>
      </c>
      <c r="K3" s="106" t="str">
        <f ca="1">+INDEX(ADMIN!$M$5:$M$259,MATCH(CLAS!K4,ADMIN!$K$5:$K$259,0))</f>
        <v>Max: 160</v>
      </c>
      <c r="L3" s="106" t="str">
        <f ca="1">+INDEX(ADMIN!$M$5:$M$259,MATCH(CLAS!L4,ADMIN!$K$5:$K$259,0))</f>
        <v>Max: 80</v>
      </c>
      <c r="M3" s="106" t="str">
        <f ca="1">+INDEX(ADMIN!$M$5:$M$259,MATCH(CLAS!M4,ADMIN!$K$5:$K$259,0))</f>
        <v>Max: 120</v>
      </c>
      <c r="N3" s="106" t="str">
        <f ca="1">+INDEX(ADMIN!$M$5:$M$259,MATCH(CLAS!N4,ADMIN!$K$5:$K$259,0))</f>
        <v>Max: 40</v>
      </c>
      <c r="O3" s="106" t="str">
        <f ca="1">+INDEX(ADMIN!$M$5:$M$259,MATCH(CLAS!O4,ADMIN!$K$5:$K$259,0))</f>
        <v>Max: 30</v>
      </c>
      <c r="P3" s="106" t="str">
        <f ca="1">+INDEX(ADMIN!$M$5:$M$259,MATCH(CLAS!P4,ADMIN!$K$5:$K$259,0))</f>
        <v>Max: 90</v>
      </c>
      <c r="Q3" s="106" t="str">
        <f ca="1">+INDEX(ADMIN!$M$5:$M$259,MATCH(CLAS!Q4,ADMIN!$K$5:$K$259,0))</f>
        <v>Max: 20</v>
      </c>
      <c r="R3" s="106" t="str">
        <f ca="1">+INDEX(ADMIN!$M$5:$M$259,MATCH(CLAS!R4,ADMIN!$K$5:$K$259,0))</f>
        <v>Max: 20</v>
      </c>
      <c r="S3" s="106" t="str">
        <f ca="1">+INDEX(ADMIN!$M$5:$M$259,MATCH(CLAS!S4,ADMIN!$K$5:$K$259,0))</f>
        <v>Max: 162</v>
      </c>
      <c r="T3" s="297"/>
      <c r="U3" s="297"/>
    </row>
    <row r="4" spans="1:21" ht="44.25" thickTop="1" thickBot="1">
      <c r="A4" s="90"/>
      <c r="B4" s="88" t="str">
        <f>Idiomas!$D$452</f>
        <v>Pos</v>
      </c>
      <c r="C4" s="109" t="str">
        <f>Idiomas!$D$453</f>
        <v>Player</v>
      </c>
      <c r="D4" s="88" t="str">
        <f>Idiomas!$D$454</f>
        <v>Total points</v>
      </c>
      <c r="E4" s="88" t="str">
        <f>Idiomas!$D$455</f>
        <v xml:space="preserve">Group stage </v>
      </c>
      <c r="F4" s="88" t="str">
        <f>Idiomas!$D$456</f>
        <v>Group pos.</v>
      </c>
      <c r="G4" s="88" t="str">
        <f>Idiomas!$D$457</f>
        <v>R32 Teams</v>
      </c>
      <c r="H4" s="88" t="str">
        <f>Idiomas!$D$458</f>
        <v>R32 Match-ups</v>
      </c>
      <c r="I4" s="88" t="str">
        <f>Idiomas!$D$459</f>
        <v>R16 Teams</v>
      </c>
      <c r="J4" s="88" t="str">
        <f>Idiomas!$D$460</f>
        <v>R16 Match-ups</v>
      </c>
      <c r="K4" s="88" t="str">
        <f>Idiomas!$D$461</f>
        <v>QF Teams</v>
      </c>
      <c r="L4" s="88" t="str">
        <f>Idiomas!$D$462</f>
        <v>QF Match-ups</v>
      </c>
      <c r="M4" s="88" t="str">
        <f>Idiomas!$D$463</f>
        <v>SF Teams</v>
      </c>
      <c r="N4" s="88" t="str">
        <f>Idiomas!$D$464</f>
        <v>SF Match-ups</v>
      </c>
      <c r="O4" s="88" t="str">
        <f>Idiomas!$D$465</f>
        <v>3-4 Teams</v>
      </c>
      <c r="P4" s="88" t="str">
        <f>Idiomas!$D$466</f>
        <v>Final Teams</v>
      </c>
      <c r="Q4" s="88" t="str">
        <f>Idiomas!$D$467</f>
        <v>3-4 Match-up</v>
      </c>
      <c r="R4" s="88" t="str">
        <f>Idiomas!$D$468</f>
        <v>Final Match-up</v>
      </c>
      <c r="S4" s="88" t="str">
        <f>Idiomas!$D$469</f>
        <v xml:space="preserve">Honor Box </v>
      </c>
      <c r="T4" s="297"/>
      <c r="U4" s="297"/>
    </row>
    <row r="5" spans="1:21" ht="15.75" thickTop="1">
      <c r="A5" s="19">
        <f>ROW()-4</f>
        <v>1</v>
      </c>
      <c r="B5" s="22">
        <f ca="1">IFERROR(HLOOKUP(A5,Rango_Admin_Clas,3,FALSE),"-")</f>
        <v>1</v>
      </c>
      <c r="C5" s="18" t="str">
        <f ca="1">IFERROR(HLOOKUP(A5,Rango_Admin_Clas,5,FALSE),"-")</f>
        <v>Jesper Schutten</v>
      </c>
      <c r="D5" s="91">
        <f ca="1">IFERROR(HLOOKUP(A5,Rango_Admin_Clas,4,FALSE),"-")</f>
        <v>1677</v>
      </c>
      <c r="E5" s="92" cm="1">
        <f t="array" aca="1" ref="E5" ca="1">IFERROR(INDEX(Rango_Admin_Clas_Total,E$2,MATCH($A5,Rango_Admin_Clas_Primera,0)+1),"-")</f>
        <v>528</v>
      </c>
      <c r="F5" s="92" cm="1">
        <f t="array" aca="1" ref="F5" ca="1">IFERROR(INDEX(Rango_Admin_Clas_Total,F$2,MATCH($A5,Rango_Admin_Clas_Primera,0)+1),"-")</f>
        <v>347</v>
      </c>
      <c r="G5" s="92" cm="1">
        <f t="array" aca="1" ref="G5" ca="1">IFERROR(INDEX(Rango_Admin_Clas_Total,G$2,MATCH($A5,Rango_Admin_Clas_Primera,0)+1),"-")</f>
        <v>135</v>
      </c>
      <c r="H5" s="92" cm="1">
        <f t="array" aca="1" ref="H5" ca="1">IFERROR(INDEX(Rango_Admin_Clas_Total,H$2,MATCH($A5,Rango_Admin_Clas_Primera,0)+1),"-")</f>
        <v>40</v>
      </c>
      <c r="I5" s="92" cm="1">
        <f t="array" aca="1" ref="I5" ca="1">IFERROR(INDEX(Rango_Admin_Clas_Total,I$2,MATCH($A5,Rango_Admin_Clas_Primera,0)+1),"-")</f>
        <v>110</v>
      </c>
      <c r="J5" s="92" cm="1">
        <f t="array" aca="1" ref="J5" ca="1">IFERROR(INDEX(Rango_Admin_Clas_Total,J$2,MATCH($A5,Rango_Admin_Clas_Primera,0)+1),"-")</f>
        <v>10</v>
      </c>
      <c r="K5" s="92" cm="1">
        <f t="array" aca="1" ref="K5" ca="1">IFERROR(INDEX(Rango_Admin_Clas_Total,K$2,MATCH($A5,Rango_Admin_Clas_Primera,0)+1),"-")</f>
        <v>100</v>
      </c>
      <c r="L5" s="92" cm="1">
        <f t="array" aca="1" ref="L5" ca="1">IFERROR(INDEX(Rango_Admin_Clas_Total,L$2,MATCH($A5,Rango_Admin_Clas_Primera,0)+1),"-")</f>
        <v>20</v>
      </c>
      <c r="M5" s="92" cm="1">
        <f t="array" aca="1" ref="M5" ca="1">IFERROR(INDEX(Rango_Admin_Clas_Total,M$2,MATCH($A5,Rango_Admin_Clas_Primera,0)+1),"-")</f>
        <v>120</v>
      </c>
      <c r="N5" s="92" cm="1">
        <f t="array" aca="1" ref="N5" ca="1">IFERROR(INDEX(Rango_Admin_Clas_Total,N$2,MATCH($A5,Rango_Admin_Clas_Primera,0)+1),"-")</f>
        <v>30</v>
      </c>
      <c r="O5" s="92" cm="1">
        <f t="array" aca="1" ref="O5" ca="1">IFERROR(INDEX(Rango_Admin_Clas_Total,O$2,MATCH($A5,Rango_Admin_Clas_Primera,0)+1),"-")</f>
        <v>30</v>
      </c>
      <c r="P5" s="92" cm="1">
        <f t="array" aca="1" ref="P5" ca="1">IFERROR(INDEX(Rango_Admin_Clas_Total,P$2,MATCH($A5,Rango_Admin_Clas_Primera,0)+1),"-")</f>
        <v>90</v>
      </c>
      <c r="Q5" s="92" cm="1">
        <f t="array" aca="1" ref="Q5" ca="1">IFERROR(INDEX(Rango_Admin_Clas_Total,Q$2,MATCH($A5,Rango_Admin_Clas_Primera,0)+1),"-")</f>
        <v>0</v>
      </c>
      <c r="R5" s="92" cm="1">
        <f t="array" aca="1" ref="R5" ca="1">IFERROR(INDEX(Rango_Admin_Clas_Total,R$2,MATCH($A5,Rango_Admin_Clas_Primera,0)+1),"-")</f>
        <v>12</v>
      </c>
      <c r="S5" s="92" cm="1">
        <f t="array" aca="1" ref="S5" ca="1">IFERROR(INDEX(Rango_Admin_Clas_Total,S$2,MATCH($A5,Rango_Admin_Clas_Primera,0)+1),"-")</f>
        <v>105</v>
      </c>
      <c r="T5" s="297"/>
      <c r="U5" s="297"/>
    </row>
    <row r="6" spans="1:21">
      <c r="A6" s="19">
        <f t="shared" ref="A6:A69" si="0">ROW()-4</f>
        <v>2</v>
      </c>
      <c r="B6" s="22">
        <f ca="1">IFERROR(HLOOKUP(A6,Rango_Admin_Clas,3,FALSE),"-")</f>
        <v>2</v>
      </c>
      <c r="C6" s="18" t="str">
        <f ca="1">IFERROR(HLOOKUP(A6,Rango_Admin_Clas,5,FALSE),"-")</f>
        <v xml:space="preserve">Esmee Pruim </v>
      </c>
      <c r="D6" s="91">
        <f ca="1">IFERROR(HLOOKUP(A6,Rango_Admin_Clas,4,FALSE),"-")</f>
        <v>1620</v>
      </c>
      <c r="E6" s="92" cm="1">
        <f t="array" aca="1" ref="E6" ca="1">IFERROR(INDEX(Rango_Admin_Clas_Total,E$2,MATCH($A6,Rango_Admin_Clas_Primera,0)+1),"-")</f>
        <v>590</v>
      </c>
      <c r="F6" s="92" cm="1">
        <f t="array" aca="1" ref="F6" ca="1">IFERROR(INDEX(Rango_Admin_Clas_Total,F$2,MATCH($A6,Rango_Admin_Clas_Primera,0)+1),"-")</f>
        <v>377</v>
      </c>
      <c r="G6" s="92" cm="1">
        <f t="array" aca="1" ref="G6" ca="1">IFERROR(INDEX(Rango_Admin_Clas_Total,G$2,MATCH($A6,Rango_Admin_Clas_Primera,0)+1),"-")</f>
        <v>135</v>
      </c>
      <c r="H6" s="92" cm="1">
        <f t="array" aca="1" ref="H6" ca="1">IFERROR(INDEX(Rango_Admin_Clas_Total,H$2,MATCH($A6,Rango_Admin_Clas_Primera,0)+1),"-")</f>
        <v>80</v>
      </c>
      <c r="I6" s="92" cm="1">
        <f t="array" aca="1" ref="I6" ca="1">IFERROR(INDEX(Rango_Admin_Clas_Total,I$2,MATCH($A6,Rango_Admin_Clas_Primera,0)+1),"-")</f>
        <v>110</v>
      </c>
      <c r="J6" s="92" cm="1">
        <f t="array" aca="1" ref="J6" ca="1">IFERROR(INDEX(Rango_Admin_Clas_Total,J$2,MATCH($A6,Rango_Admin_Clas_Primera,0)+1),"-")</f>
        <v>10</v>
      </c>
      <c r="K6" s="92" cm="1">
        <f t="array" aca="1" ref="K6" ca="1">IFERROR(INDEX(Rango_Admin_Clas_Total,K$2,MATCH($A6,Rango_Admin_Clas_Primera,0)+1),"-")</f>
        <v>100</v>
      </c>
      <c r="L6" s="92" cm="1">
        <f t="array" aca="1" ref="L6" ca="1">IFERROR(INDEX(Rango_Admin_Clas_Total,L$2,MATCH($A6,Rango_Admin_Clas_Primera,0)+1),"-")</f>
        <v>20</v>
      </c>
      <c r="M6" s="92" cm="1">
        <f t="array" aca="1" ref="M6" ca="1">IFERROR(INDEX(Rango_Admin_Clas_Total,M$2,MATCH($A6,Rango_Admin_Clas_Primera,0)+1),"-")</f>
        <v>90</v>
      </c>
      <c r="N6" s="92" cm="1">
        <f t="array" aca="1" ref="N6" ca="1">IFERROR(INDEX(Rango_Admin_Clas_Total,N$2,MATCH($A6,Rango_Admin_Clas_Primera,0)+1),"-")</f>
        <v>0</v>
      </c>
      <c r="O6" s="92" cm="1">
        <f t="array" aca="1" ref="O6" ca="1">IFERROR(INDEX(Rango_Admin_Clas_Total,O$2,MATCH($A6,Rango_Admin_Clas_Primera,0)+1),"-")</f>
        <v>0</v>
      </c>
      <c r="P6" s="92" cm="1">
        <f t="array" aca="1" ref="P6" ca="1">IFERROR(INDEX(Rango_Admin_Clas_Total,P$2,MATCH($A6,Rango_Admin_Clas_Primera,0)+1),"-")</f>
        <v>45</v>
      </c>
      <c r="Q6" s="92" cm="1">
        <f t="array" aca="1" ref="Q6" ca="1">IFERROR(INDEX(Rango_Admin_Clas_Total,Q$2,MATCH($A6,Rango_Admin_Clas_Primera,0)+1),"-")</f>
        <v>0</v>
      </c>
      <c r="R6" s="92" cm="1">
        <f t="array" aca="1" ref="R6" ca="1">IFERROR(INDEX(Rango_Admin_Clas_Total,R$2,MATCH($A6,Rango_Admin_Clas_Primera,0)+1),"-")</f>
        <v>0</v>
      </c>
      <c r="S6" s="92" cm="1">
        <f t="array" aca="1" ref="S6" ca="1">IFERROR(INDEX(Rango_Admin_Clas_Total,S$2,MATCH($A6,Rango_Admin_Clas_Primera,0)+1),"-")</f>
        <v>63</v>
      </c>
      <c r="T6" s="297"/>
      <c r="U6" s="297"/>
    </row>
    <row r="7" spans="1:21">
      <c r="A7" s="19">
        <f t="shared" si="0"/>
        <v>3</v>
      </c>
      <c r="B7" s="22">
        <f ca="1">IFERROR(HLOOKUP(A7,Rango_Admin_Clas,3,FALSE),"-")</f>
        <v>3</v>
      </c>
      <c r="C7" s="18" t="str">
        <f ca="1">IFERROR(HLOOKUP(A7,Rango_Admin_Clas,5,FALSE),"-")</f>
        <v>Roel Westerveld</v>
      </c>
      <c r="D7" s="91">
        <f ca="1">IFERROR(HLOOKUP(A7,Rango_Admin_Clas,4,FALSE),"-")</f>
        <v>1596</v>
      </c>
      <c r="E7" s="92" cm="1">
        <f t="array" aca="1" ref="E7" ca="1">IFERROR(INDEX(Rango_Admin_Clas_Total,E$2,MATCH($A7,Rango_Admin_Clas_Primera,0)+1),"-")</f>
        <v>564</v>
      </c>
      <c r="F7" s="92" cm="1">
        <f t="array" aca="1" ref="F7" ca="1">IFERROR(INDEX(Rango_Admin_Clas_Total,F$2,MATCH($A7,Rango_Admin_Clas_Primera,0)+1),"-")</f>
        <v>347</v>
      </c>
      <c r="G7" s="92" cm="1">
        <f t="array" aca="1" ref="G7" ca="1">IFERROR(INDEX(Rango_Admin_Clas_Total,G$2,MATCH($A7,Rango_Admin_Clas_Primera,0)+1),"-")</f>
        <v>130</v>
      </c>
      <c r="H7" s="92" cm="1">
        <f t="array" aca="1" ref="H7" ca="1">IFERROR(INDEX(Rango_Admin_Clas_Total,H$2,MATCH($A7,Rango_Admin_Clas_Primera,0)+1),"-")</f>
        <v>40</v>
      </c>
      <c r="I7" s="92" cm="1">
        <f t="array" aca="1" ref="I7" ca="1">IFERROR(INDEX(Rango_Admin_Clas_Total,I$2,MATCH($A7,Rango_Admin_Clas_Primera,0)+1),"-")</f>
        <v>110</v>
      </c>
      <c r="J7" s="92" cm="1">
        <f t="array" aca="1" ref="J7" ca="1">IFERROR(INDEX(Rango_Admin_Clas_Total,J$2,MATCH($A7,Rango_Admin_Clas_Primera,0)+1),"-")</f>
        <v>10</v>
      </c>
      <c r="K7" s="92" cm="1">
        <f t="array" aca="1" ref="K7" ca="1">IFERROR(INDEX(Rango_Admin_Clas_Total,K$2,MATCH($A7,Rango_Admin_Clas_Primera,0)+1),"-")</f>
        <v>100</v>
      </c>
      <c r="L7" s="92" cm="1">
        <f t="array" aca="1" ref="L7" ca="1">IFERROR(INDEX(Rango_Admin_Clas_Total,L$2,MATCH($A7,Rango_Admin_Clas_Primera,0)+1),"-")</f>
        <v>20</v>
      </c>
      <c r="M7" s="92" cm="1">
        <f t="array" aca="1" ref="M7" ca="1">IFERROR(INDEX(Rango_Admin_Clas_Total,M$2,MATCH($A7,Rango_Admin_Clas_Primera,0)+1),"-")</f>
        <v>90</v>
      </c>
      <c r="N7" s="92" cm="1">
        <f t="array" aca="1" ref="N7" ca="1">IFERROR(INDEX(Rango_Admin_Clas_Total,N$2,MATCH($A7,Rango_Admin_Clas_Primera,0)+1),"-")</f>
        <v>10</v>
      </c>
      <c r="O7" s="92" cm="1">
        <f t="array" aca="1" ref="O7" ca="1">IFERROR(INDEX(Rango_Admin_Clas_Total,O$2,MATCH($A7,Rango_Admin_Clas_Primera,0)+1),"-")</f>
        <v>30</v>
      </c>
      <c r="P7" s="92" cm="1">
        <f t="array" aca="1" ref="P7" ca="1">IFERROR(INDEX(Rango_Admin_Clas_Total,P$2,MATCH($A7,Rango_Admin_Clas_Primera,0)+1),"-")</f>
        <v>45</v>
      </c>
      <c r="Q7" s="92" cm="1">
        <f t="array" aca="1" ref="Q7" ca="1">IFERROR(INDEX(Rango_Admin_Clas_Total,Q$2,MATCH($A7,Rango_Admin_Clas_Primera,0)+1),"-")</f>
        <v>10</v>
      </c>
      <c r="R7" s="92" cm="1">
        <f t="array" aca="1" ref="R7" ca="1">IFERROR(INDEX(Rango_Admin_Clas_Total,R$2,MATCH($A7,Rango_Admin_Clas_Primera,0)+1),"-")</f>
        <v>0</v>
      </c>
      <c r="S7" s="92" cm="1">
        <f t="array" aca="1" ref="S7" ca="1">IFERROR(INDEX(Rango_Admin_Clas_Total,S$2,MATCH($A7,Rango_Admin_Clas_Primera,0)+1),"-")</f>
        <v>90</v>
      </c>
      <c r="T7" s="297"/>
      <c r="U7" s="297"/>
    </row>
    <row r="8" spans="1:21">
      <c r="A8" s="19">
        <f t="shared" si="0"/>
        <v>4</v>
      </c>
      <c r="B8" s="22">
        <f ca="1">IFERROR(HLOOKUP(A8,Rango_Admin_Clas,3,FALSE),"-")</f>
        <v>4</v>
      </c>
      <c r="C8" s="18" t="str">
        <f ca="1">IFERROR(HLOOKUP(A8,Rango_Admin_Clas,5,FALSE),"-")</f>
        <v>Albert Ros</v>
      </c>
      <c r="D8" s="91">
        <f ca="1">IFERROR(HLOOKUP(A8,Rango_Admin_Clas,4,FALSE),"-")</f>
        <v>1585</v>
      </c>
      <c r="E8" s="92" cm="1">
        <f t="array" aca="1" ref="E8" ca="1">IFERROR(INDEX(Rango_Admin_Clas_Total,E$2,MATCH($A8,Rango_Admin_Clas_Primera,0)+1),"-")</f>
        <v>566</v>
      </c>
      <c r="F8" s="92" cm="1">
        <f t="array" aca="1" ref="F8" ca="1">IFERROR(INDEX(Rango_Admin_Clas_Total,F$2,MATCH($A8,Rango_Admin_Clas_Primera,0)+1),"-")</f>
        <v>336</v>
      </c>
      <c r="G8" s="92" cm="1">
        <f t="array" aca="1" ref="G8" ca="1">IFERROR(INDEX(Rango_Admin_Clas_Total,G$2,MATCH($A8,Rango_Admin_Clas_Primera,0)+1),"-")</f>
        <v>135</v>
      </c>
      <c r="H8" s="92" cm="1">
        <f t="array" aca="1" ref="H8" ca="1">IFERROR(INDEX(Rango_Admin_Clas_Total,H$2,MATCH($A8,Rango_Admin_Clas_Primera,0)+1),"-")</f>
        <v>74</v>
      </c>
      <c r="I8" s="92" cm="1">
        <f t="array" aca="1" ref="I8" ca="1">IFERROR(INDEX(Rango_Admin_Clas_Total,I$2,MATCH($A8,Rango_Admin_Clas_Primera,0)+1),"-")</f>
        <v>110</v>
      </c>
      <c r="J8" s="92" cm="1">
        <f t="array" aca="1" ref="J8" ca="1">IFERROR(INDEX(Rango_Admin_Clas_Total,J$2,MATCH($A8,Rango_Admin_Clas_Primera,0)+1),"-")</f>
        <v>22</v>
      </c>
      <c r="K8" s="92" cm="1">
        <f t="array" aca="1" ref="K8" ca="1">IFERROR(INDEX(Rango_Admin_Clas_Total,K$2,MATCH($A8,Rango_Admin_Clas_Primera,0)+1),"-")</f>
        <v>100</v>
      </c>
      <c r="L8" s="92" cm="1">
        <f t="array" aca="1" ref="L8" ca="1">IFERROR(INDEX(Rango_Admin_Clas_Total,L$2,MATCH($A8,Rango_Admin_Clas_Primera,0)+1),"-")</f>
        <v>12</v>
      </c>
      <c r="M8" s="92" cm="1">
        <f t="array" aca="1" ref="M8" ca="1">IFERROR(INDEX(Rango_Admin_Clas_Total,M$2,MATCH($A8,Rango_Admin_Clas_Primera,0)+1),"-")</f>
        <v>120</v>
      </c>
      <c r="N8" s="92" cm="1">
        <f t="array" aca="1" ref="N8" ca="1">IFERROR(INDEX(Rango_Admin_Clas_Total,N$2,MATCH($A8,Rango_Admin_Clas_Primera,0)+1),"-")</f>
        <v>10</v>
      </c>
      <c r="O8" s="92" cm="1">
        <f t="array" aca="1" ref="O8" ca="1">IFERROR(INDEX(Rango_Admin_Clas_Total,O$2,MATCH($A8,Rango_Admin_Clas_Primera,0)+1),"-")</f>
        <v>15</v>
      </c>
      <c r="P8" s="92" cm="1">
        <f t="array" aca="1" ref="P8" ca="1">IFERROR(INDEX(Rango_Admin_Clas_Total,P$2,MATCH($A8,Rango_Admin_Clas_Primera,0)+1),"-")</f>
        <v>45</v>
      </c>
      <c r="Q8" s="92" cm="1">
        <f t="array" aca="1" ref="Q8" ca="1">IFERROR(INDEX(Rango_Admin_Clas_Total,Q$2,MATCH($A8,Rango_Admin_Clas_Primera,0)+1),"-")</f>
        <v>0</v>
      </c>
      <c r="R8" s="92" cm="1">
        <f t="array" aca="1" ref="R8" ca="1">IFERROR(INDEX(Rango_Admin_Clas_Total,R$2,MATCH($A8,Rango_Admin_Clas_Primera,0)+1),"-")</f>
        <v>0</v>
      </c>
      <c r="S8" s="92" cm="1">
        <f t="array" aca="1" ref="S8" ca="1">IFERROR(INDEX(Rango_Admin_Clas_Total,S$2,MATCH($A8,Rango_Admin_Clas_Primera,0)+1),"-")</f>
        <v>40</v>
      </c>
      <c r="T8" s="297"/>
      <c r="U8" s="297"/>
    </row>
    <row r="9" spans="1:21">
      <c r="A9" s="19">
        <f t="shared" si="0"/>
        <v>5</v>
      </c>
      <c r="B9" s="22">
        <f ca="1">IFERROR(HLOOKUP(A9,Rango_Admin_Clas,3,FALSE),"-")</f>
        <v>5</v>
      </c>
      <c r="C9" s="18" t="str">
        <f ca="1">IFERROR(HLOOKUP(A9,Rango_Admin_Clas,5,FALSE),"-")</f>
        <v>Martijn Nijmeijer</v>
      </c>
      <c r="D9" s="91">
        <f ca="1">IFERROR(HLOOKUP(A9,Rango_Admin_Clas,4,FALSE),"-")</f>
        <v>1573</v>
      </c>
      <c r="E9" s="92" cm="1">
        <f t="array" aca="1" ref="E9" ca="1">IFERROR(INDEX(Rango_Admin_Clas_Total,E$2,MATCH($A9,Rango_Admin_Clas_Primera,0)+1),"-")</f>
        <v>522</v>
      </c>
      <c r="F9" s="92" cm="1">
        <f t="array" aca="1" ref="F9" ca="1">IFERROR(INDEX(Rango_Admin_Clas_Total,F$2,MATCH($A9,Rango_Admin_Clas_Primera,0)+1),"-")</f>
        <v>332</v>
      </c>
      <c r="G9" s="92" cm="1">
        <f t="array" aca="1" ref="G9" ca="1">IFERROR(INDEX(Rango_Admin_Clas_Total,G$2,MATCH($A9,Rango_Admin_Clas_Primera,0)+1),"-")</f>
        <v>140</v>
      </c>
      <c r="H9" s="92" cm="1">
        <f t="array" aca="1" ref="H9" ca="1">IFERROR(INDEX(Rango_Admin_Clas_Total,H$2,MATCH($A9,Rango_Admin_Clas_Primera,0)+1),"-")</f>
        <v>70</v>
      </c>
      <c r="I9" s="92" cm="1">
        <f t="array" aca="1" ref="I9" ca="1">IFERROR(INDEX(Rango_Admin_Clas_Total,I$2,MATCH($A9,Rango_Admin_Clas_Primera,0)+1),"-")</f>
        <v>120</v>
      </c>
      <c r="J9" s="92" cm="1">
        <f t="array" aca="1" ref="J9" ca="1">IFERROR(INDEX(Rango_Admin_Clas_Total,J$2,MATCH($A9,Rango_Admin_Clas_Primera,0)+1),"-")</f>
        <v>22</v>
      </c>
      <c r="K9" s="92" cm="1">
        <f t="array" aca="1" ref="K9" ca="1">IFERROR(INDEX(Rango_Admin_Clas_Total,K$2,MATCH($A9,Rango_Admin_Clas_Primera,0)+1),"-")</f>
        <v>100</v>
      </c>
      <c r="L9" s="92" cm="1">
        <f t="array" aca="1" ref="L9" ca="1">IFERROR(INDEX(Rango_Admin_Clas_Total,L$2,MATCH($A9,Rango_Admin_Clas_Primera,0)+1),"-")</f>
        <v>10</v>
      </c>
      <c r="M9" s="92" cm="1">
        <f t="array" aca="1" ref="M9" ca="1">IFERROR(INDEX(Rango_Admin_Clas_Total,M$2,MATCH($A9,Rango_Admin_Clas_Primera,0)+1),"-")</f>
        <v>90</v>
      </c>
      <c r="N9" s="92" cm="1">
        <f t="array" aca="1" ref="N9" ca="1">IFERROR(INDEX(Rango_Admin_Clas_Total,N$2,MATCH($A9,Rango_Admin_Clas_Primera,0)+1),"-")</f>
        <v>10</v>
      </c>
      <c r="O9" s="92" cm="1">
        <f t="array" aca="1" ref="O9" ca="1">IFERROR(INDEX(Rango_Admin_Clas_Total,O$2,MATCH($A9,Rango_Admin_Clas_Primera,0)+1),"-")</f>
        <v>30</v>
      </c>
      <c r="P9" s="92" cm="1">
        <f t="array" aca="1" ref="P9" ca="1">IFERROR(INDEX(Rango_Admin_Clas_Total,P$2,MATCH($A9,Rango_Admin_Clas_Primera,0)+1),"-")</f>
        <v>45</v>
      </c>
      <c r="Q9" s="92" cm="1">
        <f t="array" aca="1" ref="Q9" ca="1">IFERROR(INDEX(Rango_Admin_Clas_Total,Q$2,MATCH($A9,Rango_Admin_Clas_Primera,0)+1),"-")</f>
        <v>0</v>
      </c>
      <c r="R9" s="92" cm="1">
        <f t="array" aca="1" ref="R9" ca="1">IFERROR(INDEX(Rango_Admin_Clas_Total,R$2,MATCH($A9,Rango_Admin_Clas_Primera,0)+1),"-")</f>
        <v>0</v>
      </c>
      <c r="S9" s="92" cm="1">
        <f t="array" aca="1" ref="S9" ca="1">IFERROR(INDEX(Rango_Admin_Clas_Total,S$2,MATCH($A9,Rango_Admin_Clas_Primera,0)+1),"-")</f>
        <v>82</v>
      </c>
      <c r="T9" s="297"/>
      <c r="U9" s="297"/>
    </row>
    <row r="10" spans="1:21">
      <c r="A10" s="19">
        <f t="shared" si="0"/>
        <v>6</v>
      </c>
      <c r="B10" s="22">
        <f ca="1">IFERROR(HLOOKUP(A10,Rango_Admin_Clas,3,FALSE),"-")</f>
        <v>6</v>
      </c>
      <c r="C10" s="18" t="str">
        <f ca="1">IFERROR(HLOOKUP(A10,Rango_Admin_Clas,5,FALSE),"-")</f>
        <v>Stan Hofstra</v>
      </c>
      <c r="D10" s="91">
        <f ca="1">IFERROR(HLOOKUP(A10,Rango_Admin_Clas,4,FALSE),"-")</f>
        <v>1569</v>
      </c>
      <c r="E10" s="92" cm="1">
        <f t="array" aca="1" ref="E10" ca="1">IFERROR(INDEX(Rango_Admin_Clas_Total,E$2,MATCH($A10,Rango_Admin_Clas_Primera,0)+1),"-")</f>
        <v>592</v>
      </c>
      <c r="F10" s="92" cm="1">
        <f t="array" aca="1" ref="F10" ca="1">IFERROR(INDEX(Rango_Admin_Clas_Total,F$2,MATCH($A10,Rango_Admin_Clas_Primera,0)+1),"-")</f>
        <v>327</v>
      </c>
      <c r="G10" s="92" cm="1">
        <f t="array" aca="1" ref="G10" ca="1">IFERROR(INDEX(Rango_Admin_Clas_Total,G$2,MATCH($A10,Rango_Admin_Clas_Primera,0)+1),"-")</f>
        <v>135</v>
      </c>
      <c r="H10" s="92" cm="1">
        <f t="array" aca="1" ref="H10" ca="1">IFERROR(INDEX(Rango_Admin_Clas_Total,H$2,MATCH($A10,Rango_Admin_Clas_Primera,0)+1),"-")</f>
        <v>30</v>
      </c>
      <c r="I10" s="92" cm="1">
        <f t="array" aca="1" ref="I10" ca="1">IFERROR(INDEX(Rango_Admin_Clas_Total,I$2,MATCH($A10,Rango_Admin_Clas_Primera,0)+1),"-")</f>
        <v>130</v>
      </c>
      <c r="J10" s="92" cm="1">
        <f t="array" aca="1" ref="J10" ca="1">IFERROR(INDEX(Rango_Admin_Clas_Total,J$2,MATCH($A10,Rango_Admin_Clas_Primera,0)+1),"-")</f>
        <v>30</v>
      </c>
      <c r="K10" s="92" cm="1">
        <f t="array" aca="1" ref="K10" ca="1">IFERROR(INDEX(Rango_Admin_Clas_Total,K$2,MATCH($A10,Rango_Admin_Clas_Primera,0)+1),"-")</f>
        <v>100</v>
      </c>
      <c r="L10" s="92" cm="1">
        <f t="array" aca="1" ref="L10" ca="1">IFERROR(INDEX(Rango_Admin_Clas_Total,L$2,MATCH($A10,Rango_Admin_Clas_Primera,0)+1),"-")</f>
        <v>20</v>
      </c>
      <c r="M10" s="92" cm="1">
        <f t="array" aca="1" ref="M10" ca="1">IFERROR(INDEX(Rango_Admin_Clas_Total,M$2,MATCH($A10,Rango_Admin_Clas_Primera,0)+1),"-")</f>
        <v>60</v>
      </c>
      <c r="N10" s="92" cm="1">
        <f t="array" aca="1" ref="N10" ca="1">IFERROR(INDEX(Rango_Admin_Clas_Total,N$2,MATCH($A10,Rango_Admin_Clas_Primera,0)+1),"-")</f>
        <v>10</v>
      </c>
      <c r="O10" s="92" cm="1">
        <f t="array" aca="1" ref="O10" ca="1">IFERROR(INDEX(Rango_Admin_Clas_Total,O$2,MATCH($A10,Rango_Admin_Clas_Primera,0)+1),"-")</f>
        <v>15</v>
      </c>
      <c r="P10" s="92" cm="1">
        <f t="array" aca="1" ref="P10" ca="1">IFERROR(INDEX(Rango_Admin_Clas_Total,P$2,MATCH($A10,Rango_Admin_Clas_Primera,0)+1),"-")</f>
        <v>45</v>
      </c>
      <c r="Q10" s="92" cm="1">
        <f t="array" aca="1" ref="Q10" ca="1">IFERROR(INDEX(Rango_Admin_Clas_Total,Q$2,MATCH($A10,Rango_Admin_Clas_Primera,0)+1),"-")</f>
        <v>0</v>
      </c>
      <c r="R10" s="92" cm="1">
        <f t="array" aca="1" ref="R10" ca="1">IFERROR(INDEX(Rango_Admin_Clas_Total,R$2,MATCH($A10,Rango_Admin_Clas_Primera,0)+1),"-")</f>
        <v>0</v>
      </c>
      <c r="S10" s="92" cm="1">
        <f t="array" aca="1" ref="S10" ca="1">IFERROR(INDEX(Rango_Admin_Clas_Total,S$2,MATCH($A10,Rango_Admin_Clas_Primera,0)+1),"-")</f>
        <v>75</v>
      </c>
      <c r="T10" s="297"/>
      <c r="U10" s="297"/>
    </row>
    <row r="11" spans="1:21">
      <c r="A11" s="19">
        <f t="shared" si="0"/>
        <v>7</v>
      </c>
      <c r="B11" s="22">
        <f ca="1">IFERROR(HLOOKUP(A11,Rango_Admin_Clas,3,FALSE),"-")</f>
        <v>7</v>
      </c>
      <c r="C11" s="18" t="str">
        <f ca="1">IFERROR(HLOOKUP(A11,Rango_Admin_Clas,5,FALSE),"-")</f>
        <v>Evelien ten Thije</v>
      </c>
      <c r="D11" s="91">
        <f ca="1">IFERROR(HLOOKUP(A11,Rango_Admin_Clas,4,FALSE),"-")</f>
        <v>1563</v>
      </c>
      <c r="E11" s="92" cm="1">
        <f t="array" aca="1" ref="E11" ca="1">IFERROR(INDEX(Rango_Admin_Clas_Total,E$2,MATCH($A11,Rango_Admin_Clas_Primera,0)+1),"-")</f>
        <v>522</v>
      </c>
      <c r="F11" s="92" cm="1">
        <f t="array" aca="1" ref="F11" ca="1">IFERROR(INDEX(Rango_Admin_Clas_Total,F$2,MATCH($A11,Rango_Admin_Clas_Primera,0)+1),"-")</f>
        <v>326</v>
      </c>
      <c r="G11" s="92" cm="1">
        <f t="array" aca="1" ref="G11" ca="1">IFERROR(INDEX(Rango_Admin_Clas_Total,G$2,MATCH($A11,Rango_Admin_Clas_Primera,0)+1),"-")</f>
        <v>130</v>
      </c>
      <c r="H11" s="92" cm="1">
        <f t="array" aca="1" ref="H11" ca="1">IFERROR(INDEX(Rango_Admin_Clas_Total,H$2,MATCH($A11,Rango_Admin_Clas_Primera,0)+1),"-")</f>
        <v>30</v>
      </c>
      <c r="I11" s="92" cm="1">
        <f t="array" aca="1" ref="I11" ca="1">IFERROR(INDEX(Rango_Admin_Clas_Total,I$2,MATCH($A11,Rango_Admin_Clas_Primera,0)+1),"-")</f>
        <v>110</v>
      </c>
      <c r="J11" s="92" cm="1">
        <f t="array" aca="1" ref="J11" ca="1">IFERROR(INDEX(Rango_Admin_Clas_Total,J$2,MATCH($A11,Rango_Admin_Clas_Primera,0)+1),"-")</f>
        <v>12</v>
      </c>
      <c r="K11" s="92" cm="1">
        <f t="array" aca="1" ref="K11" ca="1">IFERROR(INDEX(Rango_Admin_Clas_Total,K$2,MATCH($A11,Rango_Admin_Clas_Primera,0)+1),"-")</f>
        <v>100</v>
      </c>
      <c r="L11" s="92" cm="1">
        <f t="array" aca="1" ref="L11" ca="1">IFERROR(INDEX(Rango_Admin_Clas_Total,L$2,MATCH($A11,Rango_Admin_Clas_Primera,0)+1),"-")</f>
        <v>20</v>
      </c>
      <c r="M11" s="92" cm="1">
        <f t="array" aca="1" ref="M11" ca="1">IFERROR(INDEX(Rango_Admin_Clas_Total,M$2,MATCH($A11,Rango_Admin_Clas_Primera,0)+1),"-")</f>
        <v>90</v>
      </c>
      <c r="N11" s="92" cm="1">
        <f t="array" aca="1" ref="N11" ca="1">IFERROR(INDEX(Rango_Admin_Clas_Total,N$2,MATCH($A11,Rango_Admin_Clas_Primera,0)+1),"-")</f>
        <v>10</v>
      </c>
      <c r="O11" s="92" cm="1">
        <f t="array" aca="1" ref="O11" ca="1">IFERROR(INDEX(Rango_Admin_Clas_Total,O$2,MATCH($A11,Rango_Admin_Clas_Primera,0)+1),"-")</f>
        <v>15</v>
      </c>
      <c r="P11" s="92" cm="1">
        <f t="array" aca="1" ref="P11" ca="1">IFERROR(INDEX(Rango_Admin_Clas_Total,P$2,MATCH($A11,Rango_Admin_Clas_Primera,0)+1),"-")</f>
        <v>90</v>
      </c>
      <c r="Q11" s="92" cm="1">
        <f t="array" aca="1" ref="Q11" ca="1">IFERROR(INDEX(Rango_Admin_Clas_Total,Q$2,MATCH($A11,Rango_Admin_Clas_Primera,0)+1),"-")</f>
        <v>0</v>
      </c>
      <c r="R11" s="92" cm="1">
        <f t="array" aca="1" ref="R11" ca="1">IFERROR(INDEX(Rango_Admin_Clas_Total,R$2,MATCH($A11,Rango_Admin_Clas_Primera,0)+1),"-")</f>
        <v>20</v>
      </c>
      <c r="S11" s="92" cm="1">
        <f t="array" aca="1" ref="S11" ca="1">IFERROR(INDEX(Rango_Admin_Clas_Total,S$2,MATCH($A11,Rango_Admin_Clas_Primera,0)+1),"-")</f>
        <v>88</v>
      </c>
      <c r="T11" s="297"/>
      <c r="U11" s="297"/>
    </row>
    <row r="12" spans="1:21">
      <c r="A12" s="19">
        <f t="shared" si="0"/>
        <v>8</v>
      </c>
      <c r="B12" s="22">
        <f ca="1">IFERROR(HLOOKUP(A12,Rango_Admin_Clas,3,FALSE),"-")</f>
        <v>8</v>
      </c>
      <c r="C12" s="18" t="str">
        <f ca="1">IFERROR(HLOOKUP(A12,Rango_Admin_Clas,5,FALSE),"-")</f>
        <v>Florian Boitelle</v>
      </c>
      <c r="D12" s="91">
        <f ca="1">IFERROR(HLOOKUP(A12,Rango_Admin_Clas,4,FALSE),"-")</f>
        <v>1545</v>
      </c>
      <c r="E12" s="92" cm="1">
        <f t="array" aca="1" ref="E12" ca="1">IFERROR(INDEX(Rango_Admin_Clas_Total,E$2,MATCH($A12,Rango_Admin_Clas_Primera,0)+1),"-")</f>
        <v>542</v>
      </c>
      <c r="F12" s="92" cm="1">
        <f t="array" aca="1" ref="F12" ca="1">IFERROR(INDEX(Rango_Admin_Clas_Total,F$2,MATCH($A12,Rango_Admin_Clas_Primera,0)+1),"-")</f>
        <v>296</v>
      </c>
      <c r="G12" s="92" cm="1">
        <f t="array" aca="1" ref="G12" ca="1">IFERROR(INDEX(Rango_Admin_Clas_Total,G$2,MATCH($A12,Rango_Admin_Clas_Primera,0)+1),"-")</f>
        <v>130</v>
      </c>
      <c r="H12" s="92" cm="1">
        <f t="array" aca="1" ref="H12" ca="1">IFERROR(INDEX(Rango_Admin_Clas_Total,H$2,MATCH($A12,Rango_Admin_Clas_Primera,0)+1),"-")</f>
        <v>20</v>
      </c>
      <c r="I12" s="92" cm="1">
        <f t="array" aca="1" ref="I12" ca="1">IFERROR(INDEX(Rango_Admin_Clas_Total,I$2,MATCH($A12,Rango_Admin_Clas_Primera,0)+1),"-")</f>
        <v>120</v>
      </c>
      <c r="J12" s="92" cm="1">
        <f t="array" aca="1" ref="J12" ca="1">IFERROR(INDEX(Rango_Admin_Clas_Total,J$2,MATCH($A12,Rango_Admin_Clas_Primera,0)+1),"-")</f>
        <v>12</v>
      </c>
      <c r="K12" s="92" cm="1">
        <f t="array" aca="1" ref="K12" ca="1">IFERROR(INDEX(Rango_Admin_Clas_Total,K$2,MATCH($A12,Rango_Admin_Clas_Primera,0)+1),"-")</f>
        <v>100</v>
      </c>
      <c r="L12" s="92" cm="1">
        <f t="array" aca="1" ref="L12" ca="1">IFERROR(INDEX(Rango_Admin_Clas_Total,L$2,MATCH($A12,Rango_Admin_Clas_Primera,0)+1),"-")</f>
        <v>20</v>
      </c>
      <c r="M12" s="92" cm="1">
        <f t="array" aca="1" ref="M12" ca="1">IFERROR(INDEX(Rango_Admin_Clas_Total,M$2,MATCH($A12,Rango_Admin_Clas_Primera,0)+1),"-")</f>
        <v>90</v>
      </c>
      <c r="N12" s="92" cm="1">
        <f t="array" aca="1" ref="N12" ca="1">IFERROR(INDEX(Rango_Admin_Clas_Total,N$2,MATCH($A12,Rango_Admin_Clas_Primera,0)+1),"-")</f>
        <v>20</v>
      </c>
      <c r="O12" s="92" cm="1">
        <f t="array" aca="1" ref="O12" ca="1">IFERROR(INDEX(Rango_Admin_Clas_Total,O$2,MATCH($A12,Rango_Admin_Clas_Primera,0)+1),"-")</f>
        <v>15</v>
      </c>
      <c r="P12" s="92" cm="1">
        <f t="array" aca="1" ref="P12" ca="1">IFERROR(INDEX(Rango_Admin_Clas_Total,P$2,MATCH($A12,Rango_Admin_Clas_Primera,0)+1),"-")</f>
        <v>90</v>
      </c>
      <c r="Q12" s="92" cm="1">
        <f t="array" aca="1" ref="Q12" ca="1">IFERROR(INDEX(Rango_Admin_Clas_Total,Q$2,MATCH($A12,Rango_Admin_Clas_Primera,0)+1),"-")</f>
        <v>0</v>
      </c>
      <c r="R12" s="92" cm="1">
        <f t="array" aca="1" ref="R12" ca="1">IFERROR(INDEX(Rango_Admin_Clas_Total,R$2,MATCH($A12,Rango_Admin_Clas_Primera,0)+1),"-")</f>
        <v>10</v>
      </c>
      <c r="S12" s="92" cm="1">
        <f t="array" aca="1" ref="S12" ca="1">IFERROR(INDEX(Rango_Admin_Clas_Total,S$2,MATCH($A12,Rango_Admin_Clas_Primera,0)+1),"-")</f>
        <v>80</v>
      </c>
      <c r="T12" s="297"/>
      <c r="U12" s="297"/>
    </row>
    <row r="13" spans="1:21">
      <c r="A13" s="19">
        <f t="shared" si="0"/>
        <v>9</v>
      </c>
      <c r="B13" s="22">
        <f ca="1">IFERROR(HLOOKUP(A13,Rango_Admin_Clas,3,FALSE),"-")</f>
        <v>9</v>
      </c>
      <c r="C13" s="18" t="str">
        <f ca="1">IFERROR(HLOOKUP(A13,Rango_Admin_Clas,5,FALSE),"-")</f>
        <v>Niels Mulder</v>
      </c>
      <c r="D13" s="91">
        <f ca="1">IFERROR(HLOOKUP(A13,Rango_Admin_Clas,4,FALSE),"-")</f>
        <v>1536</v>
      </c>
      <c r="E13" s="92" cm="1">
        <f t="array" aca="1" ref="E13" ca="1">IFERROR(INDEX(Rango_Admin_Clas_Total,E$2,MATCH($A13,Rango_Admin_Clas_Primera,0)+1),"-")</f>
        <v>542</v>
      </c>
      <c r="F13" s="92" cm="1">
        <f t="array" aca="1" ref="F13" ca="1">IFERROR(INDEX(Rango_Admin_Clas_Total,F$2,MATCH($A13,Rango_Admin_Clas_Primera,0)+1),"-")</f>
        <v>322</v>
      </c>
      <c r="G13" s="92" cm="1">
        <f t="array" aca="1" ref="G13" ca="1">IFERROR(INDEX(Rango_Admin_Clas_Total,G$2,MATCH($A13,Rango_Admin_Clas_Primera,0)+1),"-")</f>
        <v>140</v>
      </c>
      <c r="H13" s="92" cm="1">
        <f t="array" aca="1" ref="H13" ca="1">IFERROR(INDEX(Rango_Admin_Clas_Total,H$2,MATCH($A13,Rango_Admin_Clas_Primera,0)+1),"-")</f>
        <v>40</v>
      </c>
      <c r="I13" s="92" cm="1">
        <f t="array" aca="1" ref="I13" ca="1">IFERROR(INDEX(Rango_Admin_Clas_Total,I$2,MATCH($A13,Rango_Admin_Clas_Primera,0)+1),"-")</f>
        <v>110</v>
      </c>
      <c r="J13" s="92" cm="1">
        <f t="array" aca="1" ref="J13" ca="1">IFERROR(INDEX(Rango_Admin_Clas_Total,J$2,MATCH($A13,Rango_Admin_Clas_Primera,0)+1),"-")</f>
        <v>12</v>
      </c>
      <c r="K13" s="92" cm="1">
        <f t="array" aca="1" ref="K13" ca="1">IFERROR(INDEX(Rango_Admin_Clas_Total,K$2,MATCH($A13,Rango_Admin_Clas_Primera,0)+1),"-")</f>
        <v>120</v>
      </c>
      <c r="L13" s="92" cm="1">
        <f t="array" aca="1" ref="L13" ca="1">IFERROR(INDEX(Rango_Admin_Clas_Total,L$2,MATCH($A13,Rango_Admin_Clas_Primera,0)+1),"-")</f>
        <v>40</v>
      </c>
      <c r="M13" s="92" cm="1">
        <f t="array" aca="1" ref="M13" ca="1">IFERROR(INDEX(Rango_Admin_Clas_Total,M$2,MATCH($A13,Rango_Admin_Clas_Primera,0)+1),"-")</f>
        <v>90</v>
      </c>
      <c r="N13" s="92" cm="1">
        <f t="array" aca="1" ref="N13" ca="1">IFERROR(INDEX(Rango_Admin_Clas_Total,N$2,MATCH($A13,Rango_Admin_Clas_Primera,0)+1),"-")</f>
        <v>10</v>
      </c>
      <c r="O13" s="92" cm="1">
        <f t="array" aca="1" ref="O13" ca="1">IFERROR(INDEX(Rango_Admin_Clas_Total,O$2,MATCH($A13,Rango_Admin_Clas_Primera,0)+1),"-")</f>
        <v>15</v>
      </c>
      <c r="P13" s="92" cm="1">
        <f t="array" aca="1" ref="P13" ca="1">IFERROR(INDEX(Rango_Admin_Clas_Total,P$2,MATCH($A13,Rango_Admin_Clas_Primera,0)+1),"-")</f>
        <v>45</v>
      </c>
      <c r="Q13" s="92" cm="1">
        <f t="array" aca="1" ref="Q13" ca="1">IFERROR(INDEX(Rango_Admin_Clas_Total,Q$2,MATCH($A13,Rango_Admin_Clas_Primera,0)+1),"-")</f>
        <v>0</v>
      </c>
      <c r="R13" s="92" cm="1">
        <f t="array" aca="1" ref="R13" ca="1">IFERROR(INDEX(Rango_Admin_Clas_Total,R$2,MATCH($A13,Rango_Admin_Clas_Primera,0)+1),"-")</f>
        <v>0</v>
      </c>
      <c r="S13" s="92" cm="1">
        <f t="array" aca="1" ref="S13" ca="1">IFERROR(INDEX(Rango_Admin_Clas_Total,S$2,MATCH($A13,Rango_Admin_Clas_Primera,0)+1),"-")</f>
        <v>50</v>
      </c>
      <c r="T13" s="297"/>
      <c r="U13" s="297"/>
    </row>
    <row r="14" spans="1:21">
      <c r="A14" s="19">
        <f t="shared" si="0"/>
        <v>10</v>
      </c>
      <c r="B14" s="22">
        <f ca="1">IFERROR(HLOOKUP(A14,Rango_Admin_Clas,3,FALSE),"-")</f>
        <v>10</v>
      </c>
      <c r="C14" s="18" t="str">
        <f ca="1">IFERROR(HLOOKUP(A14,Rango_Admin_Clas,5,FALSE),"-")</f>
        <v>Martijn Pierik</v>
      </c>
      <c r="D14" s="91">
        <f ca="1">IFERROR(HLOOKUP(A14,Rango_Admin_Clas,4,FALSE),"-")</f>
        <v>1526</v>
      </c>
      <c r="E14" s="92" cm="1">
        <f t="array" aca="1" ref="E14" ca="1">IFERROR(INDEX(Rango_Admin_Clas_Total,E$2,MATCH($A14,Rango_Admin_Clas_Primera,0)+1),"-")</f>
        <v>530</v>
      </c>
      <c r="F14" s="92" cm="1">
        <f t="array" aca="1" ref="F14" ca="1">IFERROR(INDEX(Rango_Admin_Clas_Total,F$2,MATCH($A14,Rango_Admin_Clas_Primera,0)+1),"-")</f>
        <v>311</v>
      </c>
      <c r="G14" s="92" cm="1">
        <f t="array" aca="1" ref="G14" ca="1">IFERROR(INDEX(Rango_Admin_Clas_Total,G$2,MATCH($A14,Rango_Admin_Clas_Primera,0)+1),"-")</f>
        <v>130</v>
      </c>
      <c r="H14" s="92" cm="1">
        <f t="array" aca="1" ref="H14" ca="1">IFERROR(INDEX(Rango_Admin_Clas_Total,H$2,MATCH($A14,Rango_Admin_Clas_Primera,0)+1),"-")</f>
        <v>80</v>
      </c>
      <c r="I14" s="92" cm="1">
        <f t="array" aca="1" ref="I14" ca="1">IFERROR(INDEX(Rango_Admin_Clas_Total,I$2,MATCH($A14,Rango_Admin_Clas_Primera,0)+1),"-")</f>
        <v>130</v>
      </c>
      <c r="J14" s="92" cm="1">
        <f t="array" aca="1" ref="J14" ca="1">IFERROR(INDEX(Rango_Admin_Clas_Total,J$2,MATCH($A14,Rango_Admin_Clas_Primera,0)+1),"-")</f>
        <v>10</v>
      </c>
      <c r="K14" s="92" cm="1">
        <f t="array" aca="1" ref="K14" ca="1">IFERROR(INDEX(Rango_Admin_Clas_Total,K$2,MATCH($A14,Rango_Admin_Clas_Primera,0)+1),"-")</f>
        <v>80</v>
      </c>
      <c r="L14" s="92" cm="1">
        <f t="array" aca="1" ref="L14" ca="1">IFERROR(INDEX(Rango_Admin_Clas_Total,L$2,MATCH($A14,Rango_Admin_Clas_Primera,0)+1),"-")</f>
        <v>0</v>
      </c>
      <c r="M14" s="92" cm="1">
        <f t="array" aca="1" ref="M14" ca="1">IFERROR(INDEX(Rango_Admin_Clas_Total,M$2,MATCH($A14,Rango_Admin_Clas_Primera,0)+1),"-")</f>
        <v>120</v>
      </c>
      <c r="N14" s="92" cm="1">
        <f t="array" aca="1" ref="N14" ca="1">IFERROR(INDEX(Rango_Admin_Clas_Total,N$2,MATCH($A14,Rango_Admin_Clas_Primera,0)+1),"-")</f>
        <v>0</v>
      </c>
      <c r="O14" s="92" cm="1">
        <f t="array" aca="1" ref="O14" ca="1">IFERROR(INDEX(Rango_Admin_Clas_Total,O$2,MATCH($A14,Rango_Admin_Clas_Primera,0)+1),"-")</f>
        <v>15</v>
      </c>
      <c r="P14" s="92" cm="1">
        <f t="array" aca="1" ref="P14" ca="1">IFERROR(INDEX(Rango_Admin_Clas_Total,P$2,MATCH($A14,Rango_Admin_Clas_Primera,0)+1),"-")</f>
        <v>45</v>
      </c>
      <c r="Q14" s="92" cm="1">
        <f t="array" aca="1" ref="Q14" ca="1">IFERROR(INDEX(Rango_Admin_Clas_Total,Q$2,MATCH($A14,Rango_Admin_Clas_Primera,0)+1),"-")</f>
        <v>0</v>
      </c>
      <c r="R14" s="92" cm="1">
        <f t="array" aca="1" ref="R14" ca="1">IFERROR(INDEX(Rango_Admin_Clas_Total,R$2,MATCH($A14,Rango_Admin_Clas_Primera,0)+1),"-")</f>
        <v>0</v>
      </c>
      <c r="S14" s="92" cm="1">
        <f t="array" aca="1" ref="S14" ca="1">IFERROR(INDEX(Rango_Admin_Clas_Total,S$2,MATCH($A14,Rango_Admin_Clas_Primera,0)+1),"-")</f>
        <v>75</v>
      </c>
      <c r="T14" s="297"/>
      <c r="U14" s="297"/>
    </row>
    <row r="15" spans="1:21">
      <c r="A15" s="19">
        <f t="shared" si="0"/>
        <v>11</v>
      </c>
      <c r="B15" s="22">
        <f ca="1">IFERROR(HLOOKUP(A15,Rango_Admin_Clas,3,FALSE),"-")</f>
        <v>11</v>
      </c>
      <c r="C15" s="18" t="str">
        <f ca="1">IFERROR(HLOOKUP(A15,Rango_Admin_Clas,5,FALSE),"-")</f>
        <v>Twan Veldhuis</v>
      </c>
      <c r="D15" s="91">
        <f ca="1">IFERROR(HLOOKUP(A15,Rango_Admin_Clas,4,FALSE),"-")</f>
        <v>1508</v>
      </c>
      <c r="E15" s="92" cm="1">
        <f t="array" aca="1" ref="E15" ca="1">IFERROR(INDEX(Rango_Admin_Clas_Total,E$2,MATCH($A15,Rango_Admin_Clas_Primera,0)+1),"-")</f>
        <v>556</v>
      </c>
      <c r="F15" s="92" cm="1">
        <f t="array" aca="1" ref="F15" ca="1">IFERROR(INDEX(Rango_Admin_Clas_Total,F$2,MATCH($A15,Rango_Admin_Clas_Primera,0)+1),"-")</f>
        <v>327</v>
      </c>
      <c r="G15" s="92" cm="1">
        <f t="array" aca="1" ref="G15" ca="1">IFERROR(INDEX(Rango_Admin_Clas_Total,G$2,MATCH($A15,Rango_Admin_Clas_Primera,0)+1),"-")</f>
        <v>130</v>
      </c>
      <c r="H15" s="92" cm="1">
        <f t="array" aca="1" ref="H15" ca="1">IFERROR(INDEX(Rango_Admin_Clas_Total,H$2,MATCH($A15,Rango_Admin_Clas_Primera,0)+1),"-")</f>
        <v>20</v>
      </c>
      <c r="I15" s="92" cm="1">
        <f t="array" aca="1" ref="I15" ca="1">IFERROR(INDEX(Rango_Admin_Clas_Total,I$2,MATCH($A15,Rango_Admin_Clas_Primera,0)+1),"-")</f>
        <v>110</v>
      </c>
      <c r="J15" s="92" cm="1">
        <f t="array" aca="1" ref="J15" ca="1">IFERROR(INDEX(Rango_Admin_Clas_Total,J$2,MATCH($A15,Rango_Admin_Clas_Primera,0)+1),"-")</f>
        <v>20</v>
      </c>
      <c r="K15" s="92" cm="1">
        <f t="array" aca="1" ref="K15" ca="1">IFERROR(INDEX(Rango_Admin_Clas_Total,K$2,MATCH($A15,Rango_Admin_Clas_Primera,0)+1),"-")</f>
        <v>100</v>
      </c>
      <c r="L15" s="92" cm="1">
        <f t="array" aca="1" ref="L15" ca="1">IFERROR(INDEX(Rango_Admin_Clas_Total,L$2,MATCH($A15,Rango_Admin_Clas_Primera,0)+1),"-")</f>
        <v>10</v>
      </c>
      <c r="M15" s="92" cm="1">
        <f t="array" aca="1" ref="M15" ca="1">IFERROR(INDEX(Rango_Admin_Clas_Total,M$2,MATCH($A15,Rango_Admin_Clas_Primera,0)+1),"-")</f>
        <v>90</v>
      </c>
      <c r="N15" s="92" cm="1">
        <f t="array" aca="1" ref="N15" ca="1">IFERROR(INDEX(Rango_Admin_Clas_Total,N$2,MATCH($A15,Rango_Admin_Clas_Primera,0)+1),"-")</f>
        <v>10</v>
      </c>
      <c r="O15" s="92" cm="1">
        <f t="array" aca="1" ref="O15" ca="1">IFERROR(INDEX(Rango_Admin_Clas_Total,O$2,MATCH($A15,Rango_Admin_Clas_Primera,0)+1),"-")</f>
        <v>15</v>
      </c>
      <c r="P15" s="92" cm="1">
        <f t="array" aca="1" ref="P15" ca="1">IFERROR(INDEX(Rango_Admin_Clas_Total,P$2,MATCH($A15,Rango_Admin_Clas_Primera,0)+1),"-")</f>
        <v>45</v>
      </c>
      <c r="Q15" s="92" cm="1">
        <f t="array" aca="1" ref="Q15" ca="1">IFERROR(INDEX(Rango_Admin_Clas_Total,Q$2,MATCH($A15,Rango_Admin_Clas_Primera,0)+1),"-")</f>
        <v>0</v>
      </c>
      <c r="R15" s="92" cm="1">
        <f t="array" aca="1" ref="R15" ca="1">IFERROR(INDEX(Rango_Admin_Clas_Total,R$2,MATCH($A15,Rango_Admin_Clas_Primera,0)+1),"-")</f>
        <v>0</v>
      </c>
      <c r="S15" s="92" cm="1">
        <f t="array" aca="1" ref="S15" ca="1">IFERROR(INDEX(Rango_Admin_Clas_Total,S$2,MATCH($A15,Rango_Admin_Clas_Primera,0)+1),"-")</f>
        <v>75</v>
      </c>
      <c r="T15" s="297"/>
      <c r="U15" s="297"/>
    </row>
    <row r="16" spans="1:21">
      <c r="A16" s="19">
        <f t="shared" si="0"/>
        <v>12</v>
      </c>
      <c r="B16" s="22">
        <f ca="1">IFERROR(HLOOKUP(A16,Rango_Admin_Clas,3,FALSE),"-")</f>
        <v>12</v>
      </c>
      <c r="C16" s="18" t="str">
        <f ca="1">IFERROR(HLOOKUP(A16,Rango_Admin_Clas,5,FALSE),"-")</f>
        <v>Mart-Jan aan het Rot</v>
      </c>
      <c r="D16" s="91">
        <f ca="1">IFERROR(HLOOKUP(A16,Rango_Admin_Clas,4,FALSE),"-")</f>
        <v>1490</v>
      </c>
      <c r="E16" s="92" cm="1">
        <f t="array" aca="1" ref="E16" ca="1">IFERROR(INDEX(Rango_Admin_Clas_Total,E$2,MATCH($A16,Rango_Admin_Clas_Primera,0)+1),"-")</f>
        <v>558</v>
      </c>
      <c r="F16" s="92" cm="1">
        <f t="array" aca="1" ref="F16" ca="1">IFERROR(INDEX(Rango_Admin_Clas_Total,F$2,MATCH($A16,Rango_Admin_Clas_Primera,0)+1),"-")</f>
        <v>337</v>
      </c>
      <c r="G16" s="92" cm="1">
        <f t="array" aca="1" ref="G16" ca="1">IFERROR(INDEX(Rango_Admin_Clas_Total,G$2,MATCH($A16,Rango_Admin_Clas_Primera,0)+1),"-")</f>
        <v>130</v>
      </c>
      <c r="H16" s="92" cm="1">
        <f t="array" aca="1" ref="H16" ca="1">IFERROR(INDEX(Rango_Admin_Clas_Total,H$2,MATCH($A16,Rango_Admin_Clas_Primera,0)+1),"-")</f>
        <v>30</v>
      </c>
      <c r="I16" s="92" cm="1">
        <f t="array" aca="1" ref="I16" ca="1">IFERROR(INDEX(Rango_Admin_Clas_Total,I$2,MATCH($A16,Rango_Admin_Clas_Primera,0)+1),"-")</f>
        <v>120</v>
      </c>
      <c r="J16" s="92" cm="1">
        <f t="array" aca="1" ref="J16" ca="1">IFERROR(INDEX(Rango_Admin_Clas_Total,J$2,MATCH($A16,Rango_Admin_Clas_Primera,0)+1),"-")</f>
        <v>10</v>
      </c>
      <c r="K16" s="92" cm="1">
        <f t="array" aca="1" ref="K16" ca="1">IFERROR(INDEX(Rango_Admin_Clas_Total,K$2,MATCH($A16,Rango_Admin_Clas_Primera,0)+1),"-")</f>
        <v>100</v>
      </c>
      <c r="L16" s="92" cm="1">
        <f t="array" aca="1" ref="L16" ca="1">IFERROR(INDEX(Rango_Admin_Clas_Total,L$2,MATCH($A16,Rango_Admin_Clas_Primera,0)+1),"-")</f>
        <v>20</v>
      </c>
      <c r="M16" s="92" cm="1">
        <f t="array" aca="1" ref="M16" ca="1">IFERROR(INDEX(Rango_Admin_Clas_Total,M$2,MATCH($A16,Rango_Admin_Clas_Primera,0)+1),"-")</f>
        <v>90</v>
      </c>
      <c r="N16" s="92" cm="1">
        <f t="array" aca="1" ref="N16" ca="1">IFERROR(INDEX(Rango_Admin_Clas_Total,N$2,MATCH($A16,Rango_Admin_Clas_Primera,0)+1),"-")</f>
        <v>0</v>
      </c>
      <c r="O16" s="92" cm="1">
        <f t="array" aca="1" ref="O16" ca="1">IFERROR(INDEX(Rango_Admin_Clas_Total,O$2,MATCH($A16,Rango_Admin_Clas_Primera,0)+1),"-")</f>
        <v>0</v>
      </c>
      <c r="P16" s="92" cm="1">
        <f t="array" aca="1" ref="P16" ca="1">IFERROR(INDEX(Rango_Admin_Clas_Total,P$2,MATCH($A16,Rango_Admin_Clas_Primera,0)+1),"-")</f>
        <v>45</v>
      </c>
      <c r="Q16" s="92" cm="1">
        <f t="array" aca="1" ref="Q16" ca="1">IFERROR(INDEX(Rango_Admin_Clas_Total,Q$2,MATCH($A16,Rango_Admin_Clas_Primera,0)+1),"-")</f>
        <v>0</v>
      </c>
      <c r="R16" s="92" cm="1">
        <f t="array" aca="1" ref="R16" ca="1">IFERROR(INDEX(Rango_Admin_Clas_Total,R$2,MATCH($A16,Rango_Admin_Clas_Primera,0)+1),"-")</f>
        <v>0</v>
      </c>
      <c r="S16" s="92" cm="1">
        <f t="array" aca="1" ref="S16" ca="1">IFERROR(INDEX(Rango_Admin_Clas_Total,S$2,MATCH($A16,Rango_Admin_Clas_Primera,0)+1),"-")</f>
        <v>50</v>
      </c>
      <c r="T16" s="297"/>
      <c r="U16" s="297"/>
    </row>
    <row r="17" spans="1:21">
      <c r="A17" s="19">
        <f t="shared" si="0"/>
        <v>13</v>
      </c>
      <c r="B17" s="22">
        <f ca="1">IFERROR(HLOOKUP(A17,Rango_Admin_Clas,3,FALSE),"-")</f>
        <v>13</v>
      </c>
      <c r="C17" s="18" t="str">
        <f ca="1">IFERROR(HLOOKUP(A17,Rango_Admin_Clas,5,FALSE),"-")</f>
        <v>Bart Veltmann</v>
      </c>
      <c r="D17" s="91">
        <f ca="1">IFERROR(HLOOKUP(A17,Rango_Admin_Clas,4,FALSE),"-")</f>
        <v>1483</v>
      </c>
      <c r="E17" s="92" cm="1">
        <f t="array" aca="1" ref="E17" ca="1">IFERROR(INDEX(Rango_Admin_Clas_Total,E$2,MATCH($A17,Rango_Admin_Clas_Primera,0)+1),"-")</f>
        <v>606</v>
      </c>
      <c r="F17" s="92" cm="1">
        <f t="array" aca="1" ref="F17" ca="1">IFERROR(INDEX(Rango_Admin_Clas_Total,F$2,MATCH($A17,Rango_Admin_Clas_Primera,0)+1),"-")</f>
        <v>322</v>
      </c>
      <c r="G17" s="92" cm="1">
        <f t="array" aca="1" ref="G17" ca="1">IFERROR(INDEX(Rango_Admin_Clas_Total,G$2,MATCH($A17,Rango_Admin_Clas_Primera,0)+1),"-")</f>
        <v>135</v>
      </c>
      <c r="H17" s="92" cm="1">
        <f t="array" aca="1" ref="H17" ca="1">IFERROR(INDEX(Rango_Admin_Clas_Total,H$2,MATCH($A17,Rango_Admin_Clas_Primera,0)+1),"-")</f>
        <v>50</v>
      </c>
      <c r="I17" s="92" cm="1">
        <f t="array" aca="1" ref="I17" ca="1">IFERROR(INDEX(Rango_Admin_Clas_Total,I$2,MATCH($A17,Rango_Admin_Clas_Primera,0)+1),"-")</f>
        <v>120</v>
      </c>
      <c r="J17" s="92" cm="1">
        <f t="array" aca="1" ref="J17" ca="1">IFERROR(INDEX(Rango_Admin_Clas_Total,J$2,MATCH($A17,Rango_Admin_Clas_Primera,0)+1),"-")</f>
        <v>10</v>
      </c>
      <c r="K17" s="92" cm="1">
        <f t="array" aca="1" ref="K17" ca="1">IFERROR(INDEX(Rango_Admin_Clas_Total,K$2,MATCH($A17,Rango_Admin_Clas_Primera,0)+1),"-")</f>
        <v>100</v>
      </c>
      <c r="L17" s="92" cm="1">
        <f t="array" aca="1" ref="L17" ca="1">IFERROR(INDEX(Rango_Admin_Clas_Total,L$2,MATCH($A17,Rango_Admin_Clas_Primera,0)+1),"-")</f>
        <v>0</v>
      </c>
      <c r="M17" s="92" cm="1">
        <f t="array" aca="1" ref="M17" ca="1">IFERROR(INDEX(Rango_Admin_Clas_Total,M$2,MATCH($A17,Rango_Admin_Clas_Primera,0)+1),"-")</f>
        <v>60</v>
      </c>
      <c r="N17" s="92" cm="1">
        <f t="array" aca="1" ref="N17" ca="1">IFERROR(INDEX(Rango_Admin_Clas_Total,N$2,MATCH($A17,Rango_Admin_Clas_Primera,0)+1),"-")</f>
        <v>0</v>
      </c>
      <c r="O17" s="92" cm="1">
        <f t="array" aca="1" ref="O17" ca="1">IFERROR(INDEX(Rango_Admin_Clas_Total,O$2,MATCH($A17,Rango_Admin_Clas_Primera,0)+1),"-")</f>
        <v>15</v>
      </c>
      <c r="P17" s="92" cm="1">
        <f t="array" aca="1" ref="P17" ca="1">IFERROR(INDEX(Rango_Admin_Clas_Total,P$2,MATCH($A17,Rango_Admin_Clas_Primera,0)+1),"-")</f>
        <v>45</v>
      </c>
      <c r="Q17" s="92" cm="1">
        <f t="array" aca="1" ref="Q17" ca="1">IFERROR(INDEX(Rango_Admin_Clas_Total,Q$2,MATCH($A17,Rango_Admin_Clas_Primera,0)+1),"-")</f>
        <v>0</v>
      </c>
      <c r="R17" s="92" cm="1">
        <f t="array" aca="1" ref="R17" ca="1">IFERROR(INDEX(Rango_Admin_Clas_Total,R$2,MATCH($A17,Rango_Admin_Clas_Primera,0)+1),"-")</f>
        <v>0</v>
      </c>
      <c r="S17" s="92" cm="1">
        <f t="array" aca="1" ref="S17" ca="1">IFERROR(INDEX(Rango_Admin_Clas_Total,S$2,MATCH($A17,Rango_Admin_Clas_Primera,0)+1),"-")</f>
        <v>20</v>
      </c>
      <c r="T17" s="297"/>
      <c r="U17" s="297"/>
    </row>
    <row r="18" spans="1:21">
      <c r="A18" s="19">
        <f t="shared" si="0"/>
        <v>14</v>
      </c>
      <c r="B18" s="22">
        <f ca="1">IFERROR(HLOOKUP(A18,Rango_Admin_Clas,3,FALSE),"-")</f>
        <v>14</v>
      </c>
      <c r="C18" s="18" t="str">
        <f ca="1">IFERROR(HLOOKUP(A18,Rango_Admin_Clas,5,FALSE),"-")</f>
        <v>Laura Hospers</v>
      </c>
      <c r="D18" s="91">
        <f ca="1">IFERROR(HLOOKUP(A18,Rango_Admin_Clas,4,FALSE),"-")</f>
        <v>1481</v>
      </c>
      <c r="E18" s="92" cm="1">
        <f t="array" aca="1" ref="E18" ca="1">IFERROR(INDEX(Rango_Admin_Clas_Total,E$2,MATCH($A18,Rango_Admin_Clas_Primera,0)+1),"-")</f>
        <v>556</v>
      </c>
      <c r="F18" s="92" cm="1">
        <f t="array" aca="1" ref="F18" ca="1">IFERROR(INDEX(Rango_Admin_Clas_Total,F$2,MATCH($A18,Rango_Admin_Clas_Primera,0)+1),"-")</f>
        <v>309</v>
      </c>
      <c r="G18" s="92" cm="1">
        <f t="array" aca="1" ref="G18" ca="1">IFERROR(INDEX(Rango_Admin_Clas_Total,G$2,MATCH($A18,Rango_Admin_Clas_Primera,0)+1),"-")</f>
        <v>130</v>
      </c>
      <c r="H18" s="92" cm="1">
        <f t="array" aca="1" ref="H18" ca="1">IFERROR(INDEX(Rango_Admin_Clas_Total,H$2,MATCH($A18,Rango_Admin_Clas_Primera,0)+1),"-")</f>
        <v>40</v>
      </c>
      <c r="I18" s="92" cm="1">
        <f t="array" aca="1" ref="I18" ca="1">IFERROR(INDEX(Rango_Admin_Clas_Total,I$2,MATCH($A18,Rango_Admin_Clas_Primera,0)+1),"-")</f>
        <v>110</v>
      </c>
      <c r="J18" s="92" cm="1">
        <f t="array" aca="1" ref="J18" ca="1">IFERROR(INDEX(Rango_Admin_Clas_Total,J$2,MATCH($A18,Rango_Admin_Clas_Primera,0)+1),"-")</f>
        <v>12</v>
      </c>
      <c r="K18" s="92" cm="1">
        <f t="array" aca="1" ref="K18" ca="1">IFERROR(INDEX(Rango_Admin_Clas_Total,K$2,MATCH($A18,Rango_Admin_Clas_Primera,0)+1),"-")</f>
        <v>100</v>
      </c>
      <c r="L18" s="92" cm="1">
        <f t="array" aca="1" ref="L18" ca="1">IFERROR(INDEX(Rango_Admin_Clas_Total,L$2,MATCH($A18,Rango_Admin_Clas_Primera,0)+1),"-")</f>
        <v>20</v>
      </c>
      <c r="M18" s="92" cm="1">
        <f t="array" aca="1" ref="M18" ca="1">IFERROR(INDEX(Rango_Admin_Clas_Total,M$2,MATCH($A18,Rango_Admin_Clas_Primera,0)+1),"-")</f>
        <v>60</v>
      </c>
      <c r="N18" s="92" cm="1">
        <f t="array" aca="1" ref="N18" ca="1">IFERROR(INDEX(Rango_Admin_Clas_Total,N$2,MATCH($A18,Rango_Admin_Clas_Primera,0)+1),"-")</f>
        <v>10</v>
      </c>
      <c r="O18" s="92" cm="1">
        <f t="array" aca="1" ref="O18" ca="1">IFERROR(INDEX(Rango_Admin_Clas_Total,O$2,MATCH($A18,Rango_Admin_Clas_Primera,0)+1),"-")</f>
        <v>15</v>
      </c>
      <c r="P18" s="92" cm="1">
        <f t="array" aca="1" ref="P18" ca="1">IFERROR(INDEX(Rango_Admin_Clas_Total,P$2,MATCH($A18,Rango_Admin_Clas_Primera,0)+1),"-")</f>
        <v>45</v>
      </c>
      <c r="Q18" s="92" cm="1">
        <f t="array" aca="1" ref="Q18" ca="1">IFERROR(INDEX(Rango_Admin_Clas_Total,Q$2,MATCH($A18,Rango_Admin_Clas_Primera,0)+1),"-")</f>
        <v>0</v>
      </c>
      <c r="R18" s="92" cm="1">
        <f t="array" aca="1" ref="R18" ca="1">IFERROR(INDEX(Rango_Admin_Clas_Total,R$2,MATCH($A18,Rango_Admin_Clas_Primera,0)+1),"-")</f>
        <v>0</v>
      </c>
      <c r="S18" s="92" cm="1">
        <f t="array" aca="1" ref="S18" ca="1">IFERROR(INDEX(Rango_Admin_Clas_Total,S$2,MATCH($A18,Rango_Admin_Clas_Primera,0)+1),"-")</f>
        <v>74</v>
      </c>
      <c r="T18" s="297"/>
      <c r="U18" s="297"/>
    </row>
    <row r="19" spans="1:21">
      <c r="A19" s="19">
        <f t="shared" si="0"/>
        <v>15</v>
      </c>
      <c r="B19" s="22">
        <f ca="1">IFERROR(HLOOKUP(A19,Rango_Admin_Clas,3,FALSE),"-")</f>
        <v>15</v>
      </c>
      <c r="C19" s="18" t="str">
        <f ca="1">IFERROR(HLOOKUP(A19,Rango_Admin_Clas,5,FALSE),"-")</f>
        <v>Petra Hemmer - Kleis</v>
      </c>
      <c r="D19" s="91">
        <f ca="1">IFERROR(HLOOKUP(A19,Rango_Admin_Clas,4,FALSE),"-")</f>
        <v>1478</v>
      </c>
      <c r="E19" s="92" cm="1">
        <f t="array" aca="1" ref="E19" ca="1">IFERROR(INDEX(Rango_Admin_Clas_Total,E$2,MATCH($A19,Rango_Admin_Clas_Primera,0)+1),"-")</f>
        <v>618</v>
      </c>
      <c r="F19" s="92" cm="1">
        <f t="array" aca="1" ref="F19" ca="1">IFERROR(INDEX(Rango_Admin_Clas_Total,F$2,MATCH($A19,Rango_Admin_Clas_Primera,0)+1),"-")</f>
        <v>331</v>
      </c>
      <c r="G19" s="92" cm="1">
        <f t="array" aca="1" ref="G19" ca="1">IFERROR(INDEX(Rango_Admin_Clas_Total,G$2,MATCH($A19,Rango_Admin_Clas_Primera,0)+1),"-")</f>
        <v>130</v>
      </c>
      <c r="H19" s="92" cm="1">
        <f t="array" aca="1" ref="H19" ca="1">IFERROR(INDEX(Rango_Admin_Clas_Total,H$2,MATCH($A19,Rango_Admin_Clas_Primera,0)+1),"-")</f>
        <v>52</v>
      </c>
      <c r="I19" s="92" cm="1">
        <f t="array" aca="1" ref="I19" ca="1">IFERROR(INDEX(Rango_Admin_Clas_Total,I$2,MATCH($A19,Rango_Admin_Clas_Primera,0)+1),"-")</f>
        <v>110</v>
      </c>
      <c r="J19" s="92" cm="1">
        <f t="array" aca="1" ref="J19" ca="1">IFERROR(INDEX(Rango_Admin_Clas_Total,J$2,MATCH($A19,Rango_Admin_Clas_Primera,0)+1),"-")</f>
        <v>22</v>
      </c>
      <c r="K19" s="92" cm="1">
        <f t="array" aca="1" ref="K19" ca="1">IFERROR(INDEX(Rango_Admin_Clas_Total,K$2,MATCH($A19,Rango_Admin_Clas_Primera,0)+1),"-")</f>
        <v>60</v>
      </c>
      <c r="L19" s="92" cm="1">
        <f t="array" aca="1" ref="L19" ca="1">IFERROR(INDEX(Rango_Admin_Clas_Total,L$2,MATCH($A19,Rango_Admin_Clas_Primera,0)+1),"-")</f>
        <v>10</v>
      </c>
      <c r="M19" s="92" cm="1">
        <f t="array" aca="1" ref="M19" ca="1">IFERROR(INDEX(Rango_Admin_Clas_Total,M$2,MATCH($A19,Rango_Admin_Clas_Primera,0)+1),"-")</f>
        <v>30</v>
      </c>
      <c r="N19" s="92" cm="1">
        <f t="array" aca="1" ref="N19" ca="1">IFERROR(INDEX(Rango_Admin_Clas_Total,N$2,MATCH($A19,Rango_Admin_Clas_Primera,0)+1),"-")</f>
        <v>0</v>
      </c>
      <c r="O19" s="92" cm="1">
        <f t="array" aca="1" ref="O19" ca="1">IFERROR(INDEX(Rango_Admin_Clas_Total,O$2,MATCH($A19,Rango_Admin_Clas_Primera,0)+1),"-")</f>
        <v>0</v>
      </c>
      <c r="P19" s="92" cm="1">
        <f t="array" aca="1" ref="P19" ca="1">IFERROR(INDEX(Rango_Admin_Clas_Total,P$2,MATCH($A19,Rango_Admin_Clas_Primera,0)+1),"-")</f>
        <v>45</v>
      </c>
      <c r="Q19" s="92" cm="1">
        <f t="array" aca="1" ref="Q19" ca="1">IFERROR(INDEX(Rango_Admin_Clas_Total,Q$2,MATCH($A19,Rango_Admin_Clas_Primera,0)+1),"-")</f>
        <v>0</v>
      </c>
      <c r="R19" s="92" cm="1">
        <f t="array" aca="1" ref="R19" ca="1">IFERROR(INDEX(Rango_Admin_Clas_Total,R$2,MATCH($A19,Rango_Admin_Clas_Primera,0)+1),"-")</f>
        <v>0</v>
      </c>
      <c r="S19" s="92" cm="1">
        <f t="array" aca="1" ref="S19" ca="1">IFERROR(INDEX(Rango_Admin_Clas_Total,S$2,MATCH($A19,Rango_Admin_Clas_Primera,0)+1),"-")</f>
        <v>70</v>
      </c>
      <c r="T19" s="297"/>
      <c r="U19" s="297"/>
    </row>
    <row r="20" spans="1:21">
      <c r="A20" s="19">
        <f t="shared" si="0"/>
        <v>16</v>
      </c>
      <c r="B20" s="22">
        <f ca="1">IFERROR(HLOOKUP(A20,Rango_Admin_Clas,3,FALSE),"-")</f>
        <v>16</v>
      </c>
      <c r="C20" s="18" t="str">
        <f ca="1">IFERROR(HLOOKUP(A20,Rango_Admin_Clas,5,FALSE),"-")</f>
        <v>Jurgen Wiegerinck</v>
      </c>
      <c r="D20" s="91">
        <f ca="1">IFERROR(HLOOKUP(A20,Rango_Admin_Clas,4,FALSE),"-")</f>
        <v>1440</v>
      </c>
      <c r="E20" s="92" cm="1">
        <f t="array" aca="1" ref="E20" ca="1">IFERROR(INDEX(Rango_Admin_Clas_Total,E$2,MATCH($A20,Rango_Admin_Clas_Primera,0)+1),"-")</f>
        <v>492</v>
      </c>
      <c r="F20" s="92" cm="1">
        <f t="array" aca="1" ref="F20" ca="1">IFERROR(INDEX(Rango_Admin_Clas_Total,F$2,MATCH($A20,Rango_Admin_Clas_Primera,0)+1),"-")</f>
        <v>321</v>
      </c>
      <c r="G20" s="92" cm="1">
        <f t="array" aca="1" ref="G20" ca="1">IFERROR(INDEX(Rango_Admin_Clas_Total,G$2,MATCH($A20,Rango_Admin_Clas_Primera,0)+1),"-")</f>
        <v>125</v>
      </c>
      <c r="H20" s="92" cm="1">
        <f t="array" aca="1" ref="H20" ca="1">IFERROR(INDEX(Rango_Admin_Clas_Total,H$2,MATCH($A20,Rango_Admin_Clas_Primera,0)+1),"-")</f>
        <v>34</v>
      </c>
      <c r="I20" s="92" cm="1">
        <f t="array" aca="1" ref="I20" ca="1">IFERROR(INDEX(Rango_Admin_Clas_Total,I$2,MATCH($A20,Rango_Admin_Clas_Primera,0)+1),"-")</f>
        <v>100</v>
      </c>
      <c r="J20" s="92" cm="1">
        <f t="array" aca="1" ref="J20" ca="1">IFERROR(INDEX(Rango_Admin_Clas_Total,J$2,MATCH($A20,Rango_Admin_Clas_Primera,0)+1),"-")</f>
        <v>10</v>
      </c>
      <c r="K20" s="92" cm="1">
        <f t="array" aca="1" ref="K20" ca="1">IFERROR(INDEX(Rango_Admin_Clas_Total,K$2,MATCH($A20,Rango_Admin_Clas_Primera,0)+1),"-")</f>
        <v>100</v>
      </c>
      <c r="L20" s="92" cm="1">
        <f t="array" aca="1" ref="L20" ca="1">IFERROR(INDEX(Rango_Admin_Clas_Total,L$2,MATCH($A20,Rango_Admin_Clas_Primera,0)+1),"-")</f>
        <v>10</v>
      </c>
      <c r="M20" s="92" cm="1">
        <f t="array" aca="1" ref="M20" ca="1">IFERROR(INDEX(Rango_Admin_Clas_Total,M$2,MATCH($A20,Rango_Admin_Clas_Primera,0)+1),"-")</f>
        <v>120</v>
      </c>
      <c r="N20" s="92" cm="1">
        <f t="array" aca="1" ref="N20" ca="1">IFERROR(INDEX(Rango_Admin_Clas_Total,N$2,MATCH($A20,Rango_Admin_Clas_Primera,0)+1),"-")</f>
        <v>10</v>
      </c>
      <c r="O20" s="92" cm="1">
        <f t="array" aca="1" ref="O20" ca="1">IFERROR(INDEX(Rango_Admin_Clas_Total,O$2,MATCH($A20,Rango_Admin_Clas_Primera,0)+1),"-")</f>
        <v>15</v>
      </c>
      <c r="P20" s="92" cm="1">
        <f t="array" aca="1" ref="P20" ca="1">IFERROR(INDEX(Rango_Admin_Clas_Total,P$2,MATCH($A20,Rango_Admin_Clas_Primera,0)+1),"-")</f>
        <v>45</v>
      </c>
      <c r="Q20" s="92" cm="1">
        <f t="array" aca="1" ref="Q20" ca="1">IFERROR(INDEX(Rango_Admin_Clas_Total,Q$2,MATCH($A20,Rango_Admin_Clas_Primera,0)+1),"-")</f>
        <v>0</v>
      </c>
      <c r="R20" s="92" cm="1">
        <f t="array" aca="1" ref="R20" ca="1">IFERROR(INDEX(Rango_Admin_Clas_Total,R$2,MATCH($A20,Rango_Admin_Clas_Primera,0)+1),"-")</f>
        <v>0</v>
      </c>
      <c r="S20" s="92" cm="1">
        <f t="array" aca="1" ref="S20" ca="1">IFERROR(INDEX(Rango_Admin_Clas_Total,S$2,MATCH($A20,Rango_Admin_Clas_Primera,0)+1),"-")</f>
        <v>58</v>
      </c>
      <c r="T20" s="297"/>
      <c r="U20" s="297"/>
    </row>
    <row r="21" spans="1:21">
      <c r="A21" s="19">
        <f t="shared" si="0"/>
        <v>17</v>
      </c>
      <c r="B21" s="22">
        <f ca="1">IFERROR(HLOOKUP(A21,Rango_Admin_Clas,3,FALSE),"-")</f>
        <v>17</v>
      </c>
      <c r="C21" s="18" t="str">
        <f ca="1">IFERROR(HLOOKUP(A21,Rango_Admin_Clas,5,FALSE),"-")</f>
        <v>Mandy Reijntjes</v>
      </c>
      <c r="D21" s="91">
        <f ca="1">IFERROR(HLOOKUP(A21,Rango_Admin_Clas,4,FALSE),"-")</f>
        <v>1436</v>
      </c>
      <c r="E21" s="92" cm="1">
        <f t="array" aca="1" ref="E21" ca="1">IFERROR(INDEX(Rango_Admin_Clas_Total,E$2,MATCH($A21,Rango_Admin_Clas_Primera,0)+1),"-")</f>
        <v>516</v>
      </c>
      <c r="F21" s="92" cm="1">
        <f t="array" aca="1" ref="F21" ca="1">IFERROR(INDEX(Rango_Admin_Clas_Total,F$2,MATCH($A21,Rango_Admin_Clas_Primera,0)+1),"-")</f>
        <v>368</v>
      </c>
      <c r="G21" s="92" cm="1">
        <f t="array" aca="1" ref="G21" ca="1">IFERROR(INDEX(Rango_Admin_Clas_Total,G$2,MATCH($A21,Rango_Admin_Clas_Primera,0)+1),"-")</f>
        <v>140</v>
      </c>
      <c r="H21" s="92" cm="1">
        <f t="array" aca="1" ref="H21" ca="1">IFERROR(INDEX(Rango_Admin_Clas_Total,H$2,MATCH($A21,Rango_Admin_Clas_Primera,0)+1),"-")</f>
        <v>42</v>
      </c>
      <c r="I21" s="92" cm="1">
        <f t="array" aca="1" ref="I21" ca="1">IFERROR(INDEX(Rango_Admin_Clas_Total,I$2,MATCH($A21,Rango_Admin_Clas_Primera,0)+1),"-")</f>
        <v>120</v>
      </c>
      <c r="J21" s="92" cm="1">
        <f t="array" aca="1" ref="J21" ca="1">IFERROR(INDEX(Rango_Admin_Clas_Total,J$2,MATCH($A21,Rango_Admin_Clas_Primera,0)+1),"-")</f>
        <v>20</v>
      </c>
      <c r="K21" s="92" cm="1">
        <f t="array" aca="1" ref="K21" ca="1">IFERROR(INDEX(Rango_Admin_Clas_Total,K$2,MATCH($A21,Rango_Admin_Clas_Primera,0)+1),"-")</f>
        <v>100</v>
      </c>
      <c r="L21" s="92" cm="1">
        <f t="array" aca="1" ref="L21" ca="1">IFERROR(INDEX(Rango_Admin_Clas_Total,L$2,MATCH($A21,Rango_Admin_Clas_Primera,0)+1),"-")</f>
        <v>20</v>
      </c>
      <c r="M21" s="92" cm="1">
        <f t="array" aca="1" ref="M21" ca="1">IFERROR(INDEX(Rango_Admin_Clas_Total,M$2,MATCH($A21,Rango_Admin_Clas_Primera,0)+1),"-")</f>
        <v>90</v>
      </c>
      <c r="N21" s="92" cm="1">
        <f t="array" aca="1" ref="N21" ca="1">IFERROR(INDEX(Rango_Admin_Clas_Total,N$2,MATCH($A21,Rango_Admin_Clas_Primera,0)+1),"-")</f>
        <v>0</v>
      </c>
      <c r="O21" s="92" cm="1">
        <f t="array" aca="1" ref="O21" ca="1">IFERROR(INDEX(Rango_Admin_Clas_Total,O$2,MATCH($A21,Rango_Admin_Clas_Primera,0)+1),"-")</f>
        <v>0</v>
      </c>
      <c r="P21" s="92" cm="1">
        <f t="array" aca="1" ref="P21" ca="1">IFERROR(INDEX(Rango_Admin_Clas_Total,P$2,MATCH($A21,Rango_Admin_Clas_Primera,0)+1),"-")</f>
        <v>0</v>
      </c>
      <c r="Q21" s="92" cm="1">
        <f t="array" aca="1" ref="Q21" ca="1">IFERROR(INDEX(Rango_Admin_Clas_Total,Q$2,MATCH($A21,Rango_Admin_Clas_Primera,0)+1),"-")</f>
        <v>0</v>
      </c>
      <c r="R21" s="92" cm="1">
        <f t="array" aca="1" ref="R21" ca="1">IFERROR(INDEX(Rango_Admin_Clas_Total,R$2,MATCH($A21,Rango_Admin_Clas_Primera,0)+1),"-")</f>
        <v>0</v>
      </c>
      <c r="S21" s="92" cm="1">
        <f t="array" aca="1" ref="S21" ca="1">IFERROR(INDEX(Rango_Admin_Clas_Total,S$2,MATCH($A21,Rango_Admin_Clas_Primera,0)+1),"-")</f>
        <v>20</v>
      </c>
      <c r="T21" s="297"/>
      <c r="U21" s="297"/>
    </row>
    <row r="22" spans="1:21">
      <c r="A22" s="19">
        <f t="shared" si="0"/>
        <v>18</v>
      </c>
      <c r="B22" s="22">
        <f ca="1">IFERROR(HLOOKUP(A22,Rango_Admin_Clas,3,FALSE),"-")</f>
        <v>18</v>
      </c>
      <c r="C22" s="18" t="str">
        <f ca="1">IFERROR(HLOOKUP(A22,Rango_Admin_Clas,5,FALSE),"-")</f>
        <v>Sven Schlichter</v>
      </c>
      <c r="D22" s="91">
        <f ca="1">IFERROR(HLOOKUP(A22,Rango_Admin_Clas,4,FALSE),"-")</f>
        <v>1427</v>
      </c>
      <c r="E22" s="92" cm="1">
        <f t="array" aca="1" ref="E22" ca="1">IFERROR(INDEX(Rango_Admin_Clas_Total,E$2,MATCH($A22,Rango_Admin_Clas_Primera,0)+1),"-")</f>
        <v>490</v>
      </c>
      <c r="F22" s="92" cm="1">
        <f t="array" aca="1" ref="F22" ca="1">IFERROR(INDEX(Rango_Admin_Clas_Total,F$2,MATCH($A22,Rango_Admin_Clas_Primera,0)+1),"-")</f>
        <v>327</v>
      </c>
      <c r="G22" s="92" cm="1">
        <f t="array" aca="1" ref="G22" ca="1">IFERROR(INDEX(Rango_Admin_Clas_Total,G$2,MATCH($A22,Rango_Admin_Clas_Primera,0)+1),"-")</f>
        <v>130</v>
      </c>
      <c r="H22" s="92" cm="1">
        <f t="array" aca="1" ref="H22" ca="1">IFERROR(INDEX(Rango_Admin_Clas_Total,H$2,MATCH($A22,Rango_Admin_Clas_Primera,0)+1),"-")</f>
        <v>30</v>
      </c>
      <c r="I22" s="92" cm="1">
        <f t="array" aca="1" ref="I22" ca="1">IFERROR(INDEX(Rango_Admin_Clas_Total,I$2,MATCH($A22,Rango_Admin_Clas_Primera,0)+1),"-")</f>
        <v>110</v>
      </c>
      <c r="J22" s="92" cm="1">
        <f t="array" aca="1" ref="J22" ca="1">IFERROR(INDEX(Rango_Admin_Clas_Total,J$2,MATCH($A22,Rango_Admin_Clas_Primera,0)+1),"-")</f>
        <v>20</v>
      </c>
      <c r="K22" s="92" cm="1">
        <f t="array" aca="1" ref="K22" ca="1">IFERROR(INDEX(Rango_Admin_Clas_Total,K$2,MATCH($A22,Rango_Admin_Clas_Primera,0)+1),"-")</f>
        <v>100</v>
      </c>
      <c r="L22" s="92" cm="1">
        <f t="array" aca="1" ref="L22" ca="1">IFERROR(INDEX(Rango_Admin_Clas_Total,L$2,MATCH($A22,Rango_Admin_Clas_Primera,0)+1),"-")</f>
        <v>20</v>
      </c>
      <c r="M22" s="92" cm="1">
        <f t="array" aca="1" ref="M22" ca="1">IFERROR(INDEX(Rango_Admin_Clas_Total,M$2,MATCH($A22,Rango_Admin_Clas_Primera,0)+1),"-")</f>
        <v>90</v>
      </c>
      <c r="N22" s="92" cm="1">
        <f t="array" aca="1" ref="N22" ca="1">IFERROR(INDEX(Rango_Admin_Clas_Total,N$2,MATCH($A22,Rango_Admin_Clas_Primera,0)+1),"-")</f>
        <v>20</v>
      </c>
      <c r="O22" s="92" cm="1">
        <f t="array" aca="1" ref="O22" ca="1">IFERROR(INDEX(Rango_Admin_Clas_Total,O$2,MATCH($A22,Rango_Admin_Clas_Primera,0)+1),"-")</f>
        <v>15</v>
      </c>
      <c r="P22" s="92" cm="1">
        <f t="array" aca="1" ref="P22" ca="1">IFERROR(INDEX(Rango_Admin_Clas_Total,P$2,MATCH($A22,Rango_Admin_Clas_Primera,0)+1),"-")</f>
        <v>45</v>
      </c>
      <c r="Q22" s="92" cm="1">
        <f t="array" aca="1" ref="Q22" ca="1">IFERROR(INDEX(Rango_Admin_Clas_Total,Q$2,MATCH($A22,Rango_Admin_Clas_Primera,0)+1),"-")</f>
        <v>0</v>
      </c>
      <c r="R22" s="92" cm="1">
        <f t="array" aca="1" ref="R22" ca="1">IFERROR(INDEX(Rango_Admin_Clas_Total,R$2,MATCH($A22,Rango_Admin_Clas_Primera,0)+1),"-")</f>
        <v>0</v>
      </c>
      <c r="S22" s="92" cm="1">
        <f t="array" aca="1" ref="S22" ca="1">IFERROR(INDEX(Rango_Admin_Clas_Total,S$2,MATCH($A22,Rango_Admin_Clas_Primera,0)+1),"-")</f>
        <v>30</v>
      </c>
      <c r="T22" s="297"/>
      <c r="U22" s="297"/>
    </row>
    <row r="23" spans="1:21">
      <c r="A23" s="19">
        <f t="shared" si="0"/>
        <v>19</v>
      </c>
      <c r="B23" s="22">
        <f ca="1">IFERROR(HLOOKUP(A23,Rango_Admin_Clas,3,FALSE),"-")</f>
        <v>19</v>
      </c>
      <c r="C23" s="18" t="str">
        <f ca="1">IFERROR(HLOOKUP(A23,Rango_Admin_Clas,5,FALSE),"-")</f>
        <v>Leon de Bok</v>
      </c>
      <c r="D23" s="91">
        <f ca="1">IFERROR(HLOOKUP(A23,Rango_Admin_Clas,4,FALSE),"-")</f>
        <v>1412</v>
      </c>
      <c r="E23" s="92" cm="1">
        <f t="array" aca="1" ref="E23" ca="1">IFERROR(INDEX(Rango_Admin_Clas_Total,E$2,MATCH($A23,Rango_Admin_Clas_Primera,0)+1),"-")</f>
        <v>580</v>
      </c>
      <c r="F23" s="92" cm="1">
        <f t="array" aca="1" ref="F23" ca="1">IFERROR(INDEX(Rango_Admin_Clas_Total,F$2,MATCH($A23,Rango_Admin_Clas_Primera,0)+1),"-")</f>
        <v>317</v>
      </c>
      <c r="G23" s="92" cm="1">
        <f t="array" aca="1" ref="G23" ca="1">IFERROR(INDEX(Rango_Admin_Clas_Total,G$2,MATCH($A23,Rango_Admin_Clas_Primera,0)+1),"-")</f>
        <v>135</v>
      </c>
      <c r="H23" s="92" cm="1">
        <f t="array" aca="1" ref="H23" ca="1">IFERROR(INDEX(Rango_Admin_Clas_Total,H$2,MATCH($A23,Rango_Admin_Clas_Primera,0)+1),"-")</f>
        <v>20</v>
      </c>
      <c r="I23" s="92" cm="1">
        <f t="array" aca="1" ref="I23" ca="1">IFERROR(INDEX(Rango_Admin_Clas_Total,I$2,MATCH($A23,Rango_Admin_Clas_Primera,0)+1),"-")</f>
        <v>120</v>
      </c>
      <c r="J23" s="92" cm="1">
        <f t="array" aca="1" ref="J23" ca="1">IFERROR(INDEX(Rango_Admin_Clas_Total,J$2,MATCH($A23,Rango_Admin_Clas_Primera,0)+1),"-")</f>
        <v>10</v>
      </c>
      <c r="K23" s="92" cm="1">
        <f t="array" aca="1" ref="K23" ca="1">IFERROR(INDEX(Rango_Admin_Clas_Total,K$2,MATCH($A23,Rango_Admin_Clas_Primera,0)+1),"-")</f>
        <v>100</v>
      </c>
      <c r="L23" s="92" cm="1">
        <f t="array" aca="1" ref="L23" ca="1">IFERROR(INDEX(Rango_Admin_Clas_Total,L$2,MATCH($A23,Rango_Admin_Clas_Primera,0)+1),"-")</f>
        <v>20</v>
      </c>
      <c r="M23" s="92" cm="1">
        <f t="array" aca="1" ref="M23" ca="1">IFERROR(INDEX(Rango_Admin_Clas_Total,M$2,MATCH($A23,Rango_Admin_Clas_Primera,0)+1),"-")</f>
        <v>90</v>
      </c>
      <c r="N23" s="92" cm="1">
        <f t="array" aca="1" ref="N23" ca="1">IFERROR(INDEX(Rango_Admin_Clas_Total,N$2,MATCH($A23,Rango_Admin_Clas_Primera,0)+1),"-")</f>
        <v>0</v>
      </c>
      <c r="O23" s="92" cm="1">
        <f t="array" aca="1" ref="O23" ca="1">IFERROR(INDEX(Rango_Admin_Clas_Total,O$2,MATCH($A23,Rango_Admin_Clas_Primera,0)+1),"-")</f>
        <v>15</v>
      </c>
      <c r="P23" s="92" cm="1">
        <f t="array" aca="1" ref="P23" ca="1">IFERROR(INDEX(Rango_Admin_Clas_Total,P$2,MATCH($A23,Rango_Admin_Clas_Primera,0)+1),"-")</f>
        <v>0</v>
      </c>
      <c r="Q23" s="92" cm="1">
        <f t="array" aca="1" ref="Q23" ca="1">IFERROR(INDEX(Rango_Admin_Clas_Total,Q$2,MATCH($A23,Rango_Admin_Clas_Primera,0)+1),"-")</f>
        <v>0</v>
      </c>
      <c r="R23" s="92" cm="1">
        <f t="array" aca="1" ref="R23" ca="1">IFERROR(INDEX(Rango_Admin_Clas_Total,R$2,MATCH($A23,Rango_Admin_Clas_Primera,0)+1),"-")</f>
        <v>0</v>
      </c>
      <c r="S23" s="92" cm="1">
        <f t="array" aca="1" ref="S23" ca="1">IFERROR(INDEX(Rango_Admin_Clas_Total,S$2,MATCH($A23,Rango_Admin_Clas_Primera,0)+1),"-")</f>
        <v>5</v>
      </c>
      <c r="T23" s="297"/>
      <c r="U23" s="297"/>
    </row>
    <row r="24" spans="1:21">
      <c r="A24" s="19">
        <f t="shared" si="0"/>
        <v>20</v>
      </c>
      <c r="B24" s="22">
        <f ca="1">IFERROR(HLOOKUP(A24,Rango_Admin_Clas,3,FALSE),"-")</f>
        <v>20</v>
      </c>
      <c r="C24" s="18" t="str">
        <f ca="1">IFERROR(HLOOKUP(A24,Rango_Admin_Clas,5,FALSE),"-")</f>
        <v>Julian Roes</v>
      </c>
      <c r="D24" s="91">
        <f ca="1">IFERROR(HLOOKUP(A24,Rango_Admin_Clas,4,FALSE),"-")</f>
        <v>1406</v>
      </c>
      <c r="E24" s="92" cm="1">
        <f t="array" aca="1" ref="E24" ca="1">IFERROR(INDEX(Rango_Admin_Clas_Total,E$2,MATCH($A24,Rango_Admin_Clas_Primera,0)+1),"-")</f>
        <v>544</v>
      </c>
      <c r="F24" s="92" cm="1">
        <f t="array" aca="1" ref="F24" ca="1">IFERROR(INDEX(Rango_Admin_Clas_Total,F$2,MATCH($A24,Rango_Admin_Clas_Primera,0)+1),"-")</f>
        <v>347</v>
      </c>
      <c r="G24" s="92" cm="1">
        <f t="array" aca="1" ref="G24" ca="1">IFERROR(INDEX(Rango_Admin_Clas_Total,G$2,MATCH($A24,Rango_Admin_Clas_Primera,0)+1),"-")</f>
        <v>130</v>
      </c>
      <c r="H24" s="92" cm="1">
        <f t="array" aca="1" ref="H24" ca="1">IFERROR(INDEX(Rango_Admin_Clas_Total,H$2,MATCH($A24,Rango_Admin_Clas_Primera,0)+1),"-")</f>
        <v>30</v>
      </c>
      <c r="I24" s="92" cm="1">
        <f t="array" aca="1" ref="I24" ca="1">IFERROR(INDEX(Rango_Admin_Clas_Total,I$2,MATCH($A24,Rango_Admin_Clas_Primera,0)+1),"-")</f>
        <v>120</v>
      </c>
      <c r="J24" s="92" cm="1">
        <f t="array" aca="1" ref="J24" ca="1">IFERROR(INDEX(Rango_Admin_Clas_Total,J$2,MATCH($A24,Rango_Admin_Clas_Primera,0)+1),"-")</f>
        <v>20</v>
      </c>
      <c r="K24" s="92" cm="1">
        <f t="array" aca="1" ref="K24" ca="1">IFERROR(INDEX(Rango_Admin_Clas_Total,K$2,MATCH($A24,Rango_Admin_Clas_Primera,0)+1),"-")</f>
        <v>100</v>
      </c>
      <c r="L24" s="92" cm="1">
        <f t="array" aca="1" ref="L24" ca="1">IFERROR(INDEX(Rango_Admin_Clas_Total,L$2,MATCH($A24,Rango_Admin_Clas_Primera,0)+1),"-")</f>
        <v>10</v>
      </c>
      <c r="M24" s="92" cm="1">
        <f t="array" aca="1" ref="M24" ca="1">IFERROR(INDEX(Rango_Admin_Clas_Total,M$2,MATCH($A24,Rango_Admin_Clas_Primera,0)+1),"-")</f>
        <v>90</v>
      </c>
      <c r="N24" s="92" cm="1">
        <f t="array" aca="1" ref="N24" ca="1">IFERROR(INDEX(Rango_Admin_Clas_Total,N$2,MATCH($A24,Rango_Admin_Clas_Primera,0)+1),"-")</f>
        <v>0</v>
      </c>
      <c r="O24" s="92" cm="1">
        <f t="array" aca="1" ref="O24" ca="1">IFERROR(INDEX(Rango_Admin_Clas_Total,O$2,MATCH($A24,Rango_Admin_Clas_Primera,0)+1),"-")</f>
        <v>15</v>
      </c>
      <c r="P24" s="92" cm="1">
        <f t="array" aca="1" ref="P24" ca="1">IFERROR(INDEX(Rango_Admin_Clas_Total,P$2,MATCH($A24,Rango_Admin_Clas_Primera,0)+1),"-")</f>
        <v>0</v>
      </c>
      <c r="Q24" s="92" cm="1">
        <f t="array" aca="1" ref="Q24" ca="1">IFERROR(INDEX(Rango_Admin_Clas_Total,Q$2,MATCH($A24,Rango_Admin_Clas_Primera,0)+1),"-")</f>
        <v>0</v>
      </c>
      <c r="R24" s="92" cm="1">
        <f t="array" aca="1" ref="R24" ca="1">IFERROR(INDEX(Rango_Admin_Clas_Total,R$2,MATCH($A24,Rango_Admin_Clas_Primera,0)+1),"-")</f>
        <v>0</v>
      </c>
      <c r="S24" s="92" cm="1">
        <f t="array" aca="1" ref="S24" ca="1">IFERROR(INDEX(Rango_Admin_Clas_Total,S$2,MATCH($A24,Rango_Admin_Clas_Primera,0)+1),"-")</f>
        <v>0</v>
      </c>
      <c r="T24" s="297"/>
      <c r="U24" s="297"/>
    </row>
    <row r="25" spans="1:21">
      <c r="A25" s="19">
        <f t="shared" si="0"/>
        <v>21</v>
      </c>
      <c r="B25" s="22">
        <f ca="1">IFERROR(HLOOKUP(A25,Rango_Admin_Clas,3,FALSE),"-")</f>
        <v>20</v>
      </c>
      <c r="C25" s="18" t="str">
        <f ca="1">IFERROR(HLOOKUP(A25,Rango_Admin_Clas,5,FALSE),"-")</f>
        <v>Niek Slots</v>
      </c>
      <c r="D25" s="91">
        <f ca="1">IFERROR(HLOOKUP(A25,Rango_Admin_Clas,4,FALSE),"-")</f>
        <v>1406</v>
      </c>
      <c r="E25" s="92" cm="1">
        <f t="array" aca="1" ref="E25" ca="1">IFERROR(INDEX(Rango_Admin_Clas_Total,E$2,MATCH($A25,Rango_Admin_Clas_Primera,0)+1),"-")</f>
        <v>582</v>
      </c>
      <c r="F25" s="92" cm="1">
        <f t="array" aca="1" ref="F25" ca="1">IFERROR(INDEX(Rango_Admin_Clas_Total,F$2,MATCH($A25,Rango_Admin_Clas_Primera,0)+1),"-")</f>
        <v>357</v>
      </c>
      <c r="G25" s="92" cm="1">
        <f t="array" aca="1" ref="G25" ca="1">IFERROR(INDEX(Rango_Admin_Clas_Total,G$2,MATCH($A25,Rango_Admin_Clas_Primera,0)+1),"-")</f>
        <v>135</v>
      </c>
      <c r="H25" s="92" cm="1">
        <f t="array" aca="1" ref="H25" ca="1">IFERROR(INDEX(Rango_Admin_Clas_Total,H$2,MATCH($A25,Rango_Admin_Clas_Primera,0)+1),"-")</f>
        <v>70</v>
      </c>
      <c r="I25" s="92" cm="1">
        <f t="array" aca="1" ref="I25" ca="1">IFERROR(INDEX(Rango_Admin_Clas_Total,I$2,MATCH($A25,Rango_Admin_Clas_Primera,0)+1),"-")</f>
        <v>110</v>
      </c>
      <c r="J25" s="92" cm="1">
        <f t="array" aca="1" ref="J25" ca="1">IFERROR(INDEX(Rango_Admin_Clas_Total,J$2,MATCH($A25,Rango_Admin_Clas_Primera,0)+1),"-")</f>
        <v>12</v>
      </c>
      <c r="K25" s="92" cm="1">
        <f t="array" aca="1" ref="K25" ca="1">IFERROR(INDEX(Rango_Admin_Clas_Total,K$2,MATCH($A25,Rango_Admin_Clas_Primera,0)+1),"-")</f>
        <v>80</v>
      </c>
      <c r="L25" s="92" cm="1">
        <f t="array" aca="1" ref="L25" ca="1">IFERROR(INDEX(Rango_Admin_Clas_Total,L$2,MATCH($A25,Rango_Admin_Clas_Primera,0)+1),"-")</f>
        <v>0</v>
      </c>
      <c r="M25" s="92" cm="1">
        <f t="array" aca="1" ref="M25" ca="1">IFERROR(INDEX(Rango_Admin_Clas_Total,M$2,MATCH($A25,Rango_Admin_Clas_Primera,0)+1),"-")</f>
        <v>60</v>
      </c>
      <c r="N25" s="92" cm="1">
        <f t="array" aca="1" ref="N25" ca="1">IFERROR(INDEX(Rango_Admin_Clas_Total,N$2,MATCH($A25,Rango_Admin_Clas_Primera,0)+1),"-")</f>
        <v>0</v>
      </c>
      <c r="O25" s="92" cm="1">
        <f t="array" aca="1" ref="O25" ca="1">IFERROR(INDEX(Rango_Admin_Clas_Total,O$2,MATCH($A25,Rango_Admin_Clas_Primera,0)+1),"-")</f>
        <v>0</v>
      </c>
      <c r="P25" s="92" cm="1">
        <f t="array" aca="1" ref="P25" ca="1">IFERROR(INDEX(Rango_Admin_Clas_Total,P$2,MATCH($A25,Rango_Admin_Clas_Primera,0)+1),"-")</f>
        <v>0</v>
      </c>
      <c r="Q25" s="92" cm="1">
        <f t="array" aca="1" ref="Q25" ca="1">IFERROR(INDEX(Rango_Admin_Clas_Total,Q$2,MATCH($A25,Rango_Admin_Clas_Primera,0)+1),"-")</f>
        <v>0</v>
      </c>
      <c r="R25" s="92" cm="1">
        <f t="array" aca="1" ref="R25" ca="1">IFERROR(INDEX(Rango_Admin_Clas_Total,R$2,MATCH($A25,Rango_Admin_Clas_Primera,0)+1),"-")</f>
        <v>0</v>
      </c>
      <c r="S25" s="92" cm="1">
        <f t="array" aca="1" ref="S25" ca="1">IFERROR(INDEX(Rango_Admin_Clas_Total,S$2,MATCH($A25,Rango_Admin_Clas_Primera,0)+1),"-")</f>
        <v>0</v>
      </c>
      <c r="T25" s="297"/>
      <c r="U25" s="297"/>
    </row>
    <row r="26" spans="1:21">
      <c r="A26" s="19">
        <f t="shared" si="0"/>
        <v>22</v>
      </c>
      <c r="B26" s="22">
        <f ca="1">IFERROR(HLOOKUP(A26,Rango_Admin_Clas,3,FALSE),"-")</f>
        <v>22</v>
      </c>
      <c r="C26" s="18" t="str">
        <f ca="1">IFERROR(HLOOKUP(A26,Rango_Admin_Clas,5,FALSE),"-")</f>
        <v>Hobie Duijn</v>
      </c>
      <c r="D26" s="91">
        <f ca="1">IFERROR(HLOOKUP(A26,Rango_Admin_Clas,4,FALSE),"-")</f>
        <v>1386</v>
      </c>
      <c r="E26" s="92" cm="1">
        <f t="array" aca="1" ref="E26" ca="1">IFERROR(INDEX(Rango_Admin_Clas_Total,E$2,MATCH($A26,Rango_Admin_Clas_Primera,0)+1),"-")</f>
        <v>480</v>
      </c>
      <c r="F26" s="92" cm="1">
        <f t="array" aca="1" ref="F26" ca="1">IFERROR(INDEX(Rango_Admin_Clas_Total,F$2,MATCH($A26,Rango_Admin_Clas_Primera,0)+1),"-")</f>
        <v>354</v>
      </c>
      <c r="G26" s="92" cm="1">
        <f t="array" aca="1" ref="G26" ca="1">IFERROR(INDEX(Rango_Admin_Clas_Total,G$2,MATCH($A26,Rango_Admin_Clas_Primera,0)+1),"-")</f>
        <v>130</v>
      </c>
      <c r="H26" s="92" cm="1">
        <f t="array" aca="1" ref="H26" ca="1">IFERROR(INDEX(Rango_Admin_Clas_Total,H$2,MATCH($A26,Rango_Admin_Clas_Primera,0)+1),"-")</f>
        <v>40</v>
      </c>
      <c r="I26" s="92" cm="1">
        <f t="array" aca="1" ref="I26" ca="1">IFERROR(INDEX(Rango_Admin_Clas_Total,I$2,MATCH($A26,Rango_Admin_Clas_Primera,0)+1),"-")</f>
        <v>110</v>
      </c>
      <c r="J26" s="92" cm="1">
        <f t="array" aca="1" ref="J26" ca="1">IFERROR(INDEX(Rango_Admin_Clas_Total,J$2,MATCH($A26,Rango_Admin_Clas_Primera,0)+1),"-")</f>
        <v>22</v>
      </c>
      <c r="K26" s="92" cm="1">
        <f t="array" aca="1" ref="K26" ca="1">IFERROR(INDEX(Rango_Admin_Clas_Total,K$2,MATCH($A26,Rango_Admin_Clas_Primera,0)+1),"-")</f>
        <v>100</v>
      </c>
      <c r="L26" s="92" cm="1">
        <f t="array" aca="1" ref="L26" ca="1">IFERROR(INDEX(Rango_Admin_Clas_Total,L$2,MATCH($A26,Rango_Admin_Clas_Primera,0)+1),"-")</f>
        <v>10</v>
      </c>
      <c r="M26" s="92" cm="1">
        <f t="array" aca="1" ref="M26" ca="1">IFERROR(INDEX(Rango_Admin_Clas_Total,M$2,MATCH($A26,Rango_Admin_Clas_Primera,0)+1),"-")</f>
        <v>60</v>
      </c>
      <c r="N26" s="92" cm="1">
        <f t="array" aca="1" ref="N26" ca="1">IFERROR(INDEX(Rango_Admin_Clas_Total,N$2,MATCH($A26,Rango_Admin_Clas_Primera,0)+1),"-")</f>
        <v>0</v>
      </c>
      <c r="O26" s="92" cm="1">
        <f t="array" aca="1" ref="O26" ca="1">IFERROR(INDEX(Rango_Admin_Clas_Total,O$2,MATCH($A26,Rango_Admin_Clas_Primera,0)+1),"-")</f>
        <v>15</v>
      </c>
      <c r="P26" s="92" cm="1">
        <f t="array" aca="1" ref="P26" ca="1">IFERROR(INDEX(Rango_Admin_Clas_Total,P$2,MATCH($A26,Rango_Admin_Clas_Primera,0)+1),"-")</f>
        <v>45</v>
      </c>
      <c r="Q26" s="92" cm="1">
        <f t="array" aca="1" ref="Q26" ca="1">IFERROR(INDEX(Rango_Admin_Clas_Total,Q$2,MATCH($A26,Rango_Admin_Clas_Primera,0)+1),"-")</f>
        <v>0</v>
      </c>
      <c r="R26" s="92" cm="1">
        <f t="array" aca="1" ref="R26" ca="1">IFERROR(INDEX(Rango_Admin_Clas_Total,R$2,MATCH($A26,Rango_Admin_Clas_Primera,0)+1),"-")</f>
        <v>0</v>
      </c>
      <c r="S26" s="92" cm="1">
        <f t="array" aca="1" ref="S26" ca="1">IFERROR(INDEX(Rango_Admin_Clas_Total,S$2,MATCH($A26,Rango_Admin_Clas_Primera,0)+1),"-")</f>
        <v>20</v>
      </c>
      <c r="T26" s="297"/>
      <c r="U26" s="297"/>
    </row>
    <row r="27" spans="1:21">
      <c r="A27" s="19">
        <f t="shared" si="0"/>
        <v>23</v>
      </c>
      <c r="B27" s="22">
        <f ca="1">IFERROR(HLOOKUP(A27,Rango_Admin_Clas,3,FALSE),"-")</f>
        <v>23</v>
      </c>
      <c r="C27" s="18" t="str">
        <f ca="1">IFERROR(HLOOKUP(A27,Rango_Admin_Clas,5,FALSE),"-")</f>
        <v>Marco Aaltink</v>
      </c>
      <c r="D27" s="91">
        <f ca="1">IFERROR(HLOOKUP(A27,Rango_Admin_Clas,4,FALSE),"-")</f>
        <v>1383</v>
      </c>
      <c r="E27" s="92" cm="1">
        <f t="array" aca="1" ref="E27" ca="1">IFERROR(INDEX(Rango_Admin_Clas_Total,E$2,MATCH($A27,Rango_Admin_Clas_Primera,0)+1),"-")</f>
        <v>596</v>
      </c>
      <c r="F27" s="92" cm="1">
        <f t="array" aca="1" ref="F27" ca="1">IFERROR(INDEX(Rango_Admin_Clas_Total,F$2,MATCH($A27,Rango_Admin_Clas_Primera,0)+1),"-")</f>
        <v>332</v>
      </c>
      <c r="G27" s="92" cm="1">
        <f t="array" aca="1" ref="G27" ca="1">IFERROR(INDEX(Rango_Admin_Clas_Total,G$2,MATCH($A27,Rango_Admin_Clas_Primera,0)+1),"-")</f>
        <v>135</v>
      </c>
      <c r="H27" s="92" cm="1">
        <f t="array" aca="1" ref="H27" ca="1">IFERROR(INDEX(Rango_Admin_Clas_Total,H$2,MATCH($A27,Rango_Admin_Clas_Primera,0)+1),"-")</f>
        <v>20</v>
      </c>
      <c r="I27" s="92" cm="1">
        <f t="array" aca="1" ref="I27" ca="1">IFERROR(INDEX(Rango_Admin_Clas_Total,I$2,MATCH($A27,Rango_Admin_Clas_Primera,0)+1),"-")</f>
        <v>110</v>
      </c>
      <c r="J27" s="92" cm="1">
        <f t="array" aca="1" ref="J27" ca="1">IFERROR(INDEX(Rango_Admin_Clas_Total,J$2,MATCH($A27,Rango_Admin_Clas_Primera,0)+1),"-")</f>
        <v>10</v>
      </c>
      <c r="K27" s="92" cm="1">
        <f t="array" aca="1" ref="K27" ca="1">IFERROR(INDEX(Rango_Admin_Clas_Total,K$2,MATCH($A27,Rango_Admin_Clas_Primera,0)+1),"-")</f>
        <v>100</v>
      </c>
      <c r="L27" s="92" cm="1">
        <f t="array" aca="1" ref="L27" ca="1">IFERROR(INDEX(Rango_Admin_Clas_Total,L$2,MATCH($A27,Rango_Admin_Clas_Primera,0)+1),"-")</f>
        <v>20</v>
      </c>
      <c r="M27" s="92" cm="1">
        <f t="array" aca="1" ref="M27" ca="1">IFERROR(INDEX(Rango_Admin_Clas_Total,M$2,MATCH($A27,Rango_Admin_Clas_Primera,0)+1),"-")</f>
        <v>60</v>
      </c>
      <c r="N27" s="92" cm="1">
        <f t="array" aca="1" ref="N27" ca="1">IFERROR(INDEX(Rango_Admin_Clas_Total,N$2,MATCH($A27,Rango_Admin_Clas_Primera,0)+1),"-")</f>
        <v>0</v>
      </c>
      <c r="O27" s="92" cm="1">
        <f t="array" aca="1" ref="O27" ca="1">IFERROR(INDEX(Rango_Admin_Clas_Total,O$2,MATCH($A27,Rango_Admin_Clas_Primera,0)+1),"-")</f>
        <v>0</v>
      </c>
      <c r="P27" s="92" cm="1">
        <f t="array" aca="1" ref="P27" ca="1">IFERROR(INDEX(Rango_Admin_Clas_Total,P$2,MATCH($A27,Rango_Admin_Clas_Primera,0)+1),"-")</f>
        <v>0</v>
      </c>
      <c r="Q27" s="92" cm="1">
        <f t="array" aca="1" ref="Q27" ca="1">IFERROR(INDEX(Rango_Admin_Clas_Total,Q$2,MATCH($A27,Rango_Admin_Clas_Primera,0)+1),"-")</f>
        <v>0</v>
      </c>
      <c r="R27" s="92" cm="1">
        <f t="array" aca="1" ref="R27" ca="1">IFERROR(INDEX(Rango_Admin_Clas_Total,R$2,MATCH($A27,Rango_Admin_Clas_Primera,0)+1),"-")</f>
        <v>0</v>
      </c>
      <c r="S27" s="92" cm="1">
        <f t="array" aca="1" ref="S27" ca="1">IFERROR(INDEX(Rango_Admin_Clas_Total,S$2,MATCH($A27,Rango_Admin_Clas_Primera,0)+1),"-")</f>
        <v>0</v>
      </c>
      <c r="T27" s="297"/>
      <c r="U27" s="297"/>
    </row>
    <row r="28" spans="1:21">
      <c r="A28" s="19">
        <f t="shared" si="0"/>
        <v>24</v>
      </c>
      <c r="B28" s="22">
        <f ca="1">IFERROR(HLOOKUP(A28,Rango_Admin_Clas,3,FALSE),"-")</f>
        <v>24</v>
      </c>
      <c r="C28" s="18" t="str">
        <f ca="1">IFERROR(HLOOKUP(A28,Rango_Admin_Clas,5,FALSE),"-")</f>
        <v>Luca Paloschi</v>
      </c>
      <c r="D28" s="91">
        <f ca="1">IFERROR(HLOOKUP(A28,Rango_Admin_Clas,4,FALSE),"-")</f>
        <v>1372</v>
      </c>
      <c r="E28" s="92" cm="1">
        <f t="array" aca="1" ref="E28" ca="1">IFERROR(INDEX(Rango_Admin_Clas_Total,E$2,MATCH($A28,Rango_Admin_Clas_Primera,0)+1),"-")</f>
        <v>456</v>
      </c>
      <c r="F28" s="92" cm="1">
        <f t="array" aca="1" ref="F28" ca="1">IFERROR(INDEX(Rango_Admin_Clas_Total,F$2,MATCH($A28,Rango_Admin_Clas_Primera,0)+1),"-")</f>
        <v>359</v>
      </c>
      <c r="G28" s="92" cm="1">
        <f t="array" aca="1" ref="G28" ca="1">IFERROR(INDEX(Rango_Admin_Clas_Total,G$2,MATCH($A28,Rango_Admin_Clas_Primera,0)+1),"-")</f>
        <v>135</v>
      </c>
      <c r="H28" s="92" cm="1">
        <f t="array" aca="1" ref="H28" ca="1">IFERROR(INDEX(Rango_Admin_Clas_Total,H$2,MATCH($A28,Rango_Admin_Clas_Primera,0)+1),"-")</f>
        <v>32</v>
      </c>
      <c r="I28" s="92" cm="1">
        <f t="array" aca="1" ref="I28" ca="1">IFERROR(INDEX(Rango_Admin_Clas_Total,I$2,MATCH($A28,Rango_Admin_Clas_Primera,0)+1),"-")</f>
        <v>80</v>
      </c>
      <c r="J28" s="92" cm="1">
        <f t="array" aca="1" ref="J28" ca="1">IFERROR(INDEX(Rango_Admin_Clas_Total,J$2,MATCH($A28,Rango_Admin_Clas_Primera,0)+1),"-")</f>
        <v>10</v>
      </c>
      <c r="K28" s="92" cm="1">
        <f t="array" aca="1" ref="K28" ca="1">IFERROR(INDEX(Rango_Admin_Clas_Total,K$2,MATCH($A28,Rango_Admin_Clas_Primera,0)+1),"-")</f>
        <v>80</v>
      </c>
      <c r="L28" s="92" cm="1">
        <f t="array" aca="1" ref="L28" ca="1">IFERROR(INDEX(Rango_Admin_Clas_Total,L$2,MATCH($A28,Rango_Admin_Clas_Primera,0)+1),"-")</f>
        <v>10</v>
      </c>
      <c r="M28" s="92" cm="1">
        <f t="array" aca="1" ref="M28" ca="1">IFERROR(INDEX(Rango_Admin_Clas_Total,M$2,MATCH($A28,Rango_Admin_Clas_Primera,0)+1),"-")</f>
        <v>90</v>
      </c>
      <c r="N28" s="92" cm="1">
        <f t="array" aca="1" ref="N28" ca="1">IFERROR(INDEX(Rango_Admin_Clas_Total,N$2,MATCH($A28,Rango_Admin_Clas_Primera,0)+1),"-")</f>
        <v>10</v>
      </c>
      <c r="O28" s="92" cm="1">
        <f t="array" aca="1" ref="O28" ca="1">IFERROR(INDEX(Rango_Admin_Clas_Total,O$2,MATCH($A28,Rango_Admin_Clas_Primera,0)+1),"-")</f>
        <v>15</v>
      </c>
      <c r="P28" s="92" cm="1">
        <f t="array" aca="1" ref="P28" ca="1">IFERROR(INDEX(Rango_Admin_Clas_Total,P$2,MATCH($A28,Rango_Admin_Clas_Primera,0)+1),"-")</f>
        <v>45</v>
      </c>
      <c r="Q28" s="92" cm="1">
        <f t="array" aca="1" ref="Q28" ca="1">IFERROR(INDEX(Rango_Admin_Clas_Total,Q$2,MATCH($A28,Rango_Admin_Clas_Primera,0)+1),"-")</f>
        <v>0</v>
      </c>
      <c r="R28" s="92" cm="1">
        <f t="array" aca="1" ref="R28" ca="1">IFERROR(INDEX(Rango_Admin_Clas_Total,R$2,MATCH($A28,Rango_Admin_Clas_Primera,0)+1),"-")</f>
        <v>0</v>
      </c>
      <c r="S28" s="92" cm="1">
        <f t="array" aca="1" ref="S28" ca="1">IFERROR(INDEX(Rango_Admin_Clas_Total,S$2,MATCH($A28,Rango_Admin_Clas_Primera,0)+1),"-")</f>
        <v>50</v>
      </c>
      <c r="T28" s="297"/>
      <c r="U28" s="297"/>
    </row>
    <row r="29" spans="1:21">
      <c r="A29" s="19">
        <f t="shared" si="0"/>
        <v>25</v>
      </c>
      <c r="B29" s="22">
        <f ca="1">IFERROR(HLOOKUP(A29,Rango_Admin_Clas,3,FALSE),"-")</f>
        <v>25</v>
      </c>
      <c r="C29" s="18" t="str">
        <f ca="1">IFERROR(HLOOKUP(A29,Rango_Admin_Clas,5,FALSE),"-")</f>
        <v>Jose van Wijk</v>
      </c>
      <c r="D29" s="91">
        <f ca="1">IFERROR(HLOOKUP(A29,Rango_Admin_Clas,4,FALSE),"-")</f>
        <v>1363</v>
      </c>
      <c r="E29" s="92" cm="1">
        <f t="array" aca="1" ref="E29" ca="1">IFERROR(INDEX(Rango_Admin_Clas_Total,E$2,MATCH($A29,Rango_Admin_Clas_Primera,0)+1),"-")</f>
        <v>544</v>
      </c>
      <c r="F29" s="92" cm="1">
        <f t="array" aca="1" ref="F29" ca="1">IFERROR(INDEX(Rango_Admin_Clas_Total,F$2,MATCH($A29,Rango_Admin_Clas_Primera,0)+1),"-")</f>
        <v>327</v>
      </c>
      <c r="G29" s="92" cm="1">
        <f t="array" aca="1" ref="G29" ca="1">IFERROR(INDEX(Rango_Admin_Clas_Total,G$2,MATCH($A29,Rango_Admin_Clas_Primera,0)+1),"-")</f>
        <v>130</v>
      </c>
      <c r="H29" s="92" cm="1">
        <f t="array" aca="1" ref="H29" ca="1">IFERROR(INDEX(Rango_Admin_Clas_Total,H$2,MATCH($A29,Rango_Admin_Clas_Primera,0)+1),"-")</f>
        <v>30</v>
      </c>
      <c r="I29" s="92" cm="1">
        <f t="array" aca="1" ref="I29" ca="1">IFERROR(INDEX(Rango_Admin_Clas_Total,I$2,MATCH($A29,Rango_Admin_Clas_Primera,0)+1),"-")</f>
        <v>90</v>
      </c>
      <c r="J29" s="92" cm="1">
        <f t="array" aca="1" ref="J29" ca="1">IFERROR(INDEX(Rango_Admin_Clas_Total,J$2,MATCH($A29,Rango_Admin_Clas_Primera,0)+1),"-")</f>
        <v>12</v>
      </c>
      <c r="K29" s="92" cm="1">
        <f t="array" aca="1" ref="K29" ca="1">IFERROR(INDEX(Rango_Admin_Clas_Total,K$2,MATCH($A29,Rango_Admin_Clas_Primera,0)+1),"-")</f>
        <v>100</v>
      </c>
      <c r="L29" s="92" cm="1">
        <f t="array" aca="1" ref="L29" ca="1">IFERROR(INDEX(Rango_Admin_Clas_Total,L$2,MATCH($A29,Rango_Admin_Clas_Primera,0)+1),"-")</f>
        <v>20</v>
      </c>
      <c r="M29" s="92" cm="1">
        <f t="array" aca="1" ref="M29" ca="1">IFERROR(INDEX(Rango_Admin_Clas_Total,M$2,MATCH($A29,Rango_Admin_Clas_Primera,0)+1),"-")</f>
        <v>90</v>
      </c>
      <c r="N29" s="92" cm="1">
        <f t="array" aca="1" ref="N29" ca="1">IFERROR(INDEX(Rango_Admin_Clas_Total,N$2,MATCH($A29,Rango_Admin_Clas_Primera,0)+1),"-")</f>
        <v>0</v>
      </c>
      <c r="O29" s="92" cm="1">
        <f t="array" aca="1" ref="O29" ca="1">IFERROR(INDEX(Rango_Admin_Clas_Total,O$2,MATCH($A29,Rango_Admin_Clas_Primera,0)+1),"-")</f>
        <v>0</v>
      </c>
      <c r="P29" s="92" cm="1">
        <f t="array" aca="1" ref="P29" ca="1">IFERROR(INDEX(Rango_Admin_Clas_Total,P$2,MATCH($A29,Rango_Admin_Clas_Primera,0)+1),"-")</f>
        <v>0</v>
      </c>
      <c r="Q29" s="92" cm="1">
        <f t="array" aca="1" ref="Q29" ca="1">IFERROR(INDEX(Rango_Admin_Clas_Total,Q$2,MATCH($A29,Rango_Admin_Clas_Primera,0)+1),"-")</f>
        <v>0</v>
      </c>
      <c r="R29" s="92" cm="1">
        <f t="array" aca="1" ref="R29" ca="1">IFERROR(INDEX(Rango_Admin_Clas_Total,R$2,MATCH($A29,Rango_Admin_Clas_Primera,0)+1),"-")</f>
        <v>0</v>
      </c>
      <c r="S29" s="92" cm="1">
        <f t="array" aca="1" ref="S29" ca="1">IFERROR(INDEX(Rango_Admin_Clas_Total,S$2,MATCH($A29,Rango_Admin_Clas_Primera,0)+1),"-")</f>
        <v>20</v>
      </c>
      <c r="T29" s="297"/>
      <c r="U29" s="297"/>
    </row>
    <row r="30" spans="1:21">
      <c r="A30" s="19">
        <f t="shared" si="0"/>
        <v>26</v>
      </c>
      <c r="B30" s="22">
        <f ca="1">IFERROR(HLOOKUP(A30,Rango_Admin_Clas,3,FALSE),"-")</f>
        <v>26</v>
      </c>
      <c r="C30" s="18" t="str">
        <f ca="1">IFERROR(HLOOKUP(A30,Rango_Admin_Clas,5,FALSE),"-")</f>
        <v>Niek Oonk</v>
      </c>
      <c r="D30" s="91">
        <f ca="1">IFERROR(HLOOKUP(A30,Rango_Admin_Clas,4,FALSE),"-")</f>
        <v>1356</v>
      </c>
      <c r="E30" s="92" cm="1">
        <f t="array" aca="1" ref="E30" ca="1">IFERROR(INDEX(Rango_Admin_Clas_Total,E$2,MATCH($A30,Rango_Admin_Clas_Primera,0)+1),"-")</f>
        <v>492</v>
      </c>
      <c r="F30" s="92" cm="1">
        <f t="array" aca="1" ref="F30" ca="1">IFERROR(INDEX(Rango_Admin_Clas_Total,F$2,MATCH($A30,Rango_Admin_Clas_Primera,0)+1),"-")</f>
        <v>274</v>
      </c>
      <c r="G30" s="92" cm="1">
        <f t="array" aca="1" ref="G30" ca="1">IFERROR(INDEX(Rango_Admin_Clas_Total,G$2,MATCH($A30,Rango_Admin_Clas_Primera,0)+1),"-")</f>
        <v>125</v>
      </c>
      <c r="H30" s="92" cm="1">
        <f t="array" aca="1" ref="H30" ca="1">IFERROR(INDEX(Rango_Admin_Clas_Total,H$2,MATCH($A30,Rango_Admin_Clas_Primera,0)+1),"-")</f>
        <v>40</v>
      </c>
      <c r="I30" s="92" cm="1">
        <f t="array" aca="1" ref="I30" ca="1">IFERROR(INDEX(Rango_Admin_Clas_Total,I$2,MATCH($A30,Rango_Admin_Clas_Primera,0)+1),"-")</f>
        <v>110</v>
      </c>
      <c r="J30" s="92" cm="1">
        <f t="array" aca="1" ref="J30" ca="1">IFERROR(INDEX(Rango_Admin_Clas_Total,J$2,MATCH($A30,Rango_Admin_Clas_Primera,0)+1),"-")</f>
        <v>10</v>
      </c>
      <c r="K30" s="92" cm="1">
        <f t="array" aca="1" ref="K30" ca="1">IFERROR(INDEX(Rango_Admin_Clas_Total,K$2,MATCH($A30,Rango_Admin_Clas_Primera,0)+1),"-")</f>
        <v>80</v>
      </c>
      <c r="L30" s="92" cm="1">
        <f t="array" aca="1" ref="L30" ca="1">IFERROR(INDEX(Rango_Admin_Clas_Total,L$2,MATCH($A30,Rango_Admin_Clas_Primera,0)+1),"-")</f>
        <v>0</v>
      </c>
      <c r="M30" s="92" cm="1">
        <f t="array" aca="1" ref="M30" ca="1">IFERROR(INDEX(Rango_Admin_Clas_Total,M$2,MATCH($A30,Rango_Admin_Clas_Primera,0)+1),"-")</f>
        <v>90</v>
      </c>
      <c r="N30" s="92" cm="1">
        <f t="array" aca="1" ref="N30" ca="1">IFERROR(INDEX(Rango_Admin_Clas_Total,N$2,MATCH($A30,Rango_Admin_Clas_Primera,0)+1),"-")</f>
        <v>10</v>
      </c>
      <c r="O30" s="92" cm="1">
        <f t="array" aca="1" ref="O30" ca="1">IFERROR(INDEX(Rango_Admin_Clas_Total,O$2,MATCH($A30,Rango_Admin_Clas_Primera,0)+1),"-")</f>
        <v>30</v>
      </c>
      <c r="P30" s="92" cm="1">
        <f t="array" aca="1" ref="P30" ca="1">IFERROR(INDEX(Rango_Admin_Clas_Total,P$2,MATCH($A30,Rango_Admin_Clas_Primera,0)+1),"-")</f>
        <v>45</v>
      </c>
      <c r="Q30" s="92" cm="1">
        <f t="array" aca="1" ref="Q30" ca="1">IFERROR(INDEX(Rango_Admin_Clas_Total,Q$2,MATCH($A30,Rango_Admin_Clas_Primera,0)+1),"-")</f>
        <v>0</v>
      </c>
      <c r="R30" s="92" cm="1">
        <f t="array" aca="1" ref="R30" ca="1">IFERROR(INDEX(Rango_Admin_Clas_Total,R$2,MATCH($A30,Rango_Admin_Clas_Primera,0)+1),"-")</f>
        <v>0</v>
      </c>
      <c r="S30" s="92" cm="1">
        <f t="array" aca="1" ref="S30" ca="1">IFERROR(INDEX(Rango_Admin_Clas_Total,S$2,MATCH($A30,Rango_Admin_Clas_Primera,0)+1),"-")</f>
        <v>50</v>
      </c>
      <c r="T30" s="297"/>
      <c r="U30" s="297"/>
    </row>
    <row r="31" spans="1:21">
      <c r="A31" s="19">
        <f t="shared" si="0"/>
        <v>27</v>
      </c>
      <c r="B31" s="22">
        <f ca="1">IFERROR(HLOOKUP(A31,Rango_Admin_Clas,3,FALSE),"-")</f>
        <v>27</v>
      </c>
      <c r="C31" s="18" t="str">
        <f ca="1">IFERROR(HLOOKUP(A31,Rango_Admin_Clas,5,FALSE),"-")</f>
        <v>sebastiaan jansen</v>
      </c>
      <c r="D31" s="91">
        <f ca="1">IFERROR(HLOOKUP(A31,Rango_Admin_Clas,4,FALSE),"-")</f>
        <v>1332</v>
      </c>
      <c r="E31" s="92" cm="1">
        <f t="array" aca="1" ref="E31" ca="1">IFERROR(INDEX(Rango_Admin_Clas_Total,E$2,MATCH($A31,Rango_Admin_Clas_Primera,0)+1),"-")</f>
        <v>514</v>
      </c>
      <c r="F31" s="92" cm="1">
        <f t="array" aca="1" ref="F31" ca="1">IFERROR(INDEX(Rango_Admin_Clas_Total,F$2,MATCH($A31,Rango_Admin_Clas_Primera,0)+1),"-")</f>
        <v>272</v>
      </c>
      <c r="G31" s="92" cm="1">
        <f t="array" aca="1" ref="G31" ca="1">IFERROR(INDEX(Rango_Admin_Clas_Total,G$2,MATCH($A31,Rango_Admin_Clas_Primera,0)+1),"-")</f>
        <v>140</v>
      </c>
      <c r="H31" s="92" cm="1">
        <f t="array" aca="1" ref="H31" ca="1">IFERROR(INDEX(Rango_Admin_Clas_Total,H$2,MATCH($A31,Rango_Admin_Clas_Primera,0)+1),"-")</f>
        <v>50</v>
      </c>
      <c r="I31" s="92" cm="1">
        <f t="array" aca="1" ref="I31" ca="1">IFERROR(INDEX(Rango_Admin_Clas_Total,I$2,MATCH($A31,Rango_Admin_Clas_Primera,0)+1),"-")</f>
        <v>110</v>
      </c>
      <c r="J31" s="92" cm="1">
        <f t="array" aca="1" ref="J31" ca="1">IFERROR(INDEX(Rango_Admin_Clas_Total,J$2,MATCH($A31,Rango_Admin_Clas_Primera,0)+1),"-")</f>
        <v>12</v>
      </c>
      <c r="K31" s="92" cm="1">
        <f t="array" aca="1" ref="K31" ca="1">IFERROR(INDEX(Rango_Admin_Clas_Total,K$2,MATCH($A31,Rango_Admin_Clas_Primera,0)+1),"-")</f>
        <v>100</v>
      </c>
      <c r="L31" s="92" cm="1">
        <f t="array" aca="1" ref="L31" ca="1">IFERROR(INDEX(Rango_Admin_Clas_Total,L$2,MATCH($A31,Rango_Admin_Clas_Primera,0)+1),"-")</f>
        <v>20</v>
      </c>
      <c r="M31" s="92" cm="1">
        <f t="array" aca="1" ref="M31" ca="1">IFERROR(INDEX(Rango_Admin_Clas_Total,M$2,MATCH($A31,Rango_Admin_Clas_Primera,0)+1),"-")</f>
        <v>90</v>
      </c>
      <c r="N31" s="92" cm="1">
        <f t="array" aca="1" ref="N31" ca="1">IFERROR(INDEX(Rango_Admin_Clas_Total,N$2,MATCH($A31,Rango_Admin_Clas_Primera,0)+1),"-")</f>
        <v>0</v>
      </c>
      <c r="O31" s="92" cm="1">
        <f t="array" aca="1" ref="O31" ca="1">IFERROR(INDEX(Rango_Admin_Clas_Total,O$2,MATCH($A31,Rango_Admin_Clas_Primera,0)+1),"-")</f>
        <v>0</v>
      </c>
      <c r="P31" s="92" cm="1">
        <f t="array" aca="1" ref="P31" ca="1">IFERROR(INDEX(Rango_Admin_Clas_Total,P$2,MATCH($A31,Rango_Admin_Clas_Primera,0)+1),"-")</f>
        <v>0</v>
      </c>
      <c r="Q31" s="92" cm="1">
        <f t="array" aca="1" ref="Q31" ca="1">IFERROR(INDEX(Rango_Admin_Clas_Total,Q$2,MATCH($A31,Rango_Admin_Clas_Primera,0)+1),"-")</f>
        <v>0</v>
      </c>
      <c r="R31" s="92" cm="1">
        <f t="array" aca="1" ref="R31" ca="1">IFERROR(INDEX(Rango_Admin_Clas_Total,R$2,MATCH($A31,Rango_Admin_Clas_Primera,0)+1),"-")</f>
        <v>0</v>
      </c>
      <c r="S31" s="92" cm="1">
        <f t="array" aca="1" ref="S31" ca="1">IFERROR(INDEX(Rango_Admin_Clas_Total,S$2,MATCH($A31,Rango_Admin_Clas_Primera,0)+1),"-")</f>
        <v>24</v>
      </c>
      <c r="T31" s="297"/>
      <c r="U31" s="297"/>
    </row>
    <row r="32" spans="1:21">
      <c r="A32" s="19">
        <f t="shared" si="0"/>
        <v>28</v>
      </c>
      <c r="B32" s="22">
        <f ca="1">IFERROR(HLOOKUP(A32,Rango_Admin_Clas,3,FALSE),"-")</f>
        <v>28</v>
      </c>
      <c r="C32" s="18" t="str">
        <f ca="1">IFERROR(HLOOKUP(A32,Rango_Admin_Clas,5,FALSE),"-")</f>
        <v>Henriko Bakkenes</v>
      </c>
      <c r="D32" s="91">
        <f ca="1">IFERROR(HLOOKUP(A32,Rango_Admin_Clas,4,FALSE),"-")</f>
        <v>1329</v>
      </c>
      <c r="E32" s="92" cm="1">
        <f t="array" aca="1" ref="E32" ca="1">IFERROR(INDEX(Rango_Admin_Clas_Total,E$2,MATCH($A32,Rango_Admin_Clas_Primera,0)+1),"-")</f>
        <v>442</v>
      </c>
      <c r="F32" s="92" cm="1">
        <f t="array" aca="1" ref="F32" ca="1">IFERROR(INDEX(Rango_Admin_Clas_Total,F$2,MATCH($A32,Rango_Admin_Clas_Primera,0)+1),"-")</f>
        <v>342</v>
      </c>
      <c r="G32" s="92" cm="1">
        <f t="array" aca="1" ref="G32" ca="1">IFERROR(INDEX(Rango_Admin_Clas_Total,G$2,MATCH($A32,Rango_Admin_Clas_Primera,0)+1),"-")</f>
        <v>130</v>
      </c>
      <c r="H32" s="92" cm="1">
        <f t="array" aca="1" ref="H32" ca="1">IFERROR(INDEX(Rango_Admin_Clas_Total,H$2,MATCH($A32,Rango_Admin_Clas_Primera,0)+1),"-")</f>
        <v>60</v>
      </c>
      <c r="I32" s="92" cm="1">
        <f t="array" aca="1" ref="I32" ca="1">IFERROR(INDEX(Rango_Admin_Clas_Total,I$2,MATCH($A32,Rango_Admin_Clas_Primera,0)+1),"-")</f>
        <v>110</v>
      </c>
      <c r="J32" s="92" cm="1">
        <f t="array" aca="1" ref="J32" ca="1">IFERROR(INDEX(Rango_Admin_Clas_Total,J$2,MATCH($A32,Rango_Admin_Clas_Primera,0)+1),"-")</f>
        <v>10</v>
      </c>
      <c r="K32" s="92" cm="1">
        <f t="array" aca="1" ref="K32" ca="1">IFERROR(INDEX(Rango_Admin_Clas_Total,K$2,MATCH($A32,Rango_Admin_Clas_Primera,0)+1),"-")</f>
        <v>100</v>
      </c>
      <c r="L32" s="92" cm="1">
        <f t="array" aca="1" ref="L32" ca="1">IFERROR(INDEX(Rango_Admin_Clas_Total,L$2,MATCH($A32,Rango_Admin_Clas_Primera,0)+1),"-")</f>
        <v>20</v>
      </c>
      <c r="M32" s="92" cm="1">
        <f t="array" aca="1" ref="M32" ca="1">IFERROR(INDEX(Rango_Admin_Clas_Total,M$2,MATCH($A32,Rango_Admin_Clas_Primera,0)+1),"-")</f>
        <v>90</v>
      </c>
      <c r="N32" s="92" cm="1">
        <f t="array" aca="1" ref="N32" ca="1">IFERROR(INDEX(Rango_Admin_Clas_Total,N$2,MATCH($A32,Rango_Admin_Clas_Primera,0)+1),"-")</f>
        <v>0</v>
      </c>
      <c r="O32" s="92" cm="1">
        <f t="array" aca="1" ref="O32" ca="1">IFERROR(INDEX(Rango_Admin_Clas_Total,O$2,MATCH($A32,Rango_Admin_Clas_Primera,0)+1),"-")</f>
        <v>0</v>
      </c>
      <c r="P32" s="92" cm="1">
        <f t="array" aca="1" ref="P32" ca="1">IFERROR(INDEX(Rango_Admin_Clas_Total,P$2,MATCH($A32,Rango_Admin_Clas_Primera,0)+1),"-")</f>
        <v>0</v>
      </c>
      <c r="Q32" s="92" cm="1">
        <f t="array" aca="1" ref="Q32" ca="1">IFERROR(INDEX(Rango_Admin_Clas_Total,Q$2,MATCH($A32,Rango_Admin_Clas_Primera,0)+1),"-")</f>
        <v>0</v>
      </c>
      <c r="R32" s="92" cm="1">
        <f t="array" aca="1" ref="R32" ca="1">IFERROR(INDEX(Rango_Admin_Clas_Total,R$2,MATCH($A32,Rango_Admin_Clas_Primera,0)+1),"-")</f>
        <v>0</v>
      </c>
      <c r="S32" s="92" cm="1">
        <f t="array" aca="1" ref="S32" ca="1">IFERROR(INDEX(Rango_Admin_Clas_Total,S$2,MATCH($A32,Rango_Admin_Clas_Primera,0)+1),"-")</f>
        <v>25</v>
      </c>
      <c r="T32" s="297"/>
      <c r="U32" s="297"/>
    </row>
    <row r="33" spans="1:21">
      <c r="A33" s="19">
        <f t="shared" si="0"/>
        <v>29</v>
      </c>
      <c r="B33" s="22">
        <f ca="1">IFERROR(HLOOKUP(A33,Rango_Admin_Clas,3,FALSE),"-")</f>
        <v>29</v>
      </c>
      <c r="C33" s="18" t="str">
        <f ca="1">IFERROR(HLOOKUP(A33,Rango_Admin_Clas,5,FALSE),"-")</f>
        <v>Kasper Braamskamp</v>
      </c>
      <c r="D33" s="91">
        <f ca="1">IFERROR(HLOOKUP(A33,Rango_Admin_Clas,4,FALSE),"-")</f>
        <v>1318</v>
      </c>
      <c r="E33" s="92" cm="1">
        <f t="array" aca="1" ref="E33" ca="1">IFERROR(INDEX(Rango_Admin_Clas_Total,E$2,MATCH($A33,Rango_Admin_Clas_Primera,0)+1),"-")</f>
        <v>450</v>
      </c>
      <c r="F33" s="92" cm="1">
        <f t="array" aca="1" ref="F33" ca="1">IFERROR(INDEX(Rango_Admin_Clas_Total,F$2,MATCH($A33,Rango_Admin_Clas_Primera,0)+1),"-")</f>
        <v>327</v>
      </c>
      <c r="G33" s="92" cm="1">
        <f t="array" aca="1" ref="G33" ca="1">IFERROR(INDEX(Rango_Admin_Clas_Total,G$2,MATCH($A33,Rango_Admin_Clas_Primera,0)+1),"-")</f>
        <v>130</v>
      </c>
      <c r="H33" s="92" cm="1">
        <f t="array" aca="1" ref="H33" ca="1">IFERROR(INDEX(Rango_Admin_Clas_Total,H$2,MATCH($A33,Rango_Admin_Clas_Primera,0)+1),"-")</f>
        <v>10</v>
      </c>
      <c r="I33" s="92" cm="1">
        <f t="array" aca="1" ref="I33" ca="1">IFERROR(INDEX(Rango_Admin_Clas_Total,I$2,MATCH($A33,Rango_Admin_Clas_Primera,0)+1),"-")</f>
        <v>100</v>
      </c>
      <c r="J33" s="92" cm="1">
        <f t="array" aca="1" ref="J33" ca="1">IFERROR(INDEX(Rango_Admin_Clas_Total,J$2,MATCH($A33,Rango_Admin_Clas_Primera,0)+1),"-")</f>
        <v>22</v>
      </c>
      <c r="K33" s="92" cm="1">
        <f t="array" aca="1" ref="K33" ca="1">IFERROR(INDEX(Rango_Admin_Clas_Total,K$2,MATCH($A33,Rango_Admin_Clas_Primera,0)+1),"-")</f>
        <v>120</v>
      </c>
      <c r="L33" s="92" cm="1">
        <f t="array" aca="1" ref="L33" ca="1">IFERROR(INDEX(Rango_Admin_Clas_Total,L$2,MATCH($A33,Rango_Admin_Clas_Primera,0)+1),"-")</f>
        <v>24</v>
      </c>
      <c r="M33" s="92" cm="1">
        <f t="array" aca="1" ref="M33" ca="1">IFERROR(INDEX(Rango_Admin_Clas_Total,M$2,MATCH($A33,Rango_Admin_Clas_Primera,0)+1),"-")</f>
        <v>60</v>
      </c>
      <c r="N33" s="92" cm="1">
        <f t="array" aca="1" ref="N33" ca="1">IFERROR(INDEX(Rango_Admin_Clas_Total,N$2,MATCH($A33,Rango_Admin_Clas_Primera,0)+1),"-")</f>
        <v>0</v>
      </c>
      <c r="O33" s="92" cm="1">
        <f t="array" aca="1" ref="O33" ca="1">IFERROR(INDEX(Rango_Admin_Clas_Total,O$2,MATCH($A33,Rango_Admin_Clas_Primera,0)+1),"-")</f>
        <v>0</v>
      </c>
      <c r="P33" s="92" cm="1">
        <f t="array" aca="1" ref="P33" ca="1">IFERROR(INDEX(Rango_Admin_Clas_Total,P$2,MATCH($A33,Rango_Admin_Clas_Primera,0)+1),"-")</f>
        <v>45</v>
      </c>
      <c r="Q33" s="92" cm="1">
        <f t="array" aca="1" ref="Q33" ca="1">IFERROR(INDEX(Rango_Admin_Clas_Total,Q$2,MATCH($A33,Rango_Admin_Clas_Primera,0)+1),"-")</f>
        <v>0</v>
      </c>
      <c r="R33" s="92" cm="1">
        <f t="array" aca="1" ref="R33" ca="1">IFERROR(INDEX(Rango_Admin_Clas_Total,R$2,MATCH($A33,Rango_Admin_Clas_Primera,0)+1),"-")</f>
        <v>0</v>
      </c>
      <c r="S33" s="92" cm="1">
        <f t="array" aca="1" ref="S33" ca="1">IFERROR(INDEX(Rango_Admin_Clas_Total,S$2,MATCH($A33,Rango_Admin_Clas_Primera,0)+1),"-")</f>
        <v>30</v>
      </c>
      <c r="T33" s="297"/>
      <c r="U33" s="297"/>
    </row>
    <row r="34" spans="1:21">
      <c r="A34" s="19">
        <f t="shared" si="0"/>
        <v>30</v>
      </c>
      <c r="B34" s="22">
        <f ca="1">IFERROR(HLOOKUP(A34,Rango_Admin_Clas,3,FALSE),"-")</f>
        <v>30</v>
      </c>
      <c r="C34" s="18" t="str">
        <f ca="1">IFERROR(HLOOKUP(A34,Rango_Admin_Clas,5,FALSE),"-")</f>
        <v>Tom Olde Keizer</v>
      </c>
      <c r="D34" s="91">
        <f ca="1">IFERROR(HLOOKUP(A34,Rango_Admin_Clas,4,FALSE),"-")</f>
        <v>1292</v>
      </c>
      <c r="E34" s="92" cm="1">
        <f t="array" aca="1" ref="E34" ca="1">IFERROR(INDEX(Rango_Admin_Clas_Total,E$2,MATCH($A34,Rango_Admin_Clas_Primera,0)+1),"-")</f>
        <v>510</v>
      </c>
      <c r="F34" s="92" cm="1">
        <f t="array" aca="1" ref="F34" ca="1">IFERROR(INDEX(Rango_Admin_Clas_Total,F$2,MATCH($A34,Rango_Admin_Clas_Primera,0)+1),"-")</f>
        <v>280</v>
      </c>
      <c r="G34" s="92" cm="1">
        <f t="array" aca="1" ref="G34" ca="1">IFERROR(INDEX(Rango_Admin_Clas_Total,G$2,MATCH($A34,Rango_Admin_Clas_Primera,0)+1),"-")</f>
        <v>125</v>
      </c>
      <c r="H34" s="92" cm="1">
        <f t="array" aca="1" ref="H34" ca="1">IFERROR(INDEX(Rango_Admin_Clas_Total,H$2,MATCH($A34,Rango_Admin_Clas_Primera,0)+1),"-")</f>
        <v>10</v>
      </c>
      <c r="I34" s="92" cm="1">
        <f t="array" aca="1" ref="I34" ca="1">IFERROR(INDEX(Rango_Admin_Clas_Total,I$2,MATCH($A34,Rango_Admin_Clas_Primera,0)+1),"-")</f>
        <v>110</v>
      </c>
      <c r="J34" s="92" cm="1">
        <f t="array" aca="1" ref="J34" ca="1">IFERROR(INDEX(Rango_Admin_Clas_Total,J$2,MATCH($A34,Rango_Admin_Clas_Primera,0)+1),"-")</f>
        <v>22</v>
      </c>
      <c r="K34" s="92" cm="1">
        <f t="array" aca="1" ref="K34" ca="1">IFERROR(INDEX(Rango_Admin_Clas_Total,K$2,MATCH($A34,Rango_Admin_Clas_Primera,0)+1),"-")</f>
        <v>80</v>
      </c>
      <c r="L34" s="92" cm="1">
        <f t="array" aca="1" ref="L34" ca="1">IFERROR(INDEX(Rango_Admin_Clas_Total,L$2,MATCH($A34,Rango_Admin_Clas_Primera,0)+1),"-")</f>
        <v>10</v>
      </c>
      <c r="M34" s="92" cm="1">
        <f t="array" aca="1" ref="M34" ca="1">IFERROR(INDEX(Rango_Admin_Clas_Total,M$2,MATCH($A34,Rango_Admin_Clas_Primera,0)+1),"-")</f>
        <v>30</v>
      </c>
      <c r="N34" s="92" cm="1">
        <f t="array" aca="1" ref="N34" ca="1">IFERROR(INDEX(Rango_Admin_Clas_Total,N$2,MATCH($A34,Rango_Admin_Clas_Primera,0)+1),"-")</f>
        <v>0</v>
      </c>
      <c r="O34" s="92" cm="1">
        <f t="array" aca="1" ref="O34" ca="1">IFERROR(INDEX(Rango_Admin_Clas_Total,O$2,MATCH($A34,Rango_Admin_Clas_Primera,0)+1),"-")</f>
        <v>0</v>
      </c>
      <c r="P34" s="92" cm="1">
        <f t="array" aca="1" ref="P34" ca="1">IFERROR(INDEX(Rango_Admin_Clas_Total,P$2,MATCH($A34,Rango_Admin_Clas_Primera,0)+1),"-")</f>
        <v>45</v>
      </c>
      <c r="Q34" s="92" cm="1">
        <f t="array" aca="1" ref="Q34" ca="1">IFERROR(INDEX(Rango_Admin_Clas_Total,Q$2,MATCH($A34,Rango_Admin_Clas_Primera,0)+1),"-")</f>
        <v>0</v>
      </c>
      <c r="R34" s="92" cm="1">
        <f t="array" aca="1" ref="R34" ca="1">IFERROR(INDEX(Rango_Admin_Clas_Total,R$2,MATCH($A34,Rango_Admin_Clas_Primera,0)+1),"-")</f>
        <v>0</v>
      </c>
      <c r="S34" s="92" cm="1">
        <f t="array" aca="1" ref="S34" ca="1">IFERROR(INDEX(Rango_Admin_Clas_Total,S$2,MATCH($A34,Rango_Admin_Clas_Primera,0)+1),"-")</f>
        <v>70</v>
      </c>
      <c r="T34" s="297"/>
      <c r="U34" s="297"/>
    </row>
    <row r="35" spans="1:21">
      <c r="A35" s="19">
        <f t="shared" si="0"/>
        <v>31</v>
      </c>
      <c r="B35" s="22">
        <f ca="1">IFERROR(HLOOKUP(A35,Rango_Admin_Clas,3,FALSE),"-")</f>
        <v>31</v>
      </c>
      <c r="C35" s="18" t="str">
        <f ca="1">IFERROR(HLOOKUP(A35,Rango_Admin_Clas,5,FALSE),"-")</f>
        <v>Pien Breukers</v>
      </c>
      <c r="D35" s="91">
        <f ca="1">IFERROR(HLOOKUP(A35,Rango_Admin_Clas,4,FALSE),"-")</f>
        <v>1288</v>
      </c>
      <c r="E35" s="92" cm="1">
        <f t="array" aca="1" ref="E35" ca="1">IFERROR(INDEX(Rango_Admin_Clas_Total,E$2,MATCH($A35,Rango_Admin_Clas_Primera,0)+1),"-")</f>
        <v>380</v>
      </c>
      <c r="F35" s="92" cm="1">
        <f t="array" aca="1" ref="F35" ca="1">IFERROR(INDEX(Rango_Admin_Clas_Total,F$2,MATCH($A35,Rango_Admin_Clas_Primera,0)+1),"-")</f>
        <v>284</v>
      </c>
      <c r="G35" s="92" cm="1">
        <f t="array" aca="1" ref="G35" ca="1">IFERROR(INDEX(Rango_Admin_Clas_Total,G$2,MATCH($A35,Rango_Admin_Clas_Primera,0)+1),"-")</f>
        <v>125</v>
      </c>
      <c r="H35" s="92" cm="1">
        <f t="array" aca="1" ref="H35" ca="1">IFERROR(INDEX(Rango_Admin_Clas_Total,H$2,MATCH($A35,Rango_Admin_Clas_Primera,0)+1),"-")</f>
        <v>20</v>
      </c>
      <c r="I35" s="92" cm="1">
        <f t="array" aca="1" ref="I35" ca="1">IFERROR(INDEX(Rango_Admin_Clas_Total,I$2,MATCH($A35,Rango_Admin_Clas_Primera,0)+1),"-")</f>
        <v>80</v>
      </c>
      <c r="J35" s="92" cm="1">
        <f t="array" aca="1" ref="J35" ca="1">IFERROR(INDEX(Rango_Admin_Clas_Total,J$2,MATCH($A35,Rango_Admin_Clas_Primera,0)+1),"-")</f>
        <v>0</v>
      </c>
      <c r="K35" s="92" cm="1">
        <f t="array" aca="1" ref="K35" ca="1">IFERROR(INDEX(Rango_Admin_Clas_Total,K$2,MATCH($A35,Rango_Admin_Clas_Primera,0)+1),"-")</f>
        <v>80</v>
      </c>
      <c r="L35" s="92" cm="1">
        <f t="array" aca="1" ref="L35" ca="1">IFERROR(INDEX(Rango_Admin_Clas_Total,L$2,MATCH($A35,Rango_Admin_Clas_Primera,0)+1),"-")</f>
        <v>0</v>
      </c>
      <c r="M35" s="92" cm="1">
        <f t="array" aca="1" ref="M35" ca="1">IFERROR(INDEX(Rango_Admin_Clas_Total,M$2,MATCH($A35,Rango_Admin_Clas_Primera,0)+1),"-")</f>
        <v>90</v>
      </c>
      <c r="N35" s="92" cm="1">
        <f t="array" aca="1" ref="N35" ca="1">IFERROR(INDEX(Rango_Admin_Clas_Total,N$2,MATCH($A35,Rango_Admin_Clas_Primera,0)+1),"-")</f>
        <v>12</v>
      </c>
      <c r="O35" s="92" cm="1">
        <f t="array" aca="1" ref="O35" ca="1">IFERROR(INDEX(Rango_Admin_Clas_Total,O$2,MATCH($A35,Rango_Admin_Clas_Primera,0)+1),"-")</f>
        <v>15</v>
      </c>
      <c r="P35" s="92" cm="1">
        <f t="array" aca="1" ref="P35" ca="1">IFERROR(INDEX(Rango_Admin_Clas_Total,P$2,MATCH($A35,Rango_Admin_Clas_Primera,0)+1),"-")</f>
        <v>90</v>
      </c>
      <c r="Q35" s="92" cm="1">
        <f t="array" aca="1" ref="Q35" ca="1">IFERROR(INDEX(Rango_Admin_Clas_Total,Q$2,MATCH($A35,Rango_Admin_Clas_Primera,0)+1),"-")</f>
        <v>0</v>
      </c>
      <c r="R35" s="92" cm="1">
        <f t="array" aca="1" ref="R35" ca="1">IFERROR(INDEX(Rango_Admin_Clas_Total,R$2,MATCH($A35,Rango_Admin_Clas_Primera,0)+1),"-")</f>
        <v>12</v>
      </c>
      <c r="S35" s="92" cm="1">
        <f t="array" aca="1" ref="S35" ca="1">IFERROR(INDEX(Rango_Admin_Clas_Total,S$2,MATCH($A35,Rango_Admin_Clas_Primera,0)+1),"-")</f>
        <v>100</v>
      </c>
      <c r="T35" s="297"/>
      <c r="U35" s="297"/>
    </row>
    <row r="36" spans="1:21">
      <c r="A36" s="19">
        <f t="shared" si="0"/>
        <v>32</v>
      </c>
      <c r="B36" s="22">
        <f ca="1">IFERROR(HLOOKUP(A36,Rango_Admin_Clas,3,FALSE),"-")</f>
        <v>32</v>
      </c>
      <c r="C36" s="18" t="str">
        <f ca="1">IFERROR(HLOOKUP(A36,Rango_Admin_Clas,5,FALSE),"-")</f>
        <v>Ilker Esmer</v>
      </c>
      <c r="D36" s="91">
        <f ca="1">IFERROR(HLOOKUP(A36,Rango_Admin_Clas,4,FALSE),"-")</f>
        <v>1285</v>
      </c>
      <c r="E36" s="92" cm="1">
        <f t="array" aca="1" ref="E36" ca="1">IFERROR(INDEX(Rango_Admin_Clas_Total,E$2,MATCH($A36,Rango_Admin_Clas_Primera,0)+1),"-")</f>
        <v>556</v>
      </c>
      <c r="F36" s="92" cm="1">
        <f t="array" aca="1" ref="F36" ca="1">IFERROR(INDEX(Rango_Admin_Clas_Total,F$2,MATCH($A36,Rango_Admin_Clas_Primera,0)+1),"-")</f>
        <v>287</v>
      </c>
      <c r="G36" s="92" cm="1">
        <f t="array" aca="1" ref="G36" ca="1">IFERROR(INDEX(Rango_Admin_Clas_Total,G$2,MATCH($A36,Rango_Admin_Clas_Primera,0)+1),"-")</f>
        <v>135</v>
      </c>
      <c r="H36" s="92" cm="1">
        <f t="array" aca="1" ref="H36" ca="1">IFERROR(INDEX(Rango_Admin_Clas_Total,H$2,MATCH($A36,Rango_Admin_Clas_Primera,0)+1),"-")</f>
        <v>10</v>
      </c>
      <c r="I36" s="92" cm="1">
        <f t="array" aca="1" ref="I36" ca="1">IFERROR(INDEX(Rango_Admin_Clas_Total,I$2,MATCH($A36,Rango_Admin_Clas_Primera,0)+1),"-")</f>
        <v>100</v>
      </c>
      <c r="J36" s="92" cm="1">
        <f t="array" aca="1" ref="J36" ca="1">IFERROR(INDEX(Rango_Admin_Clas_Total,J$2,MATCH($A36,Rango_Admin_Clas_Primera,0)+1),"-")</f>
        <v>12</v>
      </c>
      <c r="K36" s="92" cm="1">
        <f t="array" aca="1" ref="K36" ca="1">IFERROR(INDEX(Rango_Admin_Clas_Total,K$2,MATCH($A36,Rango_Admin_Clas_Primera,0)+1),"-")</f>
        <v>60</v>
      </c>
      <c r="L36" s="92" cm="1">
        <f t="array" aca="1" ref="L36" ca="1">IFERROR(INDEX(Rango_Admin_Clas_Total,L$2,MATCH($A36,Rango_Admin_Clas_Primera,0)+1),"-")</f>
        <v>0</v>
      </c>
      <c r="M36" s="92" cm="1">
        <f t="array" aca="1" ref="M36" ca="1">IFERROR(INDEX(Rango_Admin_Clas_Total,M$2,MATCH($A36,Rango_Admin_Clas_Primera,0)+1),"-")</f>
        <v>60</v>
      </c>
      <c r="N36" s="92" cm="1">
        <f t="array" aca="1" ref="N36" ca="1">IFERROR(INDEX(Rango_Admin_Clas_Total,N$2,MATCH($A36,Rango_Admin_Clas_Primera,0)+1),"-")</f>
        <v>0</v>
      </c>
      <c r="O36" s="92" cm="1">
        <f t="array" aca="1" ref="O36" ca="1">IFERROR(INDEX(Rango_Admin_Clas_Total,O$2,MATCH($A36,Rango_Admin_Clas_Primera,0)+1),"-")</f>
        <v>0</v>
      </c>
      <c r="P36" s="92" cm="1">
        <f t="array" aca="1" ref="P36" ca="1">IFERROR(INDEX(Rango_Admin_Clas_Total,P$2,MATCH($A36,Rango_Admin_Clas_Primera,0)+1),"-")</f>
        <v>45</v>
      </c>
      <c r="Q36" s="92" cm="1">
        <f t="array" aca="1" ref="Q36" ca="1">IFERROR(INDEX(Rango_Admin_Clas_Total,Q$2,MATCH($A36,Rango_Admin_Clas_Primera,0)+1),"-")</f>
        <v>0</v>
      </c>
      <c r="R36" s="92" cm="1">
        <f t="array" aca="1" ref="R36" ca="1">IFERROR(INDEX(Rango_Admin_Clas_Total,R$2,MATCH($A36,Rango_Admin_Clas_Primera,0)+1),"-")</f>
        <v>0</v>
      </c>
      <c r="S36" s="92" cm="1">
        <f t="array" aca="1" ref="S36" ca="1">IFERROR(INDEX(Rango_Admin_Clas_Total,S$2,MATCH($A36,Rango_Admin_Clas_Primera,0)+1),"-")</f>
        <v>20</v>
      </c>
      <c r="T36" s="297"/>
      <c r="U36" s="297"/>
    </row>
    <row r="37" spans="1:21">
      <c r="A37" s="19">
        <f t="shared" si="0"/>
        <v>33</v>
      </c>
      <c r="B37" s="22">
        <f ca="1">IFERROR(HLOOKUP(A37,Rango_Admin_Clas,3,FALSE),"-")</f>
        <v>33</v>
      </c>
      <c r="C37" s="18" t="str">
        <f ca="1">IFERROR(HLOOKUP(A37,Rango_Admin_Clas,5,FALSE),"-")</f>
        <v>Ruben van Wamelen</v>
      </c>
      <c r="D37" s="91">
        <f ca="1">IFERROR(HLOOKUP(A37,Rango_Admin_Clas,4,FALSE),"-")</f>
        <v>1284</v>
      </c>
      <c r="E37" s="92" cm="1">
        <f t="array" aca="1" ref="E37" ca="1">IFERROR(INDEX(Rango_Admin_Clas_Total,E$2,MATCH($A37,Rango_Admin_Clas_Primera,0)+1),"-")</f>
        <v>514</v>
      </c>
      <c r="F37" s="92" cm="1">
        <f t="array" aca="1" ref="F37" ca="1">IFERROR(INDEX(Rango_Admin_Clas_Total,F$2,MATCH($A37,Rango_Admin_Clas_Primera,0)+1),"-")</f>
        <v>269</v>
      </c>
      <c r="G37" s="92" cm="1">
        <f t="array" aca="1" ref="G37" ca="1">IFERROR(INDEX(Rango_Admin_Clas_Total,G$2,MATCH($A37,Rango_Admin_Clas_Primera,0)+1),"-")</f>
        <v>140</v>
      </c>
      <c r="H37" s="92" cm="1">
        <f t="array" aca="1" ref="H37" ca="1">IFERROR(INDEX(Rango_Admin_Clas_Total,H$2,MATCH($A37,Rango_Admin_Clas_Primera,0)+1),"-")</f>
        <v>10</v>
      </c>
      <c r="I37" s="92" cm="1">
        <f t="array" aca="1" ref="I37" ca="1">IFERROR(INDEX(Rango_Admin_Clas_Total,I$2,MATCH($A37,Rango_Admin_Clas_Primera,0)+1),"-")</f>
        <v>90</v>
      </c>
      <c r="J37" s="92" cm="1">
        <f t="array" aca="1" ref="J37" ca="1">IFERROR(INDEX(Rango_Admin_Clas_Total,J$2,MATCH($A37,Rango_Admin_Clas_Primera,0)+1),"-")</f>
        <v>12</v>
      </c>
      <c r="K37" s="92" cm="1">
        <f t="array" aca="1" ref="K37" ca="1">IFERROR(INDEX(Rango_Admin_Clas_Total,K$2,MATCH($A37,Rango_Admin_Clas_Primera,0)+1),"-")</f>
        <v>80</v>
      </c>
      <c r="L37" s="92" cm="1">
        <f t="array" aca="1" ref="L37" ca="1">IFERROR(INDEX(Rango_Admin_Clas_Total,L$2,MATCH($A37,Rango_Admin_Clas_Primera,0)+1),"-")</f>
        <v>20</v>
      </c>
      <c r="M37" s="92" cm="1">
        <f t="array" aca="1" ref="M37" ca="1">IFERROR(INDEX(Rango_Admin_Clas_Total,M$2,MATCH($A37,Rango_Admin_Clas_Primera,0)+1),"-")</f>
        <v>30</v>
      </c>
      <c r="N37" s="92" cm="1">
        <f t="array" aca="1" ref="N37" ca="1">IFERROR(INDEX(Rango_Admin_Clas_Total,N$2,MATCH($A37,Rango_Admin_Clas_Primera,0)+1),"-")</f>
        <v>0</v>
      </c>
      <c r="O37" s="92" cm="1">
        <f t="array" aca="1" ref="O37" ca="1">IFERROR(INDEX(Rango_Admin_Clas_Total,O$2,MATCH($A37,Rango_Admin_Clas_Primera,0)+1),"-")</f>
        <v>0</v>
      </c>
      <c r="P37" s="92" cm="1">
        <f t="array" aca="1" ref="P37" ca="1">IFERROR(INDEX(Rango_Admin_Clas_Total,P$2,MATCH($A37,Rango_Admin_Clas_Primera,0)+1),"-")</f>
        <v>45</v>
      </c>
      <c r="Q37" s="92" cm="1">
        <f t="array" aca="1" ref="Q37" ca="1">IFERROR(INDEX(Rango_Admin_Clas_Total,Q$2,MATCH($A37,Rango_Admin_Clas_Primera,0)+1),"-")</f>
        <v>0</v>
      </c>
      <c r="R37" s="92" cm="1">
        <f t="array" aca="1" ref="R37" ca="1">IFERROR(INDEX(Rango_Admin_Clas_Total,R$2,MATCH($A37,Rango_Admin_Clas_Primera,0)+1),"-")</f>
        <v>0</v>
      </c>
      <c r="S37" s="92" cm="1">
        <f t="array" aca="1" ref="S37" ca="1">IFERROR(INDEX(Rango_Admin_Clas_Total,S$2,MATCH($A37,Rango_Admin_Clas_Primera,0)+1),"-")</f>
        <v>74</v>
      </c>
      <c r="T37" s="297"/>
      <c r="U37" s="297"/>
    </row>
    <row r="38" spans="1:21">
      <c r="A38" s="19">
        <f t="shared" si="0"/>
        <v>34</v>
      </c>
      <c r="B38" s="22">
        <f ca="1">IFERROR(HLOOKUP(A38,Rango_Admin_Clas,3,FALSE),"-")</f>
        <v>34</v>
      </c>
      <c r="C38" s="18" t="str">
        <f ca="1">IFERROR(HLOOKUP(A38,Rango_Admin_Clas,5,FALSE),"-")</f>
        <v>Rita Vermeer</v>
      </c>
      <c r="D38" s="91">
        <f ca="1">IFERROR(HLOOKUP(A38,Rango_Admin_Clas,4,FALSE),"-")</f>
        <v>1278</v>
      </c>
      <c r="E38" s="92" cm="1">
        <f t="array" aca="1" ref="E38" ca="1">IFERROR(INDEX(Rango_Admin_Clas_Total,E$2,MATCH($A38,Rango_Admin_Clas_Primera,0)+1),"-")</f>
        <v>476</v>
      </c>
      <c r="F38" s="92" cm="1">
        <f t="array" aca="1" ref="F38" ca="1">IFERROR(INDEX(Rango_Admin_Clas_Total,F$2,MATCH($A38,Rango_Admin_Clas_Primera,0)+1),"-")</f>
        <v>270</v>
      </c>
      <c r="G38" s="92" cm="1">
        <f t="array" aca="1" ref="G38" ca="1">IFERROR(INDEX(Rango_Admin_Clas_Total,G$2,MATCH($A38,Rango_Admin_Clas_Primera,0)+1),"-")</f>
        <v>130</v>
      </c>
      <c r="H38" s="92" cm="1">
        <f t="array" aca="1" ref="H38" ca="1">IFERROR(INDEX(Rango_Admin_Clas_Total,H$2,MATCH($A38,Rango_Admin_Clas_Primera,0)+1),"-")</f>
        <v>30</v>
      </c>
      <c r="I38" s="92" cm="1">
        <f t="array" aca="1" ref="I38" ca="1">IFERROR(INDEX(Rango_Admin_Clas_Total,I$2,MATCH($A38,Rango_Admin_Clas_Primera,0)+1),"-")</f>
        <v>110</v>
      </c>
      <c r="J38" s="92" cm="1">
        <f t="array" aca="1" ref="J38" ca="1">IFERROR(INDEX(Rango_Admin_Clas_Total,J$2,MATCH($A38,Rango_Admin_Clas_Primera,0)+1),"-")</f>
        <v>12</v>
      </c>
      <c r="K38" s="92" cm="1">
        <f t="array" aca="1" ref="K38" ca="1">IFERROR(INDEX(Rango_Admin_Clas_Total,K$2,MATCH($A38,Rango_Admin_Clas_Primera,0)+1),"-")</f>
        <v>120</v>
      </c>
      <c r="L38" s="92" cm="1">
        <f t="array" aca="1" ref="L38" ca="1">IFERROR(INDEX(Rango_Admin_Clas_Total,L$2,MATCH($A38,Rango_Admin_Clas_Primera,0)+1),"-")</f>
        <v>40</v>
      </c>
      <c r="M38" s="92" cm="1">
        <f t="array" aca="1" ref="M38" ca="1">IFERROR(INDEX(Rango_Admin_Clas_Total,M$2,MATCH($A38,Rango_Admin_Clas_Primera,0)+1),"-")</f>
        <v>90</v>
      </c>
      <c r="N38" s="92" cm="1">
        <f t="array" aca="1" ref="N38" ca="1">IFERROR(INDEX(Rango_Admin_Clas_Total,N$2,MATCH($A38,Rango_Admin_Clas_Primera,0)+1),"-")</f>
        <v>0</v>
      </c>
      <c r="O38" s="92" cm="1">
        <f t="array" aca="1" ref="O38" ca="1">IFERROR(INDEX(Rango_Admin_Clas_Total,O$2,MATCH($A38,Rango_Admin_Clas_Primera,0)+1),"-")</f>
        <v>0</v>
      </c>
      <c r="P38" s="92" cm="1">
        <f t="array" aca="1" ref="P38" ca="1">IFERROR(INDEX(Rango_Admin_Clas_Total,P$2,MATCH($A38,Rango_Admin_Clas_Primera,0)+1),"-")</f>
        <v>0</v>
      </c>
      <c r="Q38" s="92" cm="1">
        <f t="array" aca="1" ref="Q38" ca="1">IFERROR(INDEX(Rango_Admin_Clas_Total,Q$2,MATCH($A38,Rango_Admin_Clas_Primera,0)+1),"-")</f>
        <v>0</v>
      </c>
      <c r="R38" s="92" cm="1">
        <f t="array" aca="1" ref="R38" ca="1">IFERROR(INDEX(Rango_Admin_Clas_Total,R$2,MATCH($A38,Rango_Admin_Clas_Primera,0)+1),"-")</f>
        <v>0</v>
      </c>
      <c r="S38" s="92" cm="1">
        <f t="array" aca="1" ref="S38" ca="1">IFERROR(INDEX(Rango_Admin_Clas_Total,S$2,MATCH($A38,Rango_Admin_Clas_Primera,0)+1),"-")</f>
        <v>0</v>
      </c>
      <c r="T38" s="297"/>
      <c r="U38" s="297"/>
    </row>
    <row r="39" spans="1:21">
      <c r="A39" s="19">
        <f t="shared" si="0"/>
        <v>35</v>
      </c>
      <c r="B39" s="22">
        <f ca="1">IFERROR(HLOOKUP(A39,Rango_Admin_Clas,3,FALSE),"-")</f>
        <v>35</v>
      </c>
      <c r="C39" s="18" t="str">
        <f ca="1">IFERROR(HLOOKUP(A39,Rango_Admin_Clas,5,FALSE),"-")</f>
        <v>Tjarco van Loon</v>
      </c>
      <c r="D39" s="91">
        <f ca="1">IFERROR(HLOOKUP(A39,Rango_Admin_Clas,4,FALSE),"-")</f>
        <v>1267</v>
      </c>
      <c r="E39" s="92" cm="1">
        <f t="array" aca="1" ref="E39" ca="1">IFERROR(INDEX(Rango_Admin_Clas_Total,E$2,MATCH($A39,Rango_Admin_Clas_Primera,0)+1),"-")</f>
        <v>504</v>
      </c>
      <c r="F39" s="92" cm="1">
        <f t="array" aca="1" ref="F39" ca="1">IFERROR(INDEX(Rango_Admin_Clas_Total,F$2,MATCH($A39,Rango_Admin_Clas_Primera,0)+1),"-")</f>
        <v>274</v>
      </c>
      <c r="G39" s="92" cm="1">
        <f t="array" aca="1" ref="G39" ca="1">IFERROR(INDEX(Rango_Admin_Clas_Total,G$2,MATCH($A39,Rango_Admin_Clas_Primera,0)+1),"-")</f>
        <v>135</v>
      </c>
      <c r="H39" s="92" cm="1">
        <f t="array" aca="1" ref="H39" ca="1">IFERROR(INDEX(Rango_Admin_Clas_Total,H$2,MATCH($A39,Rango_Admin_Clas_Primera,0)+1),"-")</f>
        <v>74</v>
      </c>
      <c r="I39" s="92" cm="1">
        <f t="array" aca="1" ref="I39" ca="1">IFERROR(INDEX(Rango_Admin_Clas_Total,I$2,MATCH($A39,Rango_Admin_Clas_Primera,0)+1),"-")</f>
        <v>100</v>
      </c>
      <c r="J39" s="92" cm="1">
        <f t="array" aca="1" ref="J39" ca="1">IFERROR(INDEX(Rango_Admin_Clas_Total,J$2,MATCH($A39,Rango_Admin_Clas_Primera,0)+1),"-")</f>
        <v>10</v>
      </c>
      <c r="K39" s="92" cm="1">
        <f t="array" aca="1" ref="K39" ca="1">IFERROR(INDEX(Rango_Admin_Clas_Total,K$2,MATCH($A39,Rango_Admin_Clas_Primera,0)+1),"-")</f>
        <v>80</v>
      </c>
      <c r="L39" s="92" cm="1">
        <f t="array" aca="1" ref="L39" ca="1">IFERROR(INDEX(Rango_Admin_Clas_Total,L$2,MATCH($A39,Rango_Admin_Clas_Primera,0)+1),"-")</f>
        <v>0</v>
      </c>
      <c r="M39" s="92" cm="1">
        <f t="array" aca="1" ref="M39" ca="1">IFERROR(INDEX(Rango_Admin_Clas_Total,M$2,MATCH($A39,Rango_Admin_Clas_Primera,0)+1),"-")</f>
        <v>90</v>
      </c>
      <c r="N39" s="92" cm="1">
        <f t="array" aca="1" ref="N39" ca="1">IFERROR(INDEX(Rango_Admin_Clas_Total,N$2,MATCH($A39,Rango_Admin_Clas_Primera,0)+1),"-")</f>
        <v>0</v>
      </c>
      <c r="O39" s="92" cm="1">
        <f t="array" aca="1" ref="O39" ca="1">IFERROR(INDEX(Rango_Admin_Clas_Total,O$2,MATCH($A39,Rango_Admin_Clas_Primera,0)+1),"-")</f>
        <v>0</v>
      </c>
      <c r="P39" s="92" cm="1">
        <f t="array" aca="1" ref="P39" ca="1">IFERROR(INDEX(Rango_Admin_Clas_Total,P$2,MATCH($A39,Rango_Admin_Clas_Primera,0)+1),"-")</f>
        <v>0</v>
      </c>
      <c r="Q39" s="92" cm="1">
        <f t="array" aca="1" ref="Q39" ca="1">IFERROR(INDEX(Rango_Admin_Clas_Total,Q$2,MATCH($A39,Rango_Admin_Clas_Primera,0)+1),"-")</f>
        <v>0</v>
      </c>
      <c r="R39" s="92" cm="1">
        <f t="array" aca="1" ref="R39" ca="1">IFERROR(INDEX(Rango_Admin_Clas_Total,R$2,MATCH($A39,Rango_Admin_Clas_Primera,0)+1),"-")</f>
        <v>0</v>
      </c>
      <c r="S39" s="92" cm="1">
        <f t="array" aca="1" ref="S39" ca="1">IFERROR(INDEX(Rango_Admin_Clas_Total,S$2,MATCH($A39,Rango_Admin_Clas_Primera,0)+1),"-")</f>
        <v>0</v>
      </c>
      <c r="T39" s="297"/>
      <c r="U39" s="297"/>
    </row>
    <row r="40" spans="1:21">
      <c r="A40" s="19">
        <f t="shared" si="0"/>
        <v>36</v>
      </c>
      <c r="B40" s="22">
        <f ca="1">IFERROR(HLOOKUP(A40,Rango_Admin_Clas,3,FALSE),"-")</f>
        <v>36</v>
      </c>
      <c r="C40" s="18" t="str">
        <f ca="1">IFERROR(HLOOKUP(A40,Rango_Admin_Clas,5,FALSE),"-")</f>
        <v>Luuk Walhof</v>
      </c>
      <c r="D40" s="91">
        <f ca="1">IFERROR(HLOOKUP(A40,Rango_Admin_Clas,4,FALSE),"-")</f>
        <v>1263</v>
      </c>
      <c r="E40" s="92" cm="1">
        <f t="array" aca="1" ref="E40" ca="1">IFERROR(INDEX(Rango_Admin_Clas_Total,E$2,MATCH($A40,Rango_Admin_Clas_Primera,0)+1),"-")</f>
        <v>534</v>
      </c>
      <c r="F40" s="92" cm="1">
        <f t="array" aca="1" ref="F40" ca="1">IFERROR(INDEX(Rango_Admin_Clas_Total,F$2,MATCH($A40,Rango_Admin_Clas_Primera,0)+1),"-")</f>
        <v>254</v>
      </c>
      <c r="G40" s="92" cm="1">
        <f t="array" aca="1" ref="G40" ca="1">IFERROR(INDEX(Rango_Admin_Clas_Total,G$2,MATCH($A40,Rango_Admin_Clas_Primera,0)+1),"-")</f>
        <v>135</v>
      </c>
      <c r="H40" s="92" cm="1">
        <f t="array" aca="1" ref="H40" ca="1">IFERROR(INDEX(Rango_Admin_Clas_Total,H$2,MATCH($A40,Rango_Admin_Clas_Primera,0)+1),"-")</f>
        <v>20</v>
      </c>
      <c r="I40" s="92" cm="1">
        <f t="array" aca="1" ref="I40" ca="1">IFERROR(INDEX(Rango_Admin_Clas_Total,I$2,MATCH($A40,Rango_Admin_Clas_Primera,0)+1),"-")</f>
        <v>100</v>
      </c>
      <c r="J40" s="92" cm="1">
        <f t="array" aca="1" ref="J40" ca="1">IFERROR(INDEX(Rango_Admin_Clas_Total,J$2,MATCH($A40,Rango_Admin_Clas_Primera,0)+1),"-")</f>
        <v>0</v>
      </c>
      <c r="K40" s="92" cm="1">
        <f t="array" aca="1" ref="K40" ca="1">IFERROR(INDEX(Rango_Admin_Clas_Total,K$2,MATCH($A40,Rango_Admin_Clas_Primera,0)+1),"-")</f>
        <v>100</v>
      </c>
      <c r="L40" s="92" cm="1">
        <f t="array" aca="1" ref="L40" ca="1">IFERROR(INDEX(Rango_Admin_Clas_Total,L$2,MATCH($A40,Rango_Admin_Clas_Primera,0)+1),"-")</f>
        <v>10</v>
      </c>
      <c r="M40" s="92" cm="1">
        <f t="array" aca="1" ref="M40" ca="1">IFERROR(INDEX(Rango_Admin_Clas_Total,M$2,MATCH($A40,Rango_Admin_Clas_Primera,0)+1),"-")</f>
        <v>90</v>
      </c>
      <c r="N40" s="92" cm="1">
        <f t="array" aca="1" ref="N40" ca="1">IFERROR(INDEX(Rango_Admin_Clas_Total,N$2,MATCH($A40,Rango_Admin_Clas_Primera,0)+1),"-")</f>
        <v>0</v>
      </c>
      <c r="O40" s="92" cm="1">
        <f t="array" aca="1" ref="O40" ca="1">IFERROR(INDEX(Rango_Admin_Clas_Total,O$2,MATCH($A40,Rango_Admin_Clas_Primera,0)+1),"-")</f>
        <v>0</v>
      </c>
      <c r="P40" s="92" cm="1">
        <f t="array" aca="1" ref="P40" ca="1">IFERROR(INDEX(Rango_Admin_Clas_Total,P$2,MATCH($A40,Rango_Admin_Clas_Primera,0)+1),"-")</f>
        <v>0</v>
      </c>
      <c r="Q40" s="92" cm="1">
        <f t="array" aca="1" ref="Q40" ca="1">IFERROR(INDEX(Rango_Admin_Clas_Total,Q$2,MATCH($A40,Rango_Admin_Clas_Primera,0)+1),"-")</f>
        <v>0</v>
      </c>
      <c r="R40" s="92" cm="1">
        <f t="array" aca="1" ref="R40" ca="1">IFERROR(INDEX(Rango_Admin_Clas_Total,R$2,MATCH($A40,Rango_Admin_Clas_Primera,0)+1),"-")</f>
        <v>0</v>
      </c>
      <c r="S40" s="92" cm="1">
        <f t="array" aca="1" ref="S40" ca="1">IFERROR(INDEX(Rango_Admin_Clas_Total,S$2,MATCH($A40,Rango_Admin_Clas_Primera,0)+1),"-")</f>
        <v>20</v>
      </c>
      <c r="T40" s="297"/>
      <c r="U40" s="297"/>
    </row>
    <row r="41" spans="1:21">
      <c r="A41" s="19">
        <f t="shared" si="0"/>
        <v>37</v>
      </c>
      <c r="B41" s="22">
        <f ca="1">IFERROR(HLOOKUP(A41,Rango_Admin_Clas,3,FALSE),"-")</f>
        <v>37</v>
      </c>
      <c r="C41" s="18" t="str">
        <f ca="1">IFERROR(HLOOKUP(A41,Rango_Admin_Clas,5,FALSE),"-")</f>
        <v>Stefan Kempers</v>
      </c>
      <c r="D41" s="91">
        <f ca="1">IFERROR(HLOOKUP(A41,Rango_Admin_Clas,4,FALSE),"-")</f>
        <v>1262</v>
      </c>
      <c r="E41" s="92" cm="1">
        <f t="array" aca="1" ref="E41" ca="1">IFERROR(INDEX(Rango_Admin_Clas_Total,E$2,MATCH($A41,Rango_Admin_Clas_Primera,0)+1),"-")</f>
        <v>530</v>
      </c>
      <c r="F41" s="92" cm="1">
        <f t="array" aca="1" ref="F41" ca="1">IFERROR(INDEX(Rango_Admin_Clas_Total,F$2,MATCH($A41,Rango_Admin_Clas_Primera,0)+1),"-")</f>
        <v>370</v>
      </c>
      <c r="G41" s="92" cm="1">
        <f t="array" aca="1" ref="G41" ca="1">IFERROR(INDEX(Rango_Admin_Clas_Total,G$2,MATCH($A41,Rango_Admin_Clas_Primera,0)+1),"-")</f>
        <v>140</v>
      </c>
      <c r="H41" s="92" cm="1">
        <f t="array" aca="1" ref="H41" ca="1">IFERROR(INDEX(Rango_Admin_Clas_Total,H$2,MATCH($A41,Rango_Admin_Clas_Primera,0)+1),"-")</f>
        <v>50</v>
      </c>
      <c r="I41" s="92" cm="1">
        <f t="array" aca="1" ref="I41" ca="1">IFERROR(INDEX(Rango_Admin_Clas_Total,I$2,MATCH($A41,Rango_Admin_Clas_Primera,0)+1),"-")</f>
        <v>90</v>
      </c>
      <c r="J41" s="92" cm="1">
        <f t="array" aca="1" ref="J41" ca="1">IFERROR(INDEX(Rango_Admin_Clas_Total,J$2,MATCH($A41,Rango_Admin_Clas_Primera,0)+1),"-")</f>
        <v>22</v>
      </c>
      <c r="K41" s="92" cm="1">
        <f t="array" aca="1" ref="K41" ca="1">IFERROR(INDEX(Rango_Admin_Clas_Total,K$2,MATCH($A41,Rango_Admin_Clas_Primera,0)+1),"-")</f>
        <v>40</v>
      </c>
      <c r="L41" s="92" cm="1">
        <f t="array" aca="1" ref="L41" ca="1">IFERROR(INDEX(Rango_Admin_Clas_Total,L$2,MATCH($A41,Rango_Admin_Clas_Primera,0)+1),"-")</f>
        <v>0</v>
      </c>
      <c r="M41" s="92" cm="1">
        <f t="array" aca="1" ref="M41" ca="1">IFERROR(INDEX(Rango_Admin_Clas_Total,M$2,MATCH($A41,Rango_Admin_Clas_Primera,0)+1),"-")</f>
        <v>0</v>
      </c>
      <c r="N41" s="92" cm="1">
        <f t="array" aca="1" ref="N41" ca="1">IFERROR(INDEX(Rango_Admin_Clas_Total,N$2,MATCH($A41,Rango_Admin_Clas_Primera,0)+1),"-")</f>
        <v>0</v>
      </c>
      <c r="O41" s="92" cm="1">
        <f t="array" aca="1" ref="O41" ca="1">IFERROR(INDEX(Rango_Admin_Clas_Total,O$2,MATCH($A41,Rango_Admin_Clas_Primera,0)+1),"-")</f>
        <v>0</v>
      </c>
      <c r="P41" s="92" cm="1">
        <f t="array" aca="1" ref="P41" ca="1">IFERROR(INDEX(Rango_Admin_Clas_Total,P$2,MATCH($A41,Rango_Admin_Clas_Primera,0)+1),"-")</f>
        <v>0</v>
      </c>
      <c r="Q41" s="92" cm="1">
        <f t="array" aca="1" ref="Q41" ca="1">IFERROR(INDEX(Rango_Admin_Clas_Total,Q$2,MATCH($A41,Rango_Admin_Clas_Primera,0)+1),"-")</f>
        <v>0</v>
      </c>
      <c r="R41" s="92" cm="1">
        <f t="array" aca="1" ref="R41" ca="1">IFERROR(INDEX(Rango_Admin_Clas_Total,R$2,MATCH($A41,Rango_Admin_Clas_Primera,0)+1),"-")</f>
        <v>0</v>
      </c>
      <c r="S41" s="92" cm="1">
        <f t="array" aca="1" ref="S41" ca="1">IFERROR(INDEX(Rango_Admin_Clas_Total,S$2,MATCH($A41,Rango_Admin_Clas_Primera,0)+1),"-")</f>
        <v>20</v>
      </c>
      <c r="T41" s="297"/>
      <c r="U41" s="297"/>
    </row>
    <row r="42" spans="1:21">
      <c r="A42" s="19">
        <f t="shared" si="0"/>
        <v>38</v>
      </c>
      <c r="B42" s="22">
        <f ca="1">IFERROR(HLOOKUP(A42,Rango_Admin_Clas,3,FALSE),"-")</f>
        <v>38</v>
      </c>
      <c r="C42" s="18" t="str">
        <f ca="1">IFERROR(HLOOKUP(A42,Rango_Admin_Clas,5,FALSE),"-")</f>
        <v>Nick van Soest</v>
      </c>
      <c r="D42" s="91">
        <f ca="1">IFERROR(HLOOKUP(A42,Rango_Admin_Clas,4,FALSE),"-")</f>
        <v>1248</v>
      </c>
      <c r="E42" s="92" cm="1">
        <f t="array" aca="1" ref="E42" ca="1">IFERROR(INDEX(Rango_Admin_Clas_Total,E$2,MATCH($A42,Rango_Admin_Clas_Primera,0)+1),"-")</f>
        <v>564</v>
      </c>
      <c r="F42" s="92" cm="1">
        <f t="array" aca="1" ref="F42" ca="1">IFERROR(INDEX(Rango_Admin_Clas_Total,F$2,MATCH($A42,Rango_Admin_Clas_Primera,0)+1),"-")</f>
        <v>274</v>
      </c>
      <c r="G42" s="92" cm="1">
        <f t="array" aca="1" ref="G42" ca="1">IFERROR(INDEX(Rango_Admin_Clas_Total,G$2,MATCH($A42,Rango_Admin_Clas_Primera,0)+1),"-")</f>
        <v>130</v>
      </c>
      <c r="H42" s="92" cm="1">
        <f t="array" aca="1" ref="H42" ca="1">IFERROR(INDEX(Rango_Admin_Clas_Total,H$2,MATCH($A42,Rango_Admin_Clas_Primera,0)+1),"-")</f>
        <v>30</v>
      </c>
      <c r="I42" s="92" cm="1">
        <f t="array" aca="1" ref="I42" ca="1">IFERROR(INDEX(Rango_Admin_Clas_Total,I$2,MATCH($A42,Rango_Admin_Clas_Primera,0)+1),"-")</f>
        <v>100</v>
      </c>
      <c r="J42" s="92" cm="1">
        <f t="array" aca="1" ref="J42" ca="1">IFERROR(INDEX(Rango_Admin_Clas_Total,J$2,MATCH($A42,Rango_Admin_Clas_Primera,0)+1),"-")</f>
        <v>0</v>
      </c>
      <c r="K42" s="92" cm="1">
        <f t="array" aca="1" ref="K42" ca="1">IFERROR(INDEX(Rango_Admin_Clas_Total,K$2,MATCH($A42,Rango_Admin_Clas_Primera,0)+1),"-")</f>
        <v>60</v>
      </c>
      <c r="L42" s="92" cm="1">
        <f t="array" aca="1" ref="L42" ca="1">IFERROR(INDEX(Rango_Admin_Clas_Total,L$2,MATCH($A42,Rango_Admin_Clas_Primera,0)+1),"-")</f>
        <v>10</v>
      </c>
      <c r="M42" s="92" cm="1">
        <f t="array" aca="1" ref="M42" ca="1">IFERROR(INDEX(Rango_Admin_Clas_Total,M$2,MATCH($A42,Rango_Admin_Clas_Primera,0)+1),"-")</f>
        <v>60</v>
      </c>
      <c r="N42" s="92" cm="1">
        <f t="array" aca="1" ref="N42" ca="1">IFERROR(INDEX(Rango_Admin_Clas_Total,N$2,MATCH($A42,Rango_Admin_Clas_Primera,0)+1),"-")</f>
        <v>0</v>
      </c>
      <c r="O42" s="92" cm="1">
        <f t="array" aca="1" ref="O42" ca="1">IFERROR(INDEX(Rango_Admin_Clas_Total,O$2,MATCH($A42,Rango_Admin_Clas_Primera,0)+1),"-")</f>
        <v>0</v>
      </c>
      <c r="P42" s="92" cm="1">
        <f t="array" aca="1" ref="P42" ca="1">IFERROR(INDEX(Rango_Admin_Clas_Total,P$2,MATCH($A42,Rango_Admin_Clas_Primera,0)+1),"-")</f>
        <v>0</v>
      </c>
      <c r="Q42" s="92" cm="1">
        <f t="array" aca="1" ref="Q42" ca="1">IFERROR(INDEX(Rango_Admin_Clas_Total,Q$2,MATCH($A42,Rango_Admin_Clas_Primera,0)+1),"-")</f>
        <v>0</v>
      </c>
      <c r="R42" s="92" cm="1">
        <f t="array" aca="1" ref="R42" ca="1">IFERROR(INDEX(Rango_Admin_Clas_Total,R$2,MATCH($A42,Rango_Admin_Clas_Primera,0)+1),"-")</f>
        <v>0</v>
      </c>
      <c r="S42" s="92" cm="1">
        <f t="array" aca="1" ref="S42" ca="1">IFERROR(INDEX(Rango_Admin_Clas_Total,S$2,MATCH($A42,Rango_Admin_Clas_Primera,0)+1),"-")</f>
        <v>20</v>
      </c>
      <c r="T42" s="297"/>
      <c r="U42" s="297"/>
    </row>
    <row r="43" spans="1:21">
      <c r="A43" s="19">
        <f t="shared" si="0"/>
        <v>39</v>
      </c>
      <c r="B43" s="22">
        <f ca="1">IFERROR(HLOOKUP(A43,Rango_Admin_Clas,3,FALSE),"-")</f>
        <v>39</v>
      </c>
      <c r="C43" s="18" t="str">
        <f ca="1">IFERROR(HLOOKUP(A43,Rango_Admin_Clas,5,FALSE),"-")</f>
        <v>Chantal Wolbers</v>
      </c>
      <c r="D43" s="91">
        <f ca="1">IFERROR(HLOOKUP(A43,Rango_Admin_Clas,4,FALSE),"-")</f>
        <v>1245</v>
      </c>
      <c r="E43" s="92" cm="1">
        <f t="array" aca="1" ref="E43" ca="1">IFERROR(INDEX(Rango_Admin_Clas_Total,E$2,MATCH($A43,Rango_Admin_Clas_Primera,0)+1),"-")</f>
        <v>464</v>
      </c>
      <c r="F43" s="92" cm="1">
        <f t="array" aca="1" ref="F43" ca="1">IFERROR(INDEX(Rango_Admin_Clas_Total,F$2,MATCH($A43,Rango_Admin_Clas_Primera,0)+1),"-")</f>
        <v>239</v>
      </c>
      <c r="G43" s="92" cm="1">
        <f t="array" aca="1" ref="G43" ca="1">IFERROR(INDEX(Rango_Admin_Clas_Total,G$2,MATCH($A43,Rango_Admin_Clas_Primera,0)+1),"-")</f>
        <v>130</v>
      </c>
      <c r="H43" s="92" cm="1">
        <f t="array" aca="1" ref="H43" ca="1">IFERROR(INDEX(Rango_Admin_Clas_Total,H$2,MATCH($A43,Rango_Admin_Clas_Primera,0)+1),"-")</f>
        <v>0</v>
      </c>
      <c r="I43" s="92" cm="1">
        <f t="array" aca="1" ref="I43" ca="1">IFERROR(INDEX(Rango_Admin_Clas_Total,I$2,MATCH($A43,Rango_Admin_Clas_Primera,0)+1),"-")</f>
        <v>100</v>
      </c>
      <c r="J43" s="92" cm="1">
        <f t="array" aca="1" ref="J43" ca="1">IFERROR(INDEX(Rango_Admin_Clas_Total,J$2,MATCH($A43,Rango_Admin_Clas_Primera,0)+1),"-")</f>
        <v>0</v>
      </c>
      <c r="K43" s="92" cm="1">
        <f t="array" aca="1" ref="K43" ca="1">IFERROR(INDEX(Rango_Admin_Clas_Total,K$2,MATCH($A43,Rango_Admin_Clas_Primera,0)+1),"-")</f>
        <v>80</v>
      </c>
      <c r="L43" s="92" cm="1">
        <f t="array" aca="1" ref="L43" ca="1">IFERROR(INDEX(Rango_Admin_Clas_Total,L$2,MATCH($A43,Rango_Admin_Clas_Primera,0)+1),"-")</f>
        <v>0</v>
      </c>
      <c r="M43" s="92" cm="1">
        <f t="array" aca="1" ref="M43" ca="1">IFERROR(INDEX(Rango_Admin_Clas_Total,M$2,MATCH($A43,Rango_Admin_Clas_Primera,0)+1),"-")</f>
        <v>90</v>
      </c>
      <c r="N43" s="92" cm="1">
        <f t="array" aca="1" ref="N43" ca="1">IFERROR(INDEX(Rango_Admin_Clas_Total,N$2,MATCH($A43,Rango_Admin_Clas_Primera,0)+1),"-")</f>
        <v>12</v>
      </c>
      <c r="O43" s="92" cm="1">
        <f t="array" aca="1" ref="O43" ca="1">IFERROR(INDEX(Rango_Admin_Clas_Total,O$2,MATCH($A43,Rango_Admin_Clas_Primera,0)+1),"-")</f>
        <v>15</v>
      </c>
      <c r="P43" s="92" cm="1">
        <f t="array" aca="1" ref="P43" ca="1">IFERROR(INDEX(Rango_Admin_Clas_Total,P$2,MATCH($A43,Rango_Admin_Clas_Primera,0)+1),"-")</f>
        <v>45</v>
      </c>
      <c r="Q43" s="92" cm="1">
        <f t="array" aca="1" ref="Q43" ca="1">IFERROR(INDEX(Rango_Admin_Clas_Total,Q$2,MATCH($A43,Rango_Admin_Clas_Primera,0)+1),"-")</f>
        <v>0</v>
      </c>
      <c r="R43" s="92" cm="1">
        <f t="array" aca="1" ref="R43" ca="1">IFERROR(INDEX(Rango_Admin_Clas_Total,R$2,MATCH($A43,Rango_Admin_Clas_Primera,0)+1),"-")</f>
        <v>0</v>
      </c>
      <c r="S43" s="92" cm="1">
        <f t="array" aca="1" ref="S43" ca="1">IFERROR(INDEX(Rango_Admin_Clas_Total,S$2,MATCH($A43,Rango_Admin_Clas_Primera,0)+1),"-")</f>
        <v>70</v>
      </c>
      <c r="T43" s="297"/>
      <c r="U43" s="297"/>
    </row>
    <row r="44" spans="1:21">
      <c r="A44" s="19">
        <f t="shared" si="0"/>
        <v>40</v>
      </c>
      <c r="B44" s="22">
        <f ca="1">IFERROR(HLOOKUP(A44,Rango_Admin_Clas,3,FALSE),"-")</f>
        <v>40</v>
      </c>
      <c r="C44" s="18" t="str">
        <f ca="1">IFERROR(HLOOKUP(A44,Rango_Admin_Clas,5,FALSE),"-")</f>
        <v>Dennis Molendijk</v>
      </c>
      <c r="D44" s="91">
        <f ca="1">IFERROR(HLOOKUP(A44,Rango_Admin_Clas,4,FALSE),"-")</f>
        <v>1242</v>
      </c>
      <c r="E44" s="92" cm="1">
        <f t="array" aca="1" ref="E44" ca="1">IFERROR(INDEX(Rango_Admin_Clas_Total,E$2,MATCH($A44,Rango_Admin_Clas_Primera,0)+1),"-")</f>
        <v>490</v>
      </c>
      <c r="F44" s="92" cm="1">
        <f t="array" aca="1" ref="F44" ca="1">IFERROR(INDEX(Rango_Admin_Clas_Total,F$2,MATCH($A44,Rango_Admin_Clas_Primera,0)+1),"-")</f>
        <v>345</v>
      </c>
      <c r="G44" s="92" cm="1">
        <f t="array" aca="1" ref="G44" ca="1">IFERROR(INDEX(Rango_Admin_Clas_Total,G$2,MATCH($A44,Rango_Admin_Clas_Primera,0)+1),"-")</f>
        <v>130</v>
      </c>
      <c r="H44" s="92" cm="1">
        <f t="array" aca="1" ref="H44" ca="1">IFERROR(INDEX(Rango_Admin_Clas_Total,H$2,MATCH($A44,Rango_Admin_Clas_Primera,0)+1),"-")</f>
        <v>42</v>
      </c>
      <c r="I44" s="92" cm="1">
        <f t="array" aca="1" ref="I44" ca="1">IFERROR(INDEX(Rango_Admin_Clas_Total,I$2,MATCH($A44,Rango_Admin_Clas_Primera,0)+1),"-")</f>
        <v>110</v>
      </c>
      <c r="J44" s="92" cm="1">
        <f t="array" aca="1" ref="J44" ca="1">IFERROR(INDEX(Rango_Admin_Clas_Total,J$2,MATCH($A44,Rango_Admin_Clas_Primera,0)+1),"-")</f>
        <v>0</v>
      </c>
      <c r="K44" s="92" cm="1">
        <f t="array" aca="1" ref="K44" ca="1">IFERROR(INDEX(Rango_Admin_Clas_Total,K$2,MATCH($A44,Rango_Admin_Clas_Primera,0)+1),"-")</f>
        <v>60</v>
      </c>
      <c r="L44" s="92" cm="1">
        <f t="array" aca="1" ref="L44" ca="1">IFERROR(INDEX(Rango_Admin_Clas_Total,L$2,MATCH($A44,Rango_Admin_Clas_Primera,0)+1),"-")</f>
        <v>0</v>
      </c>
      <c r="M44" s="92" cm="1">
        <f t="array" aca="1" ref="M44" ca="1">IFERROR(INDEX(Rango_Admin_Clas_Total,M$2,MATCH($A44,Rango_Admin_Clas_Primera,0)+1),"-")</f>
        <v>60</v>
      </c>
      <c r="N44" s="92" cm="1">
        <f t="array" aca="1" ref="N44" ca="1">IFERROR(INDEX(Rango_Admin_Clas_Total,N$2,MATCH($A44,Rango_Admin_Clas_Primera,0)+1),"-")</f>
        <v>0</v>
      </c>
      <c r="O44" s="92" cm="1">
        <f t="array" aca="1" ref="O44" ca="1">IFERROR(INDEX(Rango_Admin_Clas_Total,O$2,MATCH($A44,Rango_Admin_Clas_Primera,0)+1),"-")</f>
        <v>0</v>
      </c>
      <c r="P44" s="92" cm="1">
        <f t="array" aca="1" ref="P44" ca="1">IFERROR(INDEX(Rango_Admin_Clas_Total,P$2,MATCH($A44,Rango_Admin_Clas_Primera,0)+1),"-")</f>
        <v>0</v>
      </c>
      <c r="Q44" s="92" cm="1">
        <f t="array" aca="1" ref="Q44" ca="1">IFERROR(INDEX(Rango_Admin_Clas_Total,Q$2,MATCH($A44,Rango_Admin_Clas_Primera,0)+1),"-")</f>
        <v>0</v>
      </c>
      <c r="R44" s="92" cm="1">
        <f t="array" aca="1" ref="R44" ca="1">IFERROR(INDEX(Rango_Admin_Clas_Total,R$2,MATCH($A44,Rango_Admin_Clas_Primera,0)+1),"-")</f>
        <v>0</v>
      </c>
      <c r="S44" s="92" cm="1">
        <f t="array" aca="1" ref="S44" ca="1">IFERROR(INDEX(Rango_Admin_Clas_Total,S$2,MATCH($A44,Rango_Admin_Clas_Primera,0)+1),"-")</f>
        <v>5</v>
      </c>
      <c r="T44" s="297"/>
      <c r="U44" s="297"/>
    </row>
    <row r="45" spans="1:21">
      <c r="A45" s="19">
        <f t="shared" si="0"/>
        <v>41</v>
      </c>
      <c r="B45" s="22">
        <f ca="1">IFERROR(HLOOKUP(A45,Rango_Admin_Clas,3,FALSE),"-")</f>
        <v>41</v>
      </c>
      <c r="C45" s="18" t="str">
        <f ca="1">IFERROR(HLOOKUP(A45,Rango_Admin_Clas,5,FALSE),"-")</f>
        <v>Marnix van der Molen</v>
      </c>
      <c r="D45" s="91">
        <f ca="1">IFERROR(HLOOKUP(A45,Rango_Admin_Clas,4,FALSE),"-")</f>
        <v>1225</v>
      </c>
      <c r="E45" s="92" cm="1">
        <f t="array" aca="1" ref="E45" ca="1">IFERROR(INDEX(Rango_Admin_Clas_Total,E$2,MATCH($A45,Rango_Admin_Clas_Primera,0)+1),"-")</f>
        <v>396</v>
      </c>
      <c r="F45" s="92" cm="1">
        <f t="array" aca="1" ref="F45" ca="1">IFERROR(INDEX(Rango_Admin_Clas_Total,F$2,MATCH($A45,Rango_Admin_Clas_Primera,0)+1),"-")</f>
        <v>284</v>
      </c>
      <c r="G45" s="92" cm="1">
        <f t="array" aca="1" ref="G45" ca="1">IFERROR(INDEX(Rango_Admin_Clas_Total,G$2,MATCH($A45,Rango_Admin_Clas_Primera,0)+1),"-")</f>
        <v>135</v>
      </c>
      <c r="H45" s="92" cm="1">
        <f t="array" aca="1" ref="H45" ca="1">IFERROR(INDEX(Rango_Admin_Clas_Total,H$2,MATCH($A45,Rango_Admin_Clas_Primera,0)+1),"-")</f>
        <v>30</v>
      </c>
      <c r="I45" s="92" cm="1">
        <f t="array" aca="1" ref="I45" ca="1">IFERROR(INDEX(Rango_Admin_Clas_Total,I$2,MATCH($A45,Rango_Admin_Clas_Primera,0)+1),"-")</f>
        <v>110</v>
      </c>
      <c r="J45" s="92" cm="1">
        <f t="array" aca="1" ref="J45" ca="1">IFERROR(INDEX(Rango_Admin_Clas_Total,J$2,MATCH($A45,Rango_Admin_Clas_Primera,0)+1),"-")</f>
        <v>10</v>
      </c>
      <c r="K45" s="92" cm="1">
        <f t="array" aca="1" ref="K45" ca="1">IFERROR(INDEX(Rango_Admin_Clas_Total,K$2,MATCH($A45,Rango_Admin_Clas_Primera,0)+1),"-")</f>
        <v>120</v>
      </c>
      <c r="L45" s="92" cm="1">
        <f t="array" aca="1" ref="L45" ca="1">IFERROR(INDEX(Rango_Admin_Clas_Total,L$2,MATCH($A45,Rango_Admin_Clas_Primera,0)+1),"-")</f>
        <v>30</v>
      </c>
      <c r="M45" s="92" cm="1">
        <f t="array" aca="1" ref="M45" ca="1">IFERROR(INDEX(Rango_Admin_Clas_Total,M$2,MATCH($A45,Rango_Admin_Clas_Primera,0)+1),"-")</f>
        <v>90</v>
      </c>
      <c r="N45" s="92" cm="1">
        <f t="array" aca="1" ref="N45" ca="1">IFERROR(INDEX(Rango_Admin_Clas_Total,N$2,MATCH($A45,Rango_Admin_Clas_Primera,0)+1),"-")</f>
        <v>0</v>
      </c>
      <c r="O45" s="92" cm="1">
        <f t="array" aca="1" ref="O45" ca="1">IFERROR(INDEX(Rango_Admin_Clas_Total,O$2,MATCH($A45,Rango_Admin_Clas_Primera,0)+1),"-")</f>
        <v>0</v>
      </c>
      <c r="P45" s="92" cm="1">
        <f t="array" aca="1" ref="P45" ca="1">IFERROR(INDEX(Rango_Admin_Clas_Total,P$2,MATCH($A45,Rango_Admin_Clas_Primera,0)+1),"-")</f>
        <v>0</v>
      </c>
      <c r="Q45" s="92" cm="1">
        <f t="array" aca="1" ref="Q45" ca="1">IFERROR(INDEX(Rango_Admin_Clas_Total,Q$2,MATCH($A45,Rango_Admin_Clas_Primera,0)+1),"-")</f>
        <v>0</v>
      </c>
      <c r="R45" s="92" cm="1">
        <f t="array" aca="1" ref="R45" ca="1">IFERROR(INDEX(Rango_Admin_Clas_Total,R$2,MATCH($A45,Rango_Admin_Clas_Primera,0)+1),"-")</f>
        <v>0</v>
      </c>
      <c r="S45" s="92" cm="1">
        <f t="array" aca="1" ref="S45" ca="1">IFERROR(INDEX(Rango_Admin_Clas_Total,S$2,MATCH($A45,Rango_Admin_Clas_Primera,0)+1),"-")</f>
        <v>20</v>
      </c>
      <c r="T45" s="297"/>
      <c r="U45" s="297"/>
    </row>
    <row r="46" spans="1:21">
      <c r="A46" s="19">
        <f t="shared" si="0"/>
        <v>42</v>
      </c>
      <c r="B46" s="22">
        <f ca="1">IFERROR(HLOOKUP(A46,Rango_Admin_Clas,3,FALSE),"-")</f>
        <v>42</v>
      </c>
      <c r="C46" s="18" t="str">
        <f ca="1">IFERROR(HLOOKUP(A46,Rango_Admin_Clas,5,FALSE),"-")</f>
        <v>Joris Reinders</v>
      </c>
      <c r="D46" s="91">
        <f ca="1">IFERROR(HLOOKUP(A46,Rango_Admin_Clas,4,FALSE),"-")</f>
        <v>1221</v>
      </c>
      <c r="E46" s="92" cm="1">
        <f t="array" aca="1" ref="E46" ca="1">IFERROR(INDEX(Rango_Admin_Clas_Total,E$2,MATCH($A46,Rango_Admin_Clas_Primera,0)+1),"-")</f>
        <v>454</v>
      </c>
      <c r="F46" s="92" cm="1">
        <f t="array" aca="1" ref="F46" ca="1">IFERROR(INDEX(Rango_Admin_Clas_Total,F$2,MATCH($A46,Rango_Admin_Clas_Primera,0)+1),"-")</f>
        <v>250</v>
      </c>
      <c r="G46" s="92" cm="1">
        <f t="array" aca="1" ref="G46" ca="1">IFERROR(INDEX(Rango_Admin_Clas_Total,G$2,MATCH($A46,Rango_Admin_Clas_Primera,0)+1),"-")</f>
        <v>135</v>
      </c>
      <c r="H46" s="92" cm="1">
        <f t="array" aca="1" ref="H46" ca="1">IFERROR(INDEX(Rango_Admin_Clas_Total,H$2,MATCH($A46,Rango_Admin_Clas_Primera,0)+1),"-")</f>
        <v>22</v>
      </c>
      <c r="I46" s="92" cm="1">
        <f t="array" aca="1" ref="I46" ca="1">IFERROR(INDEX(Rango_Admin_Clas_Total,I$2,MATCH($A46,Rango_Admin_Clas_Primera,0)+1),"-")</f>
        <v>110</v>
      </c>
      <c r="J46" s="92" cm="1">
        <f t="array" aca="1" ref="J46" ca="1">IFERROR(INDEX(Rango_Admin_Clas_Total,J$2,MATCH($A46,Rango_Admin_Clas_Primera,0)+1),"-")</f>
        <v>0</v>
      </c>
      <c r="K46" s="92" cm="1">
        <f t="array" aca="1" ref="K46" ca="1">IFERROR(INDEX(Rango_Admin_Clas_Total,K$2,MATCH($A46,Rango_Admin_Clas_Primera,0)+1),"-")</f>
        <v>80</v>
      </c>
      <c r="L46" s="92" cm="1">
        <f t="array" aca="1" ref="L46" ca="1">IFERROR(INDEX(Rango_Admin_Clas_Total,L$2,MATCH($A46,Rango_Admin_Clas_Primera,0)+1),"-")</f>
        <v>0</v>
      </c>
      <c r="M46" s="92" cm="1">
        <f t="array" aca="1" ref="M46" ca="1">IFERROR(INDEX(Rango_Admin_Clas_Total,M$2,MATCH($A46,Rango_Admin_Clas_Primera,0)+1),"-")</f>
        <v>60</v>
      </c>
      <c r="N46" s="92" cm="1">
        <f t="array" aca="1" ref="N46" ca="1">IFERROR(INDEX(Rango_Admin_Clas_Total,N$2,MATCH($A46,Rango_Admin_Clas_Primera,0)+1),"-")</f>
        <v>0</v>
      </c>
      <c r="O46" s="92" cm="1">
        <f t="array" aca="1" ref="O46" ca="1">IFERROR(INDEX(Rango_Admin_Clas_Total,O$2,MATCH($A46,Rango_Admin_Clas_Primera,0)+1),"-")</f>
        <v>15</v>
      </c>
      <c r="P46" s="92" cm="1">
        <f t="array" aca="1" ref="P46" ca="1">IFERROR(INDEX(Rango_Admin_Clas_Total,P$2,MATCH($A46,Rango_Admin_Clas_Primera,0)+1),"-")</f>
        <v>45</v>
      </c>
      <c r="Q46" s="92" cm="1">
        <f t="array" aca="1" ref="Q46" ca="1">IFERROR(INDEX(Rango_Admin_Clas_Total,Q$2,MATCH($A46,Rango_Admin_Clas_Primera,0)+1),"-")</f>
        <v>0</v>
      </c>
      <c r="R46" s="92" cm="1">
        <f t="array" aca="1" ref="R46" ca="1">IFERROR(INDEX(Rango_Admin_Clas_Total,R$2,MATCH($A46,Rango_Admin_Clas_Primera,0)+1),"-")</f>
        <v>0</v>
      </c>
      <c r="S46" s="92" cm="1">
        <f t="array" aca="1" ref="S46" ca="1">IFERROR(INDEX(Rango_Admin_Clas_Total,S$2,MATCH($A46,Rango_Admin_Clas_Primera,0)+1),"-")</f>
        <v>50</v>
      </c>
      <c r="T46" s="297"/>
      <c r="U46" s="297"/>
    </row>
    <row r="47" spans="1:21">
      <c r="A47" s="19">
        <f t="shared" si="0"/>
        <v>43</v>
      </c>
      <c r="B47" s="22">
        <f ca="1">IFERROR(HLOOKUP(A47,Rango_Admin_Clas,3,FALSE),"-")</f>
        <v>43</v>
      </c>
      <c r="C47" s="18" t="str">
        <f ca="1">IFERROR(HLOOKUP(A47,Rango_Admin_Clas,5,FALSE),"-")</f>
        <v>Herald Hessing</v>
      </c>
      <c r="D47" s="91">
        <f ca="1">IFERROR(HLOOKUP(A47,Rango_Admin_Clas,4,FALSE),"-")</f>
        <v>1219</v>
      </c>
      <c r="E47" s="92" cm="1">
        <f t="array" aca="1" ref="E47" ca="1">IFERROR(INDEX(Rango_Admin_Clas_Total,E$2,MATCH($A47,Rango_Admin_Clas_Primera,0)+1),"-")</f>
        <v>446</v>
      </c>
      <c r="F47" s="92" cm="1">
        <f t="array" aca="1" ref="F47" ca="1">IFERROR(INDEX(Rango_Admin_Clas_Total,F$2,MATCH($A47,Rango_Admin_Clas_Primera,0)+1),"-")</f>
        <v>251</v>
      </c>
      <c r="G47" s="92" cm="1">
        <f t="array" aca="1" ref="G47" ca="1">IFERROR(INDEX(Rango_Admin_Clas_Total,G$2,MATCH($A47,Rango_Admin_Clas_Primera,0)+1),"-")</f>
        <v>125</v>
      </c>
      <c r="H47" s="92" cm="1">
        <f t="array" aca="1" ref="H47" ca="1">IFERROR(INDEX(Rango_Admin_Clas_Total,H$2,MATCH($A47,Rango_Admin_Clas_Primera,0)+1),"-")</f>
        <v>10</v>
      </c>
      <c r="I47" s="92" cm="1">
        <f t="array" aca="1" ref="I47" ca="1">IFERROR(INDEX(Rango_Admin_Clas_Total,I$2,MATCH($A47,Rango_Admin_Clas_Primera,0)+1),"-")</f>
        <v>100</v>
      </c>
      <c r="J47" s="92" cm="1">
        <f t="array" aca="1" ref="J47" ca="1">IFERROR(INDEX(Rango_Admin_Clas_Total,J$2,MATCH($A47,Rango_Admin_Clas_Primera,0)+1),"-")</f>
        <v>12</v>
      </c>
      <c r="K47" s="92" cm="1">
        <f t="array" aca="1" ref="K47" ca="1">IFERROR(INDEX(Rango_Admin_Clas_Total,K$2,MATCH($A47,Rango_Admin_Clas_Primera,0)+1),"-")</f>
        <v>100</v>
      </c>
      <c r="L47" s="92" cm="1">
        <f t="array" aca="1" ref="L47" ca="1">IFERROR(INDEX(Rango_Admin_Clas_Total,L$2,MATCH($A47,Rango_Admin_Clas_Primera,0)+1),"-")</f>
        <v>10</v>
      </c>
      <c r="M47" s="92" cm="1">
        <f t="array" aca="1" ref="M47" ca="1">IFERROR(INDEX(Rango_Admin_Clas_Total,M$2,MATCH($A47,Rango_Admin_Clas_Primera,0)+1),"-")</f>
        <v>90</v>
      </c>
      <c r="N47" s="92" cm="1">
        <f t="array" aca="1" ref="N47" ca="1">IFERROR(INDEX(Rango_Admin_Clas_Total,N$2,MATCH($A47,Rango_Admin_Clas_Primera,0)+1),"-")</f>
        <v>10</v>
      </c>
      <c r="O47" s="92" cm="1">
        <f t="array" aca="1" ref="O47" ca="1">IFERROR(INDEX(Rango_Admin_Clas_Total,O$2,MATCH($A47,Rango_Admin_Clas_Primera,0)+1),"-")</f>
        <v>15</v>
      </c>
      <c r="P47" s="92" cm="1">
        <f t="array" aca="1" ref="P47" ca="1">IFERROR(INDEX(Rango_Admin_Clas_Total,P$2,MATCH($A47,Rango_Admin_Clas_Primera,0)+1),"-")</f>
        <v>45</v>
      </c>
      <c r="Q47" s="92" cm="1">
        <f t="array" aca="1" ref="Q47" ca="1">IFERROR(INDEX(Rango_Admin_Clas_Total,Q$2,MATCH($A47,Rango_Admin_Clas_Primera,0)+1),"-")</f>
        <v>0</v>
      </c>
      <c r="R47" s="92" cm="1">
        <f t="array" aca="1" ref="R47" ca="1">IFERROR(INDEX(Rango_Admin_Clas_Total,R$2,MATCH($A47,Rango_Admin_Clas_Primera,0)+1),"-")</f>
        <v>0</v>
      </c>
      <c r="S47" s="92" cm="1">
        <f t="array" aca="1" ref="S47" ca="1">IFERROR(INDEX(Rango_Admin_Clas_Total,S$2,MATCH($A47,Rango_Admin_Clas_Primera,0)+1),"-")</f>
        <v>5</v>
      </c>
      <c r="T47" s="297"/>
      <c r="U47" s="297"/>
    </row>
    <row r="48" spans="1:21">
      <c r="A48" s="19">
        <f t="shared" si="0"/>
        <v>44</v>
      </c>
      <c r="B48" s="22">
        <f ca="1">IFERROR(HLOOKUP(A48,Rango_Admin_Clas,3,FALSE),"-")</f>
        <v>44</v>
      </c>
      <c r="C48" s="18" t="str">
        <f ca="1">IFERROR(HLOOKUP(A48,Rango_Admin_Clas,5,FALSE),"-")</f>
        <v>Bart van Moorsel</v>
      </c>
      <c r="D48" s="91">
        <f ca="1">IFERROR(HLOOKUP(A48,Rango_Admin_Clas,4,FALSE),"-")</f>
        <v>1210</v>
      </c>
      <c r="E48" s="92" cm="1">
        <f t="array" aca="1" ref="E48" ca="1">IFERROR(INDEX(Rango_Admin_Clas_Total,E$2,MATCH($A48,Rango_Admin_Clas_Primera,0)+1),"-")</f>
        <v>522</v>
      </c>
      <c r="F48" s="92" cm="1">
        <f t="array" aca="1" ref="F48" ca="1">IFERROR(INDEX(Rango_Admin_Clas_Total,F$2,MATCH($A48,Rango_Admin_Clas_Primera,0)+1),"-")</f>
        <v>243</v>
      </c>
      <c r="G48" s="92" cm="1">
        <f t="array" aca="1" ref="G48" ca="1">IFERROR(INDEX(Rango_Admin_Clas_Total,G$2,MATCH($A48,Rango_Admin_Clas_Primera,0)+1),"-")</f>
        <v>125</v>
      </c>
      <c r="H48" s="92" cm="1">
        <f t="array" aca="1" ref="H48" ca="1">IFERROR(INDEX(Rango_Admin_Clas_Total,H$2,MATCH($A48,Rango_Admin_Clas_Primera,0)+1),"-")</f>
        <v>20</v>
      </c>
      <c r="I48" s="92" cm="1">
        <f t="array" aca="1" ref="I48" ca="1">IFERROR(INDEX(Rango_Admin_Clas_Total,I$2,MATCH($A48,Rango_Admin_Clas_Primera,0)+1),"-")</f>
        <v>100</v>
      </c>
      <c r="J48" s="92" cm="1">
        <f t="array" aca="1" ref="J48" ca="1">IFERROR(INDEX(Rango_Admin_Clas_Total,J$2,MATCH($A48,Rango_Admin_Clas_Primera,0)+1),"-")</f>
        <v>10</v>
      </c>
      <c r="K48" s="92" cm="1">
        <f t="array" aca="1" ref="K48" ca="1">IFERROR(INDEX(Rango_Admin_Clas_Total,K$2,MATCH($A48,Rango_Admin_Clas_Primera,0)+1),"-")</f>
        <v>100</v>
      </c>
      <c r="L48" s="92" cm="1">
        <f t="array" aca="1" ref="L48" ca="1">IFERROR(INDEX(Rango_Admin_Clas_Total,L$2,MATCH($A48,Rango_Admin_Clas_Primera,0)+1),"-")</f>
        <v>10</v>
      </c>
      <c r="M48" s="92" cm="1">
        <f t="array" aca="1" ref="M48" ca="1">IFERROR(INDEX(Rango_Admin_Clas_Total,M$2,MATCH($A48,Rango_Admin_Clas_Primera,0)+1),"-")</f>
        <v>60</v>
      </c>
      <c r="N48" s="92" cm="1">
        <f t="array" aca="1" ref="N48" ca="1">IFERROR(INDEX(Rango_Admin_Clas_Total,N$2,MATCH($A48,Rango_Admin_Clas_Primera,0)+1),"-")</f>
        <v>0</v>
      </c>
      <c r="O48" s="92" cm="1">
        <f t="array" aca="1" ref="O48" ca="1">IFERROR(INDEX(Rango_Admin_Clas_Total,O$2,MATCH($A48,Rango_Admin_Clas_Primera,0)+1),"-")</f>
        <v>0</v>
      </c>
      <c r="P48" s="92" cm="1">
        <f t="array" aca="1" ref="P48" ca="1">IFERROR(INDEX(Rango_Admin_Clas_Total,P$2,MATCH($A48,Rango_Admin_Clas_Primera,0)+1),"-")</f>
        <v>0</v>
      </c>
      <c r="Q48" s="92" cm="1">
        <f t="array" aca="1" ref="Q48" ca="1">IFERROR(INDEX(Rango_Admin_Clas_Total,Q$2,MATCH($A48,Rango_Admin_Clas_Primera,0)+1),"-")</f>
        <v>0</v>
      </c>
      <c r="R48" s="92" cm="1">
        <f t="array" aca="1" ref="R48" ca="1">IFERROR(INDEX(Rango_Admin_Clas_Total,R$2,MATCH($A48,Rango_Admin_Clas_Primera,0)+1),"-")</f>
        <v>0</v>
      </c>
      <c r="S48" s="92" cm="1">
        <f t="array" aca="1" ref="S48" ca="1">IFERROR(INDEX(Rango_Admin_Clas_Total,S$2,MATCH($A48,Rango_Admin_Clas_Primera,0)+1),"-")</f>
        <v>20</v>
      </c>
      <c r="T48" s="297"/>
      <c r="U48" s="297"/>
    </row>
    <row r="49" spans="1:21">
      <c r="A49" s="19">
        <f t="shared" si="0"/>
        <v>45</v>
      </c>
      <c r="B49" s="22">
        <f ca="1">IFERROR(HLOOKUP(A49,Rango_Admin_Clas,3,FALSE),"-")</f>
        <v>45</v>
      </c>
      <c r="C49" s="18" t="str">
        <f ca="1">IFERROR(HLOOKUP(A49,Rango_Admin_Clas,5,FALSE),"-")</f>
        <v>Niek Pampiermole</v>
      </c>
      <c r="D49" s="91">
        <f ca="1">IFERROR(HLOOKUP(A49,Rango_Admin_Clas,4,FALSE),"-")</f>
        <v>1193</v>
      </c>
      <c r="E49" s="92" cm="1">
        <f t="array" aca="1" ref="E49" ca="1">IFERROR(INDEX(Rango_Admin_Clas_Total,E$2,MATCH($A49,Rango_Admin_Clas_Primera,0)+1),"-")</f>
        <v>514</v>
      </c>
      <c r="F49" s="92" cm="1">
        <f t="array" aca="1" ref="F49" ca="1">IFERROR(INDEX(Rango_Admin_Clas_Total,F$2,MATCH($A49,Rango_Admin_Clas_Primera,0)+1),"-")</f>
        <v>279</v>
      </c>
      <c r="G49" s="92" cm="1">
        <f t="array" aca="1" ref="G49" ca="1">IFERROR(INDEX(Rango_Admin_Clas_Total,G$2,MATCH($A49,Rango_Admin_Clas_Primera,0)+1),"-")</f>
        <v>135</v>
      </c>
      <c r="H49" s="92" cm="1">
        <f t="array" aca="1" ref="H49" ca="1">IFERROR(INDEX(Rango_Admin_Clas_Total,H$2,MATCH($A49,Rango_Admin_Clas_Primera,0)+1),"-")</f>
        <v>0</v>
      </c>
      <c r="I49" s="92" cm="1">
        <f t="array" aca="1" ref="I49" ca="1">IFERROR(INDEX(Rango_Admin_Clas_Total,I$2,MATCH($A49,Rango_Admin_Clas_Primera,0)+1),"-")</f>
        <v>100</v>
      </c>
      <c r="J49" s="92" cm="1">
        <f t="array" aca="1" ref="J49" ca="1">IFERROR(INDEX(Rango_Admin_Clas_Total,J$2,MATCH($A49,Rango_Admin_Clas_Primera,0)+1),"-")</f>
        <v>10</v>
      </c>
      <c r="K49" s="92" cm="1">
        <f t="array" aca="1" ref="K49" ca="1">IFERROR(INDEX(Rango_Admin_Clas_Total,K$2,MATCH($A49,Rango_Admin_Clas_Primera,0)+1),"-")</f>
        <v>80</v>
      </c>
      <c r="L49" s="92" cm="1">
        <f t="array" aca="1" ref="L49" ca="1">IFERROR(INDEX(Rango_Admin_Clas_Total,L$2,MATCH($A49,Rango_Admin_Clas_Primera,0)+1),"-")</f>
        <v>0</v>
      </c>
      <c r="M49" s="92" cm="1">
        <f t="array" aca="1" ref="M49" ca="1">IFERROR(INDEX(Rango_Admin_Clas_Total,M$2,MATCH($A49,Rango_Admin_Clas_Primera,0)+1),"-")</f>
        <v>60</v>
      </c>
      <c r="N49" s="92" cm="1">
        <f t="array" aca="1" ref="N49" ca="1">IFERROR(INDEX(Rango_Admin_Clas_Total,N$2,MATCH($A49,Rango_Admin_Clas_Primera,0)+1),"-")</f>
        <v>0</v>
      </c>
      <c r="O49" s="92" cm="1">
        <f t="array" aca="1" ref="O49" ca="1">IFERROR(INDEX(Rango_Admin_Clas_Total,O$2,MATCH($A49,Rango_Admin_Clas_Primera,0)+1),"-")</f>
        <v>15</v>
      </c>
      <c r="P49" s="92" cm="1">
        <f t="array" aca="1" ref="P49" ca="1">IFERROR(INDEX(Rango_Admin_Clas_Total,P$2,MATCH($A49,Rango_Admin_Clas_Primera,0)+1),"-")</f>
        <v>0</v>
      </c>
      <c r="Q49" s="92" cm="1">
        <f t="array" aca="1" ref="Q49" ca="1">IFERROR(INDEX(Rango_Admin_Clas_Total,Q$2,MATCH($A49,Rango_Admin_Clas_Primera,0)+1),"-")</f>
        <v>0</v>
      </c>
      <c r="R49" s="92" cm="1">
        <f t="array" aca="1" ref="R49" ca="1">IFERROR(INDEX(Rango_Admin_Clas_Total,R$2,MATCH($A49,Rango_Admin_Clas_Primera,0)+1),"-")</f>
        <v>0</v>
      </c>
      <c r="S49" s="92" cm="1">
        <f t="array" aca="1" ref="S49" ca="1">IFERROR(INDEX(Rango_Admin_Clas_Total,S$2,MATCH($A49,Rango_Admin_Clas_Primera,0)+1),"-")</f>
        <v>0</v>
      </c>
      <c r="T49" s="297"/>
      <c r="U49" s="297"/>
    </row>
    <row r="50" spans="1:21">
      <c r="A50" s="19">
        <f t="shared" si="0"/>
        <v>46</v>
      </c>
      <c r="B50" s="22">
        <f ca="1">IFERROR(HLOOKUP(A50,Rango_Admin_Clas,3,FALSE),"-")</f>
        <v>46</v>
      </c>
      <c r="C50" s="18" t="str">
        <f ca="1">IFERROR(HLOOKUP(A50,Rango_Admin_Clas,5,FALSE),"-")</f>
        <v>Niels Tomesen</v>
      </c>
      <c r="D50" s="91">
        <f ca="1">IFERROR(HLOOKUP(A50,Rango_Admin_Clas,4,FALSE),"-")</f>
        <v>1192</v>
      </c>
      <c r="E50" s="92" cm="1">
        <f t="array" aca="1" ref="E50" ca="1">IFERROR(INDEX(Rango_Admin_Clas_Total,E$2,MATCH($A50,Rango_Admin_Clas_Primera,0)+1),"-")</f>
        <v>436</v>
      </c>
      <c r="F50" s="92" cm="1">
        <f t="array" aca="1" ref="F50" ca="1">IFERROR(INDEX(Rango_Admin_Clas_Total,F$2,MATCH($A50,Rango_Admin_Clas_Primera,0)+1),"-")</f>
        <v>262</v>
      </c>
      <c r="G50" s="92" cm="1">
        <f t="array" aca="1" ref="G50" ca="1">IFERROR(INDEX(Rango_Admin_Clas_Total,G$2,MATCH($A50,Rango_Admin_Clas_Primera,0)+1),"-")</f>
        <v>115</v>
      </c>
      <c r="H50" s="92" cm="1">
        <f t="array" aca="1" ref="H50" ca="1">IFERROR(INDEX(Rango_Admin_Clas_Total,H$2,MATCH($A50,Rango_Admin_Clas_Primera,0)+1),"-")</f>
        <v>20</v>
      </c>
      <c r="I50" s="92" cm="1">
        <f t="array" aca="1" ref="I50" ca="1">IFERROR(INDEX(Rango_Admin_Clas_Total,I$2,MATCH($A50,Rango_Admin_Clas_Primera,0)+1),"-")</f>
        <v>110</v>
      </c>
      <c r="J50" s="92" cm="1">
        <f t="array" aca="1" ref="J50" ca="1">IFERROR(INDEX(Rango_Admin_Clas_Total,J$2,MATCH($A50,Rango_Admin_Clas_Primera,0)+1),"-")</f>
        <v>10</v>
      </c>
      <c r="K50" s="92" cm="1">
        <f t="array" aca="1" ref="K50" ca="1">IFERROR(INDEX(Rango_Admin_Clas_Total,K$2,MATCH($A50,Rango_Admin_Clas_Primera,0)+1),"-")</f>
        <v>100</v>
      </c>
      <c r="L50" s="92" cm="1">
        <f t="array" aca="1" ref="L50" ca="1">IFERROR(INDEX(Rango_Admin_Clas_Total,L$2,MATCH($A50,Rango_Admin_Clas_Primera,0)+1),"-")</f>
        <v>20</v>
      </c>
      <c r="M50" s="92" cm="1">
        <f t="array" aca="1" ref="M50" ca="1">IFERROR(INDEX(Rango_Admin_Clas_Total,M$2,MATCH($A50,Rango_Admin_Clas_Primera,0)+1),"-")</f>
        <v>90</v>
      </c>
      <c r="N50" s="92" cm="1">
        <f t="array" aca="1" ref="N50" ca="1">IFERROR(INDEX(Rango_Admin_Clas_Total,N$2,MATCH($A50,Rango_Admin_Clas_Primera,0)+1),"-")</f>
        <v>0</v>
      </c>
      <c r="O50" s="92" cm="1">
        <f t="array" aca="1" ref="O50" ca="1">IFERROR(INDEX(Rango_Admin_Clas_Total,O$2,MATCH($A50,Rango_Admin_Clas_Primera,0)+1),"-")</f>
        <v>0</v>
      </c>
      <c r="P50" s="92" cm="1">
        <f t="array" aca="1" ref="P50" ca="1">IFERROR(INDEX(Rango_Admin_Clas_Total,P$2,MATCH($A50,Rango_Admin_Clas_Primera,0)+1),"-")</f>
        <v>0</v>
      </c>
      <c r="Q50" s="92" cm="1">
        <f t="array" aca="1" ref="Q50" ca="1">IFERROR(INDEX(Rango_Admin_Clas_Total,Q$2,MATCH($A50,Rango_Admin_Clas_Primera,0)+1),"-")</f>
        <v>0</v>
      </c>
      <c r="R50" s="92" cm="1">
        <f t="array" aca="1" ref="R50" ca="1">IFERROR(INDEX(Rango_Admin_Clas_Total,R$2,MATCH($A50,Rango_Admin_Clas_Primera,0)+1),"-")</f>
        <v>0</v>
      </c>
      <c r="S50" s="92" cm="1">
        <f t="array" aca="1" ref="S50" ca="1">IFERROR(INDEX(Rango_Admin_Clas_Total,S$2,MATCH($A50,Rango_Admin_Clas_Primera,0)+1),"-")</f>
        <v>29</v>
      </c>
      <c r="T50" s="297"/>
      <c r="U50" s="297"/>
    </row>
    <row r="51" spans="1:21">
      <c r="A51" s="19">
        <f t="shared" si="0"/>
        <v>47</v>
      </c>
      <c r="B51" s="22">
        <f ca="1">IFERROR(HLOOKUP(A51,Rango_Admin_Clas,3,FALSE),"-")</f>
        <v>47</v>
      </c>
      <c r="C51" s="18" t="str">
        <f ca="1">IFERROR(HLOOKUP(A51,Rango_Admin_Clas,5,FALSE),"-")</f>
        <v>Ilonka Zwienenberg</v>
      </c>
      <c r="D51" s="91">
        <f ca="1">IFERROR(HLOOKUP(A51,Rango_Admin_Clas,4,FALSE),"-")</f>
        <v>1165</v>
      </c>
      <c r="E51" s="92" cm="1">
        <f t="array" aca="1" ref="E51" ca="1">IFERROR(INDEX(Rango_Admin_Clas_Total,E$2,MATCH($A51,Rango_Admin_Clas_Primera,0)+1),"-")</f>
        <v>386</v>
      </c>
      <c r="F51" s="92" cm="1">
        <f t="array" aca="1" ref="F51" ca="1">IFERROR(INDEX(Rango_Admin_Clas_Total,F$2,MATCH($A51,Rango_Admin_Clas_Primera,0)+1),"-")</f>
        <v>297</v>
      </c>
      <c r="G51" s="92" cm="1">
        <f t="array" aca="1" ref="G51" ca="1">IFERROR(INDEX(Rango_Admin_Clas_Total,G$2,MATCH($A51,Rango_Admin_Clas_Primera,0)+1),"-")</f>
        <v>120</v>
      </c>
      <c r="H51" s="92" cm="1">
        <f t="array" aca="1" ref="H51" ca="1">IFERROR(INDEX(Rango_Admin_Clas_Total,H$2,MATCH($A51,Rango_Admin_Clas_Primera,0)+1),"-")</f>
        <v>30</v>
      </c>
      <c r="I51" s="92" cm="1">
        <f t="array" aca="1" ref="I51" ca="1">IFERROR(INDEX(Rango_Admin_Clas_Total,I$2,MATCH($A51,Rango_Admin_Clas_Primera,0)+1),"-")</f>
        <v>100</v>
      </c>
      <c r="J51" s="92" cm="1">
        <f t="array" aca="1" ref="J51" ca="1">IFERROR(INDEX(Rango_Admin_Clas_Total,J$2,MATCH($A51,Rango_Admin_Clas_Primera,0)+1),"-")</f>
        <v>22</v>
      </c>
      <c r="K51" s="92" cm="1">
        <f t="array" aca="1" ref="K51" ca="1">IFERROR(INDEX(Rango_Admin_Clas_Total,K$2,MATCH($A51,Rango_Admin_Clas_Primera,0)+1),"-")</f>
        <v>100</v>
      </c>
      <c r="L51" s="92" cm="1">
        <f t="array" aca="1" ref="L51" ca="1">IFERROR(INDEX(Rango_Admin_Clas_Total,L$2,MATCH($A51,Rango_Admin_Clas_Primera,0)+1),"-")</f>
        <v>20</v>
      </c>
      <c r="M51" s="92" cm="1">
        <f t="array" aca="1" ref="M51" ca="1">IFERROR(INDEX(Rango_Admin_Clas_Total,M$2,MATCH($A51,Rango_Admin_Clas_Primera,0)+1),"-")</f>
        <v>90</v>
      </c>
      <c r="N51" s="92" cm="1">
        <f t="array" aca="1" ref="N51" ca="1">IFERROR(INDEX(Rango_Admin_Clas_Total,N$2,MATCH($A51,Rango_Admin_Clas_Primera,0)+1),"-")</f>
        <v>0</v>
      </c>
      <c r="O51" s="92" cm="1">
        <f t="array" aca="1" ref="O51" ca="1">IFERROR(INDEX(Rango_Admin_Clas_Total,O$2,MATCH($A51,Rango_Admin_Clas_Primera,0)+1),"-")</f>
        <v>0</v>
      </c>
      <c r="P51" s="92" cm="1">
        <f t="array" aca="1" ref="P51" ca="1">IFERROR(INDEX(Rango_Admin_Clas_Total,P$2,MATCH($A51,Rango_Admin_Clas_Primera,0)+1),"-")</f>
        <v>0</v>
      </c>
      <c r="Q51" s="92" cm="1">
        <f t="array" aca="1" ref="Q51" ca="1">IFERROR(INDEX(Rango_Admin_Clas_Total,Q$2,MATCH($A51,Rango_Admin_Clas_Primera,0)+1),"-")</f>
        <v>0</v>
      </c>
      <c r="R51" s="92" cm="1">
        <f t="array" aca="1" ref="R51" ca="1">IFERROR(INDEX(Rango_Admin_Clas_Total,R$2,MATCH($A51,Rango_Admin_Clas_Primera,0)+1),"-")</f>
        <v>0</v>
      </c>
      <c r="S51" s="92" cm="1">
        <f t="array" aca="1" ref="S51" ca="1">IFERROR(INDEX(Rango_Admin_Clas_Total,S$2,MATCH($A51,Rango_Admin_Clas_Primera,0)+1),"-")</f>
        <v>0</v>
      </c>
      <c r="T51" s="297"/>
      <c r="U51" s="297"/>
    </row>
    <row r="52" spans="1:21">
      <c r="A52" s="19">
        <f t="shared" si="0"/>
        <v>48</v>
      </c>
      <c r="B52" s="22">
        <f ca="1">IFERROR(HLOOKUP(A52,Rango_Admin_Clas,3,FALSE),"-")</f>
        <v>48</v>
      </c>
      <c r="C52" s="18" t="str">
        <f ca="1">IFERROR(HLOOKUP(A52,Rango_Admin_Clas,5,FALSE),"-")</f>
        <v>Michael de Graaf</v>
      </c>
      <c r="D52" s="91">
        <f ca="1">IFERROR(HLOOKUP(A52,Rango_Admin_Clas,4,FALSE),"-")</f>
        <v>1155</v>
      </c>
      <c r="E52" s="92" cm="1">
        <f t="array" aca="1" ref="E52" ca="1">IFERROR(INDEX(Rango_Admin_Clas_Total,E$2,MATCH($A52,Rango_Admin_Clas_Primera,0)+1),"-")</f>
        <v>464</v>
      </c>
      <c r="F52" s="92" cm="1">
        <f t="array" aca="1" ref="F52" ca="1">IFERROR(INDEX(Rango_Admin_Clas_Total,F$2,MATCH($A52,Rango_Admin_Clas_Primera,0)+1),"-")</f>
        <v>281</v>
      </c>
      <c r="G52" s="92" cm="1">
        <f t="array" aca="1" ref="G52" ca="1">IFERROR(INDEX(Rango_Admin_Clas_Total,G$2,MATCH($A52,Rango_Admin_Clas_Primera,0)+1),"-")</f>
        <v>130</v>
      </c>
      <c r="H52" s="92" cm="1">
        <f t="array" aca="1" ref="H52" ca="1">IFERROR(INDEX(Rango_Admin_Clas_Total,H$2,MATCH($A52,Rango_Admin_Clas_Primera,0)+1),"-")</f>
        <v>30</v>
      </c>
      <c r="I52" s="92" cm="1">
        <f t="array" aca="1" ref="I52" ca="1">IFERROR(INDEX(Rango_Admin_Clas_Total,I$2,MATCH($A52,Rango_Admin_Clas_Primera,0)+1),"-")</f>
        <v>90</v>
      </c>
      <c r="J52" s="92" cm="1">
        <f t="array" aca="1" ref="J52" ca="1">IFERROR(INDEX(Rango_Admin_Clas_Total,J$2,MATCH($A52,Rango_Admin_Clas_Primera,0)+1),"-")</f>
        <v>10</v>
      </c>
      <c r="K52" s="92" cm="1">
        <f t="array" aca="1" ref="K52" ca="1">IFERROR(INDEX(Rango_Admin_Clas_Total,K$2,MATCH($A52,Rango_Admin_Clas_Primera,0)+1),"-")</f>
        <v>80</v>
      </c>
      <c r="L52" s="92" cm="1">
        <f t="array" aca="1" ref="L52" ca="1">IFERROR(INDEX(Rango_Admin_Clas_Total,L$2,MATCH($A52,Rango_Admin_Clas_Primera,0)+1),"-")</f>
        <v>10</v>
      </c>
      <c r="M52" s="92" cm="1">
        <f t="array" aca="1" ref="M52" ca="1">IFERROR(INDEX(Rango_Admin_Clas_Total,M$2,MATCH($A52,Rango_Admin_Clas_Primera,0)+1),"-")</f>
        <v>60</v>
      </c>
      <c r="N52" s="92" cm="1">
        <f t="array" aca="1" ref="N52" ca="1">IFERROR(INDEX(Rango_Admin_Clas_Total,N$2,MATCH($A52,Rango_Admin_Clas_Primera,0)+1),"-")</f>
        <v>0</v>
      </c>
      <c r="O52" s="92" cm="1">
        <f t="array" aca="1" ref="O52" ca="1">IFERROR(INDEX(Rango_Admin_Clas_Total,O$2,MATCH($A52,Rango_Admin_Clas_Primera,0)+1),"-")</f>
        <v>0</v>
      </c>
      <c r="P52" s="92" cm="1">
        <f t="array" aca="1" ref="P52" ca="1">IFERROR(INDEX(Rango_Admin_Clas_Total,P$2,MATCH($A52,Rango_Admin_Clas_Primera,0)+1),"-")</f>
        <v>0</v>
      </c>
      <c r="Q52" s="92" cm="1">
        <f t="array" aca="1" ref="Q52" ca="1">IFERROR(INDEX(Rango_Admin_Clas_Total,Q$2,MATCH($A52,Rango_Admin_Clas_Primera,0)+1),"-")</f>
        <v>0</v>
      </c>
      <c r="R52" s="92" cm="1">
        <f t="array" aca="1" ref="R52" ca="1">IFERROR(INDEX(Rango_Admin_Clas_Total,R$2,MATCH($A52,Rango_Admin_Clas_Primera,0)+1),"-")</f>
        <v>0</v>
      </c>
      <c r="S52" s="92" cm="1">
        <f t="array" aca="1" ref="S52" ca="1">IFERROR(INDEX(Rango_Admin_Clas_Total,S$2,MATCH($A52,Rango_Admin_Clas_Primera,0)+1),"-")</f>
        <v>0</v>
      </c>
      <c r="T52" s="297"/>
      <c r="U52" s="297"/>
    </row>
    <row r="53" spans="1:21">
      <c r="A53" s="19">
        <f t="shared" si="0"/>
        <v>49</v>
      </c>
      <c r="B53" s="22">
        <f ca="1">IFERROR(HLOOKUP(A53,Rango_Admin_Clas,3,FALSE),"-")</f>
        <v>49</v>
      </c>
      <c r="C53" s="18" t="str">
        <f ca="1">IFERROR(HLOOKUP(A53,Rango_Admin_Clas,5,FALSE),"-")</f>
        <v>Bart Kok</v>
      </c>
      <c r="D53" s="91">
        <f ca="1">IFERROR(HLOOKUP(A53,Rango_Admin_Clas,4,FALSE),"-")</f>
        <v>1150</v>
      </c>
      <c r="E53" s="92" cm="1">
        <f t="array" aca="1" ref="E53" ca="1">IFERROR(INDEX(Rango_Admin_Clas_Total,E$2,MATCH($A53,Rango_Admin_Clas_Primera,0)+1),"-")</f>
        <v>488</v>
      </c>
      <c r="F53" s="92" cm="1">
        <f t="array" aca="1" ref="F53" ca="1">IFERROR(INDEX(Rango_Admin_Clas_Total,F$2,MATCH($A53,Rango_Admin_Clas_Primera,0)+1),"-")</f>
        <v>302</v>
      </c>
      <c r="G53" s="92" cm="1">
        <f t="array" aca="1" ref="G53" ca="1">IFERROR(INDEX(Rango_Admin_Clas_Total,G$2,MATCH($A53,Rango_Admin_Clas_Primera,0)+1),"-")</f>
        <v>135</v>
      </c>
      <c r="H53" s="92" cm="1">
        <f t="array" aca="1" ref="H53" ca="1">IFERROR(INDEX(Rango_Admin_Clas_Total,H$2,MATCH($A53,Rango_Admin_Clas_Primera,0)+1),"-")</f>
        <v>20</v>
      </c>
      <c r="I53" s="92" cm="1">
        <f t="array" aca="1" ref="I53" ca="1">IFERROR(INDEX(Rango_Admin_Clas_Total,I$2,MATCH($A53,Rango_Admin_Clas_Primera,0)+1),"-")</f>
        <v>60</v>
      </c>
      <c r="J53" s="92" cm="1">
        <f t="array" aca="1" ref="J53" ca="1">IFERROR(INDEX(Rango_Admin_Clas_Total,J$2,MATCH($A53,Rango_Admin_Clas_Primera,0)+1),"-")</f>
        <v>0</v>
      </c>
      <c r="K53" s="92" cm="1">
        <f t="array" aca="1" ref="K53" ca="1">IFERROR(INDEX(Rango_Admin_Clas_Total,K$2,MATCH($A53,Rango_Admin_Clas_Primera,0)+1),"-")</f>
        <v>60</v>
      </c>
      <c r="L53" s="92" cm="1">
        <f t="array" aca="1" ref="L53" ca="1">IFERROR(INDEX(Rango_Admin_Clas_Total,L$2,MATCH($A53,Rango_Admin_Clas_Primera,0)+1),"-")</f>
        <v>0</v>
      </c>
      <c r="M53" s="92" cm="1">
        <f t="array" aca="1" ref="M53" ca="1">IFERROR(INDEX(Rango_Admin_Clas_Total,M$2,MATCH($A53,Rango_Admin_Clas_Primera,0)+1),"-")</f>
        <v>60</v>
      </c>
      <c r="N53" s="92" cm="1">
        <f t="array" aca="1" ref="N53" ca="1">IFERROR(INDEX(Rango_Admin_Clas_Total,N$2,MATCH($A53,Rango_Admin_Clas_Primera,0)+1),"-")</f>
        <v>0</v>
      </c>
      <c r="O53" s="92" cm="1">
        <f t="array" aca="1" ref="O53" ca="1">IFERROR(INDEX(Rango_Admin_Clas_Total,O$2,MATCH($A53,Rango_Admin_Clas_Primera,0)+1),"-")</f>
        <v>0</v>
      </c>
      <c r="P53" s="92" cm="1">
        <f t="array" aca="1" ref="P53" ca="1">IFERROR(INDEX(Rango_Admin_Clas_Total,P$2,MATCH($A53,Rango_Admin_Clas_Primera,0)+1),"-")</f>
        <v>0</v>
      </c>
      <c r="Q53" s="92" cm="1">
        <f t="array" aca="1" ref="Q53" ca="1">IFERROR(INDEX(Rango_Admin_Clas_Total,Q$2,MATCH($A53,Rango_Admin_Clas_Primera,0)+1),"-")</f>
        <v>0</v>
      </c>
      <c r="R53" s="92" cm="1">
        <f t="array" aca="1" ref="R53" ca="1">IFERROR(INDEX(Rango_Admin_Clas_Total,R$2,MATCH($A53,Rango_Admin_Clas_Primera,0)+1),"-")</f>
        <v>0</v>
      </c>
      <c r="S53" s="92" cm="1">
        <f t="array" aca="1" ref="S53" ca="1">IFERROR(INDEX(Rango_Admin_Clas_Total,S$2,MATCH($A53,Rango_Admin_Clas_Primera,0)+1),"-")</f>
        <v>25</v>
      </c>
      <c r="T53" s="297"/>
      <c r="U53" s="297"/>
    </row>
    <row r="54" spans="1:21">
      <c r="A54" s="19">
        <f t="shared" si="0"/>
        <v>50</v>
      </c>
      <c r="B54" s="22">
        <f ca="1">IFERROR(HLOOKUP(A54,Rango_Admin_Clas,3,FALSE),"-")</f>
        <v>50</v>
      </c>
      <c r="C54" s="18" t="str">
        <f ca="1">IFERROR(HLOOKUP(A54,Rango_Admin_Clas,5,FALSE),"-")</f>
        <v>Bart Olde Keizer</v>
      </c>
      <c r="D54" s="91">
        <f ca="1">IFERROR(HLOOKUP(A54,Rango_Admin_Clas,4,FALSE),"-")</f>
        <v>1148</v>
      </c>
      <c r="E54" s="92" cm="1">
        <f t="array" aca="1" ref="E54" ca="1">IFERROR(INDEX(Rango_Admin_Clas_Total,E$2,MATCH($A54,Rango_Admin_Clas_Primera,0)+1),"-")</f>
        <v>486</v>
      </c>
      <c r="F54" s="92" cm="1">
        <f t="array" aca="1" ref="F54" ca="1">IFERROR(INDEX(Rango_Admin_Clas_Total,F$2,MATCH($A54,Rango_Admin_Clas_Primera,0)+1),"-")</f>
        <v>221</v>
      </c>
      <c r="G54" s="92" cm="1">
        <f t="array" aca="1" ref="G54" ca="1">IFERROR(INDEX(Rango_Admin_Clas_Total,G$2,MATCH($A54,Rango_Admin_Clas_Primera,0)+1),"-")</f>
        <v>130</v>
      </c>
      <c r="H54" s="92" cm="1">
        <f t="array" aca="1" ref="H54" ca="1">IFERROR(INDEX(Rango_Admin_Clas_Total,H$2,MATCH($A54,Rango_Admin_Clas_Primera,0)+1),"-")</f>
        <v>34</v>
      </c>
      <c r="I54" s="92" cm="1">
        <f t="array" aca="1" ref="I54" ca="1">IFERROR(INDEX(Rango_Admin_Clas_Total,I$2,MATCH($A54,Rango_Admin_Clas_Primera,0)+1),"-")</f>
        <v>110</v>
      </c>
      <c r="J54" s="92" cm="1">
        <f t="array" aca="1" ref="J54" ca="1">IFERROR(INDEX(Rango_Admin_Clas_Total,J$2,MATCH($A54,Rango_Admin_Clas_Primera,0)+1),"-")</f>
        <v>12</v>
      </c>
      <c r="K54" s="92" cm="1">
        <f t="array" aca="1" ref="K54" ca="1">IFERROR(INDEX(Rango_Admin_Clas_Total,K$2,MATCH($A54,Rango_Admin_Clas_Primera,0)+1),"-")</f>
        <v>60</v>
      </c>
      <c r="L54" s="92" cm="1">
        <f t="array" aca="1" ref="L54" ca="1">IFERROR(INDEX(Rango_Admin_Clas_Total,L$2,MATCH($A54,Rango_Admin_Clas_Primera,0)+1),"-")</f>
        <v>0</v>
      </c>
      <c r="M54" s="92" cm="1">
        <f t="array" aca="1" ref="M54" ca="1">IFERROR(INDEX(Rango_Admin_Clas_Total,M$2,MATCH($A54,Rango_Admin_Clas_Primera,0)+1),"-")</f>
        <v>60</v>
      </c>
      <c r="N54" s="92" cm="1">
        <f t="array" aca="1" ref="N54" ca="1">IFERROR(INDEX(Rango_Admin_Clas_Total,N$2,MATCH($A54,Rango_Admin_Clas_Primera,0)+1),"-")</f>
        <v>0</v>
      </c>
      <c r="O54" s="92" cm="1">
        <f t="array" aca="1" ref="O54" ca="1">IFERROR(INDEX(Rango_Admin_Clas_Total,O$2,MATCH($A54,Rango_Admin_Clas_Primera,0)+1),"-")</f>
        <v>15</v>
      </c>
      <c r="P54" s="92" cm="1">
        <f t="array" aca="1" ref="P54" ca="1">IFERROR(INDEX(Rango_Admin_Clas_Total,P$2,MATCH($A54,Rango_Admin_Clas_Primera,0)+1),"-")</f>
        <v>0</v>
      </c>
      <c r="Q54" s="92" cm="1">
        <f t="array" aca="1" ref="Q54" ca="1">IFERROR(INDEX(Rango_Admin_Clas_Total,Q$2,MATCH($A54,Rango_Admin_Clas_Primera,0)+1),"-")</f>
        <v>0</v>
      </c>
      <c r="R54" s="92" cm="1">
        <f t="array" aca="1" ref="R54" ca="1">IFERROR(INDEX(Rango_Admin_Clas_Total,R$2,MATCH($A54,Rango_Admin_Clas_Primera,0)+1),"-")</f>
        <v>0</v>
      </c>
      <c r="S54" s="92" cm="1">
        <f t="array" aca="1" ref="S54" ca="1">IFERROR(INDEX(Rango_Admin_Clas_Total,S$2,MATCH($A54,Rango_Admin_Clas_Primera,0)+1),"-")</f>
        <v>20</v>
      </c>
      <c r="T54" s="297"/>
      <c r="U54" s="297"/>
    </row>
    <row r="55" spans="1:21">
      <c r="A55" s="19">
        <f t="shared" si="0"/>
        <v>51</v>
      </c>
      <c r="B55" s="22">
        <f ca="1">IFERROR(HLOOKUP(A55,Rango_Admin_Clas,3,FALSE),"-")</f>
        <v>51</v>
      </c>
      <c r="C55" s="18" t="str">
        <f ca="1">IFERROR(HLOOKUP(A55,Rango_Admin_Clas,5,FALSE),"-")</f>
        <v>Timo Konniger</v>
      </c>
      <c r="D55" s="91">
        <f ca="1">IFERROR(HLOOKUP(A55,Rango_Admin_Clas,4,FALSE),"-")</f>
        <v>1137</v>
      </c>
      <c r="E55" s="92" cm="1">
        <f t="array" aca="1" ref="E55" ca="1">IFERROR(INDEX(Rango_Admin_Clas_Total,E$2,MATCH($A55,Rango_Admin_Clas_Primera,0)+1),"-")</f>
        <v>456</v>
      </c>
      <c r="F55" s="92" cm="1">
        <f t="array" aca="1" ref="F55" ca="1">IFERROR(INDEX(Rango_Admin_Clas_Total,F$2,MATCH($A55,Rango_Admin_Clas_Primera,0)+1),"-")</f>
        <v>264</v>
      </c>
      <c r="G55" s="92" cm="1">
        <f t="array" aca="1" ref="G55" ca="1">IFERROR(INDEX(Rango_Admin_Clas_Total,G$2,MATCH($A55,Rango_Admin_Clas_Primera,0)+1),"-")</f>
        <v>135</v>
      </c>
      <c r="H55" s="92" cm="1">
        <f t="array" aca="1" ref="H55" ca="1">IFERROR(INDEX(Rango_Admin_Clas_Total,H$2,MATCH($A55,Rango_Admin_Clas_Primera,0)+1),"-")</f>
        <v>12</v>
      </c>
      <c r="I55" s="92" cm="1">
        <f t="array" aca="1" ref="I55" ca="1">IFERROR(INDEX(Rango_Admin_Clas_Total,I$2,MATCH($A55,Rango_Admin_Clas_Primera,0)+1),"-")</f>
        <v>100</v>
      </c>
      <c r="J55" s="92" cm="1">
        <f t="array" aca="1" ref="J55" ca="1">IFERROR(INDEX(Rango_Admin_Clas_Total,J$2,MATCH($A55,Rango_Admin_Clas_Primera,0)+1),"-")</f>
        <v>0</v>
      </c>
      <c r="K55" s="92" cm="1">
        <f t="array" aca="1" ref="K55" ca="1">IFERROR(INDEX(Rango_Admin_Clas_Total,K$2,MATCH($A55,Rango_Admin_Clas_Primera,0)+1),"-")</f>
        <v>80</v>
      </c>
      <c r="L55" s="92" cm="1">
        <f t="array" aca="1" ref="L55" ca="1">IFERROR(INDEX(Rango_Admin_Clas_Total,L$2,MATCH($A55,Rango_Admin_Clas_Primera,0)+1),"-")</f>
        <v>0</v>
      </c>
      <c r="M55" s="92" cm="1">
        <f t="array" aca="1" ref="M55" ca="1">IFERROR(INDEX(Rango_Admin_Clas_Total,M$2,MATCH($A55,Rango_Admin_Clas_Primera,0)+1),"-")</f>
        <v>90</v>
      </c>
      <c r="N55" s="92" cm="1">
        <f t="array" aca="1" ref="N55" ca="1">IFERROR(INDEX(Rango_Admin_Clas_Total,N$2,MATCH($A55,Rango_Admin_Clas_Primera,0)+1),"-")</f>
        <v>0</v>
      </c>
      <c r="O55" s="92" cm="1">
        <f t="array" aca="1" ref="O55" ca="1">IFERROR(INDEX(Rango_Admin_Clas_Total,O$2,MATCH($A55,Rango_Admin_Clas_Primera,0)+1),"-")</f>
        <v>0</v>
      </c>
      <c r="P55" s="92" cm="1">
        <f t="array" aca="1" ref="P55" ca="1">IFERROR(INDEX(Rango_Admin_Clas_Total,P$2,MATCH($A55,Rango_Admin_Clas_Primera,0)+1),"-")</f>
        <v>0</v>
      </c>
      <c r="Q55" s="92" cm="1">
        <f t="array" aca="1" ref="Q55" ca="1">IFERROR(INDEX(Rango_Admin_Clas_Total,Q$2,MATCH($A55,Rango_Admin_Clas_Primera,0)+1),"-")</f>
        <v>0</v>
      </c>
      <c r="R55" s="92" cm="1">
        <f t="array" aca="1" ref="R55" ca="1">IFERROR(INDEX(Rango_Admin_Clas_Total,R$2,MATCH($A55,Rango_Admin_Clas_Primera,0)+1),"-")</f>
        <v>0</v>
      </c>
      <c r="S55" s="92" cm="1">
        <f t="array" aca="1" ref="S55" ca="1">IFERROR(INDEX(Rango_Admin_Clas_Total,S$2,MATCH($A55,Rango_Admin_Clas_Primera,0)+1),"-")</f>
        <v>0</v>
      </c>
      <c r="T55" s="297"/>
      <c r="U55" s="297"/>
    </row>
    <row r="56" spans="1:21">
      <c r="A56" s="19">
        <f t="shared" si="0"/>
        <v>52</v>
      </c>
      <c r="B56" s="22">
        <f ca="1">IFERROR(HLOOKUP(A56,Rango_Admin_Clas,3,FALSE),"-")</f>
        <v>52</v>
      </c>
      <c r="C56" s="18" t="str">
        <f ca="1">IFERROR(HLOOKUP(A56,Rango_Admin_Clas,5,FALSE),"-")</f>
        <v>Niels Besselink</v>
      </c>
      <c r="D56" s="91">
        <f ca="1">IFERROR(HLOOKUP(A56,Rango_Admin_Clas,4,FALSE),"-")</f>
        <v>1110</v>
      </c>
      <c r="E56" s="92" cm="1">
        <f t="array" aca="1" ref="E56" ca="1">IFERROR(INDEX(Rango_Admin_Clas_Total,E$2,MATCH($A56,Rango_Admin_Clas_Primera,0)+1),"-")</f>
        <v>412</v>
      </c>
      <c r="F56" s="92" cm="1">
        <f t="array" aca="1" ref="F56" ca="1">IFERROR(INDEX(Rango_Admin_Clas_Total,F$2,MATCH($A56,Rango_Admin_Clas_Primera,0)+1),"-")</f>
        <v>248</v>
      </c>
      <c r="G56" s="92" cm="1">
        <f t="array" aca="1" ref="G56" ca="1">IFERROR(INDEX(Rango_Admin_Clas_Total,G$2,MATCH($A56,Rango_Admin_Clas_Primera,0)+1),"-")</f>
        <v>120</v>
      </c>
      <c r="H56" s="92" cm="1">
        <f t="array" aca="1" ref="H56" ca="1">IFERROR(INDEX(Rango_Admin_Clas_Total,H$2,MATCH($A56,Rango_Admin_Clas_Primera,0)+1),"-")</f>
        <v>50</v>
      </c>
      <c r="I56" s="92" cm="1">
        <f t="array" aca="1" ref="I56" ca="1">IFERROR(INDEX(Rango_Admin_Clas_Total,I$2,MATCH($A56,Rango_Admin_Clas_Primera,0)+1),"-")</f>
        <v>90</v>
      </c>
      <c r="J56" s="92" cm="1">
        <f t="array" aca="1" ref="J56" ca="1">IFERROR(INDEX(Rango_Admin_Clas_Total,J$2,MATCH($A56,Rango_Admin_Clas_Primera,0)+1),"-")</f>
        <v>0</v>
      </c>
      <c r="K56" s="92" cm="1">
        <f t="array" aca="1" ref="K56" ca="1">IFERROR(INDEX(Rango_Admin_Clas_Total,K$2,MATCH($A56,Rango_Admin_Clas_Primera,0)+1),"-")</f>
        <v>100</v>
      </c>
      <c r="L56" s="92" cm="1">
        <f t="array" aca="1" ref="L56" ca="1">IFERROR(INDEX(Rango_Admin_Clas_Total,L$2,MATCH($A56,Rango_Admin_Clas_Primera,0)+1),"-")</f>
        <v>10</v>
      </c>
      <c r="M56" s="92" cm="1">
        <f t="array" aca="1" ref="M56" ca="1">IFERROR(INDEX(Rango_Admin_Clas_Total,M$2,MATCH($A56,Rango_Admin_Clas_Primera,0)+1),"-")</f>
        <v>60</v>
      </c>
      <c r="N56" s="92" cm="1">
        <f t="array" aca="1" ref="N56" ca="1">IFERROR(INDEX(Rango_Admin_Clas_Total,N$2,MATCH($A56,Rango_Admin_Clas_Primera,0)+1),"-")</f>
        <v>0</v>
      </c>
      <c r="O56" s="92" cm="1">
        <f t="array" aca="1" ref="O56" ca="1">IFERROR(INDEX(Rango_Admin_Clas_Total,O$2,MATCH($A56,Rango_Admin_Clas_Primera,0)+1),"-")</f>
        <v>0</v>
      </c>
      <c r="P56" s="92" cm="1">
        <f t="array" aca="1" ref="P56" ca="1">IFERROR(INDEX(Rango_Admin_Clas_Total,P$2,MATCH($A56,Rango_Admin_Clas_Primera,0)+1),"-")</f>
        <v>0</v>
      </c>
      <c r="Q56" s="92" cm="1">
        <f t="array" aca="1" ref="Q56" ca="1">IFERROR(INDEX(Rango_Admin_Clas_Total,Q$2,MATCH($A56,Rango_Admin_Clas_Primera,0)+1),"-")</f>
        <v>0</v>
      </c>
      <c r="R56" s="92" cm="1">
        <f t="array" aca="1" ref="R56" ca="1">IFERROR(INDEX(Rango_Admin_Clas_Total,R$2,MATCH($A56,Rango_Admin_Clas_Primera,0)+1),"-")</f>
        <v>0</v>
      </c>
      <c r="S56" s="92" cm="1">
        <f t="array" aca="1" ref="S56" ca="1">IFERROR(INDEX(Rango_Admin_Clas_Total,S$2,MATCH($A56,Rango_Admin_Clas_Primera,0)+1),"-")</f>
        <v>20</v>
      </c>
      <c r="T56" s="297"/>
      <c r="U56" s="297"/>
    </row>
    <row r="57" spans="1:21">
      <c r="A57" s="19">
        <f t="shared" si="0"/>
        <v>53</v>
      </c>
      <c r="B57" s="22">
        <f ca="1">IFERROR(HLOOKUP(A57,Rango_Admin_Clas,3,FALSE),"-")</f>
        <v>53</v>
      </c>
      <c r="C57" s="18" t="str">
        <f ca="1">IFERROR(HLOOKUP(A57,Rango_Admin_Clas,5,FALSE),"-")</f>
        <v>Wouter Schiphorst</v>
      </c>
      <c r="D57" s="91">
        <f ca="1">IFERROR(HLOOKUP(A57,Rango_Admin_Clas,4,FALSE),"-")</f>
        <v>1081</v>
      </c>
      <c r="E57" s="92" cm="1">
        <f t="array" aca="1" ref="E57" ca="1">IFERROR(INDEX(Rango_Admin_Clas_Total,E$2,MATCH($A57,Rango_Admin_Clas_Primera,0)+1),"-")</f>
        <v>408</v>
      </c>
      <c r="F57" s="92" cm="1">
        <f t="array" aca="1" ref="F57" ca="1">IFERROR(INDEX(Rango_Admin_Clas_Total,F$2,MATCH($A57,Rango_Admin_Clas_Primera,0)+1),"-")</f>
        <v>202</v>
      </c>
      <c r="G57" s="92" cm="1">
        <f t="array" aca="1" ref="G57" ca="1">IFERROR(INDEX(Rango_Admin_Clas_Total,G$2,MATCH($A57,Rango_Admin_Clas_Primera,0)+1),"-")</f>
        <v>120</v>
      </c>
      <c r="H57" s="92" cm="1">
        <f t="array" aca="1" ref="H57" ca="1">IFERROR(INDEX(Rango_Admin_Clas_Total,H$2,MATCH($A57,Rango_Admin_Clas_Primera,0)+1),"-")</f>
        <v>22</v>
      </c>
      <c r="I57" s="92" cm="1">
        <f t="array" aca="1" ref="I57" ca="1">IFERROR(INDEX(Rango_Admin_Clas_Total,I$2,MATCH($A57,Rango_Admin_Clas_Primera,0)+1),"-")</f>
        <v>110</v>
      </c>
      <c r="J57" s="92" cm="1">
        <f t="array" aca="1" ref="J57" ca="1">IFERROR(INDEX(Rango_Admin_Clas_Total,J$2,MATCH($A57,Rango_Admin_Clas_Primera,0)+1),"-")</f>
        <v>0</v>
      </c>
      <c r="K57" s="92" cm="1">
        <f t="array" aca="1" ref="K57" ca="1">IFERROR(INDEX(Rango_Admin_Clas_Total,K$2,MATCH($A57,Rango_Admin_Clas_Primera,0)+1),"-")</f>
        <v>60</v>
      </c>
      <c r="L57" s="92" cm="1">
        <f t="array" aca="1" ref="L57" ca="1">IFERROR(INDEX(Rango_Admin_Clas_Total,L$2,MATCH($A57,Rango_Admin_Clas_Primera,0)+1),"-")</f>
        <v>10</v>
      </c>
      <c r="M57" s="92" cm="1">
        <f t="array" aca="1" ref="M57" ca="1">IFERROR(INDEX(Rango_Admin_Clas_Total,M$2,MATCH($A57,Rango_Admin_Clas_Primera,0)+1),"-")</f>
        <v>60</v>
      </c>
      <c r="N57" s="92" cm="1">
        <f t="array" aca="1" ref="N57" ca="1">IFERROR(INDEX(Rango_Admin_Clas_Total,N$2,MATCH($A57,Rango_Admin_Clas_Primera,0)+1),"-")</f>
        <v>0</v>
      </c>
      <c r="O57" s="92" cm="1">
        <f t="array" aca="1" ref="O57" ca="1">IFERROR(INDEX(Rango_Admin_Clas_Total,O$2,MATCH($A57,Rango_Admin_Clas_Primera,0)+1),"-")</f>
        <v>0</v>
      </c>
      <c r="P57" s="92" cm="1">
        <f t="array" aca="1" ref="P57" ca="1">IFERROR(INDEX(Rango_Admin_Clas_Total,P$2,MATCH($A57,Rango_Admin_Clas_Primera,0)+1),"-")</f>
        <v>45</v>
      </c>
      <c r="Q57" s="92" cm="1">
        <f t="array" aca="1" ref="Q57" ca="1">IFERROR(INDEX(Rango_Admin_Clas_Total,Q$2,MATCH($A57,Rango_Admin_Clas_Primera,0)+1),"-")</f>
        <v>0</v>
      </c>
      <c r="R57" s="92" cm="1">
        <f t="array" aca="1" ref="R57" ca="1">IFERROR(INDEX(Rango_Admin_Clas_Total,R$2,MATCH($A57,Rango_Admin_Clas_Primera,0)+1),"-")</f>
        <v>0</v>
      </c>
      <c r="S57" s="92" cm="1">
        <f t="array" aca="1" ref="S57" ca="1">IFERROR(INDEX(Rango_Admin_Clas_Total,S$2,MATCH($A57,Rango_Admin_Clas_Primera,0)+1),"-")</f>
        <v>44</v>
      </c>
      <c r="T57" s="297"/>
      <c r="U57" s="297"/>
    </row>
    <row r="58" spans="1:21">
      <c r="A58" s="19">
        <f t="shared" si="0"/>
        <v>54</v>
      </c>
      <c r="B58" s="22">
        <f ca="1">IFERROR(HLOOKUP(A58,Rango_Admin_Clas,3,FALSE),"-")</f>
        <v>54</v>
      </c>
      <c r="C58" s="18" t="str">
        <f ca="1">IFERROR(HLOOKUP(A58,Rango_Admin_Clas,5,FALSE),"-")</f>
        <v>Niels Klein Gebbink</v>
      </c>
      <c r="D58" s="91">
        <f ca="1">IFERROR(HLOOKUP(A58,Rango_Admin_Clas,4,FALSE),"-")</f>
        <v>1072</v>
      </c>
      <c r="E58" s="92" cm="1">
        <f t="array" aca="1" ref="E58" ca="1">IFERROR(INDEX(Rango_Admin_Clas_Total,E$2,MATCH($A58,Rango_Admin_Clas_Primera,0)+1),"-")</f>
        <v>436</v>
      </c>
      <c r="F58" s="92" cm="1">
        <f t="array" aca="1" ref="F58" ca="1">IFERROR(INDEX(Rango_Admin_Clas_Total,F$2,MATCH($A58,Rango_Admin_Clas_Primera,0)+1),"-")</f>
        <v>261</v>
      </c>
      <c r="G58" s="92" cm="1">
        <f t="array" aca="1" ref="G58" ca="1">IFERROR(INDEX(Rango_Admin_Clas_Total,G$2,MATCH($A58,Rango_Admin_Clas_Primera,0)+1),"-")</f>
        <v>125</v>
      </c>
      <c r="H58" s="92" cm="1">
        <f t="array" aca="1" ref="H58" ca="1">IFERROR(INDEX(Rango_Admin_Clas_Total,H$2,MATCH($A58,Rango_Admin_Clas_Primera,0)+1),"-")</f>
        <v>10</v>
      </c>
      <c r="I58" s="92" cm="1">
        <f t="array" aca="1" ref="I58" ca="1">IFERROR(INDEX(Rango_Admin_Clas_Total,I$2,MATCH($A58,Rango_Admin_Clas_Primera,0)+1),"-")</f>
        <v>100</v>
      </c>
      <c r="J58" s="92" cm="1">
        <f t="array" aca="1" ref="J58" ca="1">IFERROR(INDEX(Rango_Admin_Clas_Total,J$2,MATCH($A58,Rango_Admin_Clas_Primera,0)+1),"-")</f>
        <v>0</v>
      </c>
      <c r="K58" s="92" cm="1">
        <f t="array" aca="1" ref="K58" ca="1">IFERROR(INDEX(Rango_Admin_Clas_Total,K$2,MATCH($A58,Rango_Admin_Clas_Primera,0)+1),"-")</f>
        <v>60</v>
      </c>
      <c r="L58" s="92" cm="1">
        <f t="array" aca="1" ref="L58" ca="1">IFERROR(INDEX(Rango_Admin_Clas_Total,L$2,MATCH($A58,Rango_Admin_Clas_Primera,0)+1),"-")</f>
        <v>0</v>
      </c>
      <c r="M58" s="92" cm="1">
        <f t="array" aca="1" ref="M58" ca="1">IFERROR(INDEX(Rango_Admin_Clas_Total,M$2,MATCH($A58,Rango_Admin_Clas_Primera,0)+1),"-")</f>
        <v>60</v>
      </c>
      <c r="N58" s="92" cm="1">
        <f t="array" aca="1" ref="N58" ca="1">IFERROR(INDEX(Rango_Admin_Clas_Total,N$2,MATCH($A58,Rango_Admin_Clas_Primera,0)+1),"-")</f>
        <v>0</v>
      </c>
      <c r="O58" s="92" cm="1">
        <f t="array" aca="1" ref="O58" ca="1">IFERROR(INDEX(Rango_Admin_Clas_Total,O$2,MATCH($A58,Rango_Admin_Clas_Primera,0)+1),"-")</f>
        <v>0</v>
      </c>
      <c r="P58" s="92" cm="1">
        <f t="array" aca="1" ref="P58" ca="1">IFERROR(INDEX(Rango_Admin_Clas_Total,P$2,MATCH($A58,Rango_Admin_Clas_Primera,0)+1),"-")</f>
        <v>0</v>
      </c>
      <c r="Q58" s="92" cm="1">
        <f t="array" aca="1" ref="Q58" ca="1">IFERROR(INDEX(Rango_Admin_Clas_Total,Q$2,MATCH($A58,Rango_Admin_Clas_Primera,0)+1),"-")</f>
        <v>0</v>
      </c>
      <c r="R58" s="92" cm="1">
        <f t="array" aca="1" ref="R58" ca="1">IFERROR(INDEX(Rango_Admin_Clas_Total,R$2,MATCH($A58,Rango_Admin_Clas_Primera,0)+1),"-")</f>
        <v>0</v>
      </c>
      <c r="S58" s="92" cm="1">
        <f t="array" aca="1" ref="S58" ca="1">IFERROR(INDEX(Rango_Admin_Clas_Total,S$2,MATCH($A58,Rango_Admin_Clas_Primera,0)+1),"-")</f>
        <v>20</v>
      </c>
      <c r="T58" s="297"/>
      <c r="U58" s="297"/>
    </row>
    <row r="59" spans="1:21">
      <c r="A59" s="19">
        <f t="shared" si="0"/>
        <v>55</v>
      </c>
      <c r="B59" s="22">
        <f ca="1">IFERROR(HLOOKUP(A59,Rango_Admin_Clas,3,FALSE),"-")</f>
        <v>55</v>
      </c>
      <c r="C59" s="18" t="str">
        <f ca="1">IFERROR(HLOOKUP(A59,Rango_Admin_Clas,5,FALSE),"-")</f>
        <v xml:space="preserve">Ruben Esseling </v>
      </c>
      <c r="D59" s="91">
        <f ca="1">IFERROR(HLOOKUP(A59,Rango_Admin_Clas,4,FALSE),"-")</f>
        <v>1029</v>
      </c>
      <c r="E59" s="92" cm="1">
        <f t="array" aca="1" ref="E59" ca="1">IFERROR(INDEX(Rango_Admin_Clas_Total,E$2,MATCH($A59,Rango_Admin_Clas_Primera,0)+1),"-")</f>
        <v>348</v>
      </c>
      <c r="F59" s="92" cm="1">
        <f t="array" aca="1" ref="F59" ca="1">IFERROR(INDEX(Rango_Admin_Clas_Total,F$2,MATCH($A59,Rango_Admin_Clas_Primera,0)+1),"-")</f>
        <v>229</v>
      </c>
      <c r="G59" s="92" cm="1">
        <f t="array" aca="1" ref="G59" ca="1">IFERROR(INDEX(Rango_Admin_Clas_Total,G$2,MATCH($A59,Rango_Admin_Clas_Primera,0)+1),"-")</f>
        <v>115</v>
      </c>
      <c r="H59" s="92" cm="1">
        <f t="array" aca="1" ref="H59" ca="1">IFERROR(INDEX(Rango_Admin_Clas_Total,H$2,MATCH($A59,Rango_Admin_Clas_Primera,0)+1),"-")</f>
        <v>20</v>
      </c>
      <c r="I59" s="92" cm="1">
        <f t="array" aca="1" ref="I59" ca="1">IFERROR(INDEX(Rango_Admin_Clas_Total,I$2,MATCH($A59,Rango_Admin_Clas_Primera,0)+1),"-")</f>
        <v>80</v>
      </c>
      <c r="J59" s="92" cm="1">
        <f t="array" aca="1" ref="J59" ca="1">IFERROR(INDEX(Rango_Admin_Clas_Total,J$2,MATCH($A59,Rango_Admin_Clas_Primera,0)+1),"-")</f>
        <v>12</v>
      </c>
      <c r="K59" s="92" cm="1">
        <f t="array" aca="1" ref="K59" ca="1">IFERROR(INDEX(Rango_Admin_Clas_Total,K$2,MATCH($A59,Rango_Admin_Clas_Primera,0)+1),"-")</f>
        <v>80</v>
      </c>
      <c r="L59" s="92" cm="1">
        <f t="array" aca="1" ref="L59" ca="1">IFERROR(INDEX(Rango_Admin_Clas_Total,L$2,MATCH($A59,Rango_Admin_Clas_Primera,0)+1),"-")</f>
        <v>0</v>
      </c>
      <c r="M59" s="92" cm="1">
        <f t="array" aca="1" ref="M59" ca="1">IFERROR(INDEX(Rango_Admin_Clas_Total,M$2,MATCH($A59,Rango_Admin_Clas_Primera,0)+1),"-")</f>
        <v>30</v>
      </c>
      <c r="N59" s="92" cm="1">
        <f t="array" aca="1" ref="N59" ca="1">IFERROR(INDEX(Rango_Admin_Clas_Total,N$2,MATCH($A59,Rango_Admin_Clas_Primera,0)+1),"-")</f>
        <v>0</v>
      </c>
      <c r="O59" s="92" cm="1">
        <f t="array" aca="1" ref="O59" ca="1">IFERROR(INDEX(Rango_Admin_Clas_Total,O$2,MATCH($A59,Rango_Admin_Clas_Primera,0)+1),"-")</f>
        <v>0</v>
      </c>
      <c r="P59" s="92" cm="1">
        <f t="array" aca="1" ref="P59" ca="1">IFERROR(INDEX(Rango_Admin_Clas_Total,P$2,MATCH($A59,Rango_Admin_Clas_Primera,0)+1),"-")</f>
        <v>45</v>
      </c>
      <c r="Q59" s="92" cm="1">
        <f t="array" aca="1" ref="Q59" ca="1">IFERROR(INDEX(Rango_Admin_Clas_Total,Q$2,MATCH($A59,Rango_Admin_Clas_Primera,0)+1),"-")</f>
        <v>0</v>
      </c>
      <c r="R59" s="92" cm="1">
        <f t="array" aca="1" ref="R59" ca="1">IFERROR(INDEX(Rango_Admin_Clas_Total,R$2,MATCH($A59,Rango_Admin_Clas_Primera,0)+1),"-")</f>
        <v>0</v>
      </c>
      <c r="S59" s="92" cm="1">
        <f t="array" aca="1" ref="S59" ca="1">IFERROR(INDEX(Rango_Admin_Clas_Total,S$2,MATCH($A59,Rango_Admin_Clas_Primera,0)+1),"-")</f>
        <v>70</v>
      </c>
      <c r="T59" s="297"/>
      <c r="U59" s="297"/>
    </row>
    <row r="60" spans="1:21">
      <c r="A60" s="19">
        <f t="shared" si="0"/>
        <v>56</v>
      </c>
      <c r="B60" s="22">
        <f ca="1">IFERROR(HLOOKUP(A60,Rango_Admin_Clas,3,FALSE),"-")</f>
        <v>56</v>
      </c>
      <c r="C60" s="18" t="str">
        <f ca="1">IFERROR(HLOOKUP(A60,Rango_Admin_Clas,5,FALSE),"-")</f>
        <v>Jordy Brouwer</v>
      </c>
      <c r="D60" s="91">
        <f ca="1">IFERROR(HLOOKUP(A60,Rango_Admin_Clas,4,FALSE),"-")</f>
        <v>1003</v>
      </c>
      <c r="E60" s="92" cm="1">
        <f t="array" aca="1" ref="E60" ca="1">IFERROR(INDEX(Rango_Admin_Clas_Total,E$2,MATCH($A60,Rango_Admin_Clas_Primera,0)+1),"-")</f>
        <v>476</v>
      </c>
      <c r="F60" s="92" cm="1">
        <f t="array" aca="1" ref="F60" ca="1">IFERROR(INDEX(Rango_Admin_Clas_Total,F$2,MATCH($A60,Rango_Admin_Clas_Primera,0)+1),"-")</f>
        <v>268</v>
      </c>
      <c r="G60" s="92" cm="1">
        <f t="array" aca="1" ref="G60" ca="1">IFERROR(INDEX(Rango_Admin_Clas_Total,G$2,MATCH($A60,Rango_Admin_Clas_Primera,0)+1),"-")</f>
        <v>125</v>
      </c>
      <c r="H60" s="92" cm="1">
        <f t="array" aca="1" ref="H60" ca="1">IFERROR(INDEX(Rango_Admin_Clas_Total,H$2,MATCH($A60,Rango_Admin_Clas_Primera,0)+1),"-")</f>
        <v>10</v>
      </c>
      <c r="I60" s="92" cm="1">
        <f t="array" aca="1" ref="I60" ca="1">IFERROR(INDEX(Rango_Admin_Clas_Total,I$2,MATCH($A60,Rango_Admin_Clas_Primera,0)+1),"-")</f>
        <v>80</v>
      </c>
      <c r="J60" s="92" cm="1">
        <f t="array" aca="1" ref="J60" ca="1">IFERROR(INDEX(Rango_Admin_Clas_Total,J$2,MATCH($A60,Rango_Admin_Clas_Primera,0)+1),"-")</f>
        <v>0</v>
      </c>
      <c r="K60" s="92" cm="1">
        <f t="array" aca="1" ref="K60" ca="1">IFERROR(INDEX(Rango_Admin_Clas_Total,K$2,MATCH($A60,Rango_Admin_Clas_Primera,0)+1),"-")</f>
        <v>40</v>
      </c>
      <c r="L60" s="92" cm="1">
        <f t="array" aca="1" ref="L60" ca="1">IFERROR(INDEX(Rango_Admin_Clas_Total,L$2,MATCH($A60,Rango_Admin_Clas_Primera,0)+1),"-")</f>
        <v>0</v>
      </c>
      <c r="M60" s="92" cm="1">
        <f t="array" aca="1" ref="M60" ca="1">IFERROR(INDEX(Rango_Admin_Clas_Total,M$2,MATCH($A60,Rango_Admin_Clas_Primera,0)+1),"-")</f>
        <v>0</v>
      </c>
      <c r="N60" s="92" cm="1">
        <f t="array" aca="1" ref="N60" ca="1">IFERROR(INDEX(Rango_Admin_Clas_Total,N$2,MATCH($A60,Rango_Admin_Clas_Primera,0)+1),"-")</f>
        <v>0</v>
      </c>
      <c r="O60" s="92" cm="1">
        <f t="array" aca="1" ref="O60" ca="1">IFERROR(INDEX(Rango_Admin_Clas_Total,O$2,MATCH($A60,Rango_Admin_Clas_Primera,0)+1),"-")</f>
        <v>0</v>
      </c>
      <c r="P60" s="92" cm="1">
        <f t="array" aca="1" ref="P60" ca="1">IFERROR(INDEX(Rango_Admin_Clas_Total,P$2,MATCH($A60,Rango_Admin_Clas_Primera,0)+1),"-")</f>
        <v>0</v>
      </c>
      <c r="Q60" s="92" cm="1">
        <f t="array" aca="1" ref="Q60" ca="1">IFERROR(INDEX(Rango_Admin_Clas_Total,Q$2,MATCH($A60,Rango_Admin_Clas_Primera,0)+1),"-")</f>
        <v>0</v>
      </c>
      <c r="R60" s="92" cm="1">
        <f t="array" aca="1" ref="R60" ca="1">IFERROR(INDEX(Rango_Admin_Clas_Total,R$2,MATCH($A60,Rango_Admin_Clas_Primera,0)+1),"-")</f>
        <v>0</v>
      </c>
      <c r="S60" s="92" cm="1">
        <f t="array" aca="1" ref="S60" ca="1">IFERROR(INDEX(Rango_Admin_Clas_Total,S$2,MATCH($A60,Rango_Admin_Clas_Primera,0)+1),"-")</f>
        <v>4</v>
      </c>
      <c r="T60" s="297"/>
      <c r="U60" s="297"/>
    </row>
    <row r="61" spans="1:21">
      <c r="A61" s="19">
        <f t="shared" si="0"/>
        <v>57</v>
      </c>
      <c r="B61" s="22">
        <f ca="1">IFERROR(HLOOKUP(A61,Rango_Admin_Clas,3,FALSE),"-")</f>
        <v>57</v>
      </c>
      <c r="C61" s="18" t="str">
        <f ca="1">IFERROR(HLOOKUP(A61,Rango_Admin_Clas,5,FALSE),"-")</f>
        <v>Patrick Bielderman</v>
      </c>
      <c r="D61" s="91">
        <f ca="1">IFERROR(HLOOKUP(A61,Rango_Admin_Clas,4,FALSE),"-")</f>
        <v>963</v>
      </c>
      <c r="E61" s="92" cm="1">
        <f t="array" aca="1" ref="E61" ca="1">IFERROR(INDEX(Rango_Admin_Clas_Total,E$2,MATCH($A61,Rango_Admin_Clas_Primera,0)+1),"-")</f>
        <v>418</v>
      </c>
      <c r="F61" s="92" cm="1">
        <f t="array" aca="1" ref="F61" ca="1">IFERROR(INDEX(Rango_Admin_Clas_Total,F$2,MATCH($A61,Rango_Admin_Clas_Primera,0)+1),"-")</f>
        <v>233</v>
      </c>
      <c r="G61" s="92" cm="1">
        <f t="array" aca="1" ref="G61" ca="1">IFERROR(INDEX(Rango_Admin_Clas_Total,G$2,MATCH($A61,Rango_Admin_Clas_Primera,0)+1),"-")</f>
        <v>130</v>
      </c>
      <c r="H61" s="92" cm="1">
        <f t="array" aca="1" ref="H61" ca="1">IFERROR(INDEX(Rango_Admin_Clas_Total,H$2,MATCH($A61,Rango_Admin_Clas_Primera,0)+1),"-")</f>
        <v>10</v>
      </c>
      <c r="I61" s="92" cm="1">
        <f t="array" aca="1" ref="I61" ca="1">IFERROR(INDEX(Rango_Admin_Clas_Total,I$2,MATCH($A61,Rango_Admin_Clas_Primera,0)+1),"-")</f>
        <v>90</v>
      </c>
      <c r="J61" s="92" cm="1">
        <f t="array" aca="1" ref="J61" ca="1">IFERROR(INDEX(Rango_Admin_Clas_Total,J$2,MATCH($A61,Rango_Admin_Clas_Primera,0)+1),"-")</f>
        <v>12</v>
      </c>
      <c r="K61" s="92" cm="1">
        <f t="array" aca="1" ref="K61" ca="1">IFERROR(INDEX(Rango_Admin_Clas_Total,K$2,MATCH($A61,Rango_Admin_Clas_Primera,0)+1),"-")</f>
        <v>40</v>
      </c>
      <c r="L61" s="92" cm="1">
        <f t="array" aca="1" ref="L61" ca="1">IFERROR(INDEX(Rango_Admin_Clas_Total,L$2,MATCH($A61,Rango_Admin_Clas_Primera,0)+1),"-")</f>
        <v>0</v>
      </c>
      <c r="M61" s="92" cm="1">
        <f t="array" aca="1" ref="M61" ca="1">IFERROR(INDEX(Rango_Admin_Clas_Total,M$2,MATCH($A61,Rango_Admin_Clas_Primera,0)+1),"-")</f>
        <v>30</v>
      </c>
      <c r="N61" s="92" cm="1">
        <f t="array" aca="1" ref="N61" ca="1">IFERROR(INDEX(Rango_Admin_Clas_Total,N$2,MATCH($A61,Rango_Admin_Clas_Primera,0)+1),"-")</f>
        <v>0</v>
      </c>
      <c r="O61" s="92" cm="1">
        <f t="array" aca="1" ref="O61" ca="1">IFERROR(INDEX(Rango_Admin_Clas_Total,O$2,MATCH($A61,Rango_Admin_Clas_Primera,0)+1),"-")</f>
        <v>0</v>
      </c>
      <c r="P61" s="92" cm="1">
        <f t="array" aca="1" ref="P61" ca="1">IFERROR(INDEX(Rango_Admin_Clas_Total,P$2,MATCH($A61,Rango_Admin_Clas_Primera,0)+1),"-")</f>
        <v>0</v>
      </c>
      <c r="Q61" s="92" cm="1">
        <f t="array" aca="1" ref="Q61" ca="1">IFERROR(INDEX(Rango_Admin_Clas_Total,Q$2,MATCH($A61,Rango_Admin_Clas_Primera,0)+1),"-")</f>
        <v>0</v>
      </c>
      <c r="R61" s="92" cm="1">
        <f t="array" aca="1" ref="R61" ca="1">IFERROR(INDEX(Rango_Admin_Clas_Total,R$2,MATCH($A61,Rango_Admin_Clas_Primera,0)+1),"-")</f>
        <v>0</v>
      </c>
      <c r="S61" s="92" cm="1">
        <f t="array" aca="1" ref="S61" ca="1">IFERROR(INDEX(Rango_Admin_Clas_Total,S$2,MATCH($A61,Rango_Admin_Clas_Primera,0)+1),"-")</f>
        <v>0</v>
      </c>
      <c r="T61" s="297"/>
      <c r="U61" s="297"/>
    </row>
    <row r="62" spans="1:21">
      <c r="A62" s="19">
        <f t="shared" si="0"/>
        <v>58</v>
      </c>
      <c r="B62" s="22">
        <f ca="1">IFERROR(HLOOKUP(A62,Rango_Admin_Clas,3,FALSE),"-")</f>
        <v>58</v>
      </c>
      <c r="C62" s="18" t="str">
        <f ca="1">IFERROR(HLOOKUP(A62,Rango_Admin_Clas,5,FALSE),"-")</f>
        <v>Tom Westendorp</v>
      </c>
      <c r="D62" s="91">
        <f ca="1">IFERROR(HLOOKUP(A62,Rango_Admin_Clas,4,FALSE),"-")</f>
        <v>955</v>
      </c>
      <c r="E62" s="92" cm="1">
        <f t="array" aca="1" ref="E62" ca="1">IFERROR(INDEX(Rango_Admin_Clas_Total,E$2,MATCH($A62,Rango_Admin_Clas_Primera,0)+1),"-")</f>
        <v>446</v>
      </c>
      <c r="F62" s="92" cm="1">
        <f t="array" aca="1" ref="F62" ca="1">IFERROR(INDEX(Rango_Admin_Clas_Total,F$2,MATCH($A62,Rango_Admin_Clas_Primera,0)+1),"-")</f>
        <v>154</v>
      </c>
      <c r="G62" s="92" cm="1">
        <f t="array" aca="1" ref="G62" ca="1">IFERROR(INDEX(Rango_Admin_Clas_Total,G$2,MATCH($A62,Rango_Admin_Clas_Primera,0)+1),"-")</f>
        <v>130</v>
      </c>
      <c r="H62" s="92" cm="1">
        <f t="array" aca="1" ref="H62" ca="1">IFERROR(INDEX(Rango_Admin_Clas_Total,H$2,MATCH($A62,Rango_Admin_Clas_Primera,0)+1),"-")</f>
        <v>20</v>
      </c>
      <c r="I62" s="92" cm="1">
        <f t="array" aca="1" ref="I62" ca="1">IFERROR(INDEX(Rango_Admin_Clas_Total,I$2,MATCH($A62,Rango_Admin_Clas_Primera,0)+1),"-")</f>
        <v>70</v>
      </c>
      <c r="J62" s="92" cm="1">
        <f t="array" aca="1" ref="J62" ca="1">IFERROR(INDEX(Rango_Admin_Clas_Total,J$2,MATCH($A62,Rango_Admin_Clas_Primera,0)+1),"-")</f>
        <v>0</v>
      </c>
      <c r="K62" s="92" cm="1">
        <f t="array" aca="1" ref="K62" ca="1">IFERROR(INDEX(Rango_Admin_Clas_Total,K$2,MATCH($A62,Rango_Admin_Clas_Primera,0)+1),"-")</f>
        <v>60</v>
      </c>
      <c r="L62" s="92" cm="1">
        <f t="array" aca="1" ref="L62" ca="1">IFERROR(INDEX(Rango_Admin_Clas_Total,L$2,MATCH($A62,Rango_Admin_Clas_Primera,0)+1),"-")</f>
        <v>0</v>
      </c>
      <c r="M62" s="92" cm="1">
        <f t="array" aca="1" ref="M62" ca="1">IFERROR(INDEX(Rango_Admin_Clas_Total,M$2,MATCH($A62,Rango_Admin_Clas_Primera,0)+1),"-")</f>
        <v>60</v>
      </c>
      <c r="N62" s="92" cm="1">
        <f t="array" aca="1" ref="N62" ca="1">IFERROR(INDEX(Rango_Admin_Clas_Total,N$2,MATCH($A62,Rango_Admin_Clas_Primera,0)+1),"-")</f>
        <v>0</v>
      </c>
      <c r="O62" s="92" cm="1">
        <f t="array" aca="1" ref="O62" ca="1">IFERROR(INDEX(Rango_Admin_Clas_Total,O$2,MATCH($A62,Rango_Admin_Clas_Primera,0)+1),"-")</f>
        <v>15</v>
      </c>
      <c r="P62" s="92" cm="1">
        <f t="array" aca="1" ref="P62" ca="1">IFERROR(INDEX(Rango_Admin_Clas_Total,P$2,MATCH($A62,Rango_Admin_Clas_Primera,0)+1),"-")</f>
        <v>0</v>
      </c>
      <c r="Q62" s="92" cm="1">
        <f t="array" aca="1" ref="Q62" ca="1">IFERROR(INDEX(Rango_Admin_Clas_Total,Q$2,MATCH($A62,Rango_Admin_Clas_Primera,0)+1),"-")</f>
        <v>0</v>
      </c>
      <c r="R62" s="92" cm="1">
        <f t="array" aca="1" ref="R62" ca="1">IFERROR(INDEX(Rango_Admin_Clas_Total,R$2,MATCH($A62,Rango_Admin_Clas_Primera,0)+1),"-")</f>
        <v>0</v>
      </c>
      <c r="S62" s="92" cm="1">
        <f t="array" aca="1" ref="S62" ca="1">IFERROR(INDEX(Rango_Admin_Clas_Total,S$2,MATCH($A62,Rango_Admin_Clas_Primera,0)+1),"-")</f>
        <v>0</v>
      </c>
      <c r="T62" s="297"/>
      <c r="U62" s="297"/>
    </row>
    <row r="63" spans="1:21">
      <c r="A63" s="19">
        <f t="shared" si="0"/>
        <v>59</v>
      </c>
      <c r="B63" s="22">
        <f ca="1">IFERROR(HLOOKUP(A63,Rango_Admin_Clas,3,FALSE),"-")</f>
        <v>59</v>
      </c>
      <c r="C63" s="18" t="str">
        <f ca="1">IFERROR(HLOOKUP(A63,Rango_Admin_Clas,5,FALSE),"-")</f>
        <v>Floris Boel</v>
      </c>
      <c r="D63" s="91">
        <f ca="1">IFERROR(HLOOKUP(A63,Rango_Admin_Clas,4,FALSE),"-")</f>
        <v>741</v>
      </c>
      <c r="E63" s="92" cm="1">
        <f t="array" aca="1" ref="E63" ca="1">IFERROR(INDEX(Rango_Admin_Clas_Total,E$2,MATCH($A63,Rango_Admin_Clas_Primera,0)+1),"-")</f>
        <v>334</v>
      </c>
      <c r="F63" s="92" cm="1">
        <f t="array" aca="1" ref="F63" ca="1">IFERROR(INDEX(Rango_Admin_Clas_Total,F$2,MATCH($A63,Rango_Admin_Clas_Primera,0)+1),"-")</f>
        <v>182</v>
      </c>
      <c r="G63" s="92" cm="1">
        <f t="array" aca="1" ref="G63" ca="1">IFERROR(INDEX(Rango_Admin_Clas_Total,G$2,MATCH($A63,Rango_Admin_Clas_Primera,0)+1),"-")</f>
        <v>135</v>
      </c>
      <c r="H63" s="92" cm="1">
        <f t="array" aca="1" ref="H63" ca="1">IFERROR(INDEX(Rango_Admin_Clas_Total,H$2,MATCH($A63,Rango_Admin_Clas_Primera,0)+1),"-")</f>
        <v>10</v>
      </c>
      <c r="I63" s="92" cm="1">
        <f t="array" aca="1" ref="I63" ca="1">IFERROR(INDEX(Rango_Admin_Clas_Total,I$2,MATCH($A63,Rango_Admin_Clas_Primera,0)+1),"-")</f>
        <v>80</v>
      </c>
      <c r="J63" s="92" cm="1">
        <f t="array" aca="1" ref="J63" ca="1">IFERROR(INDEX(Rango_Admin_Clas_Total,J$2,MATCH($A63,Rango_Admin_Clas_Primera,0)+1),"-")</f>
        <v>0</v>
      </c>
      <c r="K63" s="92" cm="1">
        <f t="array" aca="1" ref="K63" ca="1">IFERROR(INDEX(Rango_Admin_Clas_Total,K$2,MATCH($A63,Rango_Admin_Clas_Primera,0)+1),"-")</f>
        <v>0</v>
      </c>
      <c r="L63" s="92" cm="1">
        <f t="array" aca="1" ref="L63" ca="1">IFERROR(INDEX(Rango_Admin_Clas_Total,L$2,MATCH($A63,Rango_Admin_Clas_Primera,0)+1),"-")</f>
        <v>0</v>
      </c>
      <c r="M63" s="92" cm="1">
        <f t="array" aca="1" ref="M63" ca="1">IFERROR(INDEX(Rango_Admin_Clas_Total,M$2,MATCH($A63,Rango_Admin_Clas_Primera,0)+1),"-")</f>
        <v>0</v>
      </c>
      <c r="N63" s="92" cm="1">
        <f t="array" aca="1" ref="N63" ca="1">IFERROR(INDEX(Rango_Admin_Clas_Total,N$2,MATCH($A63,Rango_Admin_Clas_Primera,0)+1),"-")</f>
        <v>0</v>
      </c>
      <c r="O63" s="92" cm="1">
        <f t="array" aca="1" ref="O63" ca="1">IFERROR(INDEX(Rango_Admin_Clas_Total,O$2,MATCH($A63,Rango_Admin_Clas_Primera,0)+1),"-")</f>
        <v>0</v>
      </c>
      <c r="P63" s="92" cm="1">
        <f t="array" aca="1" ref="P63" ca="1">IFERROR(INDEX(Rango_Admin_Clas_Total,P$2,MATCH($A63,Rango_Admin_Clas_Primera,0)+1),"-")</f>
        <v>0</v>
      </c>
      <c r="Q63" s="92" cm="1">
        <f t="array" aca="1" ref="Q63" ca="1">IFERROR(INDEX(Rango_Admin_Clas_Total,Q$2,MATCH($A63,Rango_Admin_Clas_Primera,0)+1),"-")</f>
        <v>0</v>
      </c>
      <c r="R63" s="92" cm="1">
        <f t="array" aca="1" ref="R63" ca="1">IFERROR(INDEX(Rango_Admin_Clas_Total,R$2,MATCH($A63,Rango_Admin_Clas_Primera,0)+1),"-")</f>
        <v>0</v>
      </c>
      <c r="S63" s="92" cm="1">
        <f t="array" aca="1" ref="S63" ca="1">IFERROR(INDEX(Rango_Admin_Clas_Total,S$2,MATCH($A63,Rango_Admin_Clas_Primera,0)+1),"-")</f>
        <v>0</v>
      </c>
      <c r="T63" s="297"/>
      <c r="U63" s="297"/>
    </row>
    <row r="64" spans="1:21">
      <c r="A64" s="19">
        <f t="shared" si="0"/>
        <v>60</v>
      </c>
      <c r="B64" s="22" t="str">
        <f ca="1">IFERROR(HLOOKUP(A64,Rango_Admin_Clas,3,FALSE),"-")</f>
        <v>-</v>
      </c>
      <c r="C64" s="18" t="str">
        <f ca="1">IFERROR(HLOOKUP(A64,Rango_Admin_Clas,5,FALSE),"-")</f>
        <v>-</v>
      </c>
      <c r="D64" s="91" t="str">
        <f ca="1">IFERROR(HLOOKUP(A64,Rango_Admin_Clas,4,FALSE),"-")</f>
        <v>-</v>
      </c>
      <c r="E64" s="92" t="str" cm="1">
        <f t="array" aca="1" ref="E64" ca="1">IFERROR(INDEX(Rango_Admin_Clas_Total,E$2,MATCH($A64,Rango_Admin_Clas_Primera,0)+1),"-")</f>
        <v>-</v>
      </c>
      <c r="F64" s="92" t="str" cm="1">
        <f t="array" aca="1" ref="F64" ca="1">IFERROR(INDEX(Rango_Admin_Clas_Total,F$2,MATCH($A64,Rango_Admin_Clas_Primera,0)+1),"-")</f>
        <v>-</v>
      </c>
      <c r="G64" s="92" t="str" cm="1">
        <f t="array" aca="1" ref="G64" ca="1">IFERROR(INDEX(Rango_Admin_Clas_Total,G$2,MATCH($A64,Rango_Admin_Clas_Primera,0)+1),"-")</f>
        <v>-</v>
      </c>
      <c r="H64" s="92" t="str" cm="1">
        <f t="array" aca="1" ref="H64" ca="1">IFERROR(INDEX(Rango_Admin_Clas_Total,H$2,MATCH($A64,Rango_Admin_Clas_Primera,0)+1),"-")</f>
        <v>-</v>
      </c>
      <c r="I64" s="92" t="str" cm="1">
        <f t="array" aca="1" ref="I64" ca="1">IFERROR(INDEX(Rango_Admin_Clas_Total,I$2,MATCH($A64,Rango_Admin_Clas_Primera,0)+1),"-")</f>
        <v>-</v>
      </c>
      <c r="J64" s="92" t="str" cm="1">
        <f t="array" aca="1" ref="J64" ca="1">IFERROR(INDEX(Rango_Admin_Clas_Total,J$2,MATCH($A64,Rango_Admin_Clas_Primera,0)+1),"-")</f>
        <v>-</v>
      </c>
      <c r="K64" s="92" t="str" cm="1">
        <f t="array" aca="1" ref="K64" ca="1">IFERROR(INDEX(Rango_Admin_Clas_Total,K$2,MATCH($A64,Rango_Admin_Clas_Primera,0)+1),"-")</f>
        <v>-</v>
      </c>
      <c r="L64" s="92" t="str" cm="1">
        <f t="array" aca="1" ref="L64" ca="1">IFERROR(INDEX(Rango_Admin_Clas_Total,L$2,MATCH($A64,Rango_Admin_Clas_Primera,0)+1),"-")</f>
        <v>-</v>
      </c>
      <c r="M64" s="92" t="str" cm="1">
        <f t="array" aca="1" ref="M64" ca="1">IFERROR(INDEX(Rango_Admin_Clas_Total,M$2,MATCH($A64,Rango_Admin_Clas_Primera,0)+1),"-")</f>
        <v>-</v>
      </c>
      <c r="N64" s="92" t="str" cm="1">
        <f t="array" aca="1" ref="N64" ca="1">IFERROR(INDEX(Rango_Admin_Clas_Total,N$2,MATCH($A64,Rango_Admin_Clas_Primera,0)+1),"-")</f>
        <v>-</v>
      </c>
      <c r="O64" s="92" t="str" cm="1">
        <f t="array" aca="1" ref="O64" ca="1">IFERROR(INDEX(Rango_Admin_Clas_Total,O$2,MATCH($A64,Rango_Admin_Clas_Primera,0)+1),"-")</f>
        <v>-</v>
      </c>
      <c r="P64" s="92" t="str" cm="1">
        <f t="array" aca="1" ref="P64" ca="1">IFERROR(INDEX(Rango_Admin_Clas_Total,P$2,MATCH($A64,Rango_Admin_Clas_Primera,0)+1),"-")</f>
        <v>-</v>
      </c>
      <c r="Q64" s="92" t="str" cm="1">
        <f t="array" aca="1" ref="Q64" ca="1">IFERROR(INDEX(Rango_Admin_Clas_Total,Q$2,MATCH($A64,Rango_Admin_Clas_Primera,0)+1),"-")</f>
        <v>-</v>
      </c>
      <c r="R64" s="92" t="str" cm="1">
        <f t="array" aca="1" ref="R64" ca="1">IFERROR(INDEX(Rango_Admin_Clas_Total,R$2,MATCH($A64,Rango_Admin_Clas_Primera,0)+1),"-")</f>
        <v>-</v>
      </c>
      <c r="S64" s="92" t="str" cm="1">
        <f t="array" aca="1" ref="S64" ca="1">IFERROR(INDEX(Rango_Admin_Clas_Total,S$2,MATCH($A64,Rango_Admin_Clas_Primera,0)+1),"-")</f>
        <v>-</v>
      </c>
      <c r="T64" s="297"/>
      <c r="U64" s="297"/>
    </row>
    <row r="65" spans="1:21">
      <c r="A65" s="19">
        <f t="shared" si="0"/>
        <v>61</v>
      </c>
      <c r="B65" s="22" t="str">
        <f ca="1">IFERROR(HLOOKUP(A65,Rango_Admin_Clas,3,FALSE),"-")</f>
        <v>-</v>
      </c>
      <c r="C65" s="18" t="str">
        <f ca="1">IFERROR(HLOOKUP(A65,Rango_Admin_Clas,5,FALSE),"-")</f>
        <v>-</v>
      </c>
      <c r="D65" s="91" t="str">
        <f ca="1">IFERROR(HLOOKUP(A65,Rango_Admin_Clas,4,FALSE),"-")</f>
        <v>-</v>
      </c>
      <c r="E65" s="92" t="str" cm="1">
        <f t="array" aca="1" ref="E65" ca="1">IFERROR(INDEX(Rango_Admin_Clas_Total,E$2,MATCH($A65,Rango_Admin_Clas_Primera,0)+1),"-")</f>
        <v>-</v>
      </c>
      <c r="F65" s="92" t="str" cm="1">
        <f t="array" aca="1" ref="F65" ca="1">IFERROR(INDEX(Rango_Admin_Clas_Total,F$2,MATCH($A65,Rango_Admin_Clas_Primera,0)+1),"-")</f>
        <v>-</v>
      </c>
      <c r="G65" s="92" t="str" cm="1">
        <f t="array" aca="1" ref="G65" ca="1">IFERROR(INDEX(Rango_Admin_Clas_Total,G$2,MATCH($A65,Rango_Admin_Clas_Primera,0)+1),"-")</f>
        <v>-</v>
      </c>
      <c r="H65" s="92" t="str" cm="1">
        <f t="array" aca="1" ref="H65" ca="1">IFERROR(INDEX(Rango_Admin_Clas_Total,H$2,MATCH($A65,Rango_Admin_Clas_Primera,0)+1),"-")</f>
        <v>-</v>
      </c>
      <c r="I65" s="92" t="str" cm="1">
        <f t="array" aca="1" ref="I65" ca="1">IFERROR(INDEX(Rango_Admin_Clas_Total,I$2,MATCH($A65,Rango_Admin_Clas_Primera,0)+1),"-")</f>
        <v>-</v>
      </c>
      <c r="J65" s="92" t="str" cm="1">
        <f t="array" aca="1" ref="J65" ca="1">IFERROR(INDEX(Rango_Admin_Clas_Total,J$2,MATCH($A65,Rango_Admin_Clas_Primera,0)+1),"-")</f>
        <v>-</v>
      </c>
      <c r="K65" s="92" t="str" cm="1">
        <f t="array" aca="1" ref="K65" ca="1">IFERROR(INDEX(Rango_Admin_Clas_Total,K$2,MATCH($A65,Rango_Admin_Clas_Primera,0)+1),"-")</f>
        <v>-</v>
      </c>
      <c r="L65" s="92" t="str" cm="1">
        <f t="array" aca="1" ref="L65" ca="1">IFERROR(INDEX(Rango_Admin_Clas_Total,L$2,MATCH($A65,Rango_Admin_Clas_Primera,0)+1),"-")</f>
        <v>-</v>
      </c>
      <c r="M65" s="92" t="str" cm="1">
        <f t="array" aca="1" ref="M65" ca="1">IFERROR(INDEX(Rango_Admin_Clas_Total,M$2,MATCH($A65,Rango_Admin_Clas_Primera,0)+1),"-")</f>
        <v>-</v>
      </c>
      <c r="N65" s="92" t="str" cm="1">
        <f t="array" aca="1" ref="N65" ca="1">IFERROR(INDEX(Rango_Admin_Clas_Total,N$2,MATCH($A65,Rango_Admin_Clas_Primera,0)+1),"-")</f>
        <v>-</v>
      </c>
      <c r="O65" s="92" t="str" cm="1">
        <f t="array" aca="1" ref="O65" ca="1">IFERROR(INDEX(Rango_Admin_Clas_Total,O$2,MATCH($A65,Rango_Admin_Clas_Primera,0)+1),"-")</f>
        <v>-</v>
      </c>
      <c r="P65" s="92" t="str" cm="1">
        <f t="array" aca="1" ref="P65" ca="1">IFERROR(INDEX(Rango_Admin_Clas_Total,P$2,MATCH($A65,Rango_Admin_Clas_Primera,0)+1),"-")</f>
        <v>-</v>
      </c>
      <c r="Q65" s="92" t="str" cm="1">
        <f t="array" aca="1" ref="Q65" ca="1">IFERROR(INDEX(Rango_Admin_Clas_Total,Q$2,MATCH($A65,Rango_Admin_Clas_Primera,0)+1),"-")</f>
        <v>-</v>
      </c>
      <c r="R65" s="92" t="str" cm="1">
        <f t="array" aca="1" ref="R65" ca="1">IFERROR(INDEX(Rango_Admin_Clas_Total,R$2,MATCH($A65,Rango_Admin_Clas_Primera,0)+1),"-")</f>
        <v>-</v>
      </c>
      <c r="S65" s="92" t="str" cm="1">
        <f t="array" aca="1" ref="S65" ca="1">IFERROR(INDEX(Rango_Admin_Clas_Total,S$2,MATCH($A65,Rango_Admin_Clas_Primera,0)+1),"-")</f>
        <v>-</v>
      </c>
      <c r="T65" s="297"/>
      <c r="U65" s="297"/>
    </row>
    <row r="66" spans="1:21">
      <c r="A66" s="19">
        <f t="shared" si="0"/>
        <v>62</v>
      </c>
      <c r="B66" s="22" t="str">
        <f ca="1">IFERROR(HLOOKUP(A66,Rango_Admin_Clas,3,FALSE),"-")</f>
        <v>-</v>
      </c>
      <c r="C66" s="18" t="str">
        <f ca="1">IFERROR(HLOOKUP(A66,Rango_Admin_Clas,5,FALSE),"-")</f>
        <v>-</v>
      </c>
      <c r="D66" s="91" t="str">
        <f ca="1">IFERROR(HLOOKUP(A66,Rango_Admin_Clas,4,FALSE),"-")</f>
        <v>-</v>
      </c>
      <c r="E66" s="92" t="str" cm="1">
        <f t="array" aca="1" ref="E66" ca="1">IFERROR(INDEX(Rango_Admin_Clas_Total,E$2,MATCH($A66,Rango_Admin_Clas_Primera,0)+1),"-")</f>
        <v>-</v>
      </c>
      <c r="F66" s="92" t="str" cm="1">
        <f t="array" aca="1" ref="F66" ca="1">IFERROR(INDEX(Rango_Admin_Clas_Total,F$2,MATCH($A66,Rango_Admin_Clas_Primera,0)+1),"-")</f>
        <v>-</v>
      </c>
      <c r="G66" s="92" t="str" cm="1">
        <f t="array" aca="1" ref="G66" ca="1">IFERROR(INDEX(Rango_Admin_Clas_Total,G$2,MATCH($A66,Rango_Admin_Clas_Primera,0)+1),"-")</f>
        <v>-</v>
      </c>
      <c r="H66" s="92" t="str" cm="1">
        <f t="array" aca="1" ref="H66" ca="1">IFERROR(INDEX(Rango_Admin_Clas_Total,H$2,MATCH($A66,Rango_Admin_Clas_Primera,0)+1),"-")</f>
        <v>-</v>
      </c>
      <c r="I66" s="92" t="str" cm="1">
        <f t="array" aca="1" ref="I66" ca="1">IFERROR(INDEX(Rango_Admin_Clas_Total,I$2,MATCH($A66,Rango_Admin_Clas_Primera,0)+1),"-")</f>
        <v>-</v>
      </c>
      <c r="J66" s="92" t="str" cm="1">
        <f t="array" aca="1" ref="J66" ca="1">IFERROR(INDEX(Rango_Admin_Clas_Total,J$2,MATCH($A66,Rango_Admin_Clas_Primera,0)+1),"-")</f>
        <v>-</v>
      </c>
      <c r="K66" s="92" t="str" cm="1">
        <f t="array" aca="1" ref="K66" ca="1">IFERROR(INDEX(Rango_Admin_Clas_Total,K$2,MATCH($A66,Rango_Admin_Clas_Primera,0)+1),"-")</f>
        <v>-</v>
      </c>
      <c r="L66" s="92" t="str" cm="1">
        <f t="array" aca="1" ref="L66" ca="1">IFERROR(INDEX(Rango_Admin_Clas_Total,L$2,MATCH($A66,Rango_Admin_Clas_Primera,0)+1),"-")</f>
        <v>-</v>
      </c>
      <c r="M66" s="92" t="str" cm="1">
        <f t="array" aca="1" ref="M66" ca="1">IFERROR(INDEX(Rango_Admin_Clas_Total,M$2,MATCH($A66,Rango_Admin_Clas_Primera,0)+1),"-")</f>
        <v>-</v>
      </c>
      <c r="N66" s="92" t="str" cm="1">
        <f t="array" aca="1" ref="N66" ca="1">IFERROR(INDEX(Rango_Admin_Clas_Total,N$2,MATCH($A66,Rango_Admin_Clas_Primera,0)+1),"-")</f>
        <v>-</v>
      </c>
      <c r="O66" s="92" t="str" cm="1">
        <f t="array" aca="1" ref="O66" ca="1">IFERROR(INDEX(Rango_Admin_Clas_Total,O$2,MATCH($A66,Rango_Admin_Clas_Primera,0)+1),"-")</f>
        <v>-</v>
      </c>
      <c r="P66" s="92" t="str" cm="1">
        <f t="array" aca="1" ref="P66" ca="1">IFERROR(INDEX(Rango_Admin_Clas_Total,P$2,MATCH($A66,Rango_Admin_Clas_Primera,0)+1),"-")</f>
        <v>-</v>
      </c>
      <c r="Q66" s="92" t="str" cm="1">
        <f t="array" aca="1" ref="Q66" ca="1">IFERROR(INDEX(Rango_Admin_Clas_Total,Q$2,MATCH($A66,Rango_Admin_Clas_Primera,0)+1),"-")</f>
        <v>-</v>
      </c>
      <c r="R66" s="92" t="str" cm="1">
        <f t="array" aca="1" ref="R66" ca="1">IFERROR(INDEX(Rango_Admin_Clas_Total,R$2,MATCH($A66,Rango_Admin_Clas_Primera,0)+1),"-")</f>
        <v>-</v>
      </c>
      <c r="S66" s="92" t="str" cm="1">
        <f t="array" aca="1" ref="S66" ca="1">IFERROR(INDEX(Rango_Admin_Clas_Total,S$2,MATCH($A66,Rango_Admin_Clas_Primera,0)+1),"-")</f>
        <v>-</v>
      </c>
      <c r="T66" s="297"/>
      <c r="U66" s="297"/>
    </row>
    <row r="67" spans="1:21">
      <c r="A67" s="19">
        <f t="shared" si="0"/>
        <v>63</v>
      </c>
      <c r="B67" s="22" t="str">
        <f ca="1">IFERROR(HLOOKUP(A67,Rango_Admin_Clas,3,FALSE),"-")</f>
        <v>-</v>
      </c>
      <c r="C67" s="18" t="str">
        <f ca="1">IFERROR(HLOOKUP(A67,Rango_Admin_Clas,5,FALSE),"-")</f>
        <v>-</v>
      </c>
      <c r="D67" s="91" t="str">
        <f ca="1">IFERROR(HLOOKUP(A67,Rango_Admin_Clas,4,FALSE),"-")</f>
        <v>-</v>
      </c>
      <c r="E67" s="92" t="str" cm="1">
        <f t="array" aca="1" ref="E67" ca="1">IFERROR(INDEX(Rango_Admin_Clas_Total,E$2,MATCH($A67,Rango_Admin_Clas_Primera,0)+1),"-")</f>
        <v>-</v>
      </c>
      <c r="F67" s="92" t="str" cm="1">
        <f t="array" aca="1" ref="F67" ca="1">IFERROR(INDEX(Rango_Admin_Clas_Total,F$2,MATCH($A67,Rango_Admin_Clas_Primera,0)+1),"-")</f>
        <v>-</v>
      </c>
      <c r="G67" s="92" t="str" cm="1">
        <f t="array" aca="1" ref="G67" ca="1">IFERROR(INDEX(Rango_Admin_Clas_Total,G$2,MATCH($A67,Rango_Admin_Clas_Primera,0)+1),"-")</f>
        <v>-</v>
      </c>
      <c r="H67" s="92" t="str" cm="1">
        <f t="array" aca="1" ref="H67" ca="1">IFERROR(INDEX(Rango_Admin_Clas_Total,H$2,MATCH($A67,Rango_Admin_Clas_Primera,0)+1),"-")</f>
        <v>-</v>
      </c>
      <c r="I67" s="92" t="str" cm="1">
        <f t="array" aca="1" ref="I67" ca="1">IFERROR(INDEX(Rango_Admin_Clas_Total,I$2,MATCH($A67,Rango_Admin_Clas_Primera,0)+1),"-")</f>
        <v>-</v>
      </c>
      <c r="J67" s="92" t="str" cm="1">
        <f t="array" aca="1" ref="J67" ca="1">IFERROR(INDEX(Rango_Admin_Clas_Total,J$2,MATCH($A67,Rango_Admin_Clas_Primera,0)+1),"-")</f>
        <v>-</v>
      </c>
      <c r="K67" s="92" t="str" cm="1">
        <f t="array" aca="1" ref="K67" ca="1">IFERROR(INDEX(Rango_Admin_Clas_Total,K$2,MATCH($A67,Rango_Admin_Clas_Primera,0)+1),"-")</f>
        <v>-</v>
      </c>
      <c r="L67" s="92" t="str" cm="1">
        <f t="array" aca="1" ref="L67" ca="1">IFERROR(INDEX(Rango_Admin_Clas_Total,L$2,MATCH($A67,Rango_Admin_Clas_Primera,0)+1),"-")</f>
        <v>-</v>
      </c>
      <c r="M67" s="92" t="str" cm="1">
        <f t="array" aca="1" ref="M67" ca="1">IFERROR(INDEX(Rango_Admin_Clas_Total,M$2,MATCH($A67,Rango_Admin_Clas_Primera,0)+1),"-")</f>
        <v>-</v>
      </c>
      <c r="N67" s="92" t="str" cm="1">
        <f t="array" aca="1" ref="N67" ca="1">IFERROR(INDEX(Rango_Admin_Clas_Total,N$2,MATCH($A67,Rango_Admin_Clas_Primera,0)+1),"-")</f>
        <v>-</v>
      </c>
      <c r="O67" s="92" t="str" cm="1">
        <f t="array" aca="1" ref="O67" ca="1">IFERROR(INDEX(Rango_Admin_Clas_Total,O$2,MATCH($A67,Rango_Admin_Clas_Primera,0)+1),"-")</f>
        <v>-</v>
      </c>
      <c r="P67" s="92" t="str" cm="1">
        <f t="array" aca="1" ref="P67" ca="1">IFERROR(INDEX(Rango_Admin_Clas_Total,P$2,MATCH($A67,Rango_Admin_Clas_Primera,0)+1),"-")</f>
        <v>-</v>
      </c>
      <c r="Q67" s="92" t="str" cm="1">
        <f t="array" aca="1" ref="Q67" ca="1">IFERROR(INDEX(Rango_Admin_Clas_Total,Q$2,MATCH($A67,Rango_Admin_Clas_Primera,0)+1),"-")</f>
        <v>-</v>
      </c>
      <c r="R67" s="92" t="str" cm="1">
        <f t="array" aca="1" ref="R67" ca="1">IFERROR(INDEX(Rango_Admin_Clas_Total,R$2,MATCH($A67,Rango_Admin_Clas_Primera,0)+1),"-")</f>
        <v>-</v>
      </c>
      <c r="S67" s="92" t="str" cm="1">
        <f t="array" aca="1" ref="S67" ca="1">IFERROR(INDEX(Rango_Admin_Clas_Total,S$2,MATCH($A67,Rango_Admin_Clas_Primera,0)+1),"-")</f>
        <v>-</v>
      </c>
      <c r="T67" s="297"/>
      <c r="U67" s="297"/>
    </row>
    <row r="68" spans="1:21">
      <c r="A68" s="19">
        <f t="shared" si="0"/>
        <v>64</v>
      </c>
      <c r="B68" s="22" t="str">
        <f ca="1">IFERROR(HLOOKUP(A68,Rango_Admin_Clas,3,FALSE),"-")</f>
        <v>-</v>
      </c>
      <c r="C68" s="18" t="str">
        <f ca="1">IFERROR(HLOOKUP(A68,Rango_Admin_Clas,5,FALSE),"-")</f>
        <v>-</v>
      </c>
      <c r="D68" s="91" t="str">
        <f ca="1">IFERROR(HLOOKUP(A68,Rango_Admin_Clas,4,FALSE),"-")</f>
        <v>-</v>
      </c>
      <c r="E68" s="92" t="str" cm="1">
        <f t="array" aca="1" ref="E68" ca="1">IFERROR(INDEX(Rango_Admin_Clas_Total,E$2,MATCH($A68,Rango_Admin_Clas_Primera,0)+1),"-")</f>
        <v>-</v>
      </c>
      <c r="F68" s="92" t="str" cm="1">
        <f t="array" aca="1" ref="F68" ca="1">IFERROR(INDEX(Rango_Admin_Clas_Total,F$2,MATCH($A68,Rango_Admin_Clas_Primera,0)+1),"-")</f>
        <v>-</v>
      </c>
      <c r="G68" s="92" t="str" cm="1">
        <f t="array" aca="1" ref="G68" ca="1">IFERROR(INDEX(Rango_Admin_Clas_Total,G$2,MATCH($A68,Rango_Admin_Clas_Primera,0)+1),"-")</f>
        <v>-</v>
      </c>
      <c r="H68" s="92" t="str" cm="1">
        <f t="array" aca="1" ref="H68" ca="1">IFERROR(INDEX(Rango_Admin_Clas_Total,H$2,MATCH($A68,Rango_Admin_Clas_Primera,0)+1),"-")</f>
        <v>-</v>
      </c>
      <c r="I68" s="92" t="str" cm="1">
        <f t="array" aca="1" ref="I68" ca="1">IFERROR(INDEX(Rango_Admin_Clas_Total,I$2,MATCH($A68,Rango_Admin_Clas_Primera,0)+1),"-")</f>
        <v>-</v>
      </c>
      <c r="J68" s="92" t="str" cm="1">
        <f t="array" aca="1" ref="J68" ca="1">IFERROR(INDEX(Rango_Admin_Clas_Total,J$2,MATCH($A68,Rango_Admin_Clas_Primera,0)+1),"-")</f>
        <v>-</v>
      </c>
      <c r="K68" s="92" t="str" cm="1">
        <f t="array" aca="1" ref="K68" ca="1">IFERROR(INDEX(Rango_Admin_Clas_Total,K$2,MATCH($A68,Rango_Admin_Clas_Primera,0)+1),"-")</f>
        <v>-</v>
      </c>
      <c r="L68" s="92" t="str" cm="1">
        <f t="array" aca="1" ref="L68" ca="1">IFERROR(INDEX(Rango_Admin_Clas_Total,L$2,MATCH($A68,Rango_Admin_Clas_Primera,0)+1),"-")</f>
        <v>-</v>
      </c>
      <c r="M68" s="92" t="str" cm="1">
        <f t="array" aca="1" ref="M68" ca="1">IFERROR(INDEX(Rango_Admin_Clas_Total,M$2,MATCH($A68,Rango_Admin_Clas_Primera,0)+1),"-")</f>
        <v>-</v>
      </c>
      <c r="N68" s="92" t="str" cm="1">
        <f t="array" aca="1" ref="N68" ca="1">IFERROR(INDEX(Rango_Admin_Clas_Total,N$2,MATCH($A68,Rango_Admin_Clas_Primera,0)+1),"-")</f>
        <v>-</v>
      </c>
      <c r="O68" s="92" t="str" cm="1">
        <f t="array" aca="1" ref="O68" ca="1">IFERROR(INDEX(Rango_Admin_Clas_Total,O$2,MATCH($A68,Rango_Admin_Clas_Primera,0)+1),"-")</f>
        <v>-</v>
      </c>
      <c r="P68" s="92" t="str" cm="1">
        <f t="array" aca="1" ref="P68" ca="1">IFERROR(INDEX(Rango_Admin_Clas_Total,P$2,MATCH($A68,Rango_Admin_Clas_Primera,0)+1),"-")</f>
        <v>-</v>
      </c>
      <c r="Q68" s="92" t="str" cm="1">
        <f t="array" aca="1" ref="Q68" ca="1">IFERROR(INDEX(Rango_Admin_Clas_Total,Q$2,MATCH($A68,Rango_Admin_Clas_Primera,0)+1),"-")</f>
        <v>-</v>
      </c>
      <c r="R68" s="92" t="str" cm="1">
        <f t="array" aca="1" ref="R68" ca="1">IFERROR(INDEX(Rango_Admin_Clas_Total,R$2,MATCH($A68,Rango_Admin_Clas_Primera,0)+1),"-")</f>
        <v>-</v>
      </c>
      <c r="S68" s="92" t="str" cm="1">
        <f t="array" aca="1" ref="S68" ca="1">IFERROR(INDEX(Rango_Admin_Clas_Total,S$2,MATCH($A68,Rango_Admin_Clas_Primera,0)+1),"-")</f>
        <v>-</v>
      </c>
      <c r="T68" s="297"/>
      <c r="U68" s="297"/>
    </row>
    <row r="69" spans="1:21">
      <c r="A69" s="19">
        <f t="shared" si="0"/>
        <v>65</v>
      </c>
      <c r="B69" s="22" t="str">
        <f ca="1">IFERROR(HLOOKUP(A69,Rango_Admin_Clas,3,FALSE),"-")</f>
        <v>-</v>
      </c>
      <c r="C69" s="18" t="str">
        <f ca="1">IFERROR(HLOOKUP(A69,Rango_Admin_Clas,5,FALSE),"-")</f>
        <v>-</v>
      </c>
      <c r="D69" s="91" t="str">
        <f ca="1">IFERROR(HLOOKUP(A69,Rango_Admin_Clas,4,FALSE),"-")</f>
        <v>-</v>
      </c>
      <c r="E69" s="92" t="str" cm="1">
        <f t="array" aca="1" ref="E69" ca="1">IFERROR(INDEX(Rango_Admin_Clas_Total,E$2,MATCH($A69,Rango_Admin_Clas_Primera,0)+1),"-")</f>
        <v>-</v>
      </c>
      <c r="F69" s="92" t="str" cm="1">
        <f t="array" aca="1" ref="F69" ca="1">IFERROR(INDEX(Rango_Admin_Clas_Total,F$2,MATCH($A69,Rango_Admin_Clas_Primera,0)+1),"-")</f>
        <v>-</v>
      </c>
      <c r="G69" s="92" t="str" cm="1">
        <f t="array" aca="1" ref="G69" ca="1">IFERROR(INDEX(Rango_Admin_Clas_Total,G$2,MATCH($A69,Rango_Admin_Clas_Primera,0)+1),"-")</f>
        <v>-</v>
      </c>
      <c r="H69" s="92" t="str" cm="1">
        <f t="array" aca="1" ref="H69" ca="1">IFERROR(INDEX(Rango_Admin_Clas_Total,H$2,MATCH($A69,Rango_Admin_Clas_Primera,0)+1),"-")</f>
        <v>-</v>
      </c>
      <c r="I69" s="92" t="str" cm="1">
        <f t="array" aca="1" ref="I69" ca="1">IFERROR(INDEX(Rango_Admin_Clas_Total,I$2,MATCH($A69,Rango_Admin_Clas_Primera,0)+1),"-")</f>
        <v>-</v>
      </c>
      <c r="J69" s="92" t="str" cm="1">
        <f t="array" aca="1" ref="J69" ca="1">IFERROR(INDEX(Rango_Admin_Clas_Total,J$2,MATCH($A69,Rango_Admin_Clas_Primera,0)+1),"-")</f>
        <v>-</v>
      </c>
      <c r="K69" s="92" t="str" cm="1">
        <f t="array" aca="1" ref="K69" ca="1">IFERROR(INDEX(Rango_Admin_Clas_Total,K$2,MATCH($A69,Rango_Admin_Clas_Primera,0)+1),"-")</f>
        <v>-</v>
      </c>
      <c r="L69" s="92" t="str" cm="1">
        <f t="array" aca="1" ref="L69" ca="1">IFERROR(INDEX(Rango_Admin_Clas_Total,L$2,MATCH($A69,Rango_Admin_Clas_Primera,0)+1),"-")</f>
        <v>-</v>
      </c>
      <c r="M69" s="92" t="str" cm="1">
        <f t="array" aca="1" ref="M69" ca="1">IFERROR(INDEX(Rango_Admin_Clas_Total,M$2,MATCH($A69,Rango_Admin_Clas_Primera,0)+1),"-")</f>
        <v>-</v>
      </c>
      <c r="N69" s="92" t="str" cm="1">
        <f t="array" aca="1" ref="N69" ca="1">IFERROR(INDEX(Rango_Admin_Clas_Total,N$2,MATCH($A69,Rango_Admin_Clas_Primera,0)+1),"-")</f>
        <v>-</v>
      </c>
      <c r="O69" s="92" t="str" cm="1">
        <f t="array" aca="1" ref="O69" ca="1">IFERROR(INDEX(Rango_Admin_Clas_Total,O$2,MATCH($A69,Rango_Admin_Clas_Primera,0)+1),"-")</f>
        <v>-</v>
      </c>
      <c r="P69" s="92" t="str" cm="1">
        <f t="array" aca="1" ref="P69" ca="1">IFERROR(INDEX(Rango_Admin_Clas_Total,P$2,MATCH($A69,Rango_Admin_Clas_Primera,0)+1),"-")</f>
        <v>-</v>
      </c>
      <c r="Q69" s="92" t="str" cm="1">
        <f t="array" aca="1" ref="Q69" ca="1">IFERROR(INDEX(Rango_Admin_Clas_Total,Q$2,MATCH($A69,Rango_Admin_Clas_Primera,0)+1),"-")</f>
        <v>-</v>
      </c>
      <c r="R69" s="92" t="str" cm="1">
        <f t="array" aca="1" ref="R69" ca="1">IFERROR(INDEX(Rango_Admin_Clas_Total,R$2,MATCH($A69,Rango_Admin_Clas_Primera,0)+1),"-")</f>
        <v>-</v>
      </c>
      <c r="S69" s="92" t="str" cm="1">
        <f t="array" aca="1" ref="S69" ca="1">IFERROR(INDEX(Rango_Admin_Clas_Total,S$2,MATCH($A69,Rango_Admin_Clas_Primera,0)+1),"-")</f>
        <v>-</v>
      </c>
      <c r="T69" s="297"/>
      <c r="U69" s="297"/>
    </row>
    <row r="70" spans="1:21">
      <c r="A70" s="19">
        <f t="shared" ref="A70:A104" si="1">ROW()-4</f>
        <v>66</v>
      </c>
      <c r="B70" s="22" t="str">
        <f ca="1">IFERROR(HLOOKUP(A70,Rango_Admin_Clas,3,FALSE),"-")</f>
        <v>-</v>
      </c>
      <c r="C70" s="18" t="str">
        <f ca="1">IFERROR(HLOOKUP(A70,Rango_Admin_Clas,5,FALSE),"-")</f>
        <v>-</v>
      </c>
      <c r="D70" s="91" t="str">
        <f ca="1">IFERROR(HLOOKUP(A70,Rango_Admin_Clas,4,FALSE),"-")</f>
        <v>-</v>
      </c>
      <c r="E70" s="92" t="str" cm="1">
        <f t="array" aca="1" ref="E70" ca="1">IFERROR(INDEX(Rango_Admin_Clas_Total,E$2,MATCH($A70,Rango_Admin_Clas_Primera,0)+1),"-")</f>
        <v>-</v>
      </c>
      <c r="F70" s="92" t="str" cm="1">
        <f t="array" aca="1" ref="F70" ca="1">IFERROR(INDEX(Rango_Admin_Clas_Total,F$2,MATCH($A70,Rango_Admin_Clas_Primera,0)+1),"-")</f>
        <v>-</v>
      </c>
      <c r="G70" s="92" t="str" cm="1">
        <f t="array" aca="1" ref="G70" ca="1">IFERROR(INDEX(Rango_Admin_Clas_Total,G$2,MATCH($A70,Rango_Admin_Clas_Primera,0)+1),"-")</f>
        <v>-</v>
      </c>
      <c r="H70" s="92" t="str" cm="1">
        <f t="array" aca="1" ref="H70" ca="1">IFERROR(INDEX(Rango_Admin_Clas_Total,H$2,MATCH($A70,Rango_Admin_Clas_Primera,0)+1),"-")</f>
        <v>-</v>
      </c>
      <c r="I70" s="92" t="str" cm="1">
        <f t="array" aca="1" ref="I70" ca="1">IFERROR(INDEX(Rango_Admin_Clas_Total,I$2,MATCH($A70,Rango_Admin_Clas_Primera,0)+1),"-")</f>
        <v>-</v>
      </c>
      <c r="J70" s="92" t="str" cm="1">
        <f t="array" aca="1" ref="J70" ca="1">IFERROR(INDEX(Rango_Admin_Clas_Total,J$2,MATCH($A70,Rango_Admin_Clas_Primera,0)+1),"-")</f>
        <v>-</v>
      </c>
      <c r="K70" s="92" t="str" cm="1">
        <f t="array" aca="1" ref="K70" ca="1">IFERROR(INDEX(Rango_Admin_Clas_Total,K$2,MATCH($A70,Rango_Admin_Clas_Primera,0)+1),"-")</f>
        <v>-</v>
      </c>
      <c r="L70" s="92" t="str" cm="1">
        <f t="array" aca="1" ref="L70" ca="1">IFERROR(INDEX(Rango_Admin_Clas_Total,L$2,MATCH($A70,Rango_Admin_Clas_Primera,0)+1),"-")</f>
        <v>-</v>
      </c>
      <c r="M70" s="92" t="str" cm="1">
        <f t="array" aca="1" ref="M70" ca="1">IFERROR(INDEX(Rango_Admin_Clas_Total,M$2,MATCH($A70,Rango_Admin_Clas_Primera,0)+1),"-")</f>
        <v>-</v>
      </c>
      <c r="N70" s="92" t="str" cm="1">
        <f t="array" aca="1" ref="N70" ca="1">IFERROR(INDEX(Rango_Admin_Clas_Total,N$2,MATCH($A70,Rango_Admin_Clas_Primera,0)+1),"-")</f>
        <v>-</v>
      </c>
      <c r="O70" s="92" t="str" cm="1">
        <f t="array" aca="1" ref="O70" ca="1">IFERROR(INDEX(Rango_Admin_Clas_Total,O$2,MATCH($A70,Rango_Admin_Clas_Primera,0)+1),"-")</f>
        <v>-</v>
      </c>
      <c r="P70" s="92" t="str" cm="1">
        <f t="array" aca="1" ref="P70" ca="1">IFERROR(INDEX(Rango_Admin_Clas_Total,P$2,MATCH($A70,Rango_Admin_Clas_Primera,0)+1),"-")</f>
        <v>-</v>
      </c>
      <c r="Q70" s="92" t="str" cm="1">
        <f t="array" aca="1" ref="Q70" ca="1">IFERROR(INDEX(Rango_Admin_Clas_Total,Q$2,MATCH($A70,Rango_Admin_Clas_Primera,0)+1),"-")</f>
        <v>-</v>
      </c>
      <c r="R70" s="92" t="str" cm="1">
        <f t="array" aca="1" ref="R70" ca="1">IFERROR(INDEX(Rango_Admin_Clas_Total,R$2,MATCH($A70,Rango_Admin_Clas_Primera,0)+1),"-")</f>
        <v>-</v>
      </c>
      <c r="S70" s="92" t="str" cm="1">
        <f t="array" aca="1" ref="S70" ca="1">IFERROR(INDEX(Rango_Admin_Clas_Total,S$2,MATCH($A70,Rango_Admin_Clas_Primera,0)+1),"-")</f>
        <v>-</v>
      </c>
      <c r="T70" s="297"/>
      <c r="U70" s="297"/>
    </row>
    <row r="71" spans="1:21">
      <c r="A71" s="19">
        <f t="shared" si="1"/>
        <v>67</v>
      </c>
      <c r="B71" s="22" t="str">
        <f ca="1">IFERROR(HLOOKUP(A71,Rango_Admin_Clas,3,FALSE),"-")</f>
        <v>-</v>
      </c>
      <c r="C71" s="18" t="str">
        <f ca="1">IFERROR(HLOOKUP(A71,Rango_Admin_Clas,5,FALSE),"-")</f>
        <v>-</v>
      </c>
      <c r="D71" s="91" t="str">
        <f ca="1">IFERROR(HLOOKUP(A71,Rango_Admin_Clas,4,FALSE),"-")</f>
        <v>-</v>
      </c>
      <c r="E71" s="92" t="str" cm="1">
        <f t="array" aca="1" ref="E71" ca="1">IFERROR(INDEX(Rango_Admin_Clas_Total,E$2,MATCH($A71,Rango_Admin_Clas_Primera,0)+1),"-")</f>
        <v>-</v>
      </c>
      <c r="F71" s="92" t="str" cm="1">
        <f t="array" aca="1" ref="F71" ca="1">IFERROR(INDEX(Rango_Admin_Clas_Total,F$2,MATCH($A71,Rango_Admin_Clas_Primera,0)+1),"-")</f>
        <v>-</v>
      </c>
      <c r="G71" s="92" t="str" cm="1">
        <f t="array" aca="1" ref="G71" ca="1">IFERROR(INDEX(Rango_Admin_Clas_Total,G$2,MATCH($A71,Rango_Admin_Clas_Primera,0)+1),"-")</f>
        <v>-</v>
      </c>
      <c r="H71" s="92" t="str" cm="1">
        <f t="array" aca="1" ref="H71" ca="1">IFERROR(INDEX(Rango_Admin_Clas_Total,H$2,MATCH($A71,Rango_Admin_Clas_Primera,0)+1),"-")</f>
        <v>-</v>
      </c>
      <c r="I71" s="92" t="str" cm="1">
        <f t="array" aca="1" ref="I71" ca="1">IFERROR(INDEX(Rango_Admin_Clas_Total,I$2,MATCH($A71,Rango_Admin_Clas_Primera,0)+1),"-")</f>
        <v>-</v>
      </c>
      <c r="J71" s="92" t="str" cm="1">
        <f t="array" aca="1" ref="J71" ca="1">IFERROR(INDEX(Rango_Admin_Clas_Total,J$2,MATCH($A71,Rango_Admin_Clas_Primera,0)+1),"-")</f>
        <v>-</v>
      </c>
      <c r="K71" s="92" t="str" cm="1">
        <f t="array" aca="1" ref="K71" ca="1">IFERROR(INDEX(Rango_Admin_Clas_Total,K$2,MATCH($A71,Rango_Admin_Clas_Primera,0)+1),"-")</f>
        <v>-</v>
      </c>
      <c r="L71" s="92" t="str" cm="1">
        <f t="array" aca="1" ref="L71" ca="1">IFERROR(INDEX(Rango_Admin_Clas_Total,L$2,MATCH($A71,Rango_Admin_Clas_Primera,0)+1),"-")</f>
        <v>-</v>
      </c>
      <c r="M71" s="92" t="str" cm="1">
        <f t="array" aca="1" ref="M71" ca="1">IFERROR(INDEX(Rango_Admin_Clas_Total,M$2,MATCH($A71,Rango_Admin_Clas_Primera,0)+1),"-")</f>
        <v>-</v>
      </c>
      <c r="N71" s="92" t="str" cm="1">
        <f t="array" aca="1" ref="N71" ca="1">IFERROR(INDEX(Rango_Admin_Clas_Total,N$2,MATCH($A71,Rango_Admin_Clas_Primera,0)+1),"-")</f>
        <v>-</v>
      </c>
      <c r="O71" s="92" t="str" cm="1">
        <f t="array" aca="1" ref="O71" ca="1">IFERROR(INDEX(Rango_Admin_Clas_Total,O$2,MATCH($A71,Rango_Admin_Clas_Primera,0)+1),"-")</f>
        <v>-</v>
      </c>
      <c r="P71" s="92" t="str" cm="1">
        <f t="array" aca="1" ref="P71" ca="1">IFERROR(INDEX(Rango_Admin_Clas_Total,P$2,MATCH($A71,Rango_Admin_Clas_Primera,0)+1),"-")</f>
        <v>-</v>
      </c>
      <c r="Q71" s="92" t="str" cm="1">
        <f t="array" aca="1" ref="Q71" ca="1">IFERROR(INDEX(Rango_Admin_Clas_Total,Q$2,MATCH($A71,Rango_Admin_Clas_Primera,0)+1),"-")</f>
        <v>-</v>
      </c>
      <c r="R71" s="92" t="str" cm="1">
        <f t="array" aca="1" ref="R71" ca="1">IFERROR(INDEX(Rango_Admin_Clas_Total,R$2,MATCH($A71,Rango_Admin_Clas_Primera,0)+1),"-")</f>
        <v>-</v>
      </c>
      <c r="S71" s="92" t="str" cm="1">
        <f t="array" aca="1" ref="S71" ca="1">IFERROR(INDEX(Rango_Admin_Clas_Total,S$2,MATCH($A71,Rango_Admin_Clas_Primera,0)+1),"-")</f>
        <v>-</v>
      </c>
      <c r="T71" s="297"/>
      <c r="U71" s="297"/>
    </row>
    <row r="72" spans="1:21">
      <c r="A72" s="19">
        <f t="shared" si="1"/>
        <v>68</v>
      </c>
      <c r="B72" s="22" t="str">
        <f ca="1">IFERROR(HLOOKUP(A72,Rango_Admin_Clas,3,FALSE),"-")</f>
        <v>-</v>
      </c>
      <c r="C72" s="18" t="str">
        <f ca="1">IFERROR(HLOOKUP(A72,Rango_Admin_Clas,5,FALSE),"-")</f>
        <v>-</v>
      </c>
      <c r="D72" s="91" t="str">
        <f ca="1">IFERROR(HLOOKUP(A72,Rango_Admin_Clas,4,FALSE),"-")</f>
        <v>-</v>
      </c>
      <c r="E72" s="92" t="str" cm="1">
        <f t="array" aca="1" ref="E72" ca="1">IFERROR(INDEX(Rango_Admin_Clas_Total,E$2,MATCH($A72,Rango_Admin_Clas_Primera,0)+1),"-")</f>
        <v>-</v>
      </c>
      <c r="F72" s="92" t="str" cm="1">
        <f t="array" aca="1" ref="F72" ca="1">IFERROR(INDEX(Rango_Admin_Clas_Total,F$2,MATCH($A72,Rango_Admin_Clas_Primera,0)+1),"-")</f>
        <v>-</v>
      </c>
      <c r="G72" s="92" t="str" cm="1">
        <f t="array" aca="1" ref="G72" ca="1">IFERROR(INDEX(Rango_Admin_Clas_Total,G$2,MATCH($A72,Rango_Admin_Clas_Primera,0)+1),"-")</f>
        <v>-</v>
      </c>
      <c r="H72" s="92" t="str" cm="1">
        <f t="array" aca="1" ref="H72" ca="1">IFERROR(INDEX(Rango_Admin_Clas_Total,H$2,MATCH($A72,Rango_Admin_Clas_Primera,0)+1),"-")</f>
        <v>-</v>
      </c>
      <c r="I72" s="92" t="str" cm="1">
        <f t="array" aca="1" ref="I72" ca="1">IFERROR(INDEX(Rango_Admin_Clas_Total,I$2,MATCH($A72,Rango_Admin_Clas_Primera,0)+1),"-")</f>
        <v>-</v>
      </c>
      <c r="J72" s="92" t="str" cm="1">
        <f t="array" aca="1" ref="J72" ca="1">IFERROR(INDEX(Rango_Admin_Clas_Total,J$2,MATCH($A72,Rango_Admin_Clas_Primera,0)+1),"-")</f>
        <v>-</v>
      </c>
      <c r="K72" s="92" t="str" cm="1">
        <f t="array" aca="1" ref="K72" ca="1">IFERROR(INDEX(Rango_Admin_Clas_Total,K$2,MATCH($A72,Rango_Admin_Clas_Primera,0)+1),"-")</f>
        <v>-</v>
      </c>
      <c r="L72" s="92" t="str" cm="1">
        <f t="array" aca="1" ref="L72" ca="1">IFERROR(INDEX(Rango_Admin_Clas_Total,L$2,MATCH($A72,Rango_Admin_Clas_Primera,0)+1),"-")</f>
        <v>-</v>
      </c>
      <c r="M72" s="92" t="str" cm="1">
        <f t="array" aca="1" ref="M72" ca="1">IFERROR(INDEX(Rango_Admin_Clas_Total,M$2,MATCH($A72,Rango_Admin_Clas_Primera,0)+1),"-")</f>
        <v>-</v>
      </c>
      <c r="N72" s="92" t="str" cm="1">
        <f t="array" aca="1" ref="N72" ca="1">IFERROR(INDEX(Rango_Admin_Clas_Total,N$2,MATCH($A72,Rango_Admin_Clas_Primera,0)+1),"-")</f>
        <v>-</v>
      </c>
      <c r="O72" s="92" t="str" cm="1">
        <f t="array" aca="1" ref="O72" ca="1">IFERROR(INDEX(Rango_Admin_Clas_Total,O$2,MATCH($A72,Rango_Admin_Clas_Primera,0)+1),"-")</f>
        <v>-</v>
      </c>
      <c r="P72" s="92" t="str" cm="1">
        <f t="array" aca="1" ref="P72" ca="1">IFERROR(INDEX(Rango_Admin_Clas_Total,P$2,MATCH($A72,Rango_Admin_Clas_Primera,0)+1),"-")</f>
        <v>-</v>
      </c>
      <c r="Q72" s="92" t="str" cm="1">
        <f t="array" aca="1" ref="Q72" ca="1">IFERROR(INDEX(Rango_Admin_Clas_Total,Q$2,MATCH($A72,Rango_Admin_Clas_Primera,0)+1),"-")</f>
        <v>-</v>
      </c>
      <c r="R72" s="92" t="str" cm="1">
        <f t="array" aca="1" ref="R72" ca="1">IFERROR(INDEX(Rango_Admin_Clas_Total,R$2,MATCH($A72,Rango_Admin_Clas_Primera,0)+1),"-")</f>
        <v>-</v>
      </c>
      <c r="S72" s="92" t="str" cm="1">
        <f t="array" aca="1" ref="S72" ca="1">IFERROR(INDEX(Rango_Admin_Clas_Total,S$2,MATCH($A72,Rango_Admin_Clas_Primera,0)+1),"-")</f>
        <v>-</v>
      </c>
      <c r="T72" s="297"/>
      <c r="U72" s="297"/>
    </row>
    <row r="73" spans="1:21">
      <c r="A73" s="19">
        <f t="shared" si="1"/>
        <v>69</v>
      </c>
      <c r="B73" s="22" t="str">
        <f ca="1">IFERROR(HLOOKUP(A73,Rango_Admin_Clas,3,FALSE),"-")</f>
        <v>-</v>
      </c>
      <c r="C73" s="18" t="str">
        <f ca="1">IFERROR(HLOOKUP(A73,Rango_Admin_Clas,5,FALSE),"-")</f>
        <v>-</v>
      </c>
      <c r="D73" s="91" t="str">
        <f ca="1">IFERROR(HLOOKUP(A73,Rango_Admin_Clas,4,FALSE),"-")</f>
        <v>-</v>
      </c>
      <c r="E73" s="92" t="str" cm="1">
        <f t="array" aca="1" ref="E73" ca="1">IFERROR(INDEX(Rango_Admin_Clas_Total,E$2,MATCH($A73,Rango_Admin_Clas_Primera,0)+1),"-")</f>
        <v>-</v>
      </c>
      <c r="F73" s="92" t="str" cm="1">
        <f t="array" aca="1" ref="F73" ca="1">IFERROR(INDEX(Rango_Admin_Clas_Total,F$2,MATCH($A73,Rango_Admin_Clas_Primera,0)+1),"-")</f>
        <v>-</v>
      </c>
      <c r="G73" s="92" t="str" cm="1">
        <f t="array" aca="1" ref="G73" ca="1">IFERROR(INDEX(Rango_Admin_Clas_Total,G$2,MATCH($A73,Rango_Admin_Clas_Primera,0)+1),"-")</f>
        <v>-</v>
      </c>
      <c r="H73" s="92" t="str" cm="1">
        <f t="array" aca="1" ref="H73" ca="1">IFERROR(INDEX(Rango_Admin_Clas_Total,H$2,MATCH($A73,Rango_Admin_Clas_Primera,0)+1),"-")</f>
        <v>-</v>
      </c>
      <c r="I73" s="92" t="str" cm="1">
        <f t="array" aca="1" ref="I73" ca="1">IFERROR(INDEX(Rango_Admin_Clas_Total,I$2,MATCH($A73,Rango_Admin_Clas_Primera,0)+1),"-")</f>
        <v>-</v>
      </c>
      <c r="J73" s="92" t="str" cm="1">
        <f t="array" aca="1" ref="J73" ca="1">IFERROR(INDEX(Rango_Admin_Clas_Total,J$2,MATCH($A73,Rango_Admin_Clas_Primera,0)+1),"-")</f>
        <v>-</v>
      </c>
      <c r="K73" s="92" t="str" cm="1">
        <f t="array" aca="1" ref="K73" ca="1">IFERROR(INDEX(Rango_Admin_Clas_Total,K$2,MATCH($A73,Rango_Admin_Clas_Primera,0)+1),"-")</f>
        <v>-</v>
      </c>
      <c r="L73" s="92" t="str" cm="1">
        <f t="array" aca="1" ref="L73" ca="1">IFERROR(INDEX(Rango_Admin_Clas_Total,L$2,MATCH($A73,Rango_Admin_Clas_Primera,0)+1),"-")</f>
        <v>-</v>
      </c>
      <c r="M73" s="92" t="str" cm="1">
        <f t="array" aca="1" ref="M73" ca="1">IFERROR(INDEX(Rango_Admin_Clas_Total,M$2,MATCH($A73,Rango_Admin_Clas_Primera,0)+1),"-")</f>
        <v>-</v>
      </c>
      <c r="N73" s="92" t="str" cm="1">
        <f t="array" aca="1" ref="N73" ca="1">IFERROR(INDEX(Rango_Admin_Clas_Total,N$2,MATCH($A73,Rango_Admin_Clas_Primera,0)+1),"-")</f>
        <v>-</v>
      </c>
      <c r="O73" s="92" t="str" cm="1">
        <f t="array" aca="1" ref="O73" ca="1">IFERROR(INDEX(Rango_Admin_Clas_Total,O$2,MATCH($A73,Rango_Admin_Clas_Primera,0)+1),"-")</f>
        <v>-</v>
      </c>
      <c r="P73" s="92" t="str" cm="1">
        <f t="array" aca="1" ref="P73" ca="1">IFERROR(INDEX(Rango_Admin_Clas_Total,P$2,MATCH($A73,Rango_Admin_Clas_Primera,0)+1),"-")</f>
        <v>-</v>
      </c>
      <c r="Q73" s="92" t="str" cm="1">
        <f t="array" aca="1" ref="Q73" ca="1">IFERROR(INDEX(Rango_Admin_Clas_Total,Q$2,MATCH($A73,Rango_Admin_Clas_Primera,0)+1),"-")</f>
        <v>-</v>
      </c>
      <c r="R73" s="92" t="str" cm="1">
        <f t="array" aca="1" ref="R73" ca="1">IFERROR(INDEX(Rango_Admin_Clas_Total,R$2,MATCH($A73,Rango_Admin_Clas_Primera,0)+1),"-")</f>
        <v>-</v>
      </c>
      <c r="S73" s="92" t="str" cm="1">
        <f t="array" aca="1" ref="S73" ca="1">IFERROR(INDEX(Rango_Admin_Clas_Total,S$2,MATCH($A73,Rango_Admin_Clas_Primera,0)+1),"-")</f>
        <v>-</v>
      </c>
      <c r="T73" s="297"/>
      <c r="U73" s="297"/>
    </row>
    <row r="74" spans="1:21">
      <c r="A74" s="19">
        <f t="shared" si="1"/>
        <v>70</v>
      </c>
      <c r="B74" s="22" t="str">
        <f ca="1">IFERROR(HLOOKUP(A74,Rango_Admin_Clas,3,FALSE),"-")</f>
        <v>-</v>
      </c>
      <c r="C74" s="18" t="str">
        <f ca="1">IFERROR(HLOOKUP(A74,Rango_Admin_Clas,5,FALSE),"-")</f>
        <v>-</v>
      </c>
      <c r="D74" s="91" t="str">
        <f ca="1">IFERROR(HLOOKUP(A74,Rango_Admin_Clas,4,FALSE),"-")</f>
        <v>-</v>
      </c>
      <c r="E74" s="92" t="str" cm="1">
        <f t="array" aca="1" ref="E74" ca="1">IFERROR(INDEX(Rango_Admin_Clas_Total,E$2,MATCH($A74,Rango_Admin_Clas_Primera,0)+1),"-")</f>
        <v>-</v>
      </c>
      <c r="F74" s="92" t="str" cm="1">
        <f t="array" aca="1" ref="F74" ca="1">IFERROR(INDEX(Rango_Admin_Clas_Total,F$2,MATCH($A74,Rango_Admin_Clas_Primera,0)+1),"-")</f>
        <v>-</v>
      </c>
      <c r="G74" s="92" t="str" cm="1">
        <f t="array" aca="1" ref="G74" ca="1">IFERROR(INDEX(Rango_Admin_Clas_Total,G$2,MATCH($A74,Rango_Admin_Clas_Primera,0)+1),"-")</f>
        <v>-</v>
      </c>
      <c r="H74" s="92" t="str" cm="1">
        <f t="array" aca="1" ref="H74" ca="1">IFERROR(INDEX(Rango_Admin_Clas_Total,H$2,MATCH($A74,Rango_Admin_Clas_Primera,0)+1),"-")</f>
        <v>-</v>
      </c>
      <c r="I74" s="92" t="str" cm="1">
        <f t="array" aca="1" ref="I74" ca="1">IFERROR(INDEX(Rango_Admin_Clas_Total,I$2,MATCH($A74,Rango_Admin_Clas_Primera,0)+1),"-")</f>
        <v>-</v>
      </c>
      <c r="J74" s="92" t="str" cm="1">
        <f t="array" aca="1" ref="J74" ca="1">IFERROR(INDEX(Rango_Admin_Clas_Total,J$2,MATCH($A74,Rango_Admin_Clas_Primera,0)+1),"-")</f>
        <v>-</v>
      </c>
      <c r="K74" s="92" t="str" cm="1">
        <f t="array" aca="1" ref="K74" ca="1">IFERROR(INDEX(Rango_Admin_Clas_Total,K$2,MATCH($A74,Rango_Admin_Clas_Primera,0)+1),"-")</f>
        <v>-</v>
      </c>
      <c r="L74" s="92" t="str" cm="1">
        <f t="array" aca="1" ref="L74" ca="1">IFERROR(INDEX(Rango_Admin_Clas_Total,L$2,MATCH($A74,Rango_Admin_Clas_Primera,0)+1),"-")</f>
        <v>-</v>
      </c>
      <c r="M74" s="92" t="str" cm="1">
        <f t="array" aca="1" ref="M74" ca="1">IFERROR(INDEX(Rango_Admin_Clas_Total,M$2,MATCH($A74,Rango_Admin_Clas_Primera,0)+1),"-")</f>
        <v>-</v>
      </c>
      <c r="N74" s="92" t="str" cm="1">
        <f t="array" aca="1" ref="N74" ca="1">IFERROR(INDEX(Rango_Admin_Clas_Total,N$2,MATCH($A74,Rango_Admin_Clas_Primera,0)+1),"-")</f>
        <v>-</v>
      </c>
      <c r="O74" s="92" t="str" cm="1">
        <f t="array" aca="1" ref="O74" ca="1">IFERROR(INDEX(Rango_Admin_Clas_Total,O$2,MATCH($A74,Rango_Admin_Clas_Primera,0)+1),"-")</f>
        <v>-</v>
      </c>
      <c r="P74" s="92" t="str" cm="1">
        <f t="array" aca="1" ref="P74" ca="1">IFERROR(INDEX(Rango_Admin_Clas_Total,P$2,MATCH($A74,Rango_Admin_Clas_Primera,0)+1),"-")</f>
        <v>-</v>
      </c>
      <c r="Q74" s="92" t="str" cm="1">
        <f t="array" aca="1" ref="Q74" ca="1">IFERROR(INDEX(Rango_Admin_Clas_Total,Q$2,MATCH($A74,Rango_Admin_Clas_Primera,0)+1),"-")</f>
        <v>-</v>
      </c>
      <c r="R74" s="92" t="str" cm="1">
        <f t="array" aca="1" ref="R74" ca="1">IFERROR(INDEX(Rango_Admin_Clas_Total,R$2,MATCH($A74,Rango_Admin_Clas_Primera,0)+1),"-")</f>
        <v>-</v>
      </c>
      <c r="S74" s="92" t="str" cm="1">
        <f t="array" aca="1" ref="S74" ca="1">IFERROR(INDEX(Rango_Admin_Clas_Total,S$2,MATCH($A74,Rango_Admin_Clas_Primera,0)+1),"-")</f>
        <v>-</v>
      </c>
      <c r="T74" s="297"/>
      <c r="U74" s="297"/>
    </row>
    <row r="75" spans="1:21">
      <c r="A75" s="19">
        <f t="shared" si="1"/>
        <v>71</v>
      </c>
      <c r="B75" s="22" t="str">
        <f ca="1">IFERROR(HLOOKUP(A75,Rango_Admin_Clas,3,FALSE),"-")</f>
        <v>-</v>
      </c>
      <c r="C75" s="18" t="str">
        <f ca="1">IFERROR(HLOOKUP(A75,Rango_Admin_Clas,5,FALSE),"-")</f>
        <v>-</v>
      </c>
      <c r="D75" s="91" t="str">
        <f ca="1">IFERROR(HLOOKUP(A75,Rango_Admin_Clas,4,FALSE),"-")</f>
        <v>-</v>
      </c>
      <c r="E75" s="92" t="str" cm="1">
        <f t="array" aca="1" ref="E75" ca="1">IFERROR(INDEX(Rango_Admin_Clas_Total,E$2,MATCH($A75,Rango_Admin_Clas_Primera,0)+1),"-")</f>
        <v>-</v>
      </c>
      <c r="F75" s="92" t="str" cm="1">
        <f t="array" aca="1" ref="F75" ca="1">IFERROR(INDEX(Rango_Admin_Clas_Total,F$2,MATCH($A75,Rango_Admin_Clas_Primera,0)+1),"-")</f>
        <v>-</v>
      </c>
      <c r="G75" s="92" t="str" cm="1">
        <f t="array" aca="1" ref="G75" ca="1">IFERROR(INDEX(Rango_Admin_Clas_Total,G$2,MATCH($A75,Rango_Admin_Clas_Primera,0)+1),"-")</f>
        <v>-</v>
      </c>
      <c r="H75" s="92" t="str" cm="1">
        <f t="array" aca="1" ref="H75" ca="1">IFERROR(INDEX(Rango_Admin_Clas_Total,H$2,MATCH($A75,Rango_Admin_Clas_Primera,0)+1),"-")</f>
        <v>-</v>
      </c>
      <c r="I75" s="92" t="str" cm="1">
        <f t="array" aca="1" ref="I75" ca="1">IFERROR(INDEX(Rango_Admin_Clas_Total,I$2,MATCH($A75,Rango_Admin_Clas_Primera,0)+1),"-")</f>
        <v>-</v>
      </c>
      <c r="J75" s="92" t="str" cm="1">
        <f t="array" aca="1" ref="J75" ca="1">IFERROR(INDEX(Rango_Admin_Clas_Total,J$2,MATCH($A75,Rango_Admin_Clas_Primera,0)+1),"-")</f>
        <v>-</v>
      </c>
      <c r="K75" s="92" t="str" cm="1">
        <f t="array" aca="1" ref="K75" ca="1">IFERROR(INDEX(Rango_Admin_Clas_Total,K$2,MATCH($A75,Rango_Admin_Clas_Primera,0)+1),"-")</f>
        <v>-</v>
      </c>
      <c r="L75" s="92" t="str" cm="1">
        <f t="array" aca="1" ref="L75" ca="1">IFERROR(INDEX(Rango_Admin_Clas_Total,L$2,MATCH($A75,Rango_Admin_Clas_Primera,0)+1),"-")</f>
        <v>-</v>
      </c>
      <c r="M75" s="92" t="str" cm="1">
        <f t="array" aca="1" ref="M75" ca="1">IFERROR(INDEX(Rango_Admin_Clas_Total,M$2,MATCH($A75,Rango_Admin_Clas_Primera,0)+1),"-")</f>
        <v>-</v>
      </c>
      <c r="N75" s="92" t="str" cm="1">
        <f t="array" aca="1" ref="N75" ca="1">IFERROR(INDEX(Rango_Admin_Clas_Total,N$2,MATCH($A75,Rango_Admin_Clas_Primera,0)+1),"-")</f>
        <v>-</v>
      </c>
      <c r="O75" s="92" t="str" cm="1">
        <f t="array" aca="1" ref="O75" ca="1">IFERROR(INDEX(Rango_Admin_Clas_Total,O$2,MATCH($A75,Rango_Admin_Clas_Primera,0)+1),"-")</f>
        <v>-</v>
      </c>
      <c r="P75" s="92" t="str" cm="1">
        <f t="array" aca="1" ref="P75" ca="1">IFERROR(INDEX(Rango_Admin_Clas_Total,P$2,MATCH($A75,Rango_Admin_Clas_Primera,0)+1),"-")</f>
        <v>-</v>
      </c>
      <c r="Q75" s="92" t="str" cm="1">
        <f t="array" aca="1" ref="Q75" ca="1">IFERROR(INDEX(Rango_Admin_Clas_Total,Q$2,MATCH($A75,Rango_Admin_Clas_Primera,0)+1),"-")</f>
        <v>-</v>
      </c>
      <c r="R75" s="92" t="str" cm="1">
        <f t="array" aca="1" ref="R75" ca="1">IFERROR(INDEX(Rango_Admin_Clas_Total,R$2,MATCH($A75,Rango_Admin_Clas_Primera,0)+1),"-")</f>
        <v>-</v>
      </c>
      <c r="S75" s="92" t="str" cm="1">
        <f t="array" aca="1" ref="S75" ca="1">IFERROR(INDEX(Rango_Admin_Clas_Total,S$2,MATCH($A75,Rango_Admin_Clas_Primera,0)+1),"-")</f>
        <v>-</v>
      </c>
      <c r="T75" s="297"/>
      <c r="U75" s="297"/>
    </row>
    <row r="76" spans="1:21">
      <c r="A76" s="19">
        <f t="shared" si="1"/>
        <v>72</v>
      </c>
      <c r="B76" s="22" t="str">
        <f ca="1">IFERROR(HLOOKUP(A76,Rango_Admin_Clas,3,FALSE),"-")</f>
        <v>-</v>
      </c>
      <c r="C76" s="18" t="str">
        <f ca="1">IFERROR(HLOOKUP(A76,Rango_Admin_Clas,5,FALSE),"-")</f>
        <v>-</v>
      </c>
      <c r="D76" s="91" t="str">
        <f ca="1">IFERROR(HLOOKUP(A76,Rango_Admin_Clas,4,FALSE),"-")</f>
        <v>-</v>
      </c>
      <c r="E76" s="92" t="str" cm="1">
        <f t="array" aca="1" ref="E76" ca="1">IFERROR(INDEX(Rango_Admin_Clas_Total,E$2,MATCH($A76,Rango_Admin_Clas_Primera,0)+1),"-")</f>
        <v>-</v>
      </c>
      <c r="F76" s="92" t="str" cm="1">
        <f t="array" aca="1" ref="F76" ca="1">IFERROR(INDEX(Rango_Admin_Clas_Total,F$2,MATCH($A76,Rango_Admin_Clas_Primera,0)+1),"-")</f>
        <v>-</v>
      </c>
      <c r="G76" s="92" t="str" cm="1">
        <f t="array" aca="1" ref="G76" ca="1">IFERROR(INDEX(Rango_Admin_Clas_Total,G$2,MATCH($A76,Rango_Admin_Clas_Primera,0)+1),"-")</f>
        <v>-</v>
      </c>
      <c r="H76" s="92" t="str" cm="1">
        <f t="array" aca="1" ref="H76" ca="1">IFERROR(INDEX(Rango_Admin_Clas_Total,H$2,MATCH($A76,Rango_Admin_Clas_Primera,0)+1),"-")</f>
        <v>-</v>
      </c>
      <c r="I76" s="92" t="str" cm="1">
        <f t="array" aca="1" ref="I76" ca="1">IFERROR(INDEX(Rango_Admin_Clas_Total,I$2,MATCH($A76,Rango_Admin_Clas_Primera,0)+1),"-")</f>
        <v>-</v>
      </c>
      <c r="J76" s="92" t="str" cm="1">
        <f t="array" aca="1" ref="J76" ca="1">IFERROR(INDEX(Rango_Admin_Clas_Total,J$2,MATCH($A76,Rango_Admin_Clas_Primera,0)+1),"-")</f>
        <v>-</v>
      </c>
      <c r="K76" s="92" t="str" cm="1">
        <f t="array" aca="1" ref="K76" ca="1">IFERROR(INDEX(Rango_Admin_Clas_Total,K$2,MATCH($A76,Rango_Admin_Clas_Primera,0)+1),"-")</f>
        <v>-</v>
      </c>
      <c r="L76" s="92" t="str" cm="1">
        <f t="array" aca="1" ref="L76" ca="1">IFERROR(INDEX(Rango_Admin_Clas_Total,L$2,MATCH($A76,Rango_Admin_Clas_Primera,0)+1),"-")</f>
        <v>-</v>
      </c>
      <c r="M76" s="92" t="str" cm="1">
        <f t="array" aca="1" ref="M76" ca="1">IFERROR(INDEX(Rango_Admin_Clas_Total,M$2,MATCH($A76,Rango_Admin_Clas_Primera,0)+1),"-")</f>
        <v>-</v>
      </c>
      <c r="N76" s="92" t="str" cm="1">
        <f t="array" aca="1" ref="N76" ca="1">IFERROR(INDEX(Rango_Admin_Clas_Total,N$2,MATCH($A76,Rango_Admin_Clas_Primera,0)+1),"-")</f>
        <v>-</v>
      </c>
      <c r="O76" s="92" t="str" cm="1">
        <f t="array" aca="1" ref="O76" ca="1">IFERROR(INDEX(Rango_Admin_Clas_Total,O$2,MATCH($A76,Rango_Admin_Clas_Primera,0)+1),"-")</f>
        <v>-</v>
      </c>
      <c r="P76" s="92" t="str" cm="1">
        <f t="array" aca="1" ref="P76" ca="1">IFERROR(INDEX(Rango_Admin_Clas_Total,P$2,MATCH($A76,Rango_Admin_Clas_Primera,0)+1),"-")</f>
        <v>-</v>
      </c>
      <c r="Q76" s="92" t="str" cm="1">
        <f t="array" aca="1" ref="Q76" ca="1">IFERROR(INDEX(Rango_Admin_Clas_Total,Q$2,MATCH($A76,Rango_Admin_Clas_Primera,0)+1),"-")</f>
        <v>-</v>
      </c>
      <c r="R76" s="92" t="str" cm="1">
        <f t="array" aca="1" ref="R76" ca="1">IFERROR(INDEX(Rango_Admin_Clas_Total,R$2,MATCH($A76,Rango_Admin_Clas_Primera,0)+1),"-")</f>
        <v>-</v>
      </c>
      <c r="S76" s="92" t="str" cm="1">
        <f t="array" aca="1" ref="S76" ca="1">IFERROR(INDEX(Rango_Admin_Clas_Total,S$2,MATCH($A76,Rango_Admin_Clas_Primera,0)+1),"-")</f>
        <v>-</v>
      </c>
      <c r="T76" s="297"/>
      <c r="U76" s="297"/>
    </row>
    <row r="77" spans="1:21">
      <c r="A77" s="19">
        <f t="shared" si="1"/>
        <v>73</v>
      </c>
      <c r="B77" s="22" t="str">
        <f ca="1">IFERROR(HLOOKUP(A77,Rango_Admin_Clas,3,FALSE),"-")</f>
        <v>-</v>
      </c>
      <c r="C77" s="18" t="str">
        <f ca="1">IFERROR(HLOOKUP(A77,Rango_Admin_Clas,5,FALSE),"-")</f>
        <v>-</v>
      </c>
      <c r="D77" s="91" t="str">
        <f ca="1">IFERROR(HLOOKUP(A77,Rango_Admin_Clas,4,FALSE),"-")</f>
        <v>-</v>
      </c>
      <c r="E77" s="92" t="str" cm="1">
        <f t="array" aca="1" ref="E77" ca="1">IFERROR(INDEX(Rango_Admin_Clas_Total,E$2,MATCH($A77,Rango_Admin_Clas_Primera,0)+1),"-")</f>
        <v>-</v>
      </c>
      <c r="F77" s="92" t="str" cm="1">
        <f t="array" aca="1" ref="F77" ca="1">IFERROR(INDEX(Rango_Admin_Clas_Total,F$2,MATCH($A77,Rango_Admin_Clas_Primera,0)+1),"-")</f>
        <v>-</v>
      </c>
      <c r="G77" s="92" t="str" cm="1">
        <f t="array" aca="1" ref="G77" ca="1">IFERROR(INDEX(Rango_Admin_Clas_Total,G$2,MATCH($A77,Rango_Admin_Clas_Primera,0)+1),"-")</f>
        <v>-</v>
      </c>
      <c r="H77" s="92" t="str" cm="1">
        <f t="array" aca="1" ref="H77" ca="1">IFERROR(INDEX(Rango_Admin_Clas_Total,H$2,MATCH($A77,Rango_Admin_Clas_Primera,0)+1),"-")</f>
        <v>-</v>
      </c>
      <c r="I77" s="92" t="str" cm="1">
        <f t="array" aca="1" ref="I77" ca="1">IFERROR(INDEX(Rango_Admin_Clas_Total,I$2,MATCH($A77,Rango_Admin_Clas_Primera,0)+1),"-")</f>
        <v>-</v>
      </c>
      <c r="J77" s="92" t="str" cm="1">
        <f t="array" aca="1" ref="J77" ca="1">IFERROR(INDEX(Rango_Admin_Clas_Total,J$2,MATCH($A77,Rango_Admin_Clas_Primera,0)+1),"-")</f>
        <v>-</v>
      </c>
      <c r="K77" s="92" t="str" cm="1">
        <f t="array" aca="1" ref="K77" ca="1">IFERROR(INDEX(Rango_Admin_Clas_Total,K$2,MATCH($A77,Rango_Admin_Clas_Primera,0)+1),"-")</f>
        <v>-</v>
      </c>
      <c r="L77" s="92" t="str" cm="1">
        <f t="array" aca="1" ref="L77" ca="1">IFERROR(INDEX(Rango_Admin_Clas_Total,L$2,MATCH($A77,Rango_Admin_Clas_Primera,0)+1),"-")</f>
        <v>-</v>
      </c>
      <c r="M77" s="92" t="str" cm="1">
        <f t="array" aca="1" ref="M77" ca="1">IFERROR(INDEX(Rango_Admin_Clas_Total,M$2,MATCH($A77,Rango_Admin_Clas_Primera,0)+1),"-")</f>
        <v>-</v>
      </c>
      <c r="N77" s="92" t="str" cm="1">
        <f t="array" aca="1" ref="N77" ca="1">IFERROR(INDEX(Rango_Admin_Clas_Total,N$2,MATCH($A77,Rango_Admin_Clas_Primera,0)+1),"-")</f>
        <v>-</v>
      </c>
      <c r="O77" s="92" t="str" cm="1">
        <f t="array" aca="1" ref="O77" ca="1">IFERROR(INDEX(Rango_Admin_Clas_Total,O$2,MATCH($A77,Rango_Admin_Clas_Primera,0)+1),"-")</f>
        <v>-</v>
      </c>
      <c r="P77" s="92" t="str" cm="1">
        <f t="array" aca="1" ref="P77" ca="1">IFERROR(INDEX(Rango_Admin_Clas_Total,P$2,MATCH($A77,Rango_Admin_Clas_Primera,0)+1),"-")</f>
        <v>-</v>
      </c>
      <c r="Q77" s="92" t="str" cm="1">
        <f t="array" aca="1" ref="Q77" ca="1">IFERROR(INDEX(Rango_Admin_Clas_Total,Q$2,MATCH($A77,Rango_Admin_Clas_Primera,0)+1),"-")</f>
        <v>-</v>
      </c>
      <c r="R77" s="92" t="str" cm="1">
        <f t="array" aca="1" ref="R77" ca="1">IFERROR(INDEX(Rango_Admin_Clas_Total,R$2,MATCH($A77,Rango_Admin_Clas_Primera,0)+1),"-")</f>
        <v>-</v>
      </c>
      <c r="S77" s="92" t="str" cm="1">
        <f t="array" aca="1" ref="S77" ca="1">IFERROR(INDEX(Rango_Admin_Clas_Total,S$2,MATCH($A77,Rango_Admin_Clas_Primera,0)+1),"-")</f>
        <v>-</v>
      </c>
      <c r="T77" s="297"/>
      <c r="U77" s="297"/>
    </row>
    <row r="78" spans="1:21">
      <c r="A78" s="19">
        <f t="shared" si="1"/>
        <v>74</v>
      </c>
      <c r="B78" s="22" t="str">
        <f ca="1">IFERROR(HLOOKUP(A78,Rango_Admin_Clas,3,FALSE),"-")</f>
        <v>-</v>
      </c>
      <c r="C78" s="18" t="str">
        <f ca="1">IFERROR(HLOOKUP(A78,Rango_Admin_Clas,5,FALSE),"-")</f>
        <v>-</v>
      </c>
      <c r="D78" s="91" t="str">
        <f ca="1">IFERROR(HLOOKUP(A78,Rango_Admin_Clas,4,FALSE),"-")</f>
        <v>-</v>
      </c>
      <c r="E78" s="92" t="str" cm="1">
        <f t="array" aca="1" ref="E78" ca="1">IFERROR(INDEX(Rango_Admin_Clas_Total,E$2,MATCH($A78,Rango_Admin_Clas_Primera,0)+1),"-")</f>
        <v>-</v>
      </c>
      <c r="F78" s="92" t="str" cm="1">
        <f t="array" aca="1" ref="F78" ca="1">IFERROR(INDEX(Rango_Admin_Clas_Total,F$2,MATCH($A78,Rango_Admin_Clas_Primera,0)+1),"-")</f>
        <v>-</v>
      </c>
      <c r="G78" s="92" t="str" cm="1">
        <f t="array" aca="1" ref="G78" ca="1">IFERROR(INDEX(Rango_Admin_Clas_Total,G$2,MATCH($A78,Rango_Admin_Clas_Primera,0)+1),"-")</f>
        <v>-</v>
      </c>
      <c r="H78" s="92" t="str" cm="1">
        <f t="array" aca="1" ref="H78" ca="1">IFERROR(INDEX(Rango_Admin_Clas_Total,H$2,MATCH($A78,Rango_Admin_Clas_Primera,0)+1),"-")</f>
        <v>-</v>
      </c>
      <c r="I78" s="92" t="str" cm="1">
        <f t="array" aca="1" ref="I78" ca="1">IFERROR(INDEX(Rango_Admin_Clas_Total,I$2,MATCH($A78,Rango_Admin_Clas_Primera,0)+1),"-")</f>
        <v>-</v>
      </c>
      <c r="J78" s="92" t="str" cm="1">
        <f t="array" aca="1" ref="J78" ca="1">IFERROR(INDEX(Rango_Admin_Clas_Total,J$2,MATCH($A78,Rango_Admin_Clas_Primera,0)+1),"-")</f>
        <v>-</v>
      </c>
      <c r="K78" s="92" t="str" cm="1">
        <f t="array" aca="1" ref="K78" ca="1">IFERROR(INDEX(Rango_Admin_Clas_Total,K$2,MATCH($A78,Rango_Admin_Clas_Primera,0)+1),"-")</f>
        <v>-</v>
      </c>
      <c r="L78" s="92" t="str" cm="1">
        <f t="array" aca="1" ref="L78" ca="1">IFERROR(INDEX(Rango_Admin_Clas_Total,L$2,MATCH($A78,Rango_Admin_Clas_Primera,0)+1),"-")</f>
        <v>-</v>
      </c>
      <c r="M78" s="92" t="str" cm="1">
        <f t="array" aca="1" ref="M78" ca="1">IFERROR(INDEX(Rango_Admin_Clas_Total,M$2,MATCH($A78,Rango_Admin_Clas_Primera,0)+1),"-")</f>
        <v>-</v>
      </c>
      <c r="N78" s="92" t="str" cm="1">
        <f t="array" aca="1" ref="N78" ca="1">IFERROR(INDEX(Rango_Admin_Clas_Total,N$2,MATCH($A78,Rango_Admin_Clas_Primera,0)+1),"-")</f>
        <v>-</v>
      </c>
      <c r="O78" s="92" t="str" cm="1">
        <f t="array" aca="1" ref="O78" ca="1">IFERROR(INDEX(Rango_Admin_Clas_Total,O$2,MATCH($A78,Rango_Admin_Clas_Primera,0)+1),"-")</f>
        <v>-</v>
      </c>
      <c r="P78" s="92" t="str" cm="1">
        <f t="array" aca="1" ref="P78" ca="1">IFERROR(INDEX(Rango_Admin_Clas_Total,P$2,MATCH($A78,Rango_Admin_Clas_Primera,0)+1),"-")</f>
        <v>-</v>
      </c>
      <c r="Q78" s="92" t="str" cm="1">
        <f t="array" aca="1" ref="Q78" ca="1">IFERROR(INDEX(Rango_Admin_Clas_Total,Q$2,MATCH($A78,Rango_Admin_Clas_Primera,0)+1),"-")</f>
        <v>-</v>
      </c>
      <c r="R78" s="92" t="str" cm="1">
        <f t="array" aca="1" ref="R78" ca="1">IFERROR(INDEX(Rango_Admin_Clas_Total,R$2,MATCH($A78,Rango_Admin_Clas_Primera,0)+1),"-")</f>
        <v>-</v>
      </c>
      <c r="S78" s="92" t="str" cm="1">
        <f t="array" aca="1" ref="S78" ca="1">IFERROR(INDEX(Rango_Admin_Clas_Total,S$2,MATCH($A78,Rango_Admin_Clas_Primera,0)+1),"-")</f>
        <v>-</v>
      </c>
      <c r="T78" s="297"/>
      <c r="U78" s="297"/>
    </row>
    <row r="79" spans="1:21">
      <c r="A79" s="19">
        <f t="shared" si="1"/>
        <v>75</v>
      </c>
      <c r="B79" s="22" t="str">
        <f ca="1">IFERROR(HLOOKUP(A79,Rango_Admin_Clas,3,FALSE),"-")</f>
        <v>-</v>
      </c>
      <c r="C79" s="18" t="str">
        <f ca="1">IFERROR(HLOOKUP(A79,Rango_Admin_Clas,5,FALSE),"-")</f>
        <v>-</v>
      </c>
      <c r="D79" s="91" t="str">
        <f ca="1">IFERROR(HLOOKUP(A79,Rango_Admin_Clas,4,FALSE),"-")</f>
        <v>-</v>
      </c>
      <c r="E79" s="92" t="str" cm="1">
        <f t="array" aca="1" ref="E79" ca="1">IFERROR(INDEX(Rango_Admin_Clas_Total,E$2,MATCH($A79,Rango_Admin_Clas_Primera,0)+1),"-")</f>
        <v>-</v>
      </c>
      <c r="F79" s="92" t="str" cm="1">
        <f t="array" aca="1" ref="F79" ca="1">IFERROR(INDEX(Rango_Admin_Clas_Total,F$2,MATCH($A79,Rango_Admin_Clas_Primera,0)+1),"-")</f>
        <v>-</v>
      </c>
      <c r="G79" s="92" t="str" cm="1">
        <f t="array" aca="1" ref="G79" ca="1">IFERROR(INDEX(Rango_Admin_Clas_Total,G$2,MATCH($A79,Rango_Admin_Clas_Primera,0)+1),"-")</f>
        <v>-</v>
      </c>
      <c r="H79" s="92" t="str" cm="1">
        <f t="array" aca="1" ref="H79" ca="1">IFERROR(INDEX(Rango_Admin_Clas_Total,H$2,MATCH($A79,Rango_Admin_Clas_Primera,0)+1),"-")</f>
        <v>-</v>
      </c>
      <c r="I79" s="92" t="str" cm="1">
        <f t="array" aca="1" ref="I79" ca="1">IFERROR(INDEX(Rango_Admin_Clas_Total,I$2,MATCH($A79,Rango_Admin_Clas_Primera,0)+1),"-")</f>
        <v>-</v>
      </c>
      <c r="J79" s="92" t="str" cm="1">
        <f t="array" aca="1" ref="J79" ca="1">IFERROR(INDEX(Rango_Admin_Clas_Total,J$2,MATCH($A79,Rango_Admin_Clas_Primera,0)+1),"-")</f>
        <v>-</v>
      </c>
      <c r="K79" s="92" t="str" cm="1">
        <f t="array" aca="1" ref="K79" ca="1">IFERROR(INDEX(Rango_Admin_Clas_Total,K$2,MATCH($A79,Rango_Admin_Clas_Primera,0)+1),"-")</f>
        <v>-</v>
      </c>
      <c r="L79" s="92" t="str" cm="1">
        <f t="array" aca="1" ref="L79" ca="1">IFERROR(INDEX(Rango_Admin_Clas_Total,L$2,MATCH($A79,Rango_Admin_Clas_Primera,0)+1),"-")</f>
        <v>-</v>
      </c>
      <c r="M79" s="92" t="str" cm="1">
        <f t="array" aca="1" ref="M79" ca="1">IFERROR(INDEX(Rango_Admin_Clas_Total,M$2,MATCH($A79,Rango_Admin_Clas_Primera,0)+1),"-")</f>
        <v>-</v>
      </c>
      <c r="N79" s="92" t="str" cm="1">
        <f t="array" aca="1" ref="N79" ca="1">IFERROR(INDEX(Rango_Admin_Clas_Total,N$2,MATCH($A79,Rango_Admin_Clas_Primera,0)+1),"-")</f>
        <v>-</v>
      </c>
      <c r="O79" s="92" t="str" cm="1">
        <f t="array" aca="1" ref="O79" ca="1">IFERROR(INDEX(Rango_Admin_Clas_Total,O$2,MATCH($A79,Rango_Admin_Clas_Primera,0)+1),"-")</f>
        <v>-</v>
      </c>
      <c r="P79" s="92" t="str" cm="1">
        <f t="array" aca="1" ref="P79" ca="1">IFERROR(INDEX(Rango_Admin_Clas_Total,P$2,MATCH($A79,Rango_Admin_Clas_Primera,0)+1),"-")</f>
        <v>-</v>
      </c>
      <c r="Q79" s="92" t="str" cm="1">
        <f t="array" aca="1" ref="Q79" ca="1">IFERROR(INDEX(Rango_Admin_Clas_Total,Q$2,MATCH($A79,Rango_Admin_Clas_Primera,0)+1),"-")</f>
        <v>-</v>
      </c>
      <c r="R79" s="92" t="str" cm="1">
        <f t="array" aca="1" ref="R79" ca="1">IFERROR(INDEX(Rango_Admin_Clas_Total,R$2,MATCH($A79,Rango_Admin_Clas_Primera,0)+1),"-")</f>
        <v>-</v>
      </c>
      <c r="S79" s="92" t="str" cm="1">
        <f t="array" aca="1" ref="S79" ca="1">IFERROR(INDEX(Rango_Admin_Clas_Total,S$2,MATCH($A79,Rango_Admin_Clas_Primera,0)+1),"-")</f>
        <v>-</v>
      </c>
      <c r="T79" s="297"/>
      <c r="U79" s="297"/>
    </row>
    <row r="80" spans="1:21">
      <c r="A80" s="19">
        <f t="shared" si="1"/>
        <v>76</v>
      </c>
      <c r="B80" s="22" t="str">
        <f ca="1">IFERROR(HLOOKUP(A80,Rango_Admin_Clas,3,FALSE),"-")</f>
        <v>-</v>
      </c>
      <c r="C80" s="18" t="str">
        <f ca="1">IFERROR(HLOOKUP(A80,Rango_Admin_Clas,5,FALSE),"-")</f>
        <v>-</v>
      </c>
      <c r="D80" s="91" t="str">
        <f ca="1">IFERROR(HLOOKUP(A80,Rango_Admin_Clas,4,FALSE),"-")</f>
        <v>-</v>
      </c>
      <c r="E80" s="92" t="str" cm="1">
        <f t="array" aca="1" ref="E80" ca="1">IFERROR(INDEX(Rango_Admin_Clas_Total,E$2,MATCH($A80,Rango_Admin_Clas_Primera,0)+1),"-")</f>
        <v>-</v>
      </c>
      <c r="F80" s="92" t="str" cm="1">
        <f t="array" aca="1" ref="F80" ca="1">IFERROR(INDEX(Rango_Admin_Clas_Total,F$2,MATCH($A80,Rango_Admin_Clas_Primera,0)+1),"-")</f>
        <v>-</v>
      </c>
      <c r="G80" s="92" t="str" cm="1">
        <f t="array" aca="1" ref="G80" ca="1">IFERROR(INDEX(Rango_Admin_Clas_Total,G$2,MATCH($A80,Rango_Admin_Clas_Primera,0)+1),"-")</f>
        <v>-</v>
      </c>
      <c r="H80" s="92" t="str" cm="1">
        <f t="array" aca="1" ref="H80" ca="1">IFERROR(INDEX(Rango_Admin_Clas_Total,H$2,MATCH($A80,Rango_Admin_Clas_Primera,0)+1),"-")</f>
        <v>-</v>
      </c>
      <c r="I80" s="92" t="str" cm="1">
        <f t="array" aca="1" ref="I80" ca="1">IFERROR(INDEX(Rango_Admin_Clas_Total,I$2,MATCH($A80,Rango_Admin_Clas_Primera,0)+1),"-")</f>
        <v>-</v>
      </c>
      <c r="J80" s="92" t="str" cm="1">
        <f t="array" aca="1" ref="J80" ca="1">IFERROR(INDEX(Rango_Admin_Clas_Total,J$2,MATCH($A80,Rango_Admin_Clas_Primera,0)+1),"-")</f>
        <v>-</v>
      </c>
      <c r="K80" s="92" t="str" cm="1">
        <f t="array" aca="1" ref="K80" ca="1">IFERROR(INDEX(Rango_Admin_Clas_Total,K$2,MATCH($A80,Rango_Admin_Clas_Primera,0)+1),"-")</f>
        <v>-</v>
      </c>
      <c r="L80" s="92" t="str" cm="1">
        <f t="array" aca="1" ref="L80" ca="1">IFERROR(INDEX(Rango_Admin_Clas_Total,L$2,MATCH($A80,Rango_Admin_Clas_Primera,0)+1),"-")</f>
        <v>-</v>
      </c>
      <c r="M80" s="92" t="str" cm="1">
        <f t="array" aca="1" ref="M80" ca="1">IFERROR(INDEX(Rango_Admin_Clas_Total,M$2,MATCH($A80,Rango_Admin_Clas_Primera,0)+1),"-")</f>
        <v>-</v>
      </c>
      <c r="N80" s="92" t="str" cm="1">
        <f t="array" aca="1" ref="N80" ca="1">IFERROR(INDEX(Rango_Admin_Clas_Total,N$2,MATCH($A80,Rango_Admin_Clas_Primera,0)+1),"-")</f>
        <v>-</v>
      </c>
      <c r="O80" s="92" t="str" cm="1">
        <f t="array" aca="1" ref="O80" ca="1">IFERROR(INDEX(Rango_Admin_Clas_Total,O$2,MATCH($A80,Rango_Admin_Clas_Primera,0)+1),"-")</f>
        <v>-</v>
      </c>
      <c r="P80" s="92" t="str" cm="1">
        <f t="array" aca="1" ref="P80" ca="1">IFERROR(INDEX(Rango_Admin_Clas_Total,P$2,MATCH($A80,Rango_Admin_Clas_Primera,0)+1),"-")</f>
        <v>-</v>
      </c>
      <c r="Q80" s="92" t="str" cm="1">
        <f t="array" aca="1" ref="Q80" ca="1">IFERROR(INDEX(Rango_Admin_Clas_Total,Q$2,MATCH($A80,Rango_Admin_Clas_Primera,0)+1),"-")</f>
        <v>-</v>
      </c>
      <c r="R80" s="92" t="str" cm="1">
        <f t="array" aca="1" ref="R80" ca="1">IFERROR(INDEX(Rango_Admin_Clas_Total,R$2,MATCH($A80,Rango_Admin_Clas_Primera,0)+1),"-")</f>
        <v>-</v>
      </c>
      <c r="S80" s="92" t="str" cm="1">
        <f t="array" aca="1" ref="S80" ca="1">IFERROR(INDEX(Rango_Admin_Clas_Total,S$2,MATCH($A80,Rango_Admin_Clas_Primera,0)+1),"-")</f>
        <v>-</v>
      </c>
      <c r="T80" s="297"/>
      <c r="U80" s="297"/>
    </row>
    <row r="81" spans="1:21">
      <c r="A81" s="19">
        <f t="shared" si="1"/>
        <v>77</v>
      </c>
      <c r="B81" s="22" t="str">
        <f ca="1">IFERROR(HLOOKUP(A81,Rango_Admin_Clas,3,FALSE),"-")</f>
        <v>-</v>
      </c>
      <c r="C81" s="18" t="str">
        <f ca="1">IFERROR(HLOOKUP(A81,Rango_Admin_Clas,5,FALSE),"-")</f>
        <v>-</v>
      </c>
      <c r="D81" s="91" t="str">
        <f ca="1">IFERROR(HLOOKUP(A81,Rango_Admin_Clas,4,FALSE),"-")</f>
        <v>-</v>
      </c>
      <c r="E81" s="92" t="str" cm="1">
        <f t="array" aca="1" ref="E81" ca="1">IFERROR(INDEX(Rango_Admin_Clas_Total,E$2,MATCH($A81,Rango_Admin_Clas_Primera,0)+1),"-")</f>
        <v>-</v>
      </c>
      <c r="F81" s="92" t="str" cm="1">
        <f t="array" aca="1" ref="F81" ca="1">IFERROR(INDEX(Rango_Admin_Clas_Total,F$2,MATCH($A81,Rango_Admin_Clas_Primera,0)+1),"-")</f>
        <v>-</v>
      </c>
      <c r="G81" s="92" t="str" cm="1">
        <f t="array" aca="1" ref="G81" ca="1">IFERROR(INDEX(Rango_Admin_Clas_Total,G$2,MATCH($A81,Rango_Admin_Clas_Primera,0)+1),"-")</f>
        <v>-</v>
      </c>
      <c r="H81" s="92" t="str" cm="1">
        <f t="array" aca="1" ref="H81" ca="1">IFERROR(INDEX(Rango_Admin_Clas_Total,H$2,MATCH($A81,Rango_Admin_Clas_Primera,0)+1),"-")</f>
        <v>-</v>
      </c>
      <c r="I81" s="92" t="str" cm="1">
        <f t="array" aca="1" ref="I81" ca="1">IFERROR(INDEX(Rango_Admin_Clas_Total,I$2,MATCH($A81,Rango_Admin_Clas_Primera,0)+1),"-")</f>
        <v>-</v>
      </c>
      <c r="J81" s="92" t="str" cm="1">
        <f t="array" aca="1" ref="J81" ca="1">IFERROR(INDEX(Rango_Admin_Clas_Total,J$2,MATCH($A81,Rango_Admin_Clas_Primera,0)+1),"-")</f>
        <v>-</v>
      </c>
      <c r="K81" s="92" t="str" cm="1">
        <f t="array" aca="1" ref="K81" ca="1">IFERROR(INDEX(Rango_Admin_Clas_Total,K$2,MATCH($A81,Rango_Admin_Clas_Primera,0)+1),"-")</f>
        <v>-</v>
      </c>
      <c r="L81" s="92" t="str" cm="1">
        <f t="array" aca="1" ref="L81" ca="1">IFERROR(INDEX(Rango_Admin_Clas_Total,L$2,MATCH($A81,Rango_Admin_Clas_Primera,0)+1),"-")</f>
        <v>-</v>
      </c>
      <c r="M81" s="92" t="str" cm="1">
        <f t="array" aca="1" ref="M81" ca="1">IFERROR(INDEX(Rango_Admin_Clas_Total,M$2,MATCH($A81,Rango_Admin_Clas_Primera,0)+1),"-")</f>
        <v>-</v>
      </c>
      <c r="N81" s="92" t="str" cm="1">
        <f t="array" aca="1" ref="N81" ca="1">IFERROR(INDEX(Rango_Admin_Clas_Total,N$2,MATCH($A81,Rango_Admin_Clas_Primera,0)+1),"-")</f>
        <v>-</v>
      </c>
      <c r="O81" s="92" t="str" cm="1">
        <f t="array" aca="1" ref="O81" ca="1">IFERROR(INDEX(Rango_Admin_Clas_Total,O$2,MATCH($A81,Rango_Admin_Clas_Primera,0)+1),"-")</f>
        <v>-</v>
      </c>
      <c r="P81" s="92" t="str" cm="1">
        <f t="array" aca="1" ref="P81" ca="1">IFERROR(INDEX(Rango_Admin_Clas_Total,P$2,MATCH($A81,Rango_Admin_Clas_Primera,0)+1),"-")</f>
        <v>-</v>
      </c>
      <c r="Q81" s="92" t="str" cm="1">
        <f t="array" aca="1" ref="Q81" ca="1">IFERROR(INDEX(Rango_Admin_Clas_Total,Q$2,MATCH($A81,Rango_Admin_Clas_Primera,0)+1),"-")</f>
        <v>-</v>
      </c>
      <c r="R81" s="92" t="str" cm="1">
        <f t="array" aca="1" ref="R81" ca="1">IFERROR(INDEX(Rango_Admin_Clas_Total,R$2,MATCH($A81,Rango_Admin_Clas_Primera,0)+1),"-")</f>
        <v>-</v>
      </c>
      <c r="S81" s="92" t="str" cm="1">
        <f t="array" aca="1" ref="S81" ca="1">IFERROR(INDEX(Rango_Admin_Clas_Total,S$2,MATCH($A81,Rango_Admin_Clas_Primera,0)+1),"-")</f>
        <v>-</v>
      </c>
      <c r="T81" s="297"/>
      <c r="U81" s="297"/>
    </row>
    <row r="82" spans="1:21">
      <c r="A82" s="19">
        <f t="shared" si="1"/>
        <v>78</v>
      </c>
      <c r="B82" s="22" t="str">
        <f ca="1">IFERROR(HLOOKUP(A82,Rango_Admin_Clas,3,FALSE),"-")</f>
        <v>-</v>
      </c>
      <c r="C82" s="18" t="str">
        <f ca="1">IFERROR(HLOOKUP(A82,Rango_Admin_Clas,5,FALSE),"-")</f>
        <v>-</v>
      </c>
      <c r="D82" s="91" t="str">
        <f ca="1">IFERROR(HLOOKUP(A82,Rango_Admin_Clas,4,FALSE),"-")</f>
        <v>-</v>
      </c>
      <c r="E82" s="92" t="str" cm="1">
        <f t="array" aca="1" ref="E82" ca="1">IFERROR(INDEX(Rango_Admin_Clas_Total,E$2,MATCH($A82,Rango_Admin_Clas_Primera,0)+1),"-")</f>
        <v>-</v>
      </c>
      <c r="F82" s="92" t="str" cm="1">
        <f t="array" aca="1" ref="F82" ca="1">IFERROR(INDEX(Rango_Admin_Clas_Total,F$2,MATCH($A82,Rango_Admin_Clas_Primera,0)+1),"-")</f>
        <v>-</v>
      </c>
      <c r="G82" s="92" t="str" cm="1">
        <f t="array" aca="1" ref="G82" ca="1">IFERROR(INDEX(Rango_Admin_Clas_Total,G$2,MATCH($A82,Rango_Admin_Clas_Primera,0)+1),"-")</f>
        <v>-</v>
      </c>
      <c r="H82" s="92" t="str" cm="1">
        <f t="array" aca="1" ref="H82" ca="1">IFERROR(INDEX(Rango_Admin_Clas_Total,H$2,MATCH($A82,Rango_Admin_Clas_Primera,0)+1),"-")</f>
        <v>-</v>
      </c>
      <c r="I82" s="92" t="str" cm="1">
        <f t="array" aca="1" ref="I82" ca="1">IFERROR(INDEX(Rango_Admin_Clas_Total,I$2,MATCH($A82,Rango_Admin_Clas_Primera,0)+1),"-")</f>
        <v>-</v>
      </c>
      <c r="J82" s="92" t="str" cm="1">
        <f t="array" aca="1" ref="J82" ca="1">IFERROR(INDEX(Rango_Admin_Clas_Total,J$2,MATCH($A82,Rango_Admin_Clas_Primera,0)+1),"-")</f>
        <v>-</v>
      </c>
      <c r="K82" s="92" t="str" cm="1">
        <f t="array" aca="1" ref="K82" ca="1">IFERROR(INDEX(Rango_Admin_Clas_Total,K$2,MATCH($A82,Rango_Admin_Clas_Primera,0)+1),"-")</f>
        <v>-</v>
      </c>
      <c r="L82" s="92" t="str" cm="1">
        <f t="array" aca="1" ref="L82" ca="1">IFERROR(INDEX(Rango_Admin_Clas_Total,L$2,MATCH($A82,Rango_Admin_Clas_Primera,0)+1),"-")</f>
        <v>-</v>
      </c>
      <c r="M82" s="92" t="str" cm="1">
        <f t="array" aca="1" ref="M82" ca="1">IFERROR(INDEX(Rango_Admin_Clas_Total,M$2,MATCH($A82,Rango_Admin_Clas_Primera,0)+1),"-")</f>
        <v>-</v>
      </c>
      <c r="N82" s="92" t="str" cm="1">
        <f t="array" aca="1" ref="N82" ca="1">IFERROR(INDEX(Rango_Admin_Clas_Total,N$2,MATCH($A82,Rango_Admin_Clas_Primera,0)+1),"-")</f>
        <v>-</v>
      </c>
      <c r="O82" s="92" t="str" cm="1">
        <f t="array" aca="1" ref="O82" ca="1">IFERROR(INDEX(Rango_Admin_Clas_Total,O$2,MATCH($A82,Rango_Admin_Clas_Primera,0)+1),"-")</f>
        <v>-</v>
      </c>
      <c r="P82" s="92" t="str" cm="1">
        <f t="array" aca="1" ref="P82" ca="1">IFERROR(INDEX(Rango_Admin_Clas_Total,P$2,MATCH($A82,Rango_Admin_Clas_Primera,0)+1),"-")</f>
        <v>-</v>
      </c>
      <c r="Q82" s="92" t="str" cm="1">
        <f t="array" aca="1" ref="Q82" ca="1">IFERROR(INDEX(Rango_Admin_Clas_Total,Q$2,MATCH($A82,Rango_Admin_Clas_Primera,0)+1),"-")</f>
        <v>-</v>
      </c>
      <c r="R82" s="92" t="str" cm="1">
        <f t="array" aca="1" ref="R82" ca="1">IFERROR(INDEX(Rango_Admin_Clas_Total,R$2,MATCH($A82,Rango_Admin_Clas_Primera,0)+1),"-")</f>
        <v>-</v>
      </c>
      <c r="S82" s="92" t="str" cm="1">
        <f t="array" aca="1" ref="S82" ca="1">IFERROR(INDEX(Rango_Admin_Clas_Total,S$2,MATCH($A82,Rango_Admin_Clas_Primera,0)+1),"-")</f>
        <v>-</v>
      </c>
      <c r="T82" s="297"/>
      <c r="U82" s="297"/>
    </row>
    <row r="83" spans="1:21">
      <c r="A83" s="19">
        <f t="shared" si="1"/>
        <v>79</v>
      </c>
      <c r="B83" s="22" t="str">
        <f ca="1">IFERROR(HLOOKUP(A83,Rango_Admin_Clas,3,FALSE),"-")</f>
        <v>-</v>
      </c>
      <c r="C83" s="18" t="str">
        <f ca="1">IFERROR(HLOOKUP(A83,Rango_Admin_Clas,5,FALSE),"-")</f>
        <v>-</v>
      </c>
      <c r="D83" s="91" t="str">
        <f ca="1">IFERROR(HLOOKUP(A83,Rango_Admin_Clas,4,FALSE),"-")</f>
        <v>-</v>
      </c>
      <c r="E83" s="92" t="str" cm="1">
        <f t="array" aca="1" ref="E83" ca="1">IFERROR(INDEX(Rango_Admin_Clas_Total,E$2,MATCH($A83,Rango_Admin_Clas_Primera,0)+1),"-")</f>
        <v>-</v>
      </c>
      <c r="F83" s="92" t="str" cm="1">
        <f t="array" aca="1" ref="F83" ca="1">IFERROR(INDEX(Rango_Admin_Clas_Total,F$2,MATCH($A83,Rango_Admin_Clas_Primera,0)+1),"-")</f>
        <v>-</v>
      </c>
      <c r="G83" s="92" t="str" cm="1">
        <f t="array" aca="1" ref="G83" ca="1">IFERROR(INDEX(Rango_Admin_Clas_Total,G$2,MATCH($A83,Rango_Admin_Clas_Primera,0)+1),"-")</f>
        <v>-</v>
      </c>
      <c r="H83" s="92" t="str" cm="1">
        <f t="array" aca="1" ref="H83" ca="1">IFERROR(INDEX(Rango_Admin_Clas_Total,H$2,MATCH($A83,Rango_Admin_Clas_Primera,0)+1),"-")</f>
        <v>-</v>
      </c>
      <c r="I83" s="92" t="str" cm="1">
        <f t="array" aca="1" ref="I83" ca="1">IFERROR(INDEX(Rango_Admin_Clas_Total,I$2,MATCH($A83,Rango_Admin_Clas_Primera,0)+1),"-")</f>
        <v>-</v>
      </c>
      <c r="J83" s="92" t="str" cm="1">
        <f t="array" aca="1" ref="J83" ca="1">IFERROR(INDEX(Rango_Admin_Clas_Total,J$2,MATCH($A83,Rango_Admin_Clas_Primera,0)+1),"-")</f>
        <v>-</v>
      </c>
      <c r="K83" s="92" t="str" cm="1">
        <f t="array" aca="1" ref="K83" ca="1">IFERROR(INDEX(Rango_Admin_Clas_Total,K$2,MATCH($A83,Rango_Admin_Clas_Primera,0)+1),"-")</f>
        <v>-</v>
      </c>
      <c r="L83" s="92" t="str" cm="1">
        <f t="array" aca="1" ref="L83" ca="1">IFERROR(INDEX(Rango_Admin_Clas_Total,L$2,MATCH($A83,Rango_Admin_Clas_Primera,0)+1),"-")</f>
        <v>-</v>
      </c>
      <c r="M83" s="92" t="str" cm="1">
        <f t="array" aca="1" ref="M83" ca="1">IFERROR(INDEX(Rango_Admin_Clas_Total,M$2,MATCH($A83,Rango_Admin_Clas_Primera,0)+1),"-")</f>
        <v>-</v>
      </c>
      <c r="N83" s="92" t="str" cm="1">
        <f t="array" aca="1" ref="N83" ca="1">IFERROR(INDEX(Rango_Admin_Clas_Total,N$2,MATCH($A83,Rango_Admin_Clas_Primera,0)+1),"-")</f>
        <v>-</v>
      </c>
      <c r="O83" s="92" t="str" cm="1">
        <f t="array" aca="1" ref="O83" ca="1">IFERROR(INDEX(Rango_Admin_Clas_Total,O$2,MATCH($A83,Rango_Admin_Clas_Primera,0)+1),"-")</f>
        <v>-</v>
      </c>
      <c r="P83" s="92" t="str" cm="1">
        <f t="array" aca="1" ref="P83" ca="1">IFERROR(INDEX(Rango_Admin_Clas_Total,P$2,MATCH($A83,Rango_Admin_Clas_Primera,0)+1),"-")</f>
        <v>-</v>
      </c>
      <c r="Q83" s="92" t="str" cm="1">
        <f t="array" aca="1" ref="Q83" ca="1">IFERROR(INDEX(Rango_Admin_Clas_Total,Q$2,MATCH($A83,Rango_Admin_Clas_Primera,0)+1),"-")</f>
        <v>-</v>
      </c>
      <c r="R83" s="92" t="str" cm="1">
        <f t="array" aca="1" ref="R83" ca="1">IFERROR(INDEX(Rango_Admin_Clas_Total,R$2,MATCH($A83,Rango_Admin_Clas_Primera,0)+1),"-")</f>
        <v>-</v>
      </c>
      <c r="S83" s="92" t="str" cm="1">
        <f t="array" aca="1" ref="S83" ca="1">IFERROR(INDEX(Rango_Admin_Clas_Total,S$2,MATCH($A83,Rango_Admin_Clas_Primera,0)+1),"-")</f>
        <v>-</v>
      </c>
      <c r="T83" s="297"/>
      <c r="U83" s="297"/>
    </row>
    <row r="84" spans="1:21">
      <c r="A84" s="19">
        <f t="shared" si="1"/>
        <v>80</v>
      </c>
      <c r="B84" s="22" t="str">
        <f ca="1">IFERROR(HLOOKUP(A84,Rango_Admin_Clas,3,FALSE),"-")</f>
        <v>-</v>
      </c>
      <c r="C84" s="18" t="str">
        <f ca="1">IFERROR(HLOOKUP(A84,Rango_Admin_Clas,5,FALSE),"-")</f>
        <v>-</v>
      </c>
      <c r="D84" s="91" t="str">
        <f ca="1">IFERROR(HLOOKUP(A84,Rango_Admin_Clas,4,FALSE),"-")</f>
        <v>-</v>
      </c>
      <c r="E84" s="92" t="str" cm="1">
        <f t="array" aca="1" ref="E84" ca="1">IFERROR(INDEX(Rango_Admin_Clas_Total,E$2,MATCH($A84,Rango_Admin_Clas_Primera,0)+1),"-")</f>
        <v>-</v>
      </c>
      <c r="F84" s="92" t="str" cm="1">
        <f t="array" aca="1" ref="F84" ca="1">IFERROR(INDEX(Rango_Admin_Clas_Total,F$2,MATCH($A84,Rango_Admin_Clas_Primera,0)+1),"-")</f>
        <v>-</v>
      </c>
      <c r="G84" s="92" t="str" cm="1">
        <f t="array" aca="1" ref="G84" ca="1">IFERROR(INDEX(Rango_Admin_Clas_Total,G$2,MATCH($A84,Rango_Admin_Clas_Primera,0)+1),"-")</f>
        <v>-</v>
      </c>
      <c r="H84" s="92" t="str" cm="1">
        <f t="array" aca="1" ref="H84" ca="1">IFERROR(INDEX(Rango_Admin_Clas_Total,H$2,MATCH($A84,Rango_Admin_Clas_Primera,0)+1),"-")</f>
        <v>-</v>
      </c>
      <c r="I84" s="92" t="str" cm="1">
        <f t="array" aca="1" ref="I84" ca="1">IFERROR(INDEX(Rango_Admin_Clas_Total,I$2,MATCH($A84,Rango_Admin_Clas_Primera,0)+1),"-")</f>
        <v>-</v>
      </c>
      <c r="J84" s="92" t="str" cm="1">
        <f t="array" aca="1" ref="J84" ca="1">IFERROR(INDEX(Rango_Admin_Clas_Total,J$2,MATCH($A84,Rango_Admin_Clas_Primera,0)+1),"-")</f>
        <v>-</v>
      </c>
      <c r="K84" s="92" t="str" cm="1">
        <f t="array" aca="1" ref="K84" ca="1">IFERROR(INDEX(Rango_Admin_Clas_Total,K$2,MATCH($A84,Rango_Admin_Clas_Primera,0)+1),"-")</f>
        <v>-</v>
      </c>
      <c r="L84" s="92" t="str" cm="1">
        <f t="array" aca="1" ref="L84" ca="1">IFERROR(INDEX(Rango_Admin_Clas_Total,L$2,MATCH($A84,Rango_Admin_Clas_Primera,0)+1),"-")</f>
        <v>-</v>
      </c>
      <c r="M84" s="92" t="str" cm="1">
        <f t="array" aca="1" ref="M84" ca="1">IFERROR(INDEX(Rango_Admin_Clas_Total,M$2,MATCH($A84,Rango_Admin_Clas_Primera,0)+1),"-")</f>
        <v>-</v>
      </c>
      <c r="N84" s="92" t="str" cm="1">
        <f t="array" aca="1" ref="N84" ca="1">IFERROR(INDEX(Rango_Admin_Clas_Total,N$2,MATCH($A84,Rango_Admin_Clas_Primera,0)+1),"-")</f>
        <v>-</v>
      </c>
      <c r="O84" s="92" t="str" cm="1">
        <f t="array" aca="1" ref="O84" ca="1">IFERROR(INDEX(Rango_Admin_Clas_Total,O$2,MATCH($A84,Rango_Admin_Clas_Primera,0)+1),"-")</f>
        <v>-</v>
      </c>
      <c r="P84" s="92" t="str" cm="1">
        <f t="array" aca="1" ref="P84" ca="1">IFERROR(INDEX(Rango_Admin_Clas_Total,P$2,MATCH($A84,Rango_Admin_Clas_Primera,0)+1),"-")</f>
        <v>-</v>
      </c>
      <c r="Q84" s="92" t="str" cm="1">
        <f t="array" aca="1" ref="Q84" ca="1">IFERROR(INDEX(Rango_Admin_Clas_Total,Q$2,MATCH($A84,Rango_Admin_Clas_Primera,0)+1),"-")</f>
        <v>-</v>
      </c>
      <c r="R84" s="92" t="str" cm="1">
        <f t="array" aca="1" ref="R84" ca="1">IFERROR(INDEX(Rango_Admin_Clas_Total,R$2,MATCH($A84,Rango_Admin_Clas_Primera,0)+1),"-")</f>
        <v>-</v>
      </c>
      <c r="S84" s="92" t="str" cm="1">
        <f t="array" aca="1" ref="S84" ca="1">IFERROR(INDEX(Rango_Admin_Clas_Total,S$2,MATCH($A84,Rango_Admin_Clas_Primera,0)+1),"-")</f>
        <v>-</v>
      </c>
      <c r="T84" s="297"/>
      <c r="U84" s="297"/>
    </row>
    <row r="85" spans="1:21">
      <c r="A85" s="19">
        <f t="shared" si="1"/>
        <v>81</v>
      </c>
      <c r="B85" s="22" t="str">
        <f ca="1">IFERROR(HLOOKUP(A85,Rango_Admin_Clas,3,FALSE),"-")</f>
        <v>-</v>
      </c>
      <c r="C85" s="18" t="str">
        <f ca="1">IFERROR(HLOOKUP(A85,Rango_Admin_Clas,5,FALSE),"-")</f>
        <v>-</v>
      </c>
      <c r="D85" s="91" t="str">
        <f ca="1">IFERROR(HLOOKUP(A85,Rango_Admin_Clas,4,FALSE),"-")</f>
        <v>-</v>
      </c>
      <c r="E85" s="92" t="str" cm="1">
        <f t="array" aca="1" ref="E85" ca="1">IFERROR(INDEX(Rango_Admin_Clas_Total,E$2,MATCH($A85,Rango_Admin_Clas_Primera,0)+1),"-")</f>
        <v>-</v>
      </c>
      <c r="F85" s="92" t="str" cm="1">
        <f t="array" aca="1" ref="F85" ca="1">IFERROR(INDEX(Rango_Admin_Clas_Total,F$2,MATCH($A85,Rango_Admin_Clas_Primera,0)+1),"-")</f>
        <v>-</v>
      </c>
      <c r="G85" s="92" t="str" cm="1">
        <f t="array" aca="1" ref="G85" ca="1">IFERROR(INDEX(Rango_Admin_Clas_Total,G$2,MATCH($A85,Rango_Admin_Clas_Primera,0)+1),"-")</f>
        <v>-</v>
      </c>
      <c r="H85" s="92" t="str" cm="1">
        <f t="array" aca="1" ref="H85" ca="1">IFERROR(INDEX(Rango_Admin_Clas_Total,H$2,MATCH($A85,Rango_Admin_Clas_Primera,0)+1),"-")</f>
        <v>-</v>
      </c>
      <c r="I85" s="92" t="str" cm="1">
        <f t="array" aca="1" ref="I85" ca="1">IFERROR(INDEX(Rango_Admin_Clas_Total,I$2,MATCH($A85,Rango_Admin_Clas_Primera,0)+1),"-")</f>
        <v>-</v>
      </c>
      <c r="J85" s="92" t="str" cm="1">
        <f t="array" aca="1" ref="J85" ca="1">IFERROR(INDEX(Rango_Admin_Clas_Total,J$2,MATCH($A85,Rango_Admin_Clas_Primera,0)+1),"-")</f>
        <v>-</v>
      </c>
      <c r="K85" s="92" t="str" cm="1">
        <f t="array" aca="1" ref="K85" ca="1">IFERROR(INDEX(Rango_Admin_Clas_Total,K$2,MATCH($A85,Rango_Admin_Clas_Primera,0)+1),"-")</f>
        <v>-</v>
      </c>
      <c r="L85" s="92" t="str" cm="1">
        <f t="array" aca="1" ref="L85" ca="1">IFERROR(INDEX(Rango_Admin_Clas_Total,L$2,MATCH($A85,Rango_Admin_Clas_Primera,0)+1),"-")</f>
        <v>-</v>
      </c>
      <c r="M85" s="92" t="str" cm="1">
        <f t="array" aca="1" ref="M85" ca="1">IFERROR(INDEX(Rango_Admin_Clas_Total,M$2,MATCH($A85,Rango_Admin_Clas_Primera,0)+1),"-")</f>
        <v>-</v>
      </c>
      <c r="N85" s="92" t="str" cm="1">
        <f t="array" aca="1" ref="N85" ca="1">IFERROR(INDEX(Rango_Admin_Clas_Total,N$2,MATCH($A85,Rango_Admin_Clas_Primera,0)+1),"-")</f>
        <v>-</v>
      </c>
      <c r="O85" s="92" t="str" cm="1">
        <f t="array" aca="1" ref="O85" ca="1">IFERROR(INDEX(Rango_Admin_Clas_Total,O$2,MATCH($A85,Rango_Admin_Clas_Primera,0)+1),"-")</f>
        <v>-</v>
      </c>
      <c r="P85" s="92" t="str" cm="1">
        <f t="array" aca="1" ref="P85" ca="1">IFERROR(INDEX(Rango_Admin_Clas_Total,P$2,MATCH($A85,Rango_Admin_Clas_Primera,0)+1),"-")</f>
        <v>-</v>
      </c>
      <c r="Q85" s="92" t="str" cm="1">
        <f t="array" aca="1" ref="Q85" ca="1">IFERROR(INDEX(Rango_Admin_Clas_Total,Q$2,MATCH($A85,Rango_Admin_Clas_Primera,0)+1),"-")</f>
        <v>-</v>
      </c>
      <c r="R85" s="92" t="str" cm="1">
        <f t="array" aca="1" ref="R85" ca="1">IFERROR(INDEX(Rango_Admin_Clas_Total,R$2,MATCH($A85,Rango_Admin_Clas_Primera,0)+1),"-")</f>
        <v>-</v>
      </c>
      <c r="S85" s="92" t="str" cm="1">
        <f t="array" aca="1" ref="S85" ca="1">IFERROR(INDEX(Rango_Admin_Clas_Total,S$2,MATCH($A85,Rango_Admin_Clas_Primera,0)+1),"-")</f>
        <v>-</v>
      </c>
      <c r="T85" s="297"/>
      <c r="U85" s="297"/>
    </row>
    <row r="86" spans="1:21">
      <c r="A86" s="19">
        <f t="shared" si="1"/>
        <v>82</v>
      </c>
      <c r="B86" s="22" t="str">
        <f ca="1">IFERROR(HLOOKUP(A86,Rango_Admin_Clas,3,FALSE),"-")</f>
        <v>-</v>
      </c>
      <c r="C86" s="18" t="str">
        <f ca="1">IFERROR(HLOOKUP(A86,Rango_Admin_Clas,5,FALSE),"-")</f>
        <v>-</v>
      </c>
      <c r="D86" s="91" t="str">
        <f ca="1">IFERROR(HLOOKUP(A86,Rango_Admin_Clas,4,FALSE),"-")</f>
        <v>-</v>
      </c>
      <c r="E86" s="92" t="str" cm="1">
        <f t="array" aca="1" ref="E86" ca="1">IFERROR(INDEX(Rango_Admin_Clas_Total,E$2,MATCH($A86,Rango_Admin_Clas_Primera,0)+1),"-")</f>
        <v>-</v>
      </c>
      <c r="F86" s="92" t="str" cm="1">
        <f t="array" aca="1" ref="F86" ca="1">IFERROR(INDEX(Rango_Admin_Clas_Total,F$2,MATCH($A86,Rango_Admin_Clas_Primera,0)+1),"-")</f>
        <v>-</v>
      </c>
      <c r="G86" s="92" t="str" cm="1">
        <f t="array" aca="1" ref="G86" ca="1">IFERROR(INDEX(Rango_Admin_Clas_Total,G$2,MATCH($A86,Rango_Admin_Clas_Primera,0)+1),"-")</f>
        <v>-</v>
      </c>
      <c r="H86" s="92" t="str" cm="1">
        <f t="array" aca="1" ref="H86" ca="1">IFERROR(INDEX(Rango_Admin_Clas_Total,H$2,MATCH($A86,Rango_Admin_Clas_Primera,0)+1),"-")</f>
        <v>-</v>
      </c>
      <c r="I86" s="92" t="str" cm="1">
        <f t="array" aca="1" ref="I86" ca="1">IFERROR(INDEX(Rango_Admin_Clas_Total,I$2,MATCH($A86,Rango_Admin_Clas_Primera,0)+1),"-")</f>
        <v>-</v>
      </c>
      <c r="J86" s="92" t="str" cm="1">
        <f t="array" aca="1" ref="J86" ca="1">IFERROR(INDEX(Rango_Admin_Clas_Total,J$2,MATCH($A86,Rango_Admin_Clas_Primera,0)+1),"-")</f>
        <v>-</v>
      </c>
      <c r="K86" s="92" t="str" cm="1">
        <f t="array" aca="1" ref="K86" ca="1">IFERROR(INDEX(Rango_Admin_Clas_Total,K$2,MATCH($A86,Rango_Admin_Clas_Primera,0)+1),"-")</f>
        <v>-</v>
      </c>
      <c r="L86" s="92" t="str" cm="1">
        <f t="array" aca="1" ref="L86" ca="1">IFERROR(INDEX(Rango_Admin_Clas_Total,L$2,MATCH($A86,Rango_Admin_Clas_Primera,0)+1),"-")</f>
        <v>-</v>
      </c>
      <c r="M86" s="92" t="str" cm="1">
        <f t="array" aca="1" ref="M86" ca="1">IFERROR(INDEX(Rango_Admin_Clas_Total,M$2,MATCH($A86,Rango_Admin_Clas_Primera,0)+1),"-")</f>
        <v>-</v>
      </c>
      <c r="N86" s="92" t="str" cm="1">
        <f t="array" aca="1" ref="N86" ca="1">IFERROR(INDEX(Rango_Admin_Clas_Total,N$2,MATCH($A86,Rango_Admin_Clas_Primera,0)+1),"-")</f>
        <v>-</v>
      </c>
      <c r="O86" s="92" t="str" cm="1">
        <f t="array" aca="1" ref="O86" ca="1">IFERROR(INDEX(Rango_Admin_Clas_Total,O$2,MATCH($A86,Rango_Admin_Clas_Primera,0)+1),"-")</f>
        <v>-</v>
      </c>
      <c r="P86" s="92" t="str" cm="1">
        <f t="array" aca="1" ref="P86" ca="1">IFERROR(INDEX(Rango_Admin_Clas_Total,P$2,MATCH($A86,Rango_Admin_Clas_Primera,0)+1),"-")</f>
        <v>-</v>
      </c>
      <c r="Q86" s="92" t="str" cm="1">
        <f t="array" aca="1" ref="Q86" ca="1">IFERROR(INDEX(Rango_Admin_Clas_Total,Q$2,MATCH($A86,Rango_Admin_Clas_Primera,0)+1),"-")</f>
        <v>-</v>
      </c>
      <c r="R86" s="92" t="str" cm="1">
        <f t="array" aca="1" ref="R86" ca="1">IFERROR(INDEX(Rango_Admin_Clas_Total,R$2,MATCH($A86,Rango_Admin_Clas_Primera,0)+1),"-")</f>
        <v>-</v>
      </c>
      <c r="S86" s="92" t="str" cm="1">
        <f t="array" aca="1" ref="S86" ca="1">IFERROR(INDEX(Rango_Admin_Clas_Total,S$2,MATCH($A86,Rango_Admin_Clas_Primera,0)+1),"-")</f>
        <v>-</v>
      </c>
      <c r="T86" s="297"/>
      <c r="U86" s="297"/>
    </row>
    <row r="87" spans="1:21">
      <c r="A87" s="19">
        <f t="shared" si="1"/>
        <v>83</v>
      </c>
      <c r="B87" s="22" t="str">
        <f ca="1">IFERROR(HLOOKUP(A87,Rango_Admin_Clas,3,FALSE),"-")</f>
        <v>-</v>
      </c>
      <c r="C87" s="18" t="str">
        <f ca="1">IFERROR(HLOOKUP(A87,Rango_Admin_Clas,5,FALSE),"-")</f>
        <v>-</v>
      </c>
      <c r="D87" s="91" t="str">
        <f ca="1">IFERROR(HLOOKUP(A87,Rango_Admin_Clas,4,FALSE),"-")</f>
        <v>-</v>
      </c>
      <c r="E87" s="92" t="str" cm="1">
        <f t="array" aca="1" ref="E87" ca="1">IFERROR(INDEX(Rango_Admin_Clas_Total,E$2,MATCH($A87,Rango_Admin_Clas_Primera,0)+1),"-")</f>
        <v>-</v>
      </c>
      <c r="F87" s="92" t="str" cm="1">
        <f t="array" aca="1" ref="F87" ca="1">IFERROR(INDEX(Rango_Admin_Clas_Total,F$2,MATCH($A87,Rango_Admin_Clas_Primera,0)+1),"-")</f>
        <v>-</v>
      </c>
      <c r="G87" s="92" t="str" cm="1">
        <f t="array" aca="1" ref="G87" ca="1">IFERROR(INDEX(Rango_Admin_Clas_Total,G$2,MATCH($A87,Rango_Admin_Clas_Primera,0)+1),"-")</f>
        <v>-</v>
      </c>
      <c r="H87" s="92" t="str" cm="1">
        <f t="array" aca="1" ref="H87" ca="1">IFERROR(INDEX(Rango_Admin_Clas_Total,H$2,MATCH($A87,Rango_Admin_Clas_Primera,0)+1),"-")</f>
        <v>-</v>
      </c>
      <c r="I87" s="92" t="str" cm="1">
        <f t="array" aca="1" ref="I87" ca="1">IFERROR(INDEX(Rango_Admin_Clas_Total,I$2,MATCH($A87,Rango_Admin_Clas_Primera,0)+1),"-")</f>
        <v>-</v>
      </c>
      <c r="J87" s="92" t="str" cm="1">
        <f t="array" aca="1" ref="J87" ca="1">IFERROR(INDEX(Rango_Admin_Clas_Total,J$2,MATCH($A87,Rango_Admin_Clas_Primera,0)+1),"-")</f>
        <v>-</v>
      </c>
      <c r="K87" s="92" t="str" cm="1">
        <f t="array" aca="1" ref="K87" ca="1">IFERROR(INDEX(Rango_Admin_Clas_Total,K$2,MATCH($A87,Rango_Admin_Clas_Primera,0)+1),"-")</f>
        <v>-</v>
      </c>
      <c r="L87" s="92" t="str" cm="1">
        <f t="array" aca="1" ref="L87" ca="1">IFERROR(INDEX(Rango_Admin_Clas_Total,L$2,MATCH($A87,Rango_Admin_Clas_Primera,0)+1),"-")</f>
        <v>-</v>
      </c>
      <c r="M87" s="92" t="str" cm="1">
        <f t="array" aca="1" ref="M87" ca="1">IFERROR(INDEX(Rango_Admin_Clas_Total,M$2,MATCH($A87,Rango_Admin_Clas_Primera,0)+1),"-")</f>
        <v>-</v>
      </c>
      <c r="N87" s="92" t="str" cm="1">
        <f t="array" aca="1" ref="N87" ca="1">IFERROR(INDEX(Rango_Admin_Clas_Total,N$2,MATCH($A87,Rango_Admin_Clas_Primera,0)+1),"-")</f>
        <v>-</v>
      </c>
      <c r="O87" s="92" t="str" cm="1">
        <f t="array" aca="1" ref="O87" ca="1">IFERROR(INDEX(Rango_Admin_Clas_Total,O$2,MATCH($A87,Rango_Admin_Clas_Primera,0)+1),"-")</f>
        <v>-</v>
      </c>
      <c r="P87" s="92" t="str" cm="1">
        <f t="array" aca="1" ref="P87" ca="1">IFERROR(INDEX(Rango_Admin_Clas_Total,P$2,MATCH($A87,Rango_Admin_Clas_Primera,0)+1),"-")</f>
        <v>-</v>
      </c>
      <c r="Q87" s="92" t="str" cm="1">
        <f t="array" aca="1" ref="Q87" ca="1">IFERROR(INDEX(Rango_Admin_Clas_Total,Q$2,MATCH($A87,Rango_Admin_Clas_Primera,0)+1),"-")</f>
        <v>-</v>
      </c>
      <c r="R87" s="92" t="str" cm="1">
        <f t="array" aca="1" ref="R87" ca="1">IFERROR(INDEX(Rango_Admin_Clas_Total,R$2,MATCH($A87,Rango_Admin_Clas_Primera,0)+1),"-")</f>
        <v>-</v>
      </c>
      <c r="S87" s="92" t="str" cm="1">
        <f t="array" aca="1" ref="S87" ca="1">IFERROR(INDEX(Rango_Admin_Clas_Total,S$2,MATCH($A87,Rango_Admin_Clas_Primera,0)+1),"-")</f>
        <v>-</v>
      </c>
      <c r="T87" s="297"/>
      <c r="U87" s="297"/>
    </row>
    <row r="88" spans="1:21">
      <c r="A88" s="19">
        <f t="shared" si="1"/>
        <v>84</v>
      </c>
      <c r="B88" s="22" t="str">
        <f ca="1">IFERROR(HLOOKUP(A88,Rango_Admin_Clas,3,FALSE),"-")</f>
        <v>-</v>
      </c>
      <c r="C88" s="18" t="str">
        <f ca="1">IFERROR(HLOOKUP(A88,Rango_Admin_Clas,5,FALSE),"-")</f>
        <v>-</v>
      </c>
      <c r="D88" s="91" t="str">
        <f ca="1">IFERROR(HLOOKUP(A88,Rango_Admin_Clas,4,FALSE),"-")</f>
        <v>-</v>
      </c>
      <c r="E88" s="92" t="str" cm="1">
        <f t="array" aca="1" ref="E88" ca="1">IFERROR(INDEX(Rango_Admin_Clas_Total,E$2,MATCH($A88,Rango_Admin_Clas_Primera,0)+1),"-")</f>
        <v>-</v>
      </c>
      <c r="F88" s="92" t="str" cm="1">
        <f t="array" aca="1" ref="F88" ca="1">IFERROR(INDEX(Rango_Admin_Clas_Total,F$2,MATCH($A88,Rango_Admin_Clas_Primera,0)+1),"-")</f>
        <v>-</v>
      </c>
      <c r="G88" s="92" t="str" cm="1">
        <f t="array" aca="1" ref="G88" ca="1">IFERROR(INDEX(Rango_Admin_Clas_Total,G$2,MATCH($A88,Rango_Admin_Clas_Primera,0)+1),"-")</f>
        <v>-</v>
      </c>
      <c r="H88" s="92" t="str" cm="1">
        <f t="array" aca="1" ref="H88" ca="1">IFERROR(INDEX(Rango_Admin_Clas_Total,H$2,MATCH($A88,Rango_Admin_Clas_Primera,0)+1),"-")</f>
        <v>-</v>
      </c>
      <c r="I88" s="92" t="str" cm="1">
        <f t="array" aca="1" ref="I88" ca="1">IFERROR(INDEX(Rango_Admin_Clas_Total,I$2,MATCH($A88,Rango_Admin_Clas_Primera,0)+1),"-")</f>
        <v>-</v>
      </c>
      <c r="J88" s="92" t="str" cm="1">
        <f t="array" aca="1" ref="J88" ca="1">IFERROR(INDEX(Rango_Admin_Clas_Total,J$2,MATCH($A88,Rango_Admin_Clas_Primera,0)+1),"-")</f>
        <v>-</v>
      </c>
      <c r="K88" s="92" t="str" cm="1">
        <f t="array" aca="1" ref="K88" ca="1">IFERROR(INDEX(Rango_Admin_Clas_Total,K$2,MATCH($A88,Rango_Admin_Clas_Primera,0)+1),"-")</f>
        <v>-</v>
      </c>
      <c r="L88" s="92" t="str" cm="1">
        <f t="array" aca="1" ref="L88" ca="1">IFERROR(INDEX(Rango_Admin_Clas_Total,L$2,MATCH($A88,Rango_Admin_Clas_Primera,0)+1),"-")</f>
        <v>-</v>
      </c>
      <c r="M88" s="92" t="str" cm="1">
        <f t="array" aca="1" ref="M88" ca="1">IFERROR(INDEX(Rango_Admin_Clas_Total,M$2,MATCH($A88,Rango_Admin_Clas_Primera,0)+1),"-")</f>
        <v>-</v>
      </c>
      <c r="N88" s="92" t="str" cm="1">
        <f t="array" aca="1" ref="N88" ca="1">IFERROR(INDEX(Rango_Admin_Clas_Total,N$2,MATCH($A88,Rango_Admin_Clas_Primera,0)+1),"-")</f>
        <v>-</v>
      </c>
      <c r="O88" s="92" t="str" cm="1">
        <f t="array" aca="1" ref="O88" ca="1">IFERROR(INDEX(Rango_Admin_Clas_Total,O$2,MATCH($A88,Rango_Admin_Clas_Primera,0)+1),"-")</f>
        <v>-</v>
      </c>
      <c r="P88" s="92" t="str" cm="1">
        <f t="array" aca="1" ref="P88" ca="1">IFERROR(INDEX(Rango_Admin_Clas_Total,P$2,MATCH($A88,Rango_Admin_Clas_Primera,0)+1),"-")</f>
        <v>-</v>
      </c>
      <c r="Q88" s="92" t="str" cm="1">
        <f t="array" aca="1" ref="Q88" ca="1">IFERROR(INDEX(Rango_Admin_Clas_Total,Q$2,MATCH($A88,Rango_Admin_Clas_Primera,0)+1),"-")</f>
        <v>-</v>
      </c>
      <c r="R88" s="92" t="str" cm="1">
        <f t="array" aca="1" ref="R88" ca="1">IFERROR(INDEX(Rango_Admin_Clas_Total,R$2,MATCH($A88,Rango_Admin_Clas_Primera,0)+1),"-")</f>
        <v>-</v>
      </c>
      <c r="S88" s="92" t="str" cm="1">
        <f t="array" aca="1" ref="S88" ca="1">IFERROR(INDEX(Rango_Admin_Clas_Total,S$2,MATCH($A88,Rango_Admin_Clas_Primera,0)+1),"-")</f>
        <v>-</v>
      </c>
      <c r="T88" s="297"/>
      <c r="U88" s="297"/>
    </row>
    <row r="89" spans="1:21">
      <c r="A89" s="19">
        <f t="shared" si="1"/>
        <v>85</v>
      </c>
      <c r="B89" s="22" t="str">
        <f ca="1">IFERROR(HLOOKUP(A89,Rango_Admin_Clas,3,FALSE),"-")</f>
        <v>-</v>
      </c>
      <c r="C89" s="18" t="str">
        <f ca="1">IFERROR(HLOOKUP(A89,Rango_Admin_Clas,5,FALSE),"-")</f>
        <v>-</v>
      </c>
      <c r="D89" s="91" t="str">
        <f ca="1">IFERROR(HLOOKUP(A89,Rango_Admin_Clas,4,FALSE),"-")</f>
        <v>-</v>
      </c>
      <c r="E89" s="92" t="str" cm="1">
        <f t="array" aca="1" ref="E89" ca="1">IFERROR(INDEX(Rango_Admin_Clas_Total,E$2,MATCH($A89,Rango_Admin_Clas_Primera,0)+1),"-")</f>
        <v>-</v>
      </c>
      <c r="F89" s="92" t="str" cm="1">
        <f t="array" aca="1" ref="F89" ca="1">IFERROR(INDEX(Rango_Admin_Clas_Total,F$2,MATCH($A89,Rango_Admin_Clas_Primera,0)+1),"-")</f>
        <v>-</v>
      </c>
      <c r="G89" s="92" t="str" cm="1">
        <f t="array" aca="1" ref="G89" ca="1">IFERROR(INDEX(Rango_Admin_Clas_Total,G$2,MATCH($A89,Rango_Admin_Clas_Primera,0)+1),"-")</f>
        <v>-</v>
      </c>
      <c r="H89" s="92" t="str" cm="1">
        <f t="array" aca="1" ref="H89" ca="1">IFERROR(INDEX(Rango_Admin_Clas_Total,H$2,MATCH($A89,Rango_Admin_Clas_Primera,0)+1),"-")</f>
        <v>-</v>
      </c>
      <c r="I89" s="92" t="str" cm="1">
        <f t="array" aca="1" ref="I89" ca="1">IFERROR(INDEX(Rango_Admin_Clas_Total,I$2,MATCH($A89,Rango_Admin_Clas_Primera,0)+1),"-")</f>
        <v>-</v>
      </c>
      <c r="J89" s="92" t="str" cm="1">
        <f t="array" aca="1" ref="J89" ca="1">IFERROR(INDEX(Rango_Admin_Clas_Total,J$2,MATCH($A89,Rango_Admin_Clas_Primera,0)+1),"-")</f>
        <v>-</v>
      </c>
      <c r="K89" s="92" t="str" cm="1">
        <f t="array" aca="1" ref="K89" ca="1">IFERROR(INDEX(Rango_Admin_Clas_Total,K$2,MATCH($A89,Rango_Admin_Clas_Primera,0)+1),"-")</f>
        <v>-</v>
      </c>
      <c r="L89" s="92" t="str" cm="1">
        <f t="array" aca="1" ref="L89" ca="1">IFERROR(INDEX(Rango_Admin_Clas_Total,L$2,MATCH($A89,Rango_Admin_Clas_Primera,0)+1),"-")</f>
        <v>-</v>
      </c>
      <c r="M89" s="92" t="str" cm="1">
        <f t="array" aca="1" ref="M89" ca="1">IFERROR(INDEX(Rango_Admin_Clas_Total,M$2,MATCH($A89,Rango_Admin_Clas_Primera,0)+1),"-")</f>
        <v>-</v>
      </c>
      <c r="N89" s="92" t="str" cm="1">
        <f t="array" aca="1" ref="N89" ca="1">IFERROR(INDEX(Rango_Admin_Clas_Total,N$2,MATCH($A89,Rango_Admin_Clas_Primera,0)+1),"-")</f>
        <v>-</v>
      </c>
      <c r="O89" s="92" t="str" cm="1">
        <f t="array" aca="1" ref="O89" ca="1">IFERROR(INDEX(Rango_Admin_Clas_Total,O$2,MATCH($A89,Rango_Admin_Clas_Primera,0)+1),"-")</f>
        <v>-</v>
      </c>
      <c r="P89" s="92" t="str" cm="1">
        <f t="array" aca="1" ref="P89" ca="1">IFERROR(INDEX(Rango_Admin_Clas_Total,P$2,MATCH($A89,Rango_Admin_Clas_Primera,0)+1),"-")</f>
        <v>-</v>
      </c>
      <c r="Q89" s="92" t="str" cm="1">
        <f t="array" aca="1" ref="Q89" ca="1">IFERROR(INDEX(Rango_Admin_Clas_Total,Q$2,MATCH($A89,Rango_Admin_Clas_Primera,0)+1),"-")</f>
        <v>-</v>
      </c>
      <c r="R89" s="92" t="str" cm="1">
        <f t="array" aca="1" ref="R89" ca="1">IFERROR(INDEX(Rango_Admin_Clas_Total,R$2,MATCH($A89,Rango_Admin_Clas_Primera,0)+1),"-")</f>
        <v>-</v>
      </c>
      <c r="S89" s="92" t="str" cm="1">
        <f t="array" aca="1" ref="S89" ca="1">IFERROR(INDEX(Rango_Admin_Clas_Total,S$2,MATCH($A89,Rango_Admin_Clas_Primera,0)+1),"-")</f>
        <v>-</v>
      </c>
      <c r="T89" s="297"/>
      <c r="U89" s="297"/>
    </row>
    <row r="90" spans="1:21">
      <c r="A90" s="19">
        <f t="shared" si="1"/>
        <v>86</v>
      </c>
      <c r="B90" s="22" t="str">
        <f ca="1">IFERROR(HLOOKUP(A90,Rango_Admin_Clas,3,FALSE),"-")</f>
        <v>-</v>
      </c>
      <c r="C90" s="18" t="str">
        <f ca="1">IFERROR(HLOOKUP(A90,Rango_Admin_Clas,5,FALSE),"-")</f>
        <v>-</v>
      </c>
      <c r="D90" s="91" t="str">
        <f ca="1">IFERROR(HLOOKUP(A90,Rango_Admin_Clas,4,FALSE),"-")</f>
        <v>-</v>
      </c>
      <c r="E90" s="92" t="str" cm="1">
        <f t="array" aca="1" ref="E90" ca="1">IFERROR(INDEX(Rango_Admin_Clas_Total,E$2,MATCH($A90,Rango_Admin_Clas_Primera,0)+1),"-")</f>
        <v>-</v>
      </c>
      <c r="F90" s="92" t="str" cm="1">
        <f t="array" aca="1" ref="F90" ca="1">IFERROR(INDEX(Rango_Admin_Clas_Total,F$2,MATCH($A90,Rango_Admin_Clas_Primera,0)+1),"-")</f>
        <v>-</v>
      </c>
      <c r="G90" s="92" t="str" cm="1">
        <f t="array" aca="1" ref="G90" ca="1">IFERROR(INDEX(Rango_Admin_Clas_Total,G$2,MATCH($A90,Rango_Admin_Clas_Primera,0)+1),"-")</f>
        <v>-</v>
      </c>
      <c r="H90" s="92" t="str" cm="1">
        <f t="array" aca="1" ref="H90" ca="1">IFERROR(INDEX(Rango_Admin_Clas_Total,H$2,MATCH($A90,Rango_Admin_Clas_Primera,0)+1),"-")</f>
        <v>-</v>
      </c>
      <c r="I90" s="92" t="str" cm="1">
        <f t="array" aca="1" ref="I90" ca="1">IFERROR(INDEX(Rango_Admin_Clas_Total,I$2,MATCH($A90,Rango_Admin_Clas_Primera,0)+1),"-")</f>
        <v>-</v>
      </c>
      <c r="J90" s="92" t="str" cm="1">
        <f t="array" aca="1" ref="J90" ca="1">IFERROR(INDEX(Rango_Admin_Clas_Total,J$2,MATCH($A90,Rango_Admin_Clas_Primera,0)+1),"-")</f>
        <v>-</v>
      </c>
      <c r="K90" s="92" t="str" cm="1">
        <f t="array" aca="1" ref="K90" ca="1">IFERROR(INDEX(Rango_Admin_Clas_Total,K$2,MATCH($A90,Rango_Admin_Clas_Primera,0)+1),"-")</f>
        <v>-</v>
      </c>
      <c r="L90" s="92" t="str" cm="1">
        <f t="array" aca="1" ref="L90" ca="1">IFERROR(INDEX(Rango_Admin_Clas_Total,L$2,MATCH($A90,Rango_Admin_Clas_Primera,0)+1),"-")</f>
        <v>-</v>
      </c>
      <c r="M90" s="92" t="str" cm="1">
        <f t="array" aca="1" ref="M90" ca="1">IFERROR(INDEX(Rango_Admin_Clas_Total,M$2,MATCH($A90,Rango_Admin_Clas_Primera,0)+1),"-")</f>
        <v>-</v>
      </c>
      <c r="N90" s="92" t="str" cm="1">
        <f t="array" aca="1" ref="N90" ca="1">IFERROR(INDEX(Rango_Admin_Clas_Total,N$2,MATCH($A90,Rango_Admin_Clas_Primera,0)+1),"-")</f>
        <v>-</v>
      </c>
      <c r="O90" s="92" t="str" cm="1">
        <f t="array" aca="1" ref="O90" ca="1">IFERROR(INDEX(Rango_Admin_Clas_Total,O$2,MATCH($A90,Rango_Admin_Clas_Primera,0)+1),"-")</f>
        <v>-</v>
      </c>
      <c r="P90" s="92" t="str" cm="1">
        <f t="array" aca="1" ref="P90" ca="1">IFERROR(INDEX(Rango_Admin_Clas_Total,P$2,MATCH($A90,Rango_Admin_Clas_Primera,0)+1),"-")</f>
        <v>-</v>
      </c>
      <c r="Q90" s="92" t="str" cm="1">
        <f t="array" aca="1" ref="Q90" ca="1">IFERROR(INDEX(Rango_Admin_Clas_Total,Q$2,MATCH($A90,Rango_Admin_Clas_Primera,0)+1),"-")</f>
        <v>-</v>
      </c>
      <c r="R90" s="92" t="str" cm="1">
        <f t="array" aca="1" ref="R90" ca="1">IFERROR(INDEX(Rango_Admin_Clas_Total,R$2,MATCH($A90,Rango_Admin_Clas_Primera,0)+1),"-")</f>
        <v>-</v>
      </c>
      <c r="S90" s="92" t="str" cm="1">
        <f t="array" aca="1" ref="S90" ca="1">IFERROR(INDEX(Rango_Admin_Clas_Total,S$2,MATCH($A90,Rango_Admin_Clas_Primera,0)+1),"-")</f>
        <v>-</v>
      </c>
      <c r="T90" s="297"/>
      <c r="U90" s="297"/>
    </row>
    <row r="91" spans="1:21">
      <c r="A91" s="19">
        <f t="shared" si="1"/>
        <v>87</v>
      </c>
      <c r="B91" s="22" t="str">
        <f ca="1">IFERROR(HLOOKUP(A91,Rango_Admin_Clas,3,FALSE),"-")</f>
        <v>-</v>
      </c>
      <c r="C91" s="18" t="str">
        <f ca="1">IFERROR(HLOOKUP(A91,Rango_Admin_Clas,5,FALSE),"-")</f>
        <v>-</v>
      </c>
      <c r="D91" s="91" t="str">
        <f ca="1">IFERROR(HLOOKUP(A91,Rango_Admin_Clas,4,FALSE),"-")</f>
        <v>-</v>
      </c>
      <c r="E91" s="92" t="str" cm="1">
        <f t="array" aca="1" ref="E91" ca="1">IFERROR(INDEX(Rango_Admin_Clas_Total,E$2,MATCH($A91,Rango_Admin_Clas_Primera,0)+1),"-")</f>
        <v>-</v>
      </c>
      <c r="F91" s="92" t="str" cm="1">
        <f t="array" aca="1" ref="F91" ca="1">IFERROR(INDEX(Rango_Admin_Clas_Total,F$2,MATCH($A91,Rango_Admin_Clas_Primera,0)+1),"-")</f>
        <v>-</v>
      </c>
      <c r="G91" s="92" t="str" cm="1">
        <f t="array" aca="1" ref="G91" ca="1">IFERROR(INDEX(Rango_Admin_Clas_Total,G$2,MATCH($A91,Rango_Admin_Clas_Primera,0)+1),"-")</f>
        <v>-</v>
      </c>
      <c r="H91" s="92" t="str" cm="1">
        <f t="array" aca="1" ref="H91" ca="1">IFERROR(INDEX(Rango_Admin_Clas_Total,H$2,MATCH($A91,Rango_Admin_Clas_Primera,0)+1),"-")</f>
        <v>-</v>
      </c>
      <c r="I91" s="92" t="str" cm="1">
        <f t="array" aca="1" ref="I91" ca="1">IFERROR(INDEX(Rango_Admin_Clas_Total,I$2,MATCH($A91,Rango_Admin_Clas_Primera,0)+1),"-")</f>
        <v>-</v>
      </c>
      <c r="J91" s="92" t="str" cm="1">
        <f t="array" aca="1" ref="J91" ca="1">IFERROR(INDEX(Rango_Admin_Clas_Total,J$2,MATCH($A91,Rango_Admin_Clas_Primera,0)+1),"-")</f>
        <v>-</v>
      </c>
      <c r="K91" s="92" t="str" cm="1">
        <f t="array" aca="1" ref="K91" ca="1">IFERROR(INDEX(Rango_Admin_Clas_Total,K$2,MATCH($A91,Rango_Admin_Clas_Primera,0)+1),"-")</f>
        <v>-</v>
      </c>
      <c r="L91" s="92" t="str" cm="1">
        <f t="array" aca="1" ref="L91" ca="1">IFERROR(INDEX(Rango_Admin_Clas_Total,L$2,MATCH($A91,Rango_Admin_Clas_Primera,0)+1),"-")</f>
        <v>-</v>
      </c>
      <c r="M91" s="92" t="str" cm="1">
        <f t="array" aca="1" ref="M91" ca="1">IFERROR(INDEX(Rango_Admin_Clas_Total,M$2,MATCH($A91,Rango_Admin_Clas_Primera,0)+1),"-")</f>
        <v>-</v>
      </c>
      <c r="N91" s="92" t="str" cm="1">
        <f t="array" aca="1" ref="N91" ca="1">IFERROR(INDEX(Rango_Admin_Clas_Total,N$2,MATCH($A91,Rango_Admin_Clas_Primera,0)+1),"-")</f>
        <v>-</v>
      </c>
      <c r="O91" s="92" t="str" cm="1">
        <f t="array" aca="1" ref="O91" ca="1">IFERROR(INDEX(Rango_Admin_Clas_Total,O$2,MATCH($A91,Rango_Admin_Clas_Primera,0)+1),"-")</f>
        <v>-</v>
      </c>
      <c r="P91" s="92" t="str" cm="1">
        <f t="array" aca="1" ref="P91" ca="1">IFERROR(INDEX(Rango_Admin_Clas_Total,P$2,MATCH($A91,Rango_Admin_Clas_Primera,0)+1),"-")</f>
        <v>-</v>
      </c>
      <c r="Q91" s="92" t="str" cm="1">
        <f t="array" aca="1" ref="Q91" ca="1">IFERROR(INDEX(Rango_Admin_Clas_Total,Q$2,MATCH($A91,Rango_Admin_Clas_Primera,0)+1),"-")</f>
        <v>-</v>
      </c>
      <c r="R91" s="92" t="str" cm="1">
        <f t="array" aca="1" ref="R91" ca="1">IFERROR(INDEX(Rango_Admin_Clas_Total,R$2,MATCH($A91,Rango_Admin_Clas_Primera,0)+1),"-")</f>
        <v>-</v>
      </c>
      <c r="S91" s="92" t="str" cm="1">
        <f t="array" aca="1" ref="S91" ca="1">IFERROR(INDEX(Rango_Admin_Clas_Total,S$2,MATCH($A91,Rango_Admin_Clas_Primera,0)+1),"-")</f>
        <v>-</v>
      </c>
      <c r="T91" s="297"/>
      <c r="U91" s="297"/>
    </row>
    <row r="92" spans="1:21">
      <c r="A92" s="19">
        <f t="shared" si="1"/>
        <v>88</v>
      </c>
      <c r="B92" s="22" t="str">
        <f ca="1">IFERROR(HLOOKUP(A92,Rango_Admin_Clas,3,FALSE),"-")</f>
        <v>-</v>
      </c>
      <c r="C92" s="18" t="str">
        <f ca="1">IFERROR(HLOOKUP(A92,Rango_Admin_Clas,5,FALSE),"-")</f>
        <v>-</v>
      </c>
      <c r="D92" s="91" t="str">
        <f ca="1">IFERROR(HLOOKUP(A92,Rango_Admin_Clas,4,FALSE),"-")</f>
        <v>-</v>
      </c>
      <c r="E92" s="92" t="str" cm="1">
        <f t="array" aca="1" ref="E92" ca="1">IFERROR(INDEX(Rango_Admin_Clas_Total,E$2,MATCH($A92,Rango_Admin_Clas_Primera,0)+1),"-")</f>
        <v>-</v>
      </c>
      <c r="F92" s="92" t="str" cm="1">
        <f t="array" aca="1" ref="F92" ca="1">IFERROR(INDEX(Rango_Admin_Clas_Total,F$2,MATCH($A92,Rango_Admin_Clas_Primera,0)+1),"-")</f>
        <v>-</v>
      </c>
      <c r="G92" s="92" t="str" cm="1">
        <f t="array" aca="1" ref="G92" ca="1">IFERROR(INDEX(Rango_Admin_Clas_Total,G$2,MATCH($A92,Rango_Admin_Clas_Primera,0)+1),"-")</f>
        <v>-</v>
      </c>
      <c r="H92" s="92" t="str" cm="1">
        <f t="array" aca="1" ref="H92" ca="1">IFERROR(INDEX(Rango_Admin_Clas_Total,H$2,MATCH($A92,Rango_Admin_Clas_Primera,0)+1),"-")</f>
        <v>-</v>
      </c>
      <c r="I92" s="92" t="str" cm="1">
        <f t="array" aca="1" ref="I92" ca="1">IFERROR(INDEX(Rango_Admin_Clas_Total,I$2,MATCH($A92,Rango_Admin_Clas_Primera,0)+1),"-")</f>
        <v>-</v>
      </c>
      <c r="J92" s="92" t="str" cm="1">
        <f t="array" aca="1" ref="J92" ca="1">IFERROR(INDEX(Rango_Admin_Clas_Total,J$2,MATCH($A92,Rango_Admin_Clas_Primera,0)+1),"-")</f>
        <v>-</v>
      </c>
      <c r="K92" s="92" t="str" cm="1">
        <f t="array" aca="1" ref="K92" ca="1">IFERROR(INDEX(Rango_Admin_Clas_Total,K$2,MATCH($A92,Rango_Admin_Clas_Primera,0)+1),"-")</f>
        <v>-</v>
      </c>
      <c r="L92" s="92" t="str" cm="1">
        <f t="array" aca="1" ref="L92" ca="1">IFERROR(INDEX(Rango_Admin_Clas_Total,L$2,MATCH($A92,Rango_Admin_Clas_Primera,0)+1),"-")</f>
        <v>-</v>
      </c>
      <c r="M92" s="92" t="str" cm="1">
        <f t="array" aca="1" ref="M92" ca="1">IFERROR(INDEX(Rango_Admin_Clas_Total,M$2,MATCH($A92,Rango_Admin_Clas_Primera,0)+1),"-")</f>
        <v>-</v>
      </c>
      <c r="N92" s="92" t="str" cm="1">
        <f t="array" aca="1" ref="N92" ca="1">IFERROR(INDEX(Rango_Admin_Clas_Total,N$2,MATCH($A92,Rango_Admin_Clas_Primera,0)+1),"-")</f>
        <v>-</v>
      </c>
      <c r="O92" s="92" t="str" cm="1">
        <f t="array" aca="1" ref="O92" ca="1">IFERROR(INDEX(Rango_Admin_Clas_Total,O$2,MATCH($A92,Rango_Admin_Clas_Primera,0)+1),"-")</f>
        <v>-</v>
      </c>
      <c r="P92" s="92" t="str" cm="1">
        <f t="array" aca="1" ref="P92" ca="1">IFERROR(INDEX(Rango_Admin_Clas_Total,P$2,MATCH($A92,Rango_Admin_Clas_Primera,0)+1),"-")</f>
        <v>-</v>
      </c>
      <c r="Q92" s="92" t="str" cm="1">
        <f t="array" aca="1" ref="Q92" ca="1">IFERROR(INDEX(Rango_Admin_Clas_Total,Q$2,MATCH($A92,Rango_Admin_Clas_Primera,0)+1),"-")</f>
        <v>-</v>
      </c>
      <c r="R92" s="92" t="str" cm="1">
        <f t="array" aca="1" ref="R92" ca="1">IFERROR(INDEX(Rango_Admin_Clas_Total,R$2,MATCH($A92,Rango_Admin_Clas_Primera,0)+1),"-")</f>
        <v>-</v>
      </c>
      <c r="S92" s="92" t="str" cm="1">
        <f t="array" aca="1" ref="S92" ca="1">IFERROR(INDEX(Rango_Admin_Clas_Total,S$2,MATCH($A92,Rango_Admin_Clas_Primera,0)+1),"-")</f>
        <v>-</v>
      </c>
      <c r="T92" s="297"/>
      <c r="U92" s="297"/>
    </row>
    <row r="93" spans="1:21">
      <c r="A93" s="19">
        <f t="shared" si="1"/>
        <v>89</v>
      </c>
      <c r="B93" s="22" t="str">
        <f ca="1">IFERROR(HLOOKUP(A93,Rango_Admin_Clas,3,FALSE),"-")</f>
        <v>-</v>
      </c>
      <c r="C93" s="18" t="str">
        <f ca="1">IFERROR(HLOOKUP(A93,Rango_Admin_Clas,5,FALSE),"-")</f>
        <v>-</v>
      </c>
      <c r="D93" s="91" t="str">
        <f ca="1">IFERROR(HLOOKUP(A93,Rango_Admin_Clas,4,FALSE),"-")</f>
        <v>-</v>
      </c>
      <c r="E93" s="92" t="str" cm="1">
        <f t="array" aca="1" ref="E93" ca="1">IFERROR(INDEX(Rango_Admin_Clas_Total,E$2,MATCH($A93,Rango_Admin_Clas_Primera,0)+1),"-")</f>
        <v>-</v>
      </c>
      <c r="F93" s="92" t="str" cm="1">
        <f t="array" aca="1" ref="F93" ca="1">IFERROR(INDEX(Rango_Admin_Clas_Total,F$2,MATCH($A93,Rango_Admin_Clas_Primera,0)+1),"-")</f>
        <v>-</v>
      </c>
      <c r="G93" s="92" t="str" cm="1">
        <f t="array" aca="1" ref="G93" ca="1">IFERROR(INDEX(Rango_Admin_Clas_Total,G$2,MATCH($A93,Rango_Admin_Clas_Primera,0)+1),"-")</f>
        <v>-</v>
      </c>
      <c r="H93" s="92" t="str" cm="1">
        <f t="array" aca="1" ref="H93" ca="1">IFERROR(INDEX(Rango_Admin_Clas_Total,H$2,MATCH($A93,Rango_Admin_Clas_Primera,0)+1),"-")</f>
        <v>-</v>
      </c>
      <c r="I93" s="92" t="str" cm="1">
        <f t="array" aca="1" ref="I93" ca="1">IFERROR(INDEX(Rango_Admin_Clas_Total,I$2,MATCH($A93,Rango_Admin_Clas_Primera,0)+1),"-")</f>
        <v>-</v>
      </c>
      <c r="J93" s="92" t="str" cm="1">
        <f t="array" aca="1" ref="J93" ca="1">IFERROR(INDEX(Rango_Admin_Clas_Total,J$2,MATCH($A93,Rango_Admin_Clas_Primera,0)+1),"-")</f>
        <v>-</v>
      </c>
      <c r="K93" s="92" t="str" cm="1">
        <f t="array" aca="1" ref="K93" ca="1">IFERROR(INDEX(Rango_Admin_Clas_Total,K$2,MATCH($A93,Rango_Admin_Clas_Primera,0)+1),"-")</f>
        <v>-</v>
      </c>
      <c r="L93" s="92" t="str" cm="1">
        <f t="array" aca="1" ref="L93" ca="1">IFERROR(INDEX(Rango_Admin_Clas_Total,L$2,MATCH($A93,Rango_Admin_Clas_Primera,0)+1),"-")</f>
        <v>-</v>
      </c>
      <c r="M93" s="92" t="str" cm="1">
        <f t="array" aca="1" ref="M93" ca="1">IFERROR(INDEX(Rango_Admin_Clas_Total,M$2,MATCH($A93,Rango_Admin_Clas_Primera,0)+1),"-")</f>
        <v>-</v>
      </c>
      <c r="N93" s="92" t="str" cm="1">
        <f t="array" aca="1" ref="N93" ca="1">IFERROR(INDEX(Rango_Admin_Clas_Total,N$2,MATCH($A93,Rango_Admin_Clas_Primera,0)+1),"-")</f>
        <v>-</v>
      </c>
      <c r="O93" s="92" t="str" cm="1">
        <f t="array" aca="1" ref="O93" ca="1">IFERROR(INDEX(Rango_Admin_Clas_Total,O$2,MATCH($A93,Rango_Admin_Clas_Primera,0)+1),"-")</f>
        <v>-</v>
      </c>
      <c r="P93" s="92" t="str" cm="1">
        <f t="array" aca="1" ref="P93" ca="1">IFERROR(INDEX(Rango_Admin_Clas_Total,P$2,MATCH($A93,Rango_Admin_Clas_Primera,0)+1),"-")</f>
        <v>-</v>
      </c>
      <c r="Q93" s="92" t="str" cm="1">
        <f t="array" aca="1" ref="Q93" ca="1">IFERROR(INDEX(Rango_Admin_Clas_Total,Q$2,MATCH($A93,Rango_Admin_Clas_Primera,0)+1),"-")</f>
        <v>-</v>
      </c>
      <c r="R93" s="92" t="str" cm="1">
        <f t="array" aca="1" ref="R93" ca="1">IFERROR(INDEX(Rango_Admin_Clas_Total,R$2,MATCH($A93,Rango_Admin_Clas_Primera,0)+1),"-")</f>
        <v>-</v>
      </c>
      <c r="S93" s="92" t="str" cm="1">
        <f t="array" aca="1" ref="S93" ca="1">IFERROR(INDEX(Rango_Admin_Clas_Total,S$2,MATCH($A93,Rango_Admin_Clas_Primera,0)+1),"-")</f>
        <v>-</v>
      </c>
      <c r="T93" s="297"/>
      <c r="U93" s="297"/>
    </row>
    <row r="94" spans="1:21">
      <c r="A94" s="19">
        <f t="shared" si="1"/>
        <v>90</v>
      </c>
      <c r="B94" s="22" t="str">
        <f ca="1">IFERROR(HLOOKUP(A94,Rango_Admin_Clas,3,FALSE),"-")</f>
        <v>-</v>
      </c>
      <c r="C94" s="18" t="str">
        <f ca="1">IFERROR(HLOOKUP(A94,Rango_Admin_Clas,5,FALSE),"-")</f>
        <v>-</v>
      </c>
      <c r="D94" s="91" t="str">
        <f ca="1">IFERROR(HLOOKUP(A94,Rango_Admin_Clas,4,FALSE),"-")</f>
        <v>-</v>
      </c>
      <c r="E94" s="92" t="str" cm="1">
        <f t="array" aca="1" ref="E94" ca="1">IFERROR(INDEX(Rango_Admin_Clas_Total,E$2,MATCH($A94,Rango_Admin_Clas_Primera,0)+1),"-")</f>
        <v>-</v>
      </c>
      <c r="F94" s="92" t="str" cm="1">
        <f t="array" aca="1" ref="F94" ca="1">IFERROR(INDEX(Rango_Admin_Clas_Total,F$2,MATCH($A94,Rango_Admin_Clas_Primera,0)+1),"-")</f>
        <v>-</v>
      </c>
      <c r="G94" s="92" t="str" cm="1">
        <f t="array" aca="1" ref="G94" ca="1">IFERROR(INDEX(Rango_Admin_Clas_Total,G$2,MATCH($A94,Rango_Admin_Clas_Primera,0)+1),"-")</f>
        <v>-</v>
      </c>
      <c r="H94" s="92" t="str" cm="1">
        <f t="array" aca="1" ref="H94" ca="1">IFERROR(INDEX(Rango_Admin_Clas_Total,H$2,MATCH($A94,Rango_Admin_Clas_Primera,0)+1),"-")</f>
        <v>-</v>
      </c>
      <c r="I94" s="92" t="str" cm="1">
        <f t="array" aca="1" ref="I94" ca="1">IFERROR(INDEX(Rango_Admin_Clas_Total,I$2,MATCH($A94,Rango_Admin_Clas_Primera,0)+1),"-")</f>
        <v>-</v>
      </c>
      <c r="J94" s="92" t="str" cm="1">
        <f t="array" aca="1" ref="J94" ca="1">IFERROR(INDEX(Rango_Admin_Clas_Total,J$2,MATCH($A94,Rango_Admin_Clas_Primera,0)+1),"-")</f>
        <v>-</v>
      </c>
      <c r="K94" s="92" t="str" cm="1">
        <f t="array" aca="1" ref="K94" ca="1">IFERROR(INDEX(Rango_Admin_Clas_Total,K$2,MATCH($A94,Rango_Admin_Clas_Primera,0)+1),"-")</f>
        <v>-</v>
      </c>
      <c r="L94" s="92" t="str" cm="1">
        <f t="array" aca="1" ref="L94" ca="1">IFERROR(INDEX(Rango_Admin_Clas_Total,L$2,MATCH($A94,Rango_Admin_Clas_Primera,0)+1),"-")</f>
        <v>-</v>
      </c>
      <c r="M94" s="92" t="str" cm="1">
        <f t="array" aca="1" ref="M94" ca="1">IFERROR(INDEX(Rango_Admin_Clas_Total,M$2,MATCH($A94,Rango_Admin_Clas_Primera,0)+1),"-")</f>
        <v>-</v>
      </c>
      <c r="N94" s="92" t="str" cm="1">
        <f t="array" aca="1" ref="N94" ca="1">IFERROR(INDEX(Rango_Admin_Clas_Total,N$2,MATCH($A94,Rango_Admin_Clas_Primera,0)+1),"-")</f>
        <v>-</v>
      </c>
      <c r="O94" s="92" t="str" cm="1">
        <f t="array" aca="1" ref="O94" ca="1">IFERROR(INDEX(Rango_Admin_Clas_Total,O$2,MATCH($A94,Rango_Admin_Clas_Primera,0)+1),"-")</f>
        <v>-</v>
      </c>
      <c r="P94" s="92" t="str" cm="1">
        <f t="array" aca="1" ref="P94" ca="1">IFERROR(INDEX(Rango_Admin_Clas_Total,P$2,MATCH($A94,Rango_Admin_Clas_Primera,0)+1),"-")</f>
        <v>-</v>
      </c>
      <c r="Q94" s="92" t="str" cm="1">
        <f t="array" aca="1" ref="Q94" ca="1">IFERROR(INDEX(Rango_Admin_Clas_Total,Q$2,MATCH($A94,Rango_Admin_Clas_Primera,0)+1),"-")</f>
        <v>-</v>
      </c>
      <c r="R94" s="92" t="str" cm="1">
        <f t="array" aca="1" ref="R94" ca="1">IFERROR(INDEX(Rango_Admin_Clas_Total,R$2,MATCH($A94,Rango_Admin_Clas_Primera,0)+1),"-")</f>
        <v>-</v>
      </c>
      <c r="S94" s="92" t="str" cm="1">
        <f t="array" aca="1" ref="S94" ca="1">IFERROR(INDEX(Rango_Admin_Clas_Total,S$2,MATCH($A94,Rango_Admin_Clas_Primera,0)+1),"-")</f>
        <v>-</v>
      </c>
      <c r="T94" s="297"/>
      <c r="U94" s="297"/>
    </row>
    <row r="95" spans="1:21">
      <c r="A95" s="19">
        <f t="shared" si="1"/>
        <v>91</v>
      </c>
      <c r="B95" s="22" t="str">
        <f ca="1">IFERROR(HLOOKUP(A95,Rango_Admin_Clas,3,FALSE),"-")</f>
        <v>-</v>
      </c>
      <c r="C95" s="18" t="str">
        <f ca="1">IFERROR(HLOOKUP(A95,Rango_Admin_Clas,5,FALSE),"-")</f>
        <v>-</v>
      </c>
      <c r="D95" s="91" t="str">
        <f ca="1">IFERROR(HLOOKUP(A95,Rango_Admin_Clas,4,FALSE),"-")</f>
        <v>-</v>
      </c>
      <c r="E95" s="92" t="str" cm="1">
        <f t="array" aca="1" ref="E95" ca="1">IFERROR(INDEX(Rango_Admin_Clas_Total,E$2,MATCH($A95,Rango_Admin_Clas_Primera,0)+1),"-")</f>
        <v>-</v>
      </c>
      <c r="F95" s="92" t="str" cm="1">
        <f t="array" aca="1" ref="F95" ca="1">IFERROR(INDEX(Rango_Admin_Clas_Total,F$2,MATCH($A95,Rango_Admin_Clas_Primera,0)+1),"-")</f>
        <v>-</v>
      </c>
      <c r="G95" s="92" t="str" cm="1">
        <f t="array" aca="1" ref="G95" ca="1">IFERROR(INDEX(Rango_Admin_Clas_Total,G$2,MATCH($A95,Rango_Admin_Clas_Primera,0)+1),"-")</f>
        <v>-</v>
      </c>
      <c r="H95" s="92" t="str" cm="1">
        <f t="array" aca="1" ref="H95" ca="1">IFERROR(INDEX(Rango_Admin_Clas_Total,H$2,MATCH($A95,Rango_Admin_Clas_Primera,0)+1),"-")</f>
        <v>-</v>
      </c>
      <c r="I95" s="92" t="str" cm="1">
        <f t="array" aca="1" ref="I95" ca="1">IFERROR(INDEX(Rango_Admin_Clas_Total,I$2,MATCH($A95,Rango_Admin_Clas_Primera,0)+1),"-")</f>
        <v>-</v>
      </c>
      <c r="J95" s="92" t="str" cm="1">
        <f t="array" aca="1" ref="J95" ca="1">IFERROR(INDEX(Rango_Admin_Clas_Total,J$2,MATCH($A95,Rango_Admin_Clas_Primera,0)+1),"-")</f>
        <v>-</v>
      </c>
      <c r="K95" s="92" t="str" cm="1">
        <f t="array" aca="1" ref="K95" ca="1">IFERROR(INDEX(Rango_Admin_Clas_Total,K$2,MATCH($A95,Rango_Admin_Clas_Primera,0)+1),"-")</f>
        <v>-</v>
      </c>
      <c r="L95" s="92" t="str" cm="1">
        <f t="array" aca="1" ref="L95" ca="1">IFERROR(INDEX(Rango_Admin_Clas_Total,L$2,MATCH($A95,Rango_Admin_Clas_Primera,0)+1),"-")</f>
        <v>-</v>
      </c>
      <c r="M95" s="92" t="str" cm="1">
        <f t="array" aca="1" ref="M95" ca="1">IFERROR(INDEX(Rango_Admin_Clas_Total,M$2,MATCH($A95,Rango_Admin_Clas_Primera,0)+1),"-")</f>
        <v>-</v>
      </c>
      <c r="N95" s="92" t="str" cm="1">
        <f t="array" aca="1" ref="N95" ca="1">IFERROR(INDEX(Rango_Admin_Clas_Total,N$2,MATCH($A95,Rango_Admin_Clas_Primera,0)+1),"-")</f>
        <v>-</v>
      </c>
      <c r="O95" s="92" t="str" cm="1">
        <f t="array" aca="1" ref="O95" ca="1">IFERROR(INDEX(Rango_Admin_Clas_Total,O$2,MATCH($A95,Rango_Admin_Clas_Primera,0)+1),"-")</f>
        <v>-</v>
      </c>
      <c r="P95" s="92" t="str" cm="1">
        <f t="array" aca="1" ref="P95" ca="1">IFERROR(INDEX(Rango_Admin_Clas_Total,P$2,MATCH($A95,Rango_Admin_Clas_Primera,0)+1),"-")</f>
        <v>-</v>
      </c>
      <c r="Q95" s="92" t="str" cm="1">
        <f t="array" aca="1" ref="Q95" ca="1">IFERROR(INDEX(Rango_Admin_Clas_Total,Q$2,MATCH($A95,Rango_Admin_Clas_Primera,0)+1),"-")</f>
        <v>-</v>
      </c>
      <c r="R95" s="92" t="str" cm="1">
        <f t="array" aca="1" ref="R95" ca="1">IFERROR(INDEX(Rango_Admin_Clas_Total,R$2,MATCH($A95,Rango_Admin_Clas_Primera,0)+1),"-")</f>
        <v>-</v>
      </c>
      <c r="S95" s="92" t="str" cm="1">
        <f t="array" aca="1" ref="S95" ca="1">IFERROR(INDEX(Rango_Admin_Clas_Total,S$2,MATCH($A95,Rango_Admin_Clas_Primera,0)+1),"-")</f>
        <v>-</v>
      </c>
      <c r="T95" s="297"/>
      <c r="U95" s="297"/>
    </row>
    <row r="96" spans="1:21">
      <c r="A96" s="19">
        <f t="shared" si="1"/>
        <v>92</v>
      </c>
      <c r="B96" s="22" t="str">
        <f ca="1">IFERROR(HLOOKUP(A96,Rango_Admin_Clas,3,FALSE),"-")</f>
        <v>-</v>
      </c>
      <c r="C96" s="18" t="str">
        <f ca="1">IFERROR(HLOOKUP(A96,Rango_Admin_Clas,5,FALSE),"-")</f>
        <v>-</v>
      </c>
      <c r="D96" s="91" t="str">
        <f ca="1">IFERROR(HLOOKUP(A96,Rango_Admin_Clas,4,FALSE),"-")</f>
        <v>-</v>
      </c>
      <c r="E96" s="92" t="str" cm="1">
        <f t="array" aca="1" ref="E96" ca="1">IFERROR(INDEX(Rango_Admin_Clas_Total,E$2,MATCH($A96,Rango_Admin_Clas_Primera,0)+1),"-")</f>
        <v>-</v>
      </c>
      <c r="F96" s="92" t="str" cm="1">
        <f t="array" aca="1" ref="F96" ca="1">IFERROR(INDEX(Rango_Admin_Clas_Total,F$2,MATCH($A96,Rango_Admin_Clas_Primera,0)+1),"-")</f>
        <v>-</v>
      </c>
      <c r="G96" s="92" t="str" cm="1">
        <f t="array" aca="1" ref="G96" ca="1">IFERROR(INDEX(Rango_Admin_Clas_Total,G$2,MATCH($A96,Rango_Admin_Clas_Primera,0)+1),"-")</f>
        <v>-</v>
      </c>
      <c r="H96" s="92" t="str" cm="1">
        <f t="array" aca="1" ref="H96" ca="1">IFERROR(INDEX(Rango_Admin_Clas_Total,H$2,MATCH($A96,Rango_Admin_Clas_Primera,0)+1),"-")</f>
        <v>-</v>
      </c>
      <c r="I96" s="92" t="str" cm="1">
        <f t="array" aca="1" ref="I96" ca="1">IFERROR(INDEX(Rango_Admin_Clas_Total,I$2,MATCH($A96,Rango_Admin_Clas_Primera,0)+1),"-")</f>
        <v>-</v>
      </c>
      <c r="J96" s="92" t="str" cm="1">
        <f t="array" aca="1" ref="J96" ca="1">IFERROR(INDEX(Rango_Admin_Clas_Total,J$2,MATCH($A96,Rango_Admin_Clas_Primera,0)+1),"-")</f>
        <v>-</v>
      </c>
      <c r="K96" s="92" t="str" cm="1">
        <f t="array" aca="1" ref="K96" ca="1">IFERROR(INDEX(Rango_Admin_Clas_Total,K$2,MATCH($A96,Rango_Admin_Clas_Primera,0)+1),"-")</f>
        <v>-</v>
      </c>
      <c r="L96" s="92" t="str" cm="1">
        <f t="array" aca="1" ref="L96" ca="1">IFERROR(INDEX(Rango_Admin_Clas_Total,L$2,MATCH($A96,Rango_Admin_Clas_Primera,0)+1),"-")</f>
        <v>-</v>
      </c>
      <c r="M96" s="92" t="str" cm="1">
        <f t="array" aca="1" ref="M96" ca="1">IFERROR(INDEX(Rango_Admin_Clas_Total,M$2,MATCH($A96,Rango_Admin_Clas_Primera,0)+1),"-")</f>
        <v>-</v>
      </c>
      <c r="N96" s="92" t="str" cm="1">
        <f t="array" aca="1" ref="N96" ca="1">IFERROR(INDEX(Rango_Admin_Clas_Total,N$2,MATCH($A96,Rango_Admin_Clas_Primera,0)+1),"-")</f>
        <v>-</v>
      </c>
      <c r="O96" s="92" t="str" cm="1">
        <f t="array" aca="1" ref="O96" ca="1">IFERROR(INDEX(Rango_Admin_Clas_Total,O$2,MATCH($A96,Rango_Admin_Clas_Primera,0)+1),"-")</f>
        <v>-</v>
      </c>
      <c r="P96" s="92" t="str" cm="1">
        <f t="array" aca="1" ref="P96" ca="1">IFERROR(INDEX(Rango_Admin_Clas_Total,P$2,MATCH($A96,Rango_Admin_Clas_Primera,0)+1),"-")</f>
        <v>-</v>
      </c>
      <c r="Q96" s="92" t="str" cm="1">
        <f t="array" aca="1" ref="Q96" ca="1">IFERROR(INDEX(Rango_Admin_Clas_Total,Q$2,MATCH($A96,Rango_Admin_Clas_Primera,0)+1),"-")</f>
        <v>-</v>
      </c>
      <c r="R96" s="92" t="str" cm="1">
        <f t="array" aca="1" ref="R96" ca="1">IFERROR(INDEX(Rango_Admin_Clas_Total,R$2,MATCH($A96,Rango_Admin_Clas_Primera,0)+1),"-")</f>
        <v>-</v>
      </c>
      <c r="S96" s="92" t="str" cm="1">
        <f t="array" aca="1" ref="S96" ca="1">IFERROR(INDEX(Rango_Admin_Clas_Total,S$2,MATCH($A96,Rango_Admin_Clas_Primera,0)+1),"-")</f>
        <v>-</v>
      </c>
      <c r="T96" s="297"/>
      <c r="U96" s="297"/>
    </row>
    <row r="97" spans="1:21">
      <c r="A97" s="19">
        <f t="shared" si="1"/>
        <v>93</v>
      </c>
      <c r="B97" s="22" t="str">
        <f ca="1">IFERROR(HLOOKUP(A97,Rango_Admin_Clas,3,FALSE),"-")</f>
        <v>-</v>
      </c>
      <c r="C97" s="18" t="str">
        <f ca="1">IFERROR(HLOOKUP(A97,Rango_Admin_Clas,5,FALSE),"-")</f>
        <v>-</v>
      </c>
      <c r="D97" s="91" t="str">
        <f ca="1">IFERROR(HLOOKUP(A97,Rango_Admin_Clas,4,FALSE),"-")</f>
        <v>-</v>
      </c>
      <c r="E97" s="92" t="str" cm="1">
        <f t="array" aca="1" ref="E97" ca="1">IFERROR(INDEX(Rango_Admin_Clas_Total,E$2,MATCH($A97,Rango_Admin_Clas_Primera,0)+1),"-")</f>
        <v>-</v>
      </c>
      <c r="F97" s="92" t="str" cm="1">
        <f t="array" aca="1" ref="F97" ca="1">IFERROR(INDEX(Rango_Admin_Clas_Total,F$2,MATCH($A97,Rango_Admin_Clas_Primera,0)+1),"-")</f>
        <v>-</v>
      </c>
      <c r="G97" s="92" t="str" cm="1">
        <f t="array" aca="1" ref="G97" ca="1">IFERROR(INDEX(Rango_Admin_Clas_Total,G$2,MATCH($A97,Rango_Admin_Clas_Primera,0)+1),"-")</f>
        <v>-</v>
      </c>
      <c r="H97" s="92" t="str" cm="1">
        <f t="array" aca="1" ref="H97" ca="1">IFERROR(INDEX(Rango_Admin_Clas_Total,H$2,MATCH($A97,Rango_Admin_Clas_Primera,0)+1),"-")</f>
        <v>-</v>
      </c>
      <c r="I97" s="92" t="str" cm="1">
        <f t="array" aca="1" ref="I97" ca="1">IFERROR(INDEX(Rango_Admin_Clas_Total,I$2,MATCH($A97,Rango_Admin_Clas_Primera,0)+1),"-")</f>
        <v>-</v>
      </c>
      <c r="J97" s="92" t="str" cm="1">
        <f t="array" aca="1" ref="J97" ca="1">IFERROR(INDEX(Rango_Admin_Clas_Total,J$2,MATCH($A97,Rango_Admin_Clas_Primera,0)+1),"-")</f>
        <v>-</v>
      </c>
      <c r="K97" s="92" t="str" cm="1">
        <f t="array" aca="1" ref="K97" ca="1">IFERROR(INDEX(Rango_Admin_Clas_Total,K$2,MATCH($A97,Rango_Admin_Clas_Primera,0)+1),"-")</f>
        <v>-</v>
      </c>
      <c r="L97" s="92" t="str" cm="1">
        <f t="array" aca="1" ref="L97" ca="1">IFERROR(INDEX(Rango_Admin_Clas_Total,L$2,MATCH($A97,Rango_Admin_Clas_Primera,0)+1),"-")</f>
        <v>-</v>
      </c>
      <c r="M97" s="92" t="str" cm="1">
        <f t="array" aca="1" ref="M97" ca="1">IFERROR(INDEX(Rango_Admin_Clas_Total,M$2,MATCH($A97,Rango_Admin_Clas_Primera,0)+1),"-")</f>
        <v>-</v>
      </c>
      <c r="N97" s="92" t="str" cm="1">
        <f t="array" aca="1" ref="N97" ca="1">IFERROR(INDEX(Rango_Admin_Clas_Total,N$2,MATCH($A97,Rango_Admin_Clas_Primera,0)+1),"-")</f>
        <v>-</v>
      </c>
      <c r="O97" s="92" t="str" cm="1">
        <f t="array" aca="1" ref="O97" ca="1">IFERROR(INDEX(Rango_Admin_Clas_Total,O$2,MATCH($A97,Rango_Admin_Clas_Primera,0)+1),"-")</f>
        <v>-</v>
      </c>
      <c r="P97" s="92" t="str" cm="1">
        <f t="array" aca="1" ref="P97" ca="1">IFERROR(INDEX(Rango_Admin_Clas_Total,P$2,MATCH($A97,Rango_Admin_Clas_Primera,0)+1),"-")</f>
        <v>-</v>
      </c>
      <c r="Q97" s="92" t="str" cm="1">
        <f t="array" aca="1" ref="Q97" ca="1">IFERROR(INDEX(Rango_Admin_Clas_Total,Q$2,MATCH($A97,Rango_Admin_Clas_Primera,0)+1),"-")</f>
        <v>-</v>
      </c>
      <c r="R97" s="92" t="str" cm="1">
        <f t="array" aca="1" ref="R97" ca="1">IFERROR(INDEX(Rango_Admin_Clas_Total,R$2,MATCH($A97,Rango_Admin_Clas_Primera,0)+1),"-")</f>
        <v>-</v>
      </c>
      <c r="S97" s="92" t="str" cm="1">
        <f t="array" aca="1" ref="S97" ca="1">IFERROR(INDEX(Rango_Admin_Clas_Total,S$2,MATCH($A97,Rango_Admin_Clas_Primera,0)+1),"-")</f>
        <v>-</v>
      </c>
      <c r="T97" s="297"/>
      <c r="U97" s="297"/>
    </row>
    <row r="98" spans="1:21">
      <c r="A98" s="19">
        <f t="shared" si="1"/>
        <v>94</v>
      </c>
      <c r="B98" s="22" t="str">
        <f ca="1">IFERROR(HLOOKUP(A98,Rango_Admin_Clas,3,FALSE),"-")</f>
        <v>-</v>
      </c>
      <c r="C98" s="18" t="str">
        <f ca="1">IFERROR(HLOOKUP(A98,Rango_Admin_Clas,5,FALSE),"-")</f>
        <v>-</v>
      </c>
      <c r="D98" s="91" t="str">
        <f ca="1">IFERROR(HLOOKUP(A98,Rango_Admin_Clas,4,FALSE),"-")</f>
        <v>-</v>
      </c>
      <c r="E98" s="92" t="str" cm="1">
        <f t="array" aca="1" ref="E98" ca="1">IFERROR(INDEX(Rango_Admin_Clas_Total,E$2,MATCH($A98,Rango_Admin_Clas_Primera,0)+1),"-")</f>
        <v>-</v>
      </c>
      <c r="F98" s="92" t="str" cm="1">
        <f t="array" aca="1" ref="F98" ca="1">IFERROR(INDEX(Rango_Admin_Clas_Total,F$2,MATCH($A98,Rango_Admin_Clas_Primera,0)+1),"-")</f>
        <v>-</v>
      </c>
      <c r="G98" s="92" t="str" cm="1">
        <f t="array" aca="1" ref="G98" ca="1">IFERROR(INDEX(Rango_Admin_Clas_Total,G$2,MATCH($A98,Rango_Admin_Clas_Primera,0)+1),"-")</f>
        <v>-</v>
      </c>
      <c r="H98" s="92" t="str" cm="1">
        <f t="array" aca="1" ref="H98" ca="1">IFERROR(INDEX(Rango_Admin_Clas_Total,H$2,MATCH($A98,Rango_Admin_Clas_Primera,0)+1),"-")</f>
        <v>-</v>
      </c>
      <c r="I98" s="92" t="str" cm="1">
        <f t="array" aca="1" ref="I98" ca="1">IFERROR(INDEX(Rango_Admin_Clas_Total,I$2,MATCH($A98,Rango_Admin_Clas_Primera,0)+1),"-")</f>
        <v>-</v>
      </c>
      <c r="J98" s="92" t="str" cm="1">
        <f t="array" aca="1" ref="J98" ca="1">IFERROR(INDEX(Rango_Admin_Clas_Total,J$2,MATCH($A98,Rango_Admin_Clas_Primera,0)+1),"-")</f>
        <v>-</v>
      </c>
      <c r="K98" s="92" t="str" cm="1">
        <f t="array" aca="1" ref="K98" ca="1">IFERROR(INDEX(Rango_Admin_Clas_Total,K$2,MATCH($A98,Rango_Admin_Clas_Primera,0)+1),"-")</f>
        <v>-</v>
      </c>
      <c r="L98" s="92" t="str" cm="1">
        <f t="array" aca="1" ref="L98" ca="1">IFERROR(INDEX(Rango_Admin_Clas_Total,L$2,MATCH($A98,Rango_Admin_Clas_Primera,0)+1),"-")</f>
        <v>-</v>
      </c>
      <c r="M98" s="92" t="str" cm="1">
        <f t="array" aca="1" ref="M98" ca="1">IFERROR(INDEX(Rango_Admin_Clas_Total,M$2,MATCH($A98,Rango_Admin_Clas_Primera,0)+1),"-")</f>
        <v>-</v>
      </c>
      <c r="N98" s="92" t="str" cm="1">
        <f t="array" aca="1" ref="N98" ca="1">IFERROR(INDEX(Rango_Admin_Clas_Total,N$2,MATCH($A98,Rango_Admin_Clas_Primera,0)+1),"-")</f>
        <v>-</v>
      </c>
      <c r="O98" s="92" t="str" cm="1">
        <f t="array" aca="1" ref="O98" ca="1">IFERROR(INDEX(Rango_Admin_Clas_Total,O$2,MATCH($A98,Rango_Admin_Clas_Primera,0)+1),"-")</f>
        <v>-</v>
      </c>
      <c r="P98" s="92" t="str" cm="1">
        <f t="array" aca="1" ref="P98" ca="1">IFERROR(INDEX(Rango_Admin_Clas_Total,P$2,MATCH($A98,Rango_Admin_Clas_Primera,0)+1),"-")</f>
        <v>-</v>
      </c>
      <c r="Q98" s="92" t="str" cm="1">
        <f t="array" aca="1" ref="Q98" ca="1">IFERROR(INDEX(Rango_Admin_Clas_Total,Q$2,MATCH($A98,Rango_Admin_Clas_Primera,0)+1),"-")</f>
        <v>-</v>
      </c>
      <c r="R98" s="92" t="str" cm="1">
        <f t="array" aca="1" ref="R98" ca="1">IFERROR(INDEX(Rango_Admin_Clas_Total,R$2,MATCH($A98,Rango_Admin_Clas_Primera,0)+1),"-")</f>
        <v>-</v>
      </c>
      <c r="S98" s="92" t="str" cm="1">
        <f t="array" aca="1" ref="S98" ca="1">IFERROR(INDEX(Rango_Admin_Clas_Total,S$2,MATCH($A98,Rango_Admin_Clas_Primera,0)+1),"-")</f>
        <v>-</v>
      </c>
      <c r="T98" s="297"/>
      <c r="U98" s="297"/>
    </row>
    <row r="99" spans="1:21">
      <c r="A99" s="19">
        <f t="shared" si="1"/>
        <v>95</v>
      </c>
      <c r="B99" s="22" t="str">
        <f ca="1">IFERROR(HLOOKUP(A99,Rango_Admin_Clas,3,FALSE),"-")</f>
        <v>-</v>
      </c>
      <c r="C99" s="18" t="str">
        <f ca="1">IFERROR(HLOOKUP(A99,Rango_Admin_Clas,5,FALSE),"-")</f>
        <v>-</v>
      </c>
      <c r="D99" s="91" t="str">
        <f ca="1">IFERROR(HLOOKUP(A99,Rango_Admin_Clas,4,FALSE),"-")</f>
        <v>-</v>
      </c>
      <c r="E99" s="92" t="str" cm="1">
        <f t="array" aca="1" ref="E99" ca="1">IFERROR(INDEX(Rango_Admin_Clas_Total,E$2,MATCH($A99,Rango_Admin_Clas_Primera,0)+1),"-")</f>
        <v>-</v>
      </c>
      <c r="F99" s="92" t="str" cm="1">
        <f t="array" aca="1" ref="F99" ca="1">IFERROR(INDEX(Rango_Admin_Clas_Total,F$2,MATCH($A99,Rango_Admin_Clas_Primera,0)+1),"-")</f>
        <v>-</v>
      </c>
      <c r="G99" s="92" t="str" cm="1">
        <f t="array" aca="1" ref="G99" ca="1">IFERROR(INDEX(Rango_Admin_Clas_Total,G$2,MATCH($A99,Rango_Admin_Clas_Primera,0)+1),"-")</f>
        <v>-</v>
      </c>
      <c r="H99" s="92" t="str" cm="1">
        <f t="array" aca="1" ref="H99" ca="1">IFERROR(INDEX(Rango_Admin_Clas_Total,H$2,MATCH($A99,Rango_Admin_Clas_Primera,0)+1),"-")</f>
        <v>-</v>
      </c>
      <c r="I99" s="92" t="str" cm="1">
        <f t="array" aca="1" ref="I99" ca="1">IFERROR(INDEX(Rango_Admin_Clas_Total,I$2,MATCH($A99,Rango_Admin_Clas_Primera,0)+1),"-")</f>
        <v>-</v>
      </c>
      <c r="J99" s="92" t="str" cm="1">
        <f t="array" aca="1" ref="J99" ca="1">IFERROR(INDEX(Rango_Admin_Clas_Total,J$2,MATCH($A99,Rango_Admin_Clas_Primera,0)+1),"-")</f>
        <v>-</v>
      </c>
      <c r="K99" s="92" t="str" cm="1">
        <f t="array" aca="1" ref="K99" ca="1">IFERROR(INDEX(Rango_Admin_Clas_Total,K$2,MATCH($A99,Rango_Admin_Clas_Primera,0)+1),"-")</f>
        <v>-</v>
      </c>
      <c r="L99" s="92" t="str" cm="1">
        <f t="array" aca="1" ref="L99" ca="1">IFERROR(INDEX(Rango_Admin_Clas_Total,L$2,MATCH($A99,Rango_Admin_Clas_Primera,0)+1),"-")</f>
        <v>-</v>
      </c>
      <c r="M99" s="92" t="str" cm="1">
        <f t="array" aca="1" ref="M99" ca="1">IFERROR(INDEX(Rango_Admin_Clas_Total,M$2,MATCH($A99,Rango_Admin_Clas_Primera,0)+1),"-")</f>
        <v>-</v>
      </c>
      <c r="N99" s="92" t="str" cm="1">
        <f t="array" aca="1" ref="N99" ca="1">IFERROR(INDEX(Rango_Admin_Clas_Total,N$2,MATCH($A99,Rango_Admin_Clas_Primera,0)+1),"-")</f>
        <v>-</v>
      </c>
      <c r="O99" s="92" t="str" cm="1">
        <f t="array" aca="1" ref="O99" ca="1">IFERROR(INDEX(Rango_Admin_Clas_Total,O$2,MATCH($A99,Rango_Admin_Clas_Primera,0)+1),"-")</f>
        <v>-</v>
      </c>
      <c r="P99" s="92" t="str" cm="1">
        <f t="array" aca="1" ref="P99" ca="1">IFERROR(INDEX(Rango_Admin_Clas_Total,P$2,MATCH($A99,Rango_Admin_Clas_Primera,0)+1),"-")</f>
        <v>-</v>
      </c>
      <c r="Q99" s="92" t="str" cm="1">
        <f t="array" aca="1" ref="Q99" ca="1">IFERROR(INDEX(Rango_Admin_Clas_Total,Q$2,MATCH($A99,Rango_Admin_Clas_Primera,0)+1),"-")</f>
        <v>-</v>
      </c>
      <c r="R99" s="92" t="str" cm="1">
        <f t="array" aca="1" ref="R99" ca="1">IFERROR(INDEX(Rango_Admin_Clas_Total,R$2,MATCH($A99,Rango_Admin_Clas_Primera,0)+1),"-")</f>
        <v>-</v>
      </c>
      <c r="S99" s="92" t="str" cm="1">
        <f t="array" aca="1" ref="S99" ca="1">IFERROR(INDEX(Rango_Admin_Clas_Total,S$2,MATCH($A99,Rango_Admin_Clas_Primera,0)+1),"-")</f>
        <v>-</v>
      </c>
      <c r="T99" s="297"/>
      <c r="U99" s="297"/>
    </row>
    <row r="100" spans="1:21">
      <c r="A100" s="19">
        <f t="shared" si="1"/>
        <v>96</v>
      </c>
      <c r="B100" s="22" t="str">
        <f ca="1">IFERROR(HLOOKUP(A100,Rango_Admin_Clas,3,FALSE),"-")</f>
        <v>-</v>
      </c>
      <c r="C100" s="18" t="str">
        <f ca="1">IFERROR(HLOOKUP(A100,Rango_Admin_Clas,5,FALSE),"-")</f>
        <v>-</v>
      </c>
      <c r="D100" s="91" t="str">
        <f ca="1">IFERROR(HLOOKUP(A100,Rango_Admin_Clas,4,FALSE),"-")</f>
        <v>-</v>
      </c>
      <c r="E100" s="92" t="str" cm="1">
        <f t="array" aca="1" ref="E100" ca="1">IFERROR(INDEX(Rango_Admin_Clas_Total,E$2,MATCH($A100,Rango_Admin_Clas_Primera,0)+1),"-")</f>
        <v>-</v>
      </c>
      <c r="F100" s="92" t="str" cm="1">
        <f t="array" aca="1" ref="F100" ca="1">IFERROR(INDEX(Rango_Admin_Clas_Total,F$2,MATCH($A100,Rango_Admin_Clas_Primera,0)+1),"-")</f>
        <v>-</v>
      </c>
      <c r="G100" s="92" t="str" cm="1">
        <f t="array" aca="1" ref="G100" ca="1">IFERROR(INDEX(Rango_Admin_Clas_Total,G$2,MATCH($A100,Rango_Admin_Clas_Primera,0)+1),"-")</f>
        <v>-</v>
      </c>
      <c r="H100" s="92" t="str" cm="1">
        <f t="array" aca="1" ref="H100" ca="1">IFERROR(INDEX(Rango_Admin_Clas_Total,H$2,MATCH($A100,Rango_Admin_Clas_Primera,0)+1),"-")</f>
        <v>-</v>
      </c>
      <c r="I100" s="92" t="str" cm="1">
        <f t="array" aca="1" ref="I100" ca="1">IFERROR(INDEX(Rango_Admin_Clas_Total,I$2,MATCH($A100,Rango_Admin_Clas_Primera,0)+1),"-")</f>
        <v>-</v>
      </c>
      <c r="J100" s="92" t="str" cm="1">
        <f t="array" aca="1" ref="J100" ca="1">IFERROR(INDEX(Rango_Admin_Clas_Total,J$2,MATCH($A100,Rango_Admin_Clas_Primera,0)+1),"-")</f>
        <v>-</v>
      </c>
      <c r="K100" s="92" t="str" cm="1">
        <f t="array" aca="1" ref="K100" ca="1">IFERROR(INDEX(Rango_Admin_Clas_Total,K$2,MATCH($A100,Rango_Admin_Clas_Primera,0)+1),"-")</f>
        <v>-</v>
      </c>
      <c r="L100" s="92" t="str" cm="1">
        <f t="array" aca="1" ref="L100" ca="1">IFERROR(INDEX(Rango_Admin_Clas_Total,L$2,MATCH($A100,Rango_Admin_Clas_Primera,0)+1),"-")</f>
        <v>-</v>
      </c>
      <c r="M100" s="92" t="str" cm="1">
        <f t="array" aca="1" ref="M100" ca="1">IFERROR(INDEX(Rango_Admin_Clas_Total,M$2,MATCH($A100,Rango_Admin_Clas_Primera,0)+1),"-")</f>
        <v>-</v>
      </c>
      <c r="N100" s="92" t="str" cm="1">
        <f t="array" aca="1" ref="N100" ca="1">IFERROR(INDEX(Rango_Admin_Clas_Total,N$2,MATCH($A100,Rango_Admin_Clas_Primera,0)+1),"-")</f>
        <v>-</v>
      </c>
      <c r="O100" s="92" t="str" cm="1">
        <f t="array" aca="1" ref="O100" ca="1">IFERROR(INDEX(Rango_Admin_Clas_Total,O$2,MATCH($A100,Rango_Admin_Clas_Primera,0)+1),"-")</f>
        <v>-</v>
      </c>
      <c r="P100" s="92" t="str" cm="1">
        <f t="array" aca="1" ref="P100" ca="1">IFERROR(INDEX(Rango_Admin_Clas_Total,P$2,MATCH($A100,Rango_Admin_Clas_Primera,0)+1),"-")</f>
        <v>-</v>
      </c>
      <c r="Q100" s="92" t="str" cm="1">
        <f t="array" aca="1" ref="Q100" ca="1">IFERROR(INDEX(Rango_Admin_Clas_Total,Q$2,MATCH($A100,Rango_Admin_Clas_Primera,0)+1),"-")</f>
        <v>-</v>
      </c>
      <c r="R100" s="92" t="str" cm="1">
        <f t="array" aca="1" ref="R100" ca="1">IFERROR(INDEX(Rango_Admin_Clas_Total,R$2,MATCH($A100,Rango_Admin_Clas_Primera,0)+1),"-")</f>
        <v>-</v>
      </c>
      <c r="S100" s="92" t="str" cm="1">
        <f t="array" aca="1" ref="S100" ca="1">IFERROR(INDEX(Rango_Admin_Clas_Total,S$2,MATCH($A100,Rango_Admin_Clas_Primera,0)+1),"-")</f>
        <v>-</v>
      </c>
      <c r="T100" s="297"/>
      <c r="U100" s="297"/>
    </row>
    <row r="101" spans="1:21">
      <c r="A101" s="19">
        <f t="shared" si="1"/>
        <v>97</v>
      </c>
      <c r="B101" s="22" t="str">
        <f ca="1">IFERROR(HLOOKUP(A101,Rango_Admin_Clas,3,FALSE),"-")</f>
        <v>-</v>
      </c>
      <c r="C101" s="18" t="str">
        <f ca="1">IFERROR(HLOOKUP(A101,Rango_Admin_Clas,5,FALSE),"-")</f>
        <v>-</v>
      </c>
      <c r="D101" s="91" t="str">
        <f ca="1">IFERROR(HLOOKUP(A101,Rango_Admin_Clas,4,FALSE),"-")</f>
        <v>-</v>
      </c>
      <c r="E101" s="92" t="str" cm="1">
        <f t="array" aca="1" ref="E101" ca="1">IFERROR(INDEX(Rango_Admin_Clas_Total,E$2,MATCH($A101,Rango_Admin_Clas_Primera,0)+1),"-")</f>
        <v>-</v>
      </c>
      <c r="F101" s="92" t="str" cm="1">
        <f t="array" aca="1" ref="F101" ca="1">IFERROR(INDEX(Rango_Admin_Clas_Total,F$2,MATCH($A101,Rango_Admin_Clas_Primera,0)+1),"-")</f>
        <v>-</v>
      </c>
      <c r="G101" s="92" t="str" cm="1">
        <f t="array" aca="1" ref="G101" ca="1">IFERROR(INDEX(Rango_Admin_Clas_Total,G$2,MATCH($A101,Rango_Admin_Clas_Primera,0)+1),"-")</f>
        <v>-</v>
      </c>
      <c r="H101" s="92" t="str" cm="1">
        <f t="array" aca="1" ref="H101" ca="1">IFERROR(INDEX(Rango_Admin_Clas_Total,H$2,MATCH($A101,Rango_Admin_Clas_Primera,0)+1),"-")</f>
        <v>-</v>
      </c>
      <c r="I101" s="92" t="str" cm="1">
        <f t="array" aca="1" ref="I101" ca="1">IFERROR(INDEX(Rango_Admin_Clas_Total,I$2,MATCH($A101,Rango_Admin_Clas_Primera,0)+1),"-")</f>
        <v>-</v>
      </c>
      <c r="J101" s="92" t="str" cm="1">
        <f t="array" aca="1" ref="J101" ca="1">IFERROR(INDEX(Rango_Admin_Clas_Total,J$2,MATCH($A101,Rango_Admin_Clas_Primera,0)+1),"-")</f>
        <v>-</v>
      </c>
      <c r="K101" s="92" t="str" cm="1">
        <f t="array" aca="1" ref="K101" ca="1">IFERROR(INDEX(Rango_Admin_Clas_Total,K$2,MATCH($A101,Rango_Admin_Clas_Primera,0)+1),"-")</f>
        <v>-</v>
      </c>
      <c r="L101" s="92" t="str" cm="1">
        <f t="array" aca="1" ref="L101" ca="1">IFERROR(INDEX(Rango_Admin_Clas_Total,L$2,MATCH($A101,Rango_Admin_Clas_Primera,0)+1),"-")</f>
        <v>-</v>
      </c>
      <c r="M101" s="92" t="str" cm="1">
        <f t="array" aca="1" ref="M101" ca="1">IFERROR(INDEX(Rango_Admin_Clas_Total,M$2,MATCH($A101,Rango_Admin_Clas_Primera,0)+1),"-")</f>
        <v>-</v>
      </c>
      <c r="N101" s="92" t="str" cm="1">
        <f t="array" aca="1" ref="N101" ca="1">IFERROR(INDEX(Rango_Admin_Clas_Total,N$2,MATCH($A101,Rango_Admin_Clas_Primera,0)+1),"-")</f>
        <v>-</v>
      </c>
      <c r="O101" s="92" t="str" cm="1">
        <f t="array" aca="1" ref="O101" ca="1">IFERROR(INDEX(Rango_Admin_Clas_Total,O$2,MATCH($A101,Rango_Admin_Clas_Primera,0)+1),"-")</f>
        <v>-</v>
      </c>
      <c r="P101" s="92" t="str" cm="1">
        <f t="array" aca="1" ref="P101" ca="1">IFERROR(INDEX(Rango_Admin_Clas_Total,P$2,MATCH($A101,Rango_Admin_Clas_Primera,0)+1),"-")</f>
        <v>-</v>
      </c>
      <c r="Q101" s="92" t="str" cm="1">
        <f t="array" aca="1" ref="Q101" ca="1">IFERROR(INDEX(Rango_Admin_Clas_Total,Q$2,MATCH($A101,Rango_Admin_Clas_Primera,0)+1),"-")</f>
        <v>-</v>
      </c>
      <c r="R101" s="92" t="str" cm="1">
        <f t="array" aca="1" ref="R101" ca="1">IFERROR(INDEX(Rango_Admin_Clas_Total,R$2,MATCH($A101,Rango_Admin_Clas_Primera,0)+1),"-")</f>
        <v>-</v>
      </c>
      <c r="S101" s="92" t="str" cm="1">
        <f t="array" aca="1" ref="S101" ca="1">IFERROR(INDEX(Rango_Admin_Clas_Total,S$2,MATCH($A101,Rango_Admin_Clas_Primera,0)+1),"-")</f>
        <v>-</v>
      </c>
      <c r="T101" s="297"/>
      <c r="U101" s="297"/>
    </row>
    <row r="102" spans="1:21">
      <c r="A102" s="19">
        <f t="shared" si="1"/>
        <v>98</v>
      </c>
      <c r="B102" s="22" t="str">
        <f ca="1">IFERROR(HLOOKUP(A102,Rango_Admin_Clas,3,FALSE),"-")</f>
        <v>-</v>
      </c>
      <c r="C102" s="18" t="str">
        <f ca="1">IFERROR(HLOOKUP(A102,Rango_Admin_Clas,5,FALSE),"-")</f>
        <v>-</v>
      </c>
      <c r="D102" s="91" t="str">
        <f ca="1">IFERROR(HLOOKUP(A102,Rango_Admin_Clas,4,FALSE),"-")</f>
        <v>-</v>
      </c>
      <c r="E102" s="92" t="str" cm="1">
        <f t="array" aca="1" ref="E102" ca="1">IFERROR(INDEX(Rango_Admin_Clas_Total,E$2,MATCH($A102,Rango_Admin_Clas_Primera,0)+1),"-")</f>
        <v>-</v>
      </c>
      <c r="F102" s="92" t="str" cm="1">
        <f t="array" aca="1" ref="F102" ca="1">IFERROR(INDEX(Rango_Admin_Clas_Total,F$2,MATCH($A102,Rango_Admin_Clas_Primera,0)+1),"-")</f>
        <v>-</v>
      </c>
      <c r="G102" s="92" t="str" cm="1">
        <f t="array" aca="1" ref="G102" ca="1">IFERROR(INDEX(Rango_Admin_Clas_Total,G$2,MATCH($A102,Rango_Admin_Clas_Primera,0)+1),"-")</f>
        <v>-</v>
      </c>
      <c r="H102" s="92" t="str" cm="1">
        <f t="array" aca="1" ref="H102" ca="1">IFERROR(INDEX(Rango_Admin_Clas_Total,H$2,MATCH($A102,Rango_Admin_Clas_Primera,0)+1),"-")</f>
        <v>-</v>
      </c>
      <c r="I102" s="92" t="str" cm="1">
        <f t="array" aca="1" ref="I102" ca="1">IFERROR(INDEX(Rango_Admin_Clas_Total,I$2,MATCH($A102,Rango_Admin_Clas_Primera,0)+1),"-")</f>
        <v>-</v>
      </c>
      <c r="J102" s="92" t="str" cm="1">
        <f t="array" aca="1" ref="J102" ca="1">IFERROR(INDEX(Rango_Admin_Clas_Total,J$2,MATCH($A102,Rango_Admin_Clas_Primera,0)+1),"-")</f>
        <v>-</v>
      </c>
      <c r="K102" s="92" t="str" cm="1">
        <f t="array" aca="1" ref="K102" ca="1">IFERROR(INDEX(Rango_Admin_Clas_Total,K$2,MATCH($A102,Rango_Admin_Clas_Primera,0)+1),"-")</f>
        <v>-</v>
      </c>
      <c r="L102" s="92" t="str" cm="1">
        <f t="array" aca="1" ref="L102" ca="1">IFERROR(INDEX(Rango_Admin_Clas_Total,L$2,MATCH($A102,Rango_Admin_Clas_Primera,0)+1),"-")</f>
        <v>-</v>
      </c>
      <c r="M102" s="92" t="str" cm="1">
        <f t="array" aca="1" ref="M102" ca="1">IFERROR(INDEX(Rango_Admin_Clas_Total,M$2,MATCH($A102,Rango_Admin_Clas_Primera,0)+1),"-")</f>
        <v>-</v>
      </c>
      <c r="N102" s="92" t="str" cm="1">
        <f t="array" aca="1" ref="N102" ca="1">IFERROR(INDEX(Rango_Admin_Clas_Total,N$2,MATCH($A102,Rango_Admin_Clas_Primera,0)+1),"-")</f>
        <v>-</v>
      </c>
      <c r="O102" s="92" t="str" cm="1">
        <f t="array" aca="1" ref="O102" ca="1">IFERROR(INDEX(Rango_Admin_Clas_Total,O$2,MATCH($A102,Rango_Admin_Clas_Primera,0)+1),"-")</f>
        <v>-</v>
      </c>
      <c r="P102" s="92" t="str" cm="1">
        <f t="array" aca="1" ref="P102" ca="1">IFERROR(INDEX(Rango_Admin_Clas_Total,P$2,MATCH($A102,Rango_Admin_Clas_Primera,0)+1),"-")</f>
        <v>-</v>
      </c>
      <c r="Q102" s="92" t="str" cm="1">
        <f t="array" aca="1" ref="Q102" ca="1">IFERROR(INDEX(Rango_Admin_Clas_Total,Q$2,MATCH($A102,Rango_Admin_Clas_Primera,0)+1),"-")</f>
        <v>-</v>
      </c>
      <c r="R102" s="92" t="str" cm="1">
        <f t="array" aca="1" ref="R102" ca="1">IFERROR(INDEX(Rango_Admin_Clas_Total,R$2,MATCH($A102,Rango_Admin_Clas_Primera,0)+1),"-")</f>
        <v>-</v>
      </c>
      <c r="S102" s="92" t="str" cm="1">
        <f t="array" aca="1" ref="S102" ca="1">IFERROR(INDEX(Rango_Admin_Clas_Total,S$2,MATCH($A102,Rango_Admin_Clas_Primera,0)+1),"-")</f>
        <v>-</v>
      </c>
      <c r="T102" s="297"/>
      <c r="U102" s="297"/>
    </row>
    <row r="103" spans="1:21">
      <c r="A103" s="19">
        <f t="shared" si="1"/>
        <v>99</v>
      </c>
      <c r="B103" s="22" t="str">
        <f ca="1">IFERROR(HLOOKUP(A103,Rango_Admin_Clas,3,FALSE),"-")</f>
        <v>-</v>
      </c>
      <c r="C103" s="18" t="str">
        <f ca="1">IFERROR(HLOOKUP(A103,Rango_Admin_Clas,5,FALSE),"-")</f>
        <v>-</v>
      </c>
      <c r="D103" s="91" t="str">
        <f ca="1">IFERROR(HLOOKUP(A103,Rango_Admin_Clas,4,FALSE),"-")</f>
        <v>-</v>
      </c>
      <c r="E103" s="92" t="str" cm="1">
        <f t="array" aca="1" ref="E103" ca="1">IFERROR(INDEX(Rango_Admin_Clas_Total,E$2,MATCH($A103,Rango_Admin_Clas_Primera,0)+1),"-")</f>
        <v>-</v>
      </c>
      <c r="F103" s="92" t="str" cm="1">
        <f t="array" aca="1" ref="F103" ca="1">IFERROR(INDEX(Rango_Admin_Clas_Total,F$2,MATCH($A103,Rango_Admin_Clas_Primera,0)+1),"-")</f>
        <v>-</v>
      </c>
      <c r="G103" s="92" t="str" cm="1">
        <f t="array" aca="1" ref="G103" ca="1">IFERROR(INDEX(Rango_Admin_Clas_Total,G$2,MATCH($A103,Rango_Admin_Clas_Primera,0)+1),"-")</f>
        <v>-</v>
      </c>
      <c r="H103" s="92" t="str" cm="1">
        <f t="array" aca="1" ref="H103" ca="1">IFERROR(INDEX(Rango_Admin_Clas_Total,H$2,MATCH($A103,Rango_Admin_Clas_Primera,0)+1),"-")</f>
        <v>-</v>
      </c>
      <c r="I103" s="92" t="str" cm="1">
        <f t="array" aca="1" ref="I103" ca="1">IFERROR(INDEX(Rango_Admin_Clas_Total,I$2,MATCH($A103,Rango_Admin_Clas_Primera,0)+1),"-")</f>
        <v>-</v>
      </c>
      <c r="J103" s="92" t="str" cm="1">
        <f t="array" aca="1" ref="J103" ca="1">IFERROR(INDEX(Rango_Admin_Clas_Total,J$2,MATCH($A103,Rango_Admin_Clas_Primera,0)+1),"-")</f>
        <v>-</v>
      </c>
      <c r="K103" s="92" t="str" cm="1">
        <f t="array" aca="1" ref="K103" ca="1">IFERROR(INDEX(Rango_Admin_Clas_Total,K$2,MATCH($A103,Rango_Admin_Clas_Primera,0)+1),"-")</f>
        <v>-</v>
      </c>
      <c r="L103" s="92" t="str" cm="1">
        <f t="array" aca="1" ref="L103" ca="1">IFERROR(INDEX(Rango_Admin_Clas_Total,L$2,MATCH($A103,Rango_Admin_Clas_Primera,0)+1),"-")</f>
        <v>-</v>
      </c>
      <c r="M103" s="92" t="str" cm="1">
        <f t="array" aca="1" ref="M103" ca="1">IFERROR(INDEX(Rango_Admin_Clas_Total,M$2,MATCH($A103,Rango_Admin_Clas_Primera,0)+1),"-")</f>
        <v>-</v>
      </c>
      <c r="N103" s="92" t="str" cm="1">
        <f t="array" aca="1" ref="N103" ca="1">IFERROR(INDEX(Rango_Admin_Clas_Total,N$2,MATCH($A103,Rango_Admin_Clas_Primera,0)+1),"-")</f>
        <v>-</v>
      </c>
      <c r="O103" s="92" t="str" cm="1">
        <f t="array" aca="1" ref="O103" ca="1">IFERROR(INDEX(Rango_Admin_Clas_Total,O$2,MATCH($A103,Rango_Admin_Clas_Primera,0)+1),"-")</f>
        <v>-</v>
      </c>
      <c r="P103" s="92" t="str" cm="1">
        <f t="array" aca="1" ref="P103" ca="1">IFERROR(INDEX(Rango_Admin_Clas_Total,P$2,MATCH($A103,Rango_Admin_Clas_Primera,0)+1),"-")</f>
        <v>-</v>
      </c>
      <c r="Q103" s="92" t="str" cm="1">
        <f t="array" aca="1" ref="Q103" ca="1">IFERROR(INDEX(Rango_Admin_Clas_Total,Q$2,MATCH($A103,Rango_Admin_Clas_Primera,0)+1),"-")</f>
        <v>-</v>
      </c>
      <c r="R103" s="92" t="str" cm="1">
        <f t="array" aca="1" ref="R103" ca="1">IFERROR(INDEX(Rango_Admin_Clas_Total,R$2,MATCH($A103,Rango_Admin_Clas_Primera,0)+1),"-")</f>
        <v>-</v>
      </c>
      <c r="S103" s="92" t="str" cm="1">
        <f t="array" aca="1" ref="S103" ca="1">IFERROR(INDEX(Rango_Admin_Clas_Total,S$2,MATCH($A103,Rango_Admin_Clas_Primera,0)+1),"-")</f>
        <v>-</v>
      </c>
      <c r="T103" s="297"/>
      <c r="U103" s="297"/>
    </row>
    <row r="104" spans="1:21">
      <c r="A104" s="19">
        <f t="shared" si="1"/>
        <v>100</v>
      </c>
      <c r="B104" s="22" t="str">
        <f ca="1">IFERROR(HLOOKUP(A104,Rango_Admin_Clas,3,FALSE),"-")</f>
        <v>-</v>
      </c>
      <c r="C104" s="18" t="str">
        <f ca="1">IFERROR(HLOOKUP(A104,Rango_Admin_Clas,5,FALSE),"-")</f>
        <v>-</v>
      </c>
      <c r="D104" s="91" t="str">
        <f ca="1">IFERROR(HLOOKUP(A104,Rango_Admin_Clas,4,FALSE),"-")</f>
        <v>-</v>
      </c>
      <c r="E104" s="92" t="str" cm="1">
        <f t="array" aca="1" ref="E104" ca="1">IFERROR(INDEX(Rango_Admin_Clas_Total,E$2,MATCH($A104,Rango_Admin_Clas_Primera,0)+1),"-")</f>
        <v>-</v>
      </c>
      <c r="F104" s="92" t="str" cm="1">
        <f t="array" aca="1" ref="F104" ca="1">IFERROR(INDEX(Rango_Admin_Clas_Total,F$2,MATCH($A104,Rango_Admin_Clas_Primera,0)+1),"-")</f>
        <v>-</v>
      </c>
      <c r="G104" s="92" t="str" cm="1">
        <f t="array" aca="1" ref="G104" ca="1">IFERROR(INDEX(Rango_Admin_Clas_Total,G$2,MATCH($A104,Rango_Admin_Clas_Primera,0)+1),"-")</f>
        <v>-</v>
      </c>
      <c r="H104" s="92" t="str" cm="1">
        <f t="array" aca="1" ref="H104" ca="1">IFERROR(INDEX(Rango_Admin_Clas_Total,H$2,MATCH($A104,Rango_Admin_Clas_Primera,0)+1),"-")</f>
        <v>-</v>
      </c>
      <c r="I104" s="92" t="str" cm="1">
        <f t="array" aca="1" ref="I104" ca="1">IFERROR(INDEX(Rango_Admin_Clas_Total,I$2,MATCH($A104,Rango_Admin_Clas_Primera,0)+1),"-")</f>
        <v>-</v>
      </c>
      <c r="J104" s="92" t="str" cm="1">
        <f t="array" aca="1" ref="J104" ca="1">IFERROR(INDEX(Rango_Admin_Clas_Total,J$2,MATCH($A104,Rango_Admin_Clas_Primera,0)+1),"-")</f>
        <v>-</v>
      </c>
      <c r="K104" s="92" t="str" cm="1">
        <f t="array" aca="1" ref="K104" ca="1">IFERROR(INDEX(Rango_Admin_Clas_Total,K$2,MATCH($A104,Rango_Admin_Clas_Primera,0)+1),"-")</f>
        <v>-</v>
      </c>
      <c r="L104" s="92" t="str" cm="1">
        <f t="array" aca="1" ref="L104" ca="1">IFERROR(INDEX(Rango_Admin_Clas_Total,L$2,MATCH($A104,Rango_Admin_Clas_Primera,0)+1),"-")</f>
        <v>-</v>
      </c>
      <c r="M104" s="92" t="str" cm="1">
        <f t="array" aca="1" ref="M104" ca="1">IFERROR(INDEX(Rango_Admin_Clas_Total,M$2,MATCH($A104,Rango_Admin_Clas_Primera,0)+1),"-")</f>
        <v>-</v>
      </c>
      <c r="N104" s="92" t="str" cm="1">
        <f t="array" aca="1" ref="N104" ca="1">IFERROR(INDEX(Rango_Admin_Clas_Total,N$2,MATCH($A104,Rango_Admin_Clas_Primera,0)+1),"-")</f>
        <v>-</v>
      </c>
      <c r="O104" s="92" t="str" cm="1">
        <f t="array" aca="1" ref="O104" ca="1">IFERROR(INDEX(Rango_Admin_Clas_Total,O$2,MATCH($A104,Rango_Admin_Clas_Primera,0)+1),"-")</f>
        <v>-</v>
      </c>
      <c r="P104" s="92" t="str" cm="1">
        <f t="array" aca="1" ref="P104" ca="1">IFERROR(INDEX(Rango_Admin_Clas_Total,P$2,MATCH($A104,Rango_Admin_Clas_Primera,0)+1),"-")</f>
        <v>-</v>
      </c>
      <c r="Q104" s="92" t="str" cm="1">
        <f t="array" aca="1" ref="Q104" ca="1">IFERROR(INDEX(Rango_Admin_Clas_Total,Q$2,MATCH($A104,Rango_Admin_Clas_Primera,0)+1),"-")</f>
        <v>-</v>
      </c>
      <c r="R104" s="92" t="str" cm="1">
        <f t="array" aca="1" ref="R104" ca="1">IFERROR(INDEX(Rango_Admin_Clas_Total,R$2,MATCH($A104,Rango_Admin_Clas_Primera,0)+1),"-")</f>
        <v>-</v>
      </c>
      <c r="S104" s="92" t="str" cm="1">
        <f t="array" aca="1" ref="S104" ca="1">IFERROR(INDEX(Rango_Admin_Clas_Total,S$2,MATCH($A104,Rango_Admin_Clas_Primera,0)+1),"-")</f>
        <v>-</v>
      </c>
      <c r="T104" s="297"/>
      <c r="U104" s="297"/>
    </row>
    <row r="105" spans="1:21">
      <c r="A105" s="90"/>
      <c r="B105" s="297"/>
      <c r="C105" s="297"/>
      <c r="D105" s="297"/>
      <c r="E105" s="297"/>
      <c r="F105" s="297"/>
      <c r="G105" s="297"/>
      <c r="H105" s="297"/>
      <c r="I105" s="297"/>
      <c r="J105" s="297"/>
      <c r="K105" s="297"/>
      <c r="L105" s="297"/>
      <c r="M105" s="297"/>
      <c r="N105" s="297"/>
      <c r="O105" s="297"/>
      <c r="P105" s="297"/>
      <c r="Q105" s="297"/>
      <c r="R105" s="297"/>
      <c r="S105" s="297"/>
      <c r="T105" s="297"/>
      <c r="U105" s="297"/>
    </row>
    <row r="106" spans="1:21">
      <c r="A106" s="90"/>
      <c r="B106" s="297"/>
      <c r="C106" s="297"/>
      <c r="D106" s="297"/>
      <c r="E106" s="297"/>
      <c r="F106" s="297"/>
      <c r="G106" s="297"/>
      <c r="H106" s="297"/>
      <c r="I106" s="297"/>
      <c r="J106" s="297"/>
      <c r="K106" s="297"/>
      <c r="L106" s="297"/>
      <c r="M106" s="297"/>
      <c r="N106" s="297"/>
      <c r="O106" s="297"/>
      <c r="P106" s="297"/>
      <c r="Q106" s="297"/>
      <c r="R106" s="297"/>
      <c r="S106" s="297"/>
      <c r="T106" s="297"/>
      <c r="U106" s="297"/>
    </row>
  </sheetData>
  <sheetProtection algorithmName="SHA-512" hashValue="1jVl7RSCUDitb2Xwn7lCFG8eTpP8donY++ZuJf3bsQeUy0I6atVMG846Wnb7zBoXT7UUIaApqibwsuXzPDFaZg==" saltValue="KB7EC3v7G1rl8f9E9YnX2Q==" spinCount="100000" sheet="1" objects="1" scenarios="1"/>
  <mergeCells count="1">
    <mergeCell ref="B1:S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35" stopIfTrue="1" id="{5F0B6A3E-9FD9-C644-AA78-F74D6C340211}">
            <xm:f>AND((INDEX(ADMIN!$5:$5,1,ADMIN!$D$5*3+18)&gt;=ROW()-4),MOD(ROW(),2)=1)</xm:f>
            <x14:dxf>
              <font>
                <color rgb="FF1B4066"/>
              </font>
              <fill>
                <patternFill>
                  <bgColor theme="0" tint="-0.14996795556505021"/>
                </patternFill>
              </fill>
            </x14:dxf>
          </x14:cfRule>
          <x14:cfRule type="expression" priority="936" stopIfTrue="1" id="{C7456811-7F51-D743-AE39-4B75071A2B75}">
            <xm:f>AND((INDEX(ADMIN!$5:$5,1,ADMIN!$D$5*3+18)&gt;=ROW()-4),MOD(ROW(),2)=0)</xm:f>
            <x14:dxf>
              <font>
                <color rgb="FF1B4066"/>
              </font>
              <fill>
                <patternFill>
                  <bgColor theme="0"/>
                </patternFill>
              </fill>
            </x14:dxf>
          </x14:cfRule>
          <xm:sqref>B5:S104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1A3F4-E46A-5B4A-A4A8-20CBA708B4C7}">
  <sheetPr codeName="Hoja15"/>
  <dimension ref="A1:AO127"/>
  <sheetViews>
    <sheetView showGridLines="0" showRowColHeaders="0" topLeftCell="E1" workbookViewId="0">
      <selection activeCell="H1" sqref="H1"/>
    </sheetView>
  </sheetViews>
  <sheetFormatPr defaultColWidth="0" defaultRowHeight="15"/>
  <cols>
    <col min="1" max="1" width="27.28515625" style="5" hidden="1" customWidth="1"/>
    <col min="2" max="2" width="38" style="5" hidden="1" customWidth="1"/>
    <col min="3" max="4" width="10.7109375" style="5" hidden="1" customWidth="1"/>
    <col min="5" max="5" width="2.42578125" style="20" customWidth="1"/>
    <col min="6" max="6" width="25.140625" style="1" customWidth="1"/>
    <col min="7" max="38" width="25.7109375" style="1" customWidth="1"/>
    <col min="39" max="41" width="10.7109375" style="1" customWidth="1"/>
    <col min="42" max="16384" width="10.7109375" style="1" hidden="1"/>
  </cols>
  <sheetData>
    <row r="1" spans="1:41" ht="40.15" customHeight="1" thickBot="1">
      <c r="E1" s="17"/>
      <c r="F1" s="17"/>
      <c r="G1" s="726" t="str">
        <f>Idiomas!D474</f>
        <v>Select day:</v>
      </c>
      <c r="H1" s="711" t="s">
        <v>1629</v>
      </c>
      <c r="I1" s="297"/>
      <c r="J1" s="19">
        <f ca="1">VLOOKUP($H$1,Equipos!$Q$2:$R$37,2,0)</f>
        <v>24</v>
      </c>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row>
    <row r="2" spans="1:41" hidden="1">
      <c r="B2" s="5" t="str" cm="1">
        <f t="array" aca="1" ref="B2" ca="1">IFERROR(IFERROR(INDEX(ADMIN!$K$6:$K$258,SMALL(IF($J$1=ADMIN!$G$6:$G$258,ROW(ADMIN!$K$6:$K$258)-MIN(ROW(ADMIN!$G$6:$G$258))+1,""),ROW()-3)),"")&amp;CHAR(10)&amp;IF(INDEX(ADMIN!$M$6:$M$258,SMALL(IF($J$1=ADMIN!$G$6:$G$258,ROW(ADMIN!$M$6:$M$258)-MIN(ROW(ADMIN!$G$6:$G$258))+1,""),ROW()-3))="0|-",""," ("&amp;INDEX(ADMIN!$M$6:$M$258,SMALL(IF($J$1=ADMIN!$G$6:$G$258,ROW(ADMIN!$M$6:$M$258)-MIN(ROW(ADMIN!$G$6:$G$258))+1,""),ROW()-3))&amp;")"),"")</f>
        <v/>
      </c>
      <c r="E2" s="19"/>
      <c r="F2" s="297"/>
      <c r="G2" s="19" t="str" cm="1">
        <f t="array" aca="1" ref="G2:AL2" ca="1">TRANSPOSE($A$4:$A$35)</f>
        <v>France-England</v>
      </c>
      <c r="H2" s="19" t="str">
        <f ca="1"/>
        <v>Spain-Argentina</v>
      </c>
      <c r="I2" s="19" t="str">
        <f ca="1"/>
        <v>🥇Winner</v>
      </c>
      <c r="J2" s="19" t="str">
        <f ca="1"/>
        <v>🥈Runner-up</v>
      </c>
      <c r="K2" s="19" t="str">
        <f ca="1"/>
        <v>🥉3rd place</v>
      </c>
      <c r="L2" s="19" t="str">
        <f ca="1"/>
        <v>Golden Boot  (Top Scorer)</v>
      </c>
      <c r="M2" s="19" t="str">
        <f ca="1"/>
        <v>Silver Boot  (2nd Top Scorer)</v>
      </c>
      <c r="N2" s="19" t="str">
        <f ca="1"/>
        <v>Bronze Boot (3rd Top Scorer)</v>
      </c>
      <c r="O2" s="19" t="str">
        <f ca="1"/>
        <v>Golden Ball (Best Player)</v>
      </c>
      <c r="P2" s="19" t="str">
        <f ca="1"/>
        <v>Silver Ball (2nd Best Player)</v>
      </c>
      <c r="Q2" s="19" t="str">
        <f ca="1"/>
        <v>Bronze Ball (3rd Best Player))</v>
      </c>
      <c r="R2" s="19" t="str">
        <f ca="1"/>
        <v/>
      </c>
      <c r="S2" s="19" t="str">
        <f ca="1"/>
        <v/>
      </c>
      <c r="T2" s="19" t="str">
        <f ca="1"/>
        <v/>
      </c>
      <c r="U2" s="19" t="str">
        <f ca="1"/>
        <v/>
      </c>
      <c r="V2" s="19" t="str">
        <f ca="1"/>
        <v/>
      </c>
      <c r="W2" s="19" t="str">
        <f ca="1"/>
        <v/>
      </c>
      <c r="X2" s="19" t="str">
        <f ca="1"/>
        <v/>
      </c>
      <c r="Y2" s="19" t="str">
        <f ca="1"/>
        <v/>
      </c>
      <c r="Z2" s="19" t="str">
        <f ca="1"/>
        <v/>
      </c>
      <c r="AA2" s="19" t="str">
        <f ca="1"/>
        <v/>
      </c>
      <c r="AB2" s="19" t="str">
        <f ca="1"/>
        <v/>
      </c>
      <c r="AC2" s="19" t="str">
        <f ca="1"/>
        <v/>
      </c>
      <c r="AD2" s="19" t="str">
        <f ca="1"/>
        <v/>
      </c>
      <c r="AE2" s="19" t="str">
        <f ca="1"/>
        <v/>
      </c>
      <c r="AF2" s="19" t="str">
        <f ca="1"/>
        <v/>
      </c>
      <c r="AG2" s="19" t="str">
        <f ca="1"/>
        <v/>
      </c>
      <c r="AH2" s="19" t="str">
        <f ca="1"/>
        <v/>
      </c>
      <c r="AI2" s="19" t="str">
        <f ca="1"/>
        <v/>
      </c>
      <c r="AJ2" s="19" t="str">
        <f ca="1"/>
        <v/>
      </c>
      <c r="AK2" s="19" t="str">
        <f ca="1"/>
        <v/>
      </c>
      <c r="AL2" s="19" t="str">
        <f ca="1"/>
        <v/>
      </c>
      <c r="AM2" s="297"/>
      <c r="AN2" s="297"/>
      <c r="AO2" s="297"/>
    </row>
    <row r="3" spans="1:41" ht="49.9" customHeight="1" thickBot="1">
      <c r="E3" s="19"/>
      <c r="F3" s="449" t="str">
        <f>Idiomas!D475</f>
        <v>Name</v>
      </c>
      <c r="G3" s="449" t="str" cm="1">
        <f t="array" aca="1" ref="G3:AL3" ca="1">TRANSPOSE($B$4:$B$35)</f>
        <v>France-England
 (4-6)</v>
      </c>
      <c r="H3" s="449" t="str">
        <f ca="1"/>
        <v>Spain-Argentina
 (1-0)</v>
      </c>
      <c r="I3" s="449" t="str">
        <f ca="1"/>
        <v>🥇Winner
 (Spain)</v>
      </c>
      <c r="J3" s="449" t="str">
        <f ca="1"/>
        <v>🥈Runner-up
 (Argentina)</v>
      </c>
      <c r="K3" s="449" t="str">
        <f ca="1"/>
        <v>🥉3rd place
 (England)</v>
      </c>
      <c r="L3" s="449" t="str">
        <f ca="1"/>
        <v>Golden Boot  (Top Scorer)
 (Mbappé)</v>
      </c>
      <c r="M3" s="449" t="str">
        <f ca="1"/>
        <v>Silver Boot  (2nd Top Scorer)
 (Messi)</v>
      </c>
      <c r="N3" s="449" t="str">
        <f ca="1"/>
        <v>Bronze Boot (3rd Top Scorer)
 (Bellingham / Haaland)</v>
      </c>
      <c r="O3" s="449" t="str">
        <f ca="1"/>
        <v>Golden Ball (Best Player)
 (Rodri)</v>
      </c>
      <c r="P3" s="449" t="str">
        <f ca="1"/>
        <v>Silver Ball (2nd Best Player)
 (Messi)</v>
      </c>
      <c r="Q3" s="449" t="str">
        <f ca="1"/>
        <v>Bronze Ball (3rd Best Player))
 (Mbappé)</v>
      </c>
      <c r="R3" s="449" t="str">
        <f ca="1"/>
        <v xml:space="preserve">
</v>
      </c>
      <c r="S3" s="449" t="str">
        <f ca="1"/>
        <v xml:space="preserve">
</v>
      </c>
      <c r="T3" s="449" t="str">
        <f ca="1"/>
        <v xml:space="preserve">
</v>
      </c>
      <c r="U3" s="449" t="str">
        <f ca="1"/>
        <v xml:space="preserve">
</v>
      </c>
      <c r="V3" s="449" t="str">
        <f ca="1"/>
        <v xml:space="preserve">
</v>
      </c>
      <c r="W3" s="449" t="str">
        <f ca="1"/>
        <v xml:space="preserve">
</v>
      </c>
      <c r="X3" s="449" t="str">
        <f ca="1"/>
        <v xml:space="preserve">
</v>
      </c>
      <c r="Y3" s="449" t="str">
        <f ca="1"/>
        <v xml:space="preserve">
</v>
      </c>
      <c r="Z3" s="449" t="str">
        <f ca="1"/>
        <v xml:space="preserve">
</v>
      </c>
      <c r="AA3" s="449" t="str">
        <f ca="1"/>
        <v xml:space="preserve">
</v>
      </c>
      <c r="AB3" s="449" t="str">
        <f ca="1"/>
        <v xml:space="preserve">
</v>
      </c>
      <c r="AC3" s="449" t="str">
        <f ca="1"/>
        <v xml:space="preserve">
</v>
      </c>
      <c r="AD3" s="449" t="str">
        <f ca="1"/>
        <v xml:space="preserve">
</v>
      </c>
      <c r="AE3" s="449" t="str">
        <f ca="1"/>
        <v xml:space="preserve">
</v>
      </c>
      <c r="AF3" s="449" t="str">
        <f ca="1"/>
        <v xml:space="preserve">
</v>
      </c>
      <c r="AG3" s="449" t="str">
        <f ca="1"/>
        <v xml:space="preserve">
</v>
      </c>
      <c r="AH3" s="449" t="str">
        <f ca="1"/>
        <v xml:space="preserve">
</v>
      </c>
      <c r="AI3" s="449" t="str">
        <f ca="1"/>
        <v xml:space="preserve">
</v>
      </c>
      <c r="AJ3" s="449" t="str">
        <f ca="1"/>
        <v xml:space="preserve">
</v>
      </c>
      <c r="AK3" s="449" t="str">
        <f ca="1"/>
        <v xml:space="preserve">
</v>
      </c>
      <c r="AL3" s="449" t="str">
        <f ca="1"/>
        <v xml:space="preserve">
</v>
      </c>
      <c r="AM3" s="297"/>
      <c r="AN3" s="297"/>
      <c r="AO3" s="297"/>
    </row>
    <row r="4" spans="1:41" ht="15.75" thickTop="1">
      <c r="A4" s="8" t="str" cm="1">
        <f t="array" aca="1" ref="A4" ca="1">IFERROR(INDEX(ADMIN!$K$6:$K$258,SMALL(IF(ADMIN!$G$6:$G$258=$J$1,ROW(ADMIN!$G$6:$G$258)-ROW(ADMIN!$G$6)+1),ROWS($A$1:A1))),"")</f>
        <v>France-England</v>
      </c>
      <c r="B4" s="8" t="str">
        <f ca="1">A4&amp;CHAR(10)&amp;C4</f>
        <v>France-England
 (4-6)</v>
      </c>
      <c r="C4" s="8" t="str" cm="1">
        <f t="array" aca="1" ref="C4" ca="1">IFERROR(IF(INDEX(ADMIN!$M$6:$M$258,SMALL(IF(ADMIN!$G$6:$G$258=$J$1,ROW(ADMIN!$G$6:$G$258)-ROW(ADMIN!$G$6)+1),ROWS($A$1:A1)))="-",""," ("&amp;INDEX(ADMIN!$M$6:$M$258,SMALL(IF(ADMIN!$G$6:$G$258=$J$1,ROW(ADMIN!$G$6:$G$258)-ROW(ADMIN!$G$6)+1),ROWS($A$1:A1)))&amp;")"),"")</f>
        <v xml:space="preserve"> (4-6)</v>
      </c>
      <c r="D4" s="8" t="str" cm="1">
        <f t="array" aca="1" ref="D4" ca="1">IFERROR(IF($J$1&gt;=20,INDEX(ADMIN!$C$6:$C$258,SMALL(IF(ADMIN!$G$6:$G$258=$J$1,ROW(ADMIN!$G$6:$G$258)-ROW(ADMIN!$G$6)+1),ROWS($D$1:D1))),""),"")</f>
        <v>England-France</v>
      </c>
      <c r="E4" s="19">
        <v>9</v>
      </c>
      <c r="F4" s="406" t="str" cm="1">
        <f t="array" ref="F4">IFERROR(INDEX(Rango_Admin_DailyPred_Primera,1,E4),"-")</f>
        <v xml:space="preserve">Ruben Esseling </v>
      </c>
      <c r="G4" s="429" t="str">
        <f ca="1">IFERROR(VLOOKUP(G$2,Rango_Admin_DailyPred,MATCH($F4,Rango_Admin_DailyPred_Primera,0),0),"-")</f>
        <v>Germany-Brazil·2|1-3</v>
      </c>
      <c r="H4" s="429" t="str">
        <f ca="1">IFERROR(VLOOKUP(H$2,Rango_Admin_DailyPred,MATCH($F4,Rango_Admin_DailyPred_Primera,0),0),"-")</f>
        <v>Spain-Switzerland·1|3-1</v>
      </c>
      <c r="I4" s="429" t="str">
        <f ca="1">IFERROR(VLOOKUP(I$2,Rango_Admin_DailyPred,MATCH($F4,Rango_Admin_DailyPred_Primera,0),0),"-")</f>
        <v>Spain</v>
      </c>
      <c r="J4" s="429" t="str">
        <f ca="1">IFERROR(VLOOKUP(J$2,Rango_Admin_DailyPred,MATCH($F4,Rango_Admin_DailyPred_Primera,0),0),"-")</f>
        <v>Switzerland</v>
      </c>
      <c r="K4" s="429" t="str">
        <f ca="1">IFERROR(VLOOKUP(K$2,Rango_Admin_DailyPred,MATCH($F4,Rango_Admin_DailyPred_Primera,0),0),"-")</f>
        <v>Brazil</v>
      </c>
      <c r="L4" s="429" t="str">
        <f ca="1">IFERROR(VLOOKUP(L$2,Rango_Admin_DailyPred,MATCH($F4,Rango_Admin_DailyPred_Primera,0),0),"-")</f>
        <v>Mbappé</v>
      </c>
      <c r="M4" s="429" t="str">
        <f ca="1">IFERROR(VLOOKUP(M$2,Rango_Admin_DailyPred,MATCH($F4,Rango_Admin_DailyPred_Primera,0),0),"-")</f>
        <v>harry kane</v>
      </c>
      <c r="N4" s="429" t="str">
        <f ca="1">IFERROR(VLOOKUP(N$2,Rango_Admin_DailyPred,MATCH($F4,Rango_Admin_DailyPred_Primera,0),0),"-")</f>
        <v>Julian alvarez</v>
      </c>
      <c r="O4" s="429" t="str">
        <f ca="1">IFERROR(VLOOKUP(O$2,Rango_Admin_DailyPred,MATCH($F4,Rango_Admin_DailyPred_Primera,0),0),"-")</f>
        <v>erling haaland</v>
      </c>
      <c r="P4" s="429" t="str">
        <f ca="1">IFERROR(VLOOKUP(P$2,Rango_Admin_DailyPred,MATCH($F4,Rango_Admin_DailyPred_Primera,0),0),"-")</f>
        <v>vinicius junior</v>
      </c>
      <c r="Q4" s="429" t="str">
        <f ca="1">IFERROR(VLOOKUP(Q$2,Rango_Admin_DailyPred,MATCH($F4,Rango_Admin_DailyPred_Primera,0),0),"-")</f>
        <v>lamine yamal</v>
      </c>
      <c r="R4" s="429" t="str">
        <f ca="1">IFERROR(VLOOKUP(R$2,Rango_Admin_DailyPred,MATCH($F4,Rango_Admin_DailyPred_Primera,0),0),"-")</f>
        <v>-</v>
      </c>
      <c r="S4" s="429" t="str">
        <f ca="1">IFERROR(VLOOKUP(S$2,Rango_Admin_DailyPred,MATCH($F4,Rango_Admin_DailyPred_Primera,0),0),"-")</f>
        <v>-</v>
      </c>
      <c r="T4" s="429" t="str">
        <f ca="1">IFERROR(VLOOKUP(T$2,Rango_Admin_DailyPred,MATCH($F4,Rango_Admin_DailyPred_Primera,0),0),"-")</f>
        <v>-</v>
      </c>
      <c r="U4" s="429" t="str">
        <f ca="1">IFERROR(VLOOKUP(U$2,Rango_Admin_DailyPred,MATCH($F4,Rango_Admin_DailyPred_Primera,0),0),"-")</f>
        <v>-</v>
      </c>
      <c r="V4" s="429" t="str">
        <f ca="1">IFERROR(VLOOKUP(V$2,Rango_Admin_DailyPred,MATCH($F4,Rango_Admin_DailyPred_Primera,0),0),"-")</f>
        <v>-</v>
      </c>
      <c r="W4" s="429" t="str">
        <f ca="1">IFERROR(VLOOKUP(W$2,Rango_Admin_DailyPred,MATCH($F4,Rango_Admin_DailyPred_Primera,0),0),"-")</f>
        <v>-</v>
      </c>
      <c r="X4" s="429" t="str">
        <f ca="1">IFERROR(VLOOKUP(X$2,Rango_Admin_DailyPred,MATCH($F4,Rango_Admin_DailyPred_Primera,0),0),"-")</f>
        <v>-</v>
      </c>
      <c r="Y4" s="429" t="str">
        <f ca="1">IFERROR(VLOOKUP(Y$2,Rango_Admin_DailyPred,MATCH($F4,Rango_Admin_DailyPred_Primera,0),0),"-")</f>
        <v>-</v>
      </c>
      <c r="Z4" s="429" t="str">
        <f ca="1">IFERROR(VLOOKUP(Z$2,Rango_Admin_DailyPred,MATCH($F4,Rango_Admin_DailyPred_Primera,0),0),"-")</f>
        <v>-</v>
      </c>
      <c r="AA4" s="429" t="str">
        <f ca="1">IFERROR(VLOOKUP(AA$2,Rango_Admin_DailyPred,MATCH($F4,Rango_Admin_DailyPred_Primera,0),0),"-")</f>
        <v>-</v>
      </c>
      <c r="AB4" s="429" t="str">
        <f ca="1">IFERROR(VLOOKUP(AB$2,Rango_Admin_DailyPred,MATCH($F4,Rango_Admin_DailyPred_Primera,0),0),"-")</f>
        <v>-</v>
      </c>
      <c r="AC4" s="429" t="str">
        <f ca="1">IFERROR(VLOOKUP(AC$2,Rango_Admin_DailyPred,MATCH($F4,Rango_Admin_DailyPred_Primera,0),0),"-")</f>
        <v>-</v>
      </c>
      <c r="AD4" s="429" t="str">
        <f ca="1">IFERROR(VLOOKUP(AD$2,Rango_Admin_DailyPred,MATCH($F4,Rango_Admin_DailyPred_Primera,0),0),"-")</f>
        <v>-</v>
      </c>
      <c r="AE4" s="429" t="str">
        <f ca="1">IFERROR(VLOOKUP(AE$2,Rango_Admin_DailyPred,MATCH($F4,Rango_Admin_DailyPred_Primera,0),0),"-")</f>
        <v>-</v>
      </c>
      <c r="AF4" s="429" t="str">
        <f ca="1">IFERROR(VLOOKUP(AF$2,Rango_Admin_DailyPred,MATCH($F4,Rango_Admin_DailyPred_Primera,0),0),"-")</f>
        <v>-</v>
      </c>
      <c r="AG4" s="429" t="str">
        <f ca="1">IFERROR(VLOOKUP(AG$2,Rango_Admin_DailyPred,MATCH($F4,Rango_Admin_DailyPred_Primera,0),0),"-")</f>
        <v>-</v>
      </c>
      <c r="AH4" s="429" t="str">
        <f ca="1">IFERROR(VLOOKUP(AH$2,Rango_Admin_DailyPred,MATCH($F4,Rango_Admin_DailyPred_Primera,0),0),"-")</f>
        <v>-</v>
      </c>
      <c r="AI4" s="429" t="str">
        <f ca="1">IFERROR(VLOOKUP(AI$2,Rango_Admin_DailyPred,MATCH($F4,Rango_Admin_DailyPred_Primera,0),0),"-")</f>
        <v>-</v>
      </c>
      <c r="AJ4" s="429" t="str">
        <f ca="1">IFERROR(VLOOKUP(AJ$2,Rango_Admin_DailyPred,MATCH($F4,Rango_Admin_DailyPred_Primera,0),0),"-")</f>
        <v>-</v>
      </c>
      <c r="AK4" s="429" t="str">
        <f ca="1">IFERROR(VLOOKUP(AK$2,Rango_Admin_DailyPred,MATCH($F4,Rango_Admin_DailyPred_Primera,0),0),"-")</f>
        <v>-</v>
      </c>
      <c r="AL4" s="429" t="str">
        <f ca="1">IFERROR(VLOOKUP(AL$2,Rango_Admin_DailyPred,MATCH($F4,Rango_Admin_DailyPred_Primera,0),0),"-")</f>
        <v>-</v>
      </c>
      <c r="AM4" s="297"/>
      <c r="AN4" s="297"/>
      <c r="AO4" s="297"/>
    </row>
    <row r="5" spans="1:41">
      <c r="A5" s="8" t="str" cm="1">
        <f t="array" aca="1" ref="A5" ca="1">IFERROR(INDEX(ADMIN!$K$6:$K$258,SMALL(IF(ADMIN!$G$6:$G$258=$J$1,ROW(ADMIN!$G$6:$G$258)-ROW(ADMIN!$G$6)+1),ROWS($A$1:A2))),"")</f>
        <v>Spain-Argentina</v>
      </c>
      <c r="B5" s="8" t="str">
        <f t="shared" ref="B5:B35" ca="1" si="0">A5&amp;CHAR(10)&amp;C5</f>
        <v>Spain-Argentina
 (1-0)</v>
      </c>
      <c r="C5" s="8" t="str" cm="1">
        <f t="array" aca="1" ref="C5" ca="1">IFERROR(IF(INDEX(ADMIN!$M$6:$M$258,SMALL(IF(ADMIN!$G$6:$G$258=$J$1,ROW(ADMIN!$G$6:$G$258)-ROW(ADMIN!$G$6)+1),ROWS($A$1:A2)))="-", "", " ("&amp;INDEX(ADMIN!$M$6:$M$258,SMALL(IF(ADMIN!$G$6:$G$258=$J$1,ROW(ADMIN!$G$6:$G$258)-ROW(ADMIN!$G$6)+1),ROWS($A$1:A2)))&amp;")"),"")</f>
        <v xml:space="preserve"> (1-0)</v>
      </c>
      <c r="D5" s="8" t="str" cm="1">
        <f t="array" aca="1" ref="D5" ca="1">IFERROR(IF($J$1&gt;=20,INDEX(ADMIN!$C$6:$C$258,SMALL(IF(ADMIN!$G$6:$G$258=$J$1,ROW(ADMIN!$G$6:$G$258)-ROW(ADMIN!$G$6)+1),ROWS($D$1:D2))),""),"")</f>
        <v>Argentina-Spain</v>
      </c>
      <c r="E5" s="19">
        <f>+E4+3</f>
        <v>12</v>
      </c>
      <c r="F5" s="406" t="str" cm="1">
        <f t="array" ref="F5">IFERROR(INDEX(Rango_Admin_DailyPred_Primera,1,E5),"-")</f>
        <v>Kasper Braamskamp</v>
      </c>
      <c r="G5" s="429" t="str">
        <f ca="1">IFERROR(VLOOKUP(G$2,Rango_Admin_DailyPred,MATCH($F5,Rango_Admin_DailyPred_Primera,0),0),"-")</f>
        <v>Spain-Croatia·X|2-2</v>
      </c>
      <c r="H5" s="429" t="str">
        <f ca="1">IFERROR(VLOOKUP(H$2,Rango_Admin_DailyPred,MATCH($F5,Rango_Admin_DailyPred_Primera,0),0),"-")</f>
        <v>Netherlands-Argentina·X|2-2</v>
      </c>
      <c r="I5" s="429" t="str">
        <f ca="1">IFERROR(VLOOKUP(I$2,Rango_Admin_DailyPred,MATCH($F5,Rango_Admin_DailyPred_Primera,0),0),"-")</f>
        <v>Netherlands</v>
      </c>
      <c r="J5" s="429" t="str">
        <f ca="1">IFERROR(VLOOKUP(J$2,Rango_Admin_DailyPred,MATCH($F5,Rango_Admin_DailyPred_Primera,0),0),"-")</f>
        <v>Argentina</v>
      </c>
      <c r="K5" s="429" t="str">
        <f ca="1">IFERROR(VLOOKUP(K$2,Rango_Admin_DailyPred,MATCH($F5,Rango_Admin_DailyPred_Primera,0),0),"-")</f>
        <v>Spain</v>
      </c>
      <c r="L5" s="429" t="str">
        <f ca="1">IFERROR(VLOOKUP(L$2,Rango_Admin_DailyPred,MATCH($F5,Rango_Admin_DailyPred_Primera,0),0),"-")</f>
        <v>Lamine Yamal</v>
      </c>
      <c r="M5" s="429" t="str">
        <f ca="1">IFERROR(VLOOKUP(M$2,Rango_Admin_DailyPred,MATCH($F5,Rango_Admin_DailyPred_Primera,0),0),"-")</f>
        <v>Kylian Mbappé</v>
      </c>
      <c r="N5" s="429" t="str">
        <f ca="1">IFERROR(VLOOKUP(N$2,Rango_Admin_DailyPred,MATCH($F5,Rango_Admin_DailyPred_Primera,0),0),"-")</f>
        <v>Cody Gakpo</v>
      </c>
      <c r="O5" s="429" t="str">
        <f ca="1">IFERROR(VLOOKUP(O$2,Rango_Admin_DailyPred,MATCH($F5,Rango_Admin_DailyPred_Primera,0),0),"-")</f>
        <v>Kylian Mbappé</v>
      </c>
      <c r="P5" s="429" t="str">
        <f ca="1">IFERROR(VLOOKUP(P$2,Rango_Admin_DailyPred,MATCH($F5,Rango_Admin_DailyPred_Primera,0),0),"-")</f>
        <v>Lamine Yamal</v>
      </c>
      <c r="Q5" s="429" t="str">
        <f ca="1">IFERROR(VLOOKUP(Q$2,Rango_Admin_DailyPred,MATCH($F5,Rango_Admin_DailyPred_Primera,0),0),"-")</f>
        <v>Erling Haaland</v>
      </c>
      <c r="R5" s="429" t="str">
        <f ca="1">IFERROR(VLOOKUP(R$2,Rango_Admin_DailyPred,MATCH($F5,Rango_Admin_DailyPred_Primera,0),0),"-")</f>
        <v>-</v>
      </c>
      <c r="S5" s="429" t="str">
        <f ca="1">IFERROR(VLOOKUP(S$2,Rango_Admin_DailyPred,MATCH($F5,Rango_Admin_DailyPred_Primera,0),0),"-")</f>
        <v>-</v>
      </c>
      <c r="T5" s="429" t="str">
        <f ca="1">IFERROR(VLOOKUP(T$2,Rango_Admin_DailyPred,MATCH($F5,Rango_Admin_DailyPred_Primera,0),0),"-")</f>
        <v>-</v>
      </c>
      <c r="U5" s="429" t="str">
        <f ca="1">IFERROR(VLOOKUP(U$2,Rango_Admin_DailyPred,MATCH($F5,Rango_Admin_DailyPred_Primera,0),0),"-")</f>
        <v>-</v>
      </c>
      <c r="V5" s="429" t="str">
        <f ca="1">IFERROR(VLOOKUP(V$2,Rango_Admin_DailyPred,MATCH($F5,Rango_Admin_DailyPred_Primera,0),0),"-")</f>
        <v>-</v>
      </c>
      <c r="W5" s="429" t="str">
        <f ca="1">IFERROR(VLOOKUP(W$2,Rango_Admin_DailyPred,MATCH($F5,Rango_Admin_DailyPred_Primera,0),0),"-")</f>
        <v>-</v>
      </c>
      <c r="X5" s="429" t="str">
        <f ca="1">IFERROR(VLOOKUP(X$2,Rango_Admin_DailyPred,MATCH($F5,Rango_Admin_DailyPred_Primera,0),0),"-")</f>
        <v>-</v>
      </c>
      <c r="Y5" s="429" t="str">
        <f ca="1">IFERROR(VLOOKUP(Y$2,Rango_Admin_DailyPred,MATCH($F5,Rango_Admin_DailyPred_Primera,0),0),"-")</f>
        <v>-</v>
      </c>
      <c r="Z5" s="429" t="str">
        <f ca="1">IFERROR(VLOOKUP(Z$2,Rango_Admin_DailyPred,MATCH($F5,Rango_Admin_DailyPred_Primera,0),0),"-")</f>
        <v>-</v>
      </c>
      <c r="AA5" s="429" t="str">
        <f ca="1">IFERROR(VLOOKUP(AA$2,Rango_Admin_DailyPred,MATCH($F5,Rango_Admin_DailyPred_Primera,0),0),"-")</f>
        <v>-</v>
      </c>
      <c r="AB5" s="429" t="str">
        <f ca="1">IFERROR(VLOOKUP(AB$2,Rango_Admin_DailyPred,MATCH($F5,Rango_Admin_DailyPred_Primera,0),0),"-")</f>
        <v>-</v>
      </c>
      <c r="AC5" s="429" t="str">
        <f ca="1">IFERROR(VLOOKUP(AC$2,Rango_Admin_DailyPred,MATCH($F5,Rango_Admin_DailyPred_Primera,0),0),"-")</f>
        <v>-</v>
      </c>
      <c r="AD5" s="429" t="str">
        <f ca="1">IFERROR(VLOOKUP(AD$2,Rango_Admin_DailyPred,MATCH($F5,Rango_Admin_DailyPred_Primera,0),0),"-")</f>
        <v>-</v>
      </c>
      <c r="AE5" s="429" t="str">
        <f ca="1">IFERROR(VLOOKUP(AE$2,Rango_Admin_DailyPred,MATCH($F5,Rango_Admin_DailyPred_Primera,0),0),"-")</f>
        <v>-</v>
      </c>
      <c r="AF5" s="429" t="str">
        <f ca="1">IFERROR(VLOOKUP(AF$2,Rango_Admin_DailyPred,MATCH($F5,Rango_Admin_DailyPred_Primera,0),0),"-")</f>
        <v>-</v>
      </c>
      <c r="AG5" s="429" t="str">
        <f ca="1">IFERROR(VLOOKUP(AG$2,Rango_Admin_DailyPred,MATCH($F5,Rango_Admin_DailyPred_Primera,0),0),"-")</f>
        <v>-</v>
      </c>
      <c r="AH5" s="429" t="str">
        <f ca="1">IFERROR(VLOOKUP(AH$2,Rango_Admin_DailyPred,MATCH($F5,Rango_Admin_DailyPred_Primera,0),0),"-")</f>
        <v>-</v>
      </c>
      <c r="AI5" s="429" t="str">
        <f ca="1">IFERROR(VLOOKUP(AI$2,Rango_Admin_DailyPred,MATCH($F5,Rango_Admin_DailyPred_Primera,0),0),"-")</f>
        <v>-</v>
      </c>
      <c r="AJ5" s="429" t="str">
        <f ca="1">IFERROR(VLOOKUP(AJ$2,Rango_Admin_DailyPred,MATCH($F5,Rango_Admin_DailyPred_Primera,0),0),"-")</f>
        <v>-</v>
      </c>
      <c r="AK5" s="429" t="str">
        <f ca="1">IFERROR(VLOOKUP(AK$2,Rango_Admin_DailyPred,MATCH($F5,Rango_Admin_DailyPred_Primera,0),0),"-")</f>
        <v>-</v>
      </c>
      <c r="AL5" s="429" t="str">
        <f ca="1">IFERROR(VLOOKUP(AL$2,Rango_Admin_DailyPred,MATCH($F5,Rango_Admin_DailyPred_Primera,0),0),"-")</f>
        <v>-</v>
      </c>
      <c r="AM5" s="297"/>
      <c r="AN5" s="297"/>
      <c r="AO5" s="297"/>
    </row>
    <row r="6" spans="1:41">
      <c r="A6" s="8" t="str" cm="1">
        <f t="array" aca="1" ref="A6" ca="1">IFERROR(INDEX(ADMIN!$K$6:$K$258,SMALL(IF(ADMIN!$G$6:$G$258=$J$1,ROW(ADMIN!$G$6:$G$258)-ROW(ADMIN!$G$6)+1),ROWS($A$1:A3))),"")</f>
        <v>🥇Winner</v>
      </c>
      <c r="B6" s="8" t="str">
        <f t="shared" ca="1" si="0"/>
        <v>🥇Winner
 (Spain)</v>
      </c>
      <c r="C6" s="8" t="str" cm="1">
        <f t="array" aca="1" ref="C6" ca="1">IFERROR(IF(INDEX(ADMIN!$M$6:$M$258,SMALL(IF(ADMIN!$G$6:$G$258=$J$1,ROW(ADMIN!$G$6:$G$258)-ROW(ADMIN!$G$6)+1),ROWS($A$1:A3)))="-", "", " ("&amp;INDEX(ADMIN!$M$6:$M$258,SMALL(IF(ADMIN!$G$6:$G$258=$J$1,ROW(ADMIN!$G$6:$G$258)-ROW(ADMIN!$G$6)+1),ROWS($A$1:A3)))&amp;")"),"")</f>
        <v xml:space="preserve"> (Spain)</v>
      </c>
      <c r="D6" s="8" cm="1">
        <f t="array" aca="1" ref="D6" ca="1">IFERROR(IF($J$1&gt;=20,INDEX(ADMIN!$C$6:$C$258,SMALL(IF(ADMIN!$G$6:$G$258=$J$1,ROW(ADMIN!$G$6:$G$258)-ROW(ADMIN!$G$6)+1),ROWS($D$1:D3))),""),"")</f>
        <v>0</v>
      </c>
      <c r="E6" s="19">
        <f t="shared" ref="E6:E69" si="1">+E5+3</f>
        <v>15</v>
      </c>
      <c r="F6" s="406" t="str" cm="1">
        <f t="array" ref="F6">IFERROR(INDEX(Rango_Admin_DailyPred_Primera,1,E6),"-")</f>
        <v>Stefan Kempers</v>
      </c>
      <c r="G6" s="429" t="str">
        <f ca="1">IFERROR(VLOOKUP(G$2,Rango_Admin_DailyPred,MATCH($F6,Rango_Admin_DailyPred_Primera,0),0),"-")</f>
        <v>Austria-Portugal·1|2-1</v>
      </c>
      <c r="H6" s="429" t="str">
        <f ca="1">IFERROR(VLOOKUP(H$2,Rango_Admin_DailyPred,MATCH($F6,Rango_Admin_DailyPred_Primera,0),0),"-")</f>
        <v>Iran-Brazil·1|2-1</v>
      </c>
      <c r="I6" s="429" t="str">
        <f ca="1">IFERROR(VLOOKUP(I$2,Rango_Admin_DailyPred,MATCH($F6,Rango_Admin_DailyPred_Primera,0),0),"-")</f>
        <v>Iran</v>
      </c>
      <c r="J6" s="429" t="str">
        <f ca="1">IFERROR(VLOOKUP(J$2,Rango_Admin_DailyPred,MATCH($F6,Rango_Admin_DailyPred_Primera,0),0),"-")</f>
        <v>Brazil</v>
      </c>
      <c r="K6" s="429" t="str">
        <f ca="1">IFERROR(VLOOKUP(K$2,Rango_Admin_DailyPred,MATCH($F6,Rango_Admin_DailyPred_Primera,0),0),"-")</f>
        <v>Austria</v>
      </c>
      <c r="L6" s="429" t="str">
        <f ca="1">IFERROR(VLOOKUP(L$2,Rango_Admin_DailyPred,MATCH($F6,Rango_Admin_DailyPred_Primera,0),0),"-")</f>
        <v>Mbappé</v>
      </c>
      <c r="M6" s="429" t="str">
        <f ca="1">IFERROR(VLOOKUP(M$2,Rango_Admin_DailyPred,MATCH($F6,Rango_Admin_DailyPred_Primera,0),0),"-")</f>
        <v>Harry Kane</v>
      </c>
      <c r="N6" s="429" t="str">
        <f ca="1">IFERROR(VLOOKUP(N$2,Rango_Admin_DailyPred,MATCH($F6,Rango_Admin_DailyPred_Primera,0),0),"-")</f>
        <v>Vinícius Júnior</v>
      </c>
      <c r="O6" s="429" t="str">
        <f ca="1">IFERROR(VLOOKUP(O$2,Rango_Admin_DailyPred,MATCH($F6,Rango_Admin_DailyPred_Primera,0),0),"-")</f>
        <v>Kylian Mbappé</v>
      </c>
      <c r="P6" s="429" t="str">
        <f ca="1">IFERROR(VLOOKUP(P$2,Rango_Admin_DailyPred,MATCH($F6,Rango_Admin_DailyPred_Primera,0),0),"-")</f>
        <v>Lamine Yamal</v>
      </c>
      <c r="Q6" s="429" t="str">
        <f ca="1">IFERROR(VLOOKUP(Q$2,Rango_Admin_DailyPred,MATCH($F6,Rango_Admin_DailyPred_Primera,0),0),"-")</f>
        <v>Vinícius Júnior</v>
      </c>
      <c r="R6" s="429" t="str">
        <f ca="1">IFERROR(VLOOKUP(R$2,Rango_Admin_DailyPred,MATCH($F6,Rango_Admin_DailyPred_Primera,0),0),"-")</f>
        <v>-</v>
      </c>
      <c r="S6" s="429" t="str">
        <f ca="1">IFERROR(VLOOKUP(S$2,Rango_Admin_DailyPred,MATCH($F6,Rango_Admin_DailyPred_Primera,0),0),"-")</f>
        <v>-</v>
      </c>
      <c r="T6" s="429" t="str">
        <f ca="1">IFERROR(VLOOKUP(T$2,Rango_Admin_DailyPred,MATCH($F6,Rango_Admin_DailyPred_Primera,0),0),"-")</f>
        <v>-</v>
      </c>
      <c r="U6" s="429" t="str">
        <f ca="1">IFERROR(VLOOKUP(U$2,Rango_Admin_DailyPred,MATCH($F6,Rango_Admin_DailyPred_Primera,0),0),"-")</f>
        <v>-</v>
      </c>
      <c r="V6" s="429" t="str">
        <f ca="1">IFERROR(VLOOKUP(V$2,Rango_Admin_DailyPred,MATCH($F6,Rango_Admin_DailyPred_Primera,0),0),"-")</f>
        <v>-</v>
      </c>
      <c r="W6" s="429" t="str">
        <f ca="1">IFERROR(VLOOKUP(W$2,Rango_Admin_DailyPred,MATCH($F6,Rango_Admin_DailyPred_Primera,0),0),"-")</f>
        <v>-</v>
      </c>
      <c r="X6" s="429" t="str">
        <f ca="1">IFERROR(VLOOKUP(X$2,Rango_Admin_DailyPred,MATCH($F6,Rango_Admin_DailyPred_Primera,0),0),"-")</f>
        <v>-</v>
      </c>
      <c r="Y6" s="429" t="str">
        <f ca="1">IFERROR(VLOOKUP(Y$2,Rango_Admin_DailyPred,MATCH($F6,Rango_Admin_DailyPred_Primera,0),0),"-")</f>
        <v>-</v>
      </c>
      <c r="Z6" s="429" t="str">
        <f ca="1">IFERROR(VLOOKUP(Z$2,Rango_Admin_DailyPred,MATCH($F6,Rango_Admin_DailyPred_Primera,0),0),"-")</f>
        <v>-</v>
      </c>
      <c r="AA6" s="429" t="str">
        <f ca="1">IFERROR(VLOOKUP(AA$2,Rango_Admin_DailyPred,MATCH($F6,Rango_Admin_DailyPred_Primera,0),0),"-")</f>
        <v>-</v>
      </c>
      <c r="AB6" s="429" t="str">
        <f ca="1">IFERROR(VLOOKUP(AB$2,Rango_Admin_DailyPred,MATCH($F6,Rango_Admin_DailyPred_Primera,0),0),"-")</f>
        <v>-</v>
      </c>
      <c r="AC6" s="429" t="str">
        <f ca="1">IFERROR(VLOOKUP(AC$2,Rango_Admin_DailyPred,MATCH($F6,Rango_Admin_DailyPred_Primera,0),0),"-")</f>
        <v>-</v>
      </c>
      <c r="AD6" s="429" t="str">
        <f ca="1">IFERROR(VLOOKUP(AD$2,Rango_Admin_DailyPred,MATCH($F6,Rango_Admin_DailyPred_Primera,0),0),"-")</f>
        <v>-</v>
      </c>
      <c r="AE6" s="429" t="str">
        <f ca="1">IFERROR(VLOOKUP(AE$2,Rango_Admin_DailyPred,MATCH($F6,Rango_Admin_DailyPred_Primera,0),0),"-")</f>
        <v>-</v>
      </c>
      <c r="AF6" s="429" t="str">
        <f ca="1">IFERROR(VLOOKUP(AF$2,Rango_Admin_DailyPred,MATCH($F6,Rango_Admin_DailyPred_Primera,0),0),"-")</f>
        <v>-</v>
      </c>
      <c r="AG6" s="429" t="str">
        <f ca="1">IFERROR(VLOOKUP(AG$2,Rango_Admin_DailyPred,MATCH($F6,Rango_Admin_DailyPred_Primera,0),0),"-")</f>
        <v>-</v>
      </c>
      <c r="AH6" s="429" t="str">
        <f ca="1">IFERROR(VLOOKUP(AH$2,Rango_Admin_DailyPred,MATCH($F6,Rango_Admin_DailyPred_Primera,0),0),"-")</f>
        <v>-</v>
      </c>
      <c r="AI6" s="429" t="str">
        <f ca="1">IFERROR(VLOOKUP(AI$2,Rango_Admin_DailyPred,MATCH($F6,Rango_Admin_DailyPred_Primera,0),0),"-")</f>
        <v>-</v>
      </c>
      <c r="AJ6" s="429" t="str">
        <f ca="1">IFERROR(VLOOKUP(AJ$2,Rango_Admin_DailyPred,MATCH($F6,Rango_Admin_DailyPred_Primera,0),0),"-")</f>
        <v>-</v>
      </c>
      <c r="AK6" s="429" t="str">
        <f ca="1">IFERROR(VLOOKUP(AK$2,Rango_Admin_DailyPred,MATCH($F6,Rango_Admin_DailyPred_Primera,0),0),"-")</f>
        <v>-</v>
      </c>
      <c r="AL6" s="429" t="str">
        <f ca="1">IFERROR(VLOOKUP(AL$2,Rango_Admin_DailyPred,MATCH($F6,Rango_Admin_DailyPred_Primera,0),0),"-")</f>
        <v>-</v>
      </c>
      <c r="AM6" s="297"/>
      <c r="AN6" s="297"/>
      <c r="AO6" s="297"/>
    </row>
    <row r="7" spans="1:41">
      <c r="A7" s="8" t="str" cm="1">
        <f t="array" aca="1" ref="A7" ca="1">IFERROR(INDEX(ADMIN!$K$6:$K$258,SMALL(IF(ADMIN!$G$6:$G$258=$J$1,ROW(ADMIN!$G$6:$G$258)-ROW(ADMIN!$G$6)+1),ROWS($A$1:A4))),"")</f>
        <v>🥈Runner-up</v>
      </c>
      <c r="B7" s="8" t="str">
        <f t="shared" ca="1" si="0"/>
        <v>🥈Runner-up
 (Argentina)</v>
      </c>
      <c r="C7" s="8" t="str" cm="1">
        <f t="array" aca="1" ref="C7" ca="1">IFERROR(IF(INDEX(ADMIN!$M$6:$M$258,SMALL(IF(ADMIN!$G$6:$G$258=$J$1,ROW(ADMIN!$G$6:$G$258)-ROW(ADMIN!$G$6)+1),ROWS($A$1:A4)))="-", "", " ("&amp;INDEX(ADMIN!$M$6:$M$258,SMALL(IF(ADMIN!$G$6:$G$258=$J$1,ROW(ADMIN!$G$6:$G$258)-ROW(ADMIN!$G$6)+1),ROWS($A$1:A4)))&amp;")"),"")</f>
        <v xml:space="preserve"> (Argentina)</v>
      </c>
      <c r="D7" s="8" cm="1">
        <f t="array" aca="1" ref="D7" ca="1">IFERROR(IF($J$1&gt;=20,INDEX(ADMIN!$C$6:$C$258,SMALL(IF(ADMIN!$G$6:$G$258=$J$1,ROW(ADMIN!$G$6:$G$258)-ROW(ADMIN!$G$6)+1),ROWS($D$1:D4))),""),"")</f>
        <v>0</v>
      </c>
      <c r="E7" s="19">
        <f t="shared" si="1"/>
        <v>18</v>
      </c>
      <c r="F7" s="406" t="str" cm="1">
        <f t="array" ref="F7">IFERROR(INDEX(Rango_Admin_DailyPred_Primera,1,E7),"-")</f>
        <v>Mart-Jan aan het Rot</v>
      </c>
      <c r="G7" s="429" t="str">
        <f ca="1">IFERROR(VLOOKUP(G$2,Rango_Admin_DailyPred,MATCH($F7,Rango_Admin_DailyPred_Primera,0),0),"-")</f>
        <v>Spain-Brazil·1|2-1</v>
      </c>
      <c r="H7" s="429" t="str">
        <f ca="1">IFERROR(VLOOKUP(H$2,Rango_Admin_DailyPred,MATCH($F7,Rango_Admin_DailyPred_Primera,0),0),"-")</f>
        <v>France-Argentina·1|2-1</v>
      </c>
      <c r="I7" s="429" t="str">
        <f ca="1">IFERROR(VLOOKUP(I$2,Rango_Admin_DailyPred,MATCH($F7,Rango_Admin_DailyPred_Primera,0),0),"-")</f>
        <v>France</v>
      </c>
      <c r="J7" s="429" t="str">
        <f ca="1">IFERROR(VLOOKUP(J$2,Rango_Admin_DailyPred,MATCH($F7,Rango_Admin_DailyPred_Primera,0),0),"-")</f>
        <v>Argentina</v>
      </c>
      <c r="K7" s="429" t="str">
        <f ca="1">IFERROR(VLOOKUP(K$2,Rango_Admin_DailyPred,MATCH($F7,Rango_Admin_DailyPred_Primera,0),0),"-")</f>
        <v>Spain</v>
      </c>
      <c r="L7" s="429" t="str">
        <f ca="1">IFERROR(VLOOKUP(L$2,Rango_Admin_DailyPred,MATCH($F7,Rango_Admin_DailyPred_Primera,0),0),"-")</f>
        <v>Mbappé</v>
      </c>
      <c r="M7" s="429" t="str">
        <f ca="1">IFERROR(VLOOKUP(M$2,Rango_Admin_DailyPred,MATCH($F7,Rango_Admin_DailyPred_Primera,0),0),"-")</f>
        <v>Kane</v>
      </c>
      <c r="N7" s="429" t="str">
        <f ca="1">IFERROR(VLOOKUP(N$2,Rango_Admin_DailyPred,MATCH($F7,Rango_Admin_DailyPred_Primera,0),0),"-")</f>
        <v>Alvarez</v>
      </c>
      <c r="O7" s="429" t="str">
        <f ca="1">IFERROR(VLOOKUP(O$2,Rango_Admin_DailyPred,MATCH($F7,Rango_Admin_DailyPred_Primera,0),0),"-")</f>
        <v>Mbappe</v>
      </c>
      <c r="P7" s="429" t="str">
        <f ca="1">IFERROR(VLOOKUP(P$2,Rango_Admin_DailyPred,MATCH($F7,Rango_Admin_DailyPred_Primera,0),0),"-")</f>
        <v>Bruno Fernandes</v>
      </c>
      <c r="Q7" s="429" t="str">
        <f ca="1">IFERROR(VLOOKUP(Q$2,Rango_Admin_DailyPred,MATCH($F7,Rango_Admin_DailyPred_Primera,0),0),"-")</f>
        <v>Kane</v>
      </c>
      <c r="R7" s="429" t="str">
        <f ca="1">IFERROR(VLOOKUP(R$2,Rango_Admin_DailyPred,MATCH($F7,Rango_Admin_DailyPred_Primera,0),0),"-")</f>
        <v>-</v>
      </c>
      <c r="S7" s="429" t="str">
        <f ca="1">IFERROR(VLOOKUP(S$2,Rango_Admin_DailyPred,MATCH($F7,Rango_Admin_DailyPred_Primera,0),0),"-")</f>
        <v>-</v>
      </c>
      <c r="T7" s="429" t="str">
        <f ca="1">IFERROR(VLOOKUP(T$2,Rango_Admin_DailyPred,MATCH($F7,Rango_Admin_DailyPred_Primera,0),0),"-")</f>
        <v>-</v>
      </c>
      <c r="U7" s="429" t="str">
        <f ca="1">IFERROR(VLOOKUP(U$2,Rango_Admin_DailyPred,MATCH($F7,Rango_Admin_DailyPred_Primera,0),0),"-")</f>
        <v>-</v>
      </c>
      <c r="V7" s="429" t="str">
        <f ca="1">IFERROR(VLOOKUP(V$2,Rango_Admin_DailyPred,MATCH($F7,Rango_Admin_DailyPred_Primera,0),0),"-")</f>
        <v>-</v>
      </c>
      <c r="W7" s="429" t="str">
        <f ca="1">IFERROR(VLOOKUP(W$2,Rango_Admin_DailyPred,MATCH($F7,Rango_Admin_DailyPred_Primera,0),0),"-")</f>
        <v>-</v>
      </c>
      <c r="X7" s="429" t="str">
        <f ca="1">IFERROR(VLOOKUP(X$2,Rango_Admin_DailyPred,MATCH($F7,Rango_Admin_DailyPred_Primera,0),0),"-")</f>
        <v>-</v>
      </c>
      <c r="Y7" s="429" t="str">
        <f ca="1">IFERROR(VLOOKUP(Y$2,Rango_Admin_DailyPred,MATCH($F7,Rango_Admin_DailyPred_Primera,0),0),"-")</f>
        <v>-</v>
      </c>
      <c r="Z7" s="429" t="str">
        <f ca="1">IFERROR(VLOOKUP(Z$2,Rango_Admin_DailyPred,MATCH($F7,Rango_Admin_DailyPred_Primera,0),0),"-")</f>
        <v>-</v>
      </c>
      <c r="AA7" s="429" t="str">
        <f ca="1">IFERROR(VLOOKUP(AA$2,Rango_Admin_DailyPred,MATCH($F7,Rango_Admin_DailyPred_Primera,0),0),"-")</f>
        <v>-</v>
      </c>
      <c r="AB7" s="429" t="str">
        <f ca="1">IFERROR(VLOOKUP(AB$2,Rango_Admin_DailyPred,MATCH($F7,Rango_Admin_DailyPred_Primera,0),0),"-")</f>
        <v>-</v>
      </c>
      <c r="AC7" s="429" t="str">
        <f ca="1">IFERROR(VLOOKUP(AC$2,Rango_Admin_DailyPred,MATCH($F7,Rango_Admin_DailyPred_Primera,0),0),"-")</f>
        <v>-</v>
      </c>
      <c r="AD7" s="429" t="str">
        <f ca="1">IFERROR(VLOOKUP(AD$2,Rango_Admin_DailyPred,MATCH($F7,Rango_Admin_DailyPred_Primera,0),0),"-")</f>
        <v>-</v>
      </c>
      <c r="AE7" s="429" t="str">
        <f ca="1">IFERROR(VLOOKUP(AE$2,Rango_Admin_DailyPred,MATCH($F7,Rango_Admin_DailyPred_Primera,0),0),"-")</f>
        <v>-</v>
      </c>
      <c r="AF7" s="429" t="str">
        <f ca="1">IFERROR(VLOOKUP(AF$2,Rango_Admin_DailyPred,MATCH($F7,Rango_Admin_DailyPred_Primera,0),0),"-")</f>
        <v>-</v>
      </c>
      <c r="AG7" s="429" t="str">
        <f ca="1">IFERROR(VLOOKUP(AG$2,Rango_Admin_DailyPred,MATCH($F7,Rango_Admin_DailyPred_Primera,0),0),"-")</f>
        <v>-</v>
      </c>
      <c r="AH7" s="429" t="str">
        <f ca="1">IFERROR(VLOOKUP(AH$2,Rango_Admin_DailyPred,MATCH($F7,Rango_Admin_DailyPred_Primera,0),0),"-")</f>
        <v>-</v>
      </c>
      <c r="AI7" s="429" t="str">
        <f ca="1">IFERROR(VLOOKUP(AI$2,Rango_Admin_DailyPred,MATCH($F7,Rango_Admin_DailyPred_Primera,0),0),"-")</f>
        <v>-</v>
      </c>
      <c r="AJ7" s="429" t="str">
        <f ca="1">IFERROR(VLOOKUP(AJ$2,Rango_Admin_DailyPred,MATCH($F7,Rango_Admin_DailyPred_Primera,0),0),"-")</f>
        <v>-</v>
      </c>
      <c r="AK7" s="429" t="str">
        <f ca="1">IFERROR(VLOOKUP(AK$2,Rango_Admin_DailyPred,MATCH($F7,Rango_Admin_DailyPred_Primera,0),0),"-")</f>
        <v>-</v>
      </c>
      <c r="AL7" s="429" t="str">
        <f ca="1">IFERROR(VLOOKUP(AL$2,Rango_Admin_DailyPred,MATCH($F7,Rango_Admin_DailyPred_Primera,0),0),"-")</f>
        <v>-</v>
      </c>
      <c r="AM7" s="297"/>
      <c r="AN7" s="297"/>
      <c r="AO7" s="297"/>
    </row>
    <row r="8" spans="1:41">
      <c r="A8" s="8" t="str" cm="1">
        <f t="array" aca="1" ref="A8" ca="1">IFERROR(INDEX(ADMIN!$K$6:$K$258,SMALL(IF(ADMIN!$G$6:$G$258=$J$1,ROW(ADMIN!$G$6:$G$258)-ROW(ADMIN!$G$6)+1),ROWS($A$1:A5))),"")</f>
        <v>🥉3rd place</v>
      </c>
      <c r="B8" s="8" t="str">
        <f t="shared" ca="1" si="0"/>
        <v>🥉3rd place
 (England)</v>
      </c>
      <c r="C8" s="8" t="str" cm="1">
        <f t="array" aca="1" ref="C8" ca="1">IFERROR(IF(INDEX(ADMIN!$M$6:$M$258,SMALL(IF(ADMIN!$G$6:$G$258=$J$1,ROW(ADMIN!$G$6:$G$258)-ROW(ADMIN!$G$6)+1),ROWS($A$1:A5)))="-", "", " ("&amp;INDEX(ADMIN!$M$6:$M$258,SMALL(IF(ADMIN!$G$6:$G$258=$J$1,ROW(ADMIN!$G$6:$G$258)-ROW(ADMIN!$G$6)+1),ROWS($A$1:A5)))&amp;")"),"")</f>
        <v xml:space="preserve"> (England)</v>
      </c>
      <c r="D8" s="8" cm="1">
        <f t="array" aca="1" ref="D8" ca="1">IFERROR(IF($J$1&gt;=20,INDEX(ADMIN!$C$6:$C$258,SMALL(IF(ADMIN!$G$6:$G$258=$J$1,ROW(ADMIN!$G$6:$G$258)-ROW(ADMIN!$G$6)+1),ROWS($D$1:D5))),""),"")</f>
        <v>0</v>
      </c>
      <c r="E8" s="19">
        <f t="shared" si="1"/>
        <v>21</v>
      </c>
      <c r="F8" s="406" t="str" cm="1">
        <f t="array" ref="F8">IFERROR(INDEX(Rango_Admin_DailyPred_Primera,1,E8),"-")</f>
        <v>Julian Roes</v>
      </c>
      <c r="G8" s="429" t="str">
        <f ca="1">IFERROR(VLOOKUP(G$2,Rango_Admin_DailyPred,MATCH($F8,Rango_Admin_DailyPred_Primera,0),0),"-")</f>
        <v>Spain-England·1|2-0</v>
      </c>
      <c r="H8" s="429" t="str">
        <f ca="1">IFERROR(VLOOKUP(H$2,Rango_Admin_DailyPred,MATCH($F8,Rango_Admin_DailyPred_Primera,0),0),"-")</f>
        <v>France-Portugal·1|2-1</v>
      </c>
      <c r="I8" s="429" t="str">
        <f ca="1">IFERROR(VLOOKUP(I$2,Rango_Admin_DailyPred,MATCH($F8,Rango_Admin_DailyPred_Primera,0),0),"-")</f>
        <v>France</v>
      </c>
      <c r="J8" s="429" t="str">
        <f ca="1">IFERROR(VLOOKUP(J$2,Rango_Admin_DailyPred,MATCH($F8,Rango_Admin_DailyPred_Primera,0),0),"-")</f>
        <v>Portugal</v>
      </c>
      <c r="K8" s="429" t="str">
        <f ca="1">IFERROR(VLOOKUP(K$2,Rango_Admin_DailyPred,MATCH($F8,Rango_Admin_DailyPred_Primera,0),0),"-")</f>
        <v>Spain</v>
      </c>
      <c r="L8" s="429" t="str">
        <f ca="1">IFERROR(VLOOKUP(L$2,Rango_Admin_DailyPred,MATCH($F8,Rango_Admin_DailyPred_Primera,0),0),"-")</f>
        <v>Harry Kane</v>
      </c>
      <c r="M8" s="429" t="str">
        <f ca="1">IFERROR(VLOOKUP(M$2,Rango_Admin_DailyPred,MATCH($F8,Rango_Admin_DailyPred_Primera,0),0),"-")</f>
        <v>Kylian Mbappé</v>
      </c>
      <c r="N8" s="429" t="str">
        <f ca="1">IFERROR(VLOOKUP(N$2,Rango_Admin_DailyPred,MATCH($F8,Rango_Admin_DailyPred_Primera,0),0),"-")</f>
        <v>Ousmane Dembélé</v>
      </c>
      <c r="O8" s="429" t="str">
        <f ca="1">IFERROR(VLOOKUP(O$2,Rango_Admin_DailyPred,MATCH($F8,Rango_Admin_DailyPred_Primera,0),0),"-")</f>
        <v>Kylian Mbappé</v>
      </c>
      <c r="P8" s="429" t="str">
        <f ca="1">IFERROR(VLOOKUP(P$2,Rango_Admin_DailyPred,MATCH($F8,Rango_Admin_DailyPred_Primera,0),0),"-")</f>
        <v>Bruno Fernandes</v>
      </c>
      <c r="Q8" s="429" t="str">
        <f ca="1">IFERROR(VLOOKUP(Q$2,Rango_Admin_DailyPred,MATCH($F8,Rango_Admin_DailyPred_Primera,0),0),"-")</f>
        <v>Harry Kane</v>
      </c>
      <c r="R8" s="429" t="str">
        <f ca="1">IFERROR(VLOOKUP(R$2,Rango_Admin_DailyPred,MATCH($F8,Rango_Admin_DailyPred_Primera,0),0),"-")</f>
        <v>-</v>
      </c>
      <c r="S8" s="429" t="str">
        <f ca="1">IFERROR(VLOOKUP(S$2,Rango_Admin_DailyPred,MATCH($F8,Rango_Admin_DailyPred_Primera,0),0),"-")</f>
        <v>-</v>
      </c>
      <c r="T8" s="429" t="str">
        <f ca="1">IFERROR(VLOOKUP(T$2,Rango_Admin_DailyPred,MATCH($F8,Rango_Admin_DailyPred_Primera,0),0),"-")</f>
        <v>-</v>
      </c>
      <c r="U8" s="429" t="str">
        <f ca="1">IFERROR(VLOOKUP(U$2,Rango_Admin_DailyPred,MATCH($F8,Rango_Admin_DailyPred_Primera,0),0),"-")</f>
        <v>-</v>
      </c>
      <c r="V8" s="429" t="str">
        <f ca="1">IFERROR(VLOOKUP(V$2,Rango_Admin_DailyPred,MATCH($F8,Rango_Admin_DailyPred_Primera,0),0),"-")</f>
        <v>-</v>
      </c>
      <c r="W8" s="429" t="str">
        <f ca="1">IFERROR(VLOOKUP(W$2,Rango_Admin_DailyPred,MATCH($F8,Rango_Admin_DailyPred_Primera,0),0),"-")</f>
        <v>-</v>
      </c>
      <c r="X8" s="429" t="str">
        <f ca="1">IFERROR(VLOOKUP(X$2,Rango_Admin_DailyPred,MATCH($F8,Rango_Admin_DailyPred_Primera,0),0),"-")</f>
        <v>-</v>
      </c>
      <c r="Y8" s="429" t="str">
        <f ca="1">IFERROR(VLOOKUP(Y$2,Rango_Admin_DailyPred,MATCH($F8,Rango_Admin_DailyPred_Primera,0),0),"-")</f>
        <v>-</v>
      </c>
      <c r="Z8" s="429" t="str">
        <f ca="1">IFERROR(VLOOKUP(Z$2,Rango_Admin_DailyPred,MATCH($F8,Rango_Admin_DailyPred_Primera,0),0),"-")</f>
        <v>-</v>
      </c>
      <c r="AA8" s="429" t="str">
        <f ca="1">IFERROR(VLOOKUP(AA$2,Rango_Admin_DailyPred,MATCH($F8,Rango_Admin_DailyPred_Primera,0),0),"-")</f>
        <v>-</v>
      </c>
      <c r="AB8" s="429" t="str">
        <f ca="1">IFERROR(VLOOKUP(AB$2,Rango_Admin_DailyPred,MATCH($F8,Rango_Admin_DailyPred_Primera,0),0),"-")</f>
        <v>-</v>
      </c>
      <c r="AC8" s="429" t="str">
        <f ca="1">IFERROR(VLOOKUP(AC$2,Rango_Admin_DailyPred,MATCH($F8,Rango_Admin_DailyPred_Primera,0),0),"-")</f>
        <v>-</v>
      </c>
      <c r="AD8" s="429" t="str">
        <f ca="1">IFERROR(VLOOKUP(AD$2,Rango_Admin_DailyPred,MATCH($F8,Rango_Admin_DailyPred_Primera,0),0),"-")</f>
        <v>-</v>
      </c>
      <c r="AE8" s="429" t="str">
        <f ca="1">IFERROR(VLOOKUP(AE$2,Rango_Admin_DailyPred,MATCH($F8,Rango_Admin_DailyPred_Primera,0),0),"-")</f>
        <v>-</v>
      </c>
      <c r="AF8" s="429" t="str">
        <f ca="1">IFERROR(VLOOKUP(AF$2,Rango_Admin_DailyPred,MATCH($F8,Rango_Admin_DailyPred_Primera,0),0),"-")</f>
        <v>-</v>
      </c>
      <c r="AG8" s="429" t="str">
        <f ca="1">IFERROR(VLOOKUP(AG$2,Rango_Admin_DailyPred,MATCH($F8,Rango_Admin_DailyPred_Primera,0),0),"-")</f>
        <v>-</v>
      </c>
      <c r="AH8" s="429" t="str">
        <f ca="1">IFERROR(VLOOKUP(AH$2,Rango_Admin_DailyPred,MATCH($F8,Rango_Admin_DailyPred_Primera,0),0),"-")</f>
        <v>-</v>
      </c>
      <c r="AI8" s="429" t="str">
        <f ca="1">IFERROR(VLOOKUP(AI$2,Rango_Admin_DailyPred,MATCH($F8,Rango_Admin_DailyPred_Primera,0),0),"-")</f>
        <v>-</v>
      </c>
      <c r="AJ8" s="429" t="str">
        <f ca="1">IFERROR(VLOOKUP(AJ$2,Rango_Admin_DailyPred,MATCH($F8,Rango_Admin_DailyPred_Primera,0),0),"-")</f>
        <v>-</v>
      </c>
      <c r="AK8" s="429" t="str">
        <f ca="1">IFERROR(VLOOKUP(AK$2,Rango_Admin_DailyPred,MATCH($F8,Rango_Admin_DailyPred_Primera,0),0),"-")</f>
        <v>-</v>
      </c>
      <c r="AL8" s="429" t="str">
        <f ca="1">IFERROR(VLOOKUP(AL$2,Rango_Admin_DailyPred,MATCH($F8,Rango_Admin_DailyPred_Primera,0),0),"-")</f>
        <v>-</v>
      </c>
      <c r="AM8" s="297"/>
      <c r="AN8" s="297"/>
      <c r="AO8" s="297"/>
    </row>
    <row r="9" spans="1:41">
      <c r="A9" s="8" t="str" cm="1">
        <f t="array" aca="1" ref="A9" ca="1">IFERROR(INDEX(ADMIN!$K$6:$K$258,SMALL(IF(ADMIN!$G$6:$G$258=$J$1,ROW(ADMIN!$G$6:$G$258)-ROW(ADMIN!$G$6)+1),ROWS($A$1:A6))),"")</f>
        <v>Golden Boot  (Top Scorer)</v>
      </c>
      <c r="B9" s="8" t="str">
        <f t="shared" ca="1" si="0"/>
        <v>Golden Boot  (Top Scorer)
 (Mbappé)</v>
      </c>
      <c r="C9" s="8" t="str" cm="1">
        <f t="array" aca="1" ref="C9" ca="1">IFERROR(IF(INDEX(ADMIN!$M$6:$M$258,SMALL(IF(ADMIN!$G$6:$G$258=$J$1,ROW(ADMIN!$G$6:$G$258)-ROW(ADMIN!$G$6)+1),ROWS($A$1:A6)))="-", "", " ("&amp;INDEX(ADMIN!$M$6:$M$258,SMALL(IF(ADMIN!$G$6:$G$258=$J$1,ROW(ADMIN!$G$6:$G$258)-ROW(ADMIN!$G$6)+1),ROWS($A$1:A6)))&amp;")"),"")</f>
        <v xml:space="preserve"> (Mbappé)</v>
      </c>
      <c r="D9" s="8" cm="1">
        <f t="array" aca="1" ref="D9" ca="1">IFERROR(IF($J$1&gt;=20,INDEX(ADMIN!$C$6:$C$258,SMALL(IF(ADMIN!$G$6:$G$258=$J$1,ROW(ADMIN!$G$6:$G$258)-ROW(ADMIN!$G$6)+1),ROWS($D$1:D6))),""),"")</f>
        <v>0</v>
      </c>
      <c r="E9" s="19">
        <f t="shared" si="1"/>
        <v>24</v>
      </c>
      <c r="F9" s="406" t="str" cm="1">
        <f t="array" ref="F9">IFERROR(INDEX(Rango_Admin_DailyPred_Primera,1,E9),"-")</f>
        <v>Ruben van Wamelen</v>
      </c>
      <c r="G9" s="429" t="str">
        <f ca="1">IFERROR(VLOOKUP(G$2,Rango_Admin_DailyPred,MATCH($F9,Rango_Admin_DailyPred_Primera,0),0),"-")</f>
        <v>Germany-Portugal·2|1-2</v>
      </c>
      <c r="H9" s="429" t="str">
        <f ca="1">IFERROR(VLOOKUP(H$2,Rango_Admin_DailyPred,MATCH($F9,Rango_Admin_DailyPred_Primera,0),0),"-")</f>
        <v>Spain-Brazil·1|1-0</v>
      </c>
      <c r="I9" s="429" t="str">
        <f ca="1">IFERROR(VLOOKUP(I$2,Rango_Admin_DailyPred,MATCH($F9,Rango_Admin_DailyPred_Primera,0),0),"-")</f>
        <v>Spain</v>
      </c>
      <c r="J9" s="429" t="str">
        <f ca="1">IFERROR(VLOOKUP(J$2,Rango_Admin_DailyPred,MATCH($F9,Rango_Admin_DailyPred_Primera,0),0),"-")</f>
        <v>Brazil</v>
      </c>
      <c r="K9" s="429" t="str">
        <f ca="1">IFERROR(VLOOKUP(K$2,Rango_Admin_DailyPred,MATCH($F9,Rango_Admin_DailyPred_Primera,0),0),"-")</f>
        <v>Portugal</v>
      </c>
      <c r="L9" s="429" t="str">
        <f ca="1">IFERROR(VLOOKUP(L$2,Rango_Admin_DailyPred,MATCH($F9,Rango_Admin_DailyPred_Primera,0),0),"-")</f>
        <v>Mbappé</v>
      </c>
      <c r="M9" s="429" t="str">
        <f ca="1">IFERROR(VLOOKUP(M$2,Rango_Admin_DailyPred,MATCH($F9,Rango_Admin_DailyPred_Primera,0),0),"-")</f>
        <v>Harry Kane</v>
      </c>
      <c r="N9" s="429" t="str">
        <f ca="1">IFERROR(VLOOKUP(N$2,Rango_Admin_DailyPred,MATCH($F9,Rango_Admin_DailyPred_Primera,0),0),"-")</f>
        <v>Lamine Yamal</v>
      </c>
      <c r="O9" s="429" t="str">
        <f ca="1">IFERROR(VLOOKUP(O$2,Rango_Admin_DailyPred,MATCH($F9,Rango_Admin_DailyPred_Primera,0),0),"-")</f>
        <v>Lamine Yamal</v>
      </c>
      <c r="P9" s="429" t="str">
        <f ca="1">IFERROR(VLOOKUP(P$2,Rango_Admin_DailyPred,MATCH($F9,Rango_Admin_DailyPred_Primera,0),0),"-")</f>
        <v>Vinicius Junior</v>
      </c>
      <c r="Q9" s="429" t="str">
        <f ca="1">IFERROR(VLOOKUP(Q$2,Rango_Admin_DailyPred,MATCH($F9,Rango_Admin_DailyPred_Primera,0),0),"-")</f>
        <v>Mbappé</v>
      </c>
      <c r="R9" s="429" t="str">
        <f ca="1">IFERROR(VLOOKUP(R$2,Rango_Admin_DailyPred,MATCH($F9,Rango_Admin_DailyPred_Primera,0),0),"-")</f>
        <v>-</v>
      </c>
      <c r="S9" s="429" t="str">
        <f ca="1">IFERROR(VLOOKUP(S$2,Rango_Admin_DailyPred,MATCH($F9,Rango_Admin_DailyPred_Primera,0),0),"-")</f>
        <v>-</v>
      </c>
      <c r="T9" s="429" t="str">
        <f ca="1">IFERROR(VLOOKUP(T$2,Rango_Admin_DailyPred,MATCH($F9,Rango_Admin_DailyPred_Primera,0),0),"-")</f>
        <v>-</v>
      </c>
      <c r="U9" s="429" t="str">
        <f ca="1">IFERROR(VLOOKUP(U$2,Rango_Admin_DailyPred,MATCH($F9,Rango_Admin_DailyPred_Primera,0),0),"-")</f>
        <v>-</v>
      </c>
      <c r="V9" s="429" t="str">
        <f ca="1">IFERROR(VLOOKUP(V$2,Rango_Admin_DailyPred,MATCH($F9,Rango_Admin_DailyPred_Primera,0),0),"-")</f>
        <v>-</v>
      </c>
      <c r="W9" s="429" t="str">
        <f ca="1">IFERROR(VLOOKUP(W$2,Rango_Admin_DailyPred,MATCH($F9,Rango_Admin_DailyPred_Primera,0),0),"-")</f>
        <v>-</v>
      </c>
      <c r="X9" s="429" t="str">
        <f ca="1">IFERROR(VLOOKUP(X$2,Rango_Admin_DailyPred,MATCH($F9,Rango_Admin_DailyPred_Primera,0),0),"-")</f>
        <v>-</v>
      </c>
      <c r="Y9" s="429" t="str">
        <f ca="1">IFERROR(VLOOKUP(Y$2,Rango_Admin_DailyPred,MATCH($F9,Rango_Admin_DailyPred_Primera,0),0),"-")</f>
        <v>-</v>
      </c>
      <c r="Z9" s="429" t="str">
        <f ca="1">IFERROR(VLOOKUP(Z$2,Rango_Admin_DailyPred,MATCH($F9,Rango_Admin_DailyPred_Primera,0),0),"-")</f>
        <v>-</v>
      </c>
      <c r="AA9" s="429" t="str">
        <f ca="1">IFERROR(VLOOKUP(AA$2,Rango_Admin_DailyPred,MATCH($F9,Rango_Admin_DailyPred_Primera,0),0),"-")</f>
        <v>-</v>
      </c>
      <c r="AB9" s="429" t="str">
        <f ca="1">IFERROR(VLOOKUP(AB$2,Rango_Admin_DailyPred,MATCH($F9,Rango_Admin_DailyPred_Primera,0),0),"-")</f>
        <v>-</v>
      </c>
      <c r="AC9" s="429" t="str">
        <f ca="1">IFERROR(VLOOKUP(AC$2,Rango_Admin_DailyPred,MATCH($F9,Rango_Admin_DailyPred_Primera,0),0),"-")</f>
        <v>-</v>
      </c>
      <c r="AD9" s="429" t="str">
        <f ca="1">IFERROR(VLOOKUP(AD$2,Rango_Admin_DailyPred,MATCH($F9,Rango_Admin_DailyPred_Primera,0),0),"-")</f>
        <v>-</v>
      </c>
      <c r="AE9" s="429" t="str">
        <f ca="1">IFERROR(VLOOKUP(AE$2,Rango_Admin_DailyPred,MATCH($F9,Rango_Admin_DailyPred_Primera,0),0),"-")</f>
        <v>-</v>
      </c>
      <c r="AF9" s="429" t="str">
        <f ca="1">IFERROR(VLOOKUP(AF$2,Rango_Admin_DailyPred,MATCH($F9,Rango_Admin_DailyPred_Primera,0),0),"-")</f>
        <v>-</v>
      </c>
      <c r="AG9" s="429" t="str">
        <f ca="1">IFERROR(VLOOKUP(AG$2,Rango_Admin_DailyPred,MATCH($F9,Rango_Admin_DailyPred_Primera,0),0),"-")</f>
        <v>-</v>
      </c>
      <c r="AH9" s="429" t="str">
        <f ca="1">IFERROR(VLOOKUP(AH$2,Rango_Admin_DailyPred,MATCH($F9,Rango_Admin_DailyPred_Primera,0),0),"-")</f>
        <v>-</v>
      </c>
      <c r="AI9" s="429" t="str">
        <f ca="1">IFERROR(VLOOKUP(AI$2,Rango_Admin_DailyPred,MATCH($F9,Rango_Admin_DailyPred_Primera,0),0),"-")</f>
        <v>-</v>
      </c>
      <c r="AJ9" s="429" t="str">
        <f ca="1">IFERROR(VLOOKUP(AJ$2,Rango_Admin_DailyPred,MATCH($F9,Rango_Admin_DailyPred_Primera,0),0),"-")</f>
        <v>-</v>
      </c>
      <c r="AK9" s="429" t="str">
        <f ca="1">IFERROR(VLOOKUP(AK$2,Rango_Admin_DailyPred,MATCH($F9,Rango_Admin_DailyPred_Primera,0),0),"-")</f>
        <v>-</v>
      </c>
      <c r="AL9" s="429" t="str">
        <f ca="1">IFERROR(VLOOKUP(AL$2,Rango_Admin_DailyPred,MATCH($F9,Rango_Admin_DailyPred_Primera,0),0),"-")</f>
        <v>-</v>
      </c>
      <c r="AM9" s="297"/>
      <c r="AN9" s="297"/>
      <c r="AO9" s="297"/>
    </row>
    <row r="10" spans="1:41">
      <c r="A10" s="8" t="str" cm="1">
        <f t="array" aca="1" ref="A10" ca="1">IFERROR(INDEX(ADMIN!$K$6:$K$258,SMALL(IF(ADMIN!$G$6:$G$258=$J$1,ROW(ADMIN!$G$6:$G$258)-ROW(ADMIN!$G$6)+1),ROWS($A$1:A7))),"")</f>
        <v>Silver Boot  (2nd Top Scorer)</v>
      </c>
      <c r="B10" s="8" t="str">
        <f t="shared" ca="1" si="0"/>
        <v>Silver Boot  (2nd Top Scorer)
 (Messi)</v>
      </c>
      <c r="C10" s="8" t="str" cm="1">
        <f t="array" aca="1" ref="C10" ca="1">IFERROR(IF(INDEX(ADMIN!$M$6:$M$258,SMALL(IF(ADMIN!$G$6:$G$258=$J$1,ROW(ADMIN!$G$6:$G$258)-ROW(ADMIN!$G$6)+1),ROWS($A$1:A7)))="-", "", " ("&amp;INDEX(ADMIN!$M$6:$M$258,SMALL(IF(ADMIN!$G$6:$G$258=$J$1,ROW(ADMIN!$G$6:$G$258)-ROW(ADMIN!$G$6)+1),ROWS($A$1:A7)))&amp;")"),"")</f>
        <v xml:space="preserve"> (Messi)</v>
      </c>
      <c r="D10" s="8" cm="1">
        <f t="array" aca="1" ref="D10" ca="1">IFERROR(IF($J$1&gt;=20,INDEX(ADMIN!$C$6:$C$258,SMALL(IF(ADMIN!$G$6:$G$258=$J$1,ROW(ADMIN!$G$6:$G$258)-ROW(ADMIN!$G$6)+1),ROWS($D$1:D7))),""),"")</f>
        <v>0</v>
      </c>
      <c r="E10" s="19">
        <f t="shared" si="1"/>
        <v>27</v>
      </c>
      <c r="F10" s="406" t="str" cm="1">
        <f t="array" ref="F10">IFERROR(INDEX(Rango_Admin_DailyPred_Primera,1,E10),"-")</f>
        <v>Niels Tomesen</v>
      </c>
      <c r="G10" s="429" t="str">
        <f ca="1">IFERROR(VLOOKUP(G$2,Rango_Admin_DailyPred,MATCH($F10,Rango_Admin_DailyPred_Primera,0),0),"-")</f>
        <v>Spain-Argentina·1|2-0</v>
      </c>
      <c r="H10" s="429" t="str">
        <f ca="1">IFERROR(VLOOKUP(H$2,Rango_Admin_DailyPred,MATCH($F10,Rango_Admin_DailyPred_Primera,0),0),"-")</f>
        <v>France-Brazil·1|1-0</v>
      </c>
      <c r="I10" s="429" t="str">
        <f ca="1">IFERROR(VLOOKUP(I$2,Rango_Admin_DailyPred,MATCH($F10,Rango_Admin_DailyPred_Primera,0),0),"-")</f>
        <v>France</v>
      </c>
      <c r="J10" s="429" t="str">
        <f ca="1">IFERROR(VLOOKUP(J$2,Rango_Admin_DailyPred,MATCH($F10,Rango_Admin_DailyPred_Primera,0),0),"-")</f>
        <v>Brazil</v>
      </c>
      <c r="K10" s="429" t="str">
        <f ca="1">IFERROR(VLOOKUP(K$2,Rango_Admin_DailyPred,MATCH($F10,Rango_Admin_DailyPred_Primera,0),0),"-")</f>
        <v>Spain</v>
      </c>
      <c r="L10" s="429" t="str">
        <f ca="1">IFERROR(VLOOKUP(L$2,Rango_Admin_DailyPred,MATCH($F10,Rango_Admin_DailyPred_Primera,0),0),"-")</f>
        <v>Mbappé</v>
      </c>
      <c r="M10" s="429" t="str">
        <f ca="1">IFERROR(VLOOKUP(M$2,Rango_Admin_DailyPred,MATCH($F10,Rango_Admin_DailyPred_Primera,0),0),"-")</f>
        <v>Harry Kane</v>
      </c>
      <c r="N10" s="429" t="str">
        <f ca="1">IFERROR(VLOOKUP(N$2,Rango_Admin_DailyPred,MATCH($F10,Rango_Admin_DailyPred_Primera,0),0),"-")</f>
        <v>Bellingham / Haaland</v>
      </c>
      <c r="O10" s="429" t="str">
        <f ca="1">IFERROR(VLOOKUP(O$2,Rango_Admin_DailyPred,MATCH($F10,Rango_Admin_DailyPred_Primera,0),0),"-")</f>
        <v>ousmane dembélé</v>
      </c>
      <c r="P10" s="429" t="str">
        <f ca="1">IFERROR(VLOOKUP(P$2,Rango_Admin_DailyPred,MATCH($F10,Rango_Admin_DailyPred_Primera,0),0),"-")</f>
        <v>Lamine Yamal</v>
      </c>
      <c r="Q10" s="429" t="str">
        <f ca="1">IFERROR(VLOOKUP(Q$2,Rango_Admin_DailyPred,MATCH($F10,Rango_Admin_DailyPred_Primera,0),0),"-")</f>
        <v>Mbappé</v>
      </c>
      <c r="R10" s="429" t="str">
        <f ca="1">IFERROR(VLOOKUP(R$2,Rango_Admin_DailyPred,MATCH($F10,Rango_Admin_DailyPred_Primera,0),0),"-")</f>
        <v>-</v>
      </c>
      <c r="S10" s="429" t="str">
        <f ca="1">IFERROR(VLOOKUP(S$2,Rango_Admin_DailyPred,MATCH($F10,Rango_Admin_DailyPred_Primera,0),0),"-")</f>
        <v>-</v>
      </c>
      <c r="T10" s="429" t="str">
        <f ca="1">IFERROR(VLOOKUP(T$2,Rango_Admin_DailyPred,MATCH($F10,Rango_Admin_DailyPred_Primera,0),0),"-")</f>
        <v>-</v>
      </c>
      <c r="U10" s="429" t="str">
        <f ca="1">IFERROR(VLOOKUP(U$2,Rango_Admin_DailyPred,MATCH($F10,Rango_Admin_DailyPred_Primera,0),0),"-")</f>
        <v>-</v>
      </c>
      <c r="V10" s="429" t="str">
        <f ca="1">IFERROR(VLOOKUP(V$2,Rango_Admin_DailyPred,MATCH($F10,Rango_Admin_DailyPred_Primera,0),0),"-")</f>
        <v>-</v>
      </c>
      <c r="W10" s="429" t="str">
        <f ca="1">IFERROR(VLOOKUP(W$2,Rango_Admin_DailyPred,MATCH($F10,Rango_Admin_DailyPred_Primera,0),0),"-")</f>
        <v>-</v>
      </c>
      <c r="X10" s="429" t="str">
        <f ca="1">IFERROR(VLOOKUP(X$2,Rango_Admin_DailyPred,MATCH($F10,Rango_Admin_DailyPred_Primera,0),0),"-")</f>
        <v>-</v>
      </c>
      <c r="Y10" s="429" t="str">
        <f ca="1">IFERROR(VLOOKUP(Y$2,Rango_Admin_DailyPred,MATCH($F10,Rango_Admin_DailyPred_Primera,0),0),"-")</f>
        <v>-</v>
      </c>
      <c r="Z10" s="429" t="str">
        <f ca="1">IFERROR(VLOOKUP(Z$2,Rango_Admin_DailyPred,MATCH($F10,Rango_Admin_DailyPred_Primera,0),0),"-")</f>
        <v>-</v>
      </c>
      <c r="AA10" s="429" t="str">
        <f ca="1">IFERROR(VLOOKUP(AA$2,Rango_Admin_DailyPred,MATCH($F10,Rango_Admin_DailyPred_Primera,0),0),"-")</f>
        <v>-</v>
      </c>
      <c r="AB10" s="429" t="str">
        <f ca="1">IFERROR(VLOOKUP(AB$2,Rango_Admin_DailyPred,MATCH($F10,Rango_Admin_DailyPred_Primera,0),0),"-")</f>
        <v>-</v>
      </c>
      <c r="AC10" s="429" t="str">
        <f ca="1">IFERROR(VLOOKUP(AC$2,Rango_Admin_DailyPred,MATCH($F10,Rango_Admin_DailyPred_Primera,0),0),"-")</f>
        <v>-</v>
      </c>
      <c r="AD10" s="429" t="str">
        <f ca="1">IFERROR(VLOOKUP(AD$2,Rango_Admin_DailyPred,MATCH($F10,Rango_Admin_DailyPred_Primera,0),0),"-")</f>
        <v>-</v>
      </c>
      <c r="AE10" s="429" t="str">
        <f ca="1">IFERROR(VLOOKUP(AE$2,Rango_Admin_DailyPred,MATCH($F10,Rango_Admin_DailyPred_Primera,0),0),"-")</f>
        <v>-</v>
      </c>
      <c r="AF10" s="429" t="str">
        <f ca="1">IFERROR(VLOOKUP(AF$2,Rango_Admin_DailyPred,MATCH($F10,Rango_Admin_DailyPred_Primera,0),0),"-")</f>
        <v>-</v>
      </c>
      <c r="AG10" s="429" t="str">
        <f ca="1">IFERROR(VLOOKUP(AG$2,Rango_Admin_DailyPred,MATCH($F10,Rango_Admin_DailyPred_Primera,0),0),"-")</f>
        <v>-</v>
      </c>
      <c r="AH10" s="429" t="str">
        <f ca="1">IFERROR(VLOOKUP(AH$2,Rango_Admin_DailyPred,MATCH($F10,Rango_Admin_DailyPred_Primera,0),0),"-")</f>
        <v>-</v>
      </c>
      <c r="AI10" s="429" t="str">
        <f ca="1">IFERROR(VLOOKUP(AI$2,Rango_Admin_DailyPred,MATCH($F10,Rango_Admin_DailyPred_Primera,0),0),"-")</f>
        <v>-</v>
      </c>
      <c r="AJ10" s="429" t="str">
        <f ca="1">IFERROR(VLOOKUP(AJ$2,Rango_Admin_DailyPred,MATCH($F10,Rango_Admin_DailyPred_Primera,0),0),"-")</f>
        <v>-</v>
      </c>
      <c r="AK10" s="429" t="str">
        <f ca="1">IFERROR(VLOOKUP(AK$2,Rango_Admin_DailyPred,MATCH($F10,Rango_Admin_DailyPred_Primera,0),0),"-")</f>
        <v>-</v>
      </c>
      <c r="AL10" s="429" t="str">
        <f ca="1">IFERROR(VLOOKUP(AL$2,Rango_Admin_DailyPred,MATCH($F10,Rango_Admin_DailyPred_Primera,0),0),"-")</f>
        <v>-</v>
      </c>
      <c r="AM10" s="297"/>
      <c r="AN10" s="297"/>
      <c r="AO10" s="297"/>
    </row>
    <row r="11" spans="1:41">
      <c r="A11" s="8" t="str" cm="1">
        <f t="array" aca="1" ref="A11" ca="1">IFERROR(INDEX(ADMIN!$K$6:$K$258,SMALL(IF(ADMIN!$G$6:$G$258=$J$1,ROW(ADMIN!$G$6:$G$258)-ROW(ADMIN!$G$6)+1),ROWS($A$1:A8))),"")</f>
        <v>Bronze Boot (3rd Top Scorer)</v>
      </c>
      <c r="B11" s="8" t="str">
        <f t="shared" ca="1" si="0"/>
        <v>Bronze Boot (3rd Top Scorer)
 (Bellingham / Haaland)</v>
      </c>
      <c r="C11" s="8" t="str" cm="1">
        <f t="array" aca="1" ref="C11" ca="1">IFERROR(IF(INDEX(ADMIN!$M$6:$M$258,SMALL(IF(ADMIN!$G$6:$G$258=$J$1,ROW(ADMIN!$G$6:$G$258)-ROW(ADMIN!$G$6)+1),ROWS($A$1:A8)))="-", "", " ("&amp;INDEX(ADMIN!$M$6:$M$258,SMALL(IF(ADMIN!$G$6:$G$258=$J$1,ROW(ADMIN!$G$6:$G$258)-ROW(ADMIN!$G$6)+1),ROWS($A$1:A8)))&amp;")"),"")</f>
        <v xml:space="preserve"> (Bellingham / Haaland)</v>
      </c>
      <c r="D11" s="8" cm="1">
        <f t="array" aca="1" ref="D11" ca="1">IFERROR(IF($J$1&gt;=20,INDEX(ADMIN!$C$6:$C$258,SMALL(IF(ADMIN!$G$6:$G$258=$J$1,ROW(ADMIN!$G$6:$G$258)-ROW(ADMIN!$G$6)+1),ROWS($D$1:D8))),""),"")</f>
        <v>0</v>
      </c>
      <c r="E11" s="19">
        <f t="shared" si="1"/>
        <v>30</v>
      </c>
      <c r="F11" s="406" t="str" cm="1">
        <f t="array" ref="F11">IFERROR(INDEX(Rango_Admin_DailyPred_Primera,1,E11),"-")</f>
        <v>Floris Boel</v>
      </c>
      <c r="G11" s="429" t="str">
        <f ca="1">IFERROR(VLOOKUP(G$2,Rango_Admin_DailyPred,MATCH($F11,Rango_Admin_DailyPred_Primera,0),0),"-")</f>
        <v>South Korea-Algeria·1|2-1</v>
      </c>
      <c r="H11" s="429" t="str">
        <f ca="1">IFERROR(VLOOKUP(H$2,Rango_Admin_DailyPred,MATCH($F11,Rango_Admin_DailyPred_Primera,0),0),"-")</f>
        <v>Paraguay-Senegal·2|1-2</v>
      </c>
      <c r="I11" s="429" t="str">
        <f ca="1">IFERROR(VLOOKUP(I$2,Rango_Admin_DailyPred,MATCH($F11,Rango_Admin_DailyPred_Primera,0),0),"-")</f>
        <v>Senegal</v>
      </c>
      <c r="J11" s="429" t="str">
        <f ca="1">IFERROR(VLOOKUP(J$2,Rango_Admin_DailyPred,MATCH($F11,Rango_Admin_DailyPred_Primera,0),0),"-")</f>
        <v>Paraguay</v>
      </c>
      <c r="K11" s="429" t="str">
        <f ca="1">IFERROR(VLOOKUP(K$2,Rango_Admin_DailyPred,MATCH($F11,Rango_Admin_DailyPred_Primera,0),0),"-")</f>
        <v>South Korea</v>
      </c>
      <c r="L11" s="429" t="str">
        <f ca="1">IFERROR(VLOOKUP(L$2,Rango_Admin_DailyPred,MATCH($F11,Rango_Admin_DailyPred_Primera,0),0),"-")</f>
        <v>Sadio Mané</v>
      </c>
      <c r="M11" s="429" t="str">
        <f ca="1">IFERROR(VLOOKUP(M$2,Rango_Admin_DailyPred,MATCH($F11,Rango_Admin_DailyPred_Primera,0),0),"-")</f>
        <v>Son Heung-min</v>
      </c>
      <c r="N11" s="429" t="str">
        <f ca="1">IFERROR(VLOOKUP(N$2,Rango_Admin_DailyPred,MATCH($F11,Rango_Admin_DailyPred_Primera,0),0),"-")</f>
        <v>Raúl Jiménez</v>
      </c>
      <c r="O11" s="429" t="str">
        <f ca="1">IFERROR(VLOOKUP(O$2,Rango_Admin_DailyPred,MATCH($F11,Rango_Admin_DailyPred_Primera,0),0),"-")</f>
        <v>Sadio Mané</v>
      </c>
      <c r="P11" s="429" t="str">
        <f ca="1">IFERROR(VLOOKUP(P$2,Rango_Admin_DailyPred,MATCH($F11,Rango_Admin_DailyPred_Primera,0),0),"-")</f>
        <v>Kalidou Koulibaly</v>
      </c>
      <c r="Q11" s="429" t="str">
        <f ca="1">IFERROR(VLOOKUP(Q$2,Rango_Admin_DailyPred,MATCH($F11,Rango_Admin_DailyPred_Primera,0),0),"-")</f>
        <v>Gustavo Gómez</v>
      </c>
      <c r="R11" s="429" t="str">
        <f ca="1">IFERROR(VLOOKUP(R$2,Rango_Admin_DailyPred,MATCH($F11,Rango_Admin_DailyPred_Primera,0),0),"-")</f>
        <v>-</v>
      </c>
      <c r="S11" s="429" t="str">
        <f ca="1">IFERROR(VLOOKUP(S$2,Rango_Admin_DailyPred,MATCH($F11,Rango_Admin_DailyPred_Primera,0),0),"-")</f>
        <v>-</v>
      </c>
      <c r="T11" s="429" t="str">
        <f ca="1">IFERROR(VLOOKUP(T$2,Rango_Admin_DailyPred,MATCH($F11,Rango_Admin_DailyPred_Primera,0),0),"-")</f>
        <v>-</v>
      </c>
      <c r="U11" s="429" t="str">
        <f ca="1">IFERROR(VLOOKUP(U$2,Rango_Admin_DailyPred,MATCH($F11,Rango_Admin_DailyPred_Primera,0),0),"-")</f>
        <v>-</v>
      </c>
      <c r="V11" s="429" t="str">
        <f ca="1">IFERROR(VLOOKUP(V$2,Rango_Admin_DailyPred,MATCH($F11,Rango_Admin_DailyPred_Primera,0),0),"-")</f>
        <v>-</v>
      </c>
      <c r="W11" s="429" t="str">
        <f ca="1">IFERROR(VLOOKUP(W$2,Rango_Admin_DailyPred,MATCH($F11,Rango_Admin_DailyPred_Primera,0),0),"-")</f>
        <v>-</v>
      </c>
      <c r="X11" s="429" t="str">
        <f ca="1">IFERROR(VLOOKUP(X$2,Rango_Admin_DailyPred,MATCH($F11,Rango_Admin_DailyPred_Primera,0),0),"-")</f>
        <v>-</v>
      </c>
      <c r="Y11" s="429" t="str">
        <f ca="1">IFERROR(VLOOKUP(Y$2,Rango_Admin_DailyPred,MATCH($F11,Rango_Admin_DailyPred_Primera,0),0),"-")</f>
        <v>-</v>
      </c>
      <c r="Z11" s="429" t="str">
        <f ca="1">IFERROR(VLOOKUP(Z$2,Rango_Admin_DailyPred,MATCH($F11,Rango_Admin_DailyPred_Primera,0),0),"-")</f>
        <v>-</v>
      </c>
      <c r="AA11" s="429" t="str">
        <f ca="1">IFERROR(VLOOKUP(AA$2,Rango_Admin_DailyPred,MATCH($F11,Rango_Admin_DailyPred_Primera,0),0),"-")</f>
        <v>-</v>
      </c>
      <c r="AB11" s="429" t="str">
        <f ca="1">IFERROR(VLOOKUP(AB$2,Rango_Admin_DailyPred,MATCH($F11,Rango_Admin_DailyPred_Primera,0),0),"-")</f>
        <v>-</v>
      </c>
      <c r="AC11" s="429" t="str">
        <f ca="1">IFERROR(VLOOKUP(AC$2,Rango_Admin_DailyPred,MATCH($F11,Rango_Admin_DailyPred_Primera,0),0),"-")</f>
        <v>-</v>
      </c>
      <c r="AD11" s="429" t="str">
        <f ca="1">IFERROR(VLOOKUP(AD$2,Rango_Admin_DailyPred,MATCH($F11,Rango_Admin_DailyPred_Primera,0),0),"-")</f>
        <v>-</v>
      </c>
      <c r="AE11" s="429" t="str">
        <f ca="1">IFERROR(VLOOKUP(AE$2,Rango_Admin_DailyPred,MATCH($F11,Rango_Admin_DailyPred_Primera,0),0),"-")</f>
        <v>-</v>
      </c>
      <c r="AF11" s="429" t="str">
        <f ca="1">IFERROR(VLOOKUP(AF$2,Rango_Admin_DailyPred,MATCH($F11,Rango_Admin_DailyPred_Primera,0),0),"-")</f>
        <v>-</v>
      </c>
      <c r="AG11" s="429" t="str">
        <f ca="1">IFERROR(VLOOKUP(AG$2,Rango_Admin_DailyPred,MATCH($F11,Rango_Admin_DailyPred_Primera,0),0),"-")</f>
        <v>-</v>
      </c>
      <c r="AH11" s="429" t="str">
        <f ca="1">IFERROR(VLOOKUP(AH$2,Rango_Admin_DailyPred,MATCH($F11,Rango_Admin_DailyPred_Primera,0),0),"-")</f>
        <v>-</v>
      </c>
      <c r="AI11" s="429" t="str">
        <f ca="1">IFERROR(VLOOKUP(AI$2,Rango_Admin_DailyPred,MATCH($F11,Rango_Admin_DailyPred_Primera,0),0),"-")</f>
        <v>-</v>
      </c>
      <c r="AJ11" s="429" t="str">
        <f ca="1">IFERROR(VLOOKUP(AJ$2,Rango_Admin_DailyPred,MATCH($F11,Rango_Admin_DailyPred_Primera,0),0),"-")</f>
        <v>-</v>
      </c>
      <c r="AK11" s="429" t="str">
        <f ca="1">IFERROR(VLOOKUP(AK$2,Rango_Admin_DailyPred,MATCH($F11,Rango_Admin_DailyPred_Primera,0),0),"-")</f>
        <v>-</v>
      </c>
      <c r="AL11" s="429" t="str">
        <f ca="1">IFERROR(VLOOKUP(AL$2,Rango_Admin_DailyPred,MATCH($F11,Rango_Admin_DailyPred_Primera,0),0),"-")</f>
        <v>-</v>
      </c>
      <c r="AM11" s="297"/>
      <c r="AN11" s="297"/>
      <c r="AO11" s="297"/>
    </row>
    <row r="12" spans="1:41">
      <c r="A12" s="8" t="str" cm="1">
        <f t="array" aca="1" ref="A12" ca="1">IFERROR(INDEX(ADMIN!$K$6:$K$258,SMALL(IF(ADMIN!$G$6:$G$258=$J$1,ROW(ADMIN!$G$6:$G$258)-ROW(ADMIN!$G$6)+1),ROWS($A$1:A9))),"")</f>
        <v>Golden Ball (Best Player)</v>
      </c>
      <c r="B12" s="8" t="str">
        <f t="shared" ca="1" si="0"/>
        <v>Golden Ball (Best Player)
 (Rodri)</v>
      </c>
      <c r="C12" s="8" t="str" cm="1">
        <f t="array" aca="1" ref="C12" ca="1">IFERROR(IF(INDEX(ADMIN!$M$6:$M$258,SMALL(IF(ADMIN!$G$6:$G$258=$J$1,ROW(ADMIN!$G$6:$G$258)-ROW(ADMIN!$G$6)+1),ROWS($A$1:A9)))="-", "", " ("&amp;INDEX(ADMIN!$M$6:$M$258,SMALL(IF(ADMIN!$G$6:$G$258=$J$1,ROW(ADMIN!$G$6:$G$258)-ROW(ADMIN!$G$6)+1),ROWS($A$1:A9)))&amp;")"),"")</f>
        <v xml:space="preserve"> (Rodri)</v>
      </c>
      <c r="D12" s="8" cm="1">
        <f t="array" aca="1" ref="D12" ca="1">IFERROR(IF($J$1&gt;=20,INDEX(ADMIN!$C$6:$C$258,SMALL(IF(ADMIN!$G$6:$G$258=$J$1,ROW(ADMIN!$G$6:$G$258)-ROW(ADMIN!$G$6)+1),ROWS($D$1:D9))),""),"")</f>
        <v>0</v>
      </c>
      <c r="E12" s="19">
        <f t="shared" si="1"/>
        <v>33</v>
      </c>
      <c r="F12" s="406" t="str" cm="1">
        <f t="array" ref="F12">IFERROR(INDEX(Rango_Admin_DailyPred_Primera,1,E12),"-")</f>
        <v>Michael de Graaf</v>
      </c>
      <c r="G12" s="429" t="str">
        <f ca="1">IFERROR(VLOOKUP(G$2,Rango_Admin_DailyPred,MATCH($F12,Rango_Admin_DailyPred_Primera,0),0),"-")</f>
        <v>Spain-Argentina·1|2-1</v>
      </c>
      <c r="H12" s="429" t="str">
        <f ca="1">IFERROR(VLOOKUP(H$2,Rango_Admin_DailyPred,MATCH($F12,Rango_Admin_DailyPred_Primera,0),0),"-")</f>
        <v>Netherlands-Brazil·1|3-1</v>
      </c>
      <c r="I12" s="429" t="str">
        <f ca="1">IFERROR(VLOOKUP(I$2,Rango_Admin_DailyPred,MATCH($F12,Rango_Admin_DailyPred_Primera,0),0),"-")</f>
        <v>Netherlands</v>
      </c>
      <c r="J12" s="429" t="str">
        <f ca="1">IFERROR(VLOOKUP(J$2,Rango_Admin_DailyPred,MATCH($F12,Rango_Admin_DailyPred_Primera,0),0),"-")</f>
        <v>Brazil</v>
      </c>
      <c r="K12" s="429" t="str">
        <f ca="1">IFERROR(VLOOKUP(K$2,Rango_Admin_DailyPred,MATCH($F12,Rango_Admin_DailyPred_Primera,0),0),"-")</f>
        <v>Spain</v>
      </c>
      <c r="L12" s="429" t="str">
        <f ca="1">IFERROR(VLOOKUP(L$2,Rango_Admin_DailyPred,MATCH($F12,Rango_Admin_DailyPred_Primera,0),0),"-")</f>
        <v>Malen</v>
      </c>
      <c r="M12" s="429" t="str">
        <f ca="1">IFERROR(VLOOKUP(M$2,Rango_Admin_DailyPred,MATCH($F12,Rango_Admin_DailyPred_Primera,0),0),"-")</f>
        <v>Mbappe</v>
      </c>
      <c r="N12" s="429" t="str">
        <f ca="1">IFERROR(VLOOKUP(N$2,Rango_Admin_DailyPred,MATCH($F12,Rango_Admin_DailyPred_Primera,0),0),"-")</f>
        <v>Kane</v>
      </c>
      <c r="O12" s="429" t="str">
        <f ca="1">IFERROR(VLOOKUP(O$2,Rango_Admin_DailyPred,MATCH($F12,Rango_Admin_DailyPred_Primera,0),0),"-")</f>
        <v>Yamal</v>
      </c>
      <c r="P12" s="429" t="str">
        <f ca="1">IFERROR(VLOOKUP(P$2,Rango_Admin_DailyPred,MATCH($F12,Rango_Admin_DailyPred_Primera,0),0),"-")</f>
        <v>Pedri</v>
      </c>
      <c r="Q12" s="429" t="str">
        <f ca="1">IFERROR(VLOOKUP(Q$2,Rango_Admin_DailyPred,MATCH($F12,Rango_Admin_DailyPred_Primera,0),0),"-")</f>
        <v>Bellingham</v>
      </c>
      <c r="R12" s="429" t="str">
        <f ca="1">IFERROR(VLOOKUP(R$2,Rango_Admin_DailyPred,MATCH($F12,Rango_Admin_DailyPred_Primera,0),0),"-")</f>
        <v>-</v>
      </c>
      <c r="S12" s="429" t="str">
        <f ca="1">IFERROR(VLOOKUP(S$2,Rango_Admin_DailyPred,MATCH($F12,Rango_Admin_DailyPred_Primera,0),0),"-")</f>
        <v>-</v>
      </c>
      <c r="T12" s="429" t="str">
        <f ca="1">IFERROR(VLOOKUP(T$2,Rango_Admin_DailyPred,MATCH($F12,Rango_Admin_DailyPred_Primera,0),0),"-")</f>
        <v>-</v>
      </c>
      <c r="U12" s="429" t="str">
        <f ca="1">IFERROR(VLOOKUP(U$2,Rango_Admin_DailyPred,MATCH($F12,Rango_Admin_DailyPred_Primera,0),0),"-")</f>
        <v>-</v>
      </c>
      <c r="V12" s="429" t="str">
        <f ca="1">IFERROR(VLOOKUP(V$2,Rango_Admin_DailyPred,MATCH($F12,Rango_Admin_DailyPred_Primera,0),0),"-")</f>
        <v>-</v>
      </c>
      <c r="W12" s="429" t="str">
        <f ca="1">IFERROR(VLOOKUP(W$2,Rango_Admin_DailyPred,MATCH($F12,Rango_Admin_DailyPred_Primera,0),0),"-")</f>
        <v>-</v>
      </c>
      <c r="X12" s="429" t="str">
        <f ca="1">IFERROR(VLOOKUP(X$2,Rango_Admin_DailyPred,MATCH($F12,Rango_Admin_DailyPred_Primera,0),0),"-")</f>
        <v>-</v>
      </c>
      <c r="Y12" s="429" t="str">
        <f ca="1">IFERROR(VLOOKUP(Y$2,Rango_Admin_DailyPred,MATCH($F12,Rango_Admin_DailyPred_Primera,0),0),"-")</f>
        <v>-</v>
      </c>
      <c r="Z12" s="429" t="str">
        <f ca="1">IFERROR(VLOOKUP(Z$2,Rango_Admin_DailyPred,MATCH($F12,Rango_Admin_DailyPred_Primera,0),0),"-")</f>
        <v>-</v>
      </c>
      <c r="AA12" s="429" t="str">
        <f ca="1">IFERROR(VLOOKUP(AA$2,Rango_Admin_DailyPred,MATCH($F12,Rango_Admin_DailyPred_Primera,0),0),"-")</f>
        <v>-</v>
      </c>
      <c r="AB12" s="429" t="str">
        <f ca="1">IFERROR(VLOOKUP(AB$2,Rango_Admin_DailyPred,MATCH($F12,Rango_Admin_DailyPred_Primera,0),0),"-")</f>
        <v>-</v>
      </c>
      <c r="AC12" s="429" t="str">
        <f ca="1">IFERROR(VLOOKUP(AC$2,Rango_Admin_DailyPred,MATCH($F12,Rango_Admin_DailyPred_Primera,0),0),"-")</f>
        <v>-</v>
      </c>
      <c r="AD12" s="429" t="str">
        <f ca="1">IFERROR(VLOOKUP(AD$2,Rango_Admin_DailyPred,MATCH($F12,Rango_Admin_DailyPred_Primera,0),0),"-")</f>
        <v>-</v>
      </c>
      <c r="AE12" s="429" t="str">
        <f ca="1">IFERROR(VLOOKUP(AE$2,Rango_Admin_DailyPred,MATCH($F12,Rango_Admin_DailyPred_Primera,0),0),"-")</f>
        <v>-</v>
      </c>
      <c r="AF12" s="429" t="str">
        <f ca="1">IFERROR(VLOOKUP(AF$2,Rango_Admin_DailyPred,MATCH($F12,Rango_Admin_DailyPred_Primera,0),0),"-")</f>
        <v>-</v>
      </c>
      <c r="AG12" s="429" t="str">
        <f ca="1">IFERROR(VLOOKUP(AG$2,Rango_Admin_DailyPred,MATCH($F12,Rango_Admin_DailyPred_Primera,0),0),"-")</f>
        <v>-</v>
      </c>
      <c r="AH12" s="429" t="str">
        <f ca="1">IFERROR(VLOOKUP(AH$2,Rango_Admin_DailyPred,MATCH($F12,Rango_Admin_DailyPred_Primera,0),0),"-")</f>
        <v>-</v>
      </c>
      <c r="AI12" s="429" t="str">
        <f ca="1">IFERROR(VLOOKUP(AI$2,Rango_Admin_DailyPred,MATCH($F12,Rango_Admin_DailyPred_Primera,0),0),"-")</f>
        <v>-</v>
      </c>
      <c r="AJ12" s="429" t="str">
        <f ca="1">IFERROR(VLOOKUP(AJ$2,Rango_Admin_DailyPred,MATCH($F12,Rango_Admin_DailyPred_Primera,0),0),"-")</f>
        <v>-</v>
      </c>
      <c r="AK12" s="429" t="str">
        <f ca="1">IFERROR(VLOOKUP(AK$2,Rango_Admin_DailyPred,MATCH($F12,Rango_Admin_DailyPred_Primera,0),0),"-")</f>
        <v>-</v>
      </c>
      <c r="AL12" s="429" t="str">
        <f ca="1">IFERROR(VLOOKUP(AL$2,Rango_Admin_DailyPred,MATCH($F12,Rango_Admin_DailyPred_Primera,0),0),"-")</f>
        <v>-</v>
      </c>
      <c r="AM12" s="297"/>
      <c r="AN12" s="297"/>
      <c r="AO12" s="297"/>
    </row>
    <row r="13" spans="1:41">
      <c r="A13" s="8" t="str" cm="1">
        <f t="array" aca="1" ref="A13" ca="1">IFERROR(INDEX(ADMIN!$K$6:$K$258,SMALL(IF(ADMIN!$G$6:$G$258=$J$1,ROW(ADMIN!$G$6:$G$258)-ROW(ADMIN!$G$6)+1),ROWS($A$1:A10))),"")</f>
        <v>Silver Ball (2nd Best Player)</v>
      </c>
      <c r="B13" s="8" t="str">
        <f t="shared" ca="1" si="0"/>
        <v>Silver Ball (2nd Best Player)
 (Messi)</v>
      </c>
      <c r="C13" s="8" t="str" cm="1">
        <f t="array" aca="1" ref="C13" ca="1">IFERROR(IF(INDEX(ADMIN!$M$6:$M$258,SMALL(IF(ADMIN!$G$6:$G$258=$J$1,ROW(ADMIN!$G$6:$G$258)-ROW(ADMIN!$G$6)+1),ROWS($A$1:A10)))="-", "", " ("&amp;INDEX(ADMIN!$M$6:$M$258,SMALL(IF(ADMIN!$G$6:$G$258=$J$1,ROW(ADMIN!$G$6:$G$258)-ROW(ADMIN!$G$6)+1),ROWS($A$1:A10)))&amp;")"),"")</f>
        <v xml:space="preserve"> (Messi)</v>
      </c>
      <c r="D13" s="8" cm="1">
        <f t="array" aca="1" ref="D13" ca="1">IFERROR(IF($J$1&gt;=20,INDEX(ADMIN!$C$6:$C$258,SMALL(IF(ADMIN!$G$6:$G$258=$J$1,ROW(ADMIN!$G$6:$G$258)-ROW(ADMIN!$G$6)+1),ROWS($D$1:D10))),""),"")</f>
        <v>0</v>
      </c>
      <c r="E13" s="19">
        <f t="shared" si="1"/>
        <v>36</v>
      </c>
      <c r="F13" s="406" t="str" cm="1">
        <f t="array" ref="F13">IFERROR(INDEX(Rango_Admin_DailyPred_Primera,1,E13),"-")</f>
        <v>Niels Besselink</v>
      </c>
      <c r="G13" s="429" t="str">
        <f ca="1">IFERROR(VLOOKUP(G$2,Rango_Admin_DailyPred,MATCH($F13,Rango_Admin_DailyPred_Primera,0),0),"-")</f>
        <v>Spain-Switzerland·1|1-0</v>
      </c>
      <c r="H13" s="429" t="str">
        <f ca="1">IFERROR(VLOOKUP(H$2,Rango_Admin_DailyPred,MATCH($F13,Rango_Admin_DailyPred_Primera,0),0),"-")</f>
        <v>France-Brazil·1|3-2</v>
      </c>
      <c r="I13" s="429" t="str">
        <f ca="1">IFERROR(VLOOKUP(I$2,Rango_Admin_DailyPred,MATCH($F13,Rango_Admin_DailyPred_Primera,0),0),"-")</f>
        <v>France</v>
      </c>
      <c r="J13" s="429" t="str">
        <f ca="1">IFERROR(VLOOKUP(J$2,Rango_Admin_DailyPred,MATCH($F13,Rango_Admin_DailyPred_Primera,0),0),"-")</f>
        <v>Brazil</v>
      </c>
      <c r="K13" s="429" t="str">
        <f ca="1">IFERROR(VLOOKUP(K$2,Rango_Admin_DailyPred,MATCH($F13,Rango_Admin_DailyPred_Primera,0),0),"-")</f>
        <v>Spain</v>
      </c>
      <c r="L13" s="429" t="str">
        <f ca="1">IFERROR(VLOOKUP(L$2,Rango_Admin_DailyPred,MATCH($F13,Rango_Admin_DailyPred_Primera,0),0),"-")</f>
        <v>Mbappé</v>
      </c>
      <c r="M13" s="429" t="str">
        <f ca="1">IFERROR(VLOOKUP(M$2,Rango_Admin_DailyPred,MATCH($F13,Rango_Admin_DailyPred_Primera,0),0),"-")</f>
        <v>Lamine Yamal</v>
      </c>
      <c r="N13" s="429" t="str">
        <f ca="1">IFERROR(VLOOKUP(N$2,Rango_Admin_DailyPred,MATCH($F13,Rango_Admin_DailyPred_Primera,0),0),"-")</f>
        <v>Harry Kane</v>
      </c>
      <c r="O13" s="429" t="str">
        <f ca="1">IFERROR(VLOOKUP(O$2,Rango_Admin_DailyPred,MATCH($F13,Rango_Admin_DailyPred_Primera,0),0),"-")</f>
        <v>Kylian Mbappe</v>
      </c>
      <c r="P13" s="429" t="str">
        <f ca="1">IFERROR(VLOOKUP(P$2,Rango_Admin_DailyPred,MATCH($F13,Rango_Admin_DailyPred_Primera,0),0),"-")</f>
        <v>Yamal</v>
      </c>
      <c r="Q13" s="429" t="str">
        <f ca="1">IFERROR(VLOOKUP(Q$2,Rango_Admin_DailyPred,MATCH($F13,Rango_Admin_DailyPred_Primera,0),0),"-")</f>
        <v>Vinicius Junior</v>
      </c>
      <c r="R13" s="429" t="str">
        <f ca="1">IFERROR(VLOOKUP(R$2,Rango_Admin_DailyPred,MATCH($F13,Rango_Admin_DailyPred_Primera,0),0),"-")</f>
        <v>-</v>
      </c>
      <c r="S13" s="429" t="str">
        <f ca="1">IFERROR(VLOOKUP(S$2,Rango_Admin_DailyPred,MATCH($F13,Rango_Admin_DailyPred_Primera,0),0),"-")</f>
        <v>-</v>
      </c>
      <c r="T13" s="429" t="str">
        <f ca="1">IFERROR(VLOOKUP(T$2,Rango_Admin_DailyPred,MATCH($F13,Rango_Admin_DailyPred_Primera,0),0),"-")</f>
        <v>-</v>
      </c>
      <c r="U13" s="429" t="str">
        <f ca="1">IFERROR(VLOOKUP(U$2,Rango_Admin_DailyPred,MATCH($F13,Rango_Admin_DailyPred_Primera,0),0),"-")</f>
        <v>-</v>
      </c>
      <c r="V13" s="429" t="str">
        <f ca="1">IFERROR(VLOOKUP(V$2,Rango_Admin_DailyPred,MATCH($F13,Rango_Admin_DailyPred_Primera,0),0),"-")</f>
        <v>-</v>
      </c>
      <c r="W13" s="429" t="str">
        <f ca="1">IFERROR(VLOOKUP(W$2,Rango_Admin_DailyPred,MATCH($F13,Rango_Admin_DailyPred_Primera,0),0),"-")</f>
        <v>-</v>
      </c>
      <c r="X13" s="429" t="str">
        <f ca="1">IFERROR(VLOOKUP(X$2,Rango_Admin_DailyPred,MATCH($F13,Rango_Admin_DailyPred_Primera,0),0),"-")</f>
        <v>-</v>
      </c>
      <c r="Y13" s="429" t="str">
        <f ca="1">IFERROR(VLOOKUP(Y$2,Rango_Admin_DailyPred,MATCH($F13,Rango_Admin_DailyPred_Primera,0),0),"-")</f>
        <v>-</v>
      </c>
      <c r="Z13" s="429" t="str">
        <f ca="1">IFERROR(VLOOKUP(Z$2,Rango_Admin_DailyPred,MATCH($F13,Rango_Admin_DailyPred_Primera,0),0),"-")</f>
        <v>-</v>
      </c>
      <c r="AA13" s="429" t="str">
        <f ca="1">IFERROR(VLOOKUP(AA$2,Rango_Admin_DailyPred,MATCH($F13,Rango_Admin_DailyPred_Primera,0),0),"-")</f>
        <v>-</v>
      </c>
      <c r="AB13" s="429" t="str">
        <f ca="1">IFERROR(VLOOKUP(AB$2,Rango_Admin_DailyPred,MATCH($F13,Rango_Admin_DailyPred_Primera,0),0),"-")</f>
        <v>-</v>
      </c>
      <c r="AC13" s="429" t="str">
        <f ca="1">IFERROR(VLOOKUP(AC$2,Rango_Admin_DailyPred,MATCH($F13,Rango_Admin_DailyPred_Primera,0),0),"-")</f>
        <v>-</v>
      </c>
      <c r="AD13" s="429" t="str">
        <f ca="1">IFERROR(VLOOKUP(AD$2,Rango_Admin_DailyPred,MATCH($F13,Rango_Admin_DailyPred_Primera,0),0),"-")</f>
        <v>-</v>
      </c>
      <c r="AE13" s="429" t="str">
        <f ca="1">IFERROR(VLOOKUP(AE$2,Rango_Admin_DailyPred,MATCH($F13,Rango_Admin_DailyPred_Primera,0),0),"-")</f>
        <v>-</v>
      </c>
      <c r="AF13" s="429" t="str">
        <f ca="1">IFERROR(VLOOKUP(AF$2,Rango_Admin_DailyPred,MATCH($F13,Rango_Admin_DailyPred_Primera,0),0),"-")</f>
        <v>-</v>
      </c>
      <c r="AG13" s="429" t="str">
        <f ca="1">IFERROR(VLOOKUP(AG$2,Rango_Admin_DailyPred,MATCH($F13,Rango_Admin_DailyPred_Primera,0),0),"-")</f>
        <v>-</v>
      </c>
      <c r="AH13" s="429" t="str">
        <f ca="1">IFERROR(VLOOKUP(AH$2,Rango_Admin_DailyPred,MATCH($F13,Rango_Admin_DailyPred_Primera,0),0),"-")</f>
        <v>-</v>
      </c>
      <c r="AI13" s="429" t="str">
        <f ca="1">IFERROR(VLOOKUP(AI$2,Rango_Admin_DailyPred,MATCH($F13,Rango_Admin_DailyPred_Primera,0),0),"-")</f>
        <v>-</v>
      </c>
      <c r="AJ13" s="429" t="str">
        <f ca="1">IFERROR(VLOOKUP(AJ$2,Rango_Admin_DailyPred,MATCH($F13,Rango_Admin_DailyPred_Primera,0),0),"-")</f>
        <v>-</v>
      </c>
      <c r="AK13" s="429" t="str">
        <f ca="1">IFERROR(VLOOKUP(AK$2,Rango_Admin_DailyPred,MATCH($F13,Rango_Admin_DailyPred_Primera,0),0),"-")</f>
        <v>-</v>
      </c>
      <c r="AL13" s="429" t="str">
        <f ca="1">IFERROR(VLOOKUP(AL$2,Rango_Admin_DailyPred,MATCH($F13,Rango_Admin_DailyPred_Primera,0),0),"-")</f>
        <v>-</v>
      </c>
      <c r="AM13" s="297"/>
      <c r="AN13" s="297"/>
      <c r="AO13" s="297"/>
    </row>
    <row r="14" spans="1:41">
      <c r="A14" s="8" t="str" cm="1">
        <f t="array" aca="1" ref="A14" ca="1">IFERROR(INDEX(ADMIN!$K$6:$K$258,SMALL(IF(ADMIN!$G$6:$G$258=$J$1,ROW(ADMIN!$G$6:$G$258)-ROW(ADMIN!$G$6)+1),ROWS($A$1:A11))),"")</f>
        <v>Bronze Ball (3rd Best Player))</v>
      </c>
      <c r="B14" s="8" t="str">
        <f t="shared" ca="1" si="0"/>
        <v>Bronze Ball (3rd Best Player))
 (Mbappé)</v>
      </c>
      <c r="C14" s="8" t="str" cm="1">
        <f t="array" aca="1" ref="C14" ca="1">IFERROR(IF(INDEX(ADMIN!$M$6:$M$258,SMALL(IF(ADMIN!$G$6:$G$258=$J$1,ROW(ADMIN!$G$6:$G$258)-ROW(ADMIN!$G$6)+1),ROWS($A$1:A11)))="-", "", " ("&amp;INDEX(ADMIN!$M$6:$M$258,SMALL(IF(ADMIN!$G$6:$G$258=$J$1,ROW(ADMIN!$G$6:$G$258)-ROW(ADMIN!$G$6)+1),ROWS($A$1:A11)))&amp;")"),"")</f>
        <v xml:space="preserve"> (Mbappé)</v>
      </c>
      <c r="D14" s="8" cm="1">
        <f t="array" aca="1" ref="D14" ca="1">IFERROR(IF($J$1&gt;=20,INDEX(ADMIN!$C$6:$C$258,SMALL(IF(ADMIN!$G$6:$G$258=$J$1,ROW(ADMIN!$G$6:$G$258)-ROW(ADMIN!$G$6)+1),ROWS($D$1:D11))),""),"")</f>
        <v>0</v>
      </c>
      <c r="E14" s="19">
        <f t="shared" si="1"/>
        <v>39</v>
      </c>
      <c r="F14" s="448" t="str" cm="1">
        <f t="array" ref="F14">IFERROR(INDEX(Rango_Admin_DailyPred_Primera,1,E14),"-")</f>
        <v>Bart Olde Keizer</v>
      </c>
      <c r="G14" s="429" t="str">
        <f ca="1">IFERROR(VLOOKUP(G$2,Rango_Admin_DailyPred,MATCH($F14,Rango_Admin_DailyPred_Primera,0),0),"-")</f>
        <v>Spain-England·2|0-1</v>
      </c>
      <c r="H14" s="429" t="str">
        <f ca="1">IFERROR(VLOOKUP(H$2,Rango_Admin_DailyPred,MATCH($F14,Rango_Admin_DailyPred_Primera,0),0),"-")</f>
        <v>Germany-United States·2|0-1</v>
      </c>
      <c r="I14" s="429" t="str">
        <f ca="1">IFERROR(VLOOKUP(I$2,Rango_Admin_DailyPred,MATCH($F14,Rango_Admin_DailyPred_Primera,0),0),"-")</f>
        <v>United States</v>
      </c>
      <c r="J14" s="429" t="str">
        <f ca="1">IFERROR(VLOOKUP(J$2,Rango_Admin_DailyPred,MATCH($F14,Rango_Admin_DailyPred_Primera,0),0),"-")</f>
        <v>Germany</v>
      </c>
      <c r="K14" s="429" t="str">
        <f ca="1">IFERROR(VLOOKUP(K$2,Rango_Admin_DailyPred,MATCH($F14,Rango_Admin_DailyPred_Primera,0),0),"-")</f>
        <v>England</v>
      </c>
      <c r="L14" s="429" t="str">
        <f ca="1">IFERROR(VLOOKUP(L$2,Rango_Admin_DailyPred,MATCH($F14,Rango_Admin_DailyPred_Primera,0),0),"-")</f>
        <v>Harry Kane</v>
      </c>
      <c r="M14" s="429" t="str">
        <f ca="1">IFERROR(VLOOKUP(M$2,Rango_Admin_DailyPred,MATCH($F14,Rango_Admin_DailyPred_Primera,0),0),"-")</f>
        <v>Erling Haaland</v>
      </c>
      <c r="N14" s="429" t="str">
        <f ca="1">IFERROR(VLOOKUP(N$2,Rango_Admin_DailyPred,MATCH($F14,Rango_Admin_DailyPred_Primera,0),0),"-")</f>
        <v>Kylian Mbappe</v>
      </c>
      <c r="O14" s="429" t="str">
        <f ca="1">IFERROR(VLOOKUP(O$2,Rango_Admin_DailyPred,MATCH($F14,Rango_Admin_DailyPred_Primera,0),0),"-")</f>
        <v>Lamine Yamal</v>
      </c>
      <c r="P14" s="429" t="str">
        <f ca="1">IFERROR(VLOOKUP(P$2,Rango_Admin_DailyPred,MATCH($F14,Rango_Admin_DailyPred_Primera,0),0),"-")</f>
        <v>Michael Olise</v>
      </c>
      <c r="Q14" s="429" t="str">
        <f ca="1">IFERROR(VLOOKUP(Q$2,Rango_Admin_DailyPred,MATCH($F14,Rango_Admin_DailyPred_Primera,0),0),"-")</f>
        <v>Harry Kane</v>
      </c>
      <c r="R14" s="429" t="str">
        <f ca="1">IFERROR(VLOOKUP(R$2,Rango_Admin_DailyPred,MATCH($F14,Rango_Admin_DailyPred_Primera,0),0),"-")</f>
        <v>-</v>
      </c>
      <c r="S14" s="429" t="str">
        <f ca="1">IFERROR(VLOOKUP(S$2,Rango_Admin_DailyPred,MATCH($F14,Rango_Admin_DailyPred_Primera,0),0),"-")</f>
        <v>-</v>
      </c>
      <c r="T14" s="429" t="str">
        <f ca="1">IFERROR(VLOOKUP(T$2,Rango_Admin_DailyPred,MATCH($F14,Rango_Admin_DailyPred_Primera,0),0),"-")</f>
        <v>-</v>
      </c>
      <c r="U14" s="429" t="str">
        <f ca="1">IFERROR(VLOOKUP(U$2,Rango_Admin_DailyPred,MATCH($F14,Rango_Admin_DailyPred_Primera,0),0),"-")</f>
        <v>-</v>
      </c>
      <c r="V14" s="429" t="str">
        <f ca="1">IFERROR(VLOOKUP(V$2,Rango_Admin_DailyPred,MATCH($F14,Rango_Admin_DailyPred_Primera,0),0),"-")</f>
        <v>-</v>
      </c>
      <c r="W14" s="429" t="str">
        <f ca="1">IFERROR(VLOOKUP(W$2,Rango_Admin_DailyPred,MATCH($F14,Rango_Admin_DailyPred_Primera,0),0),"-")</f>
        <v>-</v>
      </c>
      <c r="X14" s="429" t="str">
        <f ca="1">IFERROR(VLOOKUP(X$2,Rango_Admin_DailyPred,MATCH($F14,Rango_Admin_DailyPred_Primera,0),0),"-")</f>
        <v>-</v>
      </c>
      <c r="Y14" s="429" t="str">
        <f ca="1">IFERROR(VLOOKUP(Y$2,Rango_Admin_DailyPred,MATCH($F14,Rango_Admin_DailyPred_Primera,0),0),"-")</f>
        <v>-</v>
      </c>
      <c r="Z14" s="429" t="str">
        <f ca="1">IFERROR(VLOOKUP(Z$2,Rango_Admin_DailyPred,MATCH($F14,Rango_Admin_DailyPred_Primera,0),0),"-")</f>
        <v>-</v>
      </c>
      <c r="AA14" s="429" t="str">
        <f ca="1">IFERROR(VLOOKUP(AA$2,Rango_Admin_DailyPred,MATCH($F14,Rango_Admin_DailyPred_Primera,0),0),"-")</f>
        <v>-</v>
      </c>
      <c r="AB14" s="429" t="str">
        <f ca="1">IFERROR(VLOOKUP(AB$2,Rango_Admin_DailyPred,MATCH($F14,Rango_Admin_DailyPred_Primera,0),0),"-")</f>
        <v>-</v>
      </c>
      <c r="AC14" s="429" t="str">
        <f ca="1">IFERROR(VLOOKUP(AC$2,Rango_Admin_DailyPred,MATCH($F14,Rango_Admin_DailyPred_Primera,0),0),"-")</f>
        <v>-</v>
      </c>
      <c r="AD14" s="429" t="str">
        <f ca="1">IFERROR(VLOOKUP(AD$2,Rango_Admin_DailyPred,MATCH($F14,Rango_Admin_DailyPred_Primera,0),0),"-")</f>
        <v>-</v>
      </c>
      <c r="AE14" s="429" t="str">
        <f ca="1">IFERROR(VLOOKUP(AE$2,Rango_Admin_DailyPred,MATCH($F14,Rango_Admin_DailyPred_Primera,0),0),"-")</f>
        <v>-</v>
      </c>
      <c r="AF14" s="429" t="str">
        <f ca="1">IFERROR(VLOOKUP(AF$2,Rango_Admin_DailyPred,MATCH($F14,Rango_Admin_DailyPred_Primera,0),0),"-")</f>
        <v>-</v>
      </c>
      <c r="AG14" s="429" t="str">
        <f ca="1">IFERROR(VLOOKUP(AG$2,Rango_Admin_DailyPred,MATCH($F14,Rango_Admin_DailyPred_Primera,0),0),"-")</f>
        <v>-</v>
      </c>
      <c r="AH14" s="429" t="str">
        <f ca="1">IFERROR(VLOOKUP(AH$2,Rango_Admin_DailyPred,MATCH($F14,Rango_Admin_DailyPred_Primera,0),0),"-")</f>
        <v>-</v>
      </c>
      <c r="AI14" s="429" t="str">
        <f ca="1">IFERROR(VLOOKUP(AI$2,Rango_Admin_DailyPred,MATCH($F14,Rango_Admin_DailyPred_Primera,0),0),"-")</f>
        <v>-</v>
      </c>
      <c r="AJ14" s="429" t="str">
        <f ca="1">IFERROR(VLOOKUP(AJ$2,Rango_Admin_DailyPred,MATCH($F14,Rango_Admin_DailyPred_Primera,0),0),"-")</f>
        <v>-</v>
      </c>
      <c r="AK14" s="429" t="str">
        <f ca="1">IFERROR(VLOOKUP(AK$2,Rango_Admin_DailyPred,MATCH($F14,Rango_Admin_DailyPred_Primera,0),0),"-")</f>
        <v>-</v>
      </c>
      <c r="AL14" s="429" t="str">
        <f ca="1">IFERROR(VLOOKUP(AL$2,Rango_Admin_DailyPred,MATCH($F14,Rango_Admin_DailyPred_Primera,0),0),"-")</f>
        <v>-</v>
      </c>
      <c r="AM14" s="297"/>
      <c r="AN14" s="297"/>
      <c r="AO14" s="297"/>
    </row>
    <row r="15" spans="1:41">
      <c r="A15" s="8" t="str" cm="1">
        <f t="array" aca="1" ref="A15" ca="1">IFERROR(INDEX(ADMIN!$K$6:$K$258,SMALL(IF(ADMIN!$G$6:$G$258=$J$1,ROW(ADMIN!$G$6:$G$258)-ROW(ADMIN!$G$6)+1),ROWS($A$1:A12))),"")</f>
        <v/>
      </c>
      <c r="B15" s="8" t="str">
        <f t="shared" ca="1" si="0"/>
        <v xml:space="preserve">
</v>
      </c>
      <c r="C15" s="8" t="str" cm="1">
        <f t="array" aca="1" ref="C15" ca="1">IFERROR(IF(INDEX(ADMIN!$M$6:$M$258,SMALL(IF(ADMIN!$G$6:$G$258=$J$1,ROW(ADMIN!$G$6:$G$258)-ROW(ADMIN!$G$6)+1),ROWS($A$1:A12)))="-", "", " ("&amp;INDEX(ADMIN!$M$6:$M$258,SMALL(IF(ADMIN!$G$6:$G$258=$J$1,ROW(ADMIN!$G$6:$G$258)-ROW(ADMIN!$G$6)+1),ROWS($A$1:A12)))&amp;")"),"")</f>
        <v/>
      </c>
      <c r="D15" s="8" t="str" cm="1">
        <f t="array" aca="1" ref="D15" ca="1">IFERROR(IF($J$1&gt;=20,INDEX(ADMIN!$C$6:$C$258,SMALL(IF(ADMIN!$G$6:$G$258=$J$1,ROW(ADMIN!$G$6:$G$258)-ROW(ADMIN!$G$6)+1),ROWS($D$1:D12))),""),"")</f>
        <v/>
      </c>
      <c r="E15" s="19">
        <f t="shared" si="1"/>
        <v>42</v>
      </c>
      <c r="F15" s="448" t="str" cm="1">
        <f t="array" ref="F15">IFERROR(INDEX(Rango_Admin_DailyPred_Primera,1,E15),"-")</f>
        <v>Twan Veldhuis</v>
      </c>
      <c r="G15" s="429" t="str">
        <f ca="1">IFERROR(VLOOKUP(G$2,Rango_Admin_DailyPred,MATCH($F15,Rango_Admin_DailyPred_Primera,0),0),"-")</f>
        <v>France-Argentina·1|2-1</v>
      </c>
      <c r="H15" s="429" t="str">
        <f ca="1">IFERROR(VLOOKUP(H$2,Rango_Admin_DailyPred,MATCH($F15,Rango_Admin_DailyPred_Primera,0),0),"-")</f>
        <v>Spain-Brazil·1|2-1</v>
      </c>
      <c r="I15" s="429" t="str">
        <f ca="1">IFERROR(VLOOKUP(I$2,Rango_Admin_DailyPred,MATCH($F15,Rango_Admin_DailyPred_Primera,0),0),"-")</f>
        <v>Spain</v>
      </c>
      <c r="J15" s="429" t="str">
        <f ca="1">IFERROR(VLOOKUP(J$2,Rango_Admin_DailyPred,MATCH($F15,Rango_Admin_DailyPred_Primera,0),0),"-")</f>
        <v>Brazil</v>
      </c>
      <c r="K15" s="429" t="str">
        <f ca="1">IFERROR(VLOOKUP(K$2,Rango_Admin_DailyPred,MATCH($F15,Rango_Admin_DailyPred_Primera,0),0),"-")</f>
        <v>France</v>
      </c>
      <c r="L15" s="429" t="str">
        <f ca="1">IFERROR(VLOOKUP(L$2,Rango_Admin_DailyPred,MATCH($F15,Rango_Admin_DailyPred_Primera,0),0),"-")</f>
        <v>Mbappé</v>
      </c>
      <c r="M15" s="429" t="str">
        <f ca="1">IFERROR(VLOOKUP(M$2,Rango_Admin_DailyPred,MATCH($F15,Rango_Admin_DailyPred_Primera,0),0),"-")</f>
        <v>Harry Kane</v>
      </c>
      <c r="N15" s="429" t="str">
        <f ca="1">IFERROR(VLOOKUP(N$2,Rango_Admin_DailyPred,MATCH($F15,Rango_Admin_DailyPred_Primera,0),0),"-")</f>
        <v>Bellingham / Haaland</v>
      </c>
      <c r="O15" s="429" t="str">
        <f ca="1">IFERROR(VLOOKUP(O$2,Rango_Admin_DailyPred,MATCH($F15,Rango_Admin_DailyPred_Primera,0),0),"-")</f>
        <v>Yamal</v>
      </c>
      <c r="P15" s="429" t="str">
        <f ca="1">IFERROR(VLOOKUP(P$2,Rango_Admin_DailyPred,MATCH($F15,Rango_Admin_DailyPred_Primera,0),0),"-")</f>
        <v>Mbappe</v>
      </c>
      <c r="Q15" s="429" t="str">
        <f ca="1">IFERROR(VLOOKUP(Q$2,Rango_Admin_DailyPred,MATCH($F15,Rango_Admin_DailyPred_Primera,0),0),"-")</f>
        <v>Vinicius Junior</v>
      </c>
      <c r="R15" s="429" t="str">
        <f ca="1">IFERROR(VLOOKUP(R$2,Rango_Admin_DailyPred,MATCH($F15,Rango_Admin_DailyPred_Primera,0),0),"-")</f>
        <v>-</v>
      </c>
      <c r="S15" s="429" t="str">
        <f ca="1">IFERROR(VLOOKUP(S$2,Rango_Admin_DailyPred,MATCH($F15,Rango_Admin_DailyPred_Primera,0),0),"-")</f>
        <v>-</v>
      </c>
      <c r="T15" s="429" t="str">
        <f ca="1">IFERROR(VLOOKUP(T$2,Rango_Admin_DailyPred,MATCH($F15,Rango_Admin_DailyPred_Primera,0),0),"-")</f>
        <v>-</v>
      </c>
      <c r="U15" s="429" t="str">
        <f ca="1">IFERROR(VLOOKUP(U$2,Rango_Admin_DailyPred,MATCH($F15,Rango_Admin_DailyPred_Primera,0),0),"-")</f>
        <v>-</v>
      </c>
      <c r="V15" s="429" t="str">
        <f ca="1">IFERROR(VLOOKUP(V$2,Rango_Admin_DailyPred,MATCH($F15,Rango_Admin_DailyPred_Primera,0),0),"-")</f>
        <v>-</v>
      </c>
      <c r="W15" s="429" t="str">
        <f ca="1">IFERROR(VLOOKUP(W$2,Rango_Admin_DailyPred,MATCH($F15,Rango_Admin_DailyPred_Primera,0),0),"-")</f>
        <v>-</v>
      </c>
      <c r="X15" s="429" t="str">
        <f ca="1">IFERROR(VLOOKUP(X$2,Rango_Admin_DailyPred,MATCH($F15,Rango_Admin_DailyPred_Primera,0),0),"-")</f>
        <v>-</v>
      </c>
      <c r="Y15" s="429" t="str">
        <f ca="1">IFERROR(VLOOKUP(Y$2,Rango_Admin_DailyPred,MATCH($F15,Rango_Admin_DailyPred_Primera,0),0),"-")</f>
        <v>-</v>
      </c>
      <c r="Z15" s="429" t="str">
        <f ca="1">IFERROR(VLOOKUP(Z$2,Rango_Admin_DailyPred,MATCH($F15,Rango_Admin_DailyPred_Primera,0),0),"-")</f>
        <v>-</v>
      </c>
      <c r="AA15" s="429" t="str">
        <f ca="1">IFERROR(VLOOKUP(AA$2,Rango_Admin_DailyPred,MATCH($F15,Rango_Admin_DailyPred_Primera,0),0),"-")</f>
        <v>-</v>
      </c>
      <c r="AB15" s="429" t="str">
        <f ca="1">IFERROR(VLOOKUP(AB$2,Rango_Admin_DailyPred,MATCH($F15,Rango_Admin_DailyPred_Primera,0),0),"-")</f>
        <v>-</v>
      </c>
      <c r="AC15" s="429" t="str">
        <f ca="1">IFERROR(VLOOKUP(AC$2,Rango_Admin_DailyPred,MATCH($F15,Rango_Admin_DailyPred_Primera,0),0),"-")</f>
        <v>-</v>
      </c>
      <c r="AD15" s="429" t="str">
        <f ca="1">IFERROR(VLOOKUP(AD$2,Rango_Admin_DailyPred,MATCH($F15,Rango_Admin_DailyPred_Primera,0),0),"-")</f>
        <v>-</v>
      </c>
      <c r="AE15" s="429" t="str">
        <f ca="1">IFERROR(VLOOKUP(AE$2,Rango_Admin_DailyPred,MATCH($F15,Rango_Admin_DailyPred_Primera,0),0),"-")</f>
        <v>-</v>
      </c>
      <c r="AF15" s="429" t="str">
        <f ca="1">IFERROR(VLOOKUP(AF$2,Rango_Admin_DailyPred,MATCH($F15,Rango_Admin_DailyPred_Primera,0),0),"-")</f>
        <v>-</v>
      </c>
      <c r="AG15" s="429" t="str">
        <f ca="1">IFERROR(VLOOKUP(AG$2,Rango_Admin_DailyPred,MATCH($F15,Rango_Admin_DailyPred_Primera,0),0),"-")</f>
        <v>-</v>
      </c>
      <c r="AH15" s="429" t="str">
        <f ca="1">IFERROR(VLOOKUP(AH$2,Rango_Admin_DailyPred,MATCH($F15,Rango_Admin_DailyPred_Primera,0),0),"-")</f>
        <v>-</v>
      </c>
      <c r="AI15" s="429" t="str">
        <f ca="1">IFERROR(VLOOKUP(AI$2,Rango_Admin_DailyPred,MATCH($F15,Rango_Admin_DailyPred_Primera,0),0),"-")</f>
        <v>-</v>
      </c>
      <c r="AJ15" s="429" t="str">
        <f ca="1">IFERROR(VLOOKUP(AJ$2,Rango_Admin_DailyPred,MATCH($F15,Rango_Admin_DailyPred_Primera,0),0),"-")</f>
        <v>-</v>
      </c>
      <c r="AK15" s="429" t="str">
        <f ca="1">IFERROR(VLOOKUP(AK$2,Rango_Admin_DailyPred,MATCH($F15,Rango_Admin_DailyPred_Primera,0),0),"-")</f>
        <v>-</v>
      </c>
      <c r="AL15" s="429" t="str">
        <f ca="1">IFERROR(VLOOKUP(AL$2,Rango_Admin_DailyPred,MATCH($F15,Rango_Admin_DailyPred_Primera,0),0),"-")</f>
        <v>-</v>
      </c>
      <c r="AM15" s="297"/>
      <c r="AN15" s="297"/>
      <c r="AO15" s="297"/>
    </row>
    <row r="16" spans="1:41">
      <c r="A16" s="8" t="str" cm="1">
        <f t="array" aca="1" ref="A16" ca="1">IFERROR(INDEX(ADMIN!$K$6:$K$258,SMALL(IF(ADMIN!$G$6:$G$258=$J$1,ROW(ADMIN!$G$6:$G$258)-ROW(ADMIN!$G$6)+1),ROWS($A$1:A13))),"")</f>
        <v/>
      </c>
      <c r="B16" s="8" t="str">
        <f t="shared" ca="1" si="0"/>
        <v xml:space="preserve">
</v>
      </c>
      <c r="C16" s="8" t="str" cm="1">
        <f t="array" aca="1" ref="C16" ca="1">IFERROR(IF(INDEX(ADMIN!$M$6:$M$258,SMALL(IF(ADMIN!$G$6:$G$258=$J$1,ROW(ADMIN!$G$6:$G$258)-ROW(ADMIN!$G$6)+1),ROWS($A$1:A13)))="-", "", " ("&amp;INDEX(ADMIN!$M$6:$M$258,SMALL(IF(ADMIN!$G$6:$G$258=$J$1,ROW(ADMIN!$G$6:$G$258)-ROW(ADMIN!$G$6)+1),ROWS($A$1:A13)))&amp;")"),"")</f>
        <v/>
      </c>
      <c r="D16" s="8" t="str" cm="1">
        <f t="array" aca="1" ref="D16" ca="1">IFERROR(IF($J$1&gt;=20,INDEX(ADMIN!$C$6:$C$258,SMALL(IF(ADMIN!$G$6:$G$258=$J$1,ROW(ADMIN!$G$6:$G$258)-ROW(ADMIN!$G$6)+1),ROWS($D$1:D13))),""),"")</f>
        <v/>
      </c>
      <c r="E16" s="19">
        <f t="shared" si="1"/>
        <v>45</v>
      </c>
      <c r="F16" s="448" t="str" cm="1">
        <f t="array" ref="F16">IFERROR(INDEX(Rango_Admin_DailyPred_Primera,1,E16),"-")</f>
        <v>Herald Hessing</v>
      </c>
      <c r="G16" s="429" t="str">
        <f ca="1">IFERROR(VLOOKUP(G$2,Rango_Admin_DailyPred,MATCH($F16,Rango_Admin_DailyPred_Primera,0),0),"-")</f>
        <v>France-Argentina·1|2-1</v>
      </c>
      <c r="H16" s="429" t="str">
        <f ca="1">IFERROR(VLOOKUP(H$2,Rango_Admin_DailyPred,MATCH($F16,Rango_Admin_DailyPred_Primera,0),0),"-")</f>
        <v>Spain-Netherlands·2|1-2</v>
      </c>
      <c r="I16" s="429" t="str">
        <f ca="1">IFERROR(VLOOKUP(I$2,Rango_Admin_DailyPred,MATCH($F16,Rango_Admin_DailyPred_Primera,0),0),"-")</f>
        <v>Netherlands</v>
      </c>
      <c r="J16" s="429" t="str">
        <f ca="1">IFERROR(VLOOKUP(J$2,Rango_Admin_DailyPred,MATCH($F16,Rango_Admin_DailyPred_Primera,0),0),"-")</f>
        <v>Spain</v>
      </c>
      <c r="K16" s="429" t="str">
        <f ca="1">IFERROR(VLOOKUP(K$2,Rango_Admin_DailyPred,MATCH($F16,Rango_Admin_DailyPred_Primera,0),0),"-")</f>
        <v>France</v>
      </c>
      <c r="L16" s="429" t="str">
        <f ca="1">IFERROR(VLOOKUP(L$2,Rango_Admin_DailyPred,MATCH($F16,Rango_Admin_DailyPred_Primera,0),0),"-")</f>
        <v>Harry Kane</v>
      </c>
      <c r="M16" s="429" t="str">
        <f ca="1">IFERROR(VLOOKUP(M$2,Rango_Admin_DailyPred,MATCH($F16,Rango_Admin_DailyPred_Primera,0),0),"-")</f>
        <v>Cody Gakpo</v>
      </c>
      <c r="N16" s="429" t="str">
        <f ca="1">IFERROR(VLOOKUP(N$2,Rango_Admin_DailyPred,MATCH($F16,Rango_Admin_DailyPred_Primera,0),0),"-")</f>
        <v>Bellingham / Haaland</v>
      </c>
      <c r="O16" s="429" t="str">
        <f ca="1">IFERROR(VLOOKUP(O$2,Rango_Admin_DailyPred,MATCH($F16,Rango_Admin_DailyPred_Primera,0),0),"-")</f>
        <v>Haaland</v>
      </c>
      <c r="P16" s="429" t="str">
        <f ca="1">IFERROR(VLOOKUP(P$2,Rango_Admin_DailyPred,MATCH($F16,Rango_Admin_DailyPred_Primera,0),0),"-")</f>
        <v>Jurriën Timber</v>
      </c>
      <c r="Q16" s="429" t="str">
        <f ca="1">IFERROR(VLOOKUP(Q$2,Rango_Admin_DailyPred,MATCH($F16,Rango_Admin_DailyPred_Primera,0),0),"-")</f>
        <v>Nico Williams</v>
      </c>
      <c r="R16" s="429" t="str">
        <f ca="1">IFERROR(VLOOKUP(R$2,Rango_Admin_DailyPred,MATCH($F16,Rango_Admin_DailyPred_Primera,0),0),"-")</f>
        <v>-</v>
      </c>
      <c r="S16" s="429" t="str">
        <f ca="1">IFERROR(VLOOKUP(S$2,Rango_Admin_DailyPred,MATCH($F16,Rango_Admin_DailyPred_Primera,0),0),"-")</f>
        <v>-</v>
      </c>
      <c r="T16" s="429" t="str">
        <f ca="1">IFERROR(VLOOKUP(T$2,Rango_Admin_DailyPred,MATCH($F16,Rango_Admin_DailyPred_Primera,0),0),"-")</f>
        <v>-</v>
      </c>
      <c r="U16" s="429" t="str">
        <f ca="1">IFERROR(VLOOKUP(U$2,Rango_Admin_DailyPred,MATCH($F16,Rango_Admin_DailyPred_Primera,0),0),"-")</f>
        <v>-</v>
      </c>
      <c r="V16" s="429" t="str">
        <f ca="1">IFERROR(VLOOKUP(V$2,Rango_Admin_DailyPred,MATCH($F16,Rango_Admin_DailyPred_Primera,0),0),"-")</f>
        <v>-</v>
      </c>
      <c r="W16" s="429" t="str">
        <f ca="1">IFERROR(VLOOKUP(W$2,Rango_Admin_DailyPred,MATCH($F16,Rango_Admin_DailyPred_Primera,0),0),"-")</f>
        <v>-</v>
      </c>
      <c r="X16" s="429" t="str">
        <f ca="1">IFERROR(VLOOKUP(X$2,Rango_Admin_DailyPred,MATCH($F16,Rango_Admin_DailyPred_Primera,0),0),"-")</f>
        <v>-</v>
      </c>
      <c r="Y16" s="429" t="str">
        <f ca="1">IFERROR(VLOOKUP(Y$2,Rango_Admin_DailyPred,MATCH($F16,Rango_Admin_DailyPred_Primera,0),0),"-")</f>
        <v>-</v>
      </c>
      <c r="Z16" s="429" t="str">
        <f ca="1">IFERROR(VLOOKUP(Z$2,Rango_Admin_DailyPred,MATCH($F16,Rango_Admin_DailyPred_Primera,0),0),"-")</f>
        <v>-</v>
      </c>
      <c r="AA16" s="429" t="str">
        <f ca="1">IFERROR(VLOOKUP(AA$2,Rango_Admin_DailyPred,MATCH($F16,Rango_Admin_DailyPred_Primera,0),0),"-")</f>
        <v>-</v>
      </c>
      <c r="AB16" s="429" t="str">
        <f ca="1">IFERROR(VLOOKUP(AB$2,Rango_Admin_DailyPred,MATCH($F16,Rango_Admin_DailyPred_Primera,0),0),"-")</f>
        <v>-</v>
      </c>
      <c r="AC16" s="429" t="str">
        <f ca="1">IFERROR(VLOOKUP(AC$2,Rango_Admin_DailyPred,MATCH($F16,Rango_Admin_DailyPred_Primera,0),0),"-")</f>
        <v>-</v>
      </c>
      <c r="AD16" s="429" t="str">
        <f ca="1">IFERROR(VLOOKUP(AD$2,Rango_Admin_DailyPred,MATCH($F16,Rango_Admin_DailyPred_Primera,0),0),"-")</f>
        <v>-</v>
      </c>
      <c r="AE16" s="429" t="str">
        <f ca="1">IFERROR(VLOOKUP(AE$2,Rango_Admin_DailyPred,MATCH($F16,Rango_Admin_DailyPred_Primera,0),0),"-")</f>
        <v>-</v>
      </c>
      <c r="AF16" s="429" t="str">
        <f ca="1">IFERROR(VLOOKUP(AF$2,Rango_Admin_DailyPred,MATCH($F16,Rango_Admin_DailyPred_Primera,0),0),"-")</f>
        <v>-</v>
      </c>
      <c r="AG16" s="429" t="str">
        <f ca="1">IFERROR(VLOOKUP(AG$2,Rango_Admin_DailyPred,MATCH($F16,Rango_Admin_DailyPred_Primera,0),0),"-")</f>
        <v>-</v>
      </c>
      <c r="AH16" s="429" t="str">
        <f ca="1">IFERROR(VLOOKUP(AH$2,Rango_Admin_DailyPred,MATCH($F16,Rango_Admin_DailyPred_Primera,0),0),"-")</f>
        <v>-</v>
      </c>
      <c r="AI16" s="429" t="str">
        <f ca="1">IFERROR(VLOOKUP(AI$2,Rango_Admin_DailyPred,MATCH($F16,Rango_Admin_DailyPred_Primera,0),0),"-")</f>
        <v>-</v>
      </c>
      <c r="AJ16" s="429" t="str">
        <f ca="1">IFERROR(VLOOKUP(AJ$2,Rango_Admin_DailyPred,MATCH($F16,Rango_Admin_DailyPred_Primera,0),0),"-")</f>
        <v>-</v>
      </c>
      <c r="AK16" s="429" t="str">
        <f ca="1">IFERROR(VLOOKUP(AK$2,Rango_Admin_DailyPred,MATCH($F16,Rango_Admin_DailyPred_Primera,0),0),"-")</f>
        <v>-</v>
      </c>
      <c r="AL16" s="429" t="str">
        <f ca="1">IFERROR(VLOOKUP(AL$2,Rango_Admin_DailyPred,MATCH($F16,Rango_Admin_DailyPred_Primera,0),0),"-")</f>
        <v>-</v>
      </c>
      <c r="AM16" s="297"/>
      <c r="AN16" s="297"/>
      <c r="AO16" s="297"/>
    </row>
    <row r="17" spans="1:41">
      <c r="A17" s="8" t="str" cm="1">
        <f t="array" aca="1" ref="A17" ca="1">IFERROR(INDEX(ADMIN!$K$6:$K$258,SMALL(IF(ADMIN!$G$6:$G$258=$J$1,ROW(ADMIN!$G$6:$G$258)-ROW(ADMIN!$G$6)+1),ROWS($A$1:A14))),"")</f>
        <v/>
      </c>
      <c r="B17" s="8" t="str">
        <f t="shared" ca="1" si="0"/>
        <v xml:space="preserve">
</v>
      </c>
      <c r="C17" s="8" t="str" cm="1">
        <f t="array" aca="1" ref="C17" ca="1">IFERROR(IF(INDEX(ADMIN!$M$6:$M$258,SMALL(IF(ADMIN!$G$6:$G$258=$J$1,ROW(ADMIN!$G$6:$G$258)-ROW(ADMIN!$G$6)+1),ROWS($A$1:A14)))="-", "", " ("&amp;INDEX(ADMIN!$M$6:$M$258,SMALL(IF(ADMIN!$G$6:$G$258=$J$1,ROW(ADMIN!$G$6:$G$258)-ROW(ADMIN!$G$6)+1),ROWS($A$1:A14)))&amp;")"),"")</f>
        <v/>
      </c>
      <c r="D17" s="8" t="str" cm="1">
        <f t="array" aca="1" ref="D17" ca="1">IFERROR(IF($J$1&gt;=20,INDEX(ADMIN!$C$6:$C$258,SMALL(IF(ADMIN!$G$6:$G$258=$J$1,ROW(ADMIN!$G$6:$G$258)-ROW(ADMIN!$G$6)+1),ROWS($D$1:D14))),""),"")</f>
        <v/>
      </c>
      <c r="E17" s="19">
        <f t="shared" si="1"/>
        <v>48</v>
      </c>
      <c r="F17" s="448" t="str" cm="1">
        <f t="array" ref="F17">IFERROR(INDEX(Rango_Admin_DailyPred_Primera,1,E17),"-")</f>
        <v>Bart van Moorsel</v>
      </c>
      <c r="G17" s="429" t="str">
        <f ca="1">IFERROR(VLOOKUP(G$2,Rango_Admin_DailyPred,MATCH($F17,Rango_Admin_DailyPred_Primera,0),0),"-")</f>
        <v>Spain-Portugal·1|1-0</v>
      </c>
      <c r="H17" s="429" t="str">
        <f ca="1">IFERROR(VLOOKUP(H$2,Rango_Admin_DailyPred,MATCH($F17,Rango_Admin_DailyPred_Primera,0),0),"-")</f>
        <v>France-Brazil·1|1-0</v>
      </c>
      <c r="I17" s="429" t="str">
        <f ca="1">IFERROR(VLOOKUP(I$2,Rango_Admin_DailyPred,MATCH($F17,Rango_Admin_DailyPred_Primera,0),0),"-")</f>
        <v>France</v>
      </c>
      <c r="J17" s="429" t="str">
        <f ca="1">IFERROR(VLOOKUP(J$2,Rango_Admin_DailyPred,MATCH($F17,Rango_Admin_DailyPred_Primera,0),0),"-")</f>
        <v>Brazil</v>
      </c>
      <c r="K17" s="429" t="str">
        <f ca="1">IFERROR(VLOOKUP(K$2,Rango_Admin_DailyPred,MATCH($F17,Rango_Admin_DailyPred_Primera,0),0),"-")</f>
        <v>Spain</v>
      </c>
      <c r="L17" s="429" t="str">
        <f ca="1">IFERROR(VLOOKUP(L$2,Rango_Admin_DailyPred,MATCH($F17,Rango_Admin_DailyPred_Primera,0),0),"-")</f>
        <v>Mbappé</v>
      </c>
      <c r="M17" s="429" t="str">
        <f ca="1">IFERROR(VLOOKUP(M$2,Rango_Admin_DailyPred,MATCH($F17,Rango_Admin_DailyPred_Primera,0),0),"-")</f>
        <v>Lamine Yamal</v>
      </c>
      <c r="N17" s="429" t="str">
        <f ca="1">IFERROR(VLOOKUP(N$2,Rango_Admin_DailyPred,MATCH($F17,Rango_Admin_DailyPred_Primera,0),0),"-")</f>
        <v>Goncalo Ramos</v>
      </c>
      <c r="O17" s="429" t="str">
        <f ca="1">IFERROR(VLOOKUP(O$2,Rango_Admin_DailyPred,MATCH($F17,Rango_Admin_DailyPred_Primera,0),0),"-")</f>
        <v>Lamine Yamal</v>
      </c>
      <c r="P17" s="429" t="str">
        <f ca="1">IFERROR(VLOOKUP(P$2,Rango_Admin_DailyPred,MATCH($F17,Rango_Admin_DailyPred_Primera,0),0),"-")</f>
        <v>Kylian Mbappe</v>
      </c>
      <c r="Q17" s="429" t="str">
        <f ca="1">IFERROR(VLOOKUP(Q$2,Rango_Admin_DailyPred,MATCH($F17,Rango_Admin_DailyPred_Primera,0),0),"-")</f>
        <v>Vitinha</v>
      </c>
      <c r="R17" s="429" t="str">
        <f ca="1">IFERROR(VLOOKUP(R$2,Rango_Admin_DailyPred,MATCH($F17,Rango_Admin_DailyPred_Primera,0),0),"-")</f>
        <v>-</v>
      </c>
      <c r="S17" s="429" t="str">
        <f ca="1">IFERROR(VLOOKUP(S$2,Rango_Admin_DailyPred,MATCH($F17,Rango_Admin_DailyPred_Primera,0),0),"-")</f>
        <v>-</v>
      </c>
      <c r="T17" s="429" t="str">
        <f ca="1">IFERROR(VLOOKUP(T$2,Rango_Admin_DailyPred,MATCH($F17,Rango_Admin_DailyPred_Primera,0),0),"-")</f>
        <v>-</v>
      </c>
      <c r="U17" s="429" t="str">
        <f ca="1">IFERROR(VLOOKUP(U$2,Rango_Admin_DailyPred,MATCH($F17,Rango_Admin_DailyPred_Primera,0),0),"-")</f>
        <v>-</v>
      </c>
      <c r="V17" s="429" t="str">
        <f ca="1">IFERROR(VLOOKUP(V$2,Rango_Admin_DailyPred,MATCH($F17,Rango_Admin_DailyPred_Primera,0),0),"-")</f>
        <v>-</v>
      </c>
      <c r="W17" s="429" t="str">
        <f ca="1">IFERROR(VLOOKUP(W$2,Rango_Admin_DailyPred,MATCH($F17,Rango_Admin_DailyPred_Primera,0),0),"-")</f>
        <v>-</v>
      </c>
      <c r="X17" s="429" t="str">
        <f ca="1">IFERROR(VLOOKUP(X$2,Rango_Admin_DailyPred,MATCH($F17,Rango_Admin_DailyPred_Primera,0),0),"-")</f>
        <v>-</v>
      </c>
      <c r="Y17" s="429" t="str">
        <f ca="1">IFERROR(VLOOKUP(Y$2,Rango_Admin_DailyPred,MATCH($F17,Rango_Admin_DailyPred_Primera,0),0),"-")</f>
        <v>-</v>
      </c>
      <c r="Z17" s="429" t="str">
        <f ca="1">IFERROR(VLOOKUP(Z$2,Rango_Admin_DailyPred,MATCH($F17,Rango_Admin_DailyPred_Primera,0),0),"-")</f>
        <v>-</v>
      </c>
      <c r="AA17" s="429" t="str">
        <f ca="1">IFERROR(VLOOKUP(AA$2,Rango_Admin_DailyPred,MATCH($F17,Rango_Admin_DailyPred_Primera,0),0),"-")</f>
        <v>-</v>
      </c>
      <c r="AB17" s="429" t="str">
        <f ca="1">IFERROR(VLOOKUP(AB$2,Rango_Admin_DailyPred,MATCH($F17,Rango_Admin_DailyPred_Primera,0),0),"-")</f>
        <v>-</v>
      </c>
      <c r="AC17" s="429" t="str">
        <f ca="1">IFERROR(VLOOKUP(AC$2,Rango_Admin_DailyPred,MATCH($F17,Rango_Admin_DailyPred_Primera,0),0),"-")</f>
        <v>-</v>
      </c>
      <c r="AD17" s="429" t="str">
        <f ca="1">IFERROR(VLOOKUP(AD$2,Rango_Admin_DailyPred,MATCH($F17,Rango_Admin_DailyPred_Primera,0),0),"-")</f>
        <v>-</v>
      </c>
      <c r="AE17" s="429" t="str">
        <f ca="1">IFERROR(VLOOKUP(AE$2,Rango_Admin_DailyPred,MATCH($F17,Rango_Admin_DailyPred_Primera,0),0),"-")</f>
        <v>-</v>
      </c>
      <c r="AF17" s="429" t="str">
        <f ca="1">IFERROR(VLOOKUP(AF$2,Rango_Admin_DailyPred,MATCH($F17,Rango_Admin_DailyPred_Primera,0),0),"-")</f>
        <v>-</v>
      </c>
      <c r="AG17" s="429" t="str">
        <f ca="1">IFERROR(VLOOKUP(AG$2,Rango_Admin_DailyPred,MATCH($F17,Rango_Admin_DailyPred_Primera,0),0),"-")</f>
        <v>-</v>
      </c>
      <c r="AH17" s="429" t="str">
        <f ca="1">IFERROR(VLOOKUP(AH$2,Rango_Admin_DailyPred,MATCH($F17,Rango_Admin_DailyPred_Primera,0),0),"-")</f>
        <v>-</v>
      </c>
      <c r="AI17" s="429" t="str">
        <f ca="1">IFERROR(VLOOKUP(AI$2,Rango_Admin_DailyPred,MATCH($F17,Rango_Admin_DailyPred_Primera,0),0),"-")</f>
        <v>-</v>
      </c>
      <c r="AJ17" s="429" t="str">
        <f ca="1">IFERROR(VLOOKUP(AJ$2,Rango_Admin_DailyPred,MATCH($F17,Rango_Admin_DailyPred_Primera,0),0),"-")</f>
        <v>-</v>
      </c>
      <c r="AK17" s="429" t="str">
        <f ca="1">IFERROR(VLOOKUP(AK$2,Rango_Admin_DailyPred,MATCH($F17,Rango_Admin_DailyPred_Primera,0),0),"-")</f>
        <v>-</v>
      </c>
      <c r="AL17" s="429" t="str">
        <f ca="1">IFERROR(VLOOKUP(AL$2,Rango_Admin_DailyPred,MATCH($F17,Rango_Admin_DailyPred_Primera,0),0),"-")</f>
        <v>-</v>
      </c>
      <c r="AM17" s="297"/>
      <c r="AN17" s="297"/>
      <c r="AO17" s="297"/>
    </row>
    <row r="18" spans="1:41">
      <c r="A18" s="8" t="str" cm="1">
        <f t="array" aca="1" ref="A18" ca="1">IFERROR(INDEX(ADMIN!$K$6:$K$258,SMALL(IF(ADMIN!$G$6:$G$258=$J$1,ROW(ADMIN!$G$6:$G$258)-ROW(ADMIN!$G$6)+1),ROWS($A$1:A15))),"")</f>
        <v/>
      </c>
      <c r="B18" s="8" t="str">
        <f t="shared" ca="1" si="0"/>
        <v xml:space="preserve">
</v>
      </c>
      <c r="C18" s="8" t="str" cm="1">
        <f t="array" aca="1" ref="C18" ca="1">IFERROR(IF(INDEX(ADMIN!$M$6:$M$258,SMALL(IF(ADMIN!$G$6:$G$258=$J$1,ROW(ADMIN!$G$6:$G$258)-ROW(ADMIN!$G$6)+1),ROWS($A$1:A15)))="-", "", " ("&amp;INDEX(ADMIN!$M$6:$M$258,SMALL(IF(ADMIN!$G$6:$G$258=$J$1,ROW(ADMIN!$G$6:$G$258)-ROW(ADMIN!$G$6)+1),ROWS($A$1:A15)))&amp;")"),"")</f>
        <v/>
      </c>
      <c r="D18" s="8" t="str" cm="1">
        <f t="array" aca="1" ref="D18" ca="1">IFERROR(IF($J$1&gt;=20,INDEX(ADMIN!$C$6:$C$258,SMALL(IF(ADMIN!$G$6:$G$258=$J$1,ROW(ADMIN!$G$6:$G$258)-ROW(ADMIN!$G$6)+1),ROWS($D$1:D15))),""),"")</f>
        <v/>
      </c>
      <c r="E18" s="19">
        <f t="shared" si="1"/>
        <v>51</v>
      </c>
      <c r="F18" s="448" t="str" cm="1">
        <f t="array" ref="F18">IFERROR(INDEX(Rango_Admin_DailyPred_Primera,1,E18),"-")</f>
        <v>Joris Reinders</v>
      </c>
      <c r="G18" s="429" t="str">
        <f ca="1">IFERROR(VLOOKUP(G$2,Rango_Admin_DailyPred,MATCH($F18,Rango_Admin_DailyPred_Primera,0),0),"-")</f>
        <v>Netherlands-France·1|2-0</v>
      </c>
      <c r="H18" s="429" t="str">
        <f ca="1">IFERROR(VLOOKUP(H$2,Rango_Admin_DailyPred,MATCH($F18,Rango_Admin_DailyPred_Primera,0),0),"-")</f>
        <v>Spain-Portugal·1|2-1</v>
      </c>
      <c r="I18" s="429" t="str">
        <f ca="1">IFERROR(VLOOKUP(I$2,Rango_Admin_DailyPred,MATCH($F18,Rango_Admin_DailyPred_Primera,0),0),"-")</f>
        <v>Spain</v>
      </c>
      <c r="J18" s="429" t="str">
        <f ca="1">IFERROR(VLOOKUP(J$2,Rango_Admin_DailyPred,MATCH($F18,Rango_Admin_DailyPred_Primera,0),0),"-")</f>
        <v>Portugal</v>
      </c>
      <c r="K18" s="429" t="str">
        <f ca="1">IFERROR(VLOOKUP(K$2,Rango_Admin_DailyPred,MATCH($F18,Rango_Admin_DailyPred_Primera,0),0),"-")</f>
        <v>Netherlands</v>
      </c>
      <c r="L18" s="429" t="str">
        <f ca="1">IFERROR(VLOOKUP(L$2,Rango_Admin_DailyPred,MATCH($F18,Rango_Admin_DailyPred_Primera,0),0),"-")</f>
        <v>Rafael Leau</v>
      </c>
      <c r="M18" s="429" t="str">
        <f ca="1">IFERROR(VLOOKUP(M$2,Rango_Admin_DailyPred,MATCH($F18,Rango_Admin_DailyPred_Primera,0),0),"-")</f>
        <v>Michael Olise</v>
      </c>
      <c r="N18" s="429" t="str">
        <f ca="1">IFERROR(VLOOKUP(N$2,Rango_Admin_DailyPred,MATCH($F18,Rango_Admin_DailyPred_Primera,0),0),"-")</f>
        <v>Gody Gakpo</v>
      </c>
      <c r="O18" s="429" t="str">
        <f ca="1">IFERROR(VLOOKUP(O$2,Rango_Admin_DailyPred,MATCH($F18,Rango_Admin_DailyPred_Primera,0),0),"-")</f>
        <v xml:space="preserve">Lamine Yamal </v>
      </c>
      <c r="P18" s="429" t="str">
        <f ca="1">IFERROR(VLOOKUP(P$2,Rango_Admin_DailyPred,MATCH($F18,Rango_Admin_DailyPred_Primera,0),0),"-")</f>
        <v>Desiree Doue</v>
      </c>
      <c r="Q18" s="429" t="str">
        <f ca="1">IFERROR(VLOOKUP(Q$2,Rango_Admin_DailyPred,MATCH($F18,Rango_Admin_DailyPred_Primera,0),0),"-")</f>
        <v>Ryan Gravenbergh</v>
      </c>
      <c r="R18" s="429" t="str">
        <f ca="1">IFERROR(VLOOKUP(R$2,Rango_Admin_DailyPred,MATCH($F18,Rango_Admin_DailyPred_Primera,0),0),"-")</f>
        <v>-</v>
      </c>
      <c r="S18" s="429" t="str">
        <f ca="1">IFERROR(VLOOKUP(S$2,Rango_Admin_DailyPred,MATCH($F18,Rango_Admin_DailyPred_Primera,0),0),"-")</f>
        <v>-</v>
      </c>
      <c r="T18" s="429" t="str">
        <f ca="1">IFERROR(VLOOKUP(T$2,Rango_Admin_DailyPred,MATCH($F18,Rango_Admin_DailyPred_Primera,0),0),"-")</f>
        <v>-</v>
      </c>
      <c r="U18" s="429" t="str">
        <f ca="1">IFERROR(VLOOKUP(U$2,Rango_Admin_DailyPred,MATCH($F18,Rango_Admin_DailyPred_Primera,0),0),"-")</f>
        <v>-</v>
      </c>
      <c r="V18" s="429" t="str">
        <f ca="1">IFERROR(VLOOKUP(V$2,Rango_Admin_DailyPred,MATCH($F18,Rango_Admin_DailyPred_Primera,0),0),"-")</f>
        <v>-</v>
      </c>
      <c r="W18" s="429" t="str">
        <f ca="1">IFERROR(VLOOKUP(W$2,Rango_Admin_DailyPred,MATCH($F18,Rango_Admin_DailyPred_Primera,0),0),"-")</f>
        <v>-</v>
      </c>
      <c r="X18" s="429" t="str">
        <f ca="1">IFERROR(VLOOKUP(X$2,Rango_Admin_DailyPred,MATCH($F18,Rango_Admin_DailyPred_Primera,0),0),"-")</f>
        <v>-</v>
      </c>
      <c r="Y18" s="429" t="str">
        <f ca="1">IFERROR(VLOOKUP(Y$2,Rango_Admin_DailyPred,MATCH($F18,Rango_Admin_DailyPred_Primera,0),0),"-")</f>
        <v>-</v>
      </c>
      <c r="Z18" s="429" t="str">
        <f ca="1">IFERROR(VLOOKUP(Z$2,Rango_Admin_DailyPred,MATCH($F18,Rango_Admin_DailyPred_Primera,0),0),"-")</f>
        <v>-</v>
      </c>
      <c r="AA18" s="429" t="str">
        <f ca="1">IFERROR(VLOOKUP(AA$2,Rango_Admin_DailyPred,MATCH($F18,Rango_Admin_DailyPred_Primera,0),0),"-")</f>
        <v>-</v>
      </c>
      <c r="AB18" s="429" t="str">
        <f ca="1">IFERROR(VLOOKUP(AB$2,Rango_Admin_DailyPred,MATCH($F18,Rango_Admin_DailyPred_Primera,0),0),"-")</f>
        <v>-</v>
      </c>
      <c r="AC18" s="429" t="str">
        <f ca="1">IFERROR(VLOOKUP(AC$2,Rango_Admin_DailyPred,MATCH($F18,Rango_Admin_DailyPred_Primera,0),0),"-")</f>
        <v>-</v>
      </c>
      <c r="AD18" s="429" t="str">
        <f ca="1">IFERROR(VLOOKUP(AD$2,Rango_Admin_DailyPred,MATCH($F18,Rango_Admin_DailyPred_Primera,0),0),"-")</f>
        <v>-</v>
      </c>
      <c r="AE18" s="429" t="str">
        <f ca="1">IFERROR(VLOOKUP(AE$2,Rango_Admin_DailyPred,MATCH($F18,Rango_Admin_DailyPred_Primera,0),0),"-")</f>
        <v>-</v>
      </c>
      <c r="AF18" s="429" t="str">
        <f ca="1">IFERROR(VLOOKUP(AF$2,Rango_Admin_DailyPred,MATCH($F18,Rango_Admin_DailyPred_Primera,0),0),"-")</f>
        <v>-</v>
      </c>
      <c r="AG18" s="429" t="str">
        <f ca="1">IFERROR(VLOOKUP(AG$2,Rango_Admin_DailyPred,MATCH($F18,Rango_Admin_DailyPred_Primera,0),0),"-")</f>
        <v>-</v>
      </c>
      <c r="AH18" s="429" t="str">
        <f ca="1">IFERROR(VLOOKUP(AH$2,Rango_Admin_DailyPred,MATCH($F18,Rango_Admin_DailyPred_Primera,0),0),"-")</f>
        <v>-</v>
      </c>
      <c r="AI18" s="429" t="str">
        <f ca="1">IFERROR(VLOOKUP(AI$2,Rango_Admin_DailyPred,MATCH($F18,Rango_Admin_DailyPred_Primera,0),0),"-")</f>
        <v>-</v>
      </c>
      <c r="AJ18" s="429" t="str">
        <f ca="1">IFERROR(VLOOKUP(AJ$2,Rango_Admin_DailyPred,MATCH($F18,Rango_Admin_DailyPred_Primera,0),0),"-")</f>
        <v>-</v>
      </c>
      <c r="AK18" s="429" t="str">
        <f ca="1">IFERROR(VLOOKUP(AK$2,Rango_Admin_DailyPred,MATCH($F18,Rango_Admin_DailyPred_Primera,0),0),"-")</f>
        <v>-</v>
      </c>
      <c r="AL18" s="429" t="str">
        <f ca="1">IFERROR(VLOOKUP(AL$2,Rango_Admin_DailyPred,MATCH($F18,Rango_Admin_DailyPred_Primera,0),0),"-")</f>
        <v>-</v>
      </c>
      <c r="AM18" s="297"/>
      <c r="AN18" s="297"/>
      <c r="AO18" s="297"/>
    </row>
    <row r="19" spans="1:41">
      <c r="A19" s="8" t="str" cm="1">
        <f t="array" aca="1" ref="A19" ca="1">IFERROR(INDEX(ADMIN!$K$6:$K$258,SMALL(IF(ADMIN!$G$6:$G$258=$J$1,ROW(ADMIN!$G$6:$G$258)-ROW(ADMIN!$G$6)+1),ROWS($A$1:A16))),"")</f>
        <v/>
      </c>
      <c r="B19" s="8" t="str">
        <f t="shared" ca="1" si="0"/>
        <v xml:space="preserve">
</v>
      </c>
      <c r="C19" s="8" t="str" cm="1">
        <f t="array" aca="1" ref="C19" ca="1">IFERROR(IF(INDEX(ADMIN!$M$6:$M$258,SMALL(IF(ADMIN!$G$6:$G$258=$J$1,ROW(ADMIN!$G$6:$G$258)-ROW(ADMIN!$G$6)+1),ROWS($A$1:A16)))="-", "", " ("&amp;INDEX(ADMIN!$M$6:$M$258,SMALL(IF(ADMIN!$G$6:$G$258=$J$1,ROW(ADMIN!$G$6:$G$258)-ROW(ADMIN!$G$6)+1),ROWS($A$1:A16)))&amp;")"),"")</f>
        <v/>
      </c>
      <c r="D19" s="8" t="str" cm="1">
        <f t="array" aca="1" ref="D19" ca="1">IFERROR(IF($J$1&gt;=20,INDEX(ADMIN!$C$6:$C$258,SMALL(IF(ADMIN!$G$6:$G$258=$J$1,ROW(ADMIN!$G$6:$G$258)-ROW(ADMIN!$G$6)+1),ROWS($D$1:D16))),""),"")</f>
        <v/>
      </c>
      <c r="E19" s="19">
        <f t="shared" si="1"/>
        <v>54</v>
      </c>
      <c r="F19" s="448" t="str" cm="1">
        <f t="array" ref="F19">IFERROR(INDEX(Rango_Admin_DailyPred_Primera,1,E19),"-")</f>
        <v>Jesper Schutten</v>
      </c>
      <c r="G19" s="429" t="str">
        <f ca="1">IFERROR(VLOOKUP(G$2,Rango_Admin_DailyPred,MATCH($F19,Rango_Admin_DailyPred_Primera,0),0),"-")</f>
        <v>France-England·1|2-1</v>
      </c>
      <c r="H19" s="429" t="str">
        <f ca="1">IFERROR(VLOOKUP(H$2,Rango_Admin_DailyPred,MATCH($F19,Rango_Admin_DailyPred_Primera,0),0),"-")</f>
        <v>Spain-Argentina·1|2-1</v>
      </c>
      <c r="I19" s="429" t="str">
        <f ca="1">IFERROR(VLOOKUP(I$2,Rango_Admin_DailyPred,MATCH($F19,Rango_Admin_DailyPred_Primera,0),0),"-")</f>
        <v>Spain</v>
      </c>
      <c r="J19" s="429" t="str">
        <f ca="1">IFERROR(VLOOKUP(J$2,Rango_Admin_DailyPred,MATCH($F19,Rango_Admin_DailyPred_Primera,0),0),"-")</f>
        <v>Argentina</v>
      </c>
      <c r="K19" s="429" t="str">
        <f ca="1">IFERROR(VLOOKUP(K$2,Rango_Admin_DailyPred,MATCH($F19,Rango_Admin_DailyPred_Primera,0),0),"-")</f>
        <v>France</v>
      </c>
      <c r="L19" s="429" t="str">
        <f ca="1">IFERROR(VLOOKUP(L$2,Rango_Admin_DailyPred,MATCH($F19,Rango_Admin_DailyPred_Primera,0),0),"-")</f>
        <v>Mbappé</v>
      </c>
      <c r="M19" s="429" t="str">
        <f ca="1">IFERROR(VLOOKUP(M$2,Rango_Admin_DailyPred,MATCH($F19,Rango_Admin_DailyPred_Primera,0),0),"-")</f>
        <v>lamine yamal</v>
      </c>
      <c r="N19" s="429" t="str">
        <f ca="1">IFERROR(VLOOKUP(N$2,Rango_Admin_DailyPred,MATCH($F19,Rango_Admin_DailyPred_Primera,0),0),"-")</f>
        <v>Bellingham / Haaland</v>
      </c>
      <c r="O19" s="429" t="str">
        <f ca="1">IFERROR(VLOOKUP(O$2,Rango_Admin_DailyPred,MATCH($F19,Rango_Admin_DailyPred_Primera,0),0),"-")</f>
        <v>lamine yamal</v>
      </c>
      <c r="P19" s="429" t="str">
        <f ca="1">IFERROR(VLOOKUP(P$2,Rango_Admin_DailyPred,MATCH($F19,Rango_Admin_DailyPred_Primera,0),0),"-")</f>
        <v>kylian mpape</v>
      </c>
      <c r="Q19" s="429" t="str">
        <f ca="1">IFERROR(VLOOKUP(Q$2,Rango_Admin_DailyPred,MATCH($F19,Rango_Admin_DailyPred_Primera,0),0),"-")</f>
        <v>julian alvares</v>
      </c>
      <c r="R19" s="429" t="str">
        <f ca="1">IFERROR(VLOOKUP(R$2,Rango_Admin_DailyPred,MATCH($F19,Rango_Admin_DailyPred_Primera,0),0),"-")</f>
        <v>-</v>
      </c>
      <c r="S19" s="429" t="str">
        <f ca="1">IFERROR(VLOOKUP(S$2,Rango_Admin_DailyPred,MATCH($F19,Rango_Admin_DailyPred_Primera,0),0),"-")</f>
        <v>-</v>
      </c>
      <c r="T19" s="429" t="str">
        <f ca="1">IFERROR(VLOOKUP(T$2,Rango_Admin_DailyPred,MATCH($F19,Rango_Admin_DailyPred_Primera,0),0),"-")</f>
        <v>-</v>
      </c>
      <c r="U19" s="429" t="str">
        <f ca="1">IFERROR(VLOOKUP(U$2,Rango_Admin_DailyPred,MATCH($F19,Rango_Admin_DailyPred_Primera,0),0),"-")</f>
        <v>-</v>
      </c>
      <c r="V19" s="429" t="str">
        <f ca="1">IFERROR(VLOOKUP(V$2,Rango_Admin_DailyPred,MATCH($F19,Rango_Admin_DailyPred_Primera,0),0),"-")</f>
        <v>-</v>
      </c>
      <c r="W19" s="429" t="str">
        <f ca="1">IFERROR(VLOOKUP(W$2,Rango_Admin_DailyPred,MATCH($F19,Rango_Admin_DailyPred_Primera,0),0),"-")</f>
        <v>-</v>
      </c>
      <c r="X19" s="429" t="str">
        <f ca="1">IFERROR(VLOOKUP(X$2,Rango_Admin_DailyPred,MATCH($F19,Rango_Admin_DailyPred_Primera,0),0),"-")</f>
        <v>-</v>
      </c>
      <c r="Y19" s="429" t="str">
        <f ca="1">IFERROR(VLOOKUP(Y$2,Rango_Admin_DailyPred,MATCH($F19,Rango_Admin_DailyPred_Primera,0),0),"-")</f>
        <v>-</v>
      </c>
      <c r="Z19" s="429" t="str">
        <f ca="1">IFERROR(VLOOKUP(Z$2,Rango_Admin_DailyPred,MATCH($F19,Rango_Admin_DailyPred_Primera,0),0),"-")</f>
        <v>-</v>
      </c>
      <c r="AA19" s="429" t="str">
        <f ca="1">IFERROR(VLOOKUP(AA$2,Rango_Admin_DailyPred,MATCH($F19,Rango_Admin_DailyPred_Primera,0),0),"-")</f>
        <v>-</v>
      </c>
      <c r="AB19" s="429" t="str">
        <f ca="1">IFERROR(VLOOKUP(AB$2,Rango_Admin_DailyPred,MATCH($F19,Rango_Admin_DailyPred_Primera,0),0),"-")</f>
        <v>-</v>
      </c>
      <c r="AC19" s="429" t="str">
        <f ca="1">IFERROR(VLOOKUP(AC$2,Rango_Admin_DailyPred,MATCH($F19,Rango_Admin_DailyPred_Primera,0),0),"-")</f>
        <v>-</v>
      </c>
      <c r="AD19" s="429" t="str">
        <f ca="1">IFERROR(VLOOKUP(AD$2,Rango_Admin_DailyPred,MATCH($F19,Rango_Admin_DailyPred_Primera,0),0),"-")</f>
        <v>-</v>
      </c>
      <c r="AE19" s="429" t="str">
        <f ca="1">IFERROR(VLOOKUP(AE$2,Rango_Admin_DailyPred,MATCH($F19,Rango_Admin_DailyPred_Primera,0),0),"-")</f>
        <v>-</v>
      </c>
      <c r="AF19" s="429" t="str">
        <f ca="1">IFERROR(VLOOKUP(AF$2,Rango_Admin_DailyPred,MATCH($F19,Rango_Admin_DailyPred_Primera,0),0),"-")</f>
        <v>-</v>
      </c>
      <c r="AG19" s="429" t="str">
        <f ca="1">IFERROR(VLOOKUP(AG$2,Rango_Admin_DailyPred,MATCH($F19,Rango_Admin_DailyPred_Primera,0),0),"-")</f>
        <v>-</v>
      </c>
      <c r="AH19" s="429" t="str">
        <f ca="1">IFERROR(VLOOKUP(AH$2,Rango_Admin_DailyPred,MATCH($F19,Rango_Admin_DailyPred_Primera,0),0),"-")</f>
        <v>-</v>
      </c>
      <c r="AI19" s="429" t="str">
        <f ca="1">IFERROR(VLOOKUP(AI$2,Rango_Admin_DailyPred,MATCH($F19,Rango_Admin_DailyPred_Primera,0),0),"-")</f>
        <v>-</v>
      </c>
      <c r="AJ19" s="429" t="str">
        <f ca="1">IFERROR(VLOOKUP(AJ$2,Rango_Admin_DailyPred,MATCH($F19,Rango_Admin_DailyPred_Primera,0),0),"-")</f>
        <v>-</v>
      </c>
      <c r="AK19" s="429" t="str">
        <f ca="1">IFERROR(VLOOKUP(AK$2,Rango_Admin_DailyPred,MATCH($F19,Rango_Admin_DailyPred_Primera,0),0),"-")</f>
        <v>-</v>
      </c>
      <c r="AL19" s="429" t="str">
        <f ca="1">IFERROR(VLOOKUP(AL$2,Rango_Admin_DailyPred,MATCH($F19,Rango_Admin_DailyPred_Primera,0),0),"-")</f>
        <v>-</v>
      </c>
      <c r="AM19" s="297"/>
      <c r="AN19" s="297"/>
      <c r="AO19" s="297"/>
    </row>
    <row r="20" spans="1:41">
      <c r="A20" s="8" t="str" cm="1">
        <f t="array" aca="1" ref="A20" ca="1">IFERROR(INDEX(ADMIN!$K$6:$K$258,SMALL(IF(ADMIN!$G$6:$G$258=$J$1,ROW(ADMIN!$G$6:$G$258)-ROW(ADMIN!$G$6)+1),ROWS($A$1:A17))),"")</f>
        <v/>
      </c>
      <c r="B20" s="8" t="str">
        <f t="shared" ca="1" si="0"/>
        <v xml:space="preserve">
</v>
      </c>
      <c r="C20" s="8" t="str" cm="1">
        <f t="array" aca="1" ref="C20" ca="1">IFERROR(IF(INDEX(ADMIN!$M$6:$M$258,SMALL(IF(ADMIN!$G$6:$G$258=$J$1,ROW(ADMIN!$G$6:$G$258)-ROW(ADMIN!$G$6)+1),ROWS($A$1:A17)))="-", "", " ("&amp;INDEX(ADMIN!$M$6:$M$258,SMALL(IF(ADMIN!$G$6:$G$258=$J$1,ROW(ADMIN!$G$6:$G$258)-ROW(ADMIN!$G$6)+1),ROWS($A$1:A17)))&amp;")"),"")</f>
        <v/>
      </c>
      <c r="D20" s="8" t="str" cm="1">
        <f t="array" aca="1" ref="D20" ca="1">IFERROR(IF($J$1&gt;=20,INDEX(ADMIN!$C$6:$C$258,SMALL(IF(ADMIN!$G$6:$G$258=$J$1,ROW(ADMIN!$G$6:$G$258)-ROW(ADMIN!$G$6)+1),ROWS($D$1:D17))),""),"")</f>
        <v/>
      </c>
      <c r="E20" s="19">
        <f t="shared" si="1"/>
        <v>57</v>
      </c>
      <c r="F20" s="448" t="str" cm="1">
        <f t="array" ref="F20">IFERROR(INDEX(Rango_Admin_DailyPred_Primera,1,E20),"-")</f>
        <v>Albert Ros</v>
      </c>
      <c r="G20" s="429" t="str">
        <f ca="1">IFERROR(VLOOKUP(G$2,Rango_Admin_DailyPred,MATCH($F20,Rango_Admin_DailyPred_Primera,0),0),"-")</f>
        <v>Spain-England·1|3-1</v>
      </c>
      <c r="H20" s="429" t="str">
        <f ca="1">IFERROR(VLOOKUP(H$2,Rango_Admin_DailyPred,MATCH($F20,Rango_Admin_DailyPred_Primera,0),0),"-")</f>
        <v>France-Argentina·1|2-1</v>
      </c>
      <c r="I20" s="429" t="str">
        <f ca="1">IFERROR(VLOOKUP(I$2,Rango_Admin_DailyPred,MATCH($F20,Rango_Admin_DailyPred_Primera,0),0),"-")</f>
        <v>France</v>
      </c>
      <c r="J20" s="429" t="str">
        <f ca="1">IFERROR(VLOOKUP(J$2,Rango_Admin_DailyPred,MATCH($F20,Rango_Admin_DailyPred_Primera,0),0),"-")</f>
        <v>Argentina</v>
      </c>
      <c r="K20" s="429" t="str">
        <f ca="1">IFERROR(VLOOKUP(K$2,Rango_Admin_DailyPred,MATCH($F20,Rango_Admin_DailyPred_Primera,0),0),"-")</f>
        <v>Spain</v>
      </c>
      <c r="L20" s="429" t="str">
        <f ca="1">IFERROR(VLOOKUP(L$2,Rango_Admin_DailyPred,MATCH($F20,Rango_Admin_DailyPred_Primera,0),0),"-")</f>
        <v>Kane</v>
      </c>
      <c r="M20" s="429" t="str">
        <f ca="1">IFERROR(VLOOKUP(M$2,Rango_Admin_DailyPred,MATCH($F20,Rango_Admin_DailyPred_Primera,0),0),"-")</f>
        <v>Messi</v>
      </c>
      <c r="N20" s="429" t="str">
        <f ca="1">IFERROR(VLOOKUP(N$2,Rango_Admin_DailyPred,MATCH($F20,Rango_Admin_DailyPred_Primera,0),0),"-")</f>
        <v>Mbappe</v>
      </c>
      <c r="O20" s="429" t="str">
        <f ca="1">IFERROR(VLOOKUP(O$2,Rango_Admin_DailyPred,MATCH($F20,Rango_Admin_DailyPred_Primera,0),0),"-")</f>
        <v>Messi</v>
      </c>
      <c r="P20" s="429" t="str">
        <f ca="1">IFERROR(VLOOKUP(P$2,Rango_Admin_DailyPred,MATCH($F20,Rango_Admin_DailyPred_Primera,0),0),"-")</f>
        <v>Olise</v>
      </c>
      <c r="Q20" s="429" t="str">
        <f ca="1">IFERROR(VLOOKUP(Q$2,Rango_Admin_DailyPred,MATCH($F20,Rango_Admin_DailyPred_Primera,0),0),"-")</f>
        <v>Kane</v>
      </c>
      <c r="R20" s="429" t="str">
        <f ca="1">IFERROR(VLOOKUP(R$2,Rango_Admin_DailyPred,MATCH($F20,Rango_Admin_DailyPred_Primera,0),0),"-")</f>
        <v>-</v>
      </c>
      <c r="S20" s="429" t="str">
        <f ca="1">IFERROR(VLOOKUP(S$2,Rango_Admin_DailyPred,MATCH($F20,Rango_Admin_DailyPred_Primera,0),0),"-")</f>
        <v>-</v>
      </c>
      <c r="T20" s="429" t="str">
        <f ca="1">IFERROR(VLOOKUP(T$2,Rango_Admin_DailyPred,MATCH($F20,Rango_Admin_DailyPred_Primera,0),0),"-")</f>
        <v>-</v>
      </c>
      <c r="U20" s="429" t="str">
        <f ca="1">IFERROR(VLOOKUP(U$2,Rango_Admin_DailyPred,MATCH($F20,Rango_Admin_DailyPred_Primera,0),0),"-")</f>
        <v>-</v>
      </c>
      <c r="V20" s="429" t="str">
        <f ca="1">IFERROR(VLOOKUP(V$2,Rango_Admin_DailyPred,MATCH($F20,Rango_Admin_DailyPred_Primera,0),0),"-")</f>
        <v>-</v>
      </c>
      <c r="W20" s="429" t="str">
        <f ca="1">IFERROR(VLOOKUP(W$2,Rango_Admin_DailyPred,MATCH($F20,Rango_Admin_DailyPred_Primera,0),0),"-")</f>
        <v>-</v>
      </c>
      <c r="X20" s="429" t="str">
        <f ca="1">IFERROR(VLOOKUP(X$2,Rango_Admin_DailyPred,MATCH($F20,Rango_Admin_DailyPred_Primera,0),0),"-")</f>
        <v>-</v>
      </c>
      <c r="Y20" s="429" t="str">
        <f ca="1">IFERROR(VLOOKUP(Y$2,Rango_Admin_DailyPred,MATCH($F20,Rango_Admin_DailyPred_Primera,0),0),"-")</f>
        <v>-</v>
      </c>
      <c r="Z20" s="429" t="str">
        <f ca="1">IFERROR(VLOOKUP(Z$2,Rango_Admin_DailyPred,MATCH($F20,Rango_Admin_DailyPred_Primera,0),0),"-")</f>
        <v>-</v>
      </c>
      <c r="AA20" s="429" t="str">
        <f ca="1">IFERROR(VLOOKUP(AA$2,Rango_Admin_DailyPred,MATCH($F20,Rango_Admin_DailyPred_Primera,0),0),"-")</f>
        <v>-</v>
      </c>
      <c r="AB20" s="429" t="str">
        <f ca="1">IFERROR(VLOOKUP(AB$2,Rango_Admin_DailyPred,MATCH($F20,Rango_Admin_DailyPred_Primera,0),0),"-")</f>
        <v>-</v>
      </c>
      <c r="AC20" s="429" t="str">
        <f ca="1">IFERROR(VLOOKUP(AC$2,Rango_Admin_DailyPred,MATCH($F20,Rango_Admin_DailyPred_Primera,0),0),"-")</f>
        <v>-</v>
      </c>
      <c r="AD20" s="429" t="str">
        <f ca="1">IFERROR(VLOOKUP(AD$2,Rango_Admin_DailyPred,MATCH($F20,Rango_Admin_DailyPred_Primera,0),0),"-")</f>
        <v>-</v>
      </c>
      <c r="AE20" s="429" t="str">
        <f ca="1">IFERROR(VLOOKUP(AE$2,Rango_Admin_DailyPred,MATCH($F20,Rango_Admin_DailyPred_Primera,0),0),"-")</f>
        <v>-</v>
      </c>
      <c r="AF20" s="429" t="str">
        <f ca="1">IFERROR(VLOOKUP(AF$2,Rango_Admin_DailyPred,MATCH($F20,Rango_Admin_DailyPred_Primera,0),0),"-")</f>
        <v>-</v>
      </c>
      <c r="AG20" s="429" t="str">
        <f ca="1">IFERROR(VLOOKUP(AG$2,Rango_Admin_DailyPred,MATCH($F20,Rango_Admin_DailyPred_Primera,0),0),"-")</f>
        <v>-</v>
      </c>
      <c r="AH20" s="429" t="str">
        <f ca="1">IFERROR(VLOOKUP(AH$2,Rango_Admin_DailyPred,MATCH($F20,Rango_Admin_DailyPred_Primera,0),0),"-")</f>
        <v>-</v>
      </c>
      <c r="AI20" s="429" t="str">
        <f ca="1">IFERROR(VLOOKUP(AI$2,Rango_Admin_DailyPred,MATCH($F20,Rango_Admin_DailyPred_Primera,0),0),"-")</f>
        <v>-</v>
      </c>
      <c r="AJ20" s="429" t="str">
        <f ca="1">IFERROR(VLOOKUP(AJ$2,Rango_Admin_DailyPred,MATCH($F20,Rango_Admin_DailyPred_Primera,0),0),"-")</f>
        <v>-</v>
      </c>
      <c r="AK20" s="429" t="str">
        <f ca="1">IFERROR(VLOOKUP(AK$2,Rango_Admin_DailyPred,MATCH($F20,Rango_Admin_DailyPred_Primera,0),0),"-")</f>
        <v>-</v>
      </c>
      <c r="AL20" s="429" t="str">
        <f ca="1">IFERROR(VLOOKUP(AL$2,Rango_Admin_DailyPred,MATCH($F20,Rango_Admin_DailyPred_Primera,0),0),"-")</f>
        <v>-</v>
      </c>
      <c r="AM20" s="297"/>
      <c r="AN20" s="297"/>
      <c r="AO20" s="297"/>
    </row>
    <row r="21" spans="1:41">
      <c r="A21" s="8" t="str" cm="1">
        <f t="array" aca="1" ref="A21" ca="1">IFERROR(INDEX(ADMIN!$K$6:$K$258,SMALL(IF(ADMIN!$G$6:$G$258=$J$1,ROW(ADMIN!$G$6:$G$258)-ROW(ADMIN!$G$6)+1),ROWS($A$1:A18))),"")</f>
        <v/>
      </c>
      <c r="B21" s="8" t="str">
        <f t="shared" ca="1" si="0"/>
        <v xml:space="preserve">
</v>
      </c>
      <c r="C21" s="8" t="str" cm="1">
        <f t="array" aca="1" ref="C21" ca="1">IFERROR(IF(INDEX(ADMIN!$M$6:$M$258,SMALL(IF(ADMIN!$G$6:$G$258=$J$1,ROW(ADMIN!$G$6:$G$258)-ROW(ADMIN!$G$6)+1),ROWS($A$1:A18)))="-", "", " ("&amp;INDEX(ADMIN!$M$6:$M$258,SMALL(IF(ADMIN!$G$6:$G$258=$J$1,ROW(ADMIN!$G$6:$G$258)-ROW(ADMIN!$G$6)+1),ROWS($A$1:A18)))&amp;")"),"")</f>
        <v/>
      </c>
      <c r="D21" s="8" t="str" cm="1">
        <f t="array" aca="1" ref="D21" ca="1">IFERROR(IF($J$1&gt;=20,INDEX(ADMIN!$C$6:$C$258,SMALL(IF(ADMIN!$G$6:$G$258=$J$1,ROW(ADMIN!$G$6:$G$258)-ROW(ADMIN!$G$6)+1),ROWS($D$1:D18))),""),"")</f>
        <v/>
      </c>
      <c r="E21" s="19">
        <f t="shared" si="1"/>
        <v>60</v>
      </c>
      <c r="F21" s="448" t="str" cm="1">
        <f t="array" ref="F21">IFERROR(INDEX(Rango_Admin_DailyPred_Primera,1,E21),"-")</f>
        <v>Timo Konniger</v>
      </c>
      <c r="G21" s="429" t="str">
        <f ca="1">IFERROR(VLOOKUP(G$2,Rango_Admin_DailyPred,MATCH($F21,Rango_Admin_DailyPred_Primera,0),0),"-")</f>
        <v>Spain-Portugal·1|2-1</v>
      </c>
      <c r="H21" s="429" t="str">
        <f ca="1">IFERROR(VLOOKUP(H$2,Rango_Admin_DailyPred,MATCH($F21,Rango_Admin_DailyPred_Primera,0),0),"-")</f>
        <v>France-England·2|0-2</v>
      </c>
      <c r="I21" s="429" t="str">
        <f ca="1">IFERROR(VLOOKUP(I$2,Rango_Admin_DailyPred,MATCH($F21,Rango_Admin_DailyPred_Primera,0),0),"-")</f>
        <v>England</v>
      </c>
      <c r="J21" s="429" t="str">
        <f ca="1">IFERROR(VLOOKUP(J$2,Rango_Admin_DailyPred,MATCH($F21,Rango_Admin_DailyPred_Primera,0),0),"-")</f>
        <v>France</v>
      </c>
      <c r="K21" s="429" t="str">
        <f ca="1">IFERROR(VLOOKUP(K$2,Rango_Admin_DailyPred,MATCH($F21,Rango_Admin_DailyPred_Primera,0),0),"-")</f>
        <v>Spain</v>
      </c>
      <c r="L21" s="429" t="str">
        <f ca="1">IFERROR(VLOOKUP(L$2,Rango_Admin_DailyPred,MATCH($F21,Rango_Admin_DailyPred_Primera,0),0),"-")</f>
        <v>Kane</v>
      </c>
      <c r="M21" s="429" t="str">
        <f ca="1">IFERROR(VLOOKUP(M$2,Rango_Admin_DailyPred,MATCH($F21,Rango_Admin_DailyPred_Primera,0),0),"-")</f>
        <v>Álvarez</v>
      </c>
      <c r="N21" s="429" t="str">
        <f ca="1">IFERROR(VLOOKUP(N$2,Rango_Admin_DailyPred,MATCH($F21,Rango_Admin_DailyPred_Primera,0),0),"-")</f>
        <v>Mbappe</v>
      </c>
      <c r="O21" s="429" t="str">
        <f ca="1">IFERROR(VLOOKUP(O$2,Rango_Admin_DailyPred,MATCH($F21,Rango_Admin_DailyPred_Primera,0),0),"-")</f>
        <v>Kane</v>
      </c>
      <c r="P21" s="429" t="str">
        <f ca="1">IFERROR(VLOOKUP(P$2,Rango_Admin_DailyPred,MATCH($F21,Rango_Admin_DailyPred_Primera,0),0),"-")</f>
        <v>Olise</v>
      </c>
      <c r="Q21" s="429" t="str">
        <f ca="1">IFERROR(VLOOKUP(Q$2,Rango_Admin_DailyPred,MATCH($F21,Rango_Admin_DailyPred_Primera,0),0),"-")</f>
        <v>Raphina</v>
      </c>
      <c r="R21" s="429" t="str">
        <f ca="1">IFERROR(VLOOKUP(R$2,Rango_Admin_DailyPred,MATCH($F21,Rango_Admin_DailyPred_Primera,0),0),"-")</f>
        <v>-</v>
      </c>
      <c r="S21" s="429" t="str">
        <f ca="1">IFERROR(VLOOKUP(S$2,Rango_Admin_DailyPred,MATCH($F21,Rango_Admin_DailyPred_Primera,0),0),"-")</f>
        <v>-</v>
      </c>
      <c r="T21" s="429" t="str">
        <f ca="1">IFERROR(VLOOKUP(T$2,Rango_Admin_DailyPred,MATCH($F21,Rango_Admin_DailyPred_Primera,0),0),"-")</f>
        <v>-</v>
      </c>
      <c r="U21" s="429" t="str">
        <f ca="1">IFERROR(VLOOKUP(U$2,Rango_Admin_DailyPred,MATCH($F21,Rango_Admin_DailyPred_Primera,0),0),"-")</f>
        <v>-</v>
      </c>
      <c r="V21" s="429" t="str">
        <f ca="1">IFERROR(VLOOKUP(V$2,Rango_Admin_DailyPred,MATCH($F21,Rango_Admin_DailyPred_Primera,0),0),"-")</f>
        <v>-</v>
      </c>
      <c r="W21" s="429" t="str">
        <f ca="1">IFERROR(VLOOKUP(W$2,Rango_Admin_DailyPred,MATCH($F21,Rango_Admin_DailyPred_Primera,0),0),"-")</f>
        <v>-</v>
      </c>
      <c r="X21" s="429" t="str">
        <f ca="1">IFERROR(VLOOKUP(X$2,Rango_Admin_DailyPred,MATCH($F21,Rango_Admin_DailyPred_Primera,0),0),"-")</f>
        <v>-</v>
      </c>
      <c r="Y21" s="429" t="str">
        <f ca="1">IFERROR(VLOOKUP(Y$2,Rango_Admin_DailyPred,MATCH($F21,Rango_Admin_DailyPred_Primera,0),0),"-")</f>
        <v>-</v>
      </c>
      <c r="Z21" s="429" t="str">
        <f ca="1">IFERROR(VLOOKUP(Z$2,Rango_Admin_DailyPred,MATCH($F21,Rango_Admin_DailyPred_Primera,0),0),"-")</f>
        <v>-</v>
      </c>
      <c r="AA21" s="429" t="str">
        <f ca="1">IFERROR(VLOOKUP(AA$2,Rango_Admin_DailyPred,MATCH($F21,Rango_Admin_DailyPred_Primera,0),0),"-")</f>
        <v>-</v>
      </c>
      <c r="AB21" s="429" t="str">
        <f ca="1">IFERROR(VLOOKUP(AB$2,Rango_Admin_DailyPred,MATCH($F21,Rango_Admin_DailyPred_Primera,0),0),"-")</f>
        <v>-</v>
      </c>
      <c r="AC21" s="429" t="str">
        <f ca="1">IFERROR(VLOOKUP(AC$2,Rango_Admin_DailyPred,MATCH($F21,Rango_Admin_DailyPred_Primera,0),0),"-")</f>
        <v>-</v>
      </c>
      <c r="AD21" s="429" t="str">
        <f ca="1">IFERROR(VLOOKUP(AD$2,Rango_Admin_DailyPred,MATCH($F21,Rango_Admin_DailyPred_Primera,0),0),"-")</f>
        <v>-</v>
      </c>
      <c r="AE21" s="429" t="str">
        <f ca="1">IFERROR(VLOOKUP(AE$2,Rango_Admin_DailyPred,MATCH($F21,Rango_Admin_DailyPred_Primera,0),0),"-")</f>
        <v>-</v>
      </c>
      <c r="AF21" s="429" t="str">
        <f ca="1">IFERROR(VLOOKUP(AF$2,Rango_Admin_DailyPred,MATCH($F21,Rango_Admin_DailyPred_Primera,0),0),"-")</f>
        <v>-</v>
      </c>
      <c r="AG21" s="429" t="str">
        <f ca="1">IFERROR(VLOOKUP(AG$2,Rango_Admin_DailyPred,MATCH($F21,Rango_Admin_DailyPred_Primera,0),0),"-")</f>
        <v>-</v>
      </c>
      <c r="AH21" s="429" t="str">
        <f ca="1">IFERROR(VLOOKUP(AH$2,Rango_Admin_DailyPred,MATCH($F21,Rango_Admin_DailyPred_Primera,0),0),"-")</f>
        <v>-</v>
      </c>
      <c r="AI21" s="429" t="str">
        <f ca="1">IFERROR(VLOOKUP(AI$2,Rango_Admin_DailyPred,MATCH($F21,Rango_Admin_DailyPred_Primera,0),0),"-")</f>
        <v>-</v>
      </c>
      <c r="AJ21" s="429" t="str">
        <f ca="1">IFERROR(VLOOKUP(AJ$2,Rango_Admin_DailyPred,MATCH($F21,Rango_Admin_DailyPred_Primera,0),0),"-")</f>
        <v>-</v>
      </c>
      <c r="AK21" s="429" t="str">
        <f ca="1">IFERROR(VLOOKUP(AK$2,Rango_Admin_DailyPred,MATCH($F21,Rango_Admin_DailyPred_Primera,0),0),"-")</f>
        <v>-</v>
      </c>
      <c r="AL21" s="429" t="str">
        <f ca="1">IFERROR(VLOOKUP(AL$2,Rango_Admin_DailyPred,MATCH($F21,Rango_Admin_DailyPred_Primera,0),0),"-")</f>
        <v>-</v>
      </c>
      <c r="AM21" s="297"/>
      <c r="AN21" s="297"/>
      <c r="AO21" s="297"/>
    </row>
    <row r="22" spans="1:41">
      <c r="A22" s="8" t="str" cm="1">
        <f t="array" aca="1" ref="A22" ca="1">IFERROR(INDEX(ADMIN!$K$6:$K$258,SMALL(IF(ADMIN!$G$6:$G$258=$J$1,ROW(ADMIN!$G$6:$G$258)-ROW(ADMIN!$G$6)+1),ROWS($A$1:A19))),"")</f>
        <v/>
      </c>
      <c r="B22" s="8" t="str">
        <f t="shared" ca="1" si="0"/>
        <v xml:space="preserve">
</v>
      </c>
      <c r="C22" s="8" t="str" cm="1">
        <f t="array" aca="1" ref="C22" ca="1">IFERROR(IF(INDEX(ADMIN!$M$6:$M$258,SMALL(IF(ADMIN!$G$6:$G$258=$J$1,ROW(ADMIN!$G$6:$G$258)-ROW(ADMIN!$G$6)+1),ROWS($A$1:A19)))="-", "", " ("&amp;INDEX(ADMIN!$M$6:$M$258,SMALL(IF(ADMIN!$G$6:$G$258=$J$1,ROW(ADMIN!$G$6:$G$258)-ROW(ADMIN!$G$6)+1),ROWS($A$1:A19)))&amp;")"),"")</f>
        <v/>
      </c>
      <c r="D22" s="8" t="str" cm="1">
        <f t="array" aca="1" ref="D22" ca="1">IFERROR(IF($J$1&gt;=20,INDEX(ADMIN!$C$6:$C$258,SMALL(IF(ADMIN!$G$6:$G$258=$J$1,ROW(ADMIN!$G$6:$G$258)-ROW(ADMIN!$G$6)+1),ROWS($D$1:D19))),""),"")</f>
        <v/>
      </c>
      <c r="E22" s="19">
        <f t="shared" si="1"/>
        <v>63</v>
      </c>
      <c r="F22" s="448" t="str" cm="1">
        <f t="array" ref="F22">IFERROR(INDEX(Rango_Admin_DailyPred_Primera,1,E22),"-")</f>
        <v>Leon de Bok</v>
      </c>
      <c r="G22" s="429" t="str">
        <f ca="1">IFERROR(VLOOKUP(G$2,Rango_Admin_DailyPred,MATCH($F22,Rango_Admin_DailyPred_Primera,0),0),"-")</f>
        <v>Spain-England·1|2-0</v>
      </c>
      <c r="H22" s="429" t="str">
        <f ca="1">IFERROR(VLOOKUP(H$2,Rango_Admin_DailyPred,MATCH($F22,Rango_Admin_DailyPred_Primera,0),0),"-")</f>
        <v>France-Portugal·1|2-1</v>
      </c>
      <c r="I22" s="429" t="str">
        <f ca="1">IFERROR(VLOOKUP(I$2,Rango_Admin_DailyPred,MATCH($F22,Rango_Admin_DailyPred_Primera,0),0),"-")</f>
        <v>France</v>
      </c>
      <c r="J22" s="429" t="str">
        <f ca="1">IFERROR(VLOOKUP(J$2,Rango_Admin_DailyPred,MATCH($F22,Rango_Admin_DailyPred_Primera,0),0),"-")</f>
        <v>Portugal</v>
      </c>
      <c r="K22" s="429" t="str">
        <f ca="1">IFERROR(VLOOKUP(K$2,Rango_Admin_DailyPred,MATCH($F22,Rango_Admin_DailyPred_Primera,0),0),"-")</f>
        <v>Spain</v>
      </c>
      <c r="L22" s="429" t="str">
        <f ca="1">IFERROR(VLOOKUP(L$2,Rango_Admin_DailyPred,MATCH($F22,Rango_Admin_DailyPred_Primera,0),0),"-")</f>
        <v>Kane</v>
      </c>
      <c r="M22" s="429" t="str">
        <f ca="1">IFERROR(VLOOKUP(M$2,Rango_Admin_DailyPred,MATCH($F22,Rango_Admin_DailyPred_Primera,0),0),"-")</f>
        <v>Mbappe</v>
      </c>
      <c r="N22" s="429" t="str">
        <f ca="1">IFERROR(VLOOKUP(N$2,Rango_Admin_DailyPred,MATCH($F22,Rango_Admin_DailyPred_Primera,0),0),"-")</f>
        <v>Bellingham / Haaland</v>
      </c>
      <c r="O22" s="429" t="str">
        <f ca="1">IFERROR(VLOOKUP(O$2,Rango_Admin_DailyPred,MATCH($F22,Rango_Admin_DailyPred_Primera,0),0),"-")</f>
        <v>Kane</v>
      </c>
      <c r="P22" s="429" t="str">
        <f ca="1">IFERROR(VLOOKUP(P$2,Rango_Admin_DailyPred,MATCH($F22,Rango_Admin_DailyPred_Primera,0),0),"-")</f>
        <v>Dembele</v>
      </c>
      <c r="Q22" s="429" t="str">
        <f ca="1">IFERROR(VLOOKUP(Q$2,Rango_Admin_DailyPred,MATCH($F22,Rango_Admin_DailyPred_Primera,0),0),"-")</f>
        <v>Messi</v>
      </c>
      <c r="R22" s="429" t="str">
        <f ca="1">IFERROR(VLOOKUP(R$2,Rango_Admin_DailyPred,MATCH($F22,Rango_Admin_DailyPred_Primera,0),0),"-")</f>
        <v>-</v>
      </c>
      <c r="S22" s="429" t="str">
        <f ca="1">IFERROR(VLOOKUP(S$2,Rango_Admin_DailyPred,MATCH($F22,Rango_Admin_DailyPred_Primera,0),0),"-")</f>
        <v>-</v>
      </c>
      <c r="T22" s="429" t="str">
        <f ca="1">IFERROR(VLOOKUP(T$2,Rango_Admin_DailyPred,MATCH($F22,Rango_Admin_DailyPred_Primera,0),0),"-")</f>
        <v>-</v>
      </c>
      <c r="U22" s="429" t="str">
        <f ca="1">IFERROR(VLOOKUP(U$2,Rango_Admin_DailyPred,MATCH($F22,Rango_Admin_DailyPred_Primera,0),0),"-")</f>
        <v>-</v>
      </c>
      <c r="V22" s="429" t="str">
        <f ca="1">IFERROR(VLOOKUP(V$2,Rango_Admin_DailyPred,MATCH($F22,Rango_Admin_DailyPred_Primera,0),0),"-")</f>
        <v>-</v>
      </c>
      <c r="W22" s="429" t="str">
        <f ca="1">IFERROR(VLOOKUP(W$2,Rango_Admin_DailyPred,MATCH($F22,Rango_Admin_DailyPred_Primera,0),0),"-")</f>
        <v>-</v>
      </c>
      <c r="X22" s="429" t="str">
        <f ca="1">IFERROR(VLOOKUP(X$2,Rango_Admin_DailyPred,MATCH($F22,Rango_Admin_DailyPred_Primera,0),0),"-")</f>
        <v>-</v>
      </c>
      <c r="Y22" s="429" t="str">
        <f ca="1">IFERROR(VLOOKUP(Y$2,Rango_Admin_DailyPred,MATCH($F22,Rango_Admin_DailyPred_Primera,0),0),"-")</f>
        <v>-</v>
      </c>
      <c r="Z22" s="429" t="str">
        <f ca="1">IFERROR(VLOOKUP(Z$2,Rango_Admin_DailyPred,MATCH($F22,Rango_Admin_DailyPred_Primera,0),0),"-")</f>
        <v>-</v>
      </c>
      <c r="AA22" s="429" t="str">
        <f ca="1">IFERROR(VLOOKUP(AA$2,Rango_Admin_DailyPred,MATCH($F22,Rango_Admin_DailyPred_Primera,0),0),"-")</f>
        <v>-</v>
      </c>
      <c r="AB22" s="429" t="str">
        <f ca="1">IFERROR(VLOOKUP(AB$2,Rango_Admin_DailyPred,MATCH($F22,Rango_Admin_DailyPred_Primera,0),0),"-")</f>
        <v>-</v>
      </c>
      <c r="AC22" s="429" t="str">
        <f ca="1">IFERROR(VLOOKUP(AC$2,Rango_Admin_DailyPred,MATCH($F22,Rango_Admin_DailyPred_Primera,0),0),"-")</f>
        <v>-</v>
      </c>
      <c r="AD22" s="429" t="str">
        <f ca="1">IFERROR(VLOOKUP(AD$2,Rango_Admin_DailyPred,MATCH($F22,Rango_Admin_DailyPred_Primera,0),0),"-")</f>
        <v>-</v>
      </c>
      <c r="AE22" s="429" t="str">
        <f ca="1">IFERROR(VLOOKUP(AE$2,Rango_Admin_DailyPred,MATCH($F22,Rango_Admin_DailyPred_Primera,0),0),"-")</f>
        <v>-</v>
      </c>
      <c r="AF22" s="429" t="str">
        <f ca="1">IFERROR(VLOOKUP(AF$2,Rango_Admin_DailyPred,MATCH($F22,Rango_Admin_DailyPred_Primera,0),0),"-")</f>
        <v>-</v>
      </c>
      <c r="AG22" s="429" t="str">
        <f ca="1">IFERROR(VLOOKUP(AG$2,Rango_Admin_DailyPred,MATCH($F22,Rango_Admin_DailyPred_Primera,0),0),"-")</f>
        <v>-</v>
      </c>
      <c r="AH22" s="429" t="str">
        <f ca="1">IFERROR(VLOOKUP(AH$2,Rango_Admin_DailyPred,MATCH($F22,Rango_Admin_DailyPred_Primera,0),0),"-")</f>
        <v>-</v>
      </c>
      <c r="AI22" s="429" t="str">
        <f ca="1">IFERROR(VLOOKUP(AI$2,Rango_Admin_DailyPred,MATCH($F22,Rango_Admin_DailyPred_Primera,0),0),"-")</f>
        <v>-</v>
      </c>
      <c r="AJ22" s="429" t="str">
        <f ca="1">IFERROR(VLOOKUP(AJ$2,Rango_Admin_DailyPred,MATCH($F22,Rango_Admin_DailyPred_Primera,0),0),"-")</f>
        <v>-</v>
      </c>
      <c r="AK22" s="429" t="str">
        <f ca="1">IFERROR(VLOOKUP(AK$2,Rango_Admin_DailyPred,MATCH($F22,Rango_Admin_DailyPred_Primera,0),0),"-")</f>
        <v>-</v>
      </c>
      <c r="AL22" s="429" t="str">
        <f ca="1">IFERROR(VLOOKUP(AL$2,Rango_Admin_DailyPred,MATCH($F22,Rango_Admin_DailyPred_Primera,0),0),"-")</f>
        <v>-</v>
      </c>
      <c r="AM22" s="297"/>
      <c r="AN22" s="297"/>
      <c r="AO22" s="297"/>
    </row>
    <row r="23" spans="1:41">
      <c r="A23" s="8" t="str" cm="1">
        <f t="array" aca="1" ref="A23" ca="1">IFERROR(INDEX(ADMIN!$K$6:$K$258,SMALL(IF(ADMIN!$G$6:$G$258=$J$1,ROW(ADMIN!$G$6:$G$258)-ROW(ADMIN!$G$6)+1),ROWS($A$1:A20))),"")</f>
        <v/>
      </c>
      <c r="B23" s="8" t="str">
        <f t="shared" ca="1" si="0"/>
        <v xml:space="preserve">
</v>
      </c>
      <c r="C23" s="8" t="str" cm="1">
        <f t="array" aca="1" ref="C23" ca="1">IFERROR(IF(INDEX(ADMIN!$M$6:$M$258,SMALL(IF(ADMIN!$G$6:$G$258=$J$1,ROW(ADMIN!$G$6:$G$258)-ROW(ADMIN!$G$6)+1),ROWS($A$1:A20)))="-", "", " ("&amp;INDEX(ADMIN!$M$6:$M$258,SMALL(IF(ADMIN!$G$6:$G$258=$J$1,ROW(ADMIN!$G$6:$G$258)-ROW(ADMIN!$G$6)+1),ROWS($A$1:A20)))&amp;")"),"")</f>
        <v/>
      </c>
      <c r="D23" s="8" t="str" cm="1">
        <f t="array" aca="1" ref="D23" ca="1">IFERROR(IF($J$1&gt;=20,INDEX(ADMIN!$C$6:$C$258,SMALL(IF(ADMIN!$G$6:$G$258=$J$1,ROW(ADMIN!$G$6:$G$258)-ROW(ADMIN!$G$6)+1),ROWS($D$1:D20))),""),"")</f>
        <v/>
      </c>
      <c r="E23" s="19">
        <f t="shared" si="1"/>
        <v>66</v>
      </c>
      <c r="F23" s="448" t="str" cm="1">
        <f t="array" ref="F23">IFERROR(INDEX(Rango_Admin_DailyPred_Primera,1,E23),"-")</f>
        <v>Tom Olde Keizer</v>
      </c>
      <c r="G23" s="429" t="str">
        <f ca="1">IFERROR(VLOOKUP(G$2,Rango_Admin_DailyPred,MATCH($F23,Rango_Admin_DailyPred_Primera,0),0),"-")</f>
        <v>Germany-Portugal·1|2-0</v>
      </c>
      <c r="H23" s="429" t="str">
        <f ca="1">IFERROR(VLOOKUP(H$2,Rango_Admin_DailyPred,MATCH($F23,Rango_Admin_DailyPred_Primera,0),0),"-")</f>
        <v>Spain-Brazil·1|1-0</v>
      </c>
      <c r="I23" s="429" t="str">
        <f ca="1">IFERROR(VLOOKUP(I$2,Rango_Admin_DailyPred,MATCH($F23,Rango_Admin_DailyPred_Primera,0),0),"-")</f>
        <v>Spain</v>
      </c>
      <c r="J23" s="429" t="str">
        <f ca="1">IFERROR(VLOOKUP(J$2,Rango_Admin_DailyPred,MATCH($F23,Rango_Admin_DailyPred_Primera,0),0),"-")</f>
        <v>Brazil</v>
      </c>
      <c r="K23" s="429" t="str">
        <f ca="1">IFERROR(VLOOKUP(K$2,Rango_Admin_DailyPred,MATCH($F23,Rango_Admin_DailyPred_Primera,0),0),"-")</f>
        <v>Germany</v>
      </c>
      <c r="L23" s="429" t="str">
        <f ca="1">IFERROR(VLOOKUP(L$2,Rango_Admin_DailyPred,MATCH($F23,Rango_Admin_DailyPred_Primera,0),0),"-")</f>
        <v>Mbappé</v>
      </c>
      <c r="M23" s="429" t="str">
        <f ca="1">IFERROR(VLOOKUP(M$2,Rango_Admin_DailyPred,MATCH($F23,Rango_Admin_DailyPred_Primera,0),0),"-")</f>
        <v>Kane</v>
      </c>
      <c r="N23" s="429" t="str">
        <f ca="1">IFERROR(VLOOKUP(N$2,Rango_Admin_DailyPred,MATCH($F23,Rango_Admin_DailyPred_Primera,0),0),"-")</f>
        <v>Ronaldo</v>
      </c>
      <c r="O23" s="429" t="str">
        <f ca="1">IFERROR(VLOOKUP(O$2,Rango_Admin_DailyPred,MATCH($F23,Rango_Admin_DailyPred_Primera,0),0),"-")</f>
        <v>Gavi</v>
      </c>
      <c r="P23" s="429" t="str">
        <f ca="1">IFERROR(VLOOKUP(P$2,Rango_Admin_DailyPred,MATCH($F23,Rango_Admin_DailyPred_Primera,0),0),"-")</f>
        <v>Olise</v>
      </c>
      <c r="Q23" s="429" t="str">
        <f ca="1">IFERROR(VLOOKUP(Q$2,Rango_Admin_DailyPred,MATCH($F23,Rango_Admin_DailyPred_Primera,0),0),"-")</f>
        <v>Doue</v>
      </c>
      <c r="R23" s="429" t="str">
        <f ca="1">IFERROR(VLOOKUP(R$2,Rango_Admin_DailyPred,MATCH($F23,Rango_Admin_DailyPred_Primera,0),0),"-")</f>
        <v>-</v>
      </c>
      <c r="S23" s="429" t="str">
        <f ca="1">IFERROR(VLOOKUP(S$2,Rango_Admin_DailyPred,MATCH($F23,Rango_Admin_DailyPred_Primera,0),0),"-")</f>
        <v>-</v>
      </c>
      <c r="T23" s="429" t="str">
        <f ca="1">IFERROR(VLOOKUP(T$2,Rango_Admin_DailyPred,MATCH($F23,Rango_Admin_DailyPred_Primera,0),0),"-")</f>
        <v>-</v>
      </c>
      <c r="U23" s="429" t="str">
        <f ca="1">IFERROR(VLOOKUP(U$2,Rango_Admin_DailyPred,MATCH($F23,Rango_Admin_DailyPred_Primera,0),0),"-")</f>
        <v>-</v>
      </c>
      <c r="V23" s="429" t="str">
        <f ca="1">IFERROR(VLOOKUP(V$2,Rango_Admin_DailyPred,MATCH($F23,Rango_Admin_DailyPred_Primera,0),0),"-")</f>
        <v>-</v>
      </c>
      <c r="W23" s="429" t="str">
        <f ca="1">IFERROR(VLOOKUP(W$2,Rango_Admin_DailyPred,MATCH($F23,Rango_Admin_DailyPred_Primera,0),0),"-")</f>
        <v>-</v>
      </c>
      <c r="X23" s="429" t="str">
        <f ca="1">IFERROR(VLOOKUP(X$2,Rango_Admin_DailyPred,MATCH($F23,Rango_Admin_DailyPred_Primera,0),0),"-")</f>
        <v>-</v>
      </c>
      <c r="Y23" s="429" t="str">
        <f ca="1">IFERROR(VLOOKUP(Y$2,Rango_Admin_DailyPred,MATCH($F23,Rango_Admin_DailyPred_Primera,0),0),"-")</f>
        <v>-</v>
      </c>
      <c r="Z23" s="429" t="str">
        <f ca="1">IFERROR(VLOOKUP(Z$2,Rango_Admin_DailyPred,MATCH($F23,Rango_Admin_DailyPred_Primera,0),0),"-")</f>
        <v>-</v>
      </c>
      <c r="AA23" s="429" t="str">
        <f ca="1">IFERROR(VLOOKUP(AA$2,Rango_Admin_DailyPred,MATCH($F23,Rango_Admin_DailyPred_Primera,0),0),"-")</f>
        <v>-</v>
      </c>
      <c r="AB23" s="429" t="str">
        <f ca="1">IFERROR(VLOOKUP(AB$2,Rango_Admin_DailyPred,MATCH($F23,Rango_Admin_DailyPred_Primera,0),0),"-")</f>
        <v>-</v>
      </c>
      <c r="AC23" s="429" t="str">
        <f ca="1">IFERROR(VLOOKUP(AC$2,Rango_Admin_DailyPred,MATCH($F23,Rango_Admin_DailyPred_Primera,0),0),"-")</f>
        <v>-</v>
      </c>
      <c r="AD23" s="429" t="str">
        <f ca="1">IFERROR(VLOOKUP(AD$2,Rango_Admin_DailyPred,MATCH($F23,Rango_Admin_DailyPred_Primera,0),0),"-")</f>
        <v>-</v>
      </c>
      <c r="AE23" s="429" t="str">
        <f ca="1">IFERROR(VLOOKUP(AE$2,Rango_Admin_DailyPred,MATCH($F23,Rango_Admin_DailyPred_Primera,0),0),"-")</f>
        <v>-</v>
      </c>
      <c r="AF23" s="429" t="str">
        <f ca="1">IFERROR(VLOOKUP(AF$2,Rango_Admin_DailyPred,MATCH($F23,Rango_Admin_DailyPred_Primera,0),0),"-")</f>
        <v>-</v>
      </c>
      <c r="AG23" s="429" t="str">
        <f ca="1">IFERROR(VLOOKUP(AG$2,Rango_Admin_DailyPred,MATCH($F23,Rango_Admin_DailyPred_Primera,0),0),"-")</f>
        <v>-</v>
      </c>
      <c r="AH23" s="429" t="str">
        <f ca="1">IFERROR(VLOOKUP(AH$2,Rango_Admin_DailyPred,MATCH($F23,Rango_Admin_DailyPred_Primera,0),0),"-")</f>
        <v>-</v>
      </c>
      <c r="AI23" s="429" t="str">
        <f ca="1">IFERROR(VLOOKUP(AI$2,Rango_Admin_DailyPred,MATCH($F23,Rango_Admin_DailyPred_Primera,0),0),"-")</f>
        <v>-</v>
      </c>
      <c r="AJ23" s="429" t="str">
        <f ca="1">IFERROR(VLOOKUP(AJ$2,Rango_Admin_DailyPred,MATCH($F23,Rango_Admin_DailyPred_Primera,0),0),"-")</f>
        <v>-</v>
      </c>
      <c r="AK23" s="429" t="str">
        <f ca="1">IFERROR(VLOOKUP(AK$2,Rango_Admin_DailyPred,MATCH($F23,Rango_Admin_DailyPred_Primera,0),0),"-")</f>
        <v>-</v>
      </c>
      <c r="AL23" s="429" t="str">
        <f ca="1">IFERROR(VLOOKUP(AL$2,Rango_Admin_DailyPred,MATCH($F23,Rango_Admin_DailyPred_Primera,0),0),"-")</f>
        <v>-</v>
      </c>
      <c r="AM23" s="297"/>
      <c r="AN23" s="297"/>
      <c r="AO23" s="297"/>
    </row>
    <row r="24" spans="1:41">
      <c r="A24" s="8" t="str" cm="1">
        <f t="array" aca="1" ref="A24" ca="1">IFERROR(INDEX(ADMIN!$K$6:$K$258,SMALL(IF(ADMIN!$G$6:$G$258=$J$1,ROW(ADMIN!$G$6:$G$258)-ROW(ADMIN!$G$6)+1),ROWS($A$1:A21))),"")</f>
        <v/>
      </c>
      <c r="B24" s="8" t="str">
        <f t="shared" ca="1" si="0"/>
        <v xml:space="preserve">
</v>
      </c>
      <c r="C24" s="8" t="str" cm="1">
        <f t="array" aca="1" ref="C24" ca="1">IFERROR(IF(INDEX(ADMIN!$M$6:$M$258,SMALL(IF(ADMIN!$G$6:$G$258=$J$1,ROW(ADMIN!$G$6:$G$258)-ROW(ADMIN!$G$6)+1),ROWS($A$1:A21)))="-", "", " ("&amp;INDEX(ADMIN!$M$6:$M$258,SMALL(IF(ADMIN!$G$6:$G$258=$J$1,ROW(ADMIN!$G$6:$G$258)-ROW(ADMIN!$G$6)+1),ROWS($A$1:A21)))&amp;")"),"")</f>
        <v/>
      </c>
      <c r="D24" s="8" t="str" cm="1">
        <f t="array" aca="1" ref="D24" ca="1">IFERROR(IF($J$1&gt;=20,INDEX(ADMIN!$C$6:$C$258,SMALL(IF(ADMIN!$G$6:$G$258=$J$1,ROW(ADMIN!$G$6:$G$258)-ROW(ADMIN!$G$6)+1),ROWS($D$1:D21))),""),"")</f>
        <v/>
      </c>
      <c r="E24" s="19">
        <f t="shared" si="1"/>
        <v>69</v>
      </c>
      <c r="F24" s="448" t="str" cm="1">
        <f t="array" ref="F24">IFERROR(INDEX(Rango_Admin_DailyPred_Primera,1,E24),"-")</f>
        <v>Niels Mulder</v>
      </c>
      <c r="G24" s="429" t="str">
        <f ca="1">IFERROR(VLOOKUP(G$2,Rango_Admin_DailyPred,MATCH($F24,Rango_Admin_DailyPred_Primera,0),0),"-")</f>
        <v>France-Portugal·1|2-1</v>
      </c>
      <c r="H24" s="429" t="str">
        <f ca="1">IFERROR(VLOOKUP(H$2,Rango_Admin_DailyPred,MATCH($F24,Rango_Admin_DailyPred_Primera,0),0),"-")</f>
        <v>Spain-England·1|2-1</v>
      </c>
      <c r="I24" s="429" t="str">
        <f ca="1">IFERROR(VLOOKUP(I$2,Rango_Admin_DailyPred,MATCH($F24,Rango_Admin_DailyPred_Primera,0),0),"-")</f>
        <v>Spain</v>
      </c>
      <c r="J24" s="429" t="str">
        <f ca="1">IFERROR(VLOOKUP(J$2,Rango_Admin_DailyPred,MATCH($F24,Rango_Admin_DailyPred_Primera,0),0),"-")</f>
        <v>England</v>
      </c>
      <c r="K24" s="429" t="str">
        <f ca="1">IFERROR(VLOOKUP(K$2,Rango_Admin_DailyPred,MATCH($F24,Rango_Admin_DailyPred_Primera,0),0),"-")</f>
        <v>France</v>
      </c>
      <c r="L24" s="429" t="str">
        <f ca="1">IFERROR(VLOOKUP(L$2,Rango_Admin_DailyPred,MATCH($F24,Rango_Admin_DailyPred_Primera,0),0),"-")</f>
        <v>Yamal</v>
      </c>
      <c r="M24" s="429" t="str">
        <f ca="1">IFERROR(VLOOKUP(M$2,Rango_Admin_DailyPred,MATCH($F24,Rango_Admin_DailyPred_Primera,0),0),"-")</f>
        <v>Dembele</v>
      </c>
      <c r="N24" s="429" t="str">
        <f ca="1">IFERROR(VLOOKUP(N$2,Rango_Admin_DailyPred,MATCH($F24,Rango_Admin_DailyPred_Primera,0),0),"-")</f>
        <v>Kane</v>
      </c>
      <c r="O24" s="429" t="str">
        <f ca="1">IFERROR(VLOOKUP(O$2,Rango_Admin_DailyPred,MATCH($F24,Rango_Admin_DailyPred_Primera,0),0),"-")</f>
        <v>Dembele</v>
      </c>
      <c r="P24" s="429" t="str">
        <f ca="1">IFERROR(VLOOKUP(P$2,Rango_Admin_DailyPred,MATCH($F24,Rango_Admin_DailyPred_Primera,0),0),"-")</f>
        <v>Kane</v>
      </c>
      <c r="Q24" s="429" t="str">
        <f ca="1">IFERROR(VLOOKUP(Q$2,Rango_Admin_DailyPred,MATCH($F24,Rango_Admin_DailyPred_Primera,0),0),"-")</f>
        <v>Yamal</v>
      </c>
      <c r="R24" s="429" t="str">
        <f ca="1">IFERROR(VLOOKUP(R$2,Rango_Admin_DailyPred,MATCH($F24,Rango_Admin_DailyPred_Primera,0),0),"-")</f>
        <v>-</v>
      </c>
      <c r="S24" s="429" t="str">
        <f ca="1">IFERROR(VLOOKUP(S$2,Rango_Admin_DailyPred,MATCH($F24,Rango_Admin_DailyPred_Primera,0),0),"-")</f>
        <v>-</v>
      </c>
      <c r="T24" s="429" t="str">
        <f ca="1">IFERROR(VLOOKUP(T$2,Rango_Admin_DailyPred,MATCH($F24,Rango_Admin_DailyPred_Primera,0),0),"-")</f>
        <v>-</v>
      </c>
      <c r="U24" s="429" t="str">
        <f ca="1">IFERROR(VLOOKUP(U$2,Rango_Admin_DailyPred,MATCH($F24,Rango_Admin_DailyPred_Primera,0),0),"-")</f>
        <v>-</v>
      </c>
      <c r="V24" s="429" t="str">
        <f ca="1">IFERROR(VLOOKUP(V$2,Rango_Admin_DailyPred,MATCH($F24,Rango_Admin_DailyPred_Primera,0),0),"-")</f>
        <v>-</v>
      </c>
      <c r="W24" s="429" t="str">
        <f ca="1">IFERROR(VLOOKUP(W$2,Rango_Admin_DailyPred,MATCH($F24,Rango_Admin_DailyPred_Primera,0),0),"-")</f>
        <v>-</v>
      </c>
      <c r="X24" s="429" t="str">
        <f ca="1">IFERROR(VLOOKUP(X$2,Rango_Admin_DailyPred,MATCH($F24,Rango_Admin_DailyPred_Primera,0),0),"-")</f>
        <v>-</v>
      </c>
      <c r="Y24" s="429" t="str">
        <f ca="1">IFERROR(VLOOKUP(Y$2,Rango_Admin_DailyPred,MATCH($F24,Rango_Admin_DailyPred_Primera,0),0),"-")</f>
        <v>-</v>
      </c>
      <c r="Z24" s="429" t="str">
        <f ca="1">IFERROR(VLOOKUP(Z$2,Rango_Admin_DailyPred,MATCH($F24,Rango_Admin_DailyPred_Primera,0),0),"-")</f>
        <v>-</v>
      </c>
      <c r="AA24" s="429" t="str">
        <f ca="1">IFERROR(VLOOKUP(AA$2,Rango_Admin_DailyPred,MATCH($F24,Rango_Admin_DailyPred_Primera,0),0),"-")</f>
        <v>-</v>
      </c>
      <c r="AB24" s="429" t="str">
        <f ca="1">IFERROR(VLOOKUP(AB$2,Rango_Admin_DailyPred,MATCH($F24,Rango_Admin_DailyPred_Primera,0),0),"-")</f>
        <v>-</v>
      </c>
      <c r="AC24" s="429" t="str">
        <f ca="1">IFERROR(VLOOKUP(AC$2,Rango_Admin_DailyPred,MATCH($F24,Rango_Admin_DailyPred_Primera,0),0),"-")</f>
        <v>-</v>
      </c>
      <c r="AD24" s="429" t="str">
        <f ca="1">IFERROR(VLOOKUP(AD$2,Rango_Admin_DailyPred,MATCH($F24,Rango_Admin_DailyPred_Primera,0),0),"-")</f>
        <v>-</v>
      </c>
      <c r="AE24" s="429" t="str">
        <f ca="1">IFERROR(VLOOKUP(AE$2,Rango_Admin_DailyPred,MATCH($F24,Rango_Admin_DailyPred_Primera,0),0),"-")</f>
        <v>-</v>
      </c>
      <c r="AF24" s="429" t="str">
        <f ca="1">IFERROR(VLOOKUP(AF$2,Rango_Admin_DailyPred,MATCH($F24,Rango_Admin_DailyPred_Primera,0),0),"-")</f>
        <v>-</v>
      </c>
      <c r="AG24" s="429" t="str">
        <f ca="1">IFERROR(VLOOKUP(AG$2,Rango_Admin_DailyPred,MATCH($F24,Rango_Admin_DailyPred_Primera,0),0),"-")</f>
        <v>-</v>
      </c>
      <c r="AH24" s="429" t="str">
        <f ca="1">IFERROR(VLOOKUP(AH$2,Rango_Admin_DailyPred,MATCH($F24,Rango_Admin_DailyPred_Primera,0),0),"-")</f>
        <v>-</v>
      </c>
      <c r="AI24" s="429" t="str">
        <f ca="1">IFERROR(VLOOKUP(AI$2,Rango_Admin_DailyPred,MATCH($F24,Rango_Admin_DailyPred_Primera,0),0),"-")</f>
        <v>-</v>
      </c>
      <c r="AJ24" s="429" t="str">
        <f ca="1">IFERROR(VLOOKUP(AJ$2,Rango_Admin_DailyPred,MATCH($F24,Rango_Admin_DailyPred_Primera,0),0),"-")</f>
        <v>-</v>
      </c>
      <c r="AK24" s="429" t="str">
        <f ca="1">IFERROR(VLOOKUP(AK$2,Rango_Admin_DailyPred,MATCH($F24,Rango_Admin_DailyPred_Primera,0),0),"-")</f>
        <v>-</v>
      </c>
      <c r="AL24" s="429" t="str">
        <f ca="1">IFERROR(VLOOKUP(AL$2,Rango_Admin_DailyPred,MATCH($F24,Rango_Admin_DailyPred_Primera,0),0),"-")</f>
        <v>-</v>
      </c>
      <c r="AM24" s="297"/>
      <c r="AN24" s="297"/>
      <c r="AO24" s="297"/>
    </row>
    <row r="25" spans="1:41">
      <c r="A25" s="8" t="str" cm="1">
        <f t="array" aca="1" ref="A25" ca="1">IFERROR(INDEX(ADMIN!$K$6:$K$258,SMALL(IF(ADMIN!$G$6:$G$258=$J$1,ROW(ADMIN!$G$6:$G$258)-ROW(ADMIN!$G$6)+1),ROWS($A$1:A22))),"")</f>
        <v/>
      </c>
      <c r="B25" s="8" t="str">
        <f t="shared" ca="1" si="0"/>
        <v xml:space="preserve">
</v>
      </c>
      <c r="C25" s="8" t="str" cm="1">
        <f t="array" aca="1" ref="C25" ca="1">IFERROR(IF(INDEX(ADMIN!$M$6:$M$258,SMALL(IF(ADMIN!$G$6:$G$258=$J$1,ROW(ADMIN!$G$6:$G$258)-ROW(ADMIN!$G$6)+1),ROWS($A$1:A22)))="-", "", " ("&amp;INDEX(ADMIN!$M$6:$M$258,SMALL(IF(ADMIN!$G$6:$G$258=$J$1,ROW(ADMIN!$G$6:$G$258)-ROW(ADMIN!$G$6)+1),ROWS($A$1:A22)))&amp;")"),"")</f>
        <v/>
      </c>
      <c r="D25" s="8" t="str" cm="1">
        <f t="array" aca="1" ref="D25" ca="1">IFERROR(IF($J$1&gt;=20,INDEX(ADMIN!$C$6:$C$258,SMALL(IF(ADMIN!$G$6:$G$258=$J$1,ROW(ADMIN!$G$6:$G$258)-ROW(ADMIN!$G$6)+1),ROWS($D$1:D22))),""),"")</f>
        <v/>
      </c>
      <c r="E25" s="19">
        <f t="shared" si="1"/>
        <v>72</v>
      </c>
      <c r="F25" s="448" t="str" cm="1">
        <f t="array" ref="F25">IFERROR(INDEX(Rango_Admin_DailyPred_Primera,1,E25),"-")</f>
        <v>Niels Klein Gebbink</v>
      </c>
      <c r="G25" s="429" t="str">
        <f ca="1">IFERROR(VLOOKUP(G$2,Rango_Admin_DailyPred,MATCH($F25,Rango_Admin_DailyPred_Primera,0),0),"-")</f>
        <v>Spain-Brazil·1|1-0</v>
      </c>
      <c r="H25" s="429" t="str">
        <f ca="1">IFERROR(VLOOKUP(H$2,Rango_Admin_DailyPred,MATCH($F25,Rango_Admin_DailyPred_Primera,0),0),"-")</f>
        <v>France-Portugal·1|2-1</v>
      </c>
      <c r="I25" s="429" t="str">
        <f ca="1">IFERROR(VLOOKUP(I$2,Rango_Admin_DailyPred,MATCH($F25,Rango_Admin_DailyPred_Primera,0),0),"-")</f>
        <v>France</v>
      </c>
      <c r="J25" s="429" t="str">
        <f ca="1">IFERROR(VLOOKUP(J$2,Rango_Admin_DailyPred,MATCH($F25,Rango_Admin_DailyPred_Primera,0),0),"-")</f>
        <v>Portugal</v>
      </c>
      <c r="K25" s="429" t="str">
        <f ca="1">IFERROR(VLOOKUP(K$2,Rango_Admin_DailyPred,MATCH($F25,Rango_Admin_DailyPred_Primera,0),0),"-")</f>
        <v>Spain</v>
      </c>
      <c r="L25" s="429" t="str">
        <f ca="1">IFERROR(VLOOKUP(L$2,Rango_Admin_DailyPred,MATCH($F25,Rango_Admin_DailyPred_Primera,0),0),"-")</f>
        <v>Mbappé</v>
      </c>
      <c r="M25" s="429" t="str">
        <f ca="1">IFERROR(VLOOKUP(M$2,Rango_Admin_DailyPred,MATCH($F25,Rango_Admin_DailyPred_Primera,0),0),"-")</f>
        <v>Lamine Yamal</v>
      </c>
      <c r="N25" s="429" t="str">
        <f ca="1">IFERROR(VLOOKUP(N$2,Rango_Admin_DailyPred,MATCH($F25,Rango_Admin_DailyPred_Primera,0),0),"-")</f>
        <v>Cody Gakpo</v>
      </c>
      <c r="O25" s="429" t="str">
        <f ca="1">IFERROR(VLOOKUP(O$2,Rango_Admin_DailyPred,MATCH($F25,Rango_Admin_DailyPred_Primera,0),0),"-")</f>
        <v>Cristiano Ronaldo</v>
      </c>
      <c r="P25" s="429" t="str">
        <f ca="1">IFERROR(VLOOKUP(P$2,Rango_Admin_DailyPred,MATCH($F25,Rango_Admin_DailyPred_Primera,0),0),"-")</f>
        <v>Memphis Depay</v>
      </c>
      <c r="Q25" s="429" t="str">
        <f ca="1">IFERROR(VLOOKUP(Q$2,Rango_Admin_DailyPred,MATCH($F25,Rango_Admin_DailyPred_Primera,0),0),"-")</f>
        <v>Neymar </v>
      </c>
      <c r="R25" s="429" t="str">
        <f ca="1">IFERROR(VLOOKUP(R$2,Rango_Admin_DailyPred,MATCH($F25,Rango_Admin_DailyPred_Primera,0),0),"-")</f>
        <v>-</v>
      </c>
      <c r="S25" s="429" t="str">
        <f ca="1">IFERROR(VLOOKUP(S$2,Rango_Admin_DailyPred,MATCH($F25,Rango_Admin_DailyPred_Primera,0),0),"-")</f>
        <v>-</v>
      </c>
      <c r="T25" s="429" t="str">
        <f ca="1">IFERROR(VLOOKUP(T$2,Rango_Admin_DailyPred,MATCH($F25,Rango_Admin_DailyPred_Primera,0),0),"-")</f>
        <v>-</v>
      </c>
      <c r="U25" s="429" t="str">
        <f ca="1">IFERROR(VLOOKUP(U$2,Rango_Admin_DailyPred,MATCH($F25,Rango_Admin_DailyPred_Primera,0),0),"-")</f>
        <v>-</v>
      </c>
      <c r="V25" s="429" t="str">
        <f ca="1">IFERROR(VLOOKUP(V$2,Rango_Admin_DailyPred,MATCH($F25,Rango_Admin_DailyPred_Primera,0),0),"-")</f>
        <v>-</v>
      </c>
      <c r="W25" s="429" t="str">
        <f ca="1">IFERROR(VLOOKUP(W$2,Rango_Admin_DailyPred,MATCH($F25,Rango_Admin_DailyPred_Primera,0),0),"-")</f>
        <v>-</v>
      </c>
      <c r="X25" s="429" t="str">
        <f ca="1">IFERROR(VLOOKUP(X$2,Rango_Admin_DailyPred,MATCH($F25,Rango_Admin_DailyPred_Primera,0),0),"-")</f>
        <v>-</v>
      </c>
      <c r="Y25" s="429" t="str">
        <f ca="1">IFERROR(VLOOKUP(Y$2,Rango_Admin_DailyPred,MATCH($F25,Rango_Admin_DailyPred_Primera,0),0),"-")</f>
        <v>-</v>
      </c>
      <c r="Z25" s="429" t="str">
        <f ca="1">IFERROR(VLOOKUP(Z$2,Rango_Admin_DailyPred,MATCH($F25,Rango_Admin_DailyPred_Primera,0),0),"-")</f>
        <v>-</v>
      </c>
      <c r="AA25" s="429" t="str">
        <f ca="1">IFERROR(VLOOKUP(AA$2,Rango_Admin_DailyPred,MATCH($F25,Rango_Admin_DailyPred_Primera,0),0),"-")</f>
        <v>-</v>
      </c>
      <c r="AB25" s="429" t="str">
        <f ca="1">IFERROR(VLOOKUP(AB$2,Rango_Admin_DailyPred,MATCH($F25,Rango_Admin_DailyPred_Primera,0),0),"-")</f>
        <v>-</v>
      </c>
      <c r="AC25" s="429" t="str">
        <f ca="1">IFERROR(VLOOKUP(AC$2,Rango_Admin_DailyPred,MATCH($F25,Rango_Admin_DailyPred_Primera,0),0),"-")</f>
        <v>-</v>
      </c>
      <c r="AD25" s="429" t="str">
        <f ca="1">IFERROR(VLOOKUP(AD$2,Rango_Admin_DailyPred,MATCH($F25,Rango_Admin_DailyPred_Primera,0),0),"-")</f>
        <v>-</v>
      </c>
      <c r="AE25" s="429" t="str">
        <f ca="1">IFERROR(VLOOKUP(AE$2,Rango_Admin_DailyPred,MATCH($F25,Rango_Admin_DailyPred_Primera,0),0),"-")</f>
        <v>-</v>
      </c>
      <c r="AF25" s="429" t="str">
        <f ca="1">IFERROR(VLOOKUP(AF$2,Rango_Admin_DailyPred,MATCH($F25,Rango_Admin_DailyPred_Primera,0),0),"-")</f>
        <v>-</v>
      </c>
      <c r="AG25" s="429" t="str">
        <f ca="1">IFERROR(VLOOKUP(AG$2,Rango_Admin_DailyPred,MATCH($F25,Rango_Admin_DailyPred_Primera,0),0),"-")</f>
        <v>-</v>
      </c>
      <c r="AH25" s="429" t="str">
        <f ca="1">IFERROR(VLOOKUP(AH$2,Rango_Admin_DailyPred,MATCH($F25,Rango_Admin_DailyPred_Primera,0),0),"-")</f>
        <v>-</v>
      </c>
      <c r="AI25" s="429" t="str">
        <f ca="1">IFERROR(VLOOKUP(AI$2,Rango_Admin_DailyPred,MATCH($F25,Rango_Admin_DailyPred_Primera,0),0),"-")</f>
        <v>-</v>
      </c>
      <c r="AJ25" s="429" t="str">
        <f ca="1">IFERROR(VLOOKUP(AJ$2,Rango_Admin_DailyPred,MATCH($F25,Rango_Admin_DailyPred_Primera,0),0),"-")</f>
        <v>-</v>
      </c>
      <c r="AK25" s="429" t="str">
        <f ca="1">IFERROR(VLOOKUP(AK$2,Rango_Admin_DailyPred,MATCH($F25,Rango_Admin_DailyPred_Primera,0),0),"-")</f>
        <v>-</v>
      </c>
      <c r="AL25" s="429" t="str">
        <f ca="1">IFERROR(VLOOKUP(AL$2,Rango_Admin_DailyPred,MATCH($F25,Rango_Admin_DailyPred_Primera,0),0),"-")</f>
        <v>-</v>
      </c>
      <c r="AM25" s="297"/>
      <c r="AN25" s="297"/>
      <c r="AO25" s="297"/>
    </row>
    <row r="26" spans="1:41">
      <c r="A26" s="8" t="str" cm="1">
        <f t="array" aca="1" ref="A26" ca="1">IFERROR(INDEX(ADMIN!$K$6:$K$258,SMALL(IF(ADMIN!$G$6:$G$258=$J$1,ROW(ADMIN!$G$6:$G$258)-ROW(ADMIN!$G$6)+1),ROWS($A$1:A23))),"")</f>
        <v/>
      </c>
      <c r="B26" s="8" t="str">
        <f t="shared" ca="1" si="0"/>
        <v xml:space="preserve">
</v>
      </c>
      <c r="C26" s="8" t="str" cm="1">
        <f t="array" aca="1" ref="C26" ca="1">IFERROR(IF(INDEX(ADMIN!$M$6:$M$258,SMALL(IF(ADMIN!$G$6:$G$258=$J$1,ROW(ADMIN!$G$6:$G$258)-ROW(ADMIN!$G$6)+1),ROWS($A$1:A23)))="-", "", " ("&amp;INDEX(ADMIN!$M$6:$M$258,SMALL(IF(ADMIN!$G$6:$G$258=$J$1,ROW(ADMIN!$G$6:$G$258)-ROW(ADMIN!$G$6)+1),ROWS($A$1:A23)))&amp;")"),"")</f>
        <v/>
      </c>
      <c r="D26" s="8" t="str" cm="1">
        <f t="array" aca="1" ref="D26" ca="1">IFERROR(IF($J$1&gt;=20,INDEX(ADMIN!$C$6:$C$258,SMALL(IF(ADMIN!$G$6:$G$258=$J$1,ROW(ADMIN!$G$6:$G$258)-ROW(ADMIN!$G$6)+1),ROWS($D$1:D23))),""),"")</f>
        <v/>
      </c>
      <c r="E26" s="19">
        <f t="shared" si="1"/>
        <v>75</v>
      </c>
      <c r="F26" s="448" t="str" cm="1">
        <f t="array" ref="F26">IFERROR(INDEX(Rango_Admin_DailyPred_Primera,1,E26),"-")</f>
        <v>Martijn Pierik</v>
      </c>
      <c r="G26" s="429" t="str">
        <f ca="1">IFERROR(VLOOKUP(G$2,Rango_Admin_DailyPred,MATCH($F26,Rango_Admin_DailyPred_Primera,0),0),"-")</f>
        <v>Spain-England·2|1-2</v>
      </c>
      <c r="H26" s="429" t="str">
        <f ca="1">IFERROR(VLOOKUP(H$2,Rango_Admin_DailyPred,MATCH($F26,Rango_Admin_DailyPred_Primera,0),0),"-")</f>
        <v>France-Argentina·1|2-0</v>
      </c>
      <c r="I26" s="429" t="str">
        <f ca="1">IFERROR(VLOOKUP(I$2,Rango_Admin_DailyPred,MATCH($F26,Rango_Admin_DailyPred_Primera,0),0),"-")</f>
        <v>France</v>
      </c>
      <c r="J26" s="429" t="str">
        <f ca="1">IFERROR(VLOOKUP(J$2,Rango_Admin_DailyPred,MATCH($F26,Rango_Admin_DailyPred_Primera,0),0),"-")</f>
        <v>Argentina</v>
      </c>
      <c r="K26" s="429" t="str">
        <f ca="1">IFERROR(VLOOKUP(K$2,Rango_Admin_DailyPred,MATCH($F26,Rango_Admin_DailyPred_Primera,0),0),"-")</f>
        <v>England</v>
      </c>
      <c r="L26" s="429" t="str">
        <f ca="1">IFERROR(VLOOKUP(L$2,Rango_Admin_DailyPred,MATCH($F26,Rango_Admin_DailyPred_Primera,0),0),"-")</f>
        <v>Mbappé</v>
      </c>
      <c r="M26" s="429" t="str">
        <f ca="1">IFERROR(VLOOKUP(M$2,Rango_Admin_DailyPred,MATCH($F26,Rango_Admin_DailyPred_Primera,0),0),"-")</f>
        <v>Harry Kane</v>
      </c>
      <c r="N26" s="429" t="str">
        <f ca="1">IFERROR(VLOOKUP(N$2,Rango_Admin_DailyPred,MATCH($F26,Rango_Admin_DailyPred_Primera,0),0),"-")</f>
        <v>Bellingham / Haaland</v>
      </c>
      <c r="O26" s="429" t="str">
        <f ca="1">IFERROR(VLOOKUP(O$2,Rango_Admin_DailyPred,MATCH($F26,Rango_Admin_DailyPred_Primera,0),0),"-")</f>
        <v>Kylian Mbappé</v>
      </c>
      <c r="P26" s="429" t="str">
        <f ca="1">IFERROR(VLOOKUP(P$2,Rango_Admin_DailyPred,MATCH($F26,Rango_Admin_DailyPred_Primera,0),0),"-")</f>
        <v>Jude Bellingham</v>
      </c>
      <c r="Q26" s="429" t="str">
        <f ca="1">IFERROR(VLOOKUP(Q$2,Rango_Admin_DailyPred,MATCH($F26,Rango_Admin_DailyPred_Primera,0),0),"-")</f>
        <v>Alexis Mac Allister</v>
      </c>
      <c r="R26" s="429" t="str">
        <f ca="1">IFERROR(VLOOKUP(R$2,Rango_Admin_DailyPred,MATCH($F26,Rango_Admin_DailyPred_Primera,0),0),"-")</f>
        <v>-</v>
      </c>
      <c r="S26" s="429" t="str">
        <f ca="1">IFERROR(VLOOKUP(S$2,Rango_Admin_DailyPred,MATCH($F26,Rango_Admin_DailyPred_Primera,0),0),"-")</f>
        <v>-</v>
      </c>
      <c r="T26" s="429" t="str">
        <f ca="1">IFERROR(VLOOKUP(T$2,Rango_Admin_DailyPred,MATCH($F26,Rango_Admin_DailyPred_Primera,0),0),"-")</f>
        <v>-</v>
      </c>
      <c r="U26" s="429" t="str">
        <f ca="1">IFERROR(VLOOKUP(U$2,Rango_Admin_DailyPred,MATCH($F26,Rango_Admin_DailyPred_Primera,0),0),"-")</f>
        <v>-</v>
      </c>
      <c r="V26" s="429" t="str">
        <f ca="1">IFERROR(VLOOKUP(V$2,Rango_Admin_DailyPred,MATCH($F26,Rango_Admin_DailyPred_Primera,0),0),"-")</f>
        <v>-</v>
      </c>
      <c r="W26" s="429" t="str">
        <f ca="1">IFERROR(VLOOKUP(W$2,Rango_Admin_DailyPred,MATCH($F26,Rango_Admin_DailyPred_Primera,0),0),"-")</f>
        <v>-</v>
      </c>
      <c r="X26" s="429" t="str">
        <f ca="1">IFERROR(VLOOKUP(X$2,Rango_Admin_DailyPred,MATCH($F26,Rango_Admin_DailyPred_Primera,0),0),"-")</f>
        <v>-</v>
      </c>
      <c r="Y26" s="429" t="str">
        <f ca="1">IFERROR(VLOOKUP(Y$2,Rango_Admin_DailyPred,MATCH($F26,Rango_Admin_DailyPred_Primera,0),0),"-")</f>
        <v>-</v>
      </c>
      <c r="Z26" s="429" t="str">
        <f ca="1">IFERROR(VLOOKUP(Z$2,Rango_Admin_DailyPred,MATCH($F26,Rango_Admin_DailyPred_Primera,0),0),"-")</f>
        <v>-</v>
      </c>
      <c r="AA26" s="429" t="str">
        <f ca="1">IFERROR(VLOOKUP(AA$2,Rango_Admin_DailyPred,MATCH($F26,Rango_Admin_DailyPred_Primera,0),0),"-")</f>
        <v>-</v>
      </c>
      <c r="AB26" s="429" t="str">
        <f ca="1">IFERROR(VLOOKUP(AB$2,Rango_Admin_DailyPred,MATCH($F26,Rango_Admin_DailyPred_Primera,0),0),"-")</f>
        <v>-</v>
      </c>
      <c r="AC26" s="429" t="str">
        <f ca="1">IFERROR(VLOOKUP(AC$2,Rango_Admin_DailyPred,MATCH($F26,Rango_Admin_DailyPred_Primera,0),0),"-")</f>
        <v>-</v>
      </c>
      <c r="AD26" s="429" t="str">
        <f ca="1">IFERROR(VLOOKUP(AD$2,Rango_Admin_DailyPred,MATCH($F26,Rango_Admin_DailyPred_Primera,0),0),"-")</f>
        <v>-</v>
      </c>
      <c r="AE26" s="429" t="str">
        <f ca="1">IFERROR(VLOOKUP(AE$2,Rango_Admin_DailyPred,MATCH($F26,Rango_Admin_DailyPred_Primera,0),0),"-")</f>
        <v>-</v>
      </c>
      <c r="AF26" s="429" t="str">
        <f ca="1">IFERROR(VLOOKUP(AF$2,Rango_Admin_DailyPred,MATCH($F26,Rango_Admin_DailyPred_Primera,0),0),"-")</f>
        <v>-</v>
      </c>
      <c r="AG26" s="429" t="str">
        <f ca="1">IFERROR(VLOOKUP(AG$2,Rango_Admin_DailyPred,MATCH($F26,Rango_Admin_DailyPred_Primera,0),0),"-")</f>
        <v>-</v>
      </c>
      <c r="AH26" s="429" t="str">
        <f ca="1">IFERROR(VLOOKUP(AH$2,Rango_Admin_DailyPred,MATCH($F26,Rango_Admin_DailyPred_Primera,0),0),"-")</f>
        <v>-</v>
      </c>
      <c r="AI26" s="429" t="str">
        <f ca="1">IFERROR(VLOOKUP(AI$2,Rango_Admin_DailyPred,MATCH($F26,Rango_Admin_DailyPred_Primera,0),0),"-")</f>
        <v>-</v>
      </c>
      <c r="AJ26" s="429" t="str">
        <f ca="1">IFERROR(VLOOKUP(AJ$2,Rango_Admin_DailyPred,MATCH($F26,Rango_Admin_DailyPred_Primera,0),0),"-")</f>
        <v>-</v>
      </c>
      <c r="AK26" s="429" t="str">
        <f ca="1">IFERROR(VLOOKUP(AK$2,Rango_Admin_DailyPred,MATCH($F26,Rango_Admin_DailyPred_Primera,0),0),"-")</f>
        <v>-</v>
      </c>
      <c r="AL26" s="429" t="str">
        <f ca="1">IFERROR(VLOOKUP(AL$2,Rango_Admin_DailyPred,MATCH($F26,Rango_Admin_DailyPred_Primera,0),0),"-")</f>
        <v>-</v>
      </c>
      <c r="AM26" s="297"/>
      <c r="AN26" s="297"/>
      <c r="AO26" s="297"/>
    </row>
    <row r="27" spans="1:41">
      <c r="A27" s="8" t="str" cm="1">
        <f t="array" aca="1" ref="A27" ca="1">IFERROR(INDEX(ADMIN!$K$6:$K$258,SMALL(IF(ADMIN!$G$6:$G$258=$J$1,ROW(ADMIN!$G$6:$G$258)-ROW(ADMIN!$G$6)+1),ROWS($A$1:A24))),"")</f>
        <v/>
      </c>
      <c r="B27" s="8" t="str">
        <f t="shared" ca="1" si="0"/>
        <v xml:space="preserve">
</v>
      </c>
      <c r="C27" s="8" t="str" cm="1">
        <f t="array" aca="1" ref="C27" ca="1">IFERROR(IF(INDEX(ADMIN!$M$6:$M$258,SMALL(IF(ADMIN!$G$6:$G$258=$J$1,ROW(ADMIN!$G$6:$G$258)-ROW(ADMIN!$G$6)+1),ROWS($A$1:A24)))="-", "", " ("&amp;INDEX(ADMIN!$M$6:$M$258,SMALL(IF(ADMIN!$G$6:$G$258=$J$1,ROW(ADMIN!$G$6:$G$258)-ROW(ADMIN!$G$6)+1),ROWS($A$1:A24)))&amp;")"),"")</f>
        <v/>
      </c>
      <c r="D27" s="8" t="str" cm="1">
        <f t="array" aca="1" ref="D27" ca="1">IFERROR(IF($J$1&gt;=20,INDEX(ADMIN!$C$6:$C$258,SMALL(IF(ADMIN!$G$6:$G$258=$J$1,ROW(ADMIN!$G$6:$G$258)-ROW(ADMIN!$G$6)+1),ROWS($D$1:D24))),""),"")</f>
        <v/>
      </c>
      <c r="E27" s="19">
        <f t="shared" si="1"/>
        <v>78</v>
      </c>
      <c r="F27" s="448" t="str" cm="1">
        <f t="array" ref="F27">IFERROR(INDEX(Rango_Admin_DailyPred_Primera,1,E27),"-")</f>
        <v>Tjarco van Loon</v>
      </c>
      <c r="G27" s="429" t="str">
        <f ca="1">IFERROR(VLOOKUP(G$2,Rango_Admin_DailyPred,MATCH($F27,Rango_Admin_DailyPred_Primera,0),0),"-")</f>
        <v>Spain-Argentina·1|2-1</v>
      </c>
      <c r="H27" s="429" t="str">
        <f ca="1">IFERROR(VLOOKUP(H$2,Rango_Admin_DailyPred,MATCH($F27,Rango_Admin_DailyPred_Primera,0),0),"-")</f>
        <v>Netherlands-England·1|2-1</v>
      </c>
      <c r="I27" s="429" t="str">
        <f ca="1">IFERROR(VLOOKUP(I$2,Rango_Admin_DailyPred,MATCH($F27,Rango_Admin_DailyPred_Primera,0),0),"-")</f>
        <v>Netherlands</v>
      </c>
      <c r="J27" s="429" t="str">
        <f ca="1">IFERROR(VLOOKUP(J$2,Rango_Admin_DailyPred,MATCH($F27,Rango_Admin_DailyPred_Primera,0),0),"-")</f>
        <v>England</v>
      </c>
      <c r="K27" s="429" t="str">
        <f ca="1">IFERROR(VLOOKUP(K$2,Rango_Admin_DailyPred,MATCH($F27,Rango_Admin_DailyPred_Primera,0),0),"-")</f>
        <v>Spain</v>
      </c>
      <c r="L27" s="429" t="str">
        <f ca="1">IFERROR(VLOOKUP(L$2,Rango_Admin_DailyPred,MATCH($F27,Rango_Admin_DailyPred_Primera,0),0),"-")</f>
        <v>harry kane</v>
      </c>
      <c r="M27" s="429" t="str">
        <f ca="1">IFERROR(VLOOKUP(M$2,Rango_Admin_DailyPred,MATCH($F27,Rango_Admin_DailyPred_Primera,0),0),"-")</f>
        <v>vinicius jr</v>
      </c>
      <c r="N27" s="429" t="str">
        <f ca="1">IFERROR(VLOOKUP(N$2,Rango_Admin_DailyPred,MATCH($F27,Rango_Admin_DailyPred_Primera,0),0),"-")</f>
        <v>t.reinders</v>
      </c>
      <c r="O27" s="429" t="str">
        <f ca="1">IFERROR(VLOOKUP(O$2,Rango_Admin_DailyPred,MATCH($F27,Rango_Admin_DailyPred_Primera,0),0),"-")</f>
        <v>Lamin Yamal</v>
      </c>
      <c r="P27" s="429" t="str">
        <f ca="1">IFERROR(VLOOKUP(P$2,Rango_Admin_DailyPred,MATCH($F27,Rango_Admin_DailyPred_Primera,0),0),"-")</f>
        <v>c.Summerville</v>
      </c>
      <c r="Q27" s="429" t="str">
        <f ca="1">IFERROR(VLOOKUP(Q$2,Rango_Admin_DailyPred,MATCH($F27,Rango_Admin_DailyPred_Primera,0),0),"-")</f>
        <v>harry kane</v>
      </c>
      <c r="R27" s="429" t="str">
        <f ca="1">IFERROR(VLOOKUP(R$2,Rango_Admin_DailyPred,MATCH($F27,Rango_Admin_DailyPred_Primera,0),0),"-")</f>
        <v>-</v>
      </c>
      <c r="S27" s="429" t="str">
        <f ca="1">IFERROR(VLOOKUP(S$2,Rango_Admin_DailyPred,MATCH($F27,Rango_Admin_DailyPred_Primera,0),0),"-")</f>
        <v>-</v>
      </c>
      <c r="T27" s="429" t="str">
        <f ca="1">IFERROR(VLOOKUP(T$2,Rango_Admin_DailyPred,MATCH($F27,Rango_Admin_DailyPred_Primera,0),0),"-")</f>
        <v>-</v>
      </c>
      <c r="U27" s="429" t="str">
        <f ca="1">IFERROR(VLOOKUP(U$2,Rango_Admin_DailyPred,MATCH($F27,Rango_Admin_DailyPred_Primera,0),0),"-")</f>
        <v>-</v>
      </c>
      <c r="V27" s="429" t="str">
        <f ca="1">IFERROR(VLOOKUP(V$2,Rango_Admin_DailyPred,MATCH($F27,Rango_Admin_DailyPred_Primera,0),0),"-")</f>
        <v>-</v>
      </c>
      <c r="W27" s="429" t="str">
        <f ca="1">IFERROR(VLOOKUP(W$2,Rango_Admin_DailyPred,MATCH($F27,Rango_Admin_DailyPred_Primera,0),0),"-")</f>
        <v>-</v>
      </c>
      <c r="X27" s="429" t="str">
        <f ca="1">IFERROR(VLOOKUP(X$2,Rango_Admin_DailyPred,MATCH($F27,Rango_Admin_DailyPred_Primera,0),0),"-")</f>
        <v>-</v>
      </c>
      <c r="Y27" s="429" t="str">
        <f ca="1">IFERROR(VLOOKUP(Y$2,Rango_Admin_DailyPred,MATCH($F27,Rango_Admin_DailyPred_Primera,0),0),"-")</f>
        <v>-</v>
      </c>
      <c r="Z27" s="429" t="str">
        <f ca="1">IFERROR(VLOOKUP(Z$2,Rango_Admin_DailyPred,MATCH($F27,Rango_Admin_DailyPred_Primera,0),0),"-")</f>
        <v>-</v>
      </c>
      <c r="AA27" s="429" t="str">
        <f ca="1">IFERROR(VLOOKUP(AA$2,Rango_Admin_DailyPred,MATCH($F27,Rango_Admin_DailyPred_Primera,0),0),"-")</f>
        <v>-</v>
      </c>
      <c r="AB27" s="429" t="str">
        <f ca="1">IFERROR(VLOOKUP(AB$2,Rango_Admin_DailyPred,MATCH($F27,Rango_Admin_DailyPred_Primera,0),0),"-")</f>
        <v>-</v>
      </c>
      <c r="AC27" s="429" t="str">
        <f ca="1">IFERROR(VLOOKUP(AC$2,Rango_Admin_DailyPred,MATCH($F27,Rango_Admin_DailyPred_Primera,0),0),"-")</f>
        <v>-</v>
      </c>
      <c r="AD27" s="429" t="str">
        <f ca="1">IFERROR(VLOOKUP(AD$2,Rango_Admin_DailyPred,MATCH($F27,Rango_Admin_DailyPred_Primera,0),0),"-")</f>
        <v>-</v>
      </c>
      <c r="AE27" s="429" t="str">
        <f ca="1">IFERROR(VLOOKUP(AE$2,Rango_Admin_DailyPred,MATCH($F27,Rango_Admin_DailyPred_Primera,0),0),"-")</f>
        <v>-</v>
      </c>
      <c r="AF27" s="429" t="str">
        <f ca="1">IFERROR(VLOOKUP(AF$2,Rango_Admin_DailyPred,MATCH($F27,Rango_Admin_DailyPred_Primera,0),0),"-")</f>
        <v>-</v>
      </c>
      <c r="AG27" s="429" t="str">
        <f ca="1">IFERROR(VLOOKUP(AG$2,Rango_Admin_DailyPred,MATCH($F27,Rango_Admin_DailyPred_Primera,0),0),"-")</f>
        <v>-</v>
      </c>
      <c r="AH27" s="429" t="str">
        <f ca="1">IFERROR(VLOOKUP(AH$2,Rango_Admin_DailyPred,MATCH($F27,Rango_Admin_DailyPred_Primera,0),0),"-")</f>
        <v>-</v>
      </c>
      <c r="AI27" s="429" t="str">
        <f ca="1">IFERROR(VLOOKUP(AI$2,Rango_Admin_DailyPred,MATCH($F27,Rango_Admin_DailyPred_Primera,0),0),"-")</f>
        <v>-</v>
      </c>
      <c r="AJ27" s="429" t="str">
        <f ca="1">IFERROR(VLOOKUP(AJ$2,Rango_Admin_DailyPred,MATCH($F27,Rango_Admin_DailyPred_Primera,0),0),"-")</f>
        <v>-</v>
      </c>
      <c r="AK27" s="429" t="str">
        <f ca="1">IFERROR(VLOOKUP(AK$2,Rango_Admin_DailyPred,MATCH($F27,Rango_Admin_DailyPred_Primera,0),0),"-")</f>
        <v>-</v>
      </c>
      <c r="AL27" s="429" t="str">
        <f ca="1">IFERROR(VLOOKUP(AL$2,Rango_Admin_DailyPred,MATCH($F27,Rango_Admin_DailyPred_Primera,0),0),"-")</f>
        <v>-</v>
      </c>
      <c r="AM27" s="297"/>
      <c r="AN27" s="297"/>
      <c r="AO27" s="297"/>
    </row>
    <row r="28" spans="1:41">
      <c r="A28" s="8" t="str" cm="1">
        <f t="array" aca="1" ref="A28" ca="1">IFERROR(INDEX(ADMIN!$K$6:$K$258,SMALL(IF(ADMIN!$G$6:$G$258=$J$1,ROW(ADMIN!$G$6:$G$258)-ROW(ADMIN!$G$6)+1),ROWS($A$1:A25))),"")</f>
        <v/>
      </c>
      <c r="B28" s="8" t="str">
        <f t="shared" ca="1" si="0"/>
        <v xml:space="preserve">
</v>
      </c>
      <c r="C28" s="8" t="str" cm="1">
        <f t="array" aca="1" ref="C28" ca="1">IFERROR(IF(INDEX(ADMIN!$M$6:$M$258,SMALL(IF(ADMIN!$G$6:$G$258=$J$1,ROW(ADMIN!$G$6:$G$258)-ROW(ADMIN!$G$6)+1),ROWS($A$1:A25)))="-", "", " ("&amp;INDEX(ADMIN!$M$6:$M$258,SMALL(IF(ADMIN!$G$6:$G$258=$J$1,ROW(ADMIN!$G$6:$G$258)-ROW(ADMIN!$G$6)+1),ROWS($A$1:A25)))&amp;")"),"")</f>
        <v/>
      </c>
      <c r="D28" s="8" t="str" cm="1">
        <f t="array" aca="1" ref="D28" ca="1">IFERROR(IF($J$1&gt;=20,INDEX(ADMIN!$C$6:$C$258,SMALL(IF(ADMIN!$G$6:$G$258=$J$1,ROW(ADMIN!$G$6:$G$258)-ROW(ADMIN!$G$6)+1),ROWS($D$1:D25))),""),"")</f>
        <v/>
      </c>
      <c r="E28" s="19">
        <f t="shared" si="1"/>
        <v>81</v>
      </c>
      <c r="F28" s="448" t="str" cm="1">
        <f t="array" ref="F28">IFERROR(INDEX(Rango_Admin_DailyPred_Primera,1,E28),"-")</f>
        <v>Bart Veltmann</v>
      </c>
      <c r="G28" s="429" t="str">
        <f ca="1">IFERROR(VLOOKUP(G$2,Rango_Admin_DailyPred,MATCH($F28,Rango_Admin_DailyPred_Primera,0),0),"-")</f>
        <v>Germany-England·X|1-1</v>
      </c>
      <c r="H28" s="429" t="str">
        <f ca="1">IFERROR(VLOOKUP(H$2,Rango_Admin_DailyPred,MATCH($F28,Rango_Admin_DailyPred_Primera,0),0),"-")</f>
        <v>Spain-Portugal·X|1-1</v>
      </c>
      <c r="I28" s="429" t="str">
        <f ca="1">IFERROR(VLOOKUP(I$2,Rango_Admin_DailyPred,MATCH($F28,Rango_Admin_DailyPred_Primera,0),0),"-")</f>
        <v>Portugal</v>
      </c>
      <c r="J28" s="429" t="str">
        <f ca="1">IFERROR(VLOOKUP(J$2,Rango_Admin_DailyPred,MATCH($F28,Rango_Admin_DailyPred_Primera,0),0),"-")</f>
        <v>Spain</v>
      </c>
      <c r="K28" s="429" t="str">
        <f ca="1">IFERROR(VLOOKUP(K$2,Rango_Admin_DailyPred,MATCH($F28,Rango_Admin_DailyPred_Primera,0),0),"-")</f>
        <v>England</v>
      </c>
      <c r="L28" s="429" t="str">
        <f ca="1">IFERROR(VLOOKUP(L$2,Rango_Admin_DailyPred,MATCH($F28,Rango_Admin_DailyPred_Primera,0),0),"-")</f>
        <v>Harry Kane</v>
      </c>
      <c r="M28" s="429" t="str">
        <f ca="1">IFERROR(VLOOKUP(M$2,Rango_Admin_DailyPred,MATCH($F28,Rango_Admin_DailyPred_Primera,0),0),"-")</f>
        <v>Oryazabal</v>
      </c>
      <c r="N28" s="429" t="str">
        <f ca="1">IFERROR(VLOOKUP(N$2,Rango_Admin_DailyPred,MATCH($F28,Rango_Admin_DailyPred_Primera,0),0),"-")</f>
        <v>Kai Havertz</v>
      </c>
      <c r="O28" s="429" t="str">
        <f ca="1">IFERROR(VLOOKUP(O$2,Rango_Admin_DailyPred,MATCH($F28,Rango_Admin_DailyPred_Primera,0),0),"-")</f>
        <v>Vitinha</v>
      </c>
      <c r="P28" s="429" t="str">
        <f ca="1">IFERROR(VLOOKUP(P$2,Rango_Admin_DailyPred,MATCH($F28,Rango_Admin_DailyPred_Primera,0),0),"-")</f>
        <v>Harry Kane</v>
      </c>
      <c r="Q28" s="429" t="str">
        <f ca="1">IFERROR(VLOOKUP(Q$2,Rango_Admin_DailyPred,MATCH($F28,Rango_Admin_DailyPred_Primera,0),0),"-")</f>
        <v>Lamine Yamal</v>
      </c>
      <c r="R28" s="429" t="str">
        <f ca="1">IFERROR(VLOOKUP(R$2,Rango_Admin_DailyPred,MATCH($F28,Rango_Admin_DailyPred_Primera,0),0),"-")</f>
        <v>-</v>
      </c>
      <c r="S28" s="429" t="str">
        <f ca="1">IFERROR(VLOOKUP(S$2,Rango_Admin_DailyPred,MATCH($F28,Rango_Admin_DailyPred_Primera,0),0),"-")</f>
        <v>-</v>
      </c>
      <c r="T28" s="429" t="str">
        <f ca="1">IFERROR(VLOOKUP(T$2,Rango_Admin_DailyPred,MATCH($F28,Rango_Admin_DailyPred_Primera,0),0),"-")</f>
        <v>-</v>
      </c>
      <c r="U28" s="429" t="str">
        <f ca="1">IFERROR(VLOOKUP(U$2,Rango_Admin_DailyPred,MATCH($F28,Rango_Admin_DailyPred_Primera,0),0),"-")</f>
        <v>-</v>
      </c>
      <c r="V28" s="429" t="str">
        <f ca="1">IFERROR(VLOOKUP(V$2,Rango_Admin_DailyPred,MATCH($F28,Rango_Admin_DailyPred_Primera,0),0),"-")</f>
        <v>-</v>
      </c>
      <c r="W28" s="429" t="str">
        <f ca="1">IFERROR(VLOOKUP(W$2,Rango_Admin_DailyPred,MATCH($F28,Rango_Admin_DailyPred_Primera,0),0),"-")</f>
        <v>-</v>
      </c>
      <c r="X28" s="429" t="str">
        <f ca="1">IFERROR(VLOOKUP(X$2,Rango_Admin_DailyPred,MATCH($F28,Rango_Admin_DailyPred_Primera,0),0),"-")</f>
        <v>-</v>
      </c>
      <c r="Y28" s="429" t="str">
        <f ca="1">IFERROR(VLOOKUP(Y$2,Rango_Admin_DailyPred,MATCH($F28,Rango_Admin_DailyPred_Primera,0),0),"-")</f>
        <v>-</v>
      </c>
      <c r="Z28" s="429" t="str">
        <f ca="1">IFERROR(VLOOKUP(Z$2,Rango_Admin_DailyPred,MATCH($F28,Rango_Admin_DailyPred_Primera,0),0),"-")</f>
        <v>-</v>
      </c>
      <c r="AA28" s="429" t="str">
        <f ca="1">IFERROR(VLOOKUP(AA$2,Rango_Admin_DailyPred,MATCH($F28,Rango_Admin_DailyPred_Primera,0),0),"-")</f>
        <v>-</v>
      </c>
      <c r="AB28" s="429" t="str">
        <f ca="1">IFERROR(VLOOKUP(AB$2,Rango_Admin_DailyPred,MATCH($F28,Rango_Admin_DailyPred_Primera,0),0),"-")</f>
        <v>-</v>
      </c>
      <c r="AC28" s="429" t="str">
        <f ca="1">IFERROR(VLOOKUP(AC$2,Rango_Admin_DailyPred,MATCH($F28,Rango_Admin_DailyPred_Primera,0),0),"-")</f>
        <v>-</v>
      </c>
      <c r="AD28" s="429" t="str">
        <f ca="1">IFERROR(VLOOKUP(AD$2,Rango_Admin_DailyPred,MATCH($F28,Rango_Admin_DailyPred_Primera,0),0),"-")</f>
        <v>-</v>
      </c>
      <c r="AE28" s="429" t="str">
        <f ca="1">IFERROR(VLOOKUP(AE$2,Rango_Admin_DailyPred,MATCH($F28,Rango_Admin_DailyPred_Primera,0),0),"-")</f>
        <v>-</v>
      </c>
      <c r="AF28" s="429" t="str">
        <f ca="1">IFERROR(VLOOKUP(AF$2,Rango_Admin_DailyPred,MATCH($F28,Rango_Admin_DailyPred_Primera,0),0),"-")</f>
        <v>-</v>
      </c>
      <c r="AG28" s="429" t="str">
        <f ca="1">IFERROR(VLOOKUP(AG$2,Rango_Admin_DailyPred,MATCH($F28,Rango_Admin_DailyPred_Primera,0),0),"-")</f>
        <v>-</v>
      </c>
      <c r="AH28" s="429" t="str">
        <f ca="1">IFERROR(VLOOKUP(AH$2,Rango_Admin_DailyPred,MATCH($F28,Rango_Admin_DailyPred_Primera,0),0),"-")</f>
        <v>-</v>
      </c>
      <c r="AI28" s="429" t="str">
        <f ca="1">IFERROR(VLOOKUP(AI$2,Rango_Admin_DailyPred,MATCH($F28,Rango_Admin_DailyPred_Primera,0),0),"-")</f>
        <v>-</v>
      </c>
      <c r="AJ28" s="429" t="str">
        <f ca="1">IFERROR(VLOOKUP(AJ$2,Rango_Admin_DailyPred,MATCH($F28,Rango_Admin_DailyPred_Primera,0),0),"-")</f>
        <v>-</v>
      </c>
      <c r="AK28" s="429" t="str">
        <f ca="1">IFERROR(VLOOKUP(AK$2,Rango_Admin_DailyPred,MATCH($F28,Rango_Admin_DailyPred_Primera,0),0),"-")</f>
        <v>-</v>
      </c>
      <c r="AL28" s="429" t="str">
        <f ca="1">IFERROR(VLOOKUP(AL$2,Rango_Admin_DailyPred,MATCH($F28,Rango_Admin_DailyPred_Primera,0),0),"-")</f>
        <v>-</v>
      </c>
      <c r="AM28" s="297"/>
      <c r="AN28" s="297"/>
      <c r="AO28" s="297"/>
    </row>
    <row r="29" spans="1:41">
      <c r="A29" s="8" t="str" cm="1">
        <f t="array" aca="1" ref="A29" ca="1">IFERROR(INDEX(ADMIN!$K$6:$K$258,SMALL(IF(ADMIN!$G$6:$G$258=$J$1,ROW(ADMIN!$G$6:$G$258)-ROW(ADMIN!$G$6)+1),ROWS($A$1:A26))),"")</f>
        <v/>
      </c>
      <c r="B29" s="8" t="str">
        <f t="shared" ca="1" si="0"/>
        <v xml:space="preserve">
</v>
      </c>
      <c r="C29" s="8" t="str" cm="1">
        <f t="array" aca="1" ref="C29" ca="1">IFERROR(IF(INDEX(ADMIN!$M$6:$M$258,SMALL(IF(ADMIN!$G$6:$G$258=$J$1,ROW(ADMIN!$G$6:$G$258)-ROW(ADMIN!$G$6)+1),ROWS($A$1:A26)))="-", "", " ("&amp;INDEX(ADMIN!$M$6:$M$258,SMALL(IF(ADMIN!$G$6:$G$258=$J$1,ROW(ADMIN!$G$6:$G$258)-ROW(ADMIN!$G$6)+1),ROWS($A$1:A26)))&amp;")"),"")</f>
        <v/>
      </c>
      <c r="D29" s="8" t="str" cm="1">
        <f t="array" aca="1" ref="D29" ca="1">IFERROR(IF($J$1&gt;=20,INDEX(ADMIN!$C$6:$C$258,SMALL(IF(ADMIN!$G$6:$G$258=$J$1,ROW(ADMIN!$G$6:$G$258)-ROW(ADMIN!$G$6)+1),ROWS($D$1:D26))),""),"")</f>
        <v/>
      </c>
      <c r="E29" s="19">
        <f t="shared" si="1"/>
        <v>84</v>
      </c>
      <c r="F29" s="448" t="str" cm="1">
        <f t="array" ref="F29">IFERROR(INDEX(Rango_Admin_DailyPred_Primera,1,E29),"-")</f>
        <v>Petra Hemmer - Kleis</v>
      </c>
      <c r="G29" s="429" t="str">
        <f ca="1">IFERROR(VLOOKUP(G$2,Rango_Admin_DailyPred,MATCH($F29,Rango_Admin_DailyPred_Primera,0),0),"-")</f>
        <v>Germany-Norway·1|3-1</v>
      </c>
      <c r="H29" s="429" t="str">
        <f ca="1">IFERROR(VLOOKUP(H$2,Rango_Admin_DailyPred,MATCH($F29,Rango_Admin_DailyPred_Primera,0),0),"-")</f>
        <v>Spain-Portugal·1|1-0</v>
      </c>
      <c r="I29" s="429" t="str">
        <f ca="1">IFERROR(VLOOKUP(I$2,Rango_Admin_DailyPred,MATCH($F29,Rango_Admin_DailyPred_Primera,0),0),"-")</f>
        <v>Spain</v>
      </c>
      <c r="J29" s="429" t="str">
        <f ca="1">IFERROR(VLOOKUP(J$2,Rango_Admin_DailyPred,MATCH($F29,Rango_Admin_DailyPred_Primera,0),0),"-")</f>
        <v>Portugal</v>
      </c>
      <c r="K29" s="429" t="str">
        <f ca="1">IFERROR(VLOOKUP(K$2,Rango_Admin_DailyPred,MATCH($F29,Rango_Admin_DailyPred_Primera,0),0),"-")</f>
        <v>Germany</v>
      </c>
      <c r="L29" s="429" t="str">
        <f ca="1">IFERROR(VLOOKUP(L$2,Rango_Admin_DailyPred,MATCH($F29,Rango_Admin_DailyPred_Primera,0),0),"-")</f>
        <v>Mbappé</v>
      </c>
      <c r="M29" s="429" t="str">
        <f ca="1">IFERROR(VLOOKUP(M$2,Rango_Admin_DailyPred,MATCH($F29,Rango_Admin_DailyPred_Primera,0),0),"-")</f>
        <v>Cody Gakpo</v>
      </c>
      <c r="N29" s="429" t="str">
        <f ca="1">IFERROR(VLOOKUP(N$2,Rango_Admin_DailyPred,MATCH($F29,Rango_Admin_DailyPred_Primera,0),0),"-")</f>
        <v>Harry Kane</v>
      </c>
      <c r="O29" s="429" t="str">
        <f ca="1">IFERROR(VLOOKUP(O$2,Rango_Admin_DailyPred,MATCH($F29,Rango_Admin_DailyPred_Primera,0),0),"-")</f>
        <v>Michael Olise</v>
      </c>
      <c r="P29" s="429" t="str">
        <f ca="1">IFERROR(VLOOKUP(P$2,Rango_Admin_DailyPred,MATCH($F29,Rango_Admin_DailyPred_Primera,0),0),"-")</f>
        <v>Lamine Yamal</v>
      </c>
      <c r="Q29" s="429" t="str">
        <f ca="1">IFERROR(VLOOKUP(Q$2,Rango_Admin_DailyPred,MATCH($F29,Rango_Admin_DailyPred_Primera,0),0),"-")</f>
        <v>Vinicius</v>
      </c>
      <c r="R29" s="429" t="str">
        <f ca="1">IFERROR(VLOOKUP(R$2,Rango_Admin_DailyPred,MATCH($F29,Rango_Admin_DailyPred_Primera,0),0),"-")</f>
        <v>-</v>
      </c>
      <c r="S29" s="429" t="str">
        <f ca="1">IFERROR(VLOOKUP(S$2,Rango_Admin_DailyPred,MATCH($F29,Rango_Admin_DailyPred_Primera,0),0),"-")</f>
        <v>-</v>
      </c>
      <c r="T29" s="429" t="str">
        <f ca="1">IFERROR(VLOOKUP(T$2,Rango_Admin_DailyPred,MATCH($F29,Rango_Admin_DailyPred_Primera,0),0),"-")</f>
        <v>-</v>
      </c>
      <c r="U29" s="429" t="str">
        <f ca="1">IFERROR(VLOOKUP(U$2,Rango_Admin_DailyPred,MATCH($F29,Rango_Admin_DailyPred_Primera,0),0),"-")</f>
        <v>-</v>
      </c>
      <c r="V29" s="429" t="str">
        <f ca="1">IFERROR(VLOOKUP(V$2,Rango_Admin_DailyPred,MATCH($F29,Rango_Admin_DailyPred_Primera,0),0),"-")</f>
        <v>-</v>
      </c>
      <c r="W29" s="429" t="str">
        <f ca="1">IFERROR(VLOOKUP(W$2,Rango_Admin_DailyPred,MATCH($F29,Rango_Admin_DailyPred_Primera,0),0),"-")</f>
        <v>-</v>
      </c>
      <c r="X29" s="429" t="str">
        <f ca="1">IFERROR(VLOOKUP(X$2,Rango_Admin_DailyPred,MATCH($F29,Rango_Admin_DailyPred_Primera,0),0),"-")</f>
        <v>-</v>
      </c>
      <c r="Y29" s="429" t="str">
        <f ca="1">IFERROR(VLOOKUP(Y$2,Rango_Admin_DailyPred,MATCH($F29,Rango_Admin_DailyPred_Primera,0),0),"-")</f>
        <v>-</v>
      </c>
      <c r="Z29" s="429" t="str">
        <f ca="1">IFERROR(VLOOKUP(Z$2,Rango_Admin_DailyPred,MATCH($F29,Rango_Admin_DailyPred_Primera,0),0),"-")</f>
        <v>-</v>
      </c>
      <c r="AA29" s="429" t="str">
        <f ca="1">IFERROR(VLOOKUP(AA$2,Rango_Admin_DailyPred,MATCH($F29,Rango_Admin_DailyPred_Primera,0),0),"-")</f>
        <v>-</v>
      </c>
      <c r="AB29" s="429" t="str">
        <f ca="1">IFERROR(VLOOKUP(AB$2,Rango_Admin_DailyPred,MATCH($F29,Rango_Admin_DailyPred_Primera,0),0),"-")</f>
        <v>-</v>
      </c>
      <c r="AC29" s="429" t="str">
        <f ca="1">IFERROR(VLOOKUP(AC$2,Rango_Admin_DailyPred,MATCH($F29,Rango_Admin_DailyPred_Primera,0),0),"-")</f>
        <v>-</v>
      </c>
      <c r="AD29" s="429" t="str">
        <f ca="1">IFERROR(VLOOKUP(AD$2,Rango_Admin_DailyPred,MATCH($F29,Rango_Admin_DailyPred_Primera,0),0),"-")</f>
        <v>-</v>
      </c>
      <c r="AE29" s="429" t="str">
        <f ca="1">IFERROR(VLOOKUP(AE$2,Rango_Admin_DailyPred,MATCH($F29,Rango_Admin_DailyPred_Primera,0),0),"-")</f>
        <v>-</v>
      </c>
      <c r="AF29" s="429" t="str">
        <f ca="1">IFERROR(VLOOKUP(AF$2,Rango_Admin_DailyPred,MATCH($F29,Rango_Admin_DailyPred_Primera,0),0),"-")</f>
        <v>-</v>
      </c>
      <c r="AG29" s="429" t="str">
        <f ca="1">IFERROR(VLOOKUP(AG$2,Rango_Admin_DailyPred,MATCH($F29,Rango_Admin_DailyPred_Primera,0),0),"-")</f>
        <v>-</v>
      </c>
      <c r="AH29" s="429" t="str">
        <f ca="1">IFERROR(VLOOKUP(AH$2,Rango_Admin_DailyPred,MATCH($F29,Rango_Admin_DailyPred_Primera,0),0),"-")</f>
        <v>-</v>
      </c>
      <c r="AI29" s="429" t="str">
        <f ca="1">IFERROR(VLOOKUP(AI$2,Rango_Admin_DailyPred,MATCH($F29,Rango_Admin_DailyPred_Primera,0),0),"-")</f>
        <v>-</v>
      </c>
      <c r="AJ29" s="429" t="str">
        <f ca="1">IFERROR(VLOOKUP(AJ$2,Rango_Admin_DailyPred,MATCH($F29,Rango_Admin_DailyPred_Primera,0),0),"-")</f>
        <v>-</v>
      </c>
      <c r="AK29" s="429" t="str">
        <f ca="1">IFERROR(VLOOKUP(AK$2,Rango_Admin_DailyPred,MATCH($F29,Rango_Admin_DailyPred_Primera,0),0),"-")</f>
        <v>-</v>
      </c>
      <c r="AL29" s="429" t="str">
        <f ca="1">IFERROR(VLOOKUP(AL$2,Rango_Admin_DailyPred,MATCH($F29,Rango_Admin_DailyPred_Primera,0),0),"-")</f>
        <v>-</v>
      </c>
      <c r="AM29" s="297"/>
      <c r="AN29" s="297"/>
      <c r="AO29" s="297"/>
    </row>
    <row r="30" spans="1:41">
      <c r="A30" s="8" t="str" cm="1">
        <f t="array" aca="1" ref="A30" ca="1">IFERROR(INDEX(ADMIN!$K$6:$K$258,SMALL(IF(ADMIN!$G$6:$G$258=$J$1,ROW(ADMIN!$G$6:$G$258)-ROW(ADMIN!$G$6)+1),ROWS($A$1:A27))),"")</f>
        <v/>
      </c>
      <c r="B30" s="8" t="str">
        <f t="shared" ca="1" si="0"/>
        <v xml:space="preserve">
</v>
      </c>
      <c r="C30" s="8" t="str" cm="1">
        <f t="array" aca="1" ref="C30" ca="1">IFERROR(IF(INDEX(ADMIN!$M$6:$M$258,SMALL(IF(ADMIN!$G$6:$G$258=$J$1,ROW(ADMIN!$G$6:$G$258)-ROW(ADMIN!$G$6)+1),ROWS($A$1:A27)))="-", "", " ("&amp;INDEX(ADMIN!$M$6:$M$258,SMALL(IF(ADMIN!$G$6:$G$258=$J$1,ROW(ADMIN!$G$6:$G$258)-ROW(ADMIN!$G$6)+1),ROWS($A$1:A27)))&amp;")"),"")</f>
        <v/>
      </c>
      <c r="D30" s="8" t="str" cm="1">
        <f t="array" aca="1" ref="D30" ca="1">IFERROR(IF($J$1&gt;=20,INDEX(ADMIN!$C$6:$C$258,SMALL(IF(ADMIN!$G$6:$G$258=$J$1,ROW(ADMIN!$G$6:$G$258)-ROW(ADMIN!$G$6)+1),ROWS($D$1:D27))),""),"")</f>
        <v/>
      </c>
      <c r="E30" s="19">
        <f t="shared" si="1"/>
        <v>87</v>
      </c>
      <c r="F30" s="448" t="str" cm="1">
        <f t="array" ref="F30">IFERROR(INDEX(Rango_Admin_DailyPred_Primera,1,E30),"-")</f>
        <v>Patrick Bielderman</v>
      </c>
      <c r="G30" s="429" t="str">
        <f ca="1">IFERROR(VLOOKUP(G$2,Rango_Admin_DailyPred,MATCH($F30,Rango_Admin_DailyPred_Primera,0),0),"-")</f>
        <v>Spain-Portugal·X|1-1</v>
      </c>
      <c r="H30" s="429" t="str">
        <f ca="1">IFERROR(VLOOKUP(H$2,Rango_Admin_DailyPred,MATCH($F30,Rango_Admin_DailyPred_Primera,0),0),"-")</f>
        <v>Germany-Brazil·2|0-1</v>
      </c>
      <c r="I30" s="429" t="str">
        <f ca="1">IFERROR(VLOOKUP(I$2,Rango_Admin_DailyPred,MATCH($F30,Rango_Admin_DailyPred_Primera,0),0),"-")</f>
        <v>Brazil</v>
      </c>
      <c r="J30" s="429" t="str">
        <f ca="1">IFERROR(VLOOKUP(J$2,Rango_Admin_DailyPred,MATCH($F30,Rango_Admin_DailyPred_Primera,0),0),"-")</f>
        <v>Germany</v>
      </c>
      <c r="K30" s="429" t="str">
        <f ca="1">IFERROR(VLOOKUP(K$2,Rango_Admin_DailyPred,MATCH($F30,Rango_Admin_DailyPred_Primera,0),0),"-")</f>
        <v>Spain</v>
      </c>
      <c r="L30" s="429" t="str">
        <f ca="1">IFERROR(VLOOKUP(L$2,Rango_Admin_DailyPred,MATCH($F30,Rango_Admin_DailyPred_Primera,0),0),"-")</f>
        <v>Vinicius Junior</v>
      </c>
      <c r="M30" s="429" t="str">
        <f ca="1">IFERROR(VLOOKUP(M$2,Rango_Admin_DailyPred,MATCH($F30,Rango_Admin_DailyPred_Primera,0),0),"-")</f>
        <v>Leroy Sane</v>
      </c>
      <c r="N30" s="429" t="str">
        <f ca="1">IFERROR(VLOOKUP(N$2,Rango_Admin_DailyPred,MATCH($F30,Rango_Admin_DailyPred_Primera,0),0),"-")</f>
        <v>Ferran Torres</v>
      </c>
      <c r="O30" s="429" t="str">
        <f ca="1">IFERROR(VLOOKUP(O$2,Rango_Admin_DailyPred,MATCH($F30,Rango_Admin_DailyPred_Primera,0),0),"-")</f>
        <v>Leroy Sane</v>
      </c>
      <c r="P30" s="429" t="str">
        <f ca="1">IFERROR(VLOOKUP(P$2,Rango_Admin_DailyPred,MATCH($F30,Rango_Admin_DailyPred_Primera,0),0),"-")</f>
        <v>Vinicius Junior</v>
      </c>
      <c r="Q30" s="429" t="str">
        <f ca="1">IFERROR(VLOOKUP(Q$2,Rango_Admin_DailyPred,MATCH($F30,Rango_Admin_DailyPred_Primera,0),0),"-")</f>
        <v>Ferran Torres</v>
      </c>
      <c r="R30" s="429" t="str">
        <f ca="1">IFERROR(VLOOKUP(R$2,Rango_Admin_DailyPred,MATCH($F30,Rango_Admin_DailyPred_Primera,0),0),"-")</f>
        <v>-</v>
      </c>
      <c r="S30" s="429" t="str">
        <f ca="1">IFERROR(VLOOKUP(S$2,Rango_Admin_DailyPred,MATCH($F30,Rango_Admin_DailyPred_Primera,0),0),"-")</f>
        <v>-</v>
      </c>
      <c r="T30" s="429" t="str">
        <f ca="1">IFERROR(VLOOKUP(T$2,Rango_Admin_DailyPred,MATCH($F30,Rango_Admin_DailyPred_Primera,0),0),"-")</f>
        <v>-</v>
      </c>
      <c r="U30" s="429" t="str">
        <f ca="1">IFERROR(VLOOKUP(U$2,Rango_Admin_DailyPred,MATCH($F30,Rango_Admin_DailyPred_Primera,0),0),"-")</f>
        <v>-</v>
      </c>
      <c r="V30" s="429" t="str">
        <f ca="1">IFERROR(VLOOKUP(V$2,Rango_Admin_DailyPred,MATCH($F30,Rango_Admin_DailyPred_Primera,0),0),"-")</f>
        <v>-</v>
      </c>
      <c r="W30" s="429" t="str">
        <f ca="1">IFERROR(VLOOKUP(W$2,Rango_Admin_DailyPred,MATCH($F30,Rango_Admin_DailyPred_Primera,0),0),"-")</f>
        <v>-</v>
      </c>
      <c r="X30" s="429" t="str">
        <f ca="1">IFERROR(VLOOKUP(X$2,Rango_Admin_DailyPred,MATCH($F30,Rango_Admin_DailyPred_Primera,0),0),"-")</f>
        <v>-</v>
      </c>
      <c r="Y30" s="429" t="str">
        <f ca="1">IFERROR(VLOOKUP(Y$2,Rango_Admin_DailyPred,MATCH($F30,Rango_Admin_DailyPred_Primera,0),0),"-")</f>
        <v>-</v>
      </c>
      <c r="Z30" s="429" t="str">
        <f ca="1">IFERROR(VLOOKUP(Z$2,Rango_Admin_DailyPred,MATCH($F30,Rango_Admin_DailyPred_Primera,0),0),"-")</f>
        <v>-</v>
      </c>
      <c r="AA30" s="429" t="str">
        <f ca="1">IFERROR(VLOOKUP(AA$2,Rango_Admin_DailyPred,MATCH($F30,Rango_Admin_DailyPred_Primera,0),0),"-")</f>
        <v>-</v>
      </c>
      <c r="AB30" s="429" t="str">
        <f ca="1">IFERROR(VLOOKUP(AB$2,Rango_Admin_DailyPred,MATCH($F30,Rango_Admin_DailyPred_Primera,0),0),"-")</f>
        <v>-</v>
      </c>
      <c r="AC30" s="429" t="str">
        <f ca="1">IFERROR(VLOOKUP(AC$2,Rango_Admin_DailyPred,MATCH($F30,Rango_Admin_DailyPred_Primera,0),0),"-")</f>
        <v>-</v>
      </c>
      <c r="AD30" s="429" t="str">
        <f ca="1">IFERROR(VLOOKUP(AD$2,Rango_Admin_DailyPred,MATCH($F30,Rango_Admin_DailyPred_Primera,0),0),"-")</f>
        <v>-</v>
      </c>
      <c r="AE30" s="429" t="str">
        <f ca="1">IFERROR(VLOOKUP(AE$2,Rango_Admin_DailyPred,MATCH($F30,Rango_Admin_DailyPred_Primera,0),0),"-")</f>
        <v>-</v>
      </c>
      <c r="AF30" s="429" t="str">
        <f ca="1">IFERROR(VLOOKUP(AF$2,Rango_Admin_DailyPred,MATCH($F30,Rango_Admin_DailyPred_Primera,0),0),"-")</f>
        <v>-</v>
      </c>
      <c r="AG30" s="429" t="str">
        <f ca="1">IFERROR(VLOOKUP(AG$2,Rango_Admin_DailyPred,MATCH($F30,Rango_Admin_DailyPred_Primera,0),0),"-")</f>
        <v>-</v>
      </c>
      <c r="AH30" s="429" t="str">
        <f ca="1">IFERROR(VLOOKUP(AH$2,Rango_Admin_DailyPred,MATCH($F30,Rango_Admin_DailyPred_Primera,0),0),"-")</f>
        <v>-</v>
      </c>
      <c r="AI30" s="429" t="str">
        <f ca="1">IFERROR(VLOOKUP(AI$2,Rango_Admin_DailyPred,MATCH($F30,Rango_Admin_DailyPred_Primera,0),0),"-")</f>
        <v>-</v>
      </c>
      <c r="AJ30" s="429" t="str">
        <f ca="1">IFERROR(VLOOKUP(AJ$2,Rango_Admin_DailyPred,MATCH($F30,Rango_Admin_DailyPred_Primera,0),0),"-")</f>
        <v>-</v>
      </c>
      <c r="AK30" s="429" t="str">
        <f ca="1">IFERROR(VLOOKUP(AK$2,Rango_Admin_DailyPred,MATCH($F30,Rango_Admin_DailyPred_Primera,0),0),"-")</f>
        <v>-</v>
      </c>
      <c r="AL30" s="429" t="str">
        <f ca="1">IFERROR(VLOOKUP(AL$2,Rango_Admin_DailyPred,MATCH($F30,Rango_Admin_DailyPred_Primera,0),0),"-")</f>
        <v>-</v>
      </c>
      <c r="AM30" s="297"/>
      <c r="AN30" s="297"/>
      <c r="AO30" s="297"/>
    </row>
    <row r="31" spans="1:41">
      <c r="A31" s="8" t="str" cm="1">
        <f t="array" aca="1" ref="A31" ca="1">IFERROR(INDEX(ADMIN!$K$6:$K$258,SMALL(IF(ADMIN!$G$6:$G$258=$J$1,ROW(ADMIN!$G$6:$G$258)-ROW(ADMIN!$G$6)+1),ROWS($A$1:A28))),"")</f>
        <v/>
      </c>
      <c r="B31" s="8" t="str">
        <f t="shared" ca="1" si="0"/>
        <v xml:space="preserve">
</v>
      </c>
      <c r="C31" s="8" t="str" cm="1">
        <f t="array" aca="1" ref="C31" ca="1">IFERROR(IF(INDEX(ADMIN!$M$6:$M$258,SMALL(IF(ADMIN!$G$6:$G$258=$J$1,ROW(ADMIN!$G$6:$G$258)-ROW(ADMIN!$G$6)+1),ROWS($A$1:A28)))="-", "", " ("&amp;INDEX(ADMIN!$M$6:$M$258,SMALL(IF(ADMIN!$G$6:$G$258=$J$1,ROW(ADMIN!$G$6:$G$258)-ROW(ADMIN!$G$6)+1),ROWS($A$1:A28)))&amp;")"),"")</f>
        <v/>
      </c>
      <c r="D31" s="8" t="str" cm="1">
        <f t="array" aca="1" ref="D31" ca="1">IFERROR(IF($J$1&gt;=20,INDEX(ADMIN!$C$6:$C$258,SMALL(IF(ADMIN!$G$6:$G$258=$J$1,ROW(ADMIN!$G$6:$G$258)-ROW(ADMIN!$G$6)+1),ROWS($D$1:D28))),""),"")</f>
        <v/>
      </c>
      <c r="E31" s="19">
        <f t="shared" si="1"/>
        <v>90</v>
      </c>
      <c r="F31" s="448" t="str" cm="1">
        <f t="array" ref="F31">IFERROR(INDEX(Rango_Admin_DailyPred_Primera,1,E31),"-")</f>
        <v>Wouter Schiphorst</v>
      </c>
      <c r="G31" s="429" t="str">
        <f ca="1">IFERROR(VLOOKUP(G$2,Rango_Admin_DailyPred,MATCH($F31,Rango_Admin_DailyPred_Primera,0),0),"-")</f>
        <v>Spain-Mexico·1|3-1</v>
      </c>
      <c r="H31" s="429" t="str">
        <f ca="1">IFERROR(VLOOKUP(H$2,Rango_Admin_DailyPred,MATCH($F31,Rango_Admin_DailyPred_Primera,0),0),"-")</f>
        <v>Netherlands-Argentina·1|3-1</v>
      </c>
      <c r="I31" s="429" t="str">
        <f ca="1">IFERROR(VLOOKUP(I$2,Rango_Admin_DailyPred,MATCH($F31,Rango_Admin_DailyPred_Primera,0),0),"-")</f>
        <v>Netherlands</v>
      </c>
      <c r="J31" s="429" t="str">
        <f ca="1">IFERROR(VLOOKUP(J$2,Rango_Admin_DailyPred,MATCH($F31,Rango_Admin_DailyPred_Primera,0),0),"-")</f>
        <v>Argentina</v>
      </c>
      <c r="K31" s="429" t="str">
        <f ca="1">IFERROR(VLOOKUP(K$2,Rango_Admin_DailyPred,MATCH($F31,Rango_Admin_DailyPred_Primera,0),0),"-")</f>
        <v>Spain</v>
      </c>
      <c r="L31" s="429" t="str">
        <f ca="1">IFERROR(VLOOKUP(L$2,Rango_Admin_DailyPred,MATCH($F31,Rango_Admin_DailyPred_Primera,0),0),"-")</f>
        <v>Donyell Malen</v>
      </c>
      <c r="M31" s="429" t="str">
        <f ca="1">IFERROR(VLOOKUP(M$2,Rango_Admin_DailyPred,MATCH($F31,Rango_Admin_DailyPred_Primera,0),0),"-")</f>
        <v>Messi</v>
      </c>
      <c r="N31" s="429" t="str">
        <f ca="1">IFERROR(VLOOKUP(N$2,Rango_Admin_DailyPred,MATCH($F31,Rango_Admin_DailyPred_Primera,0),0),"-")</f>
        <v>Dani Olmo</v>
      </c>
      <c r="O31" s="429" t="str">
        <f ca="1">IFERROR(VLOOKUP(O$2,Rango_Admin_DailyPred,MATCH($F31,Rango_Admin_DailyPred_Primera,0),0),"-")</f>
        <v>Dani Olmo</v>
      </c>
      <c r="P31" s="429" t="str">
        <f ca="1">IFERROR(VLOOKUP(P$2,Rango_Admin_DailyPred,MATCH($F31,Rango_Admin_DailyPred_Primera,0),0),"-")</f>
        <v>Denzel Dufries</v>
      </c>
      <c r="Q31" s="429" t="str">
        <f ca="1">IFERROR(VLOOKUP(Q$2,Rango_Admin_DailyPred,MATCH($F31,Rango_Admin_DailyPred_Primera,0),0),"-")</f>
        <v>Mbappé</v>
      </c>
      <c r="R31" s="429" t="str">
        <f ca="1">IFERROR(VLOOKUP(R$2,Rango_Admin_DailyPred,MATCH($F31,Rango_Admin_DailyPred_Primera,0),0),"-")</f>
        <v>-</v>
      </c>
      <c r="S31" s="429" t="str">
        <f ca="1">IFERROR(VLOOKUP(S$2,Rango_Admin_DailyPred,MATCH($F31,Rango_Admin_DailyPred_Primera,0),0),"-")</f>
        <v>-</v>
      </c>
      <c r="T31" s="429" t="str">
        <f ca="1">IFERROR(VLOOKUP(T$2,Rango_Admin_DailyPred,MATCH($F31,Rango_Admin_DailyPred_Primera,0),0),"-")</f>
        <v>-</v>
      </c>
      <c r="U31" s="429" t="str">
        <f ca="1">IFERROR(VLOOKUP(U$2,Rango_Admin_DailyPred,MATCH($F31,Rango_Admin_DailyPred_Primera,0),0),"-")</f>
        <v>-</v>
      </c>
      <c r="V31" s="429" t="str">
        <f ca="1">IFERROR(VLOOKUP(V$2,Rango_Admin_DailyPred,MATCH($F31,Rango_Admin_DailyPred_Primera,0),0),"-")</f>
        <v>-</v>
      </c>
      <c r="W31" s="429" t="str">
        <f ca="1">IFERROR(VLOOKUP(W$2,Rango_Admin_DailyPred,MATCH($F31,Rango_Admin_DailyPred_Primera,0),0),"-")</f>
        <v>-</v>
      </c>
      <c r="X31" s="429" t="str">
        <f ca="1">IFERROR(VLOOKUP(X$2,Rango_Admin_DailyPred,MATCH($F31,Rango_Admin_DailyPred_Primera,0),0),"-")</f>
        <v>-</v>
      </c>
      <c r="Y31" s="429" t="str">
        <f ca="1">IFERROR(VLOOKUP(Y$2,Rango_Admin_DailyPred,MATCH($F31,Rango_Admin_DailyPred_Primera,0),0),"-")</f>
        <v>-</v>
      </c>
      <c r="Z31" s="429" t="str">
        <f ca="1">IFERROR(VLOOKUP(Z$2,Rango_Admin_DailyPred,MATCH($F31,Rango_Admin_DailyPred_Primera,0),0),"-")</f>
        <v>-</v>
      </c>
      <c r="AA31" s="429" t="str">
        <f ca="1">IFERROR(VLOOKUP(AA$2,Rango_Admin_DailyPred,MATCH($F31,Rango_Admin_DailyPred_Primera,0),0),"-")</f>
        <v>-</v>
      </c>
      <c r="AB31" s="429" t="str">
        <f ca="1">IFERROR(VLOOKUP(AB$2,Rango_Admin_DailyPred,MATCH($F31,Rango_Admin_DailyPred_Primera,0),0),"-")</f>
        <v>-</v>
      </c>
      <c r="AC31" s="429" t="str">
        <f ca="1">IFERROR(VLOOKUP(AC$2,Rango_Admin_DailyPred,MATCH($F31,Rango_Admin_DailyPred_Primera,0),0),"-")</f>
        <v>-</v>
      </c>
      <c r="AD31" s="429" t="str">
        <f ca="1">IFERROR(VLOOKUP(AD$2,Rango_Admin_DailyPred,MATCH($F31,Rango_Admin_DailyPred_Primera,0),0),"-")</f>
        <v>-</v>
      </c>
      <c r="AE31" s="429" t="str">
        <f ca="1">IFERROR(VLOOKUP(AE$2,Rango_Admin_DailyPred,MATCH($F31,Rango_Admin_DailyPred_Primera,0),0),"-")</f>
        <v>-</v>
      </c>
      <c r="AF31" s="429" t="str">
        <f ca="1">IFERROR(VLOOKUP(AF$2,Rango_Admin_DailyPred,MATCH($F31,Rango_Admin_DailyPred_Primera,0),0),"-")</f>
        <v>-</v>
      </c>
      <c r="AG31" s="429" t="str">
        <f ca="1">IFERROR(VLOOKUP(AG$2,Rango_Admin_DailyPred,MATCH($F31,Rango_Admin_DailyPred_Primera,0),0),"-")</f>
        <v>-</v>
      </c>
      <c r="AH31" s="429" t="str">
        <f ca="1">IFERROR(VLOOKUP(AH$2,Rango_Admin_DailyPred,MATCH($F31,Rango_Admin_DailyPred_Primera,0),0),"-")</f>
        <v>-</v>
      </c>
      <c r="AI31" s="429" t="str">
        <f ca="1">IFERROR(VLOOKUP(AI$2,Rango_Admin_DailyPred,MATCH($F31,Rango_Admin_DailyPred_Primera,0),0),"-")</f>
        <v>-</v>
      </c>
      <c r="AJ31" s="429" t="str">
        <f ca="1">IFERROR(VLOOKUP(AJ$2,Rango_Admin_DailyPred,MATCH($F31,Rango_Admin_DailyPred_Primera,0),0),"-")</f>
        <v>-</v>
      </c>
      <c r="AK31" s="429" t="str">
        <f ca="1">IFERROR(VLOOKUP(AK$2,Rango_Admin_DailyPred,MATCH($F31,Rango_Admin_DailyPred_Primera,0),0),"-")</f>
        <v>-</v>
      </c>
      <c r="AL31" s="429" t="str">
        <f ca="1">IFERROR(VLOOKUP(AL$2,Rango_Admin_DailyPred,MATCH($F31,Rango_Admin_DailyPred_Primera,0),0),"-")</f>
        <v>-</v>
      </c>
      <c r="AM31" s="297"/>
      <c r="AN31" s="297"/>
      <c r="AO31" s="297"/>
    </row>
    <row r="32" spans="1:41">
      <c r="A32" s="8" t="str" cm="1">
        <f t="array" aca="1" ref="A32" ca="1">IFERROR(INDEX(ADMIN!$K$6:$K$258,SMALL(IF(ADMIN!$G$6:$G$258=$J$1,ROW(ADMIN!$G$6:$G$258)-ROW(ADMIN!$G$6)+1),ROWS($A$1:A29))),"")</f>
        <v/>
      </c>
      <c r="B32" s="8" t="str">
        <f t="shared" ca="1" si="0"/>
        <v xml:space="preserve">
</v>
      </c>
      <c r="C32" s="8" t="str" cm="1">
        <f t="array" aca="1" ref="C32" ca="1">IFERROR(IF(INDEX(ADMIN!$M$6:$M$258,SMALL(IF(ADMIN!$G$6:$G$258=$J$1,ROW(ADMIN!$G$6:$G$258)-ROW(ADMIN!$G$6)+1),ROWS($A$1:A29)))="-", "", " ("&amp;INDEX(ADMIN!$M$6:$M$258,SMALL(IF(ADMIN!$G$6:$G$258=$J$1,ROW(ADMIN!$G$6:$G$258)-ROW(ADMIN!$G$6)+1),ROWS($A$1:A29)))&amp;")"),"")</f>
        <v/>
      </c>
      <c r="D32" s="8" t="str" cm="1">
        <f t="array" aca="1" ref="D32" ca="1">IFERROR(IF($J$1&gt;=20,INDEX(ADMIN!$C$6:$C$258,SMALL(IF(ADMIN!$G$6:$G$258=$J$1,ROW(ADMIN!$G$6:$G$258)-ROW(ADMIN!$G$6)+1),ROWS($D$1:D29))),""),"")</f>
        <v/>
      </c>
      <c r="E32" s="19">
        <f t="shared" si="1"/>
        <v>93</v>
      </c>
      <c r="F32" s="448" t="str" cm="1">
        <f t="array" ref="F32">IFERROR(INDEX(Rango_Admin_DailyPred_Primera,1,E32),"-")</f>
        <v>Tom Westendorp</v>
      </c>
      <c r="G32" s="429" t="str">
        <f ca="1">IFERROR(VLOOKUP(G$2,Rango_Admin_DailyPred,MATCH($F32,Rango_Admin_DailyPred_Primera,0),0),"-")</f>
        <v>Argentina-England·1|4-0</v>
      </c>
      <c r="H32" s="429" t="str">
        <f ca="1">IFERROR(VLOOKUP(H$2,Rango_Admin_DailyPred,MATCH($F32,Rango_Admin_DailyPred_Primera,0),0),"-")</f>
        <v>Netherlands-Uruguay·1|2-0</v>
      </c>
      <c r="I32" s="429" t="str">
        <f ca="1">IFERROR(VLOOKUP(I$2,Rango_Admin_DailyPred,MATCH($F32,Rango_Admin_DailyPred_Primera,0),0),"-")</f>
        <v>Netherlands</v>
      </c>
      <c r="J32" s="429" t="str">
        <f ca="1">IFERROR(VLOOKUP(J$2,Rango_Admin_DailyPred,MATCH($F32,Rango_Admin_DailyPred_Primera,0),0),"-")</f>
        <v>Uruguay</v>
      </c>
      <c r="K32" s="429" t="str">
        <f ca="1">IFERROR(VLOOKUP(K$2,Rango_Admin_DailyPred,MATCH($F32,Rango_Admin_DailyPred_Primera,0),0),"-")</f>
        <v>Argentina</v>
      </c>
      <c r="L32" s="429" t="str">
        <f ca="1">IFERROR(VLOOKUP(L$2,Rango_Admin_DailyPred,MATCH($F32,Rango_Admin_DailyPred_Primera,0),0),"-")</f>
        <v>Jamal Musiala</v>
      </c>
      <c r="M32" s="429" t="str">
        <f ca="1">IFERROR(VLOOKUP(M$2,Rango_Admin_DailyPred,MATCH($F32,Rango_Admin_DailyPred_Primera,0),0),"-")</f>
        <v>Kylian Mbappé</v>
      </c>
      <c r="N32" s="429" t="str">
        <f ca="1">IFERROR(VLOOKUP(N$2,Rango_Admin_DailyPred,MATCH($F32,Rango_Admin_DailyPred_Primera,0),0),"-")</f>
        <v>Harry Kane</v>
      </c>
      <c r="O32" s="429" t="str">
        <f ca="1">IFERROR(VLOOKUP(O$2,Rango_Admin_DailyPred,MATCH($F32,Rango_Admin_DailyPred_Primera,0),0),"-")</f>
        <v xml:space="preserve">Jamal Musiala </v>
      </c>
      <c r="P32" s="429" t="str">
        <f ca="1">IFERROR(VLOOKUP(P$2,Rango_Admin_DailyPred,MATCH($F32,Rango_Admin_DailyPred_Primera,0),0),"-")</f>
        <v xml:space="preserve">Harry Kane </v>
      </c>
      <c r="Q32" s="429" t="str">
        <f ca="1">IFERROR(VLOOKUP(Q$2,Rango_Admin_DailyPred,MATCH($F32,Rango_Admin_DailyPred_Primera,0),0),"-")</f>
        <v xml:space="preserve">Ngolo Kanté </v>
      </c>
      <c r="R32" s="429" t="str">
        <f ca="1">IFERROR(VLOOKUP(R$2,Rango_Admin_DailyPred,MATCH($F32,Rango_Admin_DailyPred_Primera,0),0),"-")</f>
        <v>-</v>
      </c>
      <c r="S32" s="429" t="str">
        <f ca="1">IFERROR(VLOOKUP(S$2,Rango_Admin_DailyPred,MATCH($F32,Rango_Admin_DailyPred_Primera,0),0),"-")</f>
        <v>-</v>
      </c>
      <c r="T32" s="429" t="str">
        <f ca="1">IFERROR(VLOOKUP(T$2,Rango_Admin_DailyPred,MATCH($F32,Rango_Admin_DailyPred_Primera,0),0),"-")</f>
        <v>-</v>
      </c>
      <c r="U32" s="429" t="str">
        <f ca="1">IFERROR(VLOOKUP(U$2,Rango_Admin_DailyPred,MATCH($F32,Rango_Admin_DailyPred_Primera,0),0),"-")</f>
        <v>-</v>
      </c>
      <c r="V32" s="429" t="str">
        <f ca="1">IFERROR(VLOOKUP(V$2,Rango_Admin_DailyPred,MATCH($F32,Rango_Admin_DailyPred_Primera,0),0),"-")</f>
        <v>-</v>
      </c>
      <c r="W32" s="429" t="str">
        <f ca="1">IFERROR(VLOOKUP(W$2,Rango_Admin_DailyPred,MATCH($F32,Rango_Admin_DailyPred_Primera,0),0),"-")</f>
        <v>-</v>
      </c>
      <c r="X32" s="429" t="str">
        <f ca="1">IFERROR(VLOOKUP(X$2,Rango_Admin_DailyPred,MATCH($F32,Rango_Admin_DailyPred_Primera,0),0),"-")</f>
        <v>-</v>
      </c>
      <c r="Y32" s="429" t="str">
        <f ca="1">IFERROR(VLOOKUP(Y$2,Rango_Admin_DailyPred,MATCH($F32,Rango_Admin_DailyPred_Primera,0),0),"-")</f>
        <v>-</v>
      </c>
      <c r="Z32" s="429" t="str">
        <f ca="1">IFERROR(VLOOKUP(Z$2,Rango_Admin_DailyPred,MATCH($F32,Rango_Admin_DailyPred_Primera,0),0),"-")</f>
        <v>-</v>
      </c>
      <c r="AA32" s="429" t="str">
        <f ca="1">IFERROR(VLOOKUP(AA$2,Rango_Admin_DailyPred,MATCH($F32,Rango_Admin_DailyPred_Primera,0),0),"-")</f>
        <v>-</v>
      </c>
      <c r="AB32" s="429" t="str">
        <f ca="1">IFERROR(VLOOKUP(AB$2,Rango_Admin_DailyPred,MATCH($F32,Rango_Admin_DailyPred_Primera,0),0),"-")</f>
        <v>-</v>
      </c>
      <c r="AC32" s="429" t="str">
        <f ca="1">IFERROR(VLOOKUP(AC$2,Rango_Admin_DailyPred,MATCH($F32,Rango_Admin_DailyPred_Primera,0),0),"-")</f>
        <v>-</v>
      </c>
      <c r="AD32" s="429" t="str">
        <f ca="1">IFERROR(VLOOKUP(AD$2,Rango_Admin_DailyPred,MATCH($F32,Rango_Admin_DailyPred_Primera,0),0),"-")</f>
        <v>-</v>
      </c>
      <c r="AE32" s="429" t="str">
        <f ca="1">IFERROR(VLOOKUP(AE$2,Rango_Admin_DailyPred,MATCH($F32,Rango_Admin_DailyPred_Primera,0),0),"-")</f>
        <v>-</v>
      </c>
      <c r="AF32" s="429" t="str">
        <f ca="1">IFERROR(VLOOKUP(AF$2,Rango_Admin_DailyPred,MATCH($F32,Rango_Admin_DailyPred_Primera,0),0),"-")</f>
        <v>-</v>
      </c>
      <c r="AG32" s="429" t="str">
        <f ca="1">IFERROR(VLOOKUP(AG$2,Rango_Admin_DailyPred,MATCH($F32,Rango_Admin_DailyPred_Primera,0),0),"-")</f>
        <v>-</v>
      </c>
      <c r="AH32" s="429" t="str">
        <f ca="1">IFERROR(VLOOKUP(AH$2,Rango_Admin_DailyPred,MATCH($F32,Rango_Admin_DailyPred_Primera,0),0),"-")</f>
        <v>-</v>
      </c>
      <c r="AI32" s="429" t="str">
        <f ca="1">IFERROR(VLOOKUP(AI$2,Rango_Admin_DailyPred,MATCH($F32,Rango_Admin_DailyPred_Primera,0),0),"-")</f>
        <v>-</v>
      </c>
      <c r="AJ32" s="429" t="str">
        <f ca="1">IFERROR(VLOOKUP(AJ$2,Rango_Admin_DailyPred,MATCH($F32,Rango_Admin_DailyPred_Primera,0),0),"-")</f>
        <v>-</v>
      </c>
      <c r="AK32" s="429" t="str">
        <f ca="1">IFERROR(VLOOKUP(AK$2,Rango_Admin_DailyPred,MATCH($F32,Rango_Admin_DailyPred_Primera,0),0),"-")</f>
        <v>-</v>
      </c>
      <c r="AL32" s="429" t="str">
        <f ca="1">IFERROR(VLOOKUP(AL$2,Rango_Admin_DailyPred,MATCH($F32,Rango_Admin_DailyPred_Primera,0),0),"-")</f>
        <v>-</v>
      </c>
      <c r="AM32" s="297"/>
      <c r="AN32" s="297"/>
      <c r="AO32" s="297"/>
    </row>
    <row r="33" spans="1:41">
      <c r="A33" s="8" t="str" cm="1">
        <f t="array" aca="1" ref="A33" ca="1">IFERROR(INDEX(ADMIN!$K$6:$K$258,SMALL(IF(ADMIN!$G$6:$G$258=$J$1,ROW(ADMIN!$G$6:$G$258)-ROW(ADMIN!$G$6)+1),ROWS($A$1:A30))),"")</f>
        <v/>
      </c>
      <c r="B33" s="8" t="str">
        <f t="shared" ca="1" si="0"/>
        <v xml:space="preserve">
</v>
      </c>
      <c r="C33" s="8" t="str" cm="1">
        <f t="array" aca="1" ref="C33" ca="1">IFERROR(IF(INDEX(ADMIN!$M$6:$M$258,SMALL(IF(ADMIN!$G$6:$G$258=$J$1,ROW(ADMIN!$G$6:$G$258)-ROW(ADMIN!$G$6)+1),ROWS($A$1:A30)))="-", "", " ("&amp;INDEX(ADMIN!$M$6:$M$258,SMALL(IF(ADMIN!$G$6:$G$258=$J$1,ROW(ADMIN!$G$6:$G$258)-ROW(ADMIN!$G$6)+1),ROWS($A$1:A30)))&amp;")"),"")</f>
        <v/>
      </c>
      <c r="D33" s="8" t="str" cm="1">
        <f t="array" aca="1" ref="D33" ca="1">IFERROR(IF($J$1&gt;=20,INDEX(ADMIN!$C$6:$C$258,SMALL(IF(ADMIN!$G$6:$G$258=$J$1,ROW(ADMIN!$G$6:$G$258)-ROW(ADMIN!$G$6)+1),ROWS($D$1:D30))),""),"")</f>
        <v/>
      </c>
      <c r="E33" s="19">
        <f t="shared" si="1"/>
        <v>96</v>
      </c>
      <c r="F33" s="448" t="str" cm="1">
        <f t="array" ref="F33">IFERROR(INDEX(Rango_Admin_DailyPred_Primera,1,E33),"-")</f>
        <v>Jurgen Wiegerinck</v>
      </c>
      <c r="G33" s="429" t="str">
        <f ca="1">IFERROR(VLOOKUP(G$2,Rango_Admin_DailyPred,MATCH($F33,Rango_Admin_DailyPred_Primera,0),0),"-")</f>
        <v>Spain-England·1|3-1</v>
      </c>
      <c r="H33" s="429" t="str">
        <f ca="1">IFERROR(VLOOKUP(H$2,Rango_Admin_DailyPred,MATCH($F33,Rango_Admin_DailyPred_Primera,0),0),"-")</f>
        <v>France-Argentina·1|3-1</v>
      </c>
      <c r="I33" s="429" t="str">
        <f ca="1">IFERROR(VLOOKUP(I$2,Rango_Admin_DailyPred,MATCH($F33,Rango_Admin_DailyPred_Primera,0),0),"-")</f>
        <v>France</v>
      </c>
      <c r="J33" s="429" t="str">
        <f ca="1">IFERROR(VLOOKUP(J$2,Rango_Admin_DailyPred,MATCH($F33,Rango_Admin_DailyPred_Primera,0),0),"-")</f>
        <v>Argentina</v>
      </c>
      <c r="K33" s="429" t="str">
        <f ca="1">IFERROR(VLOOKUP(K$2,Rango_Admin_DailyPred,MATCH($F33,Rango_Admin_DailyPred_Primera,0),0),"-")</f>
        <v>Spain</v>
      </c>
      <c r="L33" s="429" t="str">
        <f ca="1">IFERROR(VLOOKUP(L$2,Rango_Admin_DailyPred,MATCH($F33,Rango_Admin_DailyPred_Primera,0),0),"-")</f>
        <v>Mbappé</v>
      </c>
      <c r="M33" s="429" t="str">
        <f ca="1">IFERROR(VLOOKUP(M$2,Rango_Admin_DailyPred,MATCH($F33,Rango_Admin_DailyPred_Primera,0),0),"-")</f>
        <v>Kane</v>
      </c>
      <c r="N33" s="429" t="str">
        <f ca="1">IFERROR(VLOOKUP(N$2,Rango_Admin_DailyPred,MATCH($F33,Rango_Admin_DailyPred_Primera,0),0),"-")</f>
        <v>Dembele</v>
      </c>
      <c r="O33" s="429" t="str">
        <f ca="1">IFERROR(VLOOKUP(O$2,Rango_Admin_DailyPred,MATCH($F33,Rango_Admin_DailyPred_Primera,0),0),"-")</f>
        <v>Mbappe</v>
      </c>
      <c r="P33" s="429" t="str">
        <f ca="1">IFERROR(VLOOKUP(P$2,Rango_Admin_DailyPred,MATCH($F33,Rango_Admin_DailyPred_Primera,0),0),"-")</f>
        <v>Messi</v>
      </c>
      <c r="Q33" s="429" t="str">
        <f ca="1">IFERROR(VLOOKUP(Q$2,Rango_Admin_DailyPred,MATCH($F33,Rango_Admin_DailyPred_Primera,0),0),"-")</f>
        <v>Dembele</v>
      </c>
      <c r="R33" s="429" t="str">
        <f ca="1">IFERROR(VLOOKUP(R$2,Rango_Admin_DailyPred,MATCH($F33,Rango_Admin_DailyPred_Primera,0),0),"-")</f>
        <v>-</v>
      </c>
      <c r="S33" s="429" t="str">
        <f ca="1">IFERROR(VLOOKUP(S$2,Rango_Admin_DailyPred,MATCH($F33,Rango_Admin_DailyPred_Primera,0),0),"-")</f>
        <v>-</v>
      </c>
      <c r="T33" s="429" t="str">
        <f ca="1">IFERROR(VLOOKUP(T$2,Rango_Admin_DailyPred,MATCH($F33,Rango_Admin_DailyPred_Primera,0),0),"-")</f>
        <v>-</v>
      </c>
      <c r="U33" s="429" t="str">
        <f ca="1">IFERROR(VLOOKUP(U$2,Rango_Admin_DailyPred,MATCH($F33,Rango_Admin_DailyPred_Primera,0),0),"-")</f>
        <v>-</v>
      </c>
      <c r="V33" s="429" t="str">
        <f ca="1">IFERROR(VLOOKUP(V$2,Rango_Admin_DailyPred,MATCH($F33,Rango_Admin_DailyPred_Primera,0),0),"-")</f>
        <v>-</v>
      </c>
      <c r="W33" s="429" t="str">
        <f ca="1">IFERROR(VLOOKUP(W$2,Rango_Admin_DailyPred,MATCH($F33,Rango_Admin_DailyPred_Primera,0),0),"-")</f>
        <v>-</v>
      </c>
      <c r="X33" s="429" t="str">
        <f ca="1">IFERROR(VLOOKUP(X$2,Rango_Admin_DailyPred,MATCH($F33,Rango_Admin_DailyPred_Primera,0),0),"-")</f>
        <v>-</v>
      </c>
      <c r="Y33" s="429" t="str">
        <f ca="1">IFERROR(VLOOKUP(Y$2,Rango_Admin_DailyPred,MATCH($F33,Rango_Admin_DailyPred_Primera,0),0),"-")</f>
        <v>-</v>
      </c>
      <c r="Z33" s="429" t="str">
        <f ca="1">IFERROR(VLOOKUP(Z$2,Rango_Admin_DailyPred,MATCH($F33,Rango_Admin_DailyPred_Primera,0),0),"-")</f>
        <v>-</v>
      </c>
      <c r="AA33" s="429" t="str">
        <f ca="1">IFERROR(VLOOKUP(AA$2,Rango_Admin_DailyPred,MATCH($F33,Rango_Admin_DailyPred_Primera,0),0),"-")</f>
        <v>-</v>
      </c>
      <c r="AB33" s="429" t="str">
        <f ca="1">IFERROR(VLOOKUP(AB$2,Rango_Admin_DailyPred,MATCH($F33,Rango_Admin_DailyPred_Primera,0),0),"-")</f>
        <v>-</v>
      </c>
      <c r="AC33" s="429" t="str">
        <f ca="1">IFERROR(VLOOKUP(AC$2,Rango_Admin_DailyPred,MATCH($F33,Rango_Admin_DailyPred_Primera,0),0),"-")</f>
        <v>-</v>
      </c>
      <c r="AD33" s="429" t="str">
        <f ca="1">IFERROR(VLOOKUP(AD$2,Rango_Admin_DailyPred,MATCH($F33,Rango_Admin_DailyPred_Primera,0),0),"-")</f>
        <v>-</v>
      </c>
      <c r="AE33" s="429" t="str">
        <f ca="1">IFERROR(VLOOKUP(AE$2,Rango_Admin_DailyPred,MATCH($F33,Rango_Admin_DailyPred_Primera,0),0),"-")</f>
        <v>-</v>
      </c>
      <c r="AF33" s="429" t="str">
        <f ca="1">IFERROR(VLOOKUP(AF$2,Rango_Admin_DailyPred,MATCH($F33,Rango_Admin_DailyPred_Primera,0),0),"-")</f>
        <v>-</v>
      </c>
      <c r="AG33" s="429" t="str">
        <f ca="1">IFERROR(VLOOKUP(AG$2,Rango_Admin_DailyPred,MATCH($F33,Rango_Admin_DailyPred_Primera,0),0),"-")</f>
        <v>-</v>
      </c>
      <c r="AH33" s="429" t="str">
        <f ca="1">IFERROR(VLOOKUP(AH$2,Rango_Admin_DailyPred,MATCH($F33,Rango_Admin_DailyPred_Primera,0),0),"-")</f>
        <v>-</v>
      </c>
      <c r="AI33" s="429" t="str">
        <f ca="1">IFERROR(VLOOKUP(AI$2,Rango_Admin_DailyPred,MATCH($F33,Rango_Admin_DailyPred_Primera,0),0),"-")</f>
        <v>-</v>
      </c>
      <c r="AJ33" s="429" t="str">
        <f ca="1">IFERROR(VLOOKUP(AJ$2,Rango_Admin_DailyPred,MATCH($F33,Rango_Admin_DailyPred_Primera,0),0),"-")</f>
        <v>-</v>
      </c>
      <c r="AK33" s="429" t="str">
        <f ca="1">IFERROR(VLOOKUP(AK$2,Rango_Admin_DailyPred,MATCH($F33,Rango_Admin_DailyPred_Primera,0),0),"-")</f>
        <v>-</v>
      </c>
      <c r="AL33" s="429" t="str">
        <f ca="1">IFERROR(VLOOKUP(AL$2,Rango_Admin_DailyPred,MATCH($F33,Rango_Admin_DailyPred_Primera,0),0),"-")</f>
        <v>-</v>
      </c>
      <c r="AM33" s="297"/>
      <c r="AN33" s="297"/>
      <c r="AO33" s="297"/>
    </row>
    <row r="34" spans="1:41">
      <c r="A34" s="8" t="str" cm="1">
        <f t="array" aca="1" ref="A34" ca="1">IFERROR(INDEX(ADMIN!$K$6:$K$258,SMALL(IF(ADMIN!$G$6:$G$258=$J$1,ROW(ADMIN!$G$6:$G$258)-ROW(ADMIN!$G$6)+1),ROWS($A$1:A31))),"")</f>
        <v/>
      </c>
      <c r="B34" s="8" t="str">
        <f t="shared" ca="1" si="0"/>
        <v xml:space="preserve">
</v>
      </c>
      <c r="C34" s="8" t="str" cm="1">
        <f t="array" aca="1" ref="C34" ca="1">IFERROR(IF(INDEX(ADMIN!$M$6:$M$258,SMALL(IF(ADMIN!$G$6:$G$258=$J$1,ROW(ADMIN!$G$6:$G$258)-ROW(ADMIN!$G$6)+1),ROWS($A$1:A31)))="-", "", " ("&amp;INDEX(ADMIN!$M$6:$M$258,SMALL(IF(ADMIN!$G$6:$G$258=$J$1,ROW(ADMIN!$G$6:$G$258)-ROW(ADMIN!$G$6)+1),ROWS($A$1:A31)))&amp;")"),"")</f>
        <v/>
      </c>
      <c r="D34" s="8" t="str" cm="1">
        <f t="array" aca="1" ref="D34" ca="1">IFERROR(IF($J$1&gt;=20,INDEX(ADMIN!$C$6:$C$258,SMALL(IF(ADMIN!$G$6:$G$258=$J$1,ROW(ADMIN!$G$6:$G$258)-ROW(ADMIN!$G$6)+1),ROWS($D$1:D31))),""),"")</f>
        <v/>
      </c>
      <c r="E34" s="19">
        <f t="shared" si="1"/>
        <v>99</v>
      </c>
      <c r="F34" s="448" t="str" cm="1">
        <f t="array" ref="F34">IFERROR(INDEX(Rango_Admin_DailyPred_Primera,1,E34),"-")</f>
        <v>Hobie Duijn</v>
      </c>
      <c r="G34" s="429" t="str">
        <f ca="1">IFERROR(VLOOKUP(G$2,Rango_Admin_DailyPred,MATCH($F34,Rango_Admin_DailyPred_Primera,0),0),"-")</f>
        <v>France-Brazil·1|2-1</v>
      </c>
      <c r="H34" s="429" t="str">
        <f ca="1">IFERROR(VLOOKUP(H$2,Rango_Admin_DailyPred,MATCH($F34,Rango_Admin_DailyPred_Primera,0),0),"-")</f>
        <v>Spain-Portugal·2|1-2</v>
      </c>
      <c r="I34" s="429" t="str">
        <f ca="1">IFERROR(VLOOKUP(I$2,Rango_Admin_DailyPred,MATCH($F34,Rango_Admin_DailyPred_Primera,0),0),"-")</f>
        <v>Portugal</v>
      </c>
      <c r="J34" s="429" t="str">
        <f ca="1">IFERROR(VLOOKUP(J$2,Rango_Admin_DailyPred,MATCH($F34,Rango_Admin_DailyPred_Primera,0),0),"-")</f>
        <v>Spain</v>
      </c>
      <c r="K34" s="429" t="str">
        <f ca="1">IFERROR(VLOOKUP(K$2,Rango_Admin_DailyPred,MATCH($F34,Rango_Admin_DailyPred_Primera,0),0),"-")</f>
        <v>France</v>
      </c>
      <c r="L34" s="429" t="str">
        <f ca="1">IFERROR(VLOOKUP(L$2,Rango_Admin_DailyPred,MATCH($F34,Rango_Admin_DailyPred_Primera,0),0),"-")</f>
        <v>Mbappé</v>
      </c>
      <c r="M34" s="429" t="str">
        <f ca="1">IFERROR(VLOOKUP(M$2,Rango_Admin_DailyPred,MATCH($F34,Rango_Admin_DailyPred_Primera,0),0),"-")</f>
        <v>Yamal</v>
      </c>
      <c r="N34" s="429" t="str">
        <f ca="1">IFERROR(VLOOKUP(N$2,Rango_Admin_DailyPred,MATCH($F34,Rango_Admin_DailyPred_Primera,0),0),"-")</f>
        <v>Ronaldo</v>
      </c>
      <c r="O34" s="429" t="str">
        <f ca="1">IFERROR(VLOOKUP(O$2,Rango_Admin_DailyPred,MATCH($F34,Rango_Admin_DailyPred_Primera,0),0),"-")</f>
        <v>Mbappe</v>
      </c>
      <c r="P34" s="429" t="str">
        <f ca="1">IFERROR(VLOOKUP(P$2,Rango_Admin_DailyPred,MATCH($F34,Rango_Admin_DailyPred_Primera,0),0),"-")</f>
        <v>Yamal</v>
      </c>
      <c r="Q34" s="429" t="str">
        <f ca="1">IFERROR(VLOOKUP(Q$2,Rango_Admin_DailyPred,MATCH($F34,Rango_Admin_DailyPred_Primera,0),0),"-")</f>
        <v>Doku</v>
      </c>
      <c r="R34" s="429" t="str">
        <f ca="1">IFERROR(VLOOKUP(R$2,Rango_Admin_DailyPred,MATCH($F34,Rango_Admin_DailyPred_Primera,0),0),"-")</f>
        <v>-</v>
      </c>
      <c r="S34" s="429" t="str">
        <f ca="1">IFERROR(VLOOKUP(S$2,Rango_Admin_DailyPred,MATCH($F34,Rango_Admin_DailyPred_Primera,0),0),"-")</f>
        <v>-</v>
      </c>
      <c r="T34" s="429" t="str">
        <f ca="1">IFERROR(VLOOKUP(T$2,Rango_Admin_DailyPred,MATCH($F34,Rango_Admin_DailyPred_Primera,0),0),"-")</f>
        <v>-</v>
      </c>
      <c r="U34" s="429" t="str">
        <f ca="1">IFERROR(VLOOKUP(U$2,Rango_Admin_DailyPred,MATCH($F34,Rango_Admin_DailyPred_Primera,0),0),"-")</f>
        <v>-</v>
      </c>
      <c r="V34" s="429" t="str">
        <f ca="1">IFERROR(VLOOKUP(V$2,Rango_Admin_DailyPred,MATCH($F34,Rango_Admin_DailyPred_Primera,0),0),"-")</f>
        <v>-</v>
      </c>
      <c r="W34" s="429" t="str">
        <f ca="1">IFERROR(VLOOKUP(W$2,Rango_Admin_DailyPred,MATCH($F34,Rango_Admin_DailyPred_Primera,0),0),"-")</f>
        <v>-</v>
      </c>
      <c r="X34" s="429" t="str">
        <f ca="1">IFERROR(VLOOKUP(X$2,Rango_Admin_DailyPred,MATCH($F34,Rango_Admin_DailyPred_Primera,0),0),"-")</f>
        <v>-</v>
      </c>
      <c r="Y34" s="429" t="str">
        <f ca="1">IFERROR(VLOOKUP(Y$2,Rango_Admin_DailyPred,MATCH($F34,Rango_Admin_DailyPred_Primera,0),0),"-")</f>
        <v>-</v>
      </c>
      <c r="Z34" s="429" t="str">
        <f ca="1">IFERROR(VLOOKUP(Z$2,Rango_Admin_DailyPred,MATCH($F34,Rango_Admin_DailyPred_Primera,0),0),"-")</f>
        <v>-</v>
      </c>
      <c r="AA34" s="429" t="str">
        <f ca="1">IFERROR(VLOOKUP(AA$2,Rango_Admin_DailyPred,MATCH($F34,Rango_Admin_DailyPred_Primera,0),0),"-")</f>
        <v>-</v>
      </c>
      <c r="AB34" s="429" t="str">
        <f ca="1">IFERROR(VLOOKUP(AB$2,Rango_Admin_DailyPred,MATCH($F34,Rango_Admin_DailyPred_Primera,0),0),"-")</f>
        <v>-</v>
      </c>
      <c r="AC34" s="429" t="str">
        <f ca="1">IFERROR(VLOOKUP(AC$2,Rango_Admin_DailyPred,MATCH($F34,Rango_Admin_DailyPred_Primera,0),0),"-")</f>
        <v>-</v>
      </c>
      <c r="AD34" s="429" t="str">
        <f ca="1">IFERROR(VLOOKUP(AD$2,Rango_Admin_DailyPred,MATCH($F34,Rango_Admin_DailyPred_Primera,0),0),"-")</f>
        <v>-</v>
      </c>
      <c r="AE34" s="429" t="str">
        <f ca="1">IFERROR(VLOOKUP(AE$2,Rango_Admin_DailyPred,MATCH($F34,Rango_Admin_DailyPred_Primera,0),0),"-")</f>
        <v>-</v>
      </c>
      <c r="AF34" s="429" t="str">
        <f ca="1">IFERROR(VLOOKUP(AF$2,Rango_Admin_DailyPred,MATCH($F34,Rango_Admin_DailyPred_Primera,0),0),"-")</f>
        <v>-</v>
      </c>
      <c r="AG34" s="429" t="str">
        <f ca="1">IFERROR(VLOOKUP(AG$2,Rango_Admin_DailyPred,MATCH($F34,Rango_Admin_DailyPred_Primera,0),0),"-")</f>
        <v>-</v>
      </c>
      <c r="AH34" s="429" t="str">
        <f ca="1">IFERROR(VLOOKUP(AH$2,Rango_Admin_DailyPred,MATCH($F34,Rango_Admin_DailyPred_Primera,0),0),"-")</f>
        <v>-</v>
      </c>
      <c r="AI34" s="429" t="str">
        <f ca="1">IFERROR(VLOOKUP(AI$2,Rango_Admin_DailyPred,MATCH($F34,Rango_Admin_DailyPred_Primera,0),0),"-")</f>
        <v>-</v>
      </c>
      <c r="AJ34" s="429" t="str">
        <f ca="1">IFERROR(VLOOKUP(AJ$2,Rango_Admin_DailyPred,MATCH($F34,Rango_Admin_DailyPred_Primera,0),0),"-")</f>
        <v>-</v>
      </c>
      <c r="AK34" s="429" t="str">
        <f ca="1">IFERROR(VLOOKUP(AK$2,Rango_Admin_DailyPred,MATCH($F34,Rango_Admin_DailyPred_Primera,0),0),"-")</f>
        <v>-</v>
      </c>
      <c r="AL34" s="429" t="str">
        <f ca="1">IFERROR(VLOOKUP(AL$2,Rango_Admin_DailyPred,MATCH($F34,Rango_Admin_DailyPred_Primera,0),0),"-")</f>
        <v>-</v>
      </c>
      <c r="AM34" s="297"/>
      <c r="AN34" s="297"/>
      <c r="AO34" s="297"/>
    </row>
    <row r="35" spans="1:41">
      <c r="A35" s="8" t="str" cm="1">
        <f t="array" aca="1" ref="A35" ca="1">IFERROR(INDEX(ADMIN!$K$6:$K$258,SMALL(IF(ADMIN!$G$6:$G$258=$J$1,ROW(ADMIN!$G$6:$G$258)-ROW(ADMIN!$G$6)+1),ROWS($A$1:A32))),"")</f>
        <v/>
      </c>
      <c r="B35" s="8" t="str">
        <f t="shared" ca="1" si="0"/>
        <v xml:space="preserve">
</v>
      </c>
      <c r="C35" s="8" t="str" cm="1">
        <f t="array" aca="1" ref="C35" ca="1">IFERROR(IF(INDEX(ADMIN!$M$6:$M$258,SMALL(IF(ADMIN!$G$6:$G$258=$J$1,ROW(ADMIN!$G$6:$G$258)-ROW(ADMIN!$G$6)+1),ROWS($A$1:A32)))="-", "", " ("&amp;INDEX(ADMIN!$M$6:$M$258,SMALL(IF(ADMIN!$G$6:$G$258=$J$1,ROW(ADMIN!$G$6:$G$258)-ROW(ADMIN!$G$6)+1),ROWS($A$1:A32)))&amp;")"),"")</f>
        <v/>
      </c>
      <c r="D35" s="8" t="str" cm="1">
        <f t="array" aca="1" ref="D35" ca="1">IFERROR(IF($J$1&gt;=20,INDEX(ADMIN!$C$6:$C$258,SMALL(IF(ADMIN!$G$6:$G$258=$J$1,ROW(ADMIN!$G$6:$G$258)-ROW(ADMIN!$G$6)+1),ROWS($D$1:D32))),""),"")</f>
        <v/>
      </c>
      <c r="E35" s="19">
        <f t="shared" si="1"/>
        <v>102</v>
      </c>
      <c r="F35" s="448" t="str" cm="1">
        <f t="array" ref="F35">IFERROR(INDEX(Rango_Admin_DailyPred_Primera,1,E35),"-")</f>
        <v>Luuk Walhof</v>
      </c>
      <c r="G35" s="429" t="str">
        <f ca="1">IFERROR(VLOOKUP(G$2,Rango_Admin_DailyPred,MATCH($F35,Rango_Admin_DailyPred_Primera,0),0),"-")</f>
        <v>Spain-Argentina·1|3-1</v>
      </c>
      <c r="H35" s="429" t="str">
        <f ca="1">IFERROR(VLOOKUP(H$2,Rango_Admin_DailyPred,MATCH($F35,Rango_Admin_DailyPred_Primera,0),0),"-")</f>
        <v>France-Brazil·X|1-1</v>
      </c>
      <c r="I35" s="429" t="str">
        <f ca="1">IFERROR(VLOOKUP(I$2,Rango_Admin_DailyPred,MATCH($F35,Rango_Admin_DailyPred_Primera,0),0),"-")</f>
        <v>France</v>
      </c>
      <c r="J35" s="429" t="str">
        <f ca="1">IFERROR(VLOOKUP(J$2,Rango_Admin_DailyPred,MATCH($F35,Rango_Admin_DailyPred_Primera,0),0),"-")</f>
        <v>Brazil</v>
      </c>
      <c r="K35" s="429" t="str">
        <f ca="1">IFERROR(VLOOKUP(K$2,Rango_Admin_DailyPred,MATCH($F35,Rango_Admin_DailyPred_Primera,0),0),"-")</f>
        <v>Spain</v>
      </c>
      <c r="L35" s="429" t="str">
        <f ca="1">IFERROR(VLOOKUP(L$2,Rango_Admin_DailyPred,MATCH($F35,Rango_Admin_DailyPred_Primera,0),0),"-")</f>
        <v>Mbappé</v>
      </c>
      <c r="M35" s="429" t="str">
        <f ca="1">IFERROR(VLOOKUP(M$2,Rango_Admin_DailyPred,MATCH($F35,Rango_Admin_DailyPred_Primera,0),0),"-")</f>
        <v>Harry Kane</v>
      </c>
      <c r="N35" s="429" t="str">
        <f ca="1">IFERROR(VLOOKUP(N$2,Rango_Admin_DailyPred,MATCH($F35,Rango_Admin_DailyPred_Primera,0),0),"-")</f>
        <v>Julian Alvarez</v>
      </c>
      <c r="O35" s="429" t="str">
        <f ca="1">IFERROR(VLOOKUP(O$2,Rango_Admin_DailyPred,MATCH($F35,Rango_Admin_DailyPred_Primera,0),0),"-")</f>
        <v>Desire Doue</v>
      </c>
      <c r="P35" s="429" t="str">
        <f ca="1">IFERROR(VLOOKUP(P$2,Rango_Admin_DailyPred,MATCH($F35,Rango_Admin_DailyPred_Primera,0),0),"-")</f>
        <v>Lamine Yamal</v>
      </c>
      <c r="Q35" s="429" t="str">
        <f ca="1">IFERROR(VLOOKUP(Q$2,Rango_Admin_DailyPred,MATCH($F35,Rango_Admin_DailyPred_Primera,0),0),"-")</f>
        <v>Casemiro</v>
      </c>
      <c r="R35" s="429" t="str">
        <f ca="1">IFERROR(VLOOKUP(R$2,Rango_Admin_DailyPred,MATCH($F35,Rango_Admin_DailyPred_Primera,0),0),"-")</f>
        <v>-</v>
      </c>
      <c r="S35" s="429" t="str">
        <f ca="1">IFERROR(VLOOKUP(S$2,Rango_Admin_DailyPred,MATCH($F35,Rango_Admin_DailyPred_Primera,0),0),"-")</f>
        <v>-</v>
      </c>
      <c r="T35" s="429" t="str">
        <f ca="1">IFERROR(VLOOKUP(T$2,Rango_Admin_DailyPred,MATCH($F35,Rango_Admin_DailyPred_Primera,0),0),"-")</f>
        <v>-</v>
      </c>
      <c r="U35" s="429" t="str">
        <f ca="1">IFERROR(VLOOKUP(U$2,Rango_Admin_DailyPred,MATCH($F35,Rango_Admin_DailyPred_Primera,0),0),"-")</f>
        <v>-</v>
      </c>
      <c r="V35" s="429" t="str">
        <f ca="1">IFERROR(VLOOKUP(V$2,Rango_Admin_DailyPred,MATCH($F35,Rango_Admin_DailyPred_Primera,0),0),"-")</f>
        <v>-</v>
      </c>
      <c r="W35" s="429" t="str">
        <f ca="1">IFERROR(VLOOKUP(W$2,Rango_Admin_DailyPred,MATCH($F35,Rango_Admin_DailyPred_Primera,0),0),"-")</f>
        <v>-</v>
      </c>
      <c r="X35" s="429" t="str">
        <f ca="1">IFERROR(VLOOKUP(X$2,Rango_Admin_DailyPred,MATCH($F35,Rango_Admin_DailyPred_Primera,0),0),"-")</f>
        <v>-</v>
      </c>
      <c r="Y35" s="429" t="str">
        <f ca="1">IFERROR(VLOOKUP(Y$2,Rango_Admin_DailyPred,MATCH($F35,Rango_Admin_DailyPred_Primera,0),0),"-")</f>
        <v>-</v>
      </c>
      <c r="Z35" s="429" t="str">
        <f ca="1">IFERROR(VLOOKUP(Z$2,Rango_Admin_DailyPred,MATCH($F35,Rango_Admin_DailyPred_Primera,0),0),"-")</f>
        <v>-</v>
      </c>
      <c r="AA35" s="429" t="str">
        <f ca="1">IFERROR(VLOOKUP(AA$2,Rango_Admin_DailyPred,MATCH($F35,Rango_Admin_DailyPred_Primera,0),0),"-")</f>
        <v>-</v>
      </c>
      <c r="AB35" s="429" t="str">
        <f ca="1">IFERROR(VLOOKUP(AB$2,Rango_Admin_DailyPred,MATCH($F35,Rango_Admin_DailyPred_Primera,0),0),"-")</f>
        <v>-</v>
      </c>
      <c r="AC35" s="429" t="str">
        <f ca="1">IFERROR(VLOOKUP(AC$2,Rango_Admin_DailyPred,MATCH($F35,Rango_Admin_DailyPred_Primera,0),0),"-")</f>
        <v>-</v>
      </c>
      <c r="AD35" s="429" t="str">
        <f ca="1">IFERROR(VLOOKUP(AD$2,Rango_Admin_DailyPred,MATCH($F35,Rango_Admin_DailyPred_Primera,0),0),"-")</f>
        <v>-</v>
      </c>
      <c r="AE35" s="429" t="str">
        <f ca="1">IFERROR(VLOOKUP(AE$2,Rango_Admin_DailyPred,MATCH($F35,Rango_Admin_DailyPred_Primera,0),0),"-")</f>
        <v>-</v>
      </c>
      <c r="AF35" s="429" t="str">
        <f ca="1">IFERROR(VLOOKUP(AF$2,Rango_Admin_DailyPred,MATCH($F35,Rango_Admin_DailyPred_Primera,0),0),"-")</f>
        <v>-</v>
      </c>
      <c r="AG35" s="429" t="str">
        <f ca="1">IFERROR(VLOOKUP(AG$2,Rango_Admin_DailyPred,MATCH($F35,Rango_Admin_DailyPred_Primera,0),0),"-")</f>
        <v>-</v>
      </c>
      <c r="AH35" s="429" t="str">
        <f ca="1">IFERROR(VLOOKUP(AH$2,Rango_Admin_DailyPred,MATCH($F35,Rango_Admin_DailyPred_Primera,0),0),"-")</f>
        <v>-</v>
      </c>
      <c r="AI35" s="429" t="str">
        <f ca="1">IFERROR(VLOOKUP(AI$2,Rango_Admin_DailyPred,MATCH($F35,Rango_Admin_DailyPred_Primera,0),0),"-")</f>
        <v>-</v>
      </c>
      <c r="AJ35" s="429" t="str">
        <f ca="1">IFERROR(VLOOKUP(AJ$2,Rango_Admin_DailyPred,MATCH($F35,Rango_Admin_DailyPred_Primera,0),0),"-")</f>
        <v>-</v>
      </c>
      <c r="AK35" s="429" t="str">
        <f ca="1">IFERROR(VLOOKUP(AK$2,Rango_Admin_DailyPred,MATCH($F35,Rango_Admin_DailyPred_Primera,0),0),"-")</f>
        <v>-</v>
      </c>
      <c r="AL35" s="429" t="str">
        <f ca="1">IFERROR(VLOOKUP(AL$2,Rango_Admin_DailyPred,MATCH($F35,Rango_Admin_DailyPred_Primera,0),0),"-")</f>
        <v>-</v>
      </c>
      <c r="AM35" s="297"/>
      <c r="AN35" s="297"/>
      <c r="AO35" s="297"/>
    </row>
    <row r="36" spans="1:41">
      <c r="E36" s="19">
        <f t="shared" si="1"/>
        <v>105</v>
      </c>
      <c r="F36" s="448" t="str" cm="1">
        <f t="array" ref="F36">IFERROR(INDEX(Rango_Admin_DailyPred_Primera,1,E36),"-")</f>
        <v>Stan Hofstra</v>
      </c>
      <c r="G36" s="429" t="str">
        <f ca="1">IFERROR(VLOOKUP(G$2,Rango_Admin_DailyPred,MATCH($F36,Rango_Admin_DailyPred_Primera,0),0),"-")</f>
        <v>France-Portugal·1|2-0</v>
      </c>
      <c r="H36" s="429" t="str">
        <f ca="1">IFERROR(VLOOKUP(H$2,Rango_Admin_DailyPred,MATCH($F36,Rango_Admin_DailyPred_Primera,0),0),"-")</f>
        <v>Spain-Brazil·1|3-2</v>
      </c>
      <c r="I36" s="429" t="str">
        <f ca="1">IFERROR(VLOOKUP(I$2,Rango_Admin_DailyPred,MATCH($F36,Rango_Admin_DailyPred_Primera,0),0),"-")</f>
        <v>Spain</v>
      </c>
      <c r="J36" s="429" t="str">
        <f ca="1">IFERROR(VLOOKUP(J$2,Rango_Admin_DailyPred,MATCH($F36,Rango_Admin_DailyPred_Primera,0),0),"-")</f>
        <v>Brazil</v>
      </c>
      <c r="K36" s="429" t="str">
        <f ca="1">IFERROR(VLOOKUP(K$2,Rango_Admin_DailyPred,MATCH($F36,Rango_Admin_DailyPred_Primera,0),0),"-")</f>
        <v>France</v>
      </c>
      <c r="L36" s="429" t="str">
        <f ca="1">IFERROR(VLOOKUP(L$2,Rango_Admin_DailyPred,MATCH($F36,Rango_Admin_DailyPred_Primera,0),0),"-")</f>
        <v>Mbappé</v>
      </c>
      <c r="M36" s="429" t="str">
        <f ca="1">IFERROR(VLOOKUP(M$2,Rango_Admin_DailyPred,MATCH($F36,Rango_Admin_DailyPred_Primera,0),0),"-")</f>
        <v>Julián Alvarez</v>
      </c>
      <c r="N36" s="429" t="str">
        <f ca="1">IFERROR(VLOOKUP(N$2,Rango_Admin_DailyPred,MATCH($F36,Rango_Admin_DailyPred_Primera,0),0),"-")</f>
        <v>Bellingham / Haaland</v>
      </c>
      <c r="O36" s="429" t="str">
        <f ca="1">IFERROR(VLOOKUP(O$2,Rango_Admin_DailyPred,MATCH($F36,Rango_Admin_DailyPred_Primera,0),0),"-")</f>
        <v>Kylian Mbappé</v>
      </c>
      <c r="P36" s="429" t="str">
        <f ca="1">IFERROR(VLOOKUP(P$2,Rango_Admin_DailyPred,MATCH($F36,Rango_Admin_DailyPred_Primera,0),0),"-")</f>
        <v>Lamine Yamal</v>
      </c>
      <c r="Q36" s="429" t="str">
        <f ca="1">IFERROR(VLOOKUP(Q$2,Rango_Admin_DailyPred,MATCH($F36,Rango_Admin_DailyPred_Primera,0),0),"-")</f>
        <v>Jude Bellingham</v>
      </c>
      <c r="R36" s="429" t="str">
        <f ca="1">IFERROR(VLOOKUP(R$2,Rango_Admin_DailyPred,MATCH($F36,Rango_Admin_DailyPred_Primera,0),0),"-")</f>
        <v>-</v>
      </c>
      <c r="S36" s="429" t="str">
        <f ca="1">IFERROR(VLOOKUP(S$2,Rango_Admin_DailyPred,MATCH($F36,Rango_Admin_DailyPred_Primera,0),0),"-")</f>
        <v>-</v>
      </c>
      <c r="T36" s="429" t="str">
        <f ca="1">IFERROR(VLOOKUP(T$2,Rango_Admin_DailyPred,MATCH($F36,Rango_Admin_DailyPred_Primera,0),0),"-")</f>
        <v>-</v>
      </c>
      <c r="U36" s="429" t="str">
        <f ca="1">IFERROR(VLOOKUP(U$2,Rango_Admin_DailyPred,MATCH($F36,Rango_Admin_DailyPred_Primera,0),0),"-")</f>
        <v>-</v>
      </c>
      <c r="V36" s="429" t="str">
        <f ca="1">IFERROR(VLOOKUP(V$2,Rango_Admin_DailyPred,MATCH($F36,Rango_Admin_DailyPred_Primera,0),0),"-")</f>
        <v>-</v>
      </c>
      <c r="W36" s="429" t="str">
        <f ca="1">IFERROR(VLOOKUP(W$2,Rango_Admin_DailyPred,MATCH($F36,Rango_Admin_DailyPred_Primera,0),0),"-")</f>
        <v>-</v>
      </c>
      <c r="X36" s="429" t="str">
        <f ca="1">IFERROR(VLOOKUP(X$2,Rango_Admin_DailyPred,MATCH($F36,Rango_Admin_DailyPred_Primera,0),0),"-")</f>
        <v>-</v>
      </c>
      <c r="Y36" s="429" t="str">
        <f ca="1">IFERROR(VLOOKUP(Y$2,Rango_Admin_DailyPred,MATCH($F36,Rango_Admin_DailyPred_Primera,0),0),"-")</f>
        <v>-</v>
      </c>
      <c r="Z36" s="429" t="str">
        <f ca="1">IFERROR(VLOOKUP(Z$2,Rango_Admin_DailyPred,MATCH($F36,Rango_Admin_DailyPred_Primera,0),0),"-")</f>
        <v>-</v>
      </c>
      <c r="AA36" s="429" t="str">
        <f ca="1">IFERROR(VLOOKUP(AA$2,Rango_Admin_DailyPred,MATCH($F36,Rango_Admin_DailyPred_Primera,0),0),"-")</f>
        <v>-</v>
      </c>
      <c r="AB36" s="429" t="str">
        <f ca="1">IFERROR(VLOOKUP(AB$2,Rango_Admin_DailyPred,MATCH($F36,Rango_Admin_DailyPred_Primera,0),0),"-")</f>
        <v>-</v>
      </c>
      <c r="AC36" s="429" t="str">
        <f ca="1">IFERROR(VLOOKUP(AC$2,Rango_Admin_DailyPred,MATCH($F36,Rango_Admin_DailyPred_Primera,0),0),"-")</f>
        <v>-</v>
      </c>
      <c r="AD36" s="429" t="str">
        <f ca="1">IFERROR(VLOOKUP(AD$2,Rango_Admin_DailyPred,MATCH($F36,Rango_Admin_DailyPred_Primera,0),0),"-")</f>
        <v>-</v>
      </c>
      <c r="AE36" s="429" t="str">
        <f ca="1">IFERROR(VLOOKUP(AE$2,Rango_Admin_DailyPred,MATCH($F36,Rango_Admin_DailyPred_Primera,0),0),"-")</f>
        <v>-</v>
      </c>
      <c r="AF36" s="429" t="str">
        <f ca="1">IFERROR(VLOOKUP(AF$2,Rango_Admin_DailyPred,MATCH($F36,Rango_Admin_DailyPred_Primera,0),0),"-")</f>
        <v>-</v>
      </c>
      <c r="AG36" s="429" t="str">
        <f ca="1">IFERROR(VLOOKUP(AG$2,Rango_Admin_DailyPred,MATCH($F36,Rango_Admin_DailyPred_Primera,0),0),"-")</f>
        <v>-</v>
      </c>
      <c r="AH36" s="429" t="str">
        <f ca="1">IFERROR(VLOOKUP(AH$2,Rango_Admin_DailyPred,MATCH($F36,Rango_Admin_DailyPred_Primera,0),0),"-")</f>
        <v>-</v>
      </c>
      <c r="AI36" s="429" t="str">
        <f ca="1">IFERROR(VLOOKUP(AI$2,Rango_Admin_DailyPred,MATCH($F36,Rango_Admin_DailyPred_Primera,0),0),"-")</f>
        <v>-</v>
      </c>
      <c r="AJ36" s="429" t="str">
        <f ca="1">IFERROR(VLOOKUP(AJ$2,Rango_Admin_DailyPred,MATCH($F36,Rango_Admin_DailyPred_Primera,0),0),"-")</f>
        <v>-</v>
      </c>
      <c r="AK36" s="429" t="str">
        <f ca="1">IFERROR(VLOOKUP(AK$2,Rango_Admin_DailyPred,MATCH($F36,Rango_Admin_DailyPred_Primera,0),0),"-")</f>
        <v>-</v>
      </c>
      <c r="AL36" s="429" t="str">
        <f ca="1">IFERROR(VLOOKUP(AL$2,Rango_Admin_DailyPred,MATCH($F36,Rango_Admin_DailyPred_Primera,0),0),"-")</f>
        <v>-</v>
      </c>
      <c r="AM36" s="297"/>
      <c r="AN36" s="297"/>
      <c r="AO36" s="297"/>
    </row>
    <row r="37" spans="1:41">
      <c r="E37" s="19">
        <f t="shared" si="1"/>
        <v>108</v>
      </c>
      <c r="F37" s="448" t="str" cm="1">
        <f t="array" ref="F37">IFERROR(INDEX(Rango_Admin_DailyPred_Primera,1,E37),"-")</f>
        <v>Pien Breukers</v>
      </c>
      <c r="G37" s="429" t="str">
        <f ca="1">IFERROR(VLOOKUP(G$2,Rango_Admin_DailyPred,MATCH($F37,Rango_Admin_DailyPred_Primera,0),0),"-")</f>
        <v>Germany-England·2|1-2</v>
      </c>
      <c r="H37" s="429" t="str">
        <f ca="1">IFERROR(VLOOKUP(H$2,Rango_Admin_DailyPred,MATCH($F37,Rango_Admin_DailyPred_Primera,0),0),"-")</f>
        <v>Spain-Argentina·1|2-1</v>
      </c>
      <c r="I37" s="429" t="str">
        <f ca="1">IFERROR(VLOOKUP(I$2,Rango_Admin_DailyPred,MATCH($F37,Rango_Admin_DailyPred_Primera,0),0),"-")</f>
        <v>Spain</v>
      </c>
      <c r="J37" s="429" t="str">
        <f ca="1">IFERROR(VLOOKUP(J$2,Rango_Admin_DailyPred,MATCH($F37,Rango_Admin_DailyPred_Primera,0),0),"-")</f>
        <v>Argentina</v>
      </c>
      <c r="K37" s="429" t="str">
        <f ca="1">IFERROR(VLOOKUP(K$2,Rango_Admin_DailyPred,MATCH($F37,Rango_Admin_DailyPred_Primera,0),0),"-")</f>
        <v>England</v>
      </c>
      <c r="L37" s="429" t="str">
        <f ca="1">IFERROR(VLOOKUP(L$2,Rango_Admin_DailyPred,MATCH($F37,Rango_Admin_DailyPred_Primera,0),0),"-")</f>
        <v>Torres</v>
      </c>
      <c r="M37" s="429" t="str">
        <f ca="1">IFERROR(VLOOKUP(M$2,Rango_Admin_DailyPred,MATCH($F37,Rango_Admin_DailyPred_Primera,0),0),"-")</f>
        <v>Martinez</v>
      </c>
      <c r="N37" s="429" t="str">
        <f ca="1">IFERROR(VLOOKUP(N$2,Rango_Admin_DailyPred,MATCH($F37,Rango_Admin_DailyPred_Primera,0),0),"-")</f>
        <v>Kane</v>
      </c>
      <c r="O37" s="429" t="str">
        <f ca="1">IFERROR(VLOOKUP(O$2,Rango_Admin_DailyPred,MATCH($F37,Rango_Admin_DailyPred_Primera,0),0),"-")</f>
        <v>Yamal</v>
      </c>
      <c r="P37" s="429" t="str">
        <f ca="1">IFERROR(VLOOKUP(P$2,Rango_Admin_DailyPred,MATCH($F37,Rango_Admin_DailyPred_Primera,0),0),"-")</f>
        <v>Martinez</v>
      </c>
      <c r="Q37" s="429" t="str">
        <f ca="1">IFERROR(VLOOKUP(Q$2,Rango_Admin_DailyPred,MATCH($F37,Rango_Admin_DailyPred_Primera,0),0),"-")</f>
        <v>Bellingham</v>
      </c>
      <c r="R37" s="429" t="str">
        <f ca="1">IFERROR(VLOOKUP(R$2,Rango_Admin_DailyPred,MATCH($F37,Rango_Admin_DailyPred_Primera,0),0),"-")</f>
        <v>-</v>
      </c>
      <c r="S37" s="429" t="str">
        <f ca="1">IFERROR(VLOOKUP(S$2,Rango_Admin_DailyPred,MATCH($F37,Rango_Admin_DailyPred_Primera,0),0),"-")</f>
        <v>-</v>
      </c>
      <c r="T37" s="429" t="str">
        <f ca="1">IFERROR(VLOOKUP(T$2,Rango_Admin_DailyPred,MATCH($F37,Rango_Admin_DailyPred_Primera,0),0),"-")</f>
        <v>-</v>
      </c>
      <c r="U37" s="429" t="str">
        <f ca="1">IFERROR(VLOOKUP(U$2,Rango_Admin_DailyPred,MATCH($F37,Rango_Admin_DailyPred_Primera,0),0),"-")</f>
        <v>-</v>
      </c>
      <c r="V37" s="429" t="str">
        <f ca="1">IFERROR(VLOOKUP(V$2,Rango_Admin_DailyPred,MATCH($F37,Rango_Admin_DailyPred_Primera,0),0),"-")</f>
        <v>-</v>
      </c>
      <c r="W37" s="429" t="str">
        <f ca="1">IFERROR(VLOOKUP(W$2,Rango_Admin_DailyPred,MATCH($F37,Rango_Admin_DailyPred_Primera,0),0),"-")</f>
        <v>-</v>
      </c>
      <c r="X37" s="429" t="str">
        <f ca="1">IFERROR(VLOOKUP(X$2,Rango_Admin_DailyPred,MATCH($F37,Rango_Admin_DailyPred_Primera,0),0),"-")</f>
        <v>-</v>
      </c>
      <c r="Y37" s="429" t="str">
        <f ca="1">IFERROR(VLOOKUP(Y$2,Rango_Admin_DailyPred,MATCH($F37,Rango_Admin_DailyPred_Primera,0),0),"-")</f>
        <v>-</v>
      </c>
      <c r="Z37" s="429" t="str">
        <f ca="1">IFERROR(VLOOKUP(Z$2,Rango_Admin_DailyPred,MATCH($F37,Rango_Admin_DailyPred_Primera,0),0),"-")</f>
        <v>-</v>
      </c>
      <c r="AA37" s="429" t="str">
        <f ca="1">IFERROR(VLOOKUP(AA$2,Rango_Admin_DailyPred,MATCH($F37,Rango_Admin_DailyPred_Primera,0),0),"-")</f>
        <v>-</v>
      </c>
      <c r="AB37" s="429" t="str">
        <f ca="1">IFERROR(VLOOKUP(AB$2,Rango_Admin_DailyPred,MATCH($F37,Rango_Admin_DailyPred_Primera,0),0),"-")</f>
        <v>-</v>
      </c>
      <c r="AC37" s="429" t="str">
        <f ca="1">IFERROR(VLOOKUP(AC$2,Rango_Admin_DailyPred,MATCH($F37,Rango_Admin_DailyPred_Primera,0),0),"-")</f>
        <v>-</v>
      </c>
      <c r="AD37" s="429" t="str">
        <f ca="1">IFERROR(VLOOKUP(AD$2,Rango_Admin_DailyPred,MATCH($F37,Rango_Admin_DailyPred_Primera,0),0),"-")</f>
        <v>-</v>
      </c>
      <c r="AE37" s="429" t="str">
        <f ca="1">IFERROR(VLOOKUP(AE$2,Rango_Admin_DailyPred,MATCH($F37,Rango_Admin_DailyPred_Primera,0),0),"-")</f>
        <v>-</v>
      </c>
      <c r="AF37" s="429" t="str">
        <f ca="1">IFERROR(VLOOKUP(AF$2,Rango_Admin_DailyPred,MATCH($F37,Rango_Admin_DailyPred_Primera,0),0),"-")</f>
        <v>-</v>
      </c>
      <c r="AG37" s="429" t="str">
        <f ca="1">IFERROR(VLOOKUP(AG$2,Rango_Admin_DailyPred,MATCH($F37,Rango_Admin_DailyPred_Primera,0),0),"-")</f>
        <v>-</v>
      </c>
      <c r="AH37" s="429" t="str">
        <f ca="1">IFERROR(VLOOKUP(AH$2,Rango_Admin_DailyPred,MATCH($F37,Rango_Admin_DailyPred_Primera,0),0),"-")</f>
        <v>-</v>
      </c>
      <c r="AI37" s="429" t="str">
        <f ca="1">IFERROR(VLOOKUP(AI$2,Rango_Admin_DailyPred,MATCH($F37,Rango_Admin_DailyPred_Primera,0),0),"-")</f>
        <v>-</v>
      </c>
      <c r="AJ37" s="429" t="str">
        <f ca="1">IFERROR(VLOOKUP(AJ$2,Rango_Admin_DailyPred,MATCH($F37,Rango_Admin_DailyPred_Primera,0),0),"-")</f>
        <v>-</v>
      </c>
      <c r="AK37" s="429" t="str">
        <f ca="1">IFERROR(VLOOKUP(AK$2,Rango_Admin_DailyPred,MATCH($F37,Rango_Admin_DailyPred_Primera,0),0),"-")</f>
        <v>-</v>
      </c>
      <c r="AL37" s="429" t="str">
        <f ca="1">IFERROR(VLOOKUP(AL$2,Rango_Admin_DailyPred,MATCH($F37,Rango_Admin_DailyPred_Primera,0),0),"-")</f>
        <v>-</v>
      </c>
      <c r="AM37" s="297"/>
      <c r="AN37" s="297"/>
      <c r="AO37" s="297"/>
    </row>
    <row r="38" spans="1:41">
      <c r="E38" s="19">
        <f t="shared" si="1"/>
        <v>111</v>
      </c>
      <c r="F38" s="448" t="str" cm="1">
        <f t="array" ref="F38">IFERROR(INDEX(Rango_Admin_DailyPred_Primera,1,E38),"-")</f>
        <v>Marnix van der Molen</v>
      </c>
      <c r="G38" s="429" t="str">
        <f ca="1">IFERROR(VLOOKUP(G$2,Rango_Admin_DailyPred,MATCH($F38,Rango_Admin_DailyPred_Primera,0),0),"-")</f>
        <v>Spain-Portugal·1|2-1</v>
      </c>
      <c r="H38" s="429" t="str">
        <f ca="1">IFERROR(VLOOKUP(H$2,Rango_Admin_DailyPred,MATCH($F38,Rango_Admin_DailyPred_Primera,0),0),"-")</f>
        <v>France-England·1|2-0</v>
      </c>
      <c r="I38" s="429" t="str">
        <f ca="1">IFERROR(VLOOKUP(I$2,Rango_Admin_DailyPred,MATCH($F38,Rango_Admin_DailyPred_Primera,0),0),"-")</f>
        <v>France</v>
      </c>
      <c r="J38" s="429" t="str">
        <f ca="1">IFERROR(VLOOKUP(J$2,Rango_Admin_DailyPred,MATCH($F38,Rango_Admin_DailyPred_Primera,0),0),"-")</f>
        <v>England</v>
      </c>
      <c r="K38" s="429" t="str">
        <f ca="1">IFERROR(VLOOKUP(K$2,Rango_Admin_DailyPred,MATCH($F38,Rango_Admin_DailyPred_Primera,0),0),"-")</f>
        <v>Spain</v>
      </c>
      <c r="L38" s="429" t="str">
        <f ca="1">IFERROR(VLOOKUP(L$2,Rango_Admin_DailyPred,MATCH($F38,Rango_Admin_DailyPred_Primera,0),0),"-")</f>
        <v>Mbappé</v>
      </c>
      <c r="M38" s="429" t="str">
        <f ca="1">IFERROR(VLOOKUP(M$2,Rango_Admin_DailyPred,MATCH($F38,Rango_Admin_DailyPred_Primera,0),0),"-")</f>
        <v>Lukaku</v>
      </c>
      <c r="N38" s="429" t="str">
        <f ca="1">IFERROR(VLOOKUP(N$2,Rango_Admin_DailyPred,MATCH($F38,Rango_Admin_DailyPred_Primera,0),0),"-")</f>
        <v>Gakpo</v>
      </c>
      <c r="O38" s="429" t="str">
        <f ca="1">IFERROR(VLOOKUP(O$2,Rango_Admin_DailyPred,MATCH($F38,Rango_Admin_DailyPred_Primera,0),0),"-")</f>
        <v>O. Dembele</v>
      </c>
      <c r="P38" s="429" t="str">
        <f ca="1">IFERROR(VLOOKUP(P$2,Rango_Admin_DailyPred,MATCH($F38,Rango_Admin_DailyPred_Primera,0),0),"-")</f>
        <v>W. Zaire Emery</v>
      </c>
      <c r="Q38" s="429" t="str">
        <f ca="1">IFERROR(VLOOKUP(Q$2,Rango_Admin_DailyPred,MATCH($F38,Rango_Admin_DailyPred_Primera,0),0),"-")</f>
        <v>J. Bellinham</v>
      </c>
      <c r="R38" s="429" t="str">
        <f ca="1">IFERROR(VLOOKUP(R$2,Rango_Admin_DailyPred,MATCH($F38,Rango_Admin_DailyPred_Primera,0),0),"-")</f>
        <v>-</v>
      </c>
      <c r="S38" s="429" t="str">
        <f ca="1">IFERROR(VLOOKUP(S$2,Rango_Admin_DailyPred,MATCH($F38,Rango_Admin_DailyPred_Primera,0),0),"-")</f>
        <v>-</v>
      </c>
      <c r="T38" s="429" t="str">
        <f ca="1">IFERROR(VLOOKUP(T$2,Rango_Admin_DailyPred,MATCH($F38,Rango_Admin_DailyPred_Primera,0),0),"-")</f>
        <v>-</v>
      </c>
      <c r="U38" s="429" t="str">
        <f ca="1">IFERROR(VLOOKUP(U$2,Rango_Admin_DailyPred,MATCH($F38,Rango_Admin_DailyPred_Primera,0),0),"-")</f>
        <v>-</v>
      </c>
      <c r="V38" s="429" t="str">
        <f ca="1">IFERROR(VLOOKUP(V$2,Rango_Admin_DailyPred,MATCH($F38,Rango_Admin_DailyPred_Primera,0),0),"-")</f>
        <v>-</v>
      </c>
      <c r="W38" s="429" t="str">
        <f ca="1">IFERROR(VLOOKUP(W$2,Rango_Admin_DailyPred,MATCH($F38,Rango_Admin_DailyPred_Primera,0),0),"-")</f>
        <v>-</v>
      </c>
      <c r="X38" s="429" t="str">
        <f ca="1">IFERROR(VLOOKUP(X$2,Rango_Admin_DailyPred,MATCH($F38,Rango_Admin_DailyPred_Primera,0),0),"-")</f>
        <v>-</v>
      </c>
      <c r="Y38" s="429" t="str">
        <f ca="1">IFERROR(VLOOKUP(Y$2,Rango_Admin_DailyPred,MATCH($F38,Rango_Admin_DailyPred_Primera,0),0),"-")</f>
        <v>-</v>
      </c>
      <c r="Z38" s="429" t="str">
        <f ca="1">IFERROR(VLOOKUP(Z$2,Rango_Admin_DailyPred,MATCH($F38,Rango_Admin_DailyPred_Primera,0),0),"-")</f>
        <v>-</v>
      </c>
      <c r="AA38" s="429" t="str">
        <f ca="1">IFERROR(VLOOKUP(AA$2,Rango_Admin_DailyPred,MATCH($F38,Rango_Admin_DailyPred_Primera,0),0),"-")</f>
        <v>-</v>
      </c>
      <c r="AB38" s="429" t="str">
        <f ca="1">IFERROR(VLOOKUP(AB$2,Rango_Admin_DailyPred,MATCH($F38,Rango_Admin_DailyPred_Primera,0),0),"-")</f>
        <v>-</v>
      </c>
      <c r="AC38" s="429" t="str">
        <f ca="1">IFERROR(VLOOKUP(AC$2,Rango_Admin_DailyPred,MATCH($F38,Rango_Admin_DailyPred_Primera,0),0),"-")</f>
        <v>-</v>
      </c>
      <c r="AD38" s="429" t="str">
        <f ca="1">IFERROR(VLOOKUP(AD$2,Rango_Admin_DailyPred,MATCH($F38,Rango_Admin_DailyPred_Primera,0),0),"-")</f>
        <v>-</v>
      </c>
      <c r="AE38" s="429" t="str">
        <f ca="1">IFERROR(VLOOKUP(AE$2,Rango_Admin_DailyPred,MATCH($F38,Rango_Admin_DailyPred_Primera,0),0),"-")</f>
        <v>-</v>
      </c>
      <c r="AF38" s="429" t="str">
        <f ca="1">IFERROR(VLOOKUP(AF$2,Rango_Admin_DailyPred,MATCH($F38,Rango_Admin_DailyPred_Primera,0),0),"-")</f>
        <v>-</v>
      </c>
      <c r="AG38" s="429" t="str">
        <f ca="1">IFERROR(VLOOKUP(AG$2,Rango_Admin_DailyPred,MATCH($F38,Rango_Admin_DailyPred_Primera,0),0),"-")</f>
        <v>-</v>
      </c>
      <c r="AH38" s="429" t="str">
        <f ca="1">IFERROR(VLOOKUP(AH$2,Rango_Admin_DailyPred,MATCH($F38,Rango_Admin_DailyPred_Primera,0),0),"-")</f>
        <v>-</v>
      </c>
      <c r="AI38" s="429" t="str">
        <f ca="1">IFERROR(VLOOKUP(AI$2,Rango_Admin_DailyPred,MATCH($F38,Rango_Admin_DailyPred_Primera,0),0),"-")</f>
        <v>-</v>
      </c>
      <c r="AJ38" s="429" t="str">
        <f ca="1">IFERROR(VLOOKUP(AJ$2,Rango_Admin_DailyPred,MATCH($F38,Rango_Admin_DailyPred_Primera,0),0),"-")</f>
        <v>-</v>
      </c>
      <c r="AK38" s="429" t="str">
        <f ca="1">IFERROR(VLOOKUP(AK$2,Rango_Admin_DailyPred,MATCH($F38,Rango_Admin_DailyPred_Primera,0),0),"-")</f>
        <v>-</v>
      </c>
      <c r="AL38" s="429" t="str">
        <f ca="1">IFERROR(VLOOKUP(AL$2,Rango_Admin_DailyPred,MATCH($F38,Rango_Admin_DailyPred_Primera,0),0),"-")</f>
        <v>-</v>
      </c>
      <c r="AM38" s="297"/>
      <c r="AN38" s="297"/>
      <c r="AO38" s="297"/>
    </row>
    <row r="39" spans="1:41">
      <c r="E39" s="19">
        <f t="shared" si="1"/>
        <v>114</v>
      </c>
      <c r="F39" s="448" t="str" cm="1">
        <f t="array" ref="F39">IFERROR(INDEX(Rango_Admin_DailyPred_Primera,1,E39),"-")</f>
        <v>Dennis Molendijk</v>
      </c>
      <c r="G39" s="429" t="str">
        <f ca="1">IFERROR(VLOOKUP(G$2,Rango_Admin_DailyPred,MATCH($F39,Rango_Admin_DailyPred_Primera,0),0),"-")</f>
        <v>Spain-Brazil·1|2-1</v>
      </c>
      <c r="H39" s="429" t="str">
        <f ca="1">IFERROR(VLOOKUP(H$2,Rango_Admin_DailyPred,MATCH($F39,Rango_Admin_DailyPred_Primera,0),0),"-")</f>
        <v>France-Portugal·1|1-0</v>
      </c>
      <c r="I39" s="429" t="str">
        <f ca="1">IFERROR(VLOOKUP(I$2,Rango_Admin_DailyPred,MATCH($F39,Rango_Admin_DailyPred_Primera,0),0),"-")</f>
        <v>France</v>
      </c>
      <c r="J39" s="429" t="str">
        <f ca="1">IFERROR(VLOOKUP(J$2,Rango_Admin_DailyPred,MATCH($F39,Rango_Admin_DailyPred_Primera,0),0),"-")</f>
        <v>Portugal</v>
      </c>
      <c r="K39" s="429" t="str">
        <f ca="1">IFERROR(VLOOKUP(K$2,Rango_Admin_DailyPred,MATCH($F39,Rango_Admin_DailyPred_Primera,0),0),"-")</f>
        <v>Spain</v>
      </c>
      <c r="L39" s="429" t="str">
        <f ca="1">IFERROR(VLOOKUP(L$2,Rango_Admin_DailyPred,MATCH($F39,Rango_Admin_DailyPred_Primera,0),0),"-")</f>
        <v>Olise</v>
      </c>
      <c r="M39" s="429" t="str">
        <f ca="1">IFERROR(VLOOKUP(M$2,Rango_Admin_DailyPred,MATCH($F39,Rango_Admin_DailyPred_Primera,0),0),"-")</f>
        <v>Vinicius</v>
      </c>
      <c r="N39" s="429" t="str">
        <f ca="1">IFERROR(VLOOKUP(N$2,Rango_Admin_DailyPred,MATCH($F39,Rango_Admin_DailyPred_Primera,0),0),"-")</f>
        <v>Bellingham / Haaland</v>
      </c>
      <c r="O39" s="429" t="str">
        <f ca="1">IFERROR(VLOOKUP(O$2,Rango_Admin_DailyPred,MATCH($F39,Rango_Admin_DailyPred_Primera,0),0),"-")</f>
        <v>Olise</v>
      </c>
      <c r="P39" s="429" t="str">
        <f ca="1">IFERROR(VLOOKUP(P$2,Rango_Admin_DailyPred,MATCH($F39,Rango_Admin_DailyPred_Primera,0),0),"-")</f>
        <v>Ronaldo</v>
      </c>
      <c r="Q39" s="429" t="str">
        <f ca="1">IFERROR(VLOOKUP(Q$2,Rango_Admin_DailyPred,MATCH($F39,Rango_Admin_DailyPred_Primera,0),0),"-")</f>
        <v>Pedri</v>
      </c>
      <c r="R39" s="429" t="str">
        <f ca="1">IFERROR(VLOOKUP(R$2,Rango_Admin_DailyPred,MATCH($F39,Rango_Admin_DailyPred_Primera,0),0),"-")</f>
        <v>-</v>
      </c>
      <c r="S39" s="429" t="str">
        <f ca="1">IFERROR(VLOOKUP(S$2,Rango_Admin_DailyPred,MATCH($F39,Rango_Admin_DailyPred_Primera,0),0),"-")</f>
        <v>-</v>
      </c>
      <c r="T39" s="429" t="str">
        <f ca="1">IFERROR(VLOOKUP(T$2,Rango_Admin_DailyPred,MATCH($F39,Rango_Admin_DailyPred_Primera,0),0),"-")</f>
        <v>-</v>
      </c>
      <c r="U39" s="429" t="str">
        <f ca="1">IFERROR(VLOOKUP(U$2,Rango_Admin_DailyPred,MATCH($F39,Rango_Admin_DailyPred_Primera,0),0),"-")</f>
        <v>-</v>
      </c>
      <c r="V39" s="429" t="str">
        <f ca="1">IFERROR(VLOOKUP(V$2,Rango_Admin_DailyPred,MATCH($F39,Rango_Admin_DailyPred_Primera,0),0),"-")</f>
        <v>-</v>
      </c>
      <c r="W39" s="429" t="str">
        <f ca="1">IFERROR(VLOOKUP(W$2,Rango_Admin_DailyPred,MATCH($F39,Rango_Admin_DailyPred_Primera,0),0),"-")</f>
        <v>-</v>
      </c>
      <c r="X39" s="429" t="str">
        <f ca="1">IFERROR(VLOOKUP(X$2,Rango_Admin_DailyPred,MATCH($F39,Rango_Admin_DailyPred_Primera,0),0),"-")</f>
        <v>-</v>
      </c>
      <c r="Y39" s="429" t="str">
        <f ca="1">IFERROR(VLOOKUP(Y$2,Rango_Admin_DailyPred,MATCH($F39,Rango_Admin_DailyPred_Primera,0),0),"-")</f>
        <v>-</v>
      </c>
      <c r="Z39" s="429" t="str">
        <f ca="1">IFERROR(VLOOKUP(Z$2,Rango_Admin_DailyPred,MATCH($F39,Rango_Admin_DailyPred_Primera,0),0),"-")</f>
        <v>-</v>
      </c>
      <c r="AA39" s="429" t="str">
        <f ca="1">IFERROR(VLOOKUP(AA$2,Rango_Admin_DailyPred,MATCH($F39,Rango_Admin_DailyPred_Primera,0),0),"-")</f>
        <v>-</v>
      </c>
      <c r="AB39" s="429" t="str">
        <f ca="1">IFERROR(VLOOKUP(AB$2,Rango_Admin_DailyPred,MATCH($F39,Rango_Admin_DailyPred_Primera,0),0),"-")</f>
        <v>-</v>
      </c>
      <c r="AC39" s="429" t="str">
        <f ca="1">IFERROR(VLOOKUP(AC$2,Rango_Admin_DailyPred,MATCH($F39,Rango_Admin_DailyPred_Primera,0),0),"-")</f>
        <v>-</v>
      </c>
      <c r="AD39" s="429" t="str">
        <f ca="1">IFERROR(VLOOKUP(AD$2,Rango_Admin_DailyPred,MATCH($F39,Rango_Admin_DailyPred_Primera,0),0),"-")</f>
        <v>-</v>
      </c>
      <c r="AE39" s="429" t="str">
        <f ca="1">IFERROR(VLOOKUP(AE$2,Rango_Admin_DailyPred,MATCH($F39,Rango_Admin_DailyPred_Primera,0),0),"-")</f>
        <v>-</v>
      </c>
      <c r="AF39" s="429" t="str">
        <f ca="1">IFERROR(VLOOKUP(AF$2,Rango_Admin_DailyPred,MATCH($F39,Rango_Admin_DailyPred_Primera,0),0),"-")</f>
        <v>-</v>
      </c>
      <c r="AG39" s="429" t="str">
        <f ca="1">IFERROR(VLOOKUP(AG$2,Rango_Admin_DailyPred,MATCH($F39,Rango_Admin_DailyPred_Primera,0),0),"-")</f>
        <v>-</v>
      </c>
      <c r="AH39" s="429" t="str">
        <f ca="1">IFERROR(VLOOKUP(AH$2,Rango_Admin_DailyPred,MATCH($F39,Rango_Admin_DailyPred_Primera,0),0),"-")</f>
        <v>-</v>
      </c>
      <c r="AI39" s="429" t="str">
        <f ca="1">IFERROR(VLOOKUP(AI$2,Rango_Admin_DailyPred,MATCH($F39,Rango_Admin_DailyPred_Primera,0),0),"-")</f>
        <v>-</v>
      </c>
      <c r="AJ39" s="429" t="str">
        <f ca="1">IFERROR(VLOOKUP(AJ$2,Rango_Admin_DailyPred,MATCH($F39,Rango_Admin_DailyPred_Primera,0),0),"-")</f>
        <v>-</v>
      </c>
      <c r="AK39" s="429" t="str">
        <f ca="1">IFERROR(VLOOKUP(AK$2,Rango_Admin_DailyPred,MATCH($F39,Rango_Admin_DailyPred_Primera,0),0),"-")</f>
        <v>-</v>
      </c>
      <c r="AL39" s="429" t="str">
        <f ca="1">IFERROR(VLOOKUP(AL$2,Rango_Admin_DailyPred,MATCH($F39,Rango_Admin_DailyPred_Primera,0),0),"-")</f>
        <v>-</v>
      </c>
      <c r="AM39" s="297"/>
      <c r="AN39" s="297"/>
      <c r="AO39" s="297"/>
    </row>
    <row r="40" spans="1:41">
      <c r="E40" s="19">
        <f t="shared" si="1"/>
        <v>117</v>
      </c>
      <c r="F40" s="448" t="str" cm="1">
        <f t="array" ref="F40">IFERROR(INDEX(Rango_Admin_DailyPred_Primera,1,E40),"-")</f>
        <v>Niek Oonk</v>
      </c>
      <c r="G40" s="429" t="str">
        <f ca="1">IFERROR(VLOOKUP(G$2,Rango_Admin_DailyPred,MATCH($F40,Rango_Admin_DailyPred_Primera,0),0),"-")</f>
        <v>France-England·1|1-0</v>
      </c>
      <c r="H40" s="429" t="str">
        <f ca="1">IFERROR(VLOOKUP(H$2,Rango_Admin_DailyPred,MATCH($F40,Rango_Admin_DailyPred_Primera,0),0),"-")</f>
        <v>Spain-Portugal·1|2-1</v>
      </c>
      <c r="I40" s="429" t="str">
        <f ca="1">IFERROR(VLOOKUP(I$2,Rango_Admin_DailyPred,MATCH($F40,Rango_Admin_DailyPred_Primera,0),0),"-")</f>
        <v>Spain</v>
      </c>
      <c r="J40" s="429" t="str">
        <f ca="1">IFERROR(VLOOKUP(J$2,Rango_Admin_DailyPred,MATCH($F40,Rango_Admin_DailyPred_Primera,0),0),"-")</f>
        <v>Portugal</v>
      </c>
      <c r="K40" s="429" t="str">
        <f ca="1">IFERROR(VLOOKUP(K$2,Rango_Admin_DailyPred,MATCH($F40,Rango_Admin_DailyPred_Primera,0),0),"-")</f>
        <v>France</v>
      </c>
      <c r="L40" s="429" t="str">
        <f ca="1">IFERROR(VLOOKUP(L$2,Rango_Admin_DailyPred,MATCH($F40,Rango_Admin_DailyPred_Primera,0),0),"-")</f>
        <v>Cody Gakpo</v>
      </c>
      <c r="M40" s="429" t="str">
        <f ca="1">IFERROR(VLOOKUP(M$2,Rango_Admin_DailyPred,MATCH($F40,Rango_Admin_DailyPred_Primera,0),0),"-")</f>
        <v>Lamine Yamal</v>
      </c>
      <c r="N40" s="429" t="str">
        <f ca="1">IFERROR(VLOOKUP(N$2,Rango_Admin_DailyPred,MATCH($F40,Rango_Admin_DailyPred_Primera,0),0),"-")</f>
        <v>Harry Kane</v>
      </c>
      <c r="O40" s="429" t="str">
        <f ca="1">IFERROR(VLOOKUP(O$2,Rango_Admin_DailyPred,MATCH($F40,Rango_Admin_DailyPred_Primera,0),0),"-")</f>
        <v>Lamine Yamal</v>
      </c>
      <c r="P40" s="429" t="str">
        <f ca="1">IFERROR(VLOOKUP(P$2,Rango_Admin_DailyPred,MATCH($F40,Rango_Admin_DailyPred_Primera,0),0),"-")</f>
        <v>Vitinha</v>
      </c>
      <c r="Q40" s="429" t="str">
        <f ca="1">IFERROR(VLOOKUP(Q$2,Rango_Admin_DailyPred,MATCH($F40,Rango_Admin_DailyPred_Primera,0),0),"-")</f>
        <v>Ousmane Dembélé</v>
      </c>
      <c r="R40" s="429" t="str">
        <f ca="1">IFERROR(VLOOKUP(R$2,Rango_Admin_DailyPred,MATCH($F40,Rango_Admin_DailyPred_Primera,0),0),"-")</f>
        <v>-</v>
      </c>
      <c r="S40" s="429" t="str">
        <f ca="1">IFERROR(VLOOKUP(S$2,Rango_Admin_DailyPred,MATCH($F40,Rango_Admin_DailyPred_Primera,0),0),"-")</f>
        <v>-</v>
      </c>
      <c r="T40" s="429" t="str">
        <f ca="1">IFERROR(VLOOKUP(T$2,Rango_Admin_DailyPred,MATCH($F40,Rango_Admin_DailyPred_Primera,0),0),"-")</f>
        <v>-</v>
      </c>
      <c r="U40" s="429" t="str">
        <f ca="1">IFERROR(VLOOKUP(U$2,Rango_Admin_DailyPred,MATCH($F40,Rango_Admin_DailyPred_Primera,0),0),"-")</f>
        <v>-</v>
      </c>
      <c r="V40" s="429" t="str">
        <f ca="1">IFERROR(VLOOKUP(V$2,Rango_Admin_DailyPred,MATCH($F40,Rango_Admin_DailyPred_Primera,0),0),"-")</f>
        <v>-</v>
      </c>
      <c r="W40" s="429" t="str">
        <f ca="1">IFERROR(VLOOKUP(W$2,Rango_Admin_DailyPred,MATCH($F40,Rango_Admin_DailyPred_Primera,0),0),"-")</f>
        <v>-</v>
      </c>
      <c r="X40" s="429" t="str">
        <f ca="1">IFERROR(VLOOKUP(X$2,Rango_Admin_DailyPred,MATCH($F40,Rango_Admin_DailyPred_Primera,0),0),"-")</f>
        <v>-</v>
      </c>
      <c r="Y40" s="429" t="str">
        <f ca="1">IFERROR(VLOOKUP(Y$2,Rango_Admin_DailyPred,MATCH($F40,Rango_Admin_DailyPred_Primera,0),0),"-")</f>
        <v>-</v>
      </c>
      <c r="Z40" s="429" t="str">
        <f ca="1">IFERROR(VLOOKUP(Z$2,Rango_Admin_DailyPred,MATCH($F40,Rango_Admin_DailyPred_Primera,0),0),"-")</f>
        <v>-</v>
      </c>
      <c r="AA40" s="429" t="str">
        <f ca="1">IFERROR(VLOOKUP(AA$2,Rango_Admin_DailyPred,MATCH($F40,Rango_Admin_DailyPred_Primera,0),0),"-")</f>
        <v>-</v>
      </c>
      <c r="AB40" s="429" t="str">
        <f ca="1">IFERROR(VLOOKUP(AB$2,Rango_Admin_DailyPred,MATCH($F40,Rango_Admin_DailyPred_Primera,0),0),"-")</f>
        <v>-</v>
      </c>
      <c r="AC40" s="429" t="str">
        <f ca="1">IFERROR(VLOOKUP(AC$2,Rango_Admin_DailyPred,MATCH($F40,Rango_Admin_DailyPred_Primera,0),0),"-")</f>
        <v>-</v>
      </c>
      <c r="AD40" s="429" t="str">
        <f ca="1">IFERROR(VLOOKUP(AD$2,Rango_Admin_DailyPred,MATCH($F40,Rango_Admin_DailyPred_Primera,0),0),"-")</f>
        <v>-</v>
      </c>
      <c r="AE40" s="429" t="str">
        <f ca="1">IFERROR(VLOOKUP(AE$2,Rango_Admin_DailyPred,MATCH($F40,Rango_Admin_DailyPred_Primera,0),0),"-")</f>
        <v>-</v>
      </c>
      <c r="AF40" s="429" t="str">
        <f ca="1">IFERROR(VLOOKUP(AF$2,Rango_Admin_DailyPred,MATCH($F40,Rango_Admin_DailyPred_Primera,0),0),"-")</f>
        <v>-</v>
      </c>
      <c r="AG40" s="429" t="str">
        <f ca="1">IFERROR(VLOOKUP(AG$2,Rango_Admin_DailyPred,MATCH($F40,Rango_Admin_DailyPred_Primera,0),0),"-")</f>
        <v>-</v>
      </c>
      <c r="AH40" s="429" t="str">
        <f ca="1">IFERROR(VLOOKUP(AH$2,Rango_Admin_DailyPred,MATCH($F40,Rango_Admin_DailyPred_Primera,0),0),"-")</f>
        <v>-</v>
      </c>
      <c r="AI40" s="429" t="str">
        <f ca="1">IFERROR(VLOOKUP(AI$2,Rango_Admin_DailyPred,MATCH($F40,Rango_Admin_DailyPred_Primera,0),0),"-")</f>
        <v>-</v>
      </c>
      <c r="AJ40" s="429" t="str">
        <f ca="1">IFERROR(VLOOKUP(AJ$2,Rango_Admin_DailyPred,MATCH($F40,Rango_Admin_DailyPred_Primera,0),0),"-")</f>
        <v>-</v>
      </c>
      <c r="AK40" s="429" t="str">
        <f ca="1">IFERROR(VLOOKUP(AK$2,Rango_Admin_DailyPred,MATCH($F40,Rango_Admin_DailyPred_Primera,0),0),"-")</f>
        <v>-</v>
      </c>
      <c r="AL40" s="429" t="str">
        <f ca="1">IFERROR(VLOOKUP(AL$2,Rango_Admin_DailyPred,MATCH($F40,Rango_Admin_DailyPred_Primera,0),0),"-")</f>
        <v>-</v>
      </c>
      <c r="AM40" s="297"/>
      <c r="AN40" s="297"/>
      <c r="AO40" s="297"/>
    </row>
    <row r="41" spans="1:41">
      <c r="E41" s="19">
        <f t="shared" si="1"/>
        <v>120</v>
      </c>
      <c r="F41" s="448" t="str" cm="1">
        <f t="array" ref="F41">IFERROR(INDEX(Rango_Admin_DailyPred_Primera,1,E41),"-")</f>
        <v>Henriko Bakkenes</v>
      </c>
      <c r="G41" s="429" t="str">
        <f ca="1">IFERROR(VLOOKUP(G$2,Rango_Admin_DailyPred,MATCH($F41,Rango_Admin_DailyPred_Primera,0),0),"-")</f>
        <v>Spain-Argentina·2|1-2</v>
      </c>
      <c r="H41" s="429" t="str">
        <f ca="1">IFERROR(VLOOKUP(H$2,Rango_Admin_DailyPred,MATCH($F41,Rango_Admin_DailyPred_Primera,0),0),"-")</f>
        <v>France-Brazil·1|3-2</v>
      </c>
      <c r="I41" s="429" t="str">
        <f ca="1">IFERROR(VLOOKUP(I$2,Rango_Admin_DailyPred,MATCH($F41,Rango_Admin_DailyPred_Primera,0),0),"-")</f>
        <v>France</v>
      </c>
      <c r="J41" s="429" t="str">
        <f ca="1">IFERROR(VLOOKUP(J$2,Rango_Admin_DailyPred,MATCH($F41,Rango_Admin_DailyPred_Primera,0),0),"-")</f>
        <v>Brazil</v>
      </c>
      <c r="K41" s="429" t="str">
        <f ca="1">IFERROR(VLOOKUP(K$2,Rango_Admin_DailyPred,MATCH($F41,Rango_Admin_DailyPred_Primera,0),0),"-")</f>
        <v>Argentina</v>
      </c>
      <c r="L41" s="429" t="str">
        <f ca="1">IFERROR(VLOOKUP(L$2,Rango_Admin_DailyPred,MATCH($F41,Rango_Admin_DailyPred_Primera,0),0),"-")</f>
        <v>Mbappé</v>
      </c>
      <c r="M41" s="429" t="str">
        <f ca="1">IFERROR(VLOOKUP(M$2,Rango_Admin_DailyPred,MATCH($F41,Rango_Admin_DailyPred_Primera,0),0),"-")</f>
        <v>Harry Kane</v>
      </c>
      <c r="N41" s="429" t="str">
        <f ca="1">IFERROR(VLOOKUP(N$2,Rango_Admin_DailyPred,MATCH($F41,Rango_Admin_DailyPred_Primera,0),0),"-")</f>
        <v>Bellingham / Haaland</v>
      </c>
      <c r="O41" s="429" t="str">
        <f ca="1">IFERROR(VLOOKUP(O$2,Rango_Admin_DailyPred,MATCH($F41,Rango_Admin_DailyPred_Primera,0),0),"-")</f>
        <v>Kylian Mbappé</v>
      </c>
      <c r="P41" s="429" t="str">
        <f ca="1">IFERROR(VLOOKUP(P$2,Rango_Admin_DailyPred,MATCH($F41,Rango_Admin_DailyPred_Primera,0),0),"-")</f>
        <v>Lamine Yamal</v>
      </c>
      <c r="Q41" s="429" t="str">
        <f ca="1">IFERROR(VLOOKUP(Q$2,Rango_Admin_DailyPred,MATCH($F41,Rango_Admin_DailyPred_Primera,0),0),"-")</f>
        <v>Lionel Messi</v>
      </c>
      <c r="R41" s="429" t="str">
        <f ca="1">IFERROR(VLOOKUP(R$2,Rango_Admin_DailyPred,MATCH($F41,Rango_Admin_DailyPred_Primera,0),0),"-")</f>
        <v>-</v>
      </c>
      <c r="S41" s="429" t="str">
        <f ca="1">IFERROR(VLOOKUP(S$2,Rango_Admin_DailyPred,MATCH($F41,Rango_Admin_DailyPred_Primera,0),0),"-")</f>
        <v>-</v>
      </c>
      <c r="T41" s="429" t="str">
        <f ca="1">IFERROR(VLOOKUP(T$2,Rango_Admin_DailyPred,MATCH($F41,Rango_Admin_DailyPred_Primera,0),0),"-")</f>
        <v>-</v>
      </c>
      <c r="U41" s="429" t="str">
        <f ca="1">IFERROR(VLOOKUP(U$2,Rango_Admin_DailyPred,MATCH($F41,Rango_Admin_DailyPred_Primera,0),0),"-")</f>
        <v>-</v>
      </c>
      <c r="V41" s="429" t="str">
        <f ca="1">IFERROR(VLOOKUP(V$2,Rango_Admin_DailyPred,MATCH($F41,Rango_Admin_DailyPred_Primera,0),0),"-")</f>
        <v>-</v>
      </c>
      <c r="W41" s="429" t="str">
        <f ca="1">IFERROR(VLOOKUP(W$2,Rango_Admin_DailyPred,MATCH($F41,Rango_Admin_DailyPred_Primera,0),0),"-")</f>
        <v>-</v>
      </c>
      <c r="X41" s="429" t="str">
        <f ca="1">IFERROR(VLOOKUP(X$2,Rango_Admin_DailyPred,MATCH($F41,Rango_Admin_DailyPred_Primera,0),0),"-")</f>
        <v>-</v>
      </c>
      <c r="Y41" s="429" t="str">
        <f ca="1">IFERROR(VLOOKUP(Y$2,Rango_Admin_DailyPred,MATCH($F41,Rango_Admin_DailyPred_Primera,0),0),"-")</f>
        <v>-</v>
      </c>
      <c r="Z41" s="429" t="str">
        <f ca="1">IFERROR(VLOOKUP(Z$2,Rango_Admin_DailyPred,MATCH($F41,Rango_Admin_DailyPred_Primera,0),0),"-")</f>
        <v>-</v>
      </c>
      <c r="AA41" s="429" t="str">
        <f ca="1">IFERROR(VLOOKUP(AA$2,Rango_Admin_DailyPred,MATCH($F41,Rango_Admin_DailyPred_Primera,0),0),"-")</f>
        <v>-</v>
      </c>
      <c r="AB41" s="429" t="str">
        <f ca="1">IFERROR(VLOOKUP(AB$2,Rango_Admin_DailyPred,MATCH($F41,Rango_Admin_DailyPred_Primera,0),0),"-")</f>
        <v>-</v>
      </c>
      <c r="AC41" s="429" t="str">
        <f ca="1">IFERROR(VLOOKUP(AC$2,Rango_Admin_DailyPred,MATCH($F41,Rango_Admin_DailyPred_Primera,0),0),"-")</f>
        <v>-</v>
      </c>
      <c r="AD41" s="429" t="str">
        <f ca="1">IFERROR(VLOOKUP(AD$2,Rango_Admin_DailyPred,MATCH($F41,Rango_Admin_DailyPred_Primera,0),0),"-")</f>
        <v>-</v>
      </c>
      <c r="AE41" s="429" t="str">
        <f ca="1">IFERROR(VLOOKUP(AE$2,Rango_Admin_DailyPred,MATCH($F41,Rango_Admin_DailyPred_Primera,0),0),"-")</f>
        <v>-</v>
      </c>
      <c r="AF41" s="429" t="str">
        <f ca="1">IFERROR(VLOOKUP(AF$2,Rango_Admin_DailyPred,MATCH($F41,Rango_Admin_DailyPred_Primera,0),0),"-")</f>
        <v>-</v>
      </c>
      <c r="AG41" s="429" t="str">
        <f ca="1">IFERROR(VLOOKUP(AG$2,Rango_Admin_DailyPred,MATCH($F41,Rango_Admin_DailyPred_Primera,0),0),"-")</f>
        <v>-</v>
      </c>
      <c r="AH41" s="429" t="str">
        <f ca="1">IFERROR(VLOOKUP(AH$2,Rango_Admin_DailyPred,MATCH($F41,Rango_Admin_DailyPred_Primera,0),0),"-")</f>
        <v>-</v>
      </c>
      <c r="AI41" s="429" t="str">
        <f ca="1">IFERROR(VLOOKUP(AI$2,Rango_Admin_DailyPred,MATCH($F41,Rango_Admin_DailyPred_Primera,0),0),"-")</f>
        <v>-</v>
      </c>
      <c r="AJ41" s="429" t="str">
        <f ca="1">IFERROR(VLOOKUP(AJ$2,Rango_Admin_DailyPred,MATCH($F41,Rango_Admin_DailyPred_Primera,0),0),"-")</f>
        <v>-</v>
      </c>
      <c r="AK41" s="429" t="str">
        <f ca="1">IFERROR(VLOOKUP(AK$2,Rango_Admin_DailyPred,MATCH($F41,Rango_Admin_DailyPred_Primera,0),0),"-")</f>
        <v>-</v>
      </c>
      <c r="AL41" s="429" t="str">
        <f ca="1">IFERROR(VLOOKUP(AL$2,Rango_Admin_DailyPred,MATCH($F41,Rango_Admin_DailyPred_Primera,0),0),"-")</f>
        <v>-</v>
      </c>
      <c r="AM41" s="297"/>
      <c r="AN41" s="297"/>
      <c r="AO41" s="297"/>
    </row>
    <row r="42" spans="1:41">
      <c r="A42" s="5" t="str" cm="1">
        <f t="array" aca="1" ref="A42" ca="1">IFERROR(INDEX(ADMIN!$K$6:$K$258,SMALL(IF(ADMIN!$G$6:$G$258=$J$1,ROW(ADMIN!$G$6:$G$258)-ROW(ADMIN!$G$6)+1),ROWS($A$1:A39))),"")</f>
        <v/>
      </c>
      <c r="E42" s="19">
        <f t="shared" si="1"/>
        <v>123</v>
      </c>
      <c r="F42" s="448" t="str" cm="1">
        <f t="array" ref="F42">IFERROR(INDEX(Rango_Admin_DailyPred_Primera,1,E42),"-")</f>
        <v xml:space="preserve">Esmee Pruim </v>
      </c>
      <c r="G42" s="429" t="str">
        <f ca="1">IFERROR(VLOOKUP(G$2,Rango_Admin_DailyPred,MATCH($F42,Rango_Admin_DailyPred_Primera,0),0),"-")</f>
        <v>Spain-Brazil·2|1-3</v>
      </c>
      <c r="H42" s="429" t="str">
        <f ca="1">IFERROR(VLOOKUP(H$2,Rango_Admin_DailyPred,MATCH($F42,Rango_Admin_DailyPred_Primera,0),0),"-")</f>
        <v>France-Argentina·1|1-0</v>
      </c>
      <c r="I42" s="429" t="str">
        <f ca="1">IFERROR(VLOOKUP(I$2,Rango_Admin_DailyPred,MATCH($F42,Rango_Admin_DailyPred_Primera,0),0),"-")</f>
        <v>France</v>
      </c>
      <c r="J42" s="429" t="str">
        <f ca="1">IFERROR(VLOOKUP(J$2,Rango_Admin_DailyPred,MATCH($F42,Rango_Admin_DailyPred_Primera,0),0),"-")</f>
        <v>Argentina</v>
      </c>
      <c r="K42" s="429" t="str">
        <f ca="1">IFERROR(VLOOKUP(K$2,Rango_Admin_DailyPred,MATCH($F42,Rango_Admin_DailyPred_Primera,0),0),"-")</f>
        <v>Brazil</v>
      </c>
      <c r="L42" s="429" t="str">
        <f ca="1">IFERROR(VLOOKUP(L$2,Rango_Admin_DailyPred,MATCH($F42,Rango_Admin_DailyPred_Primera,0),0),"-")</f>
        <v>Mbappé</v>
      </c>
      <c r="M42" s="429" t="str">
        <f ca="1">IFERROR(VLOOKUP(M$2,Rango_Admin_DailyPred,MATCH($F42,Rango_Admin_DailyPred_Primera,0),0),"-")</f>
        <v>Harry Kane</v>
      </c>
      <c r="N42" s="429" t="str">
        <f ca="1">IFERROR(VLOOKUP(N$2,Rango_Admin_DailyPred,MATCH($F42,Rango_Admin_DailyPred_Primera,0),0),"-")</f>
        <v>Bellingham / Haaland</v>
      </c>
      <c r="O42" s="429" t="str">
        <f ca="1">IFERROR(VLOOKUP(O$2,Rango_Admin_DailyPred,MATCH($F42,Rango_Admin_DailyPred_Primera,0),0),"-")</f>
        <v>Kylian Mbappé</v>
      </c>
      <c r="P42" s="429" t="str">
        <f ca="1">IFERROR(VLOOKUP(P$2,Rango_Admin_DailyPred,MATCH($F42,Rango_Admin_DailyPred_Primera,0),0),"-")</f>
        <v>Messi</v>
      </c>
      <c r="Q42" s="429" t="str">
        <f ca="1">IFERROR(VLOOKUP(Q$2,Rango_Admin_DailyPred,MATCH($F42,Rango_Admin_DailyPred_Primera,0),0),"-")</f>
        <v>Harry Kane</v>
      </c>
      <c r="R42" s="429" t="str">
        <f ca="1">IFERROR(VLOOKUP(R$2,Rango_Admin_DailyPred,MATCH($F42,Rango_Admin_DailyPred_Primera,0),0),"-")</f>
        <v>-</v>
      </c>
      <c r="S42" s="429" t="str">
        <f ca="1">IFERROR(VLOOKUP(S$2,Rango_Admin_DailyPred,MATCH($F42,Rango_Admin_DailyPred_Primera,0),0),"-")</f>
        <v>-</v>
      </c>
      <c r="T42" s="429" t="str">
        <f ca="1">IFERROR(VLOOKUP(T$2,Rango_Admin_DailyPred,MATCH($F42,Rango_Admin_DailyPred_Primera,0),0),"-")</f>
        <v>-</v>
      </c>
      <c r="U42" s="429" t="str">
        <f ca="1">IFERROR(VLOOKUP(U$2,Rango_Admin_DailyPred,MATCH($F42,Rango_Admin_DailyPred_Primera,0),0),"-")</f>
        <v>-</v>
      </c>
      <c r="V42" s="429" t="str">
        <f ca="1">IFERROR(VLOOKUP(V$2,Rango_Admin_DailyPred,MATCH($F42,Rango_Admin_DailyPred_Primera,0),0),"-")</f>
        <v>-</v>
      </c>
      <c r="W42" s="429" t="str">
        <f ca="1">IFERROR(VLOOKUP(W$2,Rango_Admin_DailyPred,MATCH($F42,Rango_Admin_DailyPred_Primera,0),0),"-")</f>
        <v>-</v>
      </c>
      <c r="X42" s="429" t="str">
        <f ca="1">IFERROR(VLOOKUP(X$2,Rango_Admin_DailyPred,MATCH($F42,Rango_Admin_DailyPred_Primera,0),0),"-")</f>
        <v>-</v>
      </c>
      <c r="Y42" s="429" t="str">
        <f ca="1">IFERROR(VLOOKUP(Y$2,Rango_Admin_DailyPred,MATCH($F42,Rango_Admin_DailyPred_Primera,0),0),"-")</f>
        <v>-</v>
      </c>
      <c r="Z42" s="429" t="str">
        <f ca="1">IFERROR(VLOOKUP(Z$2,Rango_Admin_DailyPred,MATCH($F42,Rango_Admin_DailyPred_Primera,0),0),"-")</f>
        <v>-</v>
      </c>
      <c r="AA42" s="429" t="str">
        <f ca="1">IFERROR(VLOOKUP(AA$2,Rango_Admin_DailyPred,MATCH($F42,Rango_Admin_DailyPred_Primera,0),0),"-")</f>
        <v>-</v>
      </c>
      <c r="AB42" s="429" t="str">
        <f ca="1">IFERROR(VLOOKUP(AB$2,Rango_Admin_DailyPred,MATCH($F42,Rango_Admin_DailyPred_Primera,0),0),"-")</f>
        <v>-</v>
      </c>
      <c r="AC42" s="429" t="str">
        <f ca="1">IFERROR(VLOOKUP(AC$2,Rango_Admin_DailyPred,MATCH($F42,Rango_Admin_DailyPred_Primera,0),0),"-")</f>
        <v>-</v>
      </c>
      <c r="AD42" s="429" t="str">
        <f ca="1">IFERROR(VLOOKUP(AD$2,Rango_Admin_DailyPred,MATCH($F42,Rango_Admin_DailyPred_Primera,0),0),"-")</f>
        <v>-</v>
      </c>
      <c r="AE42" s="429" t="str">
        <f ca="1">IFERROR(VLOOKUP(AE$2,Rango_Admin_DailyPred,MATCH($F42,Rango_Admin_DailyPred_Primera,0),0),"-")</f>
        <v>-</v>
      </c>
      <c r="AF42" s="429" t="str">
        <f ca="1">IFERROR(VLOOKUP(AF$2,Rango_Admin_DailyPred,MATCH($F42,Rango_Admin_DailyPred_Primera,0),0),"-")</f>
        <v>-</v>
      </c>
      <c r="AG42" s="429" t="str">
        <f ca="1">IFERROR(VLOOKUP(AG$2,Rango_Admin_DailyPred,MATCH($F42,Rango_Admin_DailyPred_Primera,0),0),"-")</f>
        <v>-</v>
      </c>
      <c r="AH42" s="429" t="str">
        <f ca="1">IFERROR(VLOOKUP(AH$2,Rango_Admin_DailyPred,MATCH($F42,Rango_Admin_DailyPred_Primera,0),0),"-")</f>
        <v>-</v>
      </c>
      <c r="AI42" s="429" t="str">
        <f ca="1">IFERROR(VLOOKUP(AI$2,Rango_Admin_DailyPred,MATCH($F42,Rango_Admin_DailyPred_Primera,0),0),"-")</f>
        <v>-</v>
      </c>
      <c r="AJ42" s="429" t="str">
        <f ca="1">IFERROR(VLOOKUP(AJ$2,Rango_Admin_DailyPred,MATCH($F42,Rango_Admin_DailyPred_Primera,0),0),"-")</f>
        <v>-</v>
      </c>
      <c r="AK42" s="429" t="str">
        <f ca="1">IFERROR(VLOOKUP(AK$2,Rango_Admin_DailyPred,MATCH($F42,Rango_Admin_DailyPred_Primera,0),0),"-")</f>
        <v>-</v>
      </c>
      <c r="AL42" s="429" t="str">
        <f ca="1">IFERROR(VLOOKUP(AL$2,Rango_Admin_DailyPred,MATCH($F42,Rango_Admin_DailyPred_Primera,0),0),"-")</f>
        <v>-</v>
      </c>
      <c r="AM42" s="297"/>
      <c r="AN42" s="297"/>
      <c r="AO42" s="297"/>
    </row>
    <row r="43" spans="1:41">
      <c r="E43" s="19">
        <f t="shared" si="1"/>
        <v>126</v>
      </c>
      <c r="F43" s="448" t="str" cm="1">
        <f t="array" ref="F43">IFERROR(INDEX(Rango_Admin_DailyPred_Primera,1,E43),"-")</f>
        <v>Jordy Brouwer</v>
      </c>
      <c r="G43" s="429" t="str">
        <f ca="1">IFERROR(VLOOKUP(G$2,Rango_Admin_DailyPred,MATCH($F43,Rango_Admin_DailyPred_Primera,0),0),"-")</f>
        <v>Egypt-Portugal·2|1-2</v>
      </c>
      <c r="H43" s="429" t="str">
        <f ca="1">IFERROR(VLOOKUP(H$2,Rango_Admin_DailyPred,MATCH($F43,Rango_Admin_DailyPred_Primera,0),0),"-")</f>
        <v>Germany-Brazil·2|2-3</v>
      </c>
      <c r="I43" s="429" t="str">
        <f ca="1">IFERROR(VLOOKUP(I$2,Rango_Admin_DailyPred,MATCH($F43,Rango_Admin_DailyPred_Primera,0),0),"-")</f>
        <v>Brazil</v>
      </c>
      <c r="J43" s="429" t="str">
        <f ca="1">IFERROR(VLOOKUP(J$2,Rango_Admin_DailyPred,MATCH($F43,Rango_Admin_DailyPred_Primera,0),0),"-")</f>
        <v>Germany</v>
      </c>
      <c r="K43" s="429" t="str">
        <f ca="1">IFERROR(VLOOKUP(K$2,Rango_Admin_DailyPred,MATCH($F43,Rango_Admin_DailyPred_Primera,0),0),"-")</f>
        <v>Portugal</v>
      </c>
      <c r="L43" s="429" t="str">
        <f ca="1">IFERROR(VLOOKUP(L$2,Rango_Admin_DailyPred,MATCH($F43,Rango_Admin_DailyPred_Primera,0),0),"-")</f>
        <v>wirtz</v>
      </c>
      <c r="M43" s="429" t="str">
        <f ca="1">IFERROR(VLOOKUP(M$2,Rango_Admin_DailyPred,MATCH($F43,Rango_Admin_DailyPred_Primera,0),0),"-")</f>
        <v>vinicius</v>
      </c>
      <c r="N43" s="429" t="str">
        <f ca="1">IFERROR(VLOOKUP(N$2,Rango_Admin_DailyPred,MATCH($F43,Rango_Admin_DailyPred_Primera,0),0),"-")</f>
        <v>mbappe</v>
      </c>
      <c r="O43" s="429" t="str">
        <f ca="1">IFERROR(VLOOKUP(O$2,Rango_Admin_DailyPred,MATCH($F43,Rango_Admin_DailyPred_Primera,0),0),"-")</f>
        <v xml:space="preserve">olise </v>
      </c>
      <c r="P43" s="429" t="str">
        <f ca="1">IFERROR(VLOOKUP(P$2,Rango_Admin_DailyPred,MATCH($F43,Rango_Admin_DailyPred_Primera,0),0),"-")</f>
        <v>wirtz</v>
      </c>
      <c r="Q43" s="429" t="str">
        <f ca="1">IFERROR(VLOOKUP(Q$2,Rango_Admin_DailyPred,MATCH($F43,Rango_Admin_DailyPred_Primera,0),0),"-")</f>
        <v>Mbappé</v>
      </c>
      <c r="R43" s="429" t="str">
        <f ca="1">IFERROR(VLOOKUP(R$2,Rango_Admin_DailyPred,MATCH($F43,Rango_Admin_DailyPred_Primera,0),0),"-")</f>
        <v>-</v>
      </c>
      <c r="S43" s="429" t="str">
        <f ca="1">IFERROR(VLOOKUP(S$2,Rango_Admin_DailyPred,MATCH($F43,Rango_Admin_DailyPred_Primera,0),0),"-")</f>
        <v>-</v>
      </c>
      <c r="T43" s="429" t="str">
        <f ca="1">IFERROR(VLOOKUP(T$2,Rango_Admin_DailyPred,MATCH($F43,Rango_Admin_DailyPred_Primera,0),0),"-")</f>
        <v>-</v>
      </c>
      <c r="U43" s="429" t="str">
        <f ca="1">IFERROR(VLOOKUP(U$2,Rango_Admin_DailyPred,MATCH($F43,Rango_Admin_DailyPred_Primera,0),0),"-")</f>
        <v>-</v>
      </c>
      <c r="V43" s="429" t="str">
        <f ca="1">IFERROR(VLOOKUP(V$2,Rango_Admin_DailyPred,MATCH($F43,Rango_Admin_DailyPred_Primera,0),0),"-")</f>
        <v>-</v>
      </c>
      <c r="W43" s="429" t="str">
        <f ca="1">IFERROR(VLOOKUP(W$2,Rango_Admin_DailyPred,MATCH($F43,Rango_Admin_DailyPred_Primera,0),0),"-")</f>
        <v>-</v>
      </c>
      <c r="X43" s="429" t="str">
        <f ca="1">IFERROR(VLOOKUP(X$2,Rango_Admin_DailyPred,MATCH($F43,Rango_Admin_DailyPred_Primera,0),0),"-")</f>
        <v>-</v>
      </c>
      <c r="Y43" s="429" t="str">
        <f ca="1">IFERROR(VLOOKUP(Y$2,Rango_Admin_DailyPred,MATCH($F43,Rango_Admin_DailyPred_Primera,0),0),"-")</f>
        <v>-</v>
      </c>
      <c r="Z43" s="429" t="str">
        <f ca="1">IFERROR(VLOOKUP(Z$2,Rango_Admin_DailyPred,MATCH($F43,Rango_Admin_DailyPred_Primera,0),0),"-")</f>
        <v>-</v>
      </c>
      <c r="AA43" s="429" t="str">
        <f ca="1">IFERROR(VLOOKUP(AA$2,Rango_Admin_DailyPred,MATCH($F43,Rango_Admin_DailyPred_Primera,0),0),"-")</f>
        <v>-</v>
      </c>
      <c r="AB43" s="429" t="str">
        <f ca="1">IFERROR(VLOOKUP(AB$2,Rango_Admin_DailyPred,MATCH($F43,Rango_Admin_DailyPred_Primera,0),0),"-")</f>
        <v>-</v>
      </c>
      <c r="AC43" s="429" t="str">
        <f ca="1">IFERROR(VLOOKUP(AC$2,Rango_Admin_DailyPred,MATCH($F43,Rango_Admin_DailyPred_Primera,0),0),"-")</f>
        <v>-</v>
      </c>
      <c r="AD43" s="429" t="str">
        <f ca="1">IFERROR(VLOOKUP(AD$2,Rango_Admin_DailyPred,MATCH($F43,Rango_Admin_DailyPred_Primera,0),0),"-")</f>
        <v>-</v>
      </c>
      <c r="AE43" s="429" t="str">
        <f ca="1">IFERROR(VLOOKUP(AE$2,Rango_Admin_DailyPred,MATCH($F43,Rango_Admin_DailyPred_Primera,0),0),"-")</f>
        <v>-</v>
      </c>
      <c r="AF43" s="429" t="str">
        <f ca="1">IFERROR(VLOOKUP(AF$2,Rango_Admin_DailyPred,MATCH($F43,Rango_Admin_DailyPred_Primera,0),0),"-")</f>
        <v>-</v>
      </c>
      <c r="AG43" s="429" t="str">
        <f ca="1">IFERROR(VLOOKUP(AG$2,Rango_Admin_DailyPred,MATCH($F43,Rango_Admin_DailyPred_Primera,0),0),"-")</f>
        <v>-</v>
      </c>
      <c r="AH43" s="429" t="str">
        <f ca="1">IFERROR(VLOOKUP(AH$2,Rango_Admin_DailyPred,MATCH($F43,Rango_Admin_DailyPred_Primera,0),0),"-")</f>
        <v>-</v>
      </c>
      <c r="AI43" s="429" t="str">
        <f ca="1">IFERROR(VLOOKUP(AI$2,Rango_Admin_DailyPred,MATCH($F43,Rango_Admin_DailyPred_Primera,0),0),"-")</f>
        <v>-</v>
      </c>
      <c r="AJ43" s="429" t="str">
        <f ca="1">IFERROR(VLOOKUP(AJ$2,Rango_Admin_DailyPred,MATCH($F43,Rango_Admin_DailyPred_Primera,0),0),"-")</f>
        <v>-</v>
      </c>
      <c r="AK43" s="429" t="str">
        <f ca="1">IFERROR(VLOOKUP(AK$2,Rango_Admin_DailyPred,MATCH($F43,Rango_Admin_DailyPred_Primera,0),0),"-")</f>
        <v>-</v>
      </c>
      <c r="AL43" s="429" t="str">
        <f ca="1">IFERROR(VLOOKUP(AL$2,Rango_Admin_DailyPred,MATCH($F43,Rango_Admin_DailyPred_Primera,0),0),"-")</f>
        <v>-</v>
      </c>
      <c r="AM43" s="297"/>
      <c r="AN43" s="297"/>
      <c r="AO43" s="297"/>
    </row>
    <row r="44" spans="1:41">
      <c r="E44" s="19">
        <f t="shared" si="1"/>
        <v>129</v>
      </c>
      <c r="F44" s="448" t="str" cm="1">
        <f t="array" ref="F44">IFERROR(INDEX(Rango_Admin_DailyPred_Primera,1,E44),"-")</f>
        <v>Roel Westerveld</v>
      </c>
      <c r="G44" s="429" t="str">
        <f ca="1">IFERROR(VLOOKUP(G$2,Rango_Admin_DailyPred,MATCH($F44,Rango_Admin_DailyPred_Primera,0),0),"-")</f>
        <v>France-England·2|1-2</v>
      </c>
      <c r="H44" s="429" t="str">
        <f ca="1">IFERROR(VLOOKUP(H$2,Rango_Admin_DailyPred,MATCH($F44,Rango_Admin_DailyPred_Primera,0),0),"-")</f>
        <v>Spain-Portugal·1|2-1</v>
      </c>
      <c r="I44" s="429" t="str">
        <f ca="1">IFERROR(VLOOKUP(I$2,Rango_Admin_DailyPred,MATCH($F44,Rango_Admin_DailyPred_Primera,0),0),"-")</f>
        <v>Spain</v>
      </c>
      <c r="J44" s="429" t="str">
        <f ca="1">IFERROR(VLOOKUP(J$2,Rango_Admin_DailyPred,MATCH($F44,Rango_Admin_DailyPred_Primera,0),0),"-")</f>
        <v>Portugal</v>
      </c>
      <c r="K44" s="429" t="str">
        <f ca="1">IFERROR(VLOOKUP(K$2,Rango_Admin_DailyPred,MATCH($F44,Rango_Admin_DailyPred_Primera,0),0),"-")</f>
        <v>England</v>
      </c>
      <c r="L44" s="429" t="str">
        <f ca="1">IFERROR(VLOOKUP(L$2,Rango_Admin_DailyPred,MATCH($F44,Rango_Admin_DailyPred_Primera,0),0),"-")</f>
        <v>Mbappé</v>
      </c>
      <c r="M44" s="429" t="str">
        <f ca="1">IFERROR(VLOOKUP(M$2,Rango_Admin_DailyPred,MATCH($F44,Rango_Admin_DailyPred_Primera,0),0),"-")</f>
        <v>Kane</v>
      </c>
      <c r="N44" s="429" t="str">
        <f ca="1">IFERROR(VLOOKUP(N$2,Rango_Admin_DailyPred,MATCH($F44,Rango_Admin_DailyPred_Primera,0),0),"-")</f>
        <v>Ronaldo</v>
      </c>
      <c r="O44" s="429" t="str">
        <f ca="1">IFERROR(VLOOKUP(O$2,Rango_Admin_DailyPred,MATCH($F44,Rango_Admin_DailyPred_Primera,0),0),"-")</f>
        <v>Mbappe</v>
      </c>
      <c r="P44" s="429" t="str">
        <f ca="1">IFERROR(VLOOKUP(P$2,Rango_Admin_DailyPred,MATCH($F44,Rango_Admin_DailyPred_Primera,0),0),"-")</f>
        <v>Yamal</v>
      </c>
      <c r="Q44" s="429" t="str">
        <f ca="1">IFERROR(VLOOKUP(Q$2,Rango_Admin_DailyPred,MATCH($F44,Rango_Admin_DailyPred_Primera,0),0),"-")</f>
        <v>Kane</v>
      </c>
      <c r="R44" s="429" t="str">
        <f ca="1">IFERROR(VLOOKUP(R$2,Rango_Admin_DailyPred,MATCH($F44,Rango_Admin_DailyPred_Primera,0),0),"-")</f>
        <v>-</v>
      </c>
      <c r="S44" s="429" t="str">
        <f ca="1">IFERROR(VLOOKUP(S$2,Rango_Admin_DailyPred,MATCH($F44,Rango_Admin_DailyPred_Primera,0),0),"-")</f>
        <v>-</v>
      </c>
      <c r="T44" s="429" t="str">
        <f ca="1">IFERROR(VLOOKUP(T$2,Rango_Admin_DailyPred,MATCH($F44,Rango_Admin_DailyPred_Primera,0),0),"-")</f>
        <v>-</v>
      </c>
      <c r="U44" s="429" t="str">
        <f ca="1">IFERROR(VLOOKUP(U$2,Rango_Admin_DailyPred,MATCH($F44,Rango_Admin_DailyPred_Primera,0),0),"-")</f>
        <v>-</v>
      </c>
      <c r="V44" s="429" t="str">
        <f ca="1">IFERROR(VLOOKUP(V$2,Rango_Admin_DailyPred,MATCH($F44,Rango_Admin_DailyPred_Primera,0),0),"-")</f>
        <v>-</v>
      </c>
      <c r="W44" s="429" t="str">
        <f ca="1">IFERROR(VLOOKUP(W$2,Rango_Admin_DailyPred,MATCH($F44,Rango_Admin_DailyPred_Primera,0),0),"-")</f>
        <v>-</v>
      </c>
      <c r="X44" s="429" t="str">
        <f ca="1">IFERROR(VLOOKUP(X$2,Rango_Admin_DailyPred,MATCH($F44,Rango_Admin_DailyPred_Primera,0),0),"-")</f>
        <v>-</v>
      </c>
      <c r="Y44" s="429" t="str">
        <f ca="1">IFERROR(VLOOKUP(Y$2,Rango_Admin_DailyPred,MATCH($F44,Rango_Admin_DailyPred_Primera,0),0),"-")</f>
        <v>-</v>
      </c>
      <c r="Z44" s="429" t="str">
        <f ca="1">IFERROR(VLOOKUP(Z$2,Rango_Admin_DailyPred,MATCH($F44,Rango_Admin_DailyPred_Primera,0),0),"-")</f>
        <v>-</v>
      </c>
      <c r="AA44" s="429" t="str">
        <f ca="1">IFERROR(VLOOKUP(AA$2,Rango_Admin_DailyPred,MATCH($F44,Rango_Admin_DailyPred_Primera,0),0),"-")</f>
        <v>-</v>
      </c>
      <c r="AB44" s="429" t="str">
        <f ca="1">IFERROR(VLOOKUP(AB$2,Rango_Admin_DailyPred,MATCH($F44,Rango_Admin_DailyPred_Primera,0),0),"-")</f>
        <v>-</v>
      </c>
      <c r="AC44" s="429" t="str">
        <f ca="1">IFERROR(VLOOKUP(AC$2,Rango_Admin_DailyPred,MATCH($F44,Rango_Admin_DailyPred_Primera,0),0),"-")</f>
        <v>-</v>
      </c>
      <c r="AD44" s="429" t="str">
        <f ca="1">IFERROR(VLOOKUP(AD$2,Rango_Admin_DailyPred,MATCH($F44,Rango_Admin_DailyPred_Primera,0),0),"-")</f>
        <v>-</v>
      </c>
      <c r="AE44" s="429" t="str">
        <f ca="1">IFERROR(VLOOKUP(AE$2,Rango_Admin_DailyPred,MATCH($F44,Rango_Admin_DailyPred_Primera,0),0),"-")</f>
        <v>-</v>
      </c>
      <c r="AF44" s="429" t="str">
        <f ca="1">IFERROR(VLOOKUP(AF$2,Rango_Admin_DailyPred,MATCH($F44,Rango_Admin_DailyPred_Primera,0),0),"-")</f>
        <v>-</v>
      </c>
      <c r="AG44" s="429" t="str">
        <f ca="1">IFERROR(VLOOKUP(AG$2,Rango_Admin_DailyPred,MATCH($F44,Rango_Admin_DailyPred_Primera,0),0),"-")</f>
        <v>-</v>
      </c>
      <c r="AH44" s="429" t="str">
        <f ca="1">IFERROR(VLOOKUP(AH$2,Rango_Admin_DailyPred,MATCH($F44,Rango_Admin_DailyPred_Primera,0),0),"-")</f>
        <v>-</v>
      </c>
      <c r="AI44" s="429" t="str">
        <f ca="1">IFERROR(VLOOKUP(AI$2,Rango_Admin_DailyPred,MATCH($F44,Rango_Admin_DailyPred_Primera,0),0),"-")</f>
        <v>-</v>
      </c>
      <c r="AJ44" s="429" t="str">
        <f ca="1">IFERROR(VLOOKUP(AJ$2,Rango_Admin_DailyPred,MATCH($F44,Rango_Admin_DailyPred_Primera,0),0),"-")</f>
        <v>-</v>
      </c>
      <c r="AK44" s="429" t="str">
        <f ca="1">IFERROR(VLOOKUP(AK$2,Rango_Admin_DailyPred,MATCH($F44,Rango_Admin_DailyPred_Primera,0),0),"-")</f>
        <v>-</v>
      </c>
      <c r="AL44" s="429" t="str">
        <f ca="1">IFERROR(VLOOKUP(AL$2,Rango_Admin_DailyPred,MATCH($F44,Rango_Admin_DailyPred_Primera,0),0),"-")</f>
        <v>-</v>
      </c>
      <c r="AM44" s="297"/>
      <c r="AN44" s="297"/>
      <c r="AO44" s="297"/>
    </row>
    <row r="45" spans="1:41">
      <c r="E45" s="19">
        <f t="shared" si="1"/>
        <v>132</v>
      </c>
      <c r="F45" s="448" t="str" cm="1">
        <f t="array" ref="F45">IFERROR(INDEX(Rango_Admin_DailyPred_Primera,1,E45),"-")</f>
        <v>Martijn Nijmeijer</v>
      </c>
      <c r="G45" s="429" t="str">
        <f ca="1">IFERROR(VLOOKUP(G$2,Rango_Admin_DailyPred,MATCH($F45,Rango_Admin_DailyPred_Primera,0),0),"-")</f>
        <v>France-England·1|2-1</v>
      </c>
      <c r="H45" s="429" t="str">
        <f ca="1">IFERROR(VLOOKUP(H$2,Rango_Admin_DailyPred,MATCH($F45,Rango_Admin_DailyPred_Primera,0),0),"-")</f>
        <v>Spain-Portugal·1|1-0</v>
      </c>
      <c r="I45" s="429" t="str">
        <f ca="1">IFERROR(VLOOKUP(I$2,Rango_Admin_DailyPred,MATCH($F45,Rango_Admin_DailyPred_Primera,0),0),"-")</f>
        <v>Spain</v>
      </c>
      <c r="J45" s="429" t="str">
        <f ca="1">IFERROR(VLOOKUP(J$2,Rango_Admin_DailyPred,MATCH($F45,Rango_Admin_DailyPred_Primera,0),0),"-")</f>
        <v>Portugal</v>
      </c>
      <c r="K45" s="429" t="str">
        <f ca="1">IFERROR(VLOOKUP(K$2,Rango_Admin_DailyPred,MATCH($F45,Rango_Admin_DailyPred_Primera,0),0),"-")</f>
        <v>France</v>
      </c>
      <c r="L45" s="429" t="str">
        <f ca="1">IFERROR(VLOOKUP(L$2,Rango_Admin_DailyPred,MATCH($F45,Rango_Admin_DailyPred_Primera,0),0),"-")</f>
        <v>Mbappé</v>
      </c>
      <c r="M45" s="429" t="str">
        <f ca="1">IFERROR(VLOOKUP(M$2,Rango_Admin_DailyPred,MATCH($F45,Rango_Admin_DailyPred_Primera,0),0),"-")</f>
        <v>Mikel Oyarzabal</v>
      </c>
      <c r="N45" s="429" t="str">
        <f ca="1">IFERROR(VLOOKUP(N$2,Rango_Admin_DailyPred,MATCH($F45,Rango_Admin_DailyPred_Primera,0),0),"-")</f>
        <v>Harry Kane</v>
      </c>
      <c r="O45" s="429" t="str">
        <f ca="1">IFERROR(VLOOKUP(O$2,Rango_Admin_DailyPred,MATCH($F45,Rango_Admin_DailyPred_Primera,0),0),"-")</f>
        <v>Lamine Yamal</v>
      </c>
      <c r="P45" s="429" t="str">
        <f ca="1">IFERROR(VLOOKUP(P$2,Rango_Admin_DailyPred,MATCH($F45,Rango_Admin_DailyPred_Primera,0),0),"-")</f>
        <v>Messi</v>
      </c>
      <c r="Q45" s="429" t="str">
        <f ca="1">IFERROR(VLOOKUP(Q$2,Rango_Admin_DailyPred,MATCH($F45,Rango_Admin_DailyPred_Primera,0),0),"-")</f>
        <v>Mbappé</v>
      </c>
      <c r="R45" s="429" t="str">
        <f ca="1">IFERROR(VLOOKUP(R$2,Rango_Admin_DailyPred,MATCH($F45,Rango_Admin_DailyPred_Primera,0),0),"-")</f>
        <v>-</v>
      </c>
      <c r="S45" s="429" t="str">
        <f ca="1">IFERROR(VLOOKUP(S$2,Rango_Admin_DailyPred,MATCH($F45,Rango_Admin_DailyPred_Primera,0),0),"-")</f>
        <v>-</v>
      </c>
      <c r="T45" s="429" t="str">
        <f ca="1">IFERROR(VLOOKUP(T$2,Rango_Admin_DailyPred,MATCH($F45,Rango_Admin_DailyPred_Primera,0),0),"-")</f>
        <v>-</v>
      </c>
      <c r="U45" s="429" t="str">
        <f ca="1">IFERROR(VLOOKUP(U$2,Rango_Admin_DailyPred,MATCH($F45,Rango_Admin_DailyPred_Primera,0),0),"-")</f>
        <v>-</v>
      </c>
      <c r="V45" s="429" t="str">
        <f ca="1">IFERROR(VLOOKUP(V$2,Rango_Admin_DailyPred,MATCH($F45,Rango_Admin_DailyPred_Primera,0),0),"-")</f>
        <v>-</v>
      </c>
      <c r="W45" s="429" t="str">
        <f ca="1">IFERROR(VLOOKUP(W$2,Rango_Admin_DailyPred,MATCH($F45,Rango_Admin_DailyPred_Primera,0),0),"-")</f>
        <v>-</v>
      </c>
      <c r="X45" s="429" t="str">
        <f ca="1">IFERROR(VLOOKUP(X$2,Rango_Admin_DailyPred,MATCH($F45,Rango_Admin_DailyPred_Primera,0),0),"-")</f>
        <v>-</v>
      </c>
      <c r="Y45" s="429" t="str">
        <f ca="1">IFERROR(VLOOKUP(Y$2,Rango_Admin_DailyPred,MATCH($F45,Rango_Admin_DailyPred_Primera,0),0),"-")</f>
        <v>-</v>
      </c>
      <c r="Z45" s="429" t="str">
        <f ca="1">IFERROR(VLOOKUP(Z$2,Rango_Admin_DailyPred,MATCH($F45,Rango_Admin_DailyPred_Primera,0),0),"-")</f>
        <v>-</v>
      </c>
      <c r="AA45" s="429" t="str">
        <f ca="1">IFERROR(VLOOKUP(AA$2,Rango_Admin_DailyPred,MATCH($F45,Rango_Admin_DailyPred_Primera,0),0),"-")</f>
        <v>-</v>
      </c>
      <c r="AB45" s="429" t="str">
        <f ca="1">IFERROR(VLOOKUP(AB$2,Rango_Admin_DailyPred,MATCH($F45,Rango_Admin_DailyPred_Primera,0),0),"-")</f>
        <v>-</v>
      </c>
      <c r="AC45" s="429" t="str">
        <f ca="1">IFERROR(VLOOKUP(AC$2,Rango_Admin_DailyPred,MATCH($F45,Rango_Admin_DailyPred_Primera,0),0),"-")</f>
        <v>-</v>
      </c>
      <c r="AD45" s="429" t="str">
        <f ca="1">IFERROR(VLOOKUP(AD$2,Rango_Admin_DailyPred,MATCH($F45,Rango_Admin_DailyPred_Primera,0),0),"-")</f>
        <v>-</v>
      </c>
      <c r="AE45" s="429" t="str">
        <f ca="1">IFERROR(VLOOKUP(AE$2,Rango_Admin_DailyPred,MATCH($F45,Rango_Admin_DailyPred_Primera,0),0),"-")</f>
        <v>-</v>
      </c>
      <c r="AF45" s="429" t="str">
        <f ca="1">IFERROR(VLOOKUP(AF$2,Rango_Admin_DailyPred,MATCH($F45,Rango_Admin_DailyPred_Primera,0),0),"-")</f>
        <v>-</v>
      </c>
      <c r="AG45" s="429" t="str">
        <f ca="1">IFERROR(VLOOKUP(AG$2,Rango_Admin_DailyPred,MATCH($F45,Rango_Admin_DailyPred_Primera,0),0),"-")</f>
        <v>-</v>
      </c>
      <c r="AH45" s="429" t="str">
        <f ca="1">IFERROR(VLOOKUP(AH$2,Rango_Admin_DailyPred,MATCH($F45,Rango_Admin_DailyPred_Primera,0),0),"-")</f>
        <v>-</v>
      </c>
      <c r="AI45" s="429" t="str">
        <f ca="1">IFERROR(VLOOKUP(AI$2,Rango_Admin_DailyPred,MATCH($F45,Rango_Admin_DailyPred_Primera,0),0),"-")</f>
        <v>-</v>
      </c>
      <c r="AJ45" s="429" t="str">
        <f ca="1">IFERROR(VLOOKUP(AJ$2,Rango_Admin_DailyPred,MATCH($F45,Rango_Admin_DailyPred_Primera,0),0),"-")</f>
        <v>-</v>
      </c>
      <c r="AK45" s="429" t="str">
        <f ca="1">IFERROR(VLOOKUP(AK$2,Rango_Admin_DailyPred,MATCH($F45,Rango_Admin_DailyPred_Primera,0),0),"-")</f>
        <v>-</v>
      </c>
      <c r="AL45" s="429" t="str">
        <f ca="1">IFERROR(VLOOKUP(AL$2,Rango_Admin_DailyPred,MATCH($F45,Rango_Admin_DailyPred_Primera,0),0),"-")</f>
        <v>-</v>
      </c>
      <c r="AM45" s="297"/>
      <c r="AN45" s="297"/>
      <c r="AO45" s="297"/>
    </row>
    <row r="46" spans="1:41">
      <c r="E46" s="19">
        <f t="shared" si="1"/>
        <v>135</v>
      </c>
      <c r="F46" s="448" t="str" cm="1">
        <f t="array" ref="F46">IFERROR(INDEX(Rango_Admin_DailyPred_Primera,1,E46),"-")</f>
        <v>Mandy Reijntjes</v>
      </c>
      <c r="G46" s="429" t="str">
        <f ca="1">IFERROR(VLOOKUP(G$2,Rango_Admin_DailyPred,MATCH($F46,Rango_Admin_DailyPred_Primera,0),0),"-")</f>
        <v>Spain-Portugal·1|1-0</v>
      </c>
      <c r="H46" s="429" t="str">
        <f ca="1">IFERROR(VLOOKUP(H$2,Rango_Admin_DailyPred,MATCH($F46,Rango_Admin_DailyPred_Primera,0),0),"-")</f>
        <v>France-England·1|1-0</v>
      </c>
      <c r="I46" s="429" t="str">
        <f ca="1">IFERROR(VLOOKUP(I$2,Rango_Admin_DailyPred,MATCH($F46,Rango_Admin_DailyPred_Primera,0),0),"-")</f>
        <v>France</v>
      </c>
      <c r="J46" s="429" t="str">
        <f ca="1">IFERROR(VLOOKUP(J$2,Rango_Admin_DailyPred,MATCH($F46,Rango_Admin_DailyPred_Primera,0),0),"-")</f>
        <v>England</v>
      </c>
      <c r="K46" s="429" t="str">
        <f ca="1">IFERROR(VLOOKUP(K$2,Rango_Admin_DailyPred,MATCH($F46,Rango_Admin_DailyPred_Primera,0),0),"-")</f>
        <v>Spain</v>
      </c>
      <c r="L46" s="429" t="str">
        <f ca="1">IFERROR(VLOOKUP(L$2,Rango_Admin_DailyPred,MATCH($F46,Rango_Admin_DailyPred_Primera,0),0),"-")</f>
        <v>Mbappé</v>
      </c>
      <c r="M46" s="429" t="str">
        <f ca="1">IFERROR(VLOOKUP(M$2,Rango_Admin_DailyPred,MATCH($F46,Rango_Admin_DailyPred_Primera,0),0),"-")</f>
        <v>Harry Kane</v>
      </c>
      <c r="N46" s="429" t="str">
        <f ca="1">IFERROR(VLOOKUP(N$2,Rango_Admin_DailyPred,MATCH($F46,Rango_Admin_DailyPred_Primera,0),0),"-")</f>
        <v>Mikel Oyarzabal</v>
      </c>
      <c r="O46" s="429" t="str">
        <f ca="1">IFERROR(VLOOKUP(O$2,Rango_Admin_DailyPred,MATCH($F46,Rango_Admin_DailyPred_Primera,0),0),"-")</f>
        <v>Lionel Messi</v>
      </c>
      <c r="P46" s="429" t="str">
        <f ca="1">IFERROR(VLOOKUP(P$2,Rango_Admin_DailyPred,MATCH($F46,Rango_Admin_DailyPred_Primera,0),0),"-")</f>
        <v>Cristiano Ronaldo</v>
      </c>
      <c r="Q46" s="429" t="str">
        <f ca="1">IFERROR(VLOOKUP(Q$2,Rango_Admin_DailyPred,MATCH($F46,Rango_Admin_DailyPred_Primera,0),0),"-")</f>
        <v>Neymar</v>
      </c>
      <c r="R46" s="429" t="str">
        <f ca="1">IFERROR(VLOOKUP(R$2,Rango_Admin_DailyPred,MATCH($F46,Rango_Admin_DailyPred_Primera,0),0),"-")</f>
        <v>-</v>
      </c>
      <c r="S46" s="429" t="str">
        <f ca="1">IFERROR(VLOOKUP(S$2,Rango_Admin_DailyPred,MATCH($F46,Rango_Admin_DailyPred_Primera,0),0),"-")</f>
        <v>-</v>
      </c>
      <c r="T46" s="429" t="str">
        <f ca="1">IFERROR(VLOOKUP(T$2,Rango_Admin_DailyPred,MATCH($F46,Rango_Admin_DailyPred_Primera,0),0),"-")</f>
        <v>-</v>
      </c>
      <c r="U46" s="429" t="str">
        <f ca="1">IFERROR(VLOOKUP(U$2,Rango_Admin_DailyPred,MATCH($F46,Rango_Admin_DailyPred_Primera,0),0),"-")</f>
        <v>-</v>
      </c>
      <c r="V46" s="429" t="str">
        <f ca="1">IFERROR(VLOOKUP(V$2,Rango_Admin_DailyPred,MATCH($F46,Rango_Admin_DailyPred_Primera,0),0),"-")</f>
        <v>-</v>
      </c>
      <c r="W46" s="429" t="str">
        <f ca="1">IFERROR(VLOOKUP(W$2,Rango_Admin_DailyPred,MATCH($F46,Rango_Admin_DailyPred_Primera,0),0),"-")</f>
        <v>-</v>
      </c>
      <c r="X46" s="429" t="str">
        <f ca="1">IFERROR(VLOOKUP(X$2,Rango_Admin_DailyPred,MATCH($F46,Rango_Admin_DailyPred_Primera,0),0),"-")</f>
        <v>-</v>
      </c>
      <c r="Y46" s="429" t="str">
        <f ca="1">IFERROR(VLOOKUP(Y$2,Rango_Admin_DailyPred,MATCH($F46,Rango_Admin_DailyPred_Primera,0),0),"-")</f>
        <v>-</v>
      </c>
      <c r="Z46" s="429" t="str">
        <f ca="1">IFERROR(VLOOKUP(Z$2,Rango_Admin_DailyPred,MATCH($F46,Rango_Admin_DailyPred_Primera,0),0),"-")</f>
        <v>-</v>
      </c>
      <c r="AA46" s="429" t="str">
        <f ca="1">IFERROR(VLOOKUP(AA$2,Rango_Admin_DailyPred,MATCH($F46,Rango_Admin_DailyPred_Primera,0),0),"-")</f>
        <v>-</v>
      </c>
      <c r="AB46" s="429" t="str">
        <f ca="1">IFERROR(VLOOKUP(AB$2,Rango_Admin_DailyPred,MATCH($F46,Rango_Admin_DailyPred_Primera,0),0),"-")</f>
        <v>-</v>
      </c>
      <c r="AC46" s="429" t="str">
        <f ca="1">IFERROR(VLOOKUP(AC$2,Rango_Admin_DailyPred,MATCH($F46,Rango_Admin_DailyPred_Primera,0),0),"-")</f>
        <v>-</v>
      </c>
      <c r="AD46" s="429" t="str">
        <f ca="1">IFERROR(VLOOKUP(AD$2,Rango_Admin_DailyPred,MATCH($F46,Rango_Admin_DailyPred_Primera,0),0),"-")</f>
        <v>-</v>
      </c>
      <c r="AE46" s="429" t="str">
        <f ca="1">IFERROR(VLOOKUP(AE$2,Rango_Admin_DailyPred,MATCH($F46,Rango_Admin_DailyPred_Primera,0),0),"-")</f>
        <v>-</v>
      </c>
      <c r="AF46" s="429" t="str">
        <f ca="1">IFERROR(VLOOKUP(AF$2,Rango_Admin_DailyPred,MATCH($F46,Rango_Admin_DailyPred_Primera,0),0),"-")</f>
        <v>-</v>
      </c>
      <c r="AG46" s="429" t="str">
        <f ca="1">IFERROR(VLOOKUP(AG$2,Rango_Admin_DailyPred,MATCH($F46,Rango_Admin_DailyPred_Primera,0),0),"-")</f>
        <v>-</v>
      </c>
      <c r="AH46" s="429" t="str">
        <f ca="1">IFERROR(VLOOKUP(AH$2,Rango_Admin_DailyPred,MATCH($F46,Rango_Admin_DailyPred_Primera,0),0),"-")</f>
        <v>-</v>
      </c>
      <c r="AI46" s="429" t="str">
        <f ca="1">IFERROR(VLOOKUP(AI$2,Rango_Admin_DailyPred,MATCH($F46,Rango_Admin_DailyPred_Primera,0),0),"-")</f>
        <v>-</v>
      </c>
      <c r="AJ46" s="429" t="str">
        <f ca="1">IFERROR(VLOOKUP(AJ$2,Rango_Admin_DailyPred,MATCH($F46,Rango_Admin_DailyPred_Primera,0),0),"-")</f>
        <v>-</v>
      </c>
      <c r="AK46" s="429" t="str">
        <f ca="1">IFERROR(VLOOKUP(AK$2,Rango_Admin_DailyPred,MATCH($F46,Rango_Admin_DailyPred_Primera,0),0),"-")</f>
        <v>-</v>
      </c>
      <c r="AL46" s="429" t="str">
        <f ca="1">IFERROR(VLOOKUP(AL$2,Rango_Admin_DailyPred,MATCH($F46,Rango_Admin_DailyPred_Primera,0),0),"-")</f>
        <v>-</v>
      </c>
      <c r="AM46" s="297"/>
      <c r="AN46" s="297"/>
      <c r="AO46" s="297"/>
    </row>
    <row r="47" spans="1:41">
      <c r="E47" s="19">
        <f t="shared" si="1"/>
        <v>138</v>
      </c>
      <c r="F47" s="448" t="str" cm="1">
        <f t="array" ref="F47">IFERROR(INDEX(Rango_Admin_DailyPred_Primera,1,E47),"-")</f>
        <v>Evelien ten Thije</v>
      </c>
      <c r="G47" s="429" t="str">
        <f ca="1">IFERROR(VLOOKUP(G$2,Rango_Admin_DailyPred,MATCH($F47,Rango_Admin_DailyPred_Primera,0),0),"-")</f>
        <v>France-Brazil·1|1-0</v>
      </c>
      <c r="H47" s="429" t="str">
        <f ca="1">IFERROR(VLOOKUP(H$2,Rango_Admin_DailyPred,MATCH($F47,Rango_Admin_DailyPred_Primera,0),0),"-")</f>
        <v>Spain-Argentina·1|1-0</v>
      </c>
      <c r="I47" s="429" t="str">
        <f ca="1">IFERROR(VLOOKUP(I$2,Rango_Admin_DailyPred,MATCH($F47,Rango_Admin_DailyPred_Primera,0),0),"-")</f>
        <v>Spain</v>
      </c>
      <c r="J47" s="429" t="str">
        <f ca="1">IFERROR(VLOOKUP(J$2,Rango_Admin_DailyPred,MATCH($F47,Rango_Admin_DailyPred_Primera,0),0),"-")</f>
        <v>Argentina</v>
      </c>
      <c r="K47" s="429" t="str">
        <f ca="1">IFERROR(VLOOKUP(K$2,Rango_Admin_DailyPred,MATCH($F47,Rango_Admin_DailyPred_Primera,0),0),"-")</f>
        <v>France</v>
      </c>
      <c r="L47" s="429" t="str">
        <f ca="1">IFERROR(VLOOKUP(L$2,Rango_Admin_DailyPred,MATCH($F47,Rango_Admin_DailyPred_Primera,0),0),"-")</f>
        <v>Harry Kane</v>
      </c>
      <c r="M47" s="429" t="str">
        <f ca="1">IFERROR(VLOOKUP(M$2,Rango_Admin_DailyPred,MATCH($F47,Rango_Admin_DailyPred_Primera,0),0),"-")</f>
        <v>Kylian Mbappe</v>
      </c>
      <c r="N47" s="429" t="str">
        <f ca="1">IFERROR(VLOOKUP(N$2,Rango_Admin_DailyPred,MATCH($F47,Rango_Admin_DailyPred_Primera,0),0),"-")</f>
        <v>Mikel Oyarabal</v>
      </c>
      <c r="O47" s="429" t="str">
        <f ca="1">IFERROR(VLOOKUP(O$2,Rango_Admin_DailyPred,MATCH($F47,Rango_Admin_DailyPred_Primera,0),0),"-")</f>
        <v>Kylian Mbappe</v>
      </c>
      <c r="P47" s="429" t="str">
        <f ca="1">IFERROR(VLOOKUP(P$2,Rango_Admin_DailyPred,MATCH($F47,Rango_Admin_DailyPred_Primera,0),0),"-")</f>
        <v>Messi</v>
      </c>
      <c r="Q47" s="429" t="str">
        <f ca="1">IFERROR(VLOOKUP(Q$2,Rango_Admin_DailyPred,MATCH($F47,Rango_Admin_DailyPred_Primera,0),0),"-")</f>
        <v>Erling Haaland</v>
      </c>
      <c r="R47" s="429" t="str">
        <f ca="1">IFERROR(VLOOKUP(R$2,Rango_Admin_DailyPred,MATCH($F47,Rango_Admin_DailyPred_Primera,0),0),"-")</f>
        <v>-</v>
      </c>
      <c r="S47" s="429" t="str">
        <f ca="1">IFERROR(VLOOKUP(S$2,Rango_Admin_DailyPred,MATCH($F47,Rango_Admin_DailyPred_Primera,0),0),"-")</f>
        <v>-</v>
      </c>
      <c r="T47" s="429" t="str">
        <f ca="1">IFERROR(VLOOKUP(T$2,Rango_Admin_DailyPred,MATCH($F47,Rango_Admin_DailyPred_Primera,0),0),"-")</f>
        <v>-</v>
      </c>
      <c r="U47" s="429" t="str">
        <f ca="1">IFERROR(VLOOKUP(U$2,Rango_Admin_DailyPred,MATCH($F47,Rango_Admin_DailyPred_Primera,0),0),"-")</f>
        <v>-</v>
      </c>
      <c r="V47" s="429" t="str">
        <f ca="1">IFERROR(VLOOKUP(V$2,Rango_Admin_DailyPred,MATCH($F47,Rango_Admin_DailyPred_Primera,0),0),"-")</f>
        <v>-</v>
      </c>
      <c r="W47" s="429" t="str">
        <f ca="1">IFERROR(VLOOKUP(W$2,Rango_Admin_DailyPred,MATCH($F47,Rango_Admin_DailyPred_Primera,0),0),"-")</f>
        <v>-</v>
      </c>
      <c r="X47" s="429" t="str">
        <f ca="1">IFERROR(VLOOKUP(X$2,Rango_Admin_DailyPred,MATCH($F47,Rango_Admin_DailyPred_Primera,0),0),"-")</f>
        <v>-</v>
      </c>
      <c r="Y47" s="429" t="str">
        <f ca="1">IFERROR(VLOOKUP(Y$2,Rango_Admin_DailyPred,MATCH($F47,Rango_Admin_DailyPred_Primera,0),0),"-")</f>
        <v>-</v>
      </c>
      <c r="Z47" s="429" t="str">
        <f ca="1">IFERROR(VLOOKUP(Z$2,Rango_Admin_DailyPred,MATCH($F47,Rango_Admin_DailyPred_Primera,0),0),"-")</f>
        <v>-</v>
      </c>
      <c r="AA47" s="429" t="str">
        <f ca="1">IFERROR(VLOOKUP(AA$2,Rango_Admin_DailyPred,MATCH($F47,Rango_Admin_DailyPred_Primera,0),0),"-")</f>
        <v>-</v>
      </c>
      <c r="AB47" s="429" t="str">
        <f ca="1">IFERROR(VLOOKUP(AB$2,Rango_Admin_DailyPred,MATCH($F47,Rango_Admin_DailyPred_Primera,0),0),"-")</f>
        <v>-</v>
      </c>
      <c r="AC47" s="429" t="str">
        <f ca="1">IFERROR(VLOOKUP(AC$2,Rango_Admin_DailyPred,MATCH($F47,Rango_Admin_DailyPred_Primera,0),0),"-")</f>
        <v>-</v>
      </c>
      <c r="AD47" s="429" t="str">
        <f ca="1">IFERROR(VLOOKUP(AD$2,Rango_Admin_DailyPred,MATCH($F47,Rango_Admin_DailyPred_Primera,0),0),"-")</f>
        <v>-</v>
      </c>
      <c r="AE47" s="429" t="str">
        <f ca="1">IFERROR(VLOOKUP(AE$2,Rango_Admin_DailyPred,MATCH($F47,Rango_Admin_DailyPred_Primera,0),0),"-")</f>
        <v>-</v>
      </c>
      <c r="AF47" s="429" t="str">
        <f ca="1">IFERROR(VLOOKUP(AF$2,Rango_Admin_DailyPred,MATCH($F47,Rango_Admin_DailyPred_Primera,0),0),"-")</f>
        <v>-</v>
      </c>
      <c r="AG47" s="429" t="str">
        <f ca="1">IFERROR(VLOOKUP(AG$2,Rango_Admin_DailyPred,MATCH($F47,Rango_Admin_DailyPred_Primera,0),0),"-")</f>
        <v>-</v>
      </c>
      <c r="AH47" s="429" t="str">
        <f ca="1">IFERROR(VLOOKUP(AH$2,Rango_Admin_DailyPred,MATCH($F47,Rango_Admin_DailyPred_Primera,0),0),"-")</f>
        <v>-</v>
      </c>
      <c r="AI47" s="429" t="str">
        <f ca="1">IFERROR(VLOOKUP(AI$2,Rango_Admin_DailyPred,MATCH($F47,Rango_Admin_DailyPred_Primera,0),0),"-")</f>
        <v>-</v>
      </c>
      <c r="AJ47" s="429" t="str">
        <f ca="1">IFERROR(VLOOKUP(AJ$2,Rango_Admin_DailyPred,MATCH($F47,Rango_Admin_DailyPred_Primera,0),0),"-")</f>
        <v>-</v>
      </c>
      <c r="AK47" s="429" t="str">
        <f ca="1">IFERROR(VLOOKUP(AK$2,Rango_Admin_DailyPred,MATCH($F47,Rango_Admin_DailyPred_Primera,0),0),"-")</f>
        <v>-</v>
      </c>
      <c r="AL47" s="429" t="str">
        <f ca="1">IFERROR(VLOOKUP(AL$2,Rango_Admin_DailyPred,MATCH($F47,Rango_Admin_DailyPred_Primera,0),0),"-")</f>
        <v>-</v>
      </c>
      <c r="AM47" s="297"/>
      <c r="AN47" s="297"/>
      <c r="AO47" s="297"/>
    </row>
    <row r="48" spans="1:41">
      <c r="E48" s="19">
        <f t="shared" si="1"/>
        <v>141</v>
      </c>
      <c r="F48" s="448" t="str" cm="1">
        <f t="array" ref="F48">IFERROR(INDEX(Rango_Admin_DailyPred_Primera,1,E48),"-")</f>
        <v>Rita Vermeer</v>
      </c>
      <c r="G48" s="429" t="str">
        <f ca="1">IFERROR(VLOOKUP(G$2,Rango_Admin_DailyPred,MATCH($F48,Rango_Admin_DailyPred_Primera,0),0),"-")</f>
        <v>Spain-Norway·2|0-1</v>
      </c>
      <c r="H48" s="429" t="str">
        <f ca="1">IFERROR(VLOOKUP(H$2,Rango_Admin_DailyPred,MATCH($F48,Rango_Admin_DailyPred_Primera,0),0),"-")</f>
        <v>France-England·1|1-0</v>
      </c>
      <c r="I48" s="429" t="str">
        <f ca="1">IFERROR(VLOOKUP(I$2,Rango_Admin_DailyPred,MATCH($F48,Rango_Admin_DailyPred_Primera,0),0),"-")</f>
        <v>France</v>
      </c>
      <c r="J48" s="429" t="str">
        <f ca="1">IFERROR(VLOOKUP(J$2,Rango_Admin_DailyPred,MATCH($F48,Rango_Admin_DailyPred_Primera,0),0),"-")</f>
        <v>England</v>
      </c>
      <c r="K48" s="429" t="str">
        <f ca="1">IFERROR(VLOOKUP(K$2,Rango_Admin_DailyPred,MATCH($F48,Rango_Admin_DailyPred_Primera,0),0),"-")</f>
        <v>Norway</v>
      </c>
      <c r="L48" s="429" t="str">
        <f ca="1">IFERROR(VLOOKUP(L$2,Rango_Admin_DailyPred,MATCH($F48,Rango_Admin_DailyPred_Primera,0),0),"-")</f>
        <v xml:space="preserve">oyarzabal </v>
      </c>
      <c r="M48" s="429" t="str">
        <f ca="1">IFERROR(VLOOKUP(M$2,Rango_Admin_DailyPred,MATCH($F48,Rango_Admin_DailyPred_Primera,0),0),"-")</f>
        <v>haaland</v>
      </c>
      <c r="N48" s="429" t="str">
        <f ca="1">IFERROR(VLOOKUP(N$2,Rango_Admin_DailyPred,MATCH($F48,Rango_Admin_DailyPred_Primera,0),0),"-")</f>
        <v>kane</v>
      </c>
      <c r="O48" s="429" t="str">
        <f ca="1">IFERROR(VLOOKUP(O$2,Rango_Admin_DailyPred,MATCH($F48,Rango_Admin_DailyPred_Primera,0),0),"-")</f>
        <v>Erling Haaland</v>
      </c>
      <c r="P48" s="429" t="str">
        <f ca="1">IFERROR(VLOOKUP(P$2,Rango_Admin_DailyPred,MATCH($F48,Rango_Admin_DailyPred_Primera,0),0),"-")</f>
        <v xml:space="preserve">michal olise </v>
      </c>
      <c r="Q48" s="429" t="str">
        <f ca="1">IFERROR(VLOOKUP(Q$2,Rango_Admin_DailyPred,MATCH($F48,Rango_Admin_DailyPred_Primera,0),0),"-")</f>
        <v xml:space="preserve">declan rice </v>
      </c>
      <c r="R48" s="429" t="str">
        <f ca="1">IFERROR(VLOOKUP(R$2,Rango_Admin_DailyPred,MATCH($F48,Rango_Admin_DailyPred_Primera,0),0),"-")</f>
        <v>-</v>
      </c>
      <c r="S48" s="429" t="str">
        <f ca="1">IFERROR(VLOOKUP(S$2,Rango_Admin_DailyPred,MATCH($F48,Rango_Admin_DailyPred_Primera,0),0),"-")</f>
        <v>-</v>
      </c>
      <c r="T48" s="429" t="str">
        <f ca="1">IFERROR(VLOOKUP(T$2,Rango_Admin_DailyPred,MATCH($F48,Rango_Admin_DailyPred_Primera,0),0),"-")</f>
        <v>-</v>
      </c>
      <c r="U48" s="429" t="str">
        <f ca="1">IFERROR(VLOOKUP(U$2,Rango_Admin_DailyPred,MATCH($F48,Rango_Admin_DailyPred_Primera,0),0),"-")</f>
        <v>-</v>
      </c>
      <c r="V48" s="429" t="str">
        <f ca="1">IFERROR(VLOOKUP(V$2,Rango_Admin_DailyPred,MATCH($F48,Rango_Admin_DailyPred_Primera,0),0),"-")</f>
        <v>-</v>
      </c>
      <c r="W48" s="429" t="str">
        <f ca="1">IFERROR(VLOOKUP(W$2,Rango_Admin_DailyPred,MATCH($F48,Rango_Admin_DailyPred_Primera,0),0),"-")</f>
        <v>-</v>
      </c>
      <c r="X48" s="429" t="str">
        <f ca="1">IFERROR(VLOOKUP(X$2,Rango_Admin_DailyPred,MATCH($F48,Rango_Admin_DailyPred_Primera,0),0),"-")</f>
        <v>-</v>
      </c>
      <c r="Y48" s="429" t="str">
        <f ca="1">IFERROR(VLOOKUP(Y$2,Rango_Admin_DailyPred,MATCH($F48,Rango_Admin_DailyPred_Primera,0),0),"-")</f>
        <v>-</v>
      </c>
      <c r="Z48" s="429" t="str">
        <f ca="1">IFERROR(VLOOKUP(Z$2,Rango_Admin_DailyPred,MATCH($F48,Rango_Admin_DailyPred_Primera,0),0),"-")</f>
        <v>-</v>
      </c>
      <c r="AA48" s="429" t="str">
        <f ca="1">IFERROR(VLOOKUP(AA$2,Rango_Admin_DailyPred,MATCH($F48,Rango_Admin_DailyPred_Primera,0),0),"-")</f>
        <v>-</v>
      </c>
      <c r="AB48" s="429" t="str">
        <f ca="1">IFERROR(VLOOKUP(AB$2,Rango_Admin_DailyPred,MATCH($F48,Rango_Admin_DailyPred_Primera,0),0),"-")</f>
        <v>-</v>
      </c>
      <c r="AC48" s="429" t="str">
        <f ca="1">IFERROR(VLOOKUP(AC$2,Rango_Admin_DailyPred,MATCH($F48,Rango_Admin_DailyPred_Primera,0),0),"-")</f>
        <v>-</v>
      </c>
      <c r="AD48" s="429" t="str">
        <f ca="1">IFERROR(VLOOKUP(AD$2,Rango_Admin_DailyPred,MATCH($F48,Rango_Admin_DailyPred_Primera,0),0),"-")</f>
        <v>-</v>
      </c>
      <c r="AE48" s="429" t="str">
        <f ca="1">IFERROR(VLOOKUP(AE$2,Rango_Admin_DailyPred,MATCH($F48,Rango_Admin_DailyPred_Primera,0),0),"-")</f>
        <v>-</v>
      </c>
      <c r="AF48" s="429" t="str">
        <f ca="1">IFERROR(VLOOKUP(AF$2,Rango_Admin_DailyPred,MATCH($F48,Rango_Admin_DailyPred_Primera,0),0),"-")</f>
        <v>-</v>
      </c>
      <c r="AG48" s="429" t="str">
        <f ca="1">IFERROR(VLOOKUP(AG$2,Rango_Admin_DailyPred,MATCH($F48,Rango_Admin_DailyPred_Primera,0),0),"-")</f>
        <v>-</v>
      </c>
      <c r="AH48" s="429" t="str">
        <f ca="1">IFERROR(VLOOKUP(AH$2,Rango_Admin_DailyPred,MATCH($F48,Rango_Admin_DailyPred_Primera,0),0),"-")</f>
        <v>-</v>
      </c>
      <c r="AI48" s="429" t="str">
        <f ca="1">IFERROR(VLOOKUP(AI$2,Rango_Admin_DailyPred,MATCH($F48,Rango_Admin_DailyPred_Primera,0),0),"-")</f>
        <v>-</v>
      </c>
      <c r="AJ48" s="429" t="str">
        <f ca="1">IFERROR(VLOOKUP(AJ$2,Rango_Admin_DailyPred,MATCH($F48,Rango_Admin_DailyPred_Primera,0),0),"-")</f>
        <v>-</v>
      </c>
      <c r="AK48" s="429" t="str">
        <f ca="1">IFERROR(VLOOKUP(AK$2,Rango_Admin_DailyPred,MATCH($F48,Rango_Admin_DailyPred_Primera,0),0),"-")</f>
        <v>-</v>
      </c>
      <c r="AL48" s="429" t="str">
        <f ca="1">IFERROR(VLOOKUP(AL$2,Rango_Admin_DailyPred,MATCH($F48,Rango_Admin_DailyPred_Primera,0),0),"-")</f>
        <v>-</v>
      </c>
      <c r="AM48" s="297"/>
      <c r="AN48" s="297"/>
      <c r="AO48" s="297"/>
    </row>
    <row r="49" spans="5:41">
      <c r="E49" s="19">
        <f t="shared" si="1"/>
        <v>144</v>
      </c>
      <c r="F49" s="448" t="str" cm="1">
        <f t="array" ref="F49">IFERROR(INDEX(Rango_Admin_DailyPred_Primera,1,E49),"-")</f>
        <v>Niek Slots</v>
      </c>
      <c r="G49" s="429" t="str">
        <f ca="1">IFERROR(VLOOKUP(G$2,Rango_Admin_DailyPred,MATCH($F49,Rango_Admin_DailyPred_Primera,0),0),"-")</f>
        <v>Spain-Portugal·1|2-0</v>
      </c>
      <c r="H49" s="429" t="str">
        <f ca="1">IFERROR(VLOOKUP(H$2,Rango_Admin_DailyPred,MATCH($F49,Rango_Admin_DailyPred_Primera,0),0),"-")</f>
        <v>France-Brazil·1|3-1</v>
      </c>
      <c r="I49" s="429" t="str">
        <f ca="1">IFERROR(VLOOKUP(I$2,Rango_Admin_DailyPred,MATCH($F49,Rango_Admin_DailyPred_Primera,0),0),"-")</f>
        <v>France</v>
      </c>
      <c r="J49" s="429" t="str">
        <f ca="1">IFERROR(VLOOKUP(J$2,Rango_Admin_DailyPred,MATCH($F49,Rango_Admin_DailyPred_Primera,0),0),"-")</f>
        <v>Brazil</v>
      </c>
      <c r="K49" s="429" t="str">
        <f ca="1">IFERROR(VLOOKUP(K$2,Rango_Admin_DailyPred,MATCH($F49,Rango_Admin_DailyPred_Primera,0),0),"-")</f>
        <v>Spain</v>
      </c>
      <c r="L49" s="429" t="str">
        <f ca="1">IFERROR(VLOOKUP(L$2,Rango_Admin_DailyPred,MATCH($F49,Rango_Admin_DailyPred_Primera,0),0),"-")</f>
        <v>Dembele</v>
      </c>
      <c r="M49" s="429" t="str">
        <f ca="1">IFERROR(VLOOKUP(M$2,Rango_Admin_DailyPred,MATCH($F49,Rango_Admin_DailyPred_Primera,0),0),"-")</f>
        <v>Yamal</v>
      </c>
      <c r="N49" s="429" t="str">
        <f ca="1">IFERROR(VLOOKUP(N$2,Rango_Admin_DailyPred,MATCH($F49,Rango_Admin_DailyPred_Primera,0),0),"-")</f>
        <v>Raphina</v>
      </c>
      <c r="O49" s="429" t="str">
        <f ca="1">IFERROR(VLOOKUP(O$2,Rango_Admin_DailyPred,MATCH($F49,Rango_Admin_DailyPred_Primera,0),0),"-")</f>
        <v>Dembele</v>
      </c>
      <c r="P49" s="429" t="str">
        <f ca="1">IFERROR(VLOOKUP(P$2,Rango_Admin_DailyPred,MATCH($F49,Rango_Admin_DailyPred_Primera,0),0),"-")</f>
        <v>Yamal</v>
      </c>
      <c r="Q49" s="429" t="str">
        <f ca="1">IFERROR(VLOOKUP(Q$2,Rango_Admin_DailyPred,MATCH($F49,Rango_Admin_DailyPred_Primera,0),0),"-")</f>
        <v>Bruno Fernandes</v>
      </c>
      <c r="R49" s="429" t="str">
        <f ca="1">IFERROR(VLOOKUP(R$2,Rango_Admin_DailyPred,MATCH($F49,Rango_Admin_DailyPred_Primera,0),0),"-")</f>
        <v>-</v>
      </c>
      <c r="S49" s="429" t="str">
        <f ca="1">IFERROR(VLOOKUP(S$2,Rango_Admin_DailyPred,MATCH($F49,Rango_Admin_DailyPred_Primera,0),0),"-")</f>
        <v>-</v>
      </c>
      <c r="T49" s="429" t="str">
        <f ca="1">IFERROR(VLOOKUP(T$2,Rango_Admin_DailyPred,MATCH($F49,Rango_Admin_DailyPred_Primera,0),0),"-")</f>
        <v>-</v>
      </c>
      <c r="U49" s="429" t="str">
        <f ca="1">IFERROR(VLOOKUP(U$2,Rango_Admin_DailyPred,MATCH($F49,Rango_Admin_DailyPred_Primera,0),0),"-")</f>
        <v>-</v>
      </c>
      <c r="V49" s="429" t="str">
        <f ca="1">IFERROR(VLOOKUP(V$2,Rango_Admin_DailyPred,MATCH($F49,Rango_Admin_DailyPred_Primera,0),0),"-")</f>
        <v>-</v>
      </c>
      <c r="W49" s="429" t="str">
        <f ca="1">IFERROR(VLOOKUP(W$2,Rango_Admin_DailyPred,MATCH($F49,Rango_Admin_DailyPred_Primera,0),0),"-")</f>
        <v>-</v>
      </c>
      <c r="X49" s="429" t="str">
        <f ca="1">IFERROR(VLOOKUP(X$2,Rango_Admin_DailyPred,MATCH($F49,Rango_Admin_DailyPred_Primera,0),0),"-")</f>
        <v>-</v>
      </c>
      <c r="Y49" s="429" t="str">
        <f ca="1">IFERROR(VLOOKUP(Y$2,Rango_Admin_DailyPred,MATCH($F49,Rango_Admin_DailyPred_Primera,0),0),"-")</f>
        <v>-</v>
      </c>
      <c r="Z49" s="429" t="str">
        <f ca="1">IFERROR(VLOOKUP(Z$2,Rango_Admin_DailyPred,MATCH($F49,Rango_Admin_DailyPred_Primera,0),0),"-")</f>
        <v>-</v>
      </c>
      <c r="AA49" s="429" t="str">
        <f ca="1">IFERROR(VLOOKUP(AA$2,Rango_Admin_DailyPred,MATCH($F49,Rango_Admin_DailyPred_Primera,0),0),"-")</f>
        <v>-</v>
      </c>
      <c r="AB49" s="429" t="str">
        <f ca="1">IFERROR(VLOOKUP(AB$2,Rango_Admin_DailyPred,MATCH($F49,Rango_Admin_DailyPred_Primera,0),0),"-")</f>
        <v>-</v>
      </c>
      <c r="AC49" s="429" t="str">
        <f ca="1">IFERROR(VLOOKUP(AC$2,Rango_Admin_DailyPred,MATCH($F49,Rango_Admin_DailyPred_Primera,0),0),"-")</f>
        <v>-</v>
      </c>
      <c r="AD49" s="429" t="str">
        <f ca="1">IFERROR(VLOOKUP(AD$2,Rango_Admin_DailyPred,MATCH($F49,Rango_Admin_DailyPred_Primera,0),0),"-")</f>
        <v>-</v>
      </c>
      <c r="AE49" s="429" t="str">
        <f ca="1">IFERROR(VLOOKUP(AE$2,Rango_Admin_DailyPred,MATCH($F49,Rango_Admin_DailyPred_Primera,0),0),"-")</f>
        <v>-</v>
      </c>
      <c r="AF49" s="429" t="str">
        <f ca="1">IFERROR(VLOOKUP(AF$2,Rango_Admin_DailyPred,MATCH($F49,Rango_Admin_DailyPred_Primera,0),0),"-")</f>
        <v>-</v>
      </c>
      <c r="AG49" s="429" t="str">
        <f ca="1">IFERROR(VLOOKUP(AG$2,Rango_Admin_DailyPred,MATCH($F49,Rango_Admin_DailyPred_Primera,0),0),"-")</f>
        <v>-</v>
      </c>
      <c r="AH49" s="429" t="str">
        <f ca="1">IFERROR(VLOOKUP(AH$2,Rango_Admin_DailyPred,MATCH($F49,Rango_Admin_DailyPred_Primera,0),0),"-")</f>
        <v>-</v>
      </c>
      <c r="AI49" s="429" t="str">
        <f ca="1">IFERROR(VLOOKUP(AI$2,Rango_Admin_DailyPred,MATCH($F49,Rango_Admin_DailyPred_Primera,0),0),"-")</f>
        <v>-</v>
      </c>
      <c r="AJ49" s="429" t="str">
        <f ca="1">IFERROR(VLOOKUP(AJ$2,Rango_Admin_DailyPred,MATCH($F49,Rango_Admin_DailyPred_Primera,0),0),"-")</f>
        <v>-</v>
      </c>
      <c r="AK49" s="429" t="str">
        <f ca="1">IFERROR(VLOOKUP(AK$2,Rango_Admin_DailyPred,MATCH($F49,Rango_Admin_DailyPred_Primera,0),0),"-")</f>
        <v>-</v>
      </c>
      <c r="AL49" s="429" t="str">
        <f ca="1">IFERROR(VLOOKUP(AL$2,Rango_Admin_DailyPred,MATCH($F49,Rango_Admin_DailyPred_Primera,0),0),"-")</f>
        <v>-</v>
      </c>
      <c r="AM49" s="297"/>
      <c r="AN49" s="297"/>
      <c r="AO49" s="297"/>
    </row>
    <row r="50" spans="5:41">
      <c r="E50" s="19">
        <f t="shared" si="1"/>
        <v>147</v>
      </c>
      <c r="F50" s="448" t="str" cm="1">
        <f t="array" ref="F50">IFERROR(INDEX(Rango_Admin_DailyPred_Primera,1,E50),"-")</f>
        <v>Bart Kok</v>
      </c>
      <c r="G50" s="429" t="str">
        <f ca="1">IFERROR(VLOOKUP(G$2,Rango_Admin_DailyPred,MATCH($F50,Rango_Admin_DailyPred_Primera,0),0),"-")</f>
        <v>Bosnia and Herzegovina-Portugal·2|0-2</v>
      </c>
      <c r="H50" s="429" t="str">
        <f ca="1">IFERROR(VLOOKUP(H$2,Rango_Admin_DailyPred,MATCH($F50,Rango_Admin_DailyPred_Primera,0),0),"-")</f>
        <v>France-England·1|2-1</v>
      </c>
      <c r="I50" s="429" t="str">
        <f ca="1">IFERROR(VLOOKUP(I$2,Rango_Admin_DailyPred,MATCH($F50,Rango_Admin_DailyPred_Primera,0),0),"-")</f>
        <v>France</v>
      </c>
      <c r="J50" s="429" t="str">
        <f ca="1">IFERROR(VLOOKUP(J$2,Rango_Admin_DailyPred,MATCH($F50,Rango_Admin_DailyPred_Primera,0),0),"-")</f>
        <v>England</v>
      </c>
      <c r="K50" s="429" t="str">
        <f ca="1">IFERROR(VLOOKUP(K$2,Rango_Admin_DailyPred,MATCH($F50,Rango_Admin_DailyPred_Primera,0),0),"-")</f>
        <v>Portugal</v>
      </c>
      <c r="L50" s="429" t="str">
        <f ca="1">IFERROR(VLOOKUP(L$2,Rango_Admin_DailyPred,MATCH($F50,Rango_Admin_DailyPred_Primera,0),0),"-")</f>
        <v>Mbappé</v>
      </c>
      <c r="M50" s="429" t="str">
        <f ca="1">IFERROR(VLOOKUP(M$2,Rango_Admin_DailyPred,MATCH($F50,Rango_Admin_DailyPred_Primera,0),0),"-")</f>
        <v>Harry Kane</v>
      </c>
      <c r="N50" s="429" t="str">
        <f ca="1">IFERROR(VLOOKUP(N$2,Rango_Admin_DailyPred,MATCH($F50,Rango_Admin_DailyPred_Primera,0),0),"-")</f>
        <v>Bellingham / Haaland</v>
      </c>
      <c r="O50" s="429" t="str">
        <f ca="1">IFERROR(VLOOKUP(O$2,Rango_Admin_DailyPred,MATCH($F50,Rango_Admin_DailyPred_Primera,0),0),"-")</f>
        <v>Kylian Mbappé</v>
      </c>
      <c r="P50" s="429" t="str">
        <f ca="1">IFERROR(VLOOKUP(P$2,Rango_Admin_DailyPred,MATCH($F50,Rango_Admin_DailyPred_Primera,0),0),"-")</f>
        <v>Lamine Yamal</v>
      </c>
      <c r="Q50" s="429" t="str">
        <f ca="1">IFERROR(VLOOKUP(Q$2,Rango_Admin_DailyPred,MATCH($F50,Rango_Admin_DailyPred_Primera,0),0),"-")</f>
        <v>Jude Bellingham</v>
      </c>
      <c r="R50" s="429" t="str">
        <f ca="1">IFERROR(VLOOKUP(R$2,Rango_Admin_DailyPred,MATCH($F50,Rango_Admin_DailyPred_Primera,0),0),"-")</f>
        <v>-</v>
      </c>
      <c r="S50" s="429" t="str">
        <f ca="1">IFERROR(VLOOKUP(S$2,Rango_Admin_DailyPred,MATCH($F50,Rango_Admin_DailyPred_Primera,0),0),"-")</f>
        <v>-</v>
      </c>
      <c r="T50" s="429" t="str">
        <f ca="1">IFERROR(VLOOKUP(T$2,Rango_Admin_DailyPred,MATCH($F50,Rango_Admin_DailyPred_Primera,0),0),"-")</f>
        <v>-</v>
      </c>
      <c r="U50" s="429" t="str">
        <f ca="1">IFERROR(VLOOKUP(U$2,Rango_Admin_DailyPred,MATCH($F50,Rango_Admin_DailyPred_Primera,0),0),"-")</f>
        <v>-</v>
      </c>
      <c r="V50" s="429" t="str">
        <f ca="1">IFERROR(VLOOKUP(V$2,Rango_Admin_DailyPred,MATCH($F50,Rango_Admin_DailyPred_Primera,0),0),"-")</f>
        <v>-</v>
      </c>
      <c r="W50" s="429" t="str">
        <f ca="1">IFERROR(VLOOKUP(W$2,Rango_Admin_DailyPred,MATCH($F50,Rango_Admin_DailyPred_Primera,0),0),"-")</f>
        <v>-</v>
      </c>
      <c r="X50" s="429" t="str">
        <f ca="1">IFERROR(VLOOKUP(X$2,Rango_Admin_DailyPred,MATCH($F50,Rango_Admin_DailyPred_Primera,0),0),"-")</f>
        <v>-</v>
      </c>
      <c r="Y50" s="429" t="str">
        <f ca="1">IFERROR(VLOOKUP(Y$2,Rango_Admin_DailyPred,MATCH($F50,Rango_Admin_DailyPred_Primera,0),0),"-")</f>
        <v>-</v>
      </c>
      <c r="Z50" s="429" t="str">
        <f ca="1">IFERROR(VLOOKUP(Z$2,Rango_Admin_DailyPred,MATCH($F50,Rango_Admin_DailyPred_Primera,0),0),"-")</f>
        <v>-</v>
      </c>
      <c r="AA50" s="429" t="str">
        <f ca="1">IFERROR(VLOOKUP(AA$2,Rango_Admin_DailyPred,MATCH($F50,Rango_Admin_DailyPred_Primera,0),0),"-")</f>
        <v>-</v>
      </c>
      <c r="AB50" s="429" t="str">
        <f ca="1">IFERROR(VLOOKUP(AB$2,Rango_Admin_DailyPred,MATCH($F50,Rango_Admin_DailyPred_Primera,0),0),"-")</f>
        <v>-</v>
      </c>
      <c r="AC50" s="429" t="str">
        <f ca="1">IFERROR(VLOOKUP(AC$2,Rango_Admin_DailyPred,MATCH($F50,Rango_Admin_DailyPred_Primera,0),0),"-")</f>
        <v>-</v>
      </c>
      <c r="AD50" s="429" t="str">
        <f ca="1">IFERROR(VLOOKUP(AD$2,Rango_Admin_DailyPred,MATCH($F50,Rango_Admin_DailyPred_Primera,0),0),"-")</f>
        <v>-</v>
      </c>
      <c r="AE50" s="429" t="str">
        <f ca="1">IFERROR(VLOOKUP(AE$2,Rango_Admin_DailyPred,MATCH($F50,Rango_Admin_DailyPred_Primera,0),0),"-")</f>
        <v>-</v>
      </c>
      <c r="AF50" s="429" t="str">
        <f ca="1">IFERROR(VLOOKUP(AF$2,Rango_Admin_DailyPred,MATCH($F50,Rango_Admin_DailyPred_Primera,0),0),"-")</f>
        <v>-</v>
      </c>
      <c r="AG50" s="429" t="str">
        <f ca="1">IFERROR(VLOOKUP(AG$2,Rango_Admin_DailyPred,MATCH($F50,Rango_Admin_DailyPred_Primera,0),0),"-")</f>
        <v>-</v>
      </c>
      <c r="AH50" s="429" t="str">
        <f ca="1">IFERROR(VLOOKUP(AH$2,Rango_Admin_DailyPred,MATCH($F50,Rango_Admin_DailyPred_Primera,0),0),"-")</f>
        <v>-</v>
      </c>
      <c r="AI50" s="429" t="str">
        <f ca="1">IFERROR(VLOOKUP(AI$2,Rango_Admin_DailyPred,MATCH($F50,Rango_Admin_DailyPred_Primera,0),0),"-")</f>
        <v>-</v>
      </c>
      <c r="AJ50" s="429" t="str">
        <f ca="1">IFERROR(VLOOKUP(AJ$2,Rango_Admin_DailyPred,MATCH($F50,Rango_Admin_DailyPred_Primera,0),0),"-")</f>
        <v>-</v>
      </c>
      <c r="AK50" s="429" t="str">
        <f ca="1">IFERROR(VLOOKUP(AK$2,Rango_Admin_DailyPred,MATCH($F50,Rango_Admin_DailyPred_Primera,0),0),"-")</f>
        <v>-</v>
      </c>
      <c r="AL50" s="429" t="str">
        <f ca="1">IFERROR(VLOOKUP(AL$2,Rango_Admin_DailyPred,MATCH($F50,Rango_Admin_DailyPred_Primera,0),0),"-")</f>
        <v>-</v>
      </c>
      <c r="AM50" s="297"/>
      <c r="AN50" s="297"/>
      <c r="AO50" s="297"/>
    </row>
    <row r="51" spans="5:41">
      <c r="E51" s="19">
        <f t="shared" si="1"/>
        <v>150</v>
      </c>
      <c r="F51" s="448" t="str" cm="1">
        <f t="array" ref="F51">IFERROR(INDEX(Rango_Admin_DailyPred_Primera,1,E51),"-")</f>
        <v>Ilonka Zwienenberg</v>
      </c>
      <c r="G51" s="429" t="str">
        <f ca="1">IFERROR(VLOOKUP(G$2,Rango_Admin_DailyPred,MATCH($F51,Rango_Admin_DailyPred_Primera,0),0),"-")</f>
        <v>Spain-Argentina·1|2-1</v>
      </c>
      <c r="H51" s="429" t="str">
        <f ca="1">IFERROR(VLOOKUP(H$2,Rango_Admin_DailyPred,MATCH($F51,Rango_Admin_DailyPred_Primera,0),0),"-")</f>
        <v>Netherlands-England·1|1-0</v>
      </c>
      <c r="I51" s="429" t="str">
        <f ca="1">IFERROR(VLOOKUP(I$2,Rango_Admin_DailyPred,MATCH($F51,Rango_Admin_DailyPred_Primera,0),0),"-")</f>
        <v>Netherlands</v>
      </c>
      <c r="J51" s="429" t="str">
        <f ca="1">IFERROR(VLOOKUP(J$2,Rango_Admin_DailyPred,MATCH($F51,Rango_Admin_DailyPred_Primera,0),0),"-")</f>
        <v>England</v>
      </c>
      <c r="K51" s="429" t="str">
        <f ca="1">IFERROR(VLOOKUP(K$2,Rango_Admin_DailyPred,MATCH($F51,Rango_Admin_DailyPred_Primera,0),0),"-")</f>
        <v>Spain</v>
      </c>
      <c r="L51" s="429" t="str">
        <f ca="1">IFERROR(VLOOKUP(L$2,Rango_Admin_DailyPred,MATCH($F51,Rango_Admin_DailyPred_Primera,0),0),"-")</f>
        <v>Depay</v>
      </c>
      <c r="M51" s="429" t="str">
        <f ca="1">IFERROR(VLOOKUP(M$2,Rango_Admin_DailyPred,MATCH($F51,Rango_Admin_DailyPred_Primera,0),0),"-")</f>
        <v>Haaland</v>
      </c>
      <c r="N51" s="429" t="str">
        <f ca="1">IFERROR(VLOOKUP(N$2,Rango_Admin_DailyPred,MATCH($F51,Rango_Admin_DailyPred_Primera,0),0),"-")</f>
        <v>Kane</v>
      </c>
      <c r="O51" s="429" t="str">
        <f ca="1">IFERROR(VLOOKUP(O$2,Rango_Admin_DailyPred,MATCH($F51,Rango_Admin_DailyPred_Primera,0),0),"-")</f>
        <v>Weghorst</v>
      </c>
      <c r="P51" s="429" t="str">
        <f ca="1">IFERROR(VLOOKUP(P$2,Rango_Admin_DailyPred,MATCH($F51,Rango_Admin_DailyPred_Primera,0),0),"-")</f>
        <v>Mbappe</v>
      </c>
      <c r="Q51" s="429" t="str">
        <f ca="1">IFERROR(VLOOKUP(Q$2,Rango_Admin_DailyPred,MATCH($F51,Rango_Admin_DailyPred_Primera,0),0),"-")</f>
        <v>Yamal</v>
      </c>
      <c r="R51" s="429" t="str">
        <f ca="1">IFERROR(VLOOKUP(R$2,Rango_Admin_DailyPred,MATCH($F51,Rango_Admin_DailyPred_Primera,0),0),"-")</f>
        <v>-</v>
      </c>
      <c r="S51" s="429" t="str">
        <f ca="1">IFERROR(VLOOKUP(S$2,Rango_Admin_DailyPred,MATCH($F51,Rango_Admin_DailyPred_Primera,0),0),"-")</f>
        <v>-</v>
      </c>
      <c r="T51" s="429" t="str">
        <f ca="1">IFERROR(VLOOKUP(T$2,Rango_Admin_DailyPred,MATCH($F51,Rango_Admin_DailyPred_Primera,0),0),"-")</f>
        <v>-</v>
      </c>
      <c r="U51" s="429" t="str">
        <f ca="1">IFERROR(VLOOKUP(U$2,Rango_Admin_DailyPred,MATCH($F51,Rango_Admin_DailyPred_Primera,0),0),"-")</f>
        <v>-</v>
      </c>
      <c r="V51" s="429" t="str">
        <f ca="1">IFERROR(VLOOKUP(V$2,Rango_Admin_DailyPred,MATCH($F51,Rango_Admin_DailyPred_Primera,0),0),"-")</f>
        <v>-</v>
      </c>
      <c r="W51" s="429" t="str">
        <f ca="1">IFERROR(VLOOKUP(W$2,Rango_Admin_DailyPred,MATCH($F51,Rango_Admin_DailyPred_Primera,0),0),"-")</f>
        <v>-</v>
      </c>
      <c r="X51" s="429" t="str">
        <f ca="1">IFERROR(VLOOKUP(X$2,Rango_Admin_DailyPred,MATCH($F51,Rango_Admin_DailyPred_Primera,0),0),"-")</f>
        <v>-</v>
      </c>
      <c r="Y51" s="429" t="str">
        <f ca="1">IFERROR(VLOOKUP(Y$2,Rango_Admin_DailyPred,MATCH($F51,Rango_Admin_DailyPred_Primera,0),0),"-")</f>
        <v>-</v>
      </c>
      <c r="Z51" s="429" t="str">
        <f ca="1">IFERROR(VLOOKUP(Z$2,Rango_Admin_DailyPred,MATCH($F51,Rango_Admin_DailyPred_Primera,0),0),"-")</f>
        <v>-</v>
      </c>
      <c r="AA51" s="429" t="str">
        <f ca="1">IFERROR(VLOOKUP(AA$2,Rango_Admin_DailyPred,MATCH($F51,Rango_Admin_DailyPred_Primera,0),0),"-")</f>
        <v>-</v>
      </c>
      <c r="AB51" s="429" t="str">
        <f ca="1">IFERROR(VLOOKUP(AB$2,Rango_Admin_DailyPred,MATCH($F51,Rango_Admin_DailyPred_Primera,0),0),"-")</f>
        <v>-</v>
      </c>
      <c r="AC51" s="429" t="str">
        <f ca="1">IFERROR(VLOOKUP(AC$2,Rango_Admin_DailyPred,MATCH($F51,Rango_Admin_DailyPred_Primera,0),0),"-")</f>
        <v>-</v>
      </c>
      <c r="AD51" s="429" t="str">
        <f ca="1">IFERROR(VLOOKUP(AD$2,Rango_Admin_DailyPred,MATCH($F51,Rango_Admin_DailyPred_Primera,0),0),"-")</f>
        <v>-</v>
      </c>
      <c r="AE51" s="429" t="str">
        <f ca="1">IFERROR(VLOOKUP(AE$2,Rango_Admin_DailyPred,MATCH($F51,Rango_Admin_DailyPred_Primera,0),0),"-")</f>
        <v>-</v>
      </c>
      <c r="AF51" s="429" t="str">
        <f ca="1">IFERROR(VLOOKUP(AF$2,Rango_Admin_DailyPred,MATCH($F51,Rango_Admin_DailyPred_Primera,0),0),"-")</f>
        <v>-</v>
      </c>
      <c r="AG51" s="429" t="str">
        <f ca="1">IFERROR(VLOOKUP(AG$2,Rango_Admin_DailyPred,MATCH($F51,Rango_Admin_DailyPred_Primera,0),0),"-")</f>
        <v>-</v>
      </c>
      <c r="AH51" s="429" t="str">
        <f ca="1">IFERROR(VLOOKUP(AH$2,Rango_Admin_DailyPred,MATCH($F51,Rango_Admin_DailyPred_Primera,0),0),"-")</f>
        <v>-</v>
      </c>
      <c r="AI51" s="429" t="str">
        <f ca="1">IFERROR(VLOOKUP(AI$2,Rango_Admin_DailyPred,MATCH($F51,Rango_Admin_DailyPred_Primera,0),0),"-")</f>
        <v>-</v>
      </c>
      <c r="AJ51" s="429" t="str">
        <f ca="1">IFERROR(VLOOKUP(AJ$2,Rango_Admin_DailyPred,MATCH($F51,Rango_Admin_DailyPred_Primera,0),0),"-")</f>
        <v>-</v>
      </c>
      <c r="AK51" s="429" t="str">
        <f ca="1">IFERROR(VLOOKUP(AK$2,Rango_Admin_DailyPred,MATCH($F51,Rango_Admin_DailyPred_Primera,0),0),"-")</f>
        <v>-</v>
      </c>
      <c r="AL51" s="429" t="str">
        <f ca="1">IFERROR(VLOOKUP(AL$2,Rango_Admin_DailyPred,MATCH($F51,Rango_Admin_DailyPred_Primera,0),0),"-")</f>
        <v>-</v>
      </c>
      <c r="AM51" s="297"/>
      <c r="AN51" s="297"/>
      <c r="AO51" s="297"/>
    </row>
    <row r="52" spans="5:41">
      <c r="E52" s="19">
        <f t="shared" si="1"/>
        <v>153</v>
      </c>
      <c r="F52" s="448" t="str" cm="1">
        <f t="array" ref="F52">IFERROR(INDEX(Rango_Admin_DailyPred_Primera,1,E52),"-")</f>
        <v>sebastiaan jansen</v>
      </c>
      <c r="G52" s="429" t="str">
        <f ca="1">IFERROR(VLOOKUP(G$2,Rango_Admin_DailyPred,MATCH($F52,Rango_Admin_DailyPred_Primera,0),0),"-")</f>
        <v>Spain-Portugal·X|1-1</v>
      </c>
      <c r="H52" s="429" t="str">
        <f ca="1">IFERROR(VLOOKUP(H$2,Rango_Admin_DailyPred,MATCH($F52,Rango_Admin_DailyPred_Primera,0),0),"-")</f>
        <v>France-England·1|2-1</v>
      </c>
      <c r="I52" s="429" t="str">
        <f ca="1">IFERROR(VLOOKUP(I$2,Rango_Admin_DailyPred,MATCH($F52,Rango_Admin_DailyPred_Primera,0),0),"-")</f>
        <v>France</v>
      </c>
      <c r="J52" s="429" t="str">
        <f ca="1">IFERROR(VLOOKUP(J$2,Rango_Admin_DailyPred,MATCH($F52,Rango_Admin_DailyPred_Primera,0),0),"-")</f>
        <v>England</v>
      </c>
      <c r="K52" s="429" t="str">
        <f ca="1">IFERROR(VLOOKUP(K$2,Rango_Admin_DailyPred,MATCH($F52,Rango_Admin_DailyPred_Primera,0),0),"-")</f>
        <v>Portugal</v>
      </c>
      <c r="L52" s="429" t="str">
        <f ca="1">IFERROR(VLOOKUP(L$2,Rango_Admin_DailyPred,MATCH($F52,Rango_Admin_DailyPred_Primera,0),0),"-")</f>
        <v>Mbappé</v>
      </c>
      <c r="M52" s="429" t="str">
        <f ca="1">IFERROR(VLOOKUP(M$2,Rango_Admin_DailyPred,MATCH($F52,Rango_Admin_DailyPred_Primera,0),0),"-")</f>
        <v>kane</v>
      </c>
      <c r="N52" s="429" t="str">
        <f ca="1">IFERROR(VLOOKUP(N$2,Rango_Admin_DailyPred,MATCH($F52,Rango_Admin_DailyPred_Primera,0),0),"-")</f>
        <v>yamal</v>
      </c>
      <c r="O52" s="429" t="str">
        <f ca="1">IFERROR(VLOOKUP(O$2,Rango_Admin_DailyPred,MATCH($F52,Rango_Admin_DailyPred_Primera,0),0),"-")</f>
        <v>olise</v>
      </c>
      <c r="P52" s="429" t="str">
        <f ca="1">IFERROR(VLOOKUP(P$2,Rango_Admin_DailyPred,MATCH($F52,Rango_Admin_DailyPred_Primera,0),0),"-")</f>
        <v>kane</v>
      </c>
      <c r="Q52" s="429" t="str">
        <f ca="1">IFERROR(VLOOKUP(Q$2,Rango_Admin_DailyPred,MATCH($F52,Rango_Admin_DailyPred_Primera,0),0),"-")</f>
        <v>Mbappé</v>
      </c>
      <c r="R52" s="429" t="str">
        <f ca="1">IFERROR(VLOOKUP(R$2,Rango_Admin_DailyPred,MATCH($F52,Rango_Admin_DailyPred_Primera,0),0),"-")</f>
        <v>-</v>
      </c>
      <c r="S52" s="429" t="str">
        <f ca="1">IFERROR(VLOOKUP(S$2,Rango_Admin_DailyPred,MATCH($F52,Rango_Admin_DailyPred_Primera,0),0),"-")</f>
        <v>-</v>
      </c>
      <c r="T52" s="429" t="str">
        <f ca="1">IFERROR(VLOOKUP(T$2,Rango_Admin_DailyPred,MATCH($F52,Rango_Admin_DailyPred_Primera,0),0),"-")</f>
        <v>-</v>
      </c>
      <c r="U52" s="429" t="str">
        <f ca="1">IFERROR(VLOOKUP(U$2,Rango_Admin_DailyPred,MATCH($F52,Rango_Admin_DailyPred_Primera,0),0),"-")</f>
        <v>-</v>
      </c>
      <c r="V52" s="429" t="str">
        <f ca="1">IFERROR(VLOOKUP(V$2,Rango_Admin_DailyPred,MATCH($F52,Rango_Admin_DailyPred_Primera,0),0),"-")</f>
        <v>-</v>
      </c>
      <c r="W52" s="429" t="str">
        <f ca="1">IFERROR(VLOOKUP(W$2,Rango_Admin_DailyPred,MATCH($F52,Rango_Admin_DailyPred_Primera,0),0),"-")</f>
        <v>-</v>
      </c>
      <c r="X52" s="429" t="str">
        <f ca="1">IFERROR(VLOOKUP(X$2,Rango_Admin_DailyPred,MATCH($F52,Rango_Admin_DailyPred_Primera,0),0),"-")</f>
        <v>-</v>
      </c>
      <c r="Y52" s="429" t="str">
        <f ca="1">IFERROR(VLOOKUP(Y$2,Rango_Admin_DailyPred,MATCH($F52,Rango_Admin_DailyPred_Primera,0),0),"-")</f>
        <v>-</v>
      </c>
      <c r="Z52" s="429" t="str">
        <f ca="1">IFERROR(VLOOKUP(Z$2,Rango_Admin_DailyPred,MATCH($F52,Rango_Admin_DailyPred_Primera,0),0),"-")</f>
        <v>-</v>
      </c>
      <c r="AA52" s="429" t="str">
        <f ca="1">IFERROR(VLOOKUP(AA$2,Rango_Admin_DailyPred,MATCH($F52,Rango_Admin_DailyPred_Primera,0),0),"-")</f>
        <v>-</v>
      </c>
      <c r="AB52" s="429" t="str">
        <f ca="1">IFERROR(VLOOKUP(AB$2,Rango_Admin_DailyPred,MATCH($F52,Rango_Admin_DailyPred_Primera,0),0),"-")</f>
        <v>-</v>
      </c>
      <c r="AC52" s="429" t="str">
        <f ca="1">IFERROR(VLOOKUP(AC$2,Rango_Admin_DailyPred,MATCH($F52,Rango_Admin_DailyPred_Primera,0),0),"-")</f>
        <v>-</v>
      </c>
      <c r="AD52" s="429" t="str">
        <f ca="1">IFERROR(VLOOKUP(AD$2,Rango_Admin_DailyPred,MATCH($F52,Rango_Admin_DailyPred_Primera,0),0),"-")</f>
        <v>-</v>
      </c>
      <c r="AE52" s="429" t="str">
        <f ca="1">IFERROR(VLOOKUP(AE$2,Rango_Admin_DailyPred,MATCH($F52,Rango_Admin_DailyPred_Primera,0),0),"-")</f>
        <v>-</v>
      </c>
      <c r="AF52" s="429" t="str">
        <f ca="1">IFERROR(VLOOKUP(AF$2,Rango_Admin_DailyPred,MATCH($F52,Rango_Admin_DailyPred_Primera,0),0),"-")</f>
        <v>-</v>
      </c>
      <c r="AG52" s="429" t="str">
        <f ca="1">IFERROR(VLOOKUP(AG$2,Rango_Admin_DailyPred,MATCH($F52,Rango_Admin_DailyPred_Primera,0),0),"-")</f>
        <v>-</v>
      </c>
      <c r="AH52" s="429" t="str">
        <f ca="1">IFERROR(VLOOKUP(AH$2,Rango_Admin_DailyPred,MATCH($F52,Rango_Admin_DailyPred_Primera,0),0),"-")</f>
        <v>-</v>
      </c>
      <c r="AI52" s="429" t="str">
        <f ca="1">IFERROR(VLOOKUP(AI$2,Rango_Admin_DailyPred,MATCH($F52,Rango_Admin_DailyPred_Primera,0),0),"-")</f>
        <v>-</v>
      </c>
      <c r="AJ52" s="429" t="str">
        <f ca="1">IFERROR(VLOOKUP(AJ$2,Rango_Admin_DailyPred,MATCH($F52,Rango_Admin_DailyPred_Primera,0),0),"-")</f>
        <v>-</v>
      </c>
      <c r="AK52" s="429" t="str">
        <f ca="1">IFERROR(VLOOKUP(AK$2,Rango_Admin_DailyPred,MATCH($F52,Rango_Admin_DailyPred_Primera,0),0),"-")</f>
        <v>-</v>
      </c>
      <c r="AL52" s="429" t="str">
        <f ca="1">IFERROR(VLOOKUP(AL$2,Rango_Admin_DailyPred,MATCH($F52,Rango_Admin_DailyPred_Primera,0),0),"-")</f>
        <v>-</v>
      </c>
      <c r="AM52" s="297"/>
      <c r="AN52" s="297"/>
      <c r="AO52" s="297"/>
    </row>
    <row r="53" spans="5:41">
      <c r="E53" s="19">
        <f t="shared" si="1"/>
        <v>156</v>
      </c>
      <c r="F53" s="448" t="str" cm="1">
        <f t="array" ref="F53">IFERROR(INDEX(Rango_Admin_DailyPred_Primera,1,E53),"-")</f>
        <v>Laura Hospers</v>
      </c>
      <c r="G53" s="429" t="str">
        <f ca="1">IFERROR(VLOOKUP(G$2,Rango_Admin_DailyPred,MATCH($F53,Rango_Admin_DailyPred_Primera,0),0),"-")</f>
        <v>France-Brazil·1|2-1</v>
      </c>
      <c r="H53" s="429" t="str">
        <f ca="1">IFERROR(VLOOKUP(H$2,Rango_Admin_DailyPred,MATCH($F53,Rango_Admin_DailyPred_Primera,0),0),"-")</f>
        <v>Spain-Portugal·1|2-1</v>
      </c>
      <c r="I53" s="429" t="str">
        <f ca="1">IFERROR(VLOOKUP(I$2,Rango_Admin_DailyPred,MATCH($F53,Rango_Admin_DailyPred_Primera,0),0),"-")</f>
        <v>Spain</v>
      </c>
      <c r="J53" s="429" t="str">
        <f ca="1">IFERROR(VLOOKUP(J$2,Rango_Admin_DailyPred,MATCH($F53,Rango_Admin_DailyPred_Primera,0),0),"-")</f>
        <v>Portugal</v>
      </c>
      <c r="K53" s="429" t="str">
        <f ca="1">IFERROR(VLOOKUP(K$2,Rango_Admin_DailyPred,MATCH($F53,Rango_Admin_DailyPred_Primera,0),0),"-")</f>
        <v>France</v>
      </c>
      <c r="L53" s="429" t="str">
        <f ca="1">IFERROR(VLOOKUP(L$2,Rango_Admin_DailyPred,MATCH($F53,Rango_Admin_DailyPred_Primera,0),0),"-")</f>
        <v>Mbappé</v>
      </c>
      <c r="M53" s="429" t="str">
        <f ca="1">IFERROR(VLOOKUP(M$2,Rango_Admin_DailyPred,MATCH($F53,Rango_Admin_DailyPred_Primera,0),0),"-")</f>
        <v>Lamine Yamal</v>
      </c>
      <c r="N53" s="429" t="str">
        <f ca="1">IFERROR(VLOOKUP(N$2,Rango_Admin_DailyPred,MATCH($F53,Rango_Admin_DailyPred_Primera,0),0),"-")</f>
        <v>Jamal Musiala</v>
      </c>
      <c r="O53" s="429" t="str">
        <f ca="1">IFERROR(VLOOKUP(O$2,Rango_Admin_DailyPred,MATCH($F53,Rango_Admin_DailyPred_Primera,0),0),"-")</f>
        <v>Lamine Yamal</v>
      </c>
      <c r="P53" s="429" t="str">
        <f ca="1">IFERROR(VLOOKUP(P$2,Rango_Admin_DailyPred,MATCH($F53,Rango_Admin_DailyPred_Primera,0),0),"-")</f>
        <v>Vitinha</v>
      </c>
      <c r="Q53" s="429" t="str">
        <f ca="1">IFERROR(VLOOKUP(Q$2,Rango_Admin_DailyPred,MATCH($F53,Rango_Admin_DailyPred_Primera,0),0),"-")</f>
        <v>Mbappé</v>
      </c>
      <c r="R53" s="429" t="str">
        <f ca="1">IFERROR(VLOOKUP(R$2,Rango_Admin_DailyPred,MATCH($F53,Rango_Admin_DailyPred_Primera,0),0),"-")</f>
        <v>-</v>
      </c>
      <c r="S53" s="429" t="str">
        <f ca="1">IFERROR(VLOOKUP(S$2,Rango_Admin_DailyPred,MATCH($F53,Rango_Admin_DailyPred_Primera,0),0),"-")</f>
        <v>-</v>
      </c>
      <c r="T53" s="429" t="str">
        <f ca="1">IFERROR(VLOOKUP(T$2,Rango_Admin_DailyPred,MATCH($F53,Rango_Admin_DailyPred_Primera,0),0),"-")</f>
        <v>-</v>
      </c>
      <c r="U53" s="429" t="str">
        <f ca="1">IFERROR(VLOOKUP(U$2,Rango_Admin_DailyPred,MATCH($F53,Rango_Admin_DailyPred_Primera,0),0),"-")</f>
        <v>-</v>
      </c>
      <c r="V53" s="429" t="str">
        <f ca="1">IFERROR(VLOOKUP(V$2,Rango_Admin_DailyPred,MATCH($F53,Rango_Admin_DailyPred_Primera,0),0),"-")</f>
        <v>-</v>
      </c>
      <c r="W53" s="429" t="str">
        <f ca="1">IFERROR(VLOOKUP(W$2,Rango_Admin_DailyPred,MATCH($F53,Rango_Admin_DailyPred_Primera,0),0),"-")</f>
        <v>-</v>
      </c>
      <c r="X53" s="429" t="str">
        <f ca="1">IFERROR(VLOOKUP(X$2,Rango_Admin_DailyPred,MATCH($F53,Rango_Admin_DailyPred_Primera,0),0),"-")</f>
        <v>-</v>
      </c>
      <c r="Y53" s="429" t="str">
        <f ca="1">IFERROR(VLOOKUP(Y$2,Rango_Admin_DailyPred,MATCH($F53,Rango_Admin_DailyPred_Primera,0),0),"-")</f>
        <v>-</v>
      </c>
      <c r="Z53" s="429" t="str">
        <f ca="1">IFERROR(VLOOKUP(Z$2,Rango_Admin_DailyPred,MATCH($F53,Rango_Admin_DailyPred_Primera,0),0),"-")</f>
        <v>-</v>
      </c>
      <c r="AA53" s="429" t="str">
        <f ca="1">IFERROR(VLOOKUP(AA$2,Rango_Admin_DailyPred,MATCH($F53,Rango_Admin_DailyPred_Primera,0),0),"-")</f>
        <v>-</v>
      </c>
      <c r="AB53" s="429" t="str">
        <f ca="1">IFERROR(VLOOKUP(AB$2,Rango_Admin_DailyPred,MATCH($F53,Rango_Admin_DailyPred_Primera,0),0),"-")</f>
        <v>-</v>
      </c>
      <c r="AC53" s="429" t="str">
        <f ca="1">IFERROR(VLOOKUP(AC$2,Rango_Admin_DailyPred,MATCH($F53,Rango_Admin_DailyPred_Primera,0),0),"-")</f>
        <v>-</v>
      </c>
      <c r="AD53" s="429" t="str">
        <f ca="1">IFERROR(VLOOKUP(AD$2,Rango_Admin_DailyPred,MATCH($F53,Rango_Admin_DailyPred_Primera,0),0),"-")</f>
        <v>-</v>
      </c>
      <c r="AE53" s="429" t="str">
        <f ca="1">IFERROR(VLOOKUP(AE$2,Rango_Admin_DailyPred,MATCH($F53,Rango_Admin_DailyPred_Primera,0),0),"-")</f>
        <v>-</v>
      </c>
      <c r="AF53" s="429" t="str">
        <f ca="1">IFERROR(VLOOKUP(AF$2,Rango_Admin_DailyPred,MATCH($F53,Rango_Admin_DailyPred_Primera,0),0),"-")</f>
        <v>-</v>
      </c>
      <c r="AG53" s="429" t="str">
        <f ca="1">IFERROR(VLOOKUP(AG$2,Rango_Admin_DailyPred,MATCH($F53,Rango_Admin_DailyPred_Primera,0),0),"-")</f>
        <v>-</v>
      </c>
      <c r="AH53" s="429" t="str">
        <f ca="1">IFERROR(VLOOKUP(AH$2,Rango_Admin_DailyPred,MATCH($F53,Rango_Admin_DailyPred_Primera,0),0),"-")</f>
        <v>-</v>
      </c>
      <c r="AI53" s="429" t="str">
        <f ca="1">IFERROR(VLOOKUP(AI$2,Rango_Admin_DailyPred,MATCH($F53,Rango_Admin_DailyPred_Primera,0),0),"-")</f>
        <v>-</v>
      </c>
      <c r="AJ53" s="429" t="str">
        <f ca="1">IFERROR(VLOOKUP(AJ$2,Rango_Admin_DailyPred,MATCH($F53,Rango_Admin_DailyPred_Primera,0),0),"-")</f>
        <v>-</v>
      </c>
      <c r="AK53" s="429" t="str">
        <f ca="1">IFERROR(VLOOKUP(AK$2,Rango_Admin_DailyPred,MATCH($F53,Rango_Admin_DailyPred_Primera,0),0),"-")</f>
        <v>-</v>
      </c>
      <c r="AL53" s="429" t="str">
        <f ca="1">IFERROR(VLOOKUP(AL$2,Rango_Admin_DailyPred,MATCH($F53,Rango_Admin_DailyPred_Primera,0),0),"-")</f>
        <v>-</v>
      </c>
      <c r="AM53" s="297"/>
      <c r="AN53" s="297"/>
      <c r="AO53" s="297"/>
    </row>
    <row r="54" spans="5:41">
      <c r="E54" s="19">
        <f t="shared" si="1"/>
        <v>159</v>
      </c>
      <c r="F54" s="448" t="str" cm="1">
        <f t="array" ref="F54">IFERROR(INDEX(Rango_Admin_DailyPred_Primera,1,E54),"-")</f>
        <v>Jose van Wijk</v>
      </c>
      <c r="G54" s="429" t="str">
        <f ca="1">IFERROR(VLOOKUP(G$2,Rango_Admin_DailyPred,MATCH($F54,Rango_Admin_DailyPred_Primera,0),0),"-")</f>
        <v>Spain-Portugal·1|2-1</v>
      </c>
      <c r="H54" s="429" t="str">
        <f ca="1">IFERROR(VLOOKUP(H$2,Rango_Admin_DailyPred,MATCH($F54,Rango_Admin_DailyPred_Primera,0),0),"-")</f>
        <v>France-England·1|3-2</v>
      </c>
      <c r="I54" s="429" t="str">
        <f ca="1">IFERROR(VLOOKUP(I$2,Rango_Admin_DailyPred,MATCH($F54,Rango_Admin_DailyPred_Primera,0),0),"-")</f>
        <v>France</v>
      </c>
      <c r="J54" s="429" t="str">
        <f ca="1">IFERROR(VLOOKUP(J$2,Rango_Admin_DailyPred,MATCH($F54,Rango_Admin_DailyPred_Primera,0),0),"-")</f>
        <v>England</v>
      </c>
      <c r="K54" s="429" t="str">
        <f ca="1">IFERROR(VLOOKUP(K$2,Rango_Admin_DailyPred,MATCH($F54,Rango_Admin_DailyPred_Primera,0),0),"-")</f>
        <v>Spain</v>
      </c>
      <c r="L54" s="429" t="str">
        <f ca="1">IFERROR(VLOOKUP(L$2,Rango_Admin_DailyPred,MATCH($F54,Rango_Admin_DailyPred_Primera,0),0),"-")</f>
        <v>Mbappé</v>
      </c>
      <c r="M54" s="429" t="str">
        <f ca="1">IFERROR(VLOOKUP(M$2,Rango_Admin_DailyPred,MATCH($F54,Rango_Admin_DailyPred_Primera,0),0),"-")</f>
        <v xml:space="preserve">Harry Kane </v>
      </c>
      <c r="N54" s="429" t="str">
        <f ca="1">IFERROR(VLOOKUP(N$2,Rango_Admin_DailyPred,MATCH($F54,Rango_Admin_DailyPred_Primera,0),0),"-")</f>
        <v>Lamine Yamal</v>
      </c>
      <c r="O54" s="429" t="str">
        <f ca="1">IFERROR(VLOOKUP(O$2,Rango_Admin_DailyPred,MATCH($F54,Rango_Admin_DailyPred_Primera,0),0),"-")</f>
        <v xml:space="preserve">Lamine Yamal </v>
      </c>
      <c r="P54" s="429" t="str">
        <f ca="1">IFERROR(VLOOKUP(P$2,Rango_Admin_DailyPred,MATCH($F54,Rango_Admin_DailyPred_Primera,0),0),"-")</f>
        <v>Kylian Mbappé</v>
      </c>
      <c r="Q54" s="429" t="str">
        <f ca="1">IFERROR(VLOOKUP(Q$2,Rango_Admin_DailyPred,MATCH($F54,Rango_Admin_DailyPred_Primera,0),0),"-")</f>
        <v>Jude Bellingham</v>
      </c>
      <c r="R54" s="429" t="str">
        <f ca="1">IFERROR(VLOOKUP(R$2,Rango_Admin_DailyPred,MATCH($F54,Rango_Admin_DailyPred_Primera,0),0),"-")</f>
        <v>-</v>
      </c>
      <c r="S54" s="429" t="str">
        <f ca="1">IFERROR(VLOOKUP(S$2,Rango_Admin_DailyPred,MATCH($F54,Rango_Admin_DailyPred_Primera,0),0),"-")</f>
        <v>-</v>
      </c>
      <c r="T54" s="429" t="str">
        <f ca="1">IFERROR(VLOOKUP(T$2,Rango_Admin_DailyPred,MATCH($F54,Rango_Admin_DailyPred_Primera,0),0),"-")</f>
        <v>-</v>
      </c>
      <c r="U54" s="429" t="str">
        <f ca="1">IFERROR(VLOOKUP(U$2,Rango_Admin_DailyPred,MATCH($F54,Rango_Admin_DailyPred_Primera,0),0),"-")</f>
        <v>-</v>
      </c>
      <c r="V54" s="429" t="str">
        <f ca="1">IFERROR(VLOOKUP(V$2,Rango_Admin_DailyPred,MATCH($F54,Rango_Admin_DailyPred_Primera,0),0),"-")</f>
        <v>-</v>
      </c>
      <c r="W54" s="429" t="str">
        <f ca="1">IFERROR(VLOOKUP(W$2,Rango_Admin_DailyPred,MATCH($F54,Rango_Admin_DailyPred_Primera,0),0),"-")</f>
        <v>-</v>
      </c>
      <c r="X54" s="429" t="str">
        <f ca="1">IFERROR(VLOOKUP(X$2,Rango_Admin_DailyPred,MATCH($F54,Rango_Admin_DailyPred_Primera,0),0),"-")</f>
        <v>-</v>
      </c>
      <c r="Y54" s="429" t="str">
        <f ca="1">IFERROR(VLOOKUP(Y$2,Rango_Admin_DailyPred,MATCH($F54,Rango_Admin_DailyPred_Primera,0),0),"-")</f>
        <v>-</v>
      </c>
      <c r="Z54" s="429" t="str">
        <f ca="1">IFERROR(VLOOKUP(Z$2,Rango_Admin_DailyPred,MATCH($F54,Rango_Admin_DailyPred_Primera,0),0),"-")</f>
        <v>-</v>
      </c>
      <c r="AA54" s="429" t="str">
        <f ca="1">IFERROR(VLOOKUP(AA$2,Rango_Admin_DailyPred,MATCH($F54,Rango_Admin_DailyPred_Primera,0),0),"-")</f>
        <v>-</v>
      </c>
      <c r="AB54" s="429" t="str">
        <f ca="1">IFERROR(VLOOKUP(AB$2,Rango_Admin_DailyPred,MATCH($F54,Rango_Admin_DailyPred_Primera,0),0),"-")</f>
        <v>-</v>
      </c>
      <c r="AC54" s="429" t="str">
        <f ca="1">IFERROR(VLOOKUP(AC$2,Rango_Admin_DailyPred,MATCH($F54,Rango_Admin_DailyPred_Primera,0),0),"-")</f>
        <v>-</v>
      </c>
      <c r="AD54" s="429" t="str">
        <f ca="1">IFERROR(VLOOKUP(AD$2,Rango_Admin_DailyPred,MATCH($F54,Rango_Admin_DailyPred_Primera,0),0),"-")</f>
        <v>-</v>
      </c>
      <c r="AE54" s="429" t="str">
        <f ca="1">IFERROR(VLOOKUP(AE$2,Rango_Admin_DailyPred,MATCH($F54,Rango_Admin_DailyPred_Primera,0),0),"-")</f>
        <v>-</v>
      </c>
      <c r="AF54" s="429" t="str">
        <f ca="1">IFERROR(VLOOKUP(AF$2,Rango_Admin_DailyPred,MATCH($F54,Rango_Admin_DailyPred_Primera,0),0),"-")</f>
        <v>-</v>
      </c>
      <c r="AG54" s="429" t="str">
        <f ca="1">IFERROR(VLOOKUP(AG$2,Rango_Admin_DailyPred,MATCH($F54,Rango_Admin_DailyPred_Primera,0),0),"-")</f>
        <v>-</v>
      </c>
      <c r="AH54" s="429" t="str">
        <f ca="1">IFERROR(VLOOKUP(AH$2,Rango_Admin_DailyPred,MATCH($F54,Rango_Admin_DailyPred_Primera,0),0),"-")</f>
        <v>-</v>
      </c>
      <c r="AI54" s="429" t="str">
        <f ca="1">IFERROR(VLOOKUP(AI$2,Rango_Admin_DailyPred,MATCH($F54,Rango_Admin_DailyPred_Primera,0),0),"-")</f>
        <v>-</v>
      </c>
      <c r="AJ54" s="429" t="str">
        <f ca="1">IFERROR(VLOOKUP(AJ$2,Rango_Admin_DailyPred,MATCH($F54,Rango_Admin_DailyPred_Primera,0),0),"-")</f>
        <v>-</v>
      </c>
      <c r="AK54" s="429" t="str">
        <f ca="1">IFERROR(VLOOKUP(AK$2,Rango_Admin_DailyPred,MATCH($F54,Rango_Admin_DailyPred_Primera,0),0),"-")</f>
        <v>-</v>
      </c>
      <c r="AL54" s="429" t="str">
        <f ca="1">IFERROR(VLOOKUP(AL$2,Rango_Admin_DailyPred,MATCH($F54,Rango_Admin_DailyPred_Primera,0),0),"-")</f>
        <v>-</v>
      </c>
      <c r="AM54" s="297"/>
      <c r="AN54" s="297"/>
      <c r="AO54" s="297"/>
    </row>
    <row r="55" spans="5:41">
      <c r="E55" s="19">
        <f t="shared" si="1"/>
        <v>162</v>
      </c>
      <c r="F55" s="448" t="str" cm="1">
        <f t="array" ref="F55">IFERROR(INDEX(Rango_Admin_DailyPred_Primera,1,E55),"-")</f>
        <v>Marco Aaltink</v>
      </c>
      <c r="G55" s="429" t="str">
        <f ca="1">IFERROR(VLOOKUP(G$2,Rango_Admin_DailyPred,MATCH($F55,Rango_Admin_DailyPred_Primera,0),0),"-")</f>
        <v>Spain-Brazil·X|1-1</v>
      </c>
      <c r="H55" s="429" t="str">
        <f ca="1">IFERROR(VLOOKUP(H$2,Rango_Admin_DailyPred,MATCH($F55,Rango_Admin_DailyPred_Primera,0),0),"-")</f>
        <v>France-Portugal·X|1-1</v>
      </c>
      <c r="I55" s="429" t="str">
        <f ca="1">IFERROR(VLOOKUP(I$2,Rango_Admin_DailyPred,MATCH($F55,Rango_Admin_DailyPred_Primera,0),0),"-")</f>
        <v>Portugal</v>
      </c>
      <c r="J55" s="429" t="str">
        <f ca="1">IFERROR(VLOOKUP(J$2,Rango_Admin_DailyPred,MATCH($F55,Rango_Admin_DailyPred_Primera,0),0),"-")</f>
        <v>France</v>
      </c>
      <c r="K55" s="429" t="str">
        <f ca="1">IFERROR(VLOOKUP(K$2,Rango_Admin_DailyPred,MATCH($F55,Rango_Admin_DailyPred_Primera,0),0),"-")</f>
        <v>Spain</v>
      </c>
      <c r="L55" s="429" t="str">
        <f ca="1">IFERROR(VLOOKUP(L$2,Rango_Admin_DailyPred,MATCH($F55,Rango_Admin_DailyPred_Primera,0),0),"-")</f>
        <v>Cristiano Ronaldo</v>
      </c>
      <c r="M55" s="429" t="str">
        <f ca="1">IFERROR(VLOOKUP(M$2,Rango_Admin_DailyPred,MATCH($F55,Rango_Admin_DailyPred_Primera,0),0),"-")</f>
        <v>Kylian Mbappé</v>
      </c>
      <c r="N55" s="429" t="str">
        <f ca="1">IFERROR(VLOOKUP(N$2,Rango_Admin_DailyPred,MATCH($F55,Rango_Admin_DailyPred_Primera,0),0),"-")</f>
        <v>Harry Kane</v>
      </c>
      <c r="O55" s="429" t="str">
        <f ca="1">IFERROR(VLOOKUP(O$2,Rango_Admin_DailyPred,MATCH($F55,Rango_Admin_DailyPred_Primera,0),0),"-")</f>
        <v>Bruno Fernandes</v>
      </c>
      <c r="P55" s="429" t="str">
        <f ca="1">IFERROR(VLOOKUP(P$2,Rango_Admin_DailyPred,MATCH($F55,Rango_Admin_DailyPred_Primera,0),0),"-")</f>
        <v>Vinícius Júnior</v>
      </c>
      <c r="Q55" s="429" t="str">
        <f ca="1">IFERROR(VLOOKUP(Q$2,Rango_Admin_DailyPred,MATCH($F55,Rango_Admin_DailyPred_Primera,0),0),"-")</f>
        <v>Lionel Messi</v>
      </c>
      <c r="R55" s="429" t="str">
        <f ca="1">IFERROR(VLOOKUP(R$2,Rango_Admin_DailyPred,MATCH($F55,Rango_Admin_DailyPred_Primera,0),0),"-")</f>
        <v>-</v>
      </c>
      <c r="S55" s="429" t="str">
        <f ca="1">IFERROR(VLOOKUP(S$2,Rango_Admin_DailyPred,MATCH($F55,Rango_Admin_DailyPred_Primera,0),0),"-")</f>
        <v>-</v>
      </c>
      <c r="T55" s="429" t="str">
        <f ca="1">IFERROR(VLOOKUP(T$2,Rango_Admin_DailyPred,MATCH($F55,Rango_Admin_DailyPred_Primera,0),0),"-")</f>
        <v>-</v>
      </c>
      <c r="U55" s="429" t="str">
        <f ca="1">IFERROR(VLOOKUP(U$2,Rango_Admin_DailyPred,MATCH($F55,Rango_Admin_DailyPred_Primera,0),0),"-")</f>
        <v>-</v>
      </c>
      <c r="V55" s="429" t="str">
        <f ca="1">IFERROR(VLOOKUP(V$2,Rango_Admin_DailyPred,MATCH($F55,Rango_Admin_DailyPred_Primera,0),0),"-")</f>
        <v>-</v>
      </c>
      <c r="W55" s="429" t="str">
        <f ca="1">IFERROR(VLOOKUP(W$2,Rango_Admin_DailyPred,MATCH($F55,Rango_Admin_DailyPred_Primera,0),0),"-")</f>
        <v>-</v>
      </c>
      <c r="X55" s="429" t="str">
        <f ca="1">IFERROR(VLOOKUP(X$2,Rango_Admin_DailyPred,MATCH($F55,Rango_Admin_DailyPred_Primera,0),0),"-")</f>
        <v>-</v>
      </c>
      <c r="Y55" s="429" t="str">
        <f ca="1">IFERROR(VLOOKUP(Y$2,Rango_Admin_DailyPred,MATCH($F55,Rango_Admin_DailyPred_Primera,0),0),"-")</f>
        <v>-</v>
      </c>
      <c r="Z55" s="429" t="str">
        <f ca="1">IFERROR(VLOOKUP(Z$2,Rango_Admin_DailyPred,MATCH($F55,Rango_Admin_DailyPred_Primera,0),0),"-")</f>
        <v>-</v>
      </c>
      <c r="AA55" s="429" t="str">
        <f ca="1">IFERROR(VLOOKUP(AA$2,Rango_Admin_DailyPred,MATCH($F55,Rango_Admin_DailyPred_Primera,0),0),"-")</f>
        <v>-</v>
      </c>
      <c r="AB55" s="429" t="str">
        <f ca="1">IFERROR(VLOOKUP(AB$2,Rango_Admin_DailyPred,MATCH($F55,Rango_Admin_DailyPred_Primera,0),0),"-")</f>
        <v>-</v>
      </c>
      <c r="AC55" s="429" t="str">
        <f ca="1">IFERROR(VLOOKUP(AC$2,Rango_Admin_DailyPred,MATCH($F55,Rango_Admin_DailyPred_Primera,0),0),"-")</f>
        <v>-</v>
      </c>
      <c r="AD55" s="429" t="str">
        <f ca="1">IFERROR(VLOOKUP(AD$2,Rango_Admin_DailyPred,MATCH($F55,Rango_Admin_DailyPred_Primera,0),0),"-")</f>
        <v>-</v>
      </c>
      <c r="AE55" s="429" t="str">
        <f ca="1">IFERROR(VLOOKUP(AE$2,Rango_Admin_DailyPred,MATCH($F55,Rango_Admin_DailyPred_Primera,0),0),"-")</f>
        <v>-</v>
      </c>
      <c r="AF55" s="429" t="str">
        <f ca="1">IFERROR(VLOOKUP(AF$2,Rango_Admin_DailyPred,MATCH($F55,Rango_Admin_DailyPred_Primera,0),0),"-")</f>
        <v>-</v>
      </c>
      <c r="AG55" s="429" t="str">
        <f ca="1">IFERROR(VLOOKUP(AG$2,Rango_Admin_DailyPred,MATCH($F55,Rango_Admin_DailyPred_Primera,0),0),"-")</f>
        <v>-</v>
      </c>
      <c r="AH55" s="429" t="str">
        <f ca="1">IFERROR(VLOOKUP(AH$2,Rango_Admin_DailyPred,MATCH($F55,Rango_Admin_DailyPred_Primera,0),0),"-")</f>
        <v>-</v>
      </c>
      <c r="AI55" s="429" t="str">
        <f ca="1">IFERROR(VLOOKUP(AI$2,Rango_Admin_DailyPred,MATCH($F55,Rango_Admin_DailyPred_Primera,0),0),"-")</f>
        <v>-</v>
      </c>
      <c r="AJ55" s="429" t="str">
        <f ca="1">IFERROR(VLOOKUP(AJ$2,Rango_Admin_DailyPred,MATCH($F55,Rango_Admin_DailyPred_Primera,0),0),"-")</f>
        <v>-</v>
      </c>
      <c r="AK55" s="429" t="str">
        <f ca="1">IFERROR(VLOOKUP(AK$2,Rango_Admin_DailyPred,MATCH($F55,Rango_Admin_DailyPred_Primera,0),0),"-")</f>
        <v>-</v>
      </c>
      <c r="AL55" s="429" t="str">
        <f ca="1">IFERROR(VLOOKUP(AL$2,Rango_Admin_DailyPred,MATCH($F55,Rango_Admin_DailyPred_Primera,0),0),"-")</f>
        <v>-</v>
      </c>
      <c r="AM55" s="297"/>
      <c r="AN55" s="297"/>
      <c r="AO55" s="297"/>
    </row>
    <row r="56" spans="5:41">
      <c r="E56" s="19">
        <f t="shared" si="1"/>
        <v>165</v>
      </c>
      <c r="F56" s="448" t="str" cm="1">
        <f t="array" ref="F56">IFERROR(INDEX(Rango_Admin_DailyPred_Primera,1,E56),"-")</f>
        <v>Ilker Esmer</v>
      </c>
      <c r="G56" s="429" t="str">
        <f ca="1">IFERROR(VLOOKUP(G$2,Rango_Admin_DailyPred,MATCH($F56,Rango_Admin_DailyPred_Primera,0),0),"-")</f>
        <v>Netherlands-Argentina·2|1-2</v>
      </c>
      <c r="H56" s="429" t="str">
        <f ca="1">IFERROR(VLOOKUP(H$2,Rango_Admin_DailyPred,MATCH($F56,Rango_Admin_DailyPred_Primera,0),0),"-")</f>
        <v>Spain-Brazil·2|1-2</v>
      </c>
      <c r="I56" s="429" t="str">
        <f ca="1">IFERROR(VLOOKUP(I$2,Rango_Admin_DailyPred,MATCH($F56,Rango_Admin_DailyPred_Primera,0),0),"-")</f>
        <v>Brazil</v>
      </c>
      <c r="J56" s="429" t="str">
        <f ca="1">IFERROR(VLOOKUP(J$2,Rango_Admin_DailyPred,MATCH($F56,Rango_Admin_DailyPred_Primera,0),0),"-")</f>
        <v>Spain</v>
      </c>
      <c r="K56" s="429" t="str">
        <f ca="1">IFERROR(VLOOKUP(K$2,Rango_Admin_DailyPred,MATCH($F56,Rango_Admin_DailyPred_Primera,0),0),"-")</f>
        <v>Argentina</v>
      </c>
      <c r="L56" s="429" t="str">
        <f ca="1">IFERROR(VLOOKUP(L$2,Rango_Admin_DailyPred,MATCH($F56,Rango_Admin_DailyPred_Primera,0),0),"-")</f>
        <v>Mbappé</v>
      </c>
      <c r="M56" s="429" t="str">
        <f ca="1">IFERROR(VLOOKUP(M$2,Rango_Admin_DailyPred,MATCH($F56,Rango_Admin_DailyPred_Primera,0),0),"-")</f>
        <v>Erling Haaland</v>
      </c>
      <c r="N56" s="429" t="str">
        <f ca="1">IFERROR(VLOOKUP(N$2,Rango_Admin_DailyPred,MATCH($F56,Rango_Admin_DailyPred_Primera,0),0),"-")</f>
        <v>Vinicius Junior</v>
      </c>
      <c r="O56" s="429" t="str">
        <f ca="1">IFERROR(VLOOKUP(O$2,Rango_Admin_DailyPred,MATCH($F56,Rango_Admin_DailyPred_Primera,0),0),"-")</f>
        <v>Vinicius Junior</v>
      </c>
      <c r="P56" s="429" t="str">
        <f ca="1">IFERROR(VLOOKUP(P$2,Rango_Admin_DailyPred,MATCH($F56,Rango_Admin_DailyPred_Primera,0),0),"-")</f>
        <v>Lamine Yamal</v>
      </c>
      <c r="Q56" s="429" t="str">
        <f ca="1">IFERROR(VLOOKUP(Q$2,Rango_Admin_DailyPred,MATCH($F56,Rango_Admin_DailyPred_Primera,0),0),"-")</f>
        <v>Jude Bellingham</v>
      </c>
      <c r="R56" s="429" t="str">
        <f ca="1">IFERROR(VLOOKUP(R$2,Rango_Admin_DailyPred,MATCH($F56,Rango_Admin_DailyPred_Primera,0),0),"-")</f>
        <v>-</v>
      </c>
      <c r="S56" s="429" t="str">
        <f ca="1">IFERROR(VLOOKUP(S$2,Rango_Admin_DailyPred,MATCH($F56,Rango_Admin_DailyPred_Primera,0),0),"-")</f>
        <v>-</v>
      </c>
      <c r="T56" s="429" t="str">
        <f ca="1">IFERROR(VLOOKUP(T$2,Rango_Admin_DailyPred,MATCH($F56,Rango_Admin_DailyPred_Primera,0),0),"-")</f>
        <v>-</v>
      </c>
      <c r="U56" s="429" t="str">
        <f ca="1">IFERROR(VLOOKUP(U$2,Rango_Admin_DailyPred,MATCH($F56,Rango_Admin_DailyPred_Primera,0),0),"-")</f>
        <v>-</v>
      </c>
      <c r="V56" s="429" t="str">
        <f ca="1">IFERROR(VLOOKUP(V$2,Rango_Admin_DailyPred,MATCH($F56,Rango_Admin_DailyPred_Primera,0),0),"-")</f>
        <v>-</v>
      </c>
      <c r="W56" s="429" t="str">
        <f ca="1">IFERROR(VLOOKUP(W$2,Rango_Admin_DailyPred,MATCH($F56,Rango_Admin_DailyPred_Primera,0),0),"-")</f>
        <v>-</v>
      </c>
      <c r="X56" s="429" t="str">
        <f ca="1">IFERROR(VLOOKUP(X$2,Rango_Admin_DailyPred,MATCH($F56,Rango_Admin_DailyPred_Primera,0),0),"-")</f>
        <v>-</v>
      </c>
      <c r="Y56" s="429" t="str">
        <f ca="1">IFERROR(VLOOKUP(Y$2,Rango_Admin_DailyPred,MATCH($F56,Rango_Admin_DailyPred_Primera,0),0),"-")</f>
        <v>-</v>
      </c>
      <c r="Z56" s="429" t="str">
        <f ca="1">IFERROR(VLOOKUP(Z$2,Rango_Admin_DailyPred,MATCH($F56,Rango_Admin_DailyPred_Primera,0),0),"-")</f>
        <v>-</v>
      </c>
      <c r="AA56" s="429" t="str">
        <f ca="1">IFERROR(VLOOKUP(AA$2,Rango_Admin_DailyPred,MATCH($F56,Rango_Admin_DailyPred_Primera,0),0),"-")</f>
        <v>-</v>
      </c>
      <c r="AB56" s="429" t="str">
        <f ca="1">IFERROR(VLOOKUP(AB$2,Rango_Admin_DailyPred,MATCH($F56,Rango_Admin_DailyPred_Primera,0),0),"-")</f>
        <v>-</v>
      </c>
      <c r="AC56" s="429" t="str">
        <f ca="1">IFERROR(VLOOKUP(AC$2,Rango_Admin_DailyPred,MATCH($F56,Rango_Admin_DailyPred_Primera,0),0),"-")</f>
        <v>-</v>
      </c>
      <c r="AD56" s="429" t="str">
        <f ca="1">IFERROR(VLOOKUP(AD$2,Rango_Admin_DailyPred,MATCH($F56,Rango_Admin_DailyPred_Primera,0),0),"-")</f>
        <v>-</v>
      </c>
      <c r="AE56" s="429" t="str">
        <f ca="1">IFERROR(VLOOKUP(AE$2,Rango_Admin_DailyPred,MATCH($F56,Rango_Admin_DailyPred_Primera,0),0),"-")</f>
        <v>-</v>
      </c>
      <c r="AF56" s="429" t="str">
        <f ca="1">IFERROR(VLOOKUP(AF$2,Rango_Admin_DailyPred,MATCH($F56,Rango_Admin_DailyPred_Primera,0),0),"-")</f>
        <v>-</v>
      </c>
      <c r="AG56" s="429" t="str">
        <f ca="1">IFERROR(VLOOKUP(AG$2,Rango_Admin_DailyPred,MATCH($F56,Rango_Admin_DailyPred_Primera,0),0),"-")</f>
        <v>-</v>
      </c>
      <c r="AH56" s="429" t="str">
        <f ca="1">IFERROR(VLOOKUP(AH$2,Rango_Admin_DailyPred,MATCH($F56,Rango_Admin_DailyPred_Primera,0),0),"-")</f>
        <v>-</v>
      </c>
      <c r="AI56" s="429" t="str">
        <f ca="1">IFERROR(VLOOKUP(AI$2,Rango_Admin_DailyPred,MATCH($F56,Rango_Admin_DailyPred_Primera,0),0),"-")</f>
        <v>-</v>
      </c>
      <c r="AJ56" s="429" t="str">
        <f ca="1">IFERROR(VLOOKUP(AJ$2,Rango_Admin_DailyPred,MATCH($F56,Rango_Admin_DailyPred_Primera,0),0),"-")</f>
        <v>-</v>
      </c>
      <c r="AK56" s="429" t="str">
        <f ca="1">IFERROR(VLOOKUP(AK$2,Rango_Admin_DailyPred,MATCH($F56,Rango_Admin_DailyPred_Primera,0),0),"-")</f>
        <v>-</v>
      </c>
      <c r="AL56" s="429" t="str">
        <f ca="1">IFERROR(VLOOKUP(AL$2,Rango_Admin_DailyPred,MATCH($F56,Rango_Admin_DailyPred_Primera,0),0),"-")</f>
        <v>-</v>
      </c>
      <c r="AM56" s="297"/>
      <c r="AN56" s="297"/>
      <c r="AO56" s="297"/>
    </row>
    <row r="57" spans="5:41">
      <c r="E57" s="19">
        <f t="shared" si="1"/>
        <v>168</v>
      </c>
      <c r="F57" s="448" t="str" cm="1">
        <f t="array" ref="F57">IFERROR(INDEX(Rango_Admin_DailyPred_Primera,1,E57),"-")</f>
        <v>Florian Boitelle</v>
      </c>
      <c r="G57" s="429" t="str">
        <f ca="1">IFERROR(VLOOKUP(G$2,Rango_Admin_DailyPred,MATCH($F57,Rango_Admin_DailyPred_Primera,0),0),"-")</f>
        <v>Netherlands-England·1|3-1</v>
      </c>
      <c r="H57" s="429" t="str">
        <f ca="1">IFERROR(VLOOKUP(H$2,Rango_Admin_DailyPred,MATCH($F57,Rango_Admin_DailyPred_Primera,0),0),"-")</f>
        <v>Spain-Argentina·1|3-1</v>
      </c>
      <c r="I57" s="429" t="str">
        <f ca="1">IFERROR(VLOOKUP(I$2,Rango_Admin_DailyPred,MATCH($F57,Rango_Admin_DailyPred_Primera,0),0),"-")</f>
        <v>Spain</v>
      </c>
      <c r="J57" s="429" t="str">
        <f ca="1">IFERROR(VLOOKUP(J$2,Rango_Admin_DailyPred,MATCH($F57,Rango_Admin_DailyPred_Primera,0),0),"-")</f>
        <v>Argentina</v>
      </c>
      <c r="K57" s="429" t="str">
        <f ca="1">IFERROR(VLOOKUP(K$2,Rango_Admin_DailyPred,MATCH($F57,Rango_Admin_DailyPred_Primera,0),0),"-")</f>
        <v>Netherlands</v>
      </c>
      <c r="L57" s="429" t="str">
        <f ca="1">IFERROR(VLOOKUP(L$2,Rango_Admin_DailyPred,MATCH($F57,Rango_Admin_DailyPred_Primera,0),0),"-")</f>
        <v>Haaland</v>
      </c>
      <c r="M57" s="429" t="str">
        <f ca="1">IFERROR(VLOOKUP(M$2,Rango_Admin_DailyPred,MATCH($F57,Rango_Admin_DailyPred_Primera,0),0),"-")</f>
        <v>Mbappé</v>
      </c>
      <c r="N57" s="429" t="str">
        <f ca="1">IFERROR(VLOOKUP(N$2,Rango_Admin_DailyPred,MATCH($F57,Rango_Admin_DailyPred_Primera,0),0),"-")</f>
        <v>Messi</v>
      </c>
      <c r="O57" s="429" t="str">
        <f ca="1">IFERROR(VLOOKUP(O$2,Rango_Admin_DailyPred,MATCH($F57,Rango_Admin_DailyPred_Primera,0),0),"-")</f>
        <v>NB</v>
      </c>
      <c r="P57" s="429" t="str">
        <f ca="1">IFERROR(VLOOKUP(P$2,Rango_Admin_DailyPred,MATCH($F57,Rango_Admin_DailyPred_Primera,0),0),"-")</f>
        <v>Olise</v>
      </c>
      <c r="Q57" s="429" t="str">
        <f ca="1">IFERROR(VLOOKUP(Q$2,Rango_Admin_DailyPred,MATCH($F57,Rango_Admin_DailyPred_Primera,0),0),"-")</f>
        <v>Haaland</v>
      </c>
      <c r="R57" s="429" t="str">
        <f ca="1">IFERROR(VLOOKUP(R$2,Rango_Admin_DailyPred,MATCH($F57,Rango_Admin_DailyPred_Primera,0),0),"-")</f>
        <v>-</v>
      </c>
      <c r="S57" s="429" t="str">
        <f ca="1">IFERROR(VLOOKUP(S$2,Rango_Admin_DailyPred,MATCH($F57,Rango_Admin_DailyPred_Primera,0),0),"-")</f>
        <v>-</v>
      </c>
      <c r="T57" s="429" t="str">
        <f ca="1">IFERROR(VLOOKUP(T$2,Rango_Admin_DailyPred,MATCH($F57,Rango_Admin_DailyPred_Primera,0),0),"-")</f>
        <v>-</v>
      </c>
      <c r="U57" s="429" t="str">
        <f ca="1">IFERROR(VLOOKUP(U$2,Rango_Admin_DailyPred,MATCH($F57,Rango_Admin_DailyPred_Primera,0),0),"-")</f>
        <v>-</v>
      </c>
      <c r="V57" s="429" t="str">
        <f ca="1">IFERROR(VLOOKUP(V$2,Rango_Admin_DailyPred,MATCH($F57,Rango_Admin_DailyPred_Primera,0),0),"-")</f>
        <v>-</v>
      </c>
      <c r="W57" s="429" t="str">
        <f ca="1">IFERROR(VLOOKUP(W$2,Rango_Admin_DailyPred,MATCH($F57,Rango_Admin_DailyPred_Primera,0),0),"-")</f>
        <v>-</v>
      </c>
      <c r="X57" s="429" t="str">
        <f ca="1">IFERROR(VLOOKUP(X$2,Rango_Admin_DailyPred,MATCH($F57,Rango_Admin_DailyPred_Primera,0),0),"-")</f>
        <v>-</v>
      </c>
      <c r="Y57" s="429" t="str">
        <f ca="1">IFERROR(VLOOKUP(Y$2,Rango_Admin_DailyPred,MATCH($F57,Rango_Admin_DailyPred_Primera,0),0),"-")</f>
        <v>-</v>
      </c>
      <c r="Z57" s="429" t="str">
        <f ca="1">IFERROR(VLOOKUP(Z$2,Rango_Admin_DailyPred,MATCH($F57,Rango_Admin_DailyPred_Primera,0),0),"-")</f>
        <v>-</v>
      </c>
      <c r="AA57" s="429" t="str">
        <f ca="1">IFERROR(VLOOKUP(AA$2,Rango_Admin_DailyPred,MATCH($F57,Rango_Admin_DailyPred_Primera,0),0),"-")</f>
        <v>-</v>
      </c>
      <c r="AB57" s="429" t="str">
        <f ca="1">IFERROR(VLOOKUP(AB$2,Rango_Admin_DailyPred,MATCH($F57,Rango_Admin_DailyPred_Primera,0),0),"-")</f>
        <v>-</v>
      </c>
      <c r="AC57" s="429" t="str">
        <f ca="1">IFERROR(VLOOKUP(AC$2,Rango_Admin_DailyPred,MATCH($F57,Rango_Admin_DailyPred_Primera,0),0),"-")</f>
        <v>-</v>
      </c>
      <c r="AD57" s="429" t="str">
        <f ca="1">IFERROR(VLOOKUP(AD$2,Rango_Admin_DailyPred,MATCH($F57,Rango_Admin_DailyPred_Primera,0),0),"-")</f>
        <v>-</v>
      </c>
      <c r="AE57" s="429" t="str">
        <f ca="1">IFERROR(VLOOKUP(AE$2,Rango_Admin_DailyPred,MATCH($F57,Rango_Admin_DailyPred_Primera,0),0),"-")</f>
        <v>-</v>
      </c>
      <c r="AF57" s="429" t="str">
        <f ca="1">IFERROR(VLOOKUP(AF$2,Rango_Admin_DailyPred,MATCH($F57,Rango_Admin_DailyPred_Primera,0),0),"-")</f>
        <v>-</v>
      </c>
      <c r="AG57" s="429" t="str">
        <f ca="1">IFERROR(VLOOKUP(AG$2,Rango_Admin_DailyPred,MATCH($F57,Rango_Admin_DailyPred_Primera,0),0),"-")</f>
        <v>-</v>
      </c>
      <c r="AH57" s="429" t="str">
        <f ca="1">IFERROR(VLOOKUP(AH$2,Rango_Admin_DailyPred,MATCH($F57,Rango_Admin_DailyPred_Primera,0),0),"-")</f>
        <v>-</v>
      </c>
      <c r="AI57" s="429" t="str">
        <f ca="1">IFERROR(VLOOKUP(AI$2,Rango_Admin_DailyPred,MATCH($F57,Rango_Admin_DailyPred_Primera,0),0),"-")</f>
        <v>-</v>
      </c>
      <c r="AJ57" s="429" t="str">
        <f ca="1">IFERROR(VLOOKUP(AJ$2,Rango_Admin_DailyPred,MATCH($F57,Rango_Admin_DailyPred_Primera,0),0),"-")</f>
        <v>-</v>
      </c>
      <c r="AK57" s="429" t="str">
        <f ca="1">IFERROR(VLOOKUP(AK$2,Rango_Admin_DailyPred,MATCH($F57,Rango_Admin_DailyPred_Primera,0),0),"-")</f>
        <v>-</v>
      </c>
      <c r="AL57" s="429" t="str">
        <f ca="1">IFERROR(VLOOKUP(AL$2,Rango_Admin_DailyPred,MATCH($F57,Rango_Admin_DailyPred_Primera,0),0),"-")</f>
        <v>-</v>
      </c>
      <c r="AM57" s="297"/>
      <c r="AN57" s="297"/>
      <c r="AO57" s="297"/>
    </row>
    <row r="58" spans="5:41">
      <c r="E58" s="19">
        <f t="shared" si="1"/>
        <v>171</v>
      </c>
      <c r="F58" s="448" t="str" cm="1">
        <f t="array" ref="F58">IFERROR(INDEX(Rango_Admin_DailyPred_Primera,1,E58),"-")</f>
        <v>Chantal Wolbers</v>
      </c>
      <c r="G58" s="429" t="str">
        <f ca="1">IFERROR(VLOOKUP(G$2,Rango_Admin_DailyPred,MATCH($F58,Rango_Admin_DailyPred_Primera,0),0),"-")</f>
        <v>France-Portugal·1|2-0</v>
      </c>
      <c r="H58" s="429" t="str">
        <f ca="1">IFERROR(VLOOKUP(H$2,Rango_Admin_DailyPred,MATCH($F58,Rango_Admin_DailyPred_Primera,0),0),"-")</f>
        <v>Spain-England·1|3-1</v>
      </c>
      <c r="I58" s="429" t="str">
        <f ca="1">IFERROR(VLOOKUP(I$2,Rango_Admin_DailyPred,MATCH($F58,Rango_Admin_DailyPred_Primera,0),0),"-")</f>
        <v>Spain</v>
      </c>
      <c r="J58" s="429" t="str">
        <f ca="1">IFERROR(VLOOKUP(J$2,Rango_Admin_DailyPred,MATCH($F58,Rango_Admin_DailyPred_Primera,0),0),"-")</f>
        <v>England</v>
      </c>
      <c r="K58" s="429" t="str">
        <f ca="1">IFERROR(VLOOKUP(K$2,Rango_Admin_DailyPred,MATCH($F58,Rango_Admin_DailyPred_Primera,0),0),"-")</f>
        <v>France</v>
      </c>
      <c r="L58" s="429" t="str">
        <f ca="1">IFERROR(VLOOKUP(L$2,Rango_Admin_DailyPred,MATCH($F58,Rango_Admin_DailyPred_Primera,0),0),"-")</f>
        <v>Mbappé</v>
      </c>
      <c r="M58" s="429" t="str">
        <f ca="1">IFERROR(VLOOKUP(M$2,Rango_Admin_DailyPred,MATCH($F58,Rango_Admin_DailyPred_Primera,0),0),"-")</f>
        <v>Kane</v>
      </c>
      <c r="N58" s="429" t="str">
        <f ca="1">IFERROR(VLOOKUP(N$2,Rango_Admin_DailyPred,MATCH($F58,Rango_Admin_DailyPred_Primera,0),0),"-")</f>
        <v>Oyarzabal</v>
      </c>
      <c r="O58" s="429" t="str">
        <f ca="1">IFERROR(VLOOKUP(O$2,Rango_Admin_DailyPred,MATCH($F58,Rango_Admin_DailyPred_Primera,0),0),"-")</f>
        <v>Kane</v>
      </c>
      <c r="P58" s="429" t="str">
        <f ca="1">IFERROR(VLOOKUP(P$2,Rango_Admin_DailyPred,MATCH($F58,Rango_Admin_DailyPred_Primera,0),0),"-")</f>
        <v>Mbappé</v>
      </c>
      <c r="Q58" s="429" t="str">
        <f ca="1">IFERROR(VLOOKUP(Q$2,Rango_Admin_DailyPred,MATCH($F58,Rango_Admin_DailyPred_Primera,0),0),"-")</f>
        <v>Messi</v>
      </c>
      <c r="R58" s="429" t="str">
        <f ca="1">IFERROR(VLOOKUP(R$2,Rango_Admin_DailyPred,MATCH($F58,Rango_Admin_DailyPred_Primera,0),0),"-")</f>
        <v>-</v>
      </c>
      <c r="S58" s="429" t="str">
        <f ca="1">IFERROR(VLOOKUP(S$2,Rango_Admin_DailyPred,MATCH($F58,Rango_Admin_DailyPred_Primera,0),0),"-")</f>
        <v>-</v>
      </c>
      <c r="T58" s="429" t="str">
        <f ca="1">IFERROR(VLOOKUP(T$2,Rango_Admin_DailyPred,MATCH($F58,Rango_Admin_DailyPred_Primera,0),0),"-")</f>
        <v>-</v>
      </c>
      <c r="U58" s="429" t="str">
        <f ca="1">IFERROR(VLOOKUP(U$2,Rango_Admin_DailyPred,MATCH($F58,Rango_Admin_DailyPred_Primera,0),0),"-")</f>
        <v>-</v>
      </c>
      <c r="V58" s="429" t="str">
        <f ca="1">IFERROR(VLOOKUP(V$2,Rango_Admin_DailyPred,MATCH($F58,Rango_Admin_DailyPred_Primera,0),0),"-")</f>
        <v>-</v>
      </c>
      <c r="W58" s="429" t="str">
        <f ca="1">IFERROR(VLOOKUP(W$2,Rango_Admin_DailyPred,MATCH($F58,Rango_Admin_DailyPred_Primera,0),0),"-")</f>
        <v>-</v>
      </c>
      <c r="X58" s="429" t="str">
        <f ca="1">IFERROR(VLOOKUP(X$2,Rango_Admin_DailyPred,MATCH($F58,Rango_Admin_DailyPred_Primera,0),0),"-")</f>
        <v>-</v>
      </c>
      <c r="Y58" s="429" t="str">
        <f ca="1">IFERROR(VLOOKUP(Y$2,Rango_Admin_DailyPred,MATCH($F58,Rango_Admin_DailyPred_Primera,0),0),"-")</f>
        <v>-</v>
      </c>
      <c r="Z58" s="429" t="str">
        <f ca="1">IFERROR(VLOOKUP(Z$2,Rango_Admin_DailyPred,MATCH($F58,Rango_Admin_DailyPred_Primera,0),0),"-")</f>
        <v>-</v>
      </c>
      <c r="AA58" s="429" t="str">
        <f ca="1">IFERROR(VLOOKUP(AA$2,Rango_Admin_DailyPred,MATCH($F58,Rango_Admin_DailyPred_Primera,0),0),"-")</f>
        <v>-</v>
      </c>
      <c r="AB58" s="429" t="str">
        <f ca="1">IFERROR(VLOOKUP(AB$2,Rango_Admin_DailyPred,MATCH($F58,Rango_Admin_DailyPred_Primera,0),0),"-")</f>
        <v>-</v>
      </c>
      <c r="AC58" s="429" t="str">
        <f ca="1">IFERROR(VLOOKUP(AC$2,Rango_Admin_DailyPred,MATCH($F58,Rango_Admin_DailyPred_Primera,0),0),"-")</f>
        <v>-</v>
      </c>
      <c r="AD58" s="429" t="str">
        <f ca="1">IFERROR(VLOOKUP(AD$2,Rango_Admin_DailyPred,MATCH($F58,Rango_Admin_DailyPred_Primera,0),0),"-")</f>
        <v>-</v>
      </c>
      <c r="AE58" s="429" t="str">
        <f ca="1">IFERROR(VLOOKUP(AE$2,Rango_Admin_DailyPred,MATCH($F58,Rango_Admin_DailyPred_Primera,0),0),"-")</f>
        <v>-</v>
      </c>
      <c r="AF58" s="429" t="str">
        <f ca="1">IFERROR(VLOOKUP(AF$2,Rango_Admin_DailyPred,MATCH($F58,Rango_Admin_DailyPred_Primera,0),0),"-")</f>
        <v>-</v>
      </c>
      <c r="AG58" s="429" t="str">
        <f ca="1">IFERROR(VLOOKUP(AG$2,Rango_Admin_DailyPred,MATCH($F58,Rango_Admin_DailyPred_Primera,0),0),"-")</f>
        <v>-</v>
      </c>
      <c r="AH58" s="429" t="str">
        <f ca="1">IFERROR(VLOOKUP(AH$2,Rango_Admin_DailyPred,MATCH($F58,Rango_Admin_DailyPred_Primera,0),0),"-")</f>
        <v>-</v>
      </c>
      <c r="AI58" s="429" t="str">
        <f ca="1">IFERROR(VLOOKUP(AI$2,Rango_Admin_DailyPred,MATCH($F58,Rango_Admin_DailyPred_Primera,0),0),"-")</f>
        <v>-</v>
      </c>
      <c r="AJ58" s="429" t="str">
        <f ca="1">IFERROR(VLOOKUP(AJ$2,Rango_Admin_DailyPred,MATCH($F58,Rango_Admin_DailyPred_Primera,0),0),"-")</f>
        <v>-</v>
      </c>
      <c r="AK58" s="429" t="str">
        <f ca="1">IFERROR(VLOOKUP(AK$2,Rango_Admin_DailyPred,MATCH($F58,Rango_Admin_DailyPred_Primera,0),0),"-")</f>
        <v>-</v>
      </c>
      <c r="AL58" s="429" t="str">
        <f ca="1">IFERROR(VLOOKUP(AL$2,Rango_Admin_DailyPred,MATCH($F58,Rango_Admin_DailyPred_Primera,0),0),"-")</f>
        <v>-</v>
      </c>
      <c r="AM58" s="297"/>
      <c r="AN58" s="297"/>
      <c r="AO58" s="297"/>
    </row>
    <row r="59" spans="5:41">
      <c r="E59" s="19">
        <f t="shared" si="1"/>
        <v>174</v>
      </c>
      <c r="F59" s="448" t="str" cm="1">
        <f t="array" ref="F59">IFERROR(INDEX(Rango_Admin_DailyPred_Primera,1,E59),"-")</f>
        <v>Luca Paloschi</v>
      </c>
      <c r="G59" s="429" t="str">
        <f ca="1">IFERROR(VLOOKUP(G$2,Rango_Admin_DailyPred,MATCH($F59,Rango_Admin_DailyPred_Primera,0),0),"-")</f>
        <v>France-Argentina·1|1-0</v>
      </c>
      <c r="H59" s="429" t="str">
        <f ca="1">IFERROR(VLOOKUP(H$2,Rango_Admin_DailyPred,MATCH($F59,Rango_Admin_DailyPred_Primera,0),0),"-")</f>
        <v>Spain-Brazil·1|2-1</v>
      </c>
      <c r="I59" s="429" t="str">
        <f ca="1">IFERROR(VLOOKUP(I$2,Rango_Admin_DailyPred,MATCH($F59,Rango_Admin_DailyPred_Primera,0),0),"-")</f>
        <v>Spain</v>
      </c>
      <c r="J59" s="429" t="str">
        <f ca="1">IFERROR(VLOOKUP(J$2,Rango_Admin_DailyPred,MATCH($F59,Rango_Admin_DailyPred_Primera,0),0),"-")</f>
        <v>Brazil</v>
      </c>
      <c r="K59" s="429" t="str">
        <f ca="1">IFERROR(VLOOKUP(K$2,Rango_Admin_DailyPred,MATCH($F59,Rango_Admin_DailyPred_Primera,0),0),"-")</f>
        <v>France</v>
      </c>
      <c r="L59" s="429" t="str">
        <f ca="1">IFERROR(VLOOKUP(L$2,Rango_Admin_DailyPred,MATCH($F59,Rango_Admin_DailyPred_Primera,0),0),"-")</f>
        <v>Harry kane</v>
      </c>
      <c r="M59" s="429" t="str">
        <f ca="1">IFERROR(VLOOKUP(M$2,Rango_Admin_DailyPred,MATCH($F59,Rango_Admin_DailyPred_Primera,0),0),"-")</f>
        <v>Lamine Yamal</v>
      </c>
      <c r="N59" s="429" t="str">
        <f ca="1">IFERROR(VLOOKUP(N$2,Rango_Admin_DailyPred,MATCH($F59,Rango_Admin_DailyPred_Primera,0),0),"-")</f>
        <v xml:space="preserve">Kylian Mbappe </v>
      </c>
      <c r="O59" s="429" t="str">
        <f ca="1">IFERROR(VLOOKUP(O$2,Rango_Admin_DailyPred,MATCH($F59,Rango_Admin_DailyPred_Primera,0),0),"-")</f>
        <v>Lamine Yamal</v>
      </c>
      <c r="P59" s="429" t="str">
        <f ca="1">IFERROR(VLOOKUP(P$2,Rango_Admin_DailyPred,MATCH($F59,Rango_Admin_DailyPred_Primera,0),0),"-")</f>
        <v xml:space="preserve">Desire Doue </v>
      </c>
      <c r="Q59" s="429" t="str">
        <f ca="1">IFERROR(VLOOKUP(Q$2,Rango_Admin_DailyPred,MATCH($F59,Rango_Admin_DailyPred_Primera,0),0),"-")</f>
        <v>Micheal olise</v>
      </c>
      <c r="R59" s="429" t="str">
        <f ca="1">IFERROR(VLOOKUP(R$2,Rango_Admin_DailyPred,MATCH($F59,Rango_Admin_DailyPred_Primera,0),0),"-")</f>
        <v>-</v>
      </c>
      <c r="S59" s="429" t="str">
        <f ca="1">IFERROR(VLOOKUP(S$2,Rango_Admin_DailyPred,MATCH($F59,Rango_Admin_DailyPred_Primera,0),0),"-")</f>
        <v>-</v>
      </c>
      <c r="T59" s="429" t="str">
        <f ca="1">IFERROR(VLOOKUP(T$2,Rango_Admin_DailyPred,MATCH($F59,Rango_Admin_DailyPred_Primera,0),0),"-")</f>
        <v>-</v>
      </c>
      <c r="U59" s="429" t="str">
        <f ca="1">IFERROR(VLOOKUP(U$2,Rango_Admin_DailyPred,MATCH($F59,Rango_Admin_DailyPred_Primera,0),0),"-")</f>
        <v>-</v>
      </c>
      <c r="V59" s="429" t="str">
        <f ca="1">IFERROR(VLOOKUP(V$2,Rango_Admin_DailyPred,MATCH($F59,Rango_Admin_DailyPred_Primera,0),0),"-")</f>
        <v>-</v>
      </c>
      <c r="W59" s="429" t="str">
        <f ca="1">IFERROR(VLOOKUP(W$2,Rango_Admin_DailyPred,MATCH($F59,Rango_Admin_DailyPred_Primera,0),0),"-")</f>
        <v>-</v>
      </c>
      <c r="X59" s="429" t="str">
        <f ca="1">IFERROR(VLOOKUP(X$2,Rango_Admin_DailyPred,MATCH($F59,Rango_Admin_DailyPred_Primera,0),0),"-")</f>
        <v>-</v>
      </c>
      <c r="Y59" s="429" t="str">
        <f ca="1">IFERROR(VLOOKUP(Y$2,Rango_Admin_DailyPred,MATCH($F59,Rango_Admin_DailyPred_Primera,0),0),"-")</f>
        <v>-</v>
      </c>
      <c r="Z59" s="429" t="str">
        <f ca="1">IFERROR(VLOOKUP(Z$2,Rango_Admin_DailyPred,MATCH($F59,Rango_Admin_DailyPred_Primera,0),0),"-")</f>
        <v>-</v>
      </c>
      <c r="AA59" s="429" t="str">
        <f ca="1">IFERROR(VLOOKUP(AA$2,Rango_Admin_DailyPred,MATCH($F59,Rango_Admin_DailyPred_Primera,0),0),"-")</f>
        <v>-</v>
      </c>
      <c r="AB59" s="429" t="str">
        <f ca="1">IFERROR(VLOOKUP(AB$2,Rango_Admin_DailyPred,MATCH($F59,Rango_Admin_DailyPred_Primera,0),0),"-")</f>
        <v>-</v>
      </c>
      <c r="AC59" s="429" t="str">
        <f ca="1">IFERROR(VLOOKUP(AC$2,Rango_Admin_DailyPred,MATCH($F59,Rango_Admin_DailyPred_Primera,0),0),"-")</f>
        <v>-</v>
      </c>
      <c r="AD59" s="429" t="str">
        <f ca="1">IFERROR(VLOOKUP(AD$2,Rango_Admin_DailyPred,MATCH($F59,Rango_Admin_DailyPred_Primera,0),0),"-")</f>
        <v>-</v>
      </c>
      <c r="AE59" s="429" t="str">
        <f ca="1">IFERROR(VLOOKUP(AE$2,Rango_Admin_DailyPred,MATCH($F59,Rango_Admin_DailyPred_Primera,0),0),"-")</f>
        <v>-</v>
      </c>
      <c r="AF59" s="429" t="str">
        <f ca="1">IFERROR(VLOOKUP(AF$2,Rango_Admin_DailyPred,MATCH($F59,Rango_Admin_DailyPred_Primera,0),0),"-")</f>
        <v>-</v>
      </c>
      <c r="AG59" s="429" t="str">
        <f ca="1">IFERROR(VLOOKUP(AG$2,Rango_Admin_DailyPred,MATCH($F59,Rango_Admin_DailyPred_Primera,0),0),"-")</f>
        <v>-</v>
      </c>
      <c r="AH59" s="429" t="str">
        <f ca="1">IFERROR(VLOOKUP(AH$2,Rango_Admin_DailyPred,MATCH($F59,Rango_Admin_DailyPred_Primera,0),0),"-")</f>
        <v>-</v>
      </c>
      <c r="AI59" s="429" t="str">
        <f ca="1">IFERROR(VLOOKUP(AI$2,Rango_Admin_DailyPred,MATCH($F59,Rango_Admin_DailyPred_Primera,0),0),"-")</f>
        <v>-</v>
      </c>
      <c r="AJ59" s="429" t="str">
        <f ca="1">IFERROR(VLOOKUP(AJ$2,Rango_Admin_DailyPred,MATCH($F59,Rango_Admin_DailyPred_Primera,0),0),"-")</f>
        <v>-</v>
      </c>
      <c r="AK59" s="429" t="str">
        <f ca="1">IFERROR(VLOOKUP(AK$2,Rango_Admin_DailyPred,MATCH($F59,Rango_Admin_DailyPred_Primera,0),0),"-")</f>
        <v>-</v>
      </c>
      <c r="AL59" s="429" t="str">
        <f ca="1">IFERROR(VLOOKUP(AL$2,Rango_Admin_DailyPred,MATCH($F59,Rango_Admin_DailyPred_Primera,0),0),"-")</f>
        <v>-</v>
      </c>
      <c r="AM59" s="297"/>
      <c r="AN59" s="297"/>
      <c r="AO59" s="297"/>
    </row>
    <row r="60" spans="5:41">
      <c r="E60" s="19">
        <f t="shared" si="1"/>
        <v>177</v>
      </c>
      <c r="F60" s="448" t="str" cm="1">
        <f t="array" ref="F60">IFERROR(INDEX(Rango_Admin_DailyPred_Primera,1,E60),"-")</f>
        <v>Sven Schlichter</v>
      </c>
      <c r="G60" s="429" t="str">
        <f ca="1">IFERROR(VLOOKUP(G$2,Rango_Admin_DailyPred,MATCH($F60,Rango_Admin_DailyPred_Primera,0),0),"-")</f>
        <v>Spain-England·1|1-0</v>
      </c>
      <c r="H60" s="429" t="str">
        <f ca="1">IFERROR(VLOOKUP(H$2,Rango_Admin_DailyPred,MATCH($F60,Rango_Admin_DailyPred_Primera,0),0),"-")</f>
        <v>Netherlands-Argentina·1|2-1</v>
      </c>
      <c r="I60" s="429" t="str">
        <f ca="1">IFERROR(VLOOKUP(I$2,Rango_Admin_DailyPred,MATCH($F60,Rango_Admin_DailyPred_Primera,0),0),"-")</f>
        <v>Netherlands</v>
      </c>
      <c r="J60" s="429" t="str">
        <f ca="1">IFERROR(VLOOKUP(J$2,Rango_Admin_DailyPred,MATCH($F60,Rango_Admin_DailyPred_Primera,0),0),"-")</f>
        <v>Argentina</v>
      </c>
      <c r="K60" s="429" t="str">
        <f ca="1">IFERROR(VLOOKUP(K$2,Rango_Admin_DailyPred,MATCH($F60,Rango_Admin_DailyPred_Primera,0),0),"-")</f>
        <v>Spain</v>
      </c>
      <c r="L60" s="429" t="str">
        <f ca="1">IFERROR(VLOOKUP(L$2,Rango_Admin_DailyPred,MATCH($F60,Rango_Admin_DailyPred_Primera,0),0),"-")</f>
        <v>Haaland</v>
      </c>
      <c r="M60" s="429" t="str">
        <f ca="1">IFERROR(VLOOKUP(M$2,Rango_Admin_DailyPred,MATCH($F60,Rango_Admin_DailyPred_Primera,0),0),"-")</f>
        <v>Kane</v>
      </c>
      <c r="N60" s="429" t="str">
        <f ca="1">IFERROR(VLOOKUP(N$2,Rango_Admin_DailyPred,MATCH($F60,Rango_Admin_DailyPred_Primera,0),0),"-")</f>
        <v>Mbape</v>
      </c>
      <c r="O60" s="429" t="str">
        <f ca="1">IFERROR(VLOOKUP(O$2,Rango_Admin_DailyPred,MATCH($F60,Rango_Admin_DailyPred_Primera,0),0),"-")</f>
        <v>Van Dijk</v>
      </c>
      <c r="P60" s="429" t="str">
        <f ca="1">IFERROR(VLOOKUP(P$2,Rango_Admin_DailyPred,MATCH($F60,Rango_Admin_DailyPred_Primera,0),0),"-")</f>
        <v>Yan Diomande</v>
      </c>
      <c r="Q60" s="429" t="str">
        <f ca="1">IFERROR(VLOOKUP(Q$2,Rango_Admin_DailyPred,MATCH($F60,Rango_Admin_DailyPred_Primera,0),0),"-")</f>
        <v>Yamal</v>
      </c>
      <c r="R60" s="429" t="str">
        <f ca="1">IFERROR(VLOOKUP(R$2,Rango_Admin_DailyPred,MATCH($F60,Rango_Admin_DailyPred_Primera,0),0),"-")</f>
        <v>-</v>
      </c>
      <c r="S60" s="429" t="str">
        <f ca="1">IFERROR(VLOOKUP(S$2,Rango_Admin_DailyPred,MATCH($F60,Rango_Admin_DailyPred_Primera,0),0),"-")</f>
        <v>-</v>
      </c>
      <c r="T60" s="429" t="str">
        <f ca="1">IFERROR(VLOOKUP(T$2,Rango_Admin_DailyPred,MATCH($F60,Rango_Admin_DailyPred_Primera,0),0),"-")</f>
        <v>-</v>
      </c>
      <c r="U60" s="429" t="str">
        <f ca="1">IFERROR(VLOOKUP(U$2,Rango_Admin_DailyPred,MATCH($F60,Rango_Admin_DailyPred_Primera,0),0),"-")</f>
        <v>-</v>
      </c>
      <c r="V60" s="429" t="str">
        <f ca="1">IFERROR(VLOOKUP(V$2,Rango_Admin_DailyPred,MATCH($F60,Rango_Admin_DailyPred_Primera,0),0),"-")</f>
        <v>-</v>
      </c>
      <c r="W60" s="429" t="str">
        <f ca="1">IFERROR(VLOOKUP(W$2,Rango_Admin_DailyPred,MATCH($F60,Rango_Admin_DailyPred_Primera,0),0),"-")</f>
        <v>-</v>
      </c>
      <c r="X60" s="429" t="str">
        <f ca="1">IFERROR(VLOOKUP(X$2,Rango_Admin_DailyPred,MATCH($F60,Rango_Admin_DailyPred_Primera,0),0),"-")</f>
        <v>-</v>
      </c>
      <c r="Y60" s="429" t="str">
        <f ca="1">IFERROR(VLOOKUP(Y$2,Rango_Admin_DailyPred,MATCH($F60,Rango_Admin_DailyPred_Primera,0),0),"-")</f>
        <v>-</v>
      </c>
      <c r="Z60" s="429" t="str">
        <f ca="1">IFERROR(VLOOKUP(Z$2,Rango_Admin_DailyPred,MATCH($F60,Rango_Admin_DailyPred_Primera,0),0),"-")</f>
        <v>-</v>
      </c>
      <c r="AA60" s="429" t="str">
        <f ca="1">IFERROR(VLOOKUP(AA$2,Rango_Admin_DailyPred,MATCH($F60,Rango_Admin_DailyPred_Primera,0),0),"-")</f>
        <v>-</v>
      </c>
      <c r="AB60" s="429" t="str">
        <f ca="1">IFERROR(VLOOKUP(AB$2,Rango_Admin_DailyPred,MATCH($F60,Rango_Admin_DailyPred_Primera,0),0),"-")</f>
        <v>-</v>
      </c>
      <c r="AC60" s="429" t="str">
        <f ca="1">IFERROR(VLOOKUP(AC$2,Rango_Admin_DailyPred,MATCH($F60,Rango_Admin_DailyPred_Primera,0),0),"-")</f>
        <v>-</v>
      </c>
      <c r="AD60" s="429" t="str">
        <f ca="1">IFERROR(VLOOKUP(AD$2,Rango_Admin_DailyPred,MATCH($F60,Rango_Admin_DailyPred_Primera,0),0),"-")</f>
        <v>-</v>
      </c>
      <c r="AE60" s="429" t="str">
        <f ca="1">IFERROR(VLOOKUP(AE$2,Rango_Admin_DailyPred,MATCH($F60,Rango_Admin_DailyPred_Primera,0),0),"-")</f>
        <v>-</v>
      </c>
      <c r="AF60" s="429" t="str">
        <f ca="1">IFERROR(VLOOKUP(AF$2,Rango_Admin_DailyPred,MATCH($F60,Rango_Admin_DailyPred_Primera,0),0),"-")</f>
        <v>-</v>
      </c>
      <c r="AG60" s="429" t="str">
        <f ca="1">IFERROR(VLOOKUP(AG$2,Rango_Admin_DailyPred,MATCH($F60,Rango_Admin_DailyPred_Primera,0),0),"-")</f>
        <v>-</v>
      </c>
      <c r="AH60" s="429" t="str">
        <f ca="1">IFERROR(VLOOKUP(AH$2,Rango_Admin_DailyPred,MATCH($F60,Rango_Admin_DailyPred_Primera,0),0),"-")</f>
        <v>-</v>
      </c>
      <c r="AI60" s="429" t="str">
        <f ca="1">IFERROR(VLOOKUP(AI$2,Rango_Admin_DailyPred,MATCH($F60,Rango_Admin_DailyPred_Primera,0),0),"-")</f>
        <v>-</v>
      </c>
      <c r="AJ60" s="429" t="str">
        <f ca="1">IFERROR(VLOOKUP(AJ$2,Rango_Admin_DailyPred,MATCH($F60,Rango_Admin_DailyPred_Primera,0),0),"-")</f>
        <v>-</v>
      </c>
      <c r="AK60" s="429" t="str">
        <f ca="1">IFERROR(VLOOKUP(AK$2,Rango_Admin_DailyPred,MATCH($F60,Rango_Admin_DailyPred_Primera,0),0),"-")</f>
        <v>-</v>
      </c>
      <c r="AL60" s="429" t="str">
        <f ca="1">IFERROR(VLOOKUP(AL$2,Rango_Admin_DailyPred,MATCH($F60,Rango_Admin_DailyPred_Primera,0),0),"-")</f>
        <v>-</v>
      </c>
      <c r="AM60" s="297"/>
      <c r="AN60" s="297"/>
      <c r="AO60" s="297"/>
    </row>
    <row r="61" spans="5:41">
      <c r="E61" s="19">
        <f t="shared" si="1"/>
        <v>180</v>
      </c>
      <c r="F61" s="448" t="str" cm="1">
        <f t="array" ref="F61">IFERROR(INDEX(Rango_Admin_DailyPred_Primera,1,E61),"-")</f>
        <v>Nick van Soest</v>
      </c>
      <c r="G61" s="429" t="str">
        <f ca="1">IFERROR(VLOOKUP(G$2,Rango_Admin_DailyPred,MATCH($F61,Rango_Admin_DailyPred_Primera,0),0),"-")</f>
        <v>Spain-Portugal·X|2-2</v>
      </c>
      <c r="H61" s="429" t="str">
        <f ca="1">IFERROR(VLOOKUP(H$2,Rango_Admin_DailyPred,MATCH($F61,Rango_Admin_DailyPred_Primera,0),0),"-")</f>
        <v>France-Brazil·1|2-0</v>
      </c>
      <c r="I61" s="429" t="str">
        <f ca="1">IFERROR(VLOOKUP(I$2,Rango_Admin_DailyPred,MATCH($F61,Rango_Admin_DailyPred_Primera,0),0),"-")</f>
        <v>France</v>
      </c>
      <c r="J61" s="429" t="str">
        <f ca="1">IFERROR(VLOOKUP(J$2,Rango_Admin_DailyPred,MATCH($F61,Rango_Admin_DailyPred_Primera,0),0),"-")</f>
        <v>Brazil</v>
      </c>
      <c r="K61" s="429" t="str">
        <f ca="1">IFERROR(VLOOKUP(K$2,Rango_Admin_DailyPred,MATCH($F61,Rango_Admin_DailyPred_Primera,0),0),"-")</f>
        <v>Portugal</v>
      </c>
      <c r="L61" s="429" t="str">
        <f ca="1">IFERROR(VLOOKUP(L$2,Rango_Admin_DailyPred,MATCH($F61,Rango_Admin_DailyPred_Primera,0),0),"-")</f>
        <v>Mbappé</v>
      </c>
      <c r="M61" s="429" t="str">
        <f ca="1">IFERROR(VLOOKUP(M$2,Rango_Admin_DailyPred,MATCH($F61,Rango_Admin_DailyPred_Primera,0),0),"-")</f>
        <v>Vinicius Júnior</v>
      </c>
      <c r="N61" s="429" t="str">
        <f ca="1">IFERROR(VLOOKUP(N$2,Rango_Admin_DailyPred,MATCH($F61,Rango_Admin_DailyPred_Primera,0),0),"-")</f>
        <v>Michael Olise</v>
      </c>
      <c r="O61" s="429" t="str">
        <f ca="1">IFERROR(VLOOKUP(O$2,Rango_Admin_DailyPred,MATCH($F61,Rango_Admin_DailyPred_Primera,0),0),"-")</f>
        <v>Kylian Mbappé</v>
      </c>
      <c r="P61" s="429" t="str">
        <f ca="1">IFERROR(VLOOKUP(P$2,Rango_Admin_DailyPred,MATCH($F61,Rango_Admin_DailyPred_Primera,0),0),"-")</f>
        <v>Gabriel Magalhães</v>
      </c>
      <c r="Q61" s="429" t="str">
        <f ca="1">IFERROR(VLOOKUP(Q$2,Rango_Admin_DailyPred,MATCH($F61,Rango_Admin_DailyPred_Primera,0),0),"-")</f>
        <v>Vinicius Júnior</v>
      </c>
      <c r="R61" s="429" t="str">
        <f ca="1">IFERROR(VLOOKUP(R$2,Rango_Admin_DailyPred,MATCH($F61,Rango_Admin_DailyPred_Primera,0),0),"-")</f>
        <v>-</v>
      </c>
      <c r="S61" s="429" t="str">
        <f ca="1">IFERROR(VLOOKUP(S$2,Rango_Admin_DailyPred,MATCH($F61,Rango_Admin_DailyPred_Primera,0),0),"-")</f>
        <v>-</v>
      </c>
      <c r="T61" s="429" t="str">
        <f ca="1">IFERROR(VLOOKUP(T$2,Rango_Admin_DailyPred,MATCH($F61,Rango_Admin_DailyPred_Primera,0),0),"-")</f>
        <v>-</v>
      </c>
      <c r="U61" s="429" t="str">
        <f ca="1">IFERROR(VLOOKUP(U$2,Rango_Admin_DailyPred,MATCH($F61,Rango_Admin_DailyPred_Primera,0),0),"-")</f>
        <v>-</v>
      </c>
      <c r="V61" s="429" t="str">
        <f ca="1">IFERROR(VLOOKUP(V$2,Rango_Admin_DailyPred,MATCH($F61,Rango_Admin_DailyPred_Primera,0),0),"-")</f>
        <v>-</v>
      </c>
      <c r="W61" s="429" t="str">
        <f ca="1">IFERROR(VLOOKUP(W$2,Rango_Admin_DailyPred,MATCH($F61,Rango_Admin_DailyPred_Primera,0),0),"-")</f>
        <v>-</v>
      </c>
      <c r="X61" s="429" t="str">
        <f ca="1">IFERROR(VLOOKUP(X$2,Rango_Admin_DailyPred,MATCH($F61,Rango_Admin_DailyPred_Primera,0),0),"-")</f>
        <v>-</v>
      </c>
      <c r="Y61" s="429" t="str">
        <f ca="1">IFERROR(VLOOKUP(Y$2,Rango_Admin_DailyPred,MATCH($F61,Rango_Admin_DailyPred_Primera,0),0),"-")</f>
        <v>-</v>
      </c>
      <c r="Z61" s="429" t="str">
        <f ca="1">IFERROR(VLOOKUP(Z$2,Rango_Admin_DailyPred,MATCH($F61,Rango_Admin_DailyPred_Primera,0),0),"-")</f>
        <v>-</v>
      </c>
      <c r="AA61" s="429" t="str">
        <f ca="1">IFERROR(VLOOKUP(AA$2,Rango_Admin_DailyPred,MATCH($F61,Rango_Admin_DailyPred_Primera,0),0),"-")</f>
        <v>-</v>
      </c>
      <c r="AB61" s="429" t="str">
        <f ca="1">IFERROR(VLOOKUP(AB$2,Rango_Admin_DailyPred,MATCH($F61,Rango_Admin_DailyPred_Primera,0),0),"-")</f>
        <v>-</v>
      </c>
      <c r="AC61" s="429" t="str">
        <f ca="1">IFERROR(VLOOKUP(AC$2,Rango_Admin_DailyPred,MATCH($F61,Rango_Admin_DailyPred_Primera,0),0),"-")</f>
        <v>-</v>
      </c>
      <c r="AD61" s="429" t="str">
        <f ca="1">IFERROR(VLOOKUP(AD$2,Rango_Admin_DailyPred,MATCH($F61,Rango_Admin_DailyPred_Primera,0),0),"-")</f>
        <v>-</v>
      </c>
      <c r="AE61" s="429" t="str">
        <f ca="1">IFERROR(VLOOKUP(AE$2,Rango_Admin_DailyPred,MATCH($F61,Rango_Admin_DailyPred_Primera,0),0),"-")</f>
        <v>-</v>
      </c>
      <c r="AF61" s="429" t="str">
        <f ca="1">IFERROR(VLOOKUP(AF$2,Rango_Admin_DailyPred,MATCH($F61,Rango_Admin_DailyPred_Primera,0),0),"-")</f>
        <v>-</v>
      </c>
      <c r="AG61" s="429" t="str">
        <f ca="1">IFERROR(VLOOKUP(AG$2,Rango_Admin_DailyPred,MATCH($F61,Rango_Admin_DailyPred_Primera,0),0),"-")</f>
        <v>-</v>
      </c>
      <c r="AH61" s="429" t="str">
        <f ca="1">IFERROR(VLOOKUP(AH$2,Rango_Admin_DailyPred,MATCH($F61,Rango_Admin_DailyPred_Primera,0),0),"-")</f>
        <v>-</v>
      </c>
      <c r="AI61" s="429" t="str">
        <f ca="1">IFERROR(VLOOKUP(AI$2,Rango_Admin_DailyPred,MATCH($F61,Rango_Admin_DailyPred_Primera,0),0),"-")</f>
        <v>-</v>
      </c>
      <c r="AJ61" s="429" t="str">
        <f ca="1">IFERROR(VLOOKUP(AJ$2,Rango_Admin_DailyPred,MATCH($F61,Rango_Admin_DailyPred_Primera,0),0),"-")</f>
        <v>-</v>
      </c>
      <c r="AK61" s="429" t="str">
        <f ca="1">IFERROR(VLOOKUP(AK$2,Rango_Admin_DailyPred,MATCH($F61,Rango_Admin_DailyPred_Primera,0),0),"-")</f>
        <v>-</v>
      </c>
      <c r="AL61" s="429" t="str">
        <f ca="1">IFERROR(VLOOKUP(AL$2,Rango_Admin_DailyPred,MATCH($F61,Rango_Admin_DailyPred_Primera,0),0),"-")</f>
        <v>-</v>
      </c>
      <c r="AM61" s="297"/>
      <c r="AN61" s="297"/>
      <c r="AO61" s="297"/>
    </row>
    <row r="62" spans="5:41">
      <c r="E62" s="19">
        <f t="shared" si="1"/>
        <v>183</v>
      </c>
      <c r="F62" s="448" t="str" cm="1">
        <f t="array" ref="F62">IFERROR(INDEX(Rango_Admin_DailyPred_Primera,1,E62),"-")</f>
        <v>Niek Pampiermole</v>
      </c>
      <c r="G62" s="429" t="str">
        <f ca="1">IFERROR(VLOOKUP(G$2,Rango_Admin_DailyPred,MATCH($F62,Rango_Admin_DailyPred_Primera,0),0),"-")</f>
        <v>Spain-England·1|2-1</v>
      </c>
      <c r="H62" s="429" t="str">
        <f ca="1">IFERROR(VLOOKUP(H$2,Rango_Admin_DailyPred,MATCH($F62,Rango_Admin_DailyPred_Primera,0),0),"-")</f>
        <v>Netherlands-Portugal·1|1-0</v>
      </c>
      <c r="I62" s="429" t="str">
        <f ca="1">IFERROR(VLOOKUP(I$2,Rango_Admin_DailyPred,MATCH($F62,Rango_Admin_DailyPred_Primera,0),0),"-")</f>
        <v>Netherlands</v>
      </c>
      <c r="J62" s="429" t="str">
        <f ca="1">IFERROR(VLOOKUP(J$2,Rango_Admin_DailyPred,MATCH($F62,Rango_Admin_DailyPred_Primera,0),0),"-")</f>
        <v>Portugal</v>
      </c>
      <c r="K62" s="429" t="str">
        <f ca="1">IFERROR(VLOOKUP(K$2,Rango_Admin_DailyPred,MATCH($F62,Rango_Admin_DailyPred_Primera,0),0),"-")</f>
        <v>Spain</v>
      </c>
      <c r="L62" s="429" t="str">
        <f ca="1">IFERROR(VLOOKUP(L$2,Rango_Admin_DailyPred,MATCH($F62,Rango_Admin_DailyPred_Primera,0),0),"-")</f>
        <v>Harry Kane</v>
      </c>
      <c r="M62" s="429" t="str">
        <f ca="1">IFERROR(VLOOKUP(M$2,Rango_Admin_DailyPred,MATCH($F62,Rango_Admin_DailyPred_Primera,0),0),"-")</f>
        <v>Christiano Ronaldo</v>
      </c>
      <c r="N62" s="429" t="str">
        <f ca="1">IFERROR(VLOOKUP(N$2,Rango_Admin_DailyPred,MATCH($F62,Rango_Admin_DailyPred_Primera,0),0),"-")</f>
        <v>Killian Mbappe</v>
      </c>
      <c r="O62" s="429" t="str">
        <f ca="1">IFERROR(VLOOKUP(O$2,Rango_Admin_DailyPred,MATCH($F62,Rango_Admin_DailyPred_Primera,0),0),"-")</f>
        <v>Lionel Messi</v>
      </c>
      <c r="P62" s="429" t="str">
        <f ca="1">IFERROR(VLOOKUP(P$2,Rango_Admin_DailyPred,MATCH($F62,Rango_Admin_DailyPred_Primera,0),0),"-")</f>
        <v>Jude Bellingham</v>
      </c>
      <c r="Q62" s="429" t="str">
        <f ca="1">IFERROR(VLOOKUP(Q$2,Rango_Admin_DailyPred,MATCH($F62,Rango_Admin_DailyPred_Primera,0),0),"-")</f>
        <v>Virgil van Dijk</v>
      </c>
      <c r="R62" s="429" t="str">
        <f ca="1">IFERROR(VLOOKUP(R$2,Rango_Admin_DailyPred,MATCH($F62,Rango_Admin_DailyPred_Primera,0),0),"-")</f>
        <v>-</v>
      </c>
      <c r="S62" s="429" t="str">
        <f ca="1">IFERROR(VLOOKUP(S$2,Rango_Admin_DailyPred,MATCH($F62,Rango_Admin_DailyPred_Primera,0),0),"-")</f>
        <v>-</v>
      </c>
      <c r="T62" s="429" t="str">
        <f ca="1">IFERROR(VLOOKUP(T$2,Rango_Admin_DailyPred,MATCH($F62,Rango_Admin_DailyPred_Primera,0),0),"-")</f>
        <v>-</v>
      </c>
      <c r="U62" s="429" t="str">
        <f ca="1">IFERROR(VLOOKUP(U$2,Rango_Admin_DailyPred,MATCH($F62,Rango_Admin_DailyPred_Primera,0),0),"-")</f>
        <v>-</v>
      </c>
      <c r="V62" s="429" t="str">
        <f ca="1">IFERROR(VLOOKUP(V$2,Rango_Admin_DailyPred,MATCH($F62,Rango_Admin_DailyPred_Primera,0),0),"-")</f>
        <v>-</v>
      </c>
      <c r="W62" s="429" t="str">
        <f ca="1">IFERROR(VLOOKUP(W$2,Rango_Admin_DailyPred,MATCH($F62,Rango_Admin_DailyPred_Primera,0),0),"-")</f>
        <v>-</v>
      </c>
      <c r="X62" s="429" t="str">
        <f ca="1">IFERROR(VLOOKUP(X$2,Rango_Admin_DailyPred,MATCH($F62,Rango_Admin_DailyPred_Primera,0),0),"-")</f>
        <v>-</v>
      </c>
      <c r="Y62" s="429" t="str">
        <f ca="1">IFERROR(VLOOKUP(Y$2,Rango_Admin_DailyPred,MATCH($F62,Rango_Admin_DailyPred_Primera,0),0),"-")</f>
        <v>-</v>
      </c>
      <c r="Z62" s="429" t="str">
        <f ca="1">IFERROR(VLOOKUP(Z$2,Rango_Admin_DailyPred,MATCH($F62,Rango_Admin_DailyPred_Primera,0),0),"-")</f>
        <v>-</v>
      </c>
      <c r="AA62" s="429" t="str">
        <f ca="1">IFERROR(VLOOKUP(AA$2,Rango_Admin_DailyPred,MATCH($F62,Rango_Admin_DailyPred_Primera,0),0),"-")</f>
        <v>-</v>
      </c>
      <c r="AB62" s="429" t="str">
        <f ca="1">IFERROR(VLOOKUP(AB$2,Rango_Admin_DailyPred,MATCH($F62,Rango_Admin_DailyPred_Primera,0),0),"-")</f>
        <v>-</v>
      </c>
      <c r="AC62" s="429" t="str">
        <f ca="1">IFERROR(VLOOKUP(AC$2,Rango_Admin_DailyPred,MATCH($F62,Rango_Admin_DailyPred_Primera,0),0),"-")</f>
        <v>-</v>
      </c>
      <c r="AD62" s="429" t="str">
        <f ca="1">IFERROR(VLOOKUP(AD$2,Rango_Admin_DailyPred,MATCH($F62,Rango_Admin_DailyPred_Primera,0),0),"-")</f>
        <v>-</v>
      </c>
      <c r="AE62" s="429" t="str">
        <f ca="1">IFERROR(VLOOKUP(AE$2,Rango_Admin_DailyPred,MATCH($F62,Rango_Admin_DailyPred_Primera,0),0),"-")</f>
        <v>-</v>
      </c>
      <c r="AF62" s="429" t="str">
        <f ca="1">IFERROR(VLOOKUP(AF$2,Rango_Admin_DailyPred,MATCH($F62,Rango_Admin_DailyPred_Primera,0),0),"-")</f>
        <v>-</v>
      </c>
      <c r="AG62" s="429" t="str">
        <f ca="1">IFERROR(VLOOKUP(AG$2,Rango_Admin_DailyPred,MATCH($F62,Rango_Admin_DailyPred_Primera,0),0),"-")</f>
        <v>-</v>
      </c>
      <c r="AH62" s="429" t="str">
        <f ca="1">IFERROR(VLOOKUP(AH$2,Rango_Admin_DailyPred,MATCH($F62,Rango_Admin_DailyPred_Primera,0),0),"-")</f>
        <v>-</v>
      </c>
      <c r="AI62" s="429" t="str">
        <f ca="1">IFERROR(VLOOKUP(AI$2,Rango_Admin_DailyPred,MATCH($F62,Rango_Admin_DailyPred_Primera,0),0),"-")</f>
        <v>-</v>
      </c>
      <c r="AJ62" s="429" t="str">
        <f ca="1">IFERROR(VLOOKUP(AJ$2,Rango_Admin_DailyPred,MATCH($F62,Rango_Admin_DailyPred_Primera,0),0),"-")</f>
        <v>-</v>
      </c>
      <c r="AK62" s="429" t="str">
        <f ca="1">IFERROR(VLOOKUP(AK$2,Rango_Admin_DailyPred,MATCH($F62,Rango_Admin_DailyPred_Primera,0),0),"-")</f>
        <v>-</v>
      </c>
      <c r="AL62" s="429" t="str">
        <f ca="1">IFERROR(VLOOKUP(AL$2,Rango_Admin_DailyPred,MATCH($F62,Rango_Admin_DailyPred_Primera,0),0),"-")</f>
        <v>-</v>
      </c>
      <c r="AM62" s="297"/>
      <c r="AN62" s="297"/>
      <c r="AO62" s="297"/>
    </row>
    <row r="63" spans="5:41">
      <c r="E63" s="19">
        <f t="shared" si="1"/>
        <v>186</v>
      </c>
      <c r="F63" s="448" t="str" cm="1">
        <f t="array" ref="F63">IFERROR(INDEX(Rango_Admin_DailyPred_Primera,1,E63),"-")</f>
        <v>-</v>
      </c>
      <c r="G63" s="429" t="str">
        <f ca="1">IFERROR(VLOOKUP(G$2,Rango_Admin_DailyPred,MATCH($F63,Rango_Admin_DailyPred_Primera,0),0),"-")</f>
        <v>-</v>
      </c>
      <c r="H63" s="429" t="str">
        <f ca="1">IFERROR(VLOOKUP(H$2,Rango_Admin_DailyPred,MATCH($F63,Rango_Admin_DailyPred_Primera,0),0),"-")</f>
        <v>-</v>
      </c>
      <c r="I63" s="429" t="str">
        <f ca="1">IFERROR(VLOOKUP(I$2,Rango_Admin_DailyPred,MATCH($F63,Rango_Admin_DailyPred_Primera,0),0),"-")</f>
        <v>-</v>
      </c>
      <c r="J63" s="429" t="str">
        <f ca="1">IFERROR(VLOOKUP(J$2,Rango_Admin_DailyPred,MATCH($F63,Rango_Admin_DailyPred_Primera,0),0),"-")</f>
        <v>-</v>
      </c>
      <c r="K63" s="429" t="str">
        <f ca="1">IFERROR(VLOOKUP(K$2,Rango_Admin_DailyPred,MATCH($F63,Rango_Admin_DailyPred_Primera,0),0),"-")</f>
        <v>-</v>
      </c>
      <c r="L63" s="429" t="str">
        <f ca="1">IFERROR(VLOOKUP(L$2,Rango_Admin_DailyPred,MATCH($F63,Rango_Admin_DailyPred_Primera,0),0),"-")</f>
        <v>-</v>
      </c>
      <c r="M63" s="429" t="str">
        <f ca="1">IFERROR(VLOOKUP(M$2,Rango_Admin_DailyPred,MATCH($F63,Rango_Admin_DailyPred_Primera,0),0),"-")</f>
        <v>-</v>
      </c>
      <c r="N63" s="429" t="str">
        <f ca="1">IFERROR(VLOOKUP(N$2,Rango_Admin_DailyPred,MATCH($F63,Rango_Admin_DailyPred_Primera,0),0),"-")</f>
        <v>-</v>
      </c>
      <c r="O63" s="429" t="str">
        <f ca="1">IFERROR(VLOOKUP(O$2,Rango_Admin_DailyPred,MATCH($F63,Rango_Admin_DailyPred_Primera,0),0),"-")</f>
        <v>-</v>
      </c>
      <c r="P63" s="429" t="str">
        <f ca="1">IFERROR(VLOOKUP(P$2,Rango_Admin_DailyPred,MATCH($F63,Rango_Admin_DailyPred_Primera,0),0),"-")</f>
        <v>-</v>
      </c>
      <c r="Q63" s="429" t="str">
        <f ca="1">IFERROR(VLOOKUP(Q$2,Rango_Admin_DailyPred,MATCH($F63,Rango_Admin_DailyPred_Primera,0),0),"-")</f>
        <v>-</v>
      </c>
      <c r="R63" s="429" t="str">
        <f ca="1">IFERROR(VLOOKUP(R$2,Rango_Admin_DailyPred,MATCH($F63,Rango_Admin_DailyPred_Primera,0),0),"-")</f>
        <v>-</v>
      </c>
      <c r="S63" s="429" t="str">
        <f ca="1">IFERROR(VLOOKUP(S$2,Rango_Admin_DailyPred,MATCH($F63,Rango_Admin_DailyPred_Primera,0),0),"-")</f>
        <v>-</v>
      </c>
      <c r="T63" s="429" t="str">
        <f ca="1">IFERROR(VLOOKUP(T$2,Rango_Admin_DailyPred,MATCH($F63,Rango_Admin_DailyPred_Primera,0),0),"-")</f>
        <v>-</v>
      </c>
      <c r="U63" s="429" t="str">
        <f ca="1">IFERROR(VLOOKUP(U$2,Rango_Admin_DailyPred,MATCH($F63,Rango_Admin_DailyPred_Primera,0),0),"-")</f>
        <v>-</v>
      </c>
      <c r="V63" s="429" t="str">
        <f ca="1">IFERROR(VLOOKUP(V$2,Rango_Admin_DailyPred,MATCH($F63,Rango_Admin_DailyPred_Primera,0),0),"-")</f>
        <v>-</v>
      </c>
      <c r="W63" s="429" t="str">
        <f ca="1">IFERROR(VLOOKUP(W$2,Rango_Admin_DailyPred,MATCH($F63,Rango_Admin_DailyPred_Primera,0),0),"-")</f>
        <v>-</v>
      </c>
      <c r="X63" s="429" t="str">
        <f ca="1">IFERROR(VLOOKUP(X$2,Rango_Admin_DailyPred,MATCH($F63,Rango_Admin_DailyPred_Primera,0),0),"-")</f>
        <v>-</v>
      </c>
      <c r="Y63" s="429" t="str">
        <f ca="1">IFERROR(VLOOKUP(Y$2,Rango_Admin_DailyPred,MATCH($F63,Rango_Admin_DailyPred_Primera,0),0),"-")</f>
        <v>-</v>
      </c>
      <c r="Z63" s="429" t="str">
        <f ca="1">IFERROR(VLOOKUP(Z$2,Rango_Admin_DailyPred,MATCH($F63,Rango_Admin_DailyPred_Primera,0),0),"-")</f>
        <v>-</v>
      </c>
      <c r="AA63" s="429" t="str">
        <f ca="1">IFERROR(VLOOKUP(AA$2,Rango_Admin_DailyPred,MATCH($F63,Rango_Admin_DailyPred_Primera,0),0),"-")</f>
        <v>-</v>
      </c>
      <c r="AB63" s="429" t="str">
        <f ca="1">IFERROR(VLOOKUP(AB$2,Rango_Admin_DailyPred,MATCH($F63,Rango_Admin_DailyPred_Primera,0),0),"-")</f>
        <v>-</v>
      </c>
      <c r="AC63" s="429" t="str">
        <f ca="1">IFERROR(VLOOKUP(AC$2,Rango_Admin_DailyPred,MATCH($F63,Rango_Admin_DailyPred_Primera,0),0),"-")</f>
        <v>-</v>
      </c>
      <c r="AD63" s="429" t="str">
        <f ca="1">IFERROR(VLOOKUP(AD$2,Rango_Admin_DailyPred,MATCH($F63,Rango_Admin_DailyPred_Primera,0),0),"-")</f>
        <v>-</v>
      </c>
      <c r="AE63" s="429" t="str">
        <f ca="1">IFERROR(VLOOKUP(AE$2,Rango_Admin_DailyPred,MATCH($F63,Rango_Admin_DailyPred_Primera,0),0),"-")</f>
        <v>-</v>
      </c>
      <c r="AF63" s="429" t="str">
        <f ca="1">IFERROR(VLOOKUP(AF$2,Rango_Admin_DailyPred,MATCH($F63,Rango_Admin_DailyPred_Primera,0),0),"-")</f>
        <v>-</v>
      </c>
      <c r="AG63" s="429" t="str">
        <f ca="1">IFERROR(VLOOKUP(AG$2,Rango_Admin_DailyPred,MATCH($F63,Rango_Admin_DailyPred_Primera,0),0),"-")</f>
        <v>-</v>
      </c>
      <c r="AH63" s="429" t="str">
        <f ca="1">IFERROR(VLOOKUP(AH$2,Rango_Admin_DailyPred,MATCH($F63,Rango_Admin_DailyPred_Primera,0),0),"-")</f>
        <v>-</v>
      </c>
      <c r="AI63" s="429" t="str">
        <f ca="1">IFERROR(VLOOKUP(AI$2,Rango_Admin_DailyPred,MATCH($F63,Rango_Admin_DailyPred_Primera,0),0),"-")</f>
        <v>-</v>
      </c>
      <c r="AJ63" s="429" t="str">
        <f ca="1">IFERROR(VLOOKUP(AJ$2,Rango_Admin_DailyPred,MATCH($F63,Rango_Admin_DailyPred_Primera,0),0),"-")</f>
        <v>-</v>
      </c>
      <c r="AK63" s="429" t="str">
        <f ca="1">IFERROR(VLOOKUP(AK$2,Rango_Admin_DailyPred,MATCH($F63,Rango_Admin_DailyPred_Primera,0),0),"-")</f>
        <v>-</v>
      </c>
      <c r="AL63" s="429" t="str">
        <f ca="1">IFERROR(VLOOKUP(AL$2,Rango_Admin_DailyPred,MATCH($F63,Rango_Admin_DailyPred_Primera,0),0),"-")</f>
        <v>-</v>
      </c>
      <c r="AM63" s="297"/>
      <c r="AN63" s="297"/>
      <c r="AO63" s="297"/>
    </row>
    <row r="64" spans="5:41">
      <c r="E64" s="19">
        <f t="shared" si="1"/>
        <v>189</v>
      </c>
      <c r="F64" s="448" t="str" cm="1">
        <f t="array" ref="F64">IFERROR(INDEX(Rango_Admin_DailyPred_Primera,1,E64),"-")</f>
        <v>-</v>
      </c>
      <c r="G64" s="429" t="str">
        <f ca="1">IFERROR(VLOOKUP(G$2,Rango_Admin_DailyPred,MATCH($F64,Rango_Admin_DailyPred_Primera,0),0),"-")</f>
        <v>-</v>
      </c>
      <c r="H64" s="429" t="str">
        <f ca="1">IFERROR(VLOOKUP(H$2,Rango_Admin_DailyPred,MATCH($F64,Rango_Admin_DailyPred_Primera,0),0),"-")</f>
        <v>-</v>
      </c>
      <c r="I64" s="429" t="str">
        <f ca="1">IFERROR(VLOOKUP(I$2,Rango_Admin_DailyPred,MATCH($F64,Rango_Admin_DailyPred_Primera,0),0),"-")</f>
        <v>-</v>
      </c>
      <c r="J64" s="429" t="str">
        <f ca="1">IFERROR(VLOOKUP(J$2,Rango_Admin_DailyPred,MATCH($F64,Rango_Admin_DailyPred_Primera,0),0),"-")</f>
        <v>-</v>
      </c>
      <c r="K64" s="429" t="str">
        <f ca="1">IFERROR(VLOOKUP(K$2,Rango_Admin_DailyPred,MATCH($F64,Rango_Admin_DailyPred_Primera,0),0),"-")</f>
        <v>-</v>
      </c>
      <c r="L64" s="429" t="str">
        <f ca="1">IFERROR(VLOOKUP(L$2,Rango_Admin_DailyPred,MATCH($F64,Rango_Admin_DailyPred_Primera,0),0),"-")</f>
        <v>-</v>
      </c>
      <c r="M64" s="429" t="str">
        <f ca="1">IFERROR(VLOOKUP(M$2,Rango_Admin_DailyPred,MATCH($F64,Rango_Admin_DailyPred_Primera,0),0),"-")</f>
        <v>-</v>
      </c>
      <c r="N64" s="429" t="str">
        <f ca="1">IFERROR(VLOOKUP(N$2,Rango_Admin_DailyPred,MATCH($F64,Rango_Admin_DailyPred_Primera,0),0),"-")</f>
        <v>-</v>
      </c>
      <c r="O64" s="429" t="str">
        <f ca="1">IFERROR(VLOOKUP(O$2,Rango_Admin_DailyPred,MATCH($F64,Rango_Admin_DailyPred_Primera,0),0),"-")</f>
        <v>-</v>
      </c>
      <c r="P64" s="429" t="str">
        <f ca="1">IFERROR(VLOOKUP(P$2,Rango_Admin_DailyPred,MATCH($F64,Rango_Admin_DailyPred_Primera,0),0),"-")</f>
        <v>-</v>
      </c>
      <c r="Q64" s="429" t="str">
        <f ca="1">IFERROR(VLOOKUP(Q$2,Rango_Admin_DailyPred,MATCH($F64,Rango_Admin_DailyPred_Primera,0),0),"-")</f>
        <v>-</v>
      </c>
      <c r="R64" s="429" t="str">
        <f ca="1">IFERROR(VLOOKUP(R$2,Rango_Admin_DailyPred,MATCH($F64,Rango_Admin_DailyPred_Primera,0),0),"-")</f>
        <v>-</v>
      </c>
      <c r="S64" s="429" t="str">
        <f ca="1">IFERROR(VLOOKUP(S$2,Rango_Admin_DailyPred,MATCH($F64,Rango_Admin_DailyPred_Primera,0),0),"-")</f>
        <v>-</v>
      </c>
      <c r="T64" s="429" t="str">
        <f ca="1">IFERROR(VLOOKUP(T$2,Rango_Admin_DailyPred,MATCH($F64,Rango_Admin_DailyPred_Primera,0),0),"-")</f>
        <v>-</v>
      </c>
      <c r="U64" s="429" t="str">
        <f ca="1">IFERROR(VLOOKUP(U$2,Rango_Admin_DailyPred,MATCH($F64,Rango_Admin_DailyPred_Primera,0),0),"-")</f>
        <v>-</v>
      </c>
      <c r="V64" s="429" t="str">
        <f ca="1">IFERROR(VLOOKUP(V$2,Rango_Admin_DailyPred,MATCH($F64,Rango_Admin_DailyPred_Primera,0),0),"-")</f>
        <v>-</v>
      </c>
      <c r="W64" s="429" t="str">
        <f ca="1">IFERROR(VLOOKUP(W$2,Rango_Admin_DailyPred,MATCH($F64,Rango_Admin_DailyPred_Primera,0),0),"-")</f>
        <v>-</v>
      </c>
      <c r="X64" s="429" t="str">
        <f ca="1">IFERROR(VLOOKUP(X$2,Rango_Admin_DailyPred,MATCH($F64,Rango_Admin_DailyPred_Primera,0),0),"-")</f>
        <v>-</v>
      </c>
      <c r="Y64" s="429" t="str">
        <f ca="1">IFERROR(VLOOKUP(Y$2,Rango_Admin_DailyPred,MATCH($F64,Rango_Admin_DailyPred_Primera,0),0),"-")</f>
        <v>-</v>
      </c>
      <c r="Z64" s="429" t="str">
        <f ca="1">IFERROR(VLOOKUP(Z$2,Rango_Admin_DailyPred,MATCH($F64,Rango_Admin_DailyPred_Primera,0),0),"-")</f>
        <v>-</v>
      </c>
      <c r="AA64" s="429" t="str">
        <f ca="1">IFERROR(VLOOKUP(AA$2,Rango_Admin_DailyPred,MATCH($F64,Rango_Admin_DailyPred_Primera,0),0),"-")</f>
        <v>-</v>
      </c>
      <c r="AB64" s="429" t="str">
        <f ca="1">IFERROR(VLOOKUP(AB$2,Rango_Admin_DailyPred,MATCH($F64,Rango_Admin_DailyPred_Primera,0),0),"-")</f>
        <v>-</v>
      </c>
      <c r="AC64" s="429" t="str">
        <f ca="1">IFERROR(VLOOKUP(AC$2,Rango_Admin_DailyPred,MATCH($F64,Rango_Admin_DailyPred_Primera,0),0),"-")</f>
        <v>-</v>
      </c>
      <c r="AD64" s="429" t="str">
        <f ca="1">IFERROR(VLOOKUP(AD$2,Rango_Admin_DailyPred,MATCH($F64,Rango_Admin_DailyPred_Primera,0),0),"-")</f>
        <v>-</v>
      </c>
      <c r="AE64" s="429" t="str">
        <f ca="1">IFERROR(VLOOKUP(AE$2,Rango_Admin_DailyPred,MATCH($F64,Rango_Admin_DailyPred_Primera,0),0),"-")</f>
        <v>-</v>
      </c>
      <c r="AF64" s="429" t="str">
        <f ca="1">IFERROR(VLOOKUP(AF$2,Rango_Admin_DailyPred,MATCH($F64,Rango_Admin_DailyPred_Primera,0),0),"-")</f>
        <v>-</v>
      </c>
      <c r="AG64" s="429" t="str">
        <f ca="1">IFERROR(VLOOKUP(AG$2,Rango_Admin_DailyPred,MATCH($F64,Rango_Admin_DailyPred_Primera,0),0),"-")</f>
        <v>-</v>
      </c>
      <c r="AH64" s="429" t="str">
        <f ca="1">IFERROR(VLOOKUP(AH$2,Rango_Admin_DailyPred,MATCH($F64,Rango_Admin_DailyPred_Primera,0),0),"-")</f>
        <v>-</v>
      </c>
      <c r="AI64" s="429" t="str">
        <f ca="1">IFERROR(VLOOKUP(AI$2,Rango_Admin_DailyPred,MATCH($F64,Rango_Admin_DailyPred_Primera,0),0),"-")</f>
        <v>-</v>
      </c>
      <c r="AJ64" s="429" t="str">
        <f ca="1">IFERROR(VLOOKUP(AJ$2,Rango_Admin_DailyPred,MATCH($F64,Rango_Admin_DailyPred_Primera,0),0),"-")</f>
        <v>-</v>
      </c>
      <c r="AK64" s="429" t="str">
        <f ca="1">IFERROR(VLOOKUP(AK$2,Rango_Admin_DailyPred,MATCH($F64,Rango_Admin_DailyPred_Primera,0),0),"-")</f>
        <v>-</v>
      </c>
      <c r="AL64" s="429" t="str">
        <f ca="1">IFERROR(VLOOKUP(AL$2,Rango_Admin_DailyPred,MATCH($F64,Rango_Admin_DailyPred_Primera,0),0),"-")</f>
        <v>-</v>
      </c>
      <c r="AM64" s="297"/>
      <c r="AN64" s="297"/>
      <c r="AO64" s="297"/>
    </row>
    <row r="65" spans="5:41">
      <c r="E65" s="19">
        <f t="shared" si="1"/>
        <v>192</v>
      </c>
      <c r="F65" s="448" t="str" cm="1">
        <f t="array" ref="F65">IFERROR(INDEX(Rango_Admin_DailyPred_Primera,1,E65),"-")</f>
        <v>-</v>
      </c>
      <c r="G65" s="429" t="str">
        <f ca="1">IFERROR(VLOOKUP(G$2,Rango_Admin_DailyPred,MATCH($F65,Rango_Admin_DailyPred_Primera,0),0),"-")</f>
        <v>-</v>
      </c>
      <c r="H65" s="429" t="str">
        <f ca="1">IFERROR(VLOOKUP(H$2,Rango_Admin_DailyPred,MATCH($F65,Rango_Admin_DailyPred_Primera,0),0),"-")</f>
        <v>-</v>
      </c>
      <c r="I65" s="429" t="str">
        <f ca="1">IFERROR(VLOOKUP(I$2,Rango_Admin_DailyPred,MATCH($F65,Rango_Admin_DailyPred_Primera,0),0),"-")</f>
        <v>-</v>
      </c>
      <c r="J65" s="429" t="str">
        <f ca="1">IFERROR(VLOOKUP(J$2,Rango_Admin_DailyPred,MATCH($F65,Rango_Admin_DailyPred_Primera,0),0),"-")</f>
        <v>-</v>
      </c>
      <c r="K65" s="429" t="str">
        <f ca="1">IFERROR(VLOOKUP(K$2,Rango_Admin_DailyPred,MATCH($F65,Rango_Admin_DailyPred_Primera,0),0),"-")</f>
        <v>-</v>
      </c>
      <c r="L65" s="429" t="str">
        <f ca="1">IFERROR(VLOOKUP(L$2,Rango_Admin_DailyPred,MATCH($F65,Rango_Admin_DailyPred_Primera,0),0),"-")</f>
        <v>-</v>
      </c>
      <c r="M65" s="429" t="str">
        <f ca="1">IFERROR(VLOOKUP(M$2,Rango_Admin_DailyPred,MATCH($F65,Rango_Admin_DailyPred_Primera,0),0),"-")</f>
        <v>-</v>
      </c>
      <c r="N65" s="429" t="str">
        <f ca="1">IFERROR(VLOOKUP(N$2,Rango_Admin_DailyPred,MATCH($F65,Rango_Admin_DailyPred_Primera,0),0),"-")</f>
        <v>-</v>
      </c>
      <c r="O65" s="429" t="str">
        <f ca="1">IFERROR(VLOOKUP(O$2,Rango_Admin_DailyPred,MATCH($F65,Rango_Admin_DailyPred_Primera,0),0),"-")</f>
        <v>-</v>
      </c>
      <c r="P65" s="429" t="str">
        <f ca="1">IFERROR(VLOOKUP(P$2,Rango_Admin_DailyPred,MATCH($F65,Rango_Admin_DailyPred_Primera,0),0),"-")</f>
        <v>-</v>
      </c>
      <c r="Q65" s="429" t="str">
        <f ca="1">IFERROR(VLOOKUP(Q$2,Rango_Admin_DailyPred,MATCH($F65,Rango_Admin_DailyPred_Primera,0),0),"-")</f>
        <v>-</v>
      </c>
      <c r="R65" s="429" t="str">
        <f ca="1">IFERROR(VLOOKUP(R$2,Rango_Admin_DailyPred,MATCH($F65,Rango_Admin_DailyPred_Primera,0),0),"-")</f>
        <v>-</v>
      </c>
      <c r="S65" s="429" t="str">
        <f ca="1">IFERROR(VLOOKUP(S$2,Rango_Admin_DailyPred,MATCH($F65,Rango_Admin_DailyPred_Primera,0),0),"-")</f>
        <v>-</v>
      </c>
      <c r="T65" s="429" t="str">
        <f ca="1">IFERROR(VLOOKUP(T$2,Rango_Admin_DailyPred,MATCH($F65,Rango_Admin_DailyPred_Primera,0),0),"-")</f>
        <v>-</v>
      </c>
      <c r="U65" s="429" t="str">
        <f ca="1">IFERROR(VLOOKUP(U$2,Rango_Admin_DailyPred,MATCH($F65,Rango_Admin_DailyPred_Primera,0),0),"-")</f>
        <v>-</v>
      </c>
      <c r="V65" s="429" t="str">
        <f ca="1">IFERROR(VLOOKUP(V$2,Rango_Admin_DailyPred,MATCH($F65,Rango_Admin_DailyPred_Primera,0),0),"-")</f>
        <v>-</v>
      </c>
      <c r="W65" s="429" t="str">
        <f ca="1">IFERROR(VLOOKUP(W$2,Rango_Admin_DailyPred,MATCH($F65,Rango_Admin_DailyPred_Primera,0),0),"-")</f>
        <v>-</v>
      </c>
      <c r="X65" s="429" t="str">
        <f ca="1">IFERROR(VLOOKUP(X$2,Rango_Admin_DailyPred,MATCH($F65,Rango_Admin_DailyPred_Primera,0),0),"-")</f>
        <v>-</v>
      </c>
      <c r="Y65" s="429" t="str">
        <f ca="1">IFERROR(VLOOKUP(Y$2,Rango_Admin_DailyPred,MATCH($F65,Rango_Admin_DailyPred_Primera,0),0),"-")</f>
        <v>-</v>
      </c>
      <c r="Z65" s="429" t="str">
        <f ca="1">IFERROR(VLOOKUP(Z$2,Rango_Admin_DailyPred,MATCH($F65,Rango_Admin_DailyPred_Primera,0),0),"-")</f>
        <v>-</v>
      </c>
      <c r="AA65" s="429" t="str">
        <f ca="1">IFERROR(VLOOKUP(AA$2,Rango_Admin_DailyPred,MATCH($F65,Rango_Admin_DailyPred_Primera,0),0),"-")</f>
        <v>-</v>
      </c>
      <c r="AB65" s="429" t="str">
        <f ca="1">IFERROR(VLOOKUP(AB$2,Rango_Admin_DailyPred,MATCH($F65,Rango_Admin_DailyPred_Primera,0),0),"-")</f>
        <v>-</v>
      </c>
      <c r="AC65" s="429" t="str">
        <f ca="1">IFERROR(VLOOKUP(AC$2,Rango_Admin_DailyPred,MATCH($F65,Rango_Admin_DailyPred_Primera,0),0),"-")</f>
        <v>-</v>
      </c>
      <c r="AD65" s="429" t="str">
        <f ca="1">IFERROR(VLOOKUP(AD$2,Rango_Admin_DailyPred,MATCH($F65,Rango_Admin_DailyPred_Primera,0),0),"-")</f>
        <v>-</v>
      </c>
      <c r="AE65" s="429" t="str">
        <f ca="1">IFERROR(VLOOKUP(AE$2,Rango_Admin_DailyPred,MATCH($F65,Rango_Admin_DailyPred_Primera,0),0),"-")</f>
        <v>-</v>
      </c>
      <c r="AF65" s="429" t="str">
        <f ca="1">IFERROR(VLOOKUP(AF$2,Rango_Admin_DailyPred,MATCH($F65,Rango_Admin_DailyPred_Primera,0),0),"-")</f>
        <v>-</v>
      </c>
      <c r="AG65" s="429" t="str">
        <f ca="1">IFERROR(VLOOKUP(AG$2,Rango_Admin_DailyPred,MATCH($F65,Rango_Admin_DailyPred_Primera,0),0),"-")</f>
        <v>-</v>
      </c>
      <c r="AH65" s="429" t="str">
        <f ca="1">IFERROR(VLOOKUP(AH$2,Rango_Admin_DailyPred,MATCH($F65,Rango_Admin_DailyPred_Primera,0),0),"-")</f>
        <v>-</v>
      </c>
      <c r="AI65" s="429" t="str">
        <f ca="1">IFERROR(VLOOKUP(AI$2,Rango_Admin_DailyPred,MATCH($F65,Rango_Admin_DailyPred_Primera,0),0),"-")</f>
        <v>-</v>
      </c>
      <c r="AJ65" s="429" t="str">
        <f ca="1">IFERROR(VLOOKUP(AJ$2,Rango_Admin_DailyPred,MATCH($F65,Rango_Admin_DailyPred_Primera,0),0),"-")</f>
        <v>-</v>
      </c>
      <c r="AK65" s="429" t="str">
        <f ca="1">IFERROR(VLOOKUP(AK$2,Rango_Admin_DailyPred,MATCH($F65,Rango_Admin_DailyPred_Primera,0),0),"-")</f>
        <v>-</v>
      </c>
      <c r="AL65" s="429" t="str">
        <f ca="1">IFERROR(VLOOKUP(AL$2,Rango_Admin_DailyPred,MATCH($F65,Rango_Admin_DailyPred_Primera,0),0),"-")</f>
        <v>-</v>
      </c>
      <c r="AM65" s="297"/>
      <c r="AN65" s="297"/>
      <c r="AO65" s="297"/>
    </row>
    <row r="66" spans="5:41">
      <c r="E66" s="19">
        <f t="shared" si="1"/>
        <v>195</v>
      </c>
      <c r="F66" s="448" t="str" cm="1">
        <f t="array" ref="F66">IFERROR(INDEX(Rango_Admin_DailyPred_Primera,1,E66),"-")</f>
        <v>-</v>
      </c>
      <c r="G66" s="429" t="str">
        <f ca="1">IFERROR(VLOOKUP(G$2,Rango_Admin_DailyPred,MATCH($F66,Rango_Admin_DailyPred_Primera,0),0),"-")</f>
        <v>-</v>
      </c>
      <c r="H66" s="429" t="str">
        <f ca="1">IFERROR(VLOOKUP(H$2,Rango_Admin_DailyPred,MATCH($F66,Rango_Admin_DailyPred_Primera,0),0),"-")</f>
        <v>-</v>
      </c>
      <c r="I66" s="429" t="str">
        <f ca="1">IFERROR(VLOOKUP(I$2,Rango_Admin_DailyPred,MATCH($F66,Rango_Admin_DailyPred_Primera,0),0),"-")</f>
        <v>-</v>
      </c>
      <c r="J66" s="429" t="str">
        <f ca="1">IFERROR(VLOOKUP(J$2,Rango_Admin_DailyPred,MATCH($F66,Rango_Admin_DailyPred_Primera,0),0),"-")</f>
        <v>-</v>
      </c>
      <c r="K66" s="429" t="str">
        <f ca="1">IFERROR(VLOOKUP(K$2,Rango_Admin_DailyPred,MATCH($F66,Rango_Admin_DailyPred_Primera,0),0),"-")</f>
        <v>-</v>
      </c>
      <c r="L66" s="429" t="str">
        <f ca="1">IFERROR(VLOOKUP(L$2,Rango_Admin_DailyPred,MATCH($F66,Rango_Admin_DailyPred_Primera,0),0),"-")</f>
        <v>-</v>
      </c>
      <c r="M66" s="429" t="str">
        <f ca="1">IFERROR(VLOOKUP(M$2,Rango_Admin_DailyPred,MATCH($F66,Rango_Admin_DailyPred_Primera,0),0),"-")</f>
        <v>-</v>
      </c>
      <c r="N66" s="429" t="str">
        <f ca="1">IFERROR(VLOOKUP(N$2,Rango_Admin_DailyPred,MATCH($F66,Rango_Admin_DailyPred_Primera,0),0),"-")</f>
        <v>-</v>
      </c>
      <c r="O66" s="429" t="str">
        <f ca="1">IFERROR(VLOOKUP(O$2,Rango_Admin_DailyPred,MATCH($F66,Rango_Admin_DailyPred_Primera,0),0),"-")</f>
        <v>-</v>
      </c>
      <c r="P66" s="429" t="str">
        <f ca="1">IFERROR(VLOOKUP(P$2,Rango_Admin_DailyPred,MATCH($F66,Rango_Admin_DailyPred_Primera,0),0),"-")</f>
        <v>-</v>
      </c>
      <c r="Q66" s="429" t="str">
        <f ca="1">IFERROR(VLOOKUP(Q$2,Rango_Admin_DailyPred,MATCH($F66,Rango_Admin_DailyPred_Primera,0),0),"-")</f>
        <v>-</v>
      </c>
      <c r="R66" s="429" t="str">
        <f ca="1">IFERROR(VLOOKUP(R$2,Rango_Admin_DailyPred,MATCH($F66,Rango_Admin_DailyPred_Primera,0),0),"-")</f>
        <v>-</v>
      </c>
      <c r="S66" s="429" t="str">
        <f ca="1">IFERROR(VLOOKUP(S$2,Rango_Admin_DailyPred,MATCH($F66,Rango_Admin_DailyPred_Primera,0),0),"-")</f>
        <v>-</v>
      </c>
      <c r="T66" s="429" t="str">
        <f ca="1">IFERROR(VLOOKUP(T$2,Rango_Admin_DailyPred,MATCH($F66,Rango_Admin_DailyPred_Primera,0),0),"-")</f>
        <v>-</v>
      </c>
      <c r="U66" s="429" t="str">
        <f ca="1">IFERROR(VLOOKUP(U$2,Rango_Admin_DailyPred,MATCH($F66,Rango_Admin_DailyPred_Primera,0),0),"-")</f>
        <v>-</v>
      </c>
      <c r="V66" s="429" t="str">
        <f ca="1">IFERROR(VLOOKUP(V$2,Rango_Admin_DailyPred,MATCH($F66,Rango_Admin_DailyPred_Primera,0),0),"-")</f>
        <v>-</v>
      </c>
      <c r="W66" s="429" t="str">
        <f ca="1">IFERROR(VLOOKUP(W$2,Rango_Admin_DailyPred,MATCH($F66,Rango_Admin_DailyPred_Primera,0),0),"-")</f>
        <v>-</v>
      </c>
      <c r="X66" s="429" t="str">
        <f ca="1">IFERROR(VLOOKUP(X$2,Rango_Admin_DailyPred,MATCH($F66,Rango_Admin_DailyPred_Primera,0),0),"-")</f>
        <v>-</v>
      </c>
      <c r="Y66" s="429" t="str">
        <f ca="1">IFERROR(VLOOKUP(Y$2,Rango_Admin_DailyPred,MATCH($F66,Rango_Admin_DailyPred_Primera,0),0),"-")</f>
        <v>-</v>
      </c>
      <c r="Z66" s="429" t="str">
        <f ca="1">IFERROR(VLOOKUP(Z$2,Rango_Admin_DailyPred,MATCH($F66,Rango_Admin_DailyPred_Primera,0),0),"-")</f>
        <v>-</v>
      </c>
      <c r="AA66" s="429" t="str">
        <f ca="1">IFERROR(VLOOKUP(AA$2,Rango_Admin_DailyPred,MATCH($F66,Rango_Admin_DailyPred_Primera,0),0),"-")</f>
        <v>-</v>
      </c>
      <c r="AB66" s="429" t="str">
        <f ca="1">IFERROR(VLOOKUP(AB$2,Rango_Admin_DailyPred,MATCH($F66,Rango_Admin_DailyPred_Primera,0),0),"-")</f>
        <v>-</v>
      </c>
      <c r="AC66" s="429" t="str">
        <f ca="1">IFERROR(VLOOKUP(AC$2,Rango_Admin_DailyPred,MATCH($F66,Rango_Admin_DailyPred_Primera,0),0),"-")</f>
        <v>-</v>
      </c>
      <c r="AD66" s="429" t="str">
        <f ca="1">IFERROR(VLOOKUP(AD$2,Rango_Admin_DailyPred,MATCH($F66,Rango_Admin_DailyPred_Primera,0),0),"-")</f>
        <v>-</v>
      </c>
      <c r="AE66" s="429" t="str">
        <f ca="1">IFERROR(VLOOKUP(AE$2,Rango_Admin_DailyPred,MATCH($F66,Rango_Admin_DailyPred_Primera,0),0),"-")</f>
        <v>-</v>
      </c>
      <c r="AF66" s="429" t="str">
        <f ca="1">IFERROR(VLOOKUP(AF$2,Rango_Admin_DailyPred,MATCH($F66,Rango_Admin_DailyPred_Primera,0),0),"-")</f>
        <v>-</v>
      </c>
      <c r="AG66" s="429" t="str">
        <f ca="1">IFERROR(VLOOKUP(AG$2,Rango_Admin_DailyPred,MATCH($F66,Rango_Admin_DailyPred_Primera,0),0),"-")</f>
        <v>-</v>
      </c>
      <c r="AH66" s="429" t="str">
        <f ca="1">IFERROR(VLOOKUP(AH$2,Rango_Admin_DailyPred,MATCH($F66,Rango_Admin_DailyPred_Primera,0),0),"-")</f>
        <v>-</v>
      </c>
      <c r="AI66" s="429" t="str">
        <f ca="1">IFERROR(VLOOKUP(AI$2,Rango_Admin_DailyPred,MATCH($F66,Rango_Admin_DailyPred_Primera,0),0),"-")</f>
        <v>-</v>
      </c>
      <c r="AJ66" s="429" t="str">
        <f ca="1">IFERROR(VLOOKUP(AJ$2,Rango_Admin_DailyPred,MATCH($F66,Rango_Admin_DailyPred_Primera,0),0),"-")</f>
        <v>-</v>
      </c>
      <c r="AK66" s="429" t="str">
        <f ca="1">IFERROR(VLOOKUP(AK$2,Rango_Admin_DailyPred,MATCH($F66,Rango_Admin_DailyPred_Primera,0),0),"-")</f>
        <v>-</v>
      </c>
      <c r="AL66" s="429" t="str">
        <f ca="1">IFERROR(VLOOKUP(AL$2,Rango_Admin_DailyPred,MATCH($F66,Rango_Admin_DailyPred_Primera,0),0),"-")</f>
        <v>-</v>
      </c>
      <c r="AM66" s="297"/>
      <c r="AN66" s="297"/>
      <c r="AO66" s="297"/>
    </row>
    <row r="67" spans="5:41">
      <c r="E67" s="19">
        <f t="shared" si="1"/>
        <v>198</v>
      </c>
      <c r="F67" s="448" t="str" cm="1">
        <f t="array" ref="F67">IFERROR(INDEX(Rango_Admin_DailyPred_Primera,1,E67),"-")</f>
        <v>-</v>
      </c>
      <c r="G67" s="429" t="str">
        <f ca="1">IFERROR(VLOOKUP(G$2,Rango_Admin_DailyPred,MATCH($F67,Rango_Admin_DailyPred_Primera,0),0),"-")</f>
        <v>-</v>
      </c>
      <c r="H67" s="429" t="str">
        <f ca="1">IFERROR(VLOOKUP(H$2,Rango_Admin_DailyPred,MATCH($F67,Rango_Admin_DailyPred_Primera,0),0),"-")</f>
        <v>-</v>
      </c>
      <c r="I67" s="429" t="str">
        <f ca="1">IFERROR(VLOOKUP(I$2,Rango_Admin_DailyPred,MATCH($F67,Rango_Admin_DailyPred_Primera,0),0),"-")</f>
        <v>-</v>
      </c>
      <c r="J67" s="429" t="str">
        <f ca="1">IFERROR(VLOOKUP(J$2,Rango_Admin_DailyPred,MATCH($F67,Rango_Admin_DailyPred_Primera,0),0),"-")</f>
        <v>-</v>
      </c>
      <c r="K67" s="429" t="str">
        <f ca="1">IFERROR(VLOOKUP(K$2,Rango_Admin_DailyPred,MATCH($F67,Rango_Admin_DailyPred_Primera,0),0),"-")</f>
        <v>-</v>
      </c>
      <c r="L67" s="429" t="str">
        <f ca="1">IFERROR(VLOOKUP(L$2,Rango_Admin_DailyPred,MATCH($F67,Rango_Admin_DailyPred_Primera,0),0),"-")</f>
        <v>-</v>
      </c>
      <c r="M67" s="429" t="str">
        <f ca="1">IFERROR(VLOOKUP(M$2,Rango_Admin_DailyPred,MATCH($F67,Rango_Admin_DailyPred_Primera,0),0),"-")</f>
        <v>-</v>
      </c>
      <c r="N67" s="429" t="str">
        <f ca="1">IFERROR(VLOOKUP(N$2,Rango_Admin_DailyPred,MATCH($F67,Rango_Admin_DailyPred_Primera,0),0),"-")</f>
        <v>-</v>
      </c>
      <c r="O67" s="429" t="str">
        <f ca="1">IFERROR(VLOOKUP(O$2,Rango_Admin_DailyPred,MATCH($F67,Rango_Admin_DailyPred_Primera,0),0),"-")</f>
        <v>-</v>
      </c>
      <c r="P67" s="429" t="str">
        <f ca="1">IFERROR(VLOOKUP(P$2,Rango_Admin_DailyPred,MATCH($F67,Rango_Admin_DailyPred_Primera,0),0),"-")</f>
        <v>-</v>
      </c>
      <c r="Q67" s="429" t="str">
        <f ca="1">IFERROR(VLOOKUP(Q$2,Rango_Admin_DailyPred,MATCH($F67,Rango_Admin_DailyPred_Primera,0),0),"-")</f>
        <v>-</v>
      </c>
      <c r="R67" s="429" t="str">
        <f ca="1">IFERROR(VLOOKUP(R$2,Rango_Admin_DailyPred,MATCH($F67,Rango_Admin_DailyPred_Primera,0),0),"-")</f>
        <v>-</v>
      </c>
      <c r="S67" s="429" t="str">
        <f ca="1">IFERROR(VLOOKUP(S$2,Rango_Admin_DailyPred,MATCH($F67,Rango_Admin_DailyPred_Primera,0),0),"-")</f>
        <v>-</v>
      </c>
      <c r="T67" s="429" t="str">
        <f ca="1">IFERROR(VLOOKUP(T$2,Rango_Admin_DailyPred,MATCH($F67,Rango_Admin_DailyPred_Primera,0),0),"-")</f>
        <v>-</v>
      </c>
      <c r="U67" s="429" t="str">
        <f ca="1">IFERROR(VLOOKUP(U$2,Rango_Admin_DailyPred,MATCH($F67,Rango_Admin_DailyPred_Primera,0),0),"-")</f>
        <v>-</v>
      </c>
      <c r="V67" s="429" t="str">
        <f ca="1">IFERROR(VLOOKUP(V$2,Rango_Admin_DailyPred,MATCH($F67,Rango_Admin_DailyPred_Primera,0),0),"-")</f>
        <v>-</v>
      </c>
      <c r="W67" s="429" t="str">
        <f ca="1">IFERROR(VLOOKUP(W$2,Rango_Admin_DailyPred,MATCH($F67,Rango_Admin_DailyPred_Primera,0),0),"-")</f>
        <v>-</v>
      </c>
      <c r="X67" s="429" t="str">
        <f ca="1">IFERROR(VLOOKUP(X$2,Rango_Admin_DailyPred,MATCH($F67,Rango_Admin_DailyPred_Primera,0),0),"-")</f>
        <v>-</v>
      </c>
      <c r="Y67" s="429" t="str">
        <f ca="1">IFERROR(VLOOKUP(Y$2,Rango_Admin_DailyPred,MATCH($F67,Rango_Admin_DailyPred_Primera,0),0),"-")</f>
        <v>-</v>
      </c>
      <c r="Z67" s="429" t="str">
        <f ca="1">IFERROR(VLOOKUP(Z$2,Rango_Admin_DailyPred,MATCH($F67,Rango_Admin_DailyPred_Primera,0),0),"-")</f>
        <v>-</v>
      </c>
      <c r="AA67" s="429" t="str">
        <f ca="1">IFERROR(VLOOKUP(AA$2,Rango_Admin_DailyPred,MATCH($F67,Rango_Admin_DailyPred_Primera,0),0),"-")</f>
        <v>-</v>
      </c>
      <c r="AB67" s="429" t="str">
        <f ca="1">IFERROR(VLOOKUP(AB$2,Rango_Admin_DailyPred,MATCH($F67,Rango_Admin_DailyPred_Primera,0),0),"-")</f>
        <v>-</v>
      </c>
      <c r="AC67" s="429" t="str">
        <f ca="1">IFERROR(VLOOKUP(AC$2,Rango_Admin_DailyPred,MATCH($F67,Rango_Admin_DailyPred_Primera,0),0),"-")</f>
        <v>-</v>
      </c>
      <c r="AD67" s="429" t="str">
        <f ca="1">IFERROR(VLOOKUP(AD$2,Rango_Admin_DailyPred,MATCH($F67,Rango_Admin_DailyPred_Primera,0),0),"-")</f>
        <v>-</v>
      </c>
      <c r="AE67" s="429" t="str">
        <f ca="1">IFERROR(VLOOKUP(AE$2,Rango_Admin_DailyPred,MATCH($F67,Rango_Admin_DailyPred_Primera,0),0),"-")</f>
        <v>-</v>
      </c>
      <c r="AF67" s="429" t="str">
        <f ca="1">IFERROR(VLOOKUP(AF$2,Rango_Admin_DailyPred,MATCH($F67,Rango_Admin_DailyPred_Primera,0),0),"-")</f>
        <v>-</v>
      </c>
      <c r="AG67" s="429" t="str">
        <f ca="1">IFERROR(VLOOKUP(AG$2,Rango_Admin_DailyPred,MATCH($F67,Rango_Admin_DailyPred_Primera,0),0),"-")</f>
        <v>-</v>
      </c>
      <c r="AH67" s="429" t="str">
        <f ca="1">IFERROR(VLOOKUP(AH$2,Rango_Admin_DailyPred,MATCH($F67,Rango_Admin_DailyPred_Primera,0),0),"-")</f>
        <v>-</v>
      </c>
      <c r="AI67" s="429" t="str">
        <f ca="1">IFERROR(VLOOKUP(AI$2,Rango_Admin_DailyPred,MATCH($F67,Rango_Admin_DailyPred_Primera,0),0),"-")</f>
        <v>-</v>
      </c>
      <c r="AJ67" s="429" t="str">
        <f ca="1">IFERROR(VLOOKUP(AJ$2,Rango_Admin_DailyPred,MATCH($F67,Rango_Admin_DailyPred_Primera,0),0),"-")</f>
        <v>-</v>
      </c>
      <c r="AK67" s="429" t="str">
        <f ca="1">IFERROR(VLOOKUP(AK$2,Rango_Admin_DailyPred,MATCH($F67,Rango_Admin_DailyPred_Primera,0),0),"-")</f>
        <v>-</v>
      </c>
      <c r="AL67" s="429" t="str">
        <f ca="1">IFERROR(VLOOKUP(AL$2,Rango_Admin_DailyPred,MATCH($F67,Rango_Admin_DailyPred_Primera,0),0),"-")</f>
        <v>-</v>
      </c>
      <c r="AM67" s="297"/>
      <c r="AN67" s="297"/>
      <c r="AO67" s="297"/>
    </row>
    <row r="68" spans="5:41">
      <c r="E68" s="19">
        <f t="shared" si="1"/>
        <v>201</v>
      </c>
      <c r="F68" s="448" t="str" cm="1">
        <f t="array" ref="F68">IFERROR(INDEX(Rango_Admin_DailyPred_Primera,1,E68),"-")</f>
        <v>-</v>
      </c>
      <c r="G68" s="429" t="str">
        <f ca="1">IFERROR(VLOOKUP(G$2,Rango_Admin_DailyPred,MATCH($F68,Rango_Admin_DailyPred_Primera,0),0),"-")</f>
        <v>-</v>
      </c>
      <c r="H68" s="429" t="str">
        <f ca="1">IFERROR(VLOOKUP(H$2,Rango_Admin_DailyPred,MATCH($F68,Rango_Admin_DailyPred_Primera,0),0),"-")</f>
        <v>-</v>
      </c>
      <c r="I68" s="429" t="str">
        <f ca="1">IFERROR(VLOOKUP(I$2,Rango_Admin_DailyPred,MATCH($F68,Rango_Admin_DailyPred_Primera,0),0),"-")</f>
        <v>-</v>
      </c>
      <c r="J68" s="429" t="str">
        <f ca="1">IFERROR(VLOOKUP(J$2,Rango_Admin_DailyPred,MATCH($F68,Rango_Admin_DailyPred_Primera,0),0),"-")</f>
        <v>-</v>
      </c>
      <c r="K68" s="429" t="str">
        <f ca="1">IFERROR(VLOOKUP(K$2,Rango_Admin_DailyPred,MATCH($F68,Rango_Admin_DailyPred_Primera,0),0),"-")</f>
        <v>-</v>
      </c>
      <c r="L68" s="429" t="str">
        <f ca="1">IFERROR(VLOOKUP(L$2,Rango_Admin_DailyPred,MATCH($F68,Rango_Admin_DailyPred_Primera,0),0),"-")</f>
        <v>-</v>
      </c>
      <c r="M68" s="429" t="str">
        <f ca="1">IFERROR(VLOOKUP(M$2,Rango_Admin_DailyPred,MATCH($F68,Rango_Admin_DailyPred_Primera,0),0),"-")</f>
        <v>-</v>
      </c>
      <c r="N68" s="429" t="str">
        <f ca="1">IFERROR(VLOOKUP(N$2,Rango_Admin_DailyPred,MATCH($F68,Rango_Admin_DailyPred_Primera,0),0),"-")</f>
        <v>-</v>
      </c>
      <c r="O68" s="429" t="str">
        <f ca="1">IFERROR(VLOOKUP(O$2,Rango_Admin_DailyPred,MATCH($F68,Rango_Admin_DailyPred_Primera,0),0),"-")</f>
        <v>-</v>
      </c>
      <c r="P68" s="429" t="str">
        <f ca="1">IFERROR(VLOOKUP(P$2,Rango_Admin_DailyPred,MATCH($F68,Rango_Admin_DailyPred_Primera,0),0),"-")</f>
        <v>-</v>
      </c>
      <c r="Q68" s="429" t="str">
        <f ca="1">IFERROR(VLOOKUP(Q$2,Rango_Admin_DailyPred,MATCH($F68,Rango_Admin_DailyPred_Primera,0),0),"-")</f>
        <v>-</v>
      </c>
      <c r="R68" s="429" t="str">
        <f ca="1">IFERROR(VLOOKUP(R$2,Rango_Admin_DailyPred,MATCH($F68,Rango_Admin_DailyPred_Primera,0),0),"-")</f>
        <v>-</v>
      </c>
      <c r="S68" s="429" t="str">
        <f ca="1">IFERROR(VLOOKUP(S$2,Rango_Admin_DailyPred,MATCH($F68,Rango_Admin_DailyPred_Primera,0),0),"-")</f>
        <v>-</v>
      </c>
      <c r="T68" s="429" t="str">
        <f ca="1">IFERROR(VLOOKUP(T$2,Rango_Admin_DailyPred,MATCH($F68,Rango_Admin_DailyPred_Primera,0),0),"-")</f>
        <v>-</v>
      </c>
      <c r="U68" s="429" t="str">
        <f ca="1">IFERROR(VLOOKUP(U$2,Rango_Admin_DailyPred,MATCH($F68,Rango_Admin_DailyPred_Primera,0),0),"-")</f>
        <v>-</v>
      </c>
      <c r="V68" s="429" t="str">
        <f ca="1">IFERROR(VLOOKUP(V$2,Rango_Admin_DailyPred,MATCH($F68,Rango_Admin_DailyPred_Primera,0),0),"-")</f>
        <v>-</v>
      </c>
      <c r="W68" s="429" t="str">
        <f ca="1">IFERROR(VLOOKUP(W$2,Rango_Admin_DailyPred,MATCH($F68,Rango_Admin_DailyPred_Primera,0),0),"-")</f>
        <v>-</v>
      </c>
      <c r="X68" s="429" t="str">
        <f ca="1">IFERROR(VLOOKUP(X$2,Rango_Admin_DailyPred,MATCH($F68,Rango_Admin_DailyPred_Primera,0),0),"-")</f>
        <v>-</v>
      </c>
      <c r="Y68" s="429" t="str">
        <f ca="1">IFERROR(VLOOKUP(Y$2,Rango_Admin_DailyPred,MATCH($F68,Rango_Admin_DailyPred_Primera,0),0),"-")</f>
        <v>-</v>
      </c>
      <c r="Z68" s="429" t="str">
        <f ca="1">IFERROR(VLOOKUP(Z$2,Rango_Admin_DailyPred,MATCH($F68,Rango_Admin_DailyPred_Primera,0),0),"-")</f>
        <v>-</v>
      </c>
      <c r="AA68" s="429" t="str">
        <f ca="1">IFERROR(VLOOKUP(AA$2,Rango_Admin_DailyPred,MATCH($F68,Rango_Admin_DailyPred_Primera,0),0),"-")</f>
        <v>-</v>
      </c>
      <c r="AB68" s="429" t="str">
        <f ca="1">IFERROR(VLOOKUP(AB$2,Rango_Admin_DailyPred,MATCH($F68,Rango_Admin_DailyPred_Primera,0),0),"-")</f>
        <v>-</v>
      </c>
      <c r="AC68" s="429" t="str">
        <f ca="1">IFERROR(VLOOKUP(AC$2,Rango_Admin_DailyPred,MATCH($F68,Rango_Admin_DailyPred_Primera,0),0),"-")</f>
        <v>-</v>
      </c>
      <c r="AD68" s="429" t="str">
        <f ca="1">IFERROR(VLOOKUP(AD$2,Rango_Admin_DailyPred,MATCH($F68,Rango_Admin_DailyPred_Primera,0),0),"-")</f>
        <v>-</v>
      </c>
      <c r="AE68" s="429" t="str">
        <f ca="1">IFERROR(VLOOKUP(AE$2,Rango_Admin_DailyPred,MATCH($F68,Rango_Admin_DailyPred_Primera,0),0),"-")</f>
        <v>-</v>
      </c>
      <c r="AF68" s="429" t="str">
        <f ca="1">IFERROR(VLOOKUP(AF$2,Rango_Admin_DailyPred,MATCH($F68,Rango_Admin_DailyPred_Primera,0),0),"-")</f>
        <v>-</v>
      </c>
      <c r="AG68" s="429" t="str">
        <f ca="1">IFERROR(VLOOKUP(AG$2,Rango_Admin_DailyPred,MATCH($F68,Rango_Admin_DailyPred_Primera,0),0),"-")</f>
        <v>-</v>
      </c>
      <c r="AH68" s="429" t="str">
        <f ca="1">IFERROR(VLOOKUP(AH$2,Rango_Admin_DailyPred,MATCH($F68,Rango_Admin_DailyPred_Primera,0),0),"-")</f>
        <v>-</v>
      </c>
      <c r="AI68" s="429" t="str">
        <f ca="1">IFERROR(VLOOKUP(AI$2,Rango_Admin_DailyPred,MATCH($F68,Rango_Admin_DailyPred_Primera,0),0),"-")</f>
        <v>-</v>
      </c>
      <c r="AJ68" s="429" t="str">
        <f ca="1">IFERROR(VLOOKUP(AJ$2,Rango_Admin_DailyPred,MATCH($F68,Rango_Admin_DailyPred_Primera,0),0),"-")</f>
        <v>-</v>
      </c>
      <c r="AK68" s="429" t="str">
        <f ca="1">IFERROR(VLOOKUP(AK$2,Rango_Admin_DailyPred,MATCH($F68,Rango_Admin_DailyPred_Primera,0),0),"-")</f>
        <v>-</v>
      </c>
      <c r="AL68" s="429" t="str">
        <f ca="1">IFERROR(VLOOKUP(AL$2,Rango_Admin_DailyPred,MATCH($F68,Rango_Admin_DailyPred_Primera,0),0),"-")</f>
        <v>-</v>
      </c>
      <c r="AM68" s="297"/>
      <c r="AN68" s="297"/>
      <c r="AO68" s="297"/>
    </row>
    <row r="69" spans="5:41">
      <c r="E69" s="19">
        <f t="shared" si="1"/>
        <v>204</v>
      </c>
      <c r="F69" s="448" t="str" cm="1">
        <f t="array" ref="F69">IFERROR(INDEX(Rango_Admin_DailyPred_Primera,1,E69),"-")</f>
        <v>-</v>
      </c>
      <c r="G69" s="429" t="str">
        <f ca="1">IFERROR(VLOOKUP(G$2,Rango_Admin_DailyPred,MATCH($F69,Rango_Admin_DailyPred_Primera,0),0),"-")</f>
        <v>-</v>
      </c>
      <c r="H69" s="429" t="str">
        <f ca="1">IFERROR(VLOOKUP(H$2,Rango_Admin_DailyPred,MATCH($F69,Rango_Admin_DailyPred_Primera,0),0),"-")</f>
        <v>-</v>
      </c>
      <c r="I69" s="429" t="str">
        <f ca="1">IFERROR(VLOOKUP(I$2,Rango_Admin_DailyPred,MATCH($F69,Rango_Admin_DailyPred_Primera,0),0),"-")</f>
        <v>-</v>
      </c>
      <c r="J69" s="429" t="str">
        <f ca="1">IFERROR(VLOOKUP(J$2,Rango_Admin_DailyPred,MATCH($F69,Rango_Admin_DailyPred_Primera,0),0),"-")</f>
        <v>-</v>
      </c>
      <c r="K69" s="429" t="str">
        <f ca="1">IFERROR(VLOOKUP(K$2,Rango_Admin_DailyPred,MATCH($F69,Rango_Admin_DailyPred_Primera,0),0),"-")</f>
        <v>-</v>
      </c>
      <c r="L69" s="429" t="str">
        <f ca="1">IFERROR(VLOOKUP(L$2,Rango_Admin_DailyPred,MATCH($F69,Rango_Admin_DailyPred_Primera,0),0),"-")</f>
        <v>-</v>
      </c>
      <c r="M69" s="429" t="str">
        <f ca="1">IFERROR(VLOOKUP(M$2,Rango_Admin_DailyPred,MATCH($F69,Rango_Admin_DailyPred_Primera,0),0),"-")</f>
        <v>-</v>
      </c>
      <c r="N69" s="429" t="str">
        <f ca="1">IFERROR(VLOOKUP(N$2,Rango_Admin_DailyPred,MATCH($F69,Rango_Admin_DailyPred_Primera,0),0),"-")</f>
        <v>-</v>
      </c>
      <c r="O69" s="429" t="str">
        <f ca="1">IFERROR(VLOOKUP(O$2,Rango_Admin_DailyPred,MATCH($F69,Rango_Admin_DailyPred_Primera,0),0),"-")</f>
        <v>-</v>
      </c>
      <c r="P69" s="429" t="str">
        <f ca="1">IFERROR(VLOOKUP(P$2,Rango_Admin_DailyPred,MATCH($F69,Rango_Admin_DailyPred_Primera,0),0),"-")</f>
        <v>-</v>
      </c>
      <c r="Q69" s="429" t="str">
        <f ca="1">IFERROR(VLOOKUP(Q$2,Rango_Admin_DailyPred,MATCH($F69,Rango_Admin_DailyPred_Primera,0),0),"-")</f>
        <v>-</v>
      </c>
      <c r="R69" s="429" t="str">
        <f ca="1">IFERROR(VLOOKUP(R$2,Rango_Admin_DailyPred,MATCH($F69,Rango_Admin_DailyPred_Primera,0),0),"-")</f>
        <v>-</v>
      </c>
      <c r="S69" s="429" t="str">
        <f ca="1">IFERROR(VLOOKUP(S$2,Rango_Admin_DailyPred,MATCH($F69,Rango_Admin_DailyPred_Primera,0),0),"-")</f>
        <v>-</v>
      </c>
      <c r="T69" s="429" t="str">
        <f ca="1">IFERROR(VLOOKUP(T$2,Rango_Admin_DailyPred,MATCH($F69,Rango_Admin_DailyPred_Primera,0),0),"-")</f>
        <v>-</v>
      </c>
      <c r="U69" s="429" t="str">
        <f ca="1">IFERROR(VLOOKUP(U$2,Rango_Admin_DailyPred,MATCH($F69,Rango_Admin_DailyPred_Primera,0),0),"-")</f>
        <v>-</v>
      </c>
      <c r="V69" s="429" t="str">
        <f ca="1">IFERROR(VLOOKUP(V$2,Rango_Admin_DailyPred,MATCH($F69,Rango_Admin_DailyPred_Primera,0),0),"-")</f>
        <v>-</v>
      </c>
      <c r="W69" s="429" t="str">
        <f ca="1">IFERROR(VLOOKUP(W$2,Rango_Admin_DailyPred,MATCH($F69,Rango_Admin_DailyPred_Primera,0),0),"-")</f>
        <v>-</v>
      </c>
      <c r="X69" s="429" t="str">
        <f ca="1">IFERROR(VLOOKUP(X$2,Rango_Admin_DailyPred,MATCH($F69,Rango_Admin_DailyPred_Primera,0),0),"-")</f>
        <v>-</v>
      </c>
      <c r="Y69" s="429" t="str">
        <f ca="1">IFERROR(VLOOKUP(Y$2,Rango_Admin_DailyPred,MATCH($F69,Rango_Admin_DailyPred_Primera,0),0),"-")</f>
        <v>-</v>
      </c>
      <c r="Z69" s="429" t="str">
        <f ca="1">IFERROR(VLOOKUP(Z$2,Rango_Admin_DailyPred,MATCH($F69,Rango_Admin_DailyPred_Primera,0),0),"-")</f>
        <v>-</v>
      </c>
      <c r="AA69" s="429" t="str">
        <f ca="1">IFERROR(VLOOKUP(AA$2,Rango_Admin_DailyPred,MATCH($F69,Rango_Admin_DailyPred_Primera,0),0),"-")</f>
        <v>-</v>
      </c>
      <c r="AB69" s="429" t="str">
        <f ca="1">IFERROR(VLOOKUP(AB$2,Rango_Admin_DailyPred,MATCH($F69,Rango_Admin_DailyPred_Primera,0),0),"-")</f>
        <v>-</v>
      </c>
      <c r="AC69" s="429" t="str">
        <f ca="1">IFERROR(VLOOKUP(AC$2,Rango_Admin_DailyPred,MATCH($F69,Rango_Admin_DailyPred_Primera,0),0),"-")</f>
        <v>-</v>
      </c>
      <c r="AD69" s="429" t="str">
        <f ca="1">IFERROR(VLOOKUP(AD$2,Rango_Admin_DailyPred,MATCH($F69,Rango_Admin_DailyPred_Primera,0),0),"-")</f>
        <v>-</v>
      </c>
      <c r="AE69" s="429" t="str">
        <f ca="1">IFERROR(VLOOKUP(AE$2,Rango_Admin_DailyPred,MATCH($F69,Rango_Admin_DailyPred_Primera,0),0),"-")</f>
        <v>-</v>
      </c>
      <c r="AF69" s="429" t="str">
        <f ca="1">IFERROR(VLOOKUP(AF$2,Rango_Admin_DailyPred,MATCH($F69,Rango_Admin_DailyPred_Primera,0),0),"-")</f>
        <v>-</v>
      </c>
      <c r="AG69" s="429" t="str">
        <f ca="1">IFERROR(VLOOKUP(AG$2,Rango_Admin_DailyPred,MATCH($F69,Rango_Admin_DailyPred_Primera,0),0),"-")</f>
        <v>-</v>
      </c>
      <c r="AH69" s="429" t="str">
        <f ca="1">IFERROR(VLOOKUP(AH$2,Rango_Admin_DailyPred,MATCH($F69,Rango_Admin_DailyPred_Primera,0),0),"-")</f>
        <v>-</v>
      </c>
      <c r="AI69" s="429" t="str">
        <f ca="1">IFERROR(VLOOKUP(AI$2,Rango_Admin_DailyPred,MATCH($F69,Rango_Admin_DailyPred_Primera,0),0),"-")</f>
        <v>-</v>
      </c>
      <c r="AJ69" s="429" t="str">
        <f ca="1">IFERROR(VLOOKUP(AJ$2,Rango_Admin_DailyPred,MATCH($F69,Rango_Admin_DailyPred_Primera,0),0),"-")</f>
        <v>-</v>
      </c>
      <c r="AK69" s="429" t="str">
        <f ca="1">IFERROR(VLOOKUP(AK$2,Rango_Admin_DailyPred,MATCH($F69,Rango_Admin_DailyPred_Primera,0),0),"-")</f>
        <v>-</v>
      </c>
      <c r="AL69" s="429" t="str">
        <f ca="1">IFERROR(VLOOKUP(AL$2,Rango_Admin_DailyPred,MATCH($F69,Rango_Admin_DailyPred_Primera,0),0),"-")</f>
        <v>-</v>
      </c>
      <c r="AM69" s="297"/>
      <c r="AN69" s="297"/>
      <c r="AO69" s="297"/>
    </row>
    <row r="70" spans="5:41">
      <c r="E70" s="19">
        <f t="shared" ref="E70:E103" si="2">+E69+3</f>
        <v>207</v>
      </c>
      <c r="F70" s="448" t="str" cm="1">
        <f t="array" ref="F70">IFERROR(INDEX(Rango_Admin_DailyPred_Primera,1,E70),"-")</f>
        <v>-</v>
      </c>
      <c r="G70" s="429" t="str">
        <f ca="1">IFERROR(VLOOKUP(G$2,Rango_Admin_DailyPred,MATCH($F70,Rango_Admin_DailyPred_Primera,0),0),"-")</f>
        <v>-</v>
      </c>
      <c r="H70" s="429" t="str">
        <f ca="1">IFERROR(VLOOKUP(H$2,Rango_Admin_DailyPred,MATCH($F70,Rango_Admin_DailyPred_Primera,0),0),"-")</f>
        <v>-</v>
      </c>
      <c r="I70" s="429" t="str">
        <f ca="1">IFERROR(VLOOKUP(I$2,Rango_Admin_DailyPred,MATCH($F70,Rango_Admin_DailyPred_Primera,0),0),"-")</f>
        <v>-</v>
      </c>
      <c r="J70" s="429" t="str">
        <f ca="1">IFERROR(VLOOKUP(J$2,Rango_Admin_DailyPred,MATCH($F70,Rango_Admin_DailyPred_Primera,0),0),"-")</f>
        <v>-</v>
      </c>
      <c r="K70" s="429" t="str">
        <f ca="1">IFERROR(VLOOKUP(K$2,Rango_Admin_DailyPred,MATCH($F70,Rango_Admin_DailyPred_Primera,0),0),"-")</f>
        <v>-</v>
      </c>
      <c r="L70" s="429" t="str">
        <f ca="1">IFERROR(VLOOKUP(L$2,Rango_Admin_DailyPred,MATCH($F70,Rango_Admin_DailyPred_Primera,0),0),"-")</f>
        <v>-</v>
      </c>
      <c r="M70" s="429" t="str">
        <f ca="1">IFERROR(VLOOKUP(M$2,Rango_Admin_DailyPred,MATCH($F70,Rango_Admin_DailyPred_Primera,0),0),"-")</f>
        <v>-</v>
      </c>
      <c r="N70" s="429" t="str">
        <f ca="1">IFERROR(VLOOKUP(N$2,Rango_Admin_DailyPred,MATCH($F70,Rango_Admin_DailyPred_Primera,0),0),"-")</f>
        <v>-</v>
      </c>
      <c r="O70" s="429" t="str">
        <f ca="1">IFERROR(VLOOKUP(O$2,Rango_Admin_DailyPred,MATCH($F70,Rango_Admin_DailyPred_Primera,0),0),"-")</f>
        <v>-</v>
      </c>
      <c r="P70" s="429" t="str">
        <f ca="1">IFERROR(VLOOKUP(P$2,Rango_Admin_DailyPred,MATCH($F70,Rango_Admin_DailyPred_Primera,0),0),"-")</f>
        <v>-</v>
      </c>
      <c r="Q70" s="429" t="str">
        <f ca="1">IFERROR(VLOOKUP(Q$2,Rango_Admin_DailyPred,MATCH($F70,Rango_Admin_DailyPred_Primera,0),0),"-")</f>
        <v>-</v>
      </c>
      <c r="R70" s="429" t="str">
        <f ca="1">IFERROR(VLOOKUP(R$2,Rango_Admin_DailyPred,MATCH($F70,Rango_Admin_DailyPred_Primera,0),0),"-")</f>
        <v>-</v>
      </c>
      <c r="S70" s="429" t="str">
        <f ca="1">IFERROR(VLOOKUP(S$2,Rango_Admin_DailyPred,MATCH($F70,Rango_Admin_DailyPred_Primera,0),0),"-")</f>
        <v>-</v>
      </c>
      <c r="T70" s="429" t="str">
        <f ca="1">IFERROR(VLOOKUP(T$2,Rango_Admin_DailyPred,MATCH($F70,Rango_Admin_DailyPred_Primera,0),0),"-")</f>
        <v>-</v>
      </c>
      <c r="U70" s="429" t="str">
        <f ca="1">IFERROR(VLOOKUP(U$2,Rango_Admin_DailyPred,MATCH($F70,Rango_Admin_DailyPred_Primera,0),0),"-")</f>
        <v>-</v>
      </c>
      <c r="V70" s="429" t="str">
        <f ca="1">IFERROR(VLOOKUP(V$2,Rango_Admin_DailyPred,MATCH($F70,Rango_Admin_DailyPred_Primera,0),0),"-")</f>
        <v>-</v>
      </c>
      <c r="W70" s="429" t="str">
        <f ca="1">IFERROR(VLOOKUP(W$2,Rango_Admin_DailyPred,MATCH($F70,Rango_Admin_DailyPred_Primera,0),0),"-")</f>
        <v>-</v>
      </c>
      <c r="X70" s="429" t="str">
        <f ca="1">IFERROR(VLOOKUP(X$2,Rango_Admin_DailyPred,MATCH($F70,Rango_Admin_DailyPred_Primera,0),0),"-")</f>
        <v>-</v>
      </c>
      <c r="Y70" s="429" t="str">
        <f ca="1">IFERROR(VLOOKUP(Y$2,Rango_Admin_DailyPred,MATCH($F70,Rango_Admin_DailyPred_Primera,0),0),"-")</f>
        <v>-</v>
      </c>
      <c r="Z70" s="429" t="str">
        <f ca="1">IFERROR(VLOOKUP(Z$2,Rango_Admin_DailyPred,MATCH($F70,Rango_Admin_DailyPred_Primera,0),0),"-")</f>
        <v>-</v>
      </c>
      <c r="AA70" s="429" t="str">
        <f ca="1">IFERROR(VLOOKUP(AA$2,Rango_Admin_DailyPred,MATCH($F70,Rango_Admin_DailyPred_Primera,0),0),"-")</f>
        <v>-</v>
      </c>
      <c r="AB70" s="429" t="str">
        <f ca="1">IFERROR(VLOOKUP(AB$2,Rango_Admin_DailyPred,MATCH($F70,Rango_Admin_DailyPred_Primera,0),0),"-")</f>
        <v>-</v>
      </c>
      <c r="AC70" s="429" t="str">
        <f ca="1">IFERROR(VLOOKUP(AC$2,Rango_Admin_DailyPred,MATCH($F70,Rango_Admin_DailyPred_Primera,0),0),"-")</f>
        <v>-</v>
      </c>
      <c r="AD70" s="429" t="str">
        <f ca="1">IFERROR(VLOOKUP(AD$2,Rango_Admin_DailyPred,MATCH($F70,Rango_Admin_DailyPred_Primera,0),0),"-")</f>
        <v>-</v>
      </c>
      <c r="AE70" s="429" t="str">
        <f ca="1">IFERROR(VLOOKUP(AE$2,Rango_Admin_DailyPred,MATCH($F70,Rango_Admin_DailyPred_Primera,0),0),"-")</f>
        <v>-</v>
      </c>
      <c r="AF70" s="429" t="str">
        <f ca="1">IFERROR(VLOOKUP(AF$2,Rango_Admin_DailyPred,MATCH($F70,Rango_Admin_DailyPred_Primera,0),0),"-")</f>
        <v>-</v>
      </c>
      <c r="AG70" s="429" t="str">
        <f ca="1">IFERROR(VLOOKUP(AG$2,Rango_Admin_DailyPred,MATCH($F70,Rango_Admin_DailyPred_Primera,0),0),"-")</f>
        <v>-</v>
      </c>
      <c r="AH70" s="429" t="str">
        <f ca="1">IFERROR(VLOOKUP(AH$2,Rango_Admin_DailyPred,MATCH($F70,Rango_Admin_DailyPred_Primera,0),0),"-")</f>
        <v>-</v>
      </c>
      <c r="AI70" s="429" t="str">
        <f ca="1">IFERROR(VLOOKUP(AI$2,Rango_Admin_DailyPred,MATCH($F70,Rango_Admin_DailyPred_Primera,0),0),"-")</f>
        <v>-</v>
      </c>
      <c r="AJ70" s="429" t="str">
        <f ca="1">IFERROR(VLOOKUP(AJ$2,Rango_Admin_DailyPred,MATCH($F70,Rango_Admin_DailyPred_Primera,0),0),"-")</f>
        <v>-</v>
      </c>
      <c r="AK70" s="429" t="str">
        <f ca="1">IFERROR(VLOOKUP(AK$2,Rango_Admin_DailyPred,MATCH($F70,Rango_Admin_DailyPred_Primera,0),0),"-")</f>
        <v>-</v>
      </c>
      <c r="AL70" s="429" t="str">
        <f ca="1">IFERROR(VLOOKUP(AL$2,Rango_Admin_DailyPred,MATCH($F70,Rango_Admin_DailyPred_Primera,0),0),"-")</f>
        <v>-</v>
      </c>
      <c r="AM70" s="297"/>
      <c r="AN70" s="297"/>
      <c r="AO70" s="297"/>
    </row>
    <row r="71" spans="5:41">
      <c r="E71" s="19">
        <f t="shared" si="2"/>
        <v>210</v>
      </c>
      <c r="F71" s="448" t="str" cm="1">
        <f t="array" ref="F71">IFERROR(INDEX(Rango_Admin_DailyPred_Primera,1,E71),"-")</f>
        <v>-</v>
      </c>
      <c r="G71" s="429" t="str">
        <f ca="1">IFERROR(VLOOKUP(G$2,Rango_Admin_DailyPred,MATCH($F71,Rango_Admin_DailyPred_Primera,0),0),"-")</f>
        <v>-</v>
      </c>
      <c r="H71" s="429" t="str">
        <f ca="1">IFERROR(VLOOKUP(H$2,Rango_Admin_DailyPred,MATCH($F71,Rango_Admin_DailyPred_Primera,0),0),"-")</f>
        <v>-</v>
      </c>
      <c r="I71" s="429" t="str">
        <f ca="1">IFERROR(VLOOKUP(I$2,Rango_Admin_DailyPred,MATCH($F71,Rango_Admin_DailyPred_Primera,0),0),"-")</f>
        <v>-</v>
      </c>
      <c r="J71" s="429" t="str">
        <f ca="1">IFERROR(VLOOKUP(J$2,Rango_Admin_DailyPred,MATCH($F71,Rango_Admin_DailyPred_Primera,0),0),"-")</f>
        <v>-</v>
      </c>
      <c r="K71" s="429" t="str">
        <f ca="1">IFERROR(VLOOKUP(K$2,Rango_Admin_DailyPred,MATCH($F71,Rango_Admin_DailyPred_Primera,0),0),"-")</f>
        <v>-</v>
      </c>
      <c r="L71" s="429" t="str">
        <f ca="1">IFERROR(VLOOKUP(L$2,Rango_Admin_DailyPred,MATCH($F71,Rango_Admin_DailyPred_Primera,0),0),"-")</f>
        <v>-</v>
      </c>
      <c r="M71" s="429" t="str">
        <f ca="1">IFERROR(VLOOKUP(M$2,Rango_Admin_DailyPred,MATCH($F71,Rango_Admin_DailyPred_Primera,0),0),"-")</f>
        <v>-</v>
      </c>
      <c r="N71" s="429" t="str">
        <f ca="1">IFERROR(VLOOKUP(N$2,Rango_Admin_DailyPred,MATCH($F71,Rango_Admin_DailyPred_Primera,0),0),"-")</f>
        <v>-</v>
      </c>
      <c r="O71" s="429" t="str">
        <f ca="1">IFERROR(VLOOKUP(O$2,Rango_Admin_DailyPred,MATCH($F71,Rango_Admin_DailyPred_Primera,0),0),"-")</f>
        <v>-</v>
      </c>
      <c r="P71" s="429" t="str">
        <f ca="1">IFERROR(VLOOKUP(P$2,Rango_Admin_DailyPred,MATCH($F71,Rango_Admin_DailyPred_Primera,0),0),"-")</f>
        <v>-</v>
      </c>
      <c r="Q71" s="429" t="str">
        <f ca="1">IFERROR(VLOOKUP(Q$2,Rango_Admin_DailyPred,MATCH($F71,Rango_Admin_DailyPred_Primera,0),0),"-")</f>
        <v>-</v>
      </c>
      <c r="R71" s="429" t="str">
        <f ca="1">IFERROR(VLOOKUP(R$2,Rango_Admin_DailyPred,MATCH($F71,Rango_Admin_DailyPred_Primera,0),0),"-")</f>
        <v>-</v>
      </c>
      <c r="S71" s="429" t="str">
        <f ca="1">IFERROR(VLOOKUP(S$2,Rango_Admin_DailyPred,MATCH($F71,Rango_Admin_DailyPred_Primera,0),0),"-")</f>
        <v>-</v>
      </c>
      <c r="T71" s="429" t="str">
        <f ca="1">IFERROR(VLOOKUP(T$2,Rango_Admin_DailyPred,MATCH($F71,Rango_Admin_DailyPred_Primera,0),0),"-")</f>
        <v>-</v>
      </c>
      <c r="U71" s="429" t="str">
        <f ca="1">IFERROR(VLOOKUP(U$2,Rango_Admin_DailyPred,MATCH($F71,Rango_Admin_DailyPred_Primera,0),0),"-")</f>
        <v>-</v>
      </c>
      <c r="V71" s="429" t="str">
        <f ca="1">IFERROR(VLOOKUP(V$2,Rango_Admin_DailyPred,MATCH($F71,Rango_Admin_DailyPred_Primera,0),0),"-")</f>
        <v>-</v>
      </c>
      <c r="W71" s="429" t="str">
        <f ca="1">IFERROR(VLOOKUP(W$2,Rango_Admin_DailyPred,MATCH($F71,Rango_Admin_DailyPred_Primera,0),0),"-")</f>
        <v>-</v>
      </c>
      <c r="X71" s="429" t="str">
        <f ca="1">IFERROR(VLOOKUP(X$2,Rango_Admin_DailyPred,MATCH($F71,Rango_Admin_DailyPred_Primera,0),0),"-")</f>
        <v>-</v>
      </c>
      <c r="Y71" s="429" t="str">
        <f ca="1">IFERROR(VLOOKUP(Y$2,Rango_Admin_DailyPred,MATCH($F71,Rango_Admin_DailyPred_Primera,0),0),"-")</f>
        <v>-</v>
      </c>
      <c r="Z71" s="429" t="str">
        <f ca="1">IFERROR(VLOOKUP(Z$2,Rango_Admin_DailyPred,MATCH($F71,Rango_Admin_DailyPred_Primera,0),0),"-")</f>
        <v>-</v>
      </c>
      <c r="AA71" s="429" t="str">
        <f ca="1">IFERROR(VLOOKUP(AA$2,Rango_Admin_DailyPred,MATCH($F71,Rango_Admin_DailyPred_Primera,0),0),"-")</f>
        <v>-</v>
      </c>
      <c r="AB71" s="429" t="str">
        <f ca="1">IFERROR(VLOOKUP(AB$2,Rango_Admin_DailyPred,MATCH($F71,Rango_Admin_DailyPred_Primera,0),0),"-")</f>
        <v>-</v>
      </c>
      <c r="AC71" s="429" t="str">
        <f ca="1">IFERROR(VLOOKUP(AC$2,Rango_Admin_DailyPred,MATCH($F71,Rango_Admin_DailyPred_Primera,0),0),"-")</f>
        <v>-</v>
      </c>
      <c r="AD71" s="429" t="str">
        <f ca="1">IFERROR(VLOOKUP(AD$2,Rango_Admin_DailyPred,MATCH($F71,Rango_Admin_DailyPred_Primera,0),0),"-")</f>
        <v>-</v>
      </c>
      <c r="AE71" s="429" t="str">
        <f ca="1">IFERROR(VLOOKUP(AE$2,Rango_Admin_DailyPred,MATCH($F71,Rango_Admin_DailyPred_Primera,0),0),"-")</f>
        <v>-</v>
      </c>
      <c r="AF71" s="429" t="str">
        <f ca="1">IFERROR(VLOOKUP(AF$2,Rango_Admin_DailyPred,MATCH($F71,Rango_Admin_DailyPred_Primera,0),0),"-")</f>
        <v>-</v>
      </c>
      <c r="AG71" s="429" t="str">
        <f ca="1">IFERROR(VLOOKUP(AG$2,Rango_Admin_DailyPred,MATCH($F71,Rango_Admin_DailyPred_Primera,0),0),"-")</f>
        <v>-</v>
      </c>
      <c r="AH71" s="429" t="str">
        <f ca="1">IFERROR(VLOOKUP(AH$2,Rango_Admin_DailyPred,MATCH($F71,Rango_Admin_DailyPred_Primera,0),0),"-")</f>
        <v>-</v>
      </c>
      <c r="AI71" s="429" t="str">
        <f ca="1">IFERROR(VLOOKUP(AI$2,Rango_Admin_DailyPred,MATCH($F71,Rango_Admin_DailyPred_Primera,0),0),"-")</f>
        <v>-</v>
      </c>
      <c r="AJ71" s="429" t="str">
        <f ca="1">IFERROR(VLOOKUP(AJ$2,Rango_Admin_DailyPred,MATCH($F71,Rango_Admin_DailyPred_Primera,0),0),"-")</f>
        <v>-</v>
      </c>
      <c r="AK71" s="429" t="str">
        <f ca="1">IFERROR(VLOOKUP(AK$2,Rango_Admin_DailyPred,MATCH($F71,Rango_Admin_DailyPred_Primera,0),0),"-")</f>
        <v>-</v>
      </c>
      <c r="AL71" s="429" t="str">
        <f ca="1">IFERROR(VLOOKUP(AL$2,Rango_Admin_DailyPred,MATCH($F71,Rango_Admin_DailyPred_Primera,0),0),"-")</f>
        <v>-</v>
      </c>
      <c r="AM71" s="297"/>
      <c r="AN71" s="297"/>
      <c r="AO71" s="297"/>
    </row>
    <row r="72" spans="5:41">
      <c r="E72" s="19">
        <f t="shared" si="2"/>
        <v>213</v>
      </c>
      <c r="F72" s="448" t="str" cm="1">
        <f t="array" ref="F72">IFERROR(INDEX(Rango_Admin_DailyPred_Primera,1,E72),"-")</f>
        <v>-</v>
      </c>
      <c r="G72" s="429" t="str">
        <f ca="1">IFERROR(VLOOKUP(G$2,Rango_Admin_DailyPred,MATCH($F72,Rango_Admin_DailyPred_Primera,0),0),"-")</f>
        <v>-</v>
      </c>
      <c r="H72" s="429" t="str">
        <f ca="1">IFERROR(VLOOKUP(H$2,Rango_Admin_DailyPred,MATCH($F72,Rango_Admin_DailyPred_Primera,0),0),"-")</f>
        <v>-</v>
      </c>
      <c r="I72" s="429" t="str">
        <f ca="1">IFERROR(VLOOKUP(I$2,Rango_Admin_DailyPred,MATCH($F72,Rango_Admin_DailyPred_Primera,0),0),"-")</f>
        <v>-</v>
      </c>
      <c r="J72" s="429" t="str">
        <f ca="1">IFERROR(VLOOKUP(J$2,Rango_Admin_DailyPred,MATCH($F72,Rango_Admin_DailyPred_Primera,0),0),"-")</f>
        <v>-</v>
      </c>
      <c r="K72" s="429" t="str">
        <f ca="1">IFERROR(VLOOKUP(K$2,Rango_Admin_DailyPred,MATCH($F72,Rango_Admin_DailyPred_Primera,0),0),"-")</f>
        <v>-</v>
      </c>
      <c r="L72" s="429" t="str">
        <f ca="1">IFERROR(VLOOKUP(L$2,Rango_Admin_DailyPred,MATCH($F72,Rango_Admin_DailyPred_Primera,0),0),"-")</f>
        <v>-</v>
      </c>
      <c r="M72" s="429" t="str">
        <f ca="1">IFERROR(VLOOKUP(M$2,Rango_Admin_DailyPred,MATCH($F72,Rango_Admin_DailyPred_Primera,0),0),"-")</f>
        <v>-</v>
      </c>
      <c r="N72" s="429" t="str">
        <f ca="1">IFERROR(VLOOKUP(N$2,Rango_Admin_DailyPred,MATCH($F72,Rango_Admin_DailyPred_Primera,0),0),"-")</f>
        <v>-</v>
      </c>
      <c r="O72" s="429" t="str">
        <f ca="1">IFERROR(VLOOKUP(O$2,Rango_Admin_DailyPred,MATCH($F72,Rango_Admin_DailyPred_Primera,0),0),"-")</f>
        <v>-</v>
      </c>
      <c r="P72" s="429" t="str">
        <f ca="1">IFERROR(VLOOKUP(P$2,Rango_Admin_DailyPred,MATCH($F72,Rango_Admin_DailyPred_Primera,0),0),"-")</f>
        <v>-</v>
      </c>
      <c r="Q72" s="429" t="str">
        <f ca="1">IFERROR(VLOOKUP(Q$2,Rango_Admin_DailyPred,MATCH($F72,Rango_Admin_DailyPred_Primera,0),0),"-")</f>
        <v>-</v>
      </c>
      <c r="R72" s="429" t="str">
        <f ca="1">IFERROR(VLOOKUP(R$2,Rango_Admin_DailyPred,MATCH($F72,Rango_Admin_DailyPred_Primera,0),0),"-")</f>
        <v>-</v>
      </c>
      <c r="S72" s="429" t="str">
        <f ca="1">IFERROR(VLOOKUP(S$2,Rango_Admin_DailyPred,MATCH($F72,Rango_Admin_DailyPred_Primera,0),0),"-")</f>
        <v>-</v>
      </c>
      <c r="T72" s="429" t="str">
        <f ca="1">IFERROR(VLOOKUP(T$2,Rango_Admin_DailyPred,MATCH($F72,Rango_Admin_DailyPred_Primera,0),0),"-")</f>
        <v>-</v>
      </c>
      <c r="U72" s="429" t="str">
        <f ca="1">IFERROR(VLOOKUP(U$2,Rango_Admin_DailyPred,MATCH($F72,Rango_Admin_DailyPred_Primera,0),0),"-")</f>
        <v>-</v>
      </c>
      <c r="V72" s="429" t="str">
        <f ca="1">IFERROR(VLOOKUP(V$2,Rango_Admin_DailyPred,MATCH($F72,Rango_Admin_DailyPred_Primera,0),0),"-")</f>
        <v>-</v>
      </c>
      <c r="W72" s="429" t="str">
        <f ca="1">IFERROR(VLOOKUP(W$2,Rango_Admin_DailyPred,MATCH($F72,Rango_Admin_DailyPred_Primera,0),0),"-")</f>
        <v>-</v>
      </c>
      <c r="X72" s="429" t="str">
        <f ca="1">IFERROR(VLOOKUP(X$2,Rango_Admin_DailyPred,MATCH($F72,Rango_Admin_DailyPred_Primera,0),0),"-")</f>
        <v>-</v>
      </c>
      <c r="Y72" s="429" t="str">
        <f ca="1">IFERROR(VLOOKUP(Y$2,Rango_Admin_DailyPred,MATCH($F72,Rango_Admin_DailyPred_Primera,0),0),"-")</f>
        <v>-</v>
      </c>
      <c r="Z72" s="429" t="str">
        <f ca="1">IFERROR(VLOOKUP(Z$2,Rango_Admin_DailyPred,MATCH($F72,Rango_Admin_DailyPred_Primera,0),0),"-")</f>
        <v>-</v>
      </c>
      <c r="AA72" s="429" t="str">
        <f ca="1">IFERROR(VLOOKUP(AA$2,Rango_Admin_DailyPred,MATCH($F72,Rango_Admin_DailyPred_Primera,0),0),"-")</f>
        <v>-</v>
      </c>
      <c r="AB72" s="429" t="str">
        <f ca="1">IFERROR(VLOOKUP(AB$2,Rango_Admin_DailyPred,MATCH($F72,Rango_Admin_DailyPred_Primera,0),0),"-")</f>
        <v>-</v>
      </c>
      <c r="AC72" s="429" t="str">
        <f ca="1">IFERROR(VLOOKUP(AC$2,Rango_Admin_DailyPred,MATCH($F72,Rango_Admin_DailyPred_Primera,0),0),"-")</f>
        <v>-</v>
      </c>
      <c r="AD72" s="429" t="str">
        <f ca="1">IFERROR(VLOOKUP(AD$2,Rango_Admin_DailyPred,MATCH($F72,Rango_Admin_DailyPred_Primera,0),0),"-")</f>
        <v>-</v>
      </c>
      <c r="AE72" s="429" t="str">
        <f ca="1">IFERROR(VLOOKUP(AE$2,Rango_Admin_DailyPred,MATCH($F72,Rango_Admin_DailyPred_Primera,0),0),"-")</f>
        <v>-</v>
      </c>
      <c r="AF72" s="429" t="str">
        <f ca="1">IFERROR(VLOOKUP(AF$2,Rango_Admin_DailyPred,MATCH($F72,Rango_Admin_DailyPred_Primera,0),0),"-")</f>
        <v>-</v>
      </c>
      <c r="AG72" s="429" t="str">
        <f ca="1">IFERROR(VLOOKUP(AG$2,Rango_Admin_DailyPred,MATCH($F72,Rango_Admin_DailyPred_Primera,0),0),"-")</f>
        <v>-</v>
      </c>
      <c r="AH72" s="429" t="str">
        <f ca="1">IFERROR(VLOOKUP(AH$2,Rango_Admin_DailyPred,MATCH($F72,Rango_Admin_DailyPred_Primera,0),0),"-")</f>
        <v>-</v>
      </c>
      <c r="AI72" s="429" t="str">
        <f ca="1">IFERROR(VLOOKUP(AI$2,Rango_Admin_DailyPred,MATCH($F72,Rango_Admin_DailyPred_Primera,0),0),"-")</f>
        <v>-</v>
      </c>
      <c r="AJ72" s="429" t="str">
        <f ca="1">IFERROR(VLOOKUP(AJ$2,Rango_Admin_DailyPred,MATCH($F72,Rango_Admin_DailyPred_Primera,0),0),"-")</f>
        <v>-</v>
      </c>
      <c r="AK72" s="429" t="str">
        <f ca="1">IFERROR(VLOOKUP(AK$2,Rango_Admin_DailyPred,MATCH($F72,Rango_Admin_DailyPred_Primera,0),0),"-")</f>
        <v>-</v>
      </c>
      <c r="AL72" s="429" t="str">
        <f ca="1">IFERROR(VLOOKUP(AL$2,Rango_Admin_DailyPred,MATCH($F72,Rango_Admin_DailyPred_Primera,0),0),"-")</f>
        <v>-</v>
      </c>
      <c r="AM72" s="297"/>
      <c r="AN72" s="297"/>
      <c r="AO72" s="297"/>
    </row>
    <row r="73" spans="5:41">
      <c r="E73" s="19">
        <f t="shared" si="2"/>
        <v>216</v>
      </c>
      <c r="F73" s="448" t="str" cm="1">
        <f t="array" ref="F73">IFERROR(INDEX(Rango_Admin_DailyPred_Primera,1,E73),"-")</f>
        <v>-</v>
      </c>
      <c r="G73" s="429" t="str">
        <f ca="1">IFERROR(VLOOKUP(G$2,Rango_Admin_DailyPred,MATCH($F73,Rango_Admin_DailyPred_Primera,0),0),"-")</f>
        <v>-</v>
      </c>
      <c r="H73" s="429" t="str">
        <f ca="1">IFERROR(VLOOKUP(H$2,Rango_Admin_DailyPred,MATCH($F73,Rango_Admin_DailyPred_Primera,0),0),"-")</f>
        <v>-</v>
      </c>
      <c r="I73" s="429" t="str">
        <f ca="1">IFERROR(VLOOKUP(I$2,Rango_Admin_DailyPred,MATCH($F73,Rango_Admin_DailyPred_Primera,0),0),"-")</f>
        <v>-</v>
      </c>
      <c r="J73" s="429" t="str">
        <f ca="1">IFERROR(VLOOKUP(J$2,Rango_Admin_DailyPred,MATCH($F73,Rango_Admin_DailyPred_Primera,0),0),"-")</f>
        <v>-</v>
      </c>
      <c r="K73" s="429" t="str">
        <f ca="1">IFERROR(VLOOKUP(K$2,Rango_Admin_DailyPred,MATCH($F73,Rango_Admin_DailyPred_Primera,0),0),"-")</f>
        <v>-</v>
      </c>
      <c r="L73" s="429" t="str">
        <f ca="1">IFERROR(VLOOKUP(L$2,Rango_Admin_DailyPred,MATCH($F73,Rango_Admin_DailyPred_Primera,0),0),"-")</f>
        <v>-</v>
      </c>
      <c r="M73" s="429" t="str">
        <f ca="1">IFERROR(VLOOKUP(M$2,Rango_Admin_DailyPred,MATCH($F73,Rango_Admin_DailyPred_Primera,0),0),"-")</f>
        <v>-</v>
      </c>
      <c r="N73" s="429" t="str">
        <f ca="1">IFERROR(VLOOKUP(N$2,Rango_Admin_DailyPred,MATCH($F73,Rango_Admin_DailyPred_Primera,0),0),"-")</f>
        <v>-</v>
      </c>
      <c r="O73" s="429" t="str">
        <f ca="1">IFERROR(VLOOKUP(O$2,Rango_Admin_DailyPred,MATCH($F73,Rango_Admin_DailyPred_Primera,0),0),"-")</f>
        <v>-</v>
      </c>
      <c r="P73" s="429" t="str">
        <f ca="1">IFERROR(VLOOKUP(P$2,Rango_Admin_DailyPred,MATCH($F73,Rango_Admin_DailyPred_Primera,0),0),"-")</f>
        <v>-</v>
      </c>
      <c r="Q73" s="429" t="str">
        <f ca="1">IFERROR(VLOOKUP(Q$2,Rango_Admin_DailyPred,MATCH($F73,Rango_Admin_DailyPred_Primera,0),0),"-")</f>
        <v>-</v>
      </c>
      <c r="R73" s="429" t="str">
        <f ca="1">IFERROR(VLOOKUP(R$2,Rango_Admin_DailyPred,MATCH($F73,Rango_Admin_DailyPred_Primera,0),0),"-")</f>
        <v>-</v>
      </c>
      <c r="S73" s="429" t="str">
        <f ca="1">IFERROR(VLOOKUP(S$2,Rango_Admin_DailyPred,MATCH($F73,Rango_Admin_DailyPred_Primera,0),0),"-")</f>
        <v>-</v>
      </c>
      <c r="T73" s="429" t="str">
        <f ca="1">IFERROR(VLOOKUP(T$2,Rango_Admin_DailyPred,MATCH($F73,Rango_Admin_DailyPred_Primera,0),0),"-")</f>
        <v>-</v>
      </c>
      <c r="U73" s="429" t="str">
        <f ca="1">IFERROR(VLOOKUP(U$2,Rango_Admin_DailyPred,MATCH($F73,Rango_Admin_DailyPred_Primera,0),0),"-")</f>
        <v>-</v>
      </c>
      <c r="V73" s="429" t="str">
        <f ca="1">IFERROR(VLOOKUP(V$2,Rango_Admin_DailyPred,MATCH($F73,Rango_Admin_DailyPred_Primera,0),0),"-")</f>
        <v>-</v>
      </c>
      <c r="W73" s="429" t="str">
        <f ca="1">IFERROR(VLOOKUP(W$2,Rango_Admin_DailyPred,MATCH($F73,Rango_Admin_DailyPred_Primera,0),0),"-")</f>
        <v>-</v>
      </c>
      <c r="X73" s="429" t="str">
        <f ca="1">IFERROR(VLOOKUP(X$2,Rango_Admin_DailyPred,MATCH($F73,Rango_Admin_DailyPred_Primera,0),0),"-")</f>
        <v>-</v>
      </c>
      <c r="Y73" s="429" t="str">
        <f ca="1">IFERROR(VLOOKUP(Y$2,Rango_Admin_DailyPred,MATCH($F73,Rango_Admin_DailyPred_Primera,0),0),"-")</f>
        <v>-</v>
      </c>
      <c r="Z73" s="429" t="str">
        <f ca="1">IFERROR(VLOOKUP(Z$2,Rango_Admin_DailyPred,MATCH($F73,Rango_Admin_DailyPred_Primera,0),0),"-")</f>
        <v>-</v>
      </c>
      <c r="AA73" s="429" t="str">
        <f ca="1">IFERROR(VLOOKUP(AA$2,Rango_Admin_DailyPred,MATCH($F73,Rango_Admin_DailyPred_Primera,0),0),"-")</f>
        <v>-</v>
      </c>
      <c r="AB73" s="429" t="str">
        <f ca="1">IFERROR(VLOOKUP(AB$2,Rango_Admin_DailyPred,MATCH($F73,Rango_Admin_DailyPred_Primera,0),0),"-")</f>
        <v>-</v>
      </c>
      <c r="AC73" s="429" t="str">
        <f ca="1">IFERROR(VLOOKUP(AC$2,Rango_Admin_DailyPred,MATCH($F73,Rango_Admin_DailyPred_Primera,0),0),"-")</f>
        <v>-</v>
      </c>
      <c r="AD73" s="429" t="str">
        <f ca="1">IFERROR(VLOOKUP(AD$2,Rango_Admin_DailyPred,MATCH($F73,Rango_Admin_DailyPred_Primera,0),0),"-")</f>
        <v>-</v>
      </c>
      <c r="AE73" s="429" t="str">
        <f ca="1">IFERROR(VLOOKUP(AE$2,Rango_Admin_DailyPred,MATCH($F73,Rango_Admin_DailyPred_Primera,0),0),"-")</f>
        <v>-</v>
      </c>
      <c r="AF73" s="429" t="str">
        <f ca="1">IFERROR(VLOOKUP(AF$2,Rango_Admin_DailyPred,MATCH($F73,Rango_Admin_DailyPred_Primera,0),0),"-")</f>
        <v>-</v>
      </c>
      <c r="AG73" s="429" t="str">
        <f ca="1">IFERROR(VLOOKUP(AG$2,Rango_Admin_DailyPred,MATCH($F73,Rango_Admin_DailyPred_Primera,0),0),"-")</f>
        <v>-</v>
      </c>
      <c r="AH73" s="429" t="str">
        <f ca="1">IFERROR(VLOOKUP(AH$2,Rango_Admin_DailyPred,MATCH($F73,Rango_Admin_DailyPred_Primera,0),0),"-")</f>
        <v>-</v>
      </c>
      <c r="AI73" s="429" t="str">
        <f ca="1">IFERROR(VLOOKUP(AI$2,Rango_Admin_DailyPred,MATCH($F73,Rango_Admin_DailyPred_Primera,0),0),"-")</f>
        <v>-</v>
      </c>
      <c r="AJ73" s="429" t="str">
        <f ca="1">IFERROR(VLOOKUP(AJ$2,Rango_Admin_DailyPred,MATCH($F73,Rango_Admin_DailyPred_Primera,0),0),"-")</f>
        <v>-</v>
      </c>
      <c r="AK73" s="429" t="str">
        <f ca="1">IFERROR(VLOOKUP(AK$2,Rango_Admin_DailyPred,MATCH($F73,Rango_Admin_DailyPred_Primera,0),0),"-")</f>
        <v>-</v>
      </c>
      <c r="AL73" s="429" t="str">
        <f ca="1">IFERROR(VLOOKUP(AL$2,Rango_Admin_DailyPred,MATCH($F73,Rango_Admin_DailyPred_Primera,0),0),"-")</f>
        <v>-</v>
      </c>
      <c r="AM73" s="297"/>
      <c r="AN73" s="297"/>
      <c r="AO73" s="297"/>
    </row>
    <row r="74" spans="5:41">
      <c r="E74" s="19">
        <f t="shared" si="2"/>
        <v>219</v>
      </c>
      <c r="F74" s="448" t="str" cm="1">
        <f t="array" ref="F74">IFERROR(INDEX(Rango_Admin_DailyPred_Primera,1,E74),"-")</f>
        <v>-</v>
      </c>
      <c r="G74" s="429" t="str">
        <f ca="1">IFERROR(VLOOKUP(G$2,Rango_Admin_DailyPred,MATCH($F74,Rango_Admin_DailyPred_Primera,0),0),"-")</f>
        <v>-</v>
      </c>
      <c r="H74" s="429" t="str">
        <f ca="1">IFERROR(VLOOKUP(H$2,Rango_Admin_DailyPred,MATCH($F74,Rango_Admin_DailyPred_Primera,0),0),"-")</f>
        <v>-</v>
      </c>
      <c r="I74" s="429" t="str">
        <f ca="1">IFERROR(VLOOKUP(I$2,Rango_Admin_DailyPred,MATCH($F74,Rango_Admin_DailyPred_Primera,0),0),"-")</f>
        <v>-</v>
      </c>
      <c r="J74" s="429" t="str">
        <f ca="1">IFERROR(VLOOKUP(J$2,Rango_Admin_DailyPred,MATCH($F74,Rango_Admin_DailyPred_Primera,0),0),"-")</f>
        <v>-</v>
      </c>
      <c r="K74" s="429" t="str">
        <f ca="1">IFERROR(VLOOKUP(K$2,Rango_Admin_DailyPred,MATCH($F74,Rango_Admin_DailyPred_Primera,0),0),"-")</f>
        <v>-</v>
      </c>
      <c r="L74" s="429" t="str">
        <f ca="1">IFERROR(VLOOKUP(L$2,Rango_Admin_DailyPred,MATCH($F74,Rango_Admin_DailyPred_Primera,0),0),"-")</f>
        <v>-</v>
      </c>
      <c r="M74" s="429" t="str">
        <f ca="1">IFERROR(VLOOKUP(M$2,Rango_Admin_DailyPred,MATCH($F74,Rango_Admin_DailyPred_Primera,0),0),"-")</f>
        <v>-</v>
      </c>
      <c r="N74" s="429" t="str">
        <f ca="1">IFERROR(VLOOKUP(N$2,Rango_Admin_DailyPred,MATCH($F74,Rango_Admin_DailyPred_Primera,0),0),"-")</f>
        <v>-</v>
      </c>
      <c r="O74" s="429" t="str">
        <f ca="1">IFERROR(VLOOKUP(O$2,Rango_Admin_DailyPred,MATCH($F74,Rango_Admin_DailyPred_Primera,0),0),"-")</f>
        <v>-</v>
      </c>
      <c r="P74" s="429" t="str">
        <f ca="1">IFERROR(VLOOKUP(P$2,Rango_Admin_DailyPred,MATCH($F74,Rango_Admin_DailyPred_Primera,0),0),"-")</f>
        <v>-</v>
      </c>
      <c r="Q74" s="429" t="str">
        <f ca="1">IFERROR(VLOOKUP(Q$2,Rango_Admin_DailyPred,MATCH($F74,Rango_Admin_DailyPred_Primera,0),0),"-")</f>
        <v>-</v>
      </c>
      <c r="R74" s="429" t="str">
        <f ca="1">IFERROR(VLOOKUP(R$2,Rango_Admin_DailyPred,MATCH($F74,Rango_Admin_DailyPred_Primera,0),0),"-")</f>
        <v>-</v>
      </c>
      <c r="S74" s="429" t="str">
        <f ca="1">IFERROR(VLOOKUP(S$2,Rango_Admin_DailyPred,MATCH($F74,Rango_Admin_DailyPred_Primera,0),0),"-")</f>
        <v>-</v>
      </c>
      <c r="T74" s="429" t="str">
        <f ca="1">IFERROR(VLOOKUP(T$2,Rango_Admin_DailyPred,MATCH($F74,Rango_Admin_DailyPred_Primera,0),0),"-")</f>
        <v>-</v>
      </c>
      <c r="U74" s="429" t="str">
        <f ca="1">IFERROR(VLOOKUP(U$2,Rango_Admin_DailyPred,MATCH($F74,Rango_Admin_DailyPred_Primera,0),0),"-")</f>
        <v>-</v>
      </c>
      <c r="V74" s="429" t="str">
        <f ca="1">IFERROR(VLOOKUP(V$2,Rango_Admin_DailyPred,MATCH($F74,Rango_Admin_DailyPred_Primera,0),0),"-")</f>
        <v>-</v>
      </c>
      <c r="W74" s="429" t="str">
        <f ca="1">IFERROR(VLOOKUP(W$2,Rango_Admin_DailyPred,MATCH($F74,Rango_Admin_DailyPred_Primera,0),0),"-")</f>
        <v>-</v>
      </c>
      <c r="X74" s="429" t="str">
        <f ca="1">IFERROR(VLOOKUP(X$2,Rango_Admin_DailyPred,MATCH($F74,Rango_Admin_DailyPred_Primera,0),0),"-")</f>
        <v>-</v>
      </c>
      <c r="Y74" s="429" t="str">
        <f ca="1">IFERROR(VLOOKUP(Y$2,Rango_Admin_DailyPred,MATCH($F74,Rango_Admin_DailyPred_Primera,0),0),"-")</f>
        <v>-</v>
      </c>
      <c r="Z74" s="429" t="str">
        <f ca="1">IFERROR(VLOOKUP(Z$2,Rango_Admin_DailyPred,MATCH($F74,Rango_Admin_DailyPred_Primera,0),0),"-")</f>
        <v>-</v>
      </c>
      <c r="AA74" s="429" t="str">
        <f ca="1">IFERROR(VLOOKUP(AA$2,Rango_Admin_DailyPred,MATCH($F74,Rango_Admin_DailyPred_Primera,0),0),"-")</f>
        <v>-</v>
      </c>
      <c r="AB74" s="429" t="str">
        <f ca="1">IFERROR(VLOOKUP(AB$2,Rango_Admin_DailyPred,MATCH($F74,Rango_Admin_DailyPred_Primera,0),0),"-")</f>
        <v>-</v>
      </c>
      <c r="AC74" s="429" t="str">
        <f ca="1">IFERROR(VLOOKUP(AC$2,Rango_Admin_DailyPred,MATCH($F74,Rango_Admin_DailyPred_Primera,0),0),"-")</f>
        <v>-</v>
      </c>
      <c r="AD74" s="429" t="str">
        <f ca="1">IFERROR(VLOOKUP(AD$2,Rango_Admin_DailyPred,MATCH($F74,Rango_Admin_DailyPred_Primera,0),0),"-")</f>
        <v>-</v>
      </c>
      <c r="AE74" s="429" t="str">
        <f ca="1">IFERROR(VLOOKUP(AE$2,Rango_Admin_DailyPred,MATCH($F74,Rango_Admin_DailyPred_Primera,0),0),"-")</f>
        <v>-</v>
      </c>
      <c r="AF74" s="429" t="str">
        <f ca="1">IFERROR(VLOOKUP(AF$2,Rango_Admin_DailyPred,MATCH($F74,Rango_Admin_DailyPred_Primera,0),0),"-")</f>
        <v>-</v>
      </c>
      <c r="AG74" s="429" t="str">
        <f ca="1">IFERROR(VLOOKUP(AG$2,Rango_Admin_DailyPred,MATCH($F74,Rango_Admin_DailyPred_Primera,0),0),"-")</f>
        <v>-</v>
      </c>
      <c r="AH74" s="429" t="str">
        <f ca="1">IFERROR(VLOOKUP(AH$2,Rango_Admin_DailyPred,MATCH($F74,Rango_Admin_DailyPred_Primera,0),0),"-")</f>
        <v>-</v>
      </c>
      <c r="AI74" s="429" t="str">
        <f ca="1">IFERROR(VLOOKUP(AI$2,Rango_Admin_DailyPred,MATCH($F74,Rango_Admin_DailyPred_Primera,0),0),"-")</f>
        <v>-</v>
      </c>
      <c r="AJ74" s="429" t="str">
        <f ca="1">IFERROR(VLOOKUP(AJ$2,Rango_Admin_DailyPred,MATCH($F74,Rango_Admin_DailyPred_Primera,0),0),"-")</f>
        <v>-</v>
      </c>
      <c r="AK74" s="429" t="str">
        <f ca="1">IFERROR(VLOOKUP(AK$2,Rango_Admin_DailyPred,MATCH($F74,Rango_Admin_DailyPred_Primera,0),0),"-")</f>
        <v>-</v>
      </c>
      <c r="AL74" s="429" t="str">
        <f ca="1">IFERROR(VLOOKUP(AL$2,Rango_Admin_DailyPred,MATCH($F74,Rango_Admin_DailyPred_Primera,0),0),"-")</f>
        <v>-</v>
      </c>
      <c r="AM74" s="297"/>
      <c r="AN74" s="297"/>
      <c r="AO74" s="297"/>
    </row>
    <row r="75" spans="5:41">
      <c r="E75" s="19">
        <f t="shared" si="2"/>
        <v>222</v>
      </c>
      <c r="F75" s="448" t="str" cm="1">
        <f t="array" ref="F75">IFERROR(INDEX(Rango_Admin_DailyPred_Primera,1,E75),"-")</f>
        <v>-</v>
      </c>
      <c r="G75" s="429" t="str">
        <f ca="1">IFERROR(VLOOKUP(G$2,Rango_Admin_DailyPred,MATCH($F75,Rango_Admin_DailyPred_Primera,0),0),"-")</f>
        <v>-</v>
      </c>
      <c r="H75" s="429" t="str">
        <f ca="1">IFERROR(VLOOKUP(H$2,Rango_Admin_DailyPred,MATCH($F75,Rango_Admin_DailyPred_Primera,0),0),"-")</f>
        <v>-</v>
      </c>
      <c r="I75" s="429" t="str">
        <f ca="1">IFERROR(VLOOKUP(I$2,Rango_Admin_DailyPred,MATCH($F75,Rango_Admin_DailyPred_Primera,0),0),"-")</f>
        <v>-</v>
      </c>
      <c r="J75" s="429" t="str">
        <f ca="1">IFERROR(VLOOKUP(J$2,Rango_Admin_DailyPred,MATCH($F75,Rango_Admin_DailyPred_Primera,0),0),"-")</f>
        <v>-</v>
      </c>
      <c r="K75" s="429" t="str">
        <f ca="1">IFERROR(VLOOKUP(K$2,Rango_Admin_DailyPred,MATCH($F75,Rango_Admin_DailyPred_Primera,0),0),"-")</f>
        <v>-</v>
      </c>
      <c r="L75" s="429" t="str">
        <f ca="1">IFERROR(VLOOKUP(L$2,Rango_Admin_DailyPred,MATCH($F75,Rango_Admin_DailyPred_Primera,0),0),"-")</f>
        <v>-</v>
      </c>
      <c r="M75" s="429" t="str">
        <f ca="1">IFERROR(VLOOKUP(M$2,Rango_Admin_DailyPred,MATCH($F75,Rango_Admin_DailyPred_Primera,0),0),"-")</f>
        <v>-</v>
      </c>
      <c r="N75" s="429" t="str">
        <f ca="1">IFERROR(VLOOKUP(N$2,Rango_Admin_DailyPred,MATCH($F75,Rango_Admin_DailyPred_Primera,0),0),"-")</f>
        <v>-</v>
      </c>
      <c r="O75" s="429" t="str">
        <f ca="1">IFERROR(VLOOKUP(O$2,Rango_Admin_DailyPred,MATCH($F75,Rango_Admin_DailyPred_Primera,0),0),"-")</f>
        <v>-</v>
      </c>
      <c r="P75" s="429" t="str">
        <f ca="1">IFERROR(VLOOKUP(P$2,Rango_Admin_DailyPred,MATCH($F75,Rango_Admin_DailyPred_Primera,0),0),"-")</f>
        <v>-</v>
      </c>
      <c r="Q75" s="429" t="str">
        <f ca="1">IFERROR(VLOOKUP(Q$2,Rango_Admin_DailyPred,MATCH($F75,Rango_Admin_DailyPred_Primera,0),0),"-")</f>
        <v>-</v>
      </c>
      <c r="R75" s="429" t="str">
        <f ca="1">IFERROR(VLOOKUP(R$2,Rango_Admin_DailyPred,MATCH($F75,Rango_Admin_DailyPred_Primera,0),0),"-")</f>
        <v>-</v>
      </c>
      <c r="S75" s="429" t="str">
        <f ca="1">IFERROR(VLOOKUP(S$2,Rango_Admin_DailyPred,MATCH($F75,Rango_Admin_DailyPred_Primera,0),0),"-")</f>
        <v>-</v>
      </c>
      <c r="T75" s="429" t="str">
        <f ca="1">IFERROR(VLOOKUP(T$2,Rango_Admin_DailyPred,MATCH($F75,Rango_Admin_DailyPred_Primera,0),0),"-")</f>
        <v>-</v>
      </c>
      <c r="U75" s="429" t="str">
        <f ca="1">IFERROR(VLOOKUP(U$2,Rango_Admin_DailyPred,MATCH($F75,Rango_Admin_DailyPred_Primera,0),0),"-")</f>
        <v>-</v>
      </c>
      <c r="V75" s="429" t="str">
        <f ca="1">IFERROR(VLOOKUP(V$2,Rango_Admin_DailyPred,MATCH($F75,Rango_Admin_DailyPred_Primera,0),0),"-")</f>
        <v>-</v>
      </c>
      <c r="W75" s="429" t="str">
        <f ca="1">IFERROR(VLOOKUP(W$2,Rango_Admin_DailyPred,MATCH($F75,Rango_Admin_DailyPred_Primera,0),0),"-")</f>
        <v>-</v>
      </c>
      <c r="X75" s="429" t="str">
        <f ca="1">IFERROR(VLOOKUP(X$2,Rango_Admin_DailyPred,MATCH($F75,Rango_Admin_DailyPred_Primera,0),0),"-")</f>
        <v>-</v>
      </c>
      <c r="Y75" s="429" t="str">
        <f ca="1">IFERROR(VLOOKUP(Y$2,Rango_Admin_DailyPred,MATCH($F75,Rango_Admin_DailyPred_Primera,0),0),"-")</f>
        <v>-</v>
      </c>
      <c r="Z75" s="429" t="str">
        <f ca="1">IFERROR(VLOOKUP(Z$2,Rango_Admin_DailyPred,MATCH($F75,Rango_Admin_DailyPred_Primera,0),0),"-")</f>
        <v>-</v>
      </c>
      <c r="AA75" s="429" t="str">
        <f ca="1">IFERROR(VLOOKUP(AA$2,Rango_Admin_DailyPred,MATCH($F75,Rango_Admin_DailyPred_Primera,0),0),"-")</f>
        <v>-</v>
      </c>
      <c r="AB75" s="429" t="str">
        <f ca="1">IFERROR(VLOOKUP(AB$2,Rango_Admin_DailyPred,MATCH($F75,Rango_Admin_DailyPred_Primera,0),0),"-")</f>
        <v>-</v>
      </c>
      <c r="AC75" s="429" t="str">
        <f ca="1">IFERROR(VLOOKUP(AC$2,Rango_Admin_DailyPred,MATCH($F75,Rango_Admin_DailyPred_Primera,0),0),"-")</f>
        <v>-</v>
      </c>
      <c r="AD75" s="429" t="str">
        <f ca="1">IFERROR(VLOOKUP(AD$2,Rango_Admin_DailyPred,MATCH($F75,Rango_Admin_DailyPred_Primera,0),0),"-")</f>
        <v>-</v>
      </c>
      <c r="AE75" s="429" t="str">
        <f ca="1">IFERROR(VLOOKUP(AE$2,Rango_Admin_DailyPred,MATCH($F75,Rango_Admin_DailyPred_Primera,0),0),"-")</f>
        <v>-</v>
      </c>
      <c r="AF75" s="429" t="str">
        <f ca="1">IFERROR(VLOOKUP(AF$2,Rango_Admin_DailyPred,MATCH($F75,Rango_Admin_DailyPred_Primera,0),0),"-")</f>
        <v>-</v>
      </c>
      <c r="AG75" s="429" t="str">
        <f ca="1">IFERROR(VLOOKUP(AG$2,Rango_Admin_DailyPred,MATCH($F75,Rango_Admin_DailyPred_Primera,0),0),"-")</f>
        <v>-</v>
      </c>
      <c r="AH75" s="429" t="str">
        <f ca="1">IFERROR(VLOOKUP(AH$2,Rango_Admin_DailyPred,MATCH($F75,Rango_Admin_DailyPred_Primera,0),0),"-")</f>
        <v>-</v>
      </c>
      <c r="AI75" s="429" t="str">
        <f ca="1">IFERROR(VLOOKUP(AI$2,Rango_Admin_DailyPred,MATCH($F75,Rango_Admin_DailyPred_Primera,0),0),"-")</f>
        <v>-</v>
      </c>
      <c r="AJ75" s="429" t="str">
        <f ca="1">IFERROR(VLOOKUP(AJ$2,Rango_Admin_DailyPred,MATCH($F75,Rango_Admin_DailyPred_Primera,0),0),"-")</f>
        <v>-</v>
      </c>
      <c r="AK75" s="429" t="str">
        <f ca="1">IFERROR(VLOOKUP(AK$2,Rango_Admin_DailyPred,MATCH($F75,Rango_Admin_DailyPred_Primera,0),0),"-")</f>
        <v>-</v>
      </c>
      <c r="AL75" s="429" t="str">
        <f ca="1">IFERROR(VLOOKUP(AL$2,Rango_Admin_DailyPred,MATCH($F75,Rango_Admin_DailyPred_Primera,0),0),"-")</f>
        <v>-</v>
      </c>
      <c r="AM75" s="297"/>
      <c r="AN75" s="297"/>
      <c r="AO75" s="297"/>
    </row>
    <row r="76" spans="5:41">
      <c r="E76" s="19">
        <f t="shared" si="2"/>
        <v>225</v>
      </c>
      <c r="F76" s="448" t="str" cm="1">
        <f t="array" ref="F76">IFERROR(INDEX(Rango_Admin_DailyPred_Primera,1,E76),"-")</f>
        <v>-</v>
      </c>
      <c r="G76" s="429" t="str">
        <f ca="1">IFERROR(VLOOKUP(G$2,Rango_Admin_DailyPred,MATCH($F76,Rango_Admin_DailyPred_Primera,0),0),"-")</f>
        <v>-</v>
      </c>
      <c r="H76" s="429" t="str">
        <f ca="1">IFERROR(VLOOKUP(H$2,Rango_Admin_DailyPred,MATCH($F76,Rango_Admin_DailyPred_Primera,0),0),"-")</f>
        <v>-</v>
      </c>
      <c r="I76" s="429" t="str">
        <f ca="1">IFERROR(VLOOKUP(I$2,Rango_Admin_DailyPred,MATCH($F76,Rango_Admin_DailyPred_Primera,0),0),"-")</f>
        <v>-</v>
      </c>
      <c r="J76" s="429" t="str">
        <f ca="1">IFERROR(VLOOKUP(J$2,Rango_Admin_DailyPred,MATCH($F76,Rango_Admin_DailyPred_Primera,0),0),"-")</f>
        <v>-</v>
      </c>
      <c r="K76" s="429" t="str">
        <f ca="1">IFERROR(VLOOKUP(K$2,Rango_Admin_DailyPred,MATCH($F76,Rango_Admin_DailyPred_Primera,0),0),"-")</f>
        <v>-</v>
      </c>
      <c r="L76" s="429" t="str">
        <f ca="1">IFERROR(VLOOKUP(L$2,Rango_Admin_DailyPred,MATCH($F76,Rango_Admin_DailyPred_Primera,0),0),"-")</f>
        <v>-</v>
      </c>
      <c r="M76" s="429" t="str">
        <f ca="1">IFERROR(VLOOKUP(M$2,Rango_Admin_DailyPred,MATCH($F76,Rango_Admin_DailyPred_Primera,0),0),"-")</f>
        <v>-</v>
      </c>
      <c r="N76" s="429" t="str">
        <f ca="1">IFERROR(VLOOKUP(N$2,Rango_Admin_DailyPred,MATCH($F76,Rango_Admin_DailyPred_Primera,0),0),"-")</f>
        <v>-</v>
      </c>
      <c r="O76" s="429" t="str">
        <f ca="1">IFERROR(VLOOKUP(O$2,Rango_Admin_DailyPred,MATCH($F76,Rango_Admin_DailyPred_Primera,0),0),"-")</f>
        <v>-</v>
      </c>
      <c r="P76" s="429" t="str">
        <f ca="1">IFERROR(VLOOKUP(P$2,Rango_Admin_DailyPred,MATCH($F76,Rango_Admin_DailyPred_Primera,0),0),"-")</f>
        <v>-</v>
      </c>
      <c r="Q76" s="429" t="str">
        <f ca="1">IFERROR(VLOOKUP(Q$2,Rango_Admin_DailyPred,MATCH($F76,Rango_Admin_DailyPred_Primera,0),0),"-")</f>
        <v>-</v>
      </c>
      <c r="R76" s="429" t="str">
        <f ca="1">IFERROR(VLOOKUP(R$2,Rango_Admin_DailyPred,MATCH($F76,Rango_Admin_DailyPred_Primera,0),0),"-")</f>
        <v>-</v>
      </c>
      <c r="S76" s="429" t="str">
        <f ca="1">IFERROR(VLOOKUP(S$2,Rango_Admin_DailyPred,MATCH($F76,Rango_Admin_DailyPred_Primera,0),0),"-")</f>
        <v>-</v>
      </c>
      <c r="T76" s="429" t="str">
        <f ca="1">IFERROR(VLOOKUP(T$2,Rango_Admin_DailyPred,MATCH($F76,Rango_Admin_DailyPred_Primera,0),0),"-")</f>
        <v>-</v>
      </c>
      <c r="U76" s="429" t="str">
        <f ca="1">IFERROR(VLOOKUP(U$2,Rango_Admin_DailyPred,MATCH($F76,Rango_Admin_DailyPred_Primera,0),0),"-")</f>
        <v>-</v>
      </c>
      <c r="V76" s="429" t="str">
        <f ca="1">IFERROR(VLOOKUP(V$2,Rango_Admin_DailyPred,MATCH($F76,Rango_Admin_DailyPred_Primera,0),0),"-")</f>
        <v>-</v>
      </c>
      <c r="W76" s="429" t="str">
        <f ca="1">IFERROR(VLOOKUP(W$2,Rango_Admin_DailyPred,MATCH($F76,Rango_Admin_DailyPred_Primera,0),0),"-")</f>
        <v>-</v>
      </c>
      <c r="X76" s="429" t="str">
        <f ca="1">IFERROR(VLOOKUP(X$2,Rango_Admin_DailyPred,MATCH($F76,Rango_Admin_DailyPred_Primera,0),0),"-")</f>
        <v>-</v>
      </c>
      <c r="Y76" s="429" t="str">
        <f ca="1">IFERROR(VLOOKUP(Y$2,Rango_Admin_DailyPred,MATCH($F76,Rango_Admin_DailyPred_Primera,0),0),"-")</f>
        <v>-</v>
      </c>
      <c r="Z76" s="429" t="str">
        <f ca="1">IFERROR(VLOOKUP(Z$2,Rango_Admin_DailyPred,MATCH($F76,Rango_Admin_DailyPred_Primera,0),0),"-")</f>
        <v>-</v>
      </c>
      <c r="AA76" s="429" t="str">
        <f ca="1">IFERROR(VLOOKUP(AA$2,Rango_Admin_DailyPred,MATCH($F76,Rango_Admin_DailyPred_Primera,0),0),"-")</f>
        <v>-</v>
      </c>
      <c r="AB76" s="429" t="str">
        <f ca="1">IFERROR(VLOOKUP(AB$2,Rango_Admin_DailyPred,MATCH($F76,Rango_Admin_DailyPred_Primera,0),0),"-")</f>
        <v>-</v>
      </c>
      <c r="AC76" s="429" t="str">
        <f ca="1">IFERROR(VLOOKUP(AC$2,Rango_Admin_DailyPred,MATCH($F76,Rango_Admin_DailyPred_Primera,0),0),"-")</f>
        <v>-</v>
      </c>
      <c r="AD76" s="429" t="str">
        <f ca="1">IFERROR(VLOOKUP(AD$2,Rango_Admin_DailyPred,MATCH($F76,Rango_Admin_DailyPred_Primera,0),0),"-")</f>
        <v>-</v>
      </c>
      <c r="AE76" s="429" t="str">
        <f ca="1">IFERROR(VLOOKUP(AE$2,Rango_Admin_DailyPred,MATCH($F76,Rango_Admin_DailyPred_Primera,0),0),"-")</f>
        <v>-</v>
      </c>
      <c r="AF76" s="429" t="str">
        <f ca="1">IFERROR(VLOOKUP(AF$2,Rango_Admin_DailyPred,MATCH($F76,Rango_Admin_DailyPred_Primera,0),0),"-")</f>
        <v>-</v>
      </c>
      <c r="AG76" s="429" t="str">
        <f ca="1">IFERROR(VLOOKUP(AG$2,Rango_Admin_DailyPred,MATCH($F76,Rango_Admin_DailyPred_Primera,0),0),"-")</f>
        <v>-</v>
      </c>
      <c r="AH76" s="429" t="str">
        <f ca="1">IFERROR(VLOOKUP(AH$2,Rango_Admin_DailyPred,MATCH($F76,Rango_Admin_DailyPred_Primera,0),0),"-")</f>
        <v>-</v>
      </c>
      <c r="AI76" s="429" t="str">
        <f ca="1">IFERROR(VLOOKUP(AI$2,Rango_Admin_DailyPred,MATCH($F76,Rango_Admin_DailyPred_Primera,0),0),"-")</f>
        <v>-</v>
      </c>
      <c r="AJ76" s="429" t="str">
        <f ca="1">IFERROR(VLOOKUP(AJ$2,Rango_Admin_DailyPred,MATCH($F76,Rango_Admin_DailyPred_Primera,0),0),"-")</f>
        <v>-</v>
      </c>
      <c r="AK76" s="429" t="str">
        <f ca="1">IFERROR(VLOOKUP(AK$2,Rango_Admin_DailyPred,MATCH($F76,Rango_Admin_DailyPred_Primera,0),0),"-")</f>
        <v>-</v>
      </c>
      <c r="AL76" s="429" t="str">
        <f ca="1">IFERROR(VLOOKUP(AL$2,Rango_Admin_DailyPred,MATCH($F76,Rango_Admin_DailyPred_Primera,0),0),"-")</f>
        <v>-</v>
      </c>
      <c r="AM76" s="297"/>
      <c r="AN76" s="297"/>
      <c r="AO76" s="297"/>
    </row>
    <row r="77" spans="5:41">
      <c r="E77" s="19">
        <f t="shared" si="2"/>
        <v>228</v>
      </c>
      <c r="F77" s="448" t="str" cm="1">
        <f t="array" ref="F77">IFERROR(INDEX(Rango_Admin_DailyPred_Primera,1,E77),"-")</f>
        <v>-</v>
      </c>
      <c r="G77" s="429" t="str">
        <f ca="1">IFERROR(VLOOKUP(G$2,Rango_Admin_DailyPred,MATCH($F77,Rango_Admin_DailyPred_Primera,0),0),"-")</f>
        <v>-</v>
      </c>
      <c r="H77" s="429" t="str">
        <f ca="1">IFERROR(VLOOKUP(H$2,Rango_Admin_DailyPred,MATCH($F77,Rango_Admin_DailyPred_Primera,0),0),"-")</f>
        <v>-</v>
      </c>
      <c r="I77" s="429" t="str">
        <f ca="1">IFERROR(VLOOKUP(I$2,Rango_Admin_DailyPred,MATCH($F77,Rango_Admin_DailyPred_Primera,0),0),"-")</f>
        <v>-</v>
      </c>
      <c r="J77" s="429" t="str">
        <f ca="1">IFERROR(VLOOKUP(J$2,Rango_Admin_DailyPred,MATCH($F77,Rango_Admin_DailyPred_Primera,0),0),"-")</f>
        <v>-</v>
      </c>
      <c r="K77" s="429" t="str">
        <f ca="1">IFERROR(VLOOKUP(K$2,Rango_Admin_DailyPred,MATCH($F77,Rango_Admin_DailyPred_Primera,0),0),"-")</f>
        <v>-</v>
      </c>
      <c r="L77" s="429" t="str">
        <f ca="1">IFERROR(VLOOKUP(L$2,Rango_Admin_DailyPred,MATCH($F77,Rango_Admin_DailyPred_Primera,0),0),"-")</f>
        <v>-</v>
      </c>
      <c r="M77" s="429" t="str">
        <f ca="1">IFERROR(VLOOKUP(M$2,Rango_Admin_DailyPred,MATCH($F77,Rango_Admin_DailyPred_Primera,0),0),"-")</f>
        <v>-</v>
      </c>
      <c r="N77" s="429" t="str">
        <f ca="1">IFERROR(VLOOKUP(N$2,Rango_Admin_DailyPred,MATCH($F77,Rango_Admin_DailyPred_Primera,0),0),"-")</f>
        <v>-</v>
      </c>
      <c r="O77" s="429" t="str">
        <f ca="1">IFERROR(VLOOKUP(O$2,Rango_Admin_DailyPred,MATCH($F77,Rango_Admin_DailyPred_Primera,0),0),"-")</f>
        <v>-</v>
      </c>
      <c r="P77" s="429" t="str">
        <f ca="1">IFERROR(VLOOKUP(P$2,Rango_Admin_DailyPred,MATCH($F77,Rango_Admin_DailyPred_Primera,0),0),"-")</f>
        <v>-</v>
      </c>
      <c r="Q77" s="429" t="str">
        <f ca="1">IFERROR(VLOOKUP(Q$2,Rango_Admin_DailyPred,MATCH($F77,Rango_Admin_DailyPred_Primera,0),0),"-")</f>
        <v>-</v>
      </c>
      <c r="R77" s="429" t="str">
        <f ca="1">IFERROR(VLOOKUP(R$2,Rango_Admin_DailyPred,MATCH($F77,Rango_Admin_DailyPred_Primera,0),0),"-")</f>
        <v>-</v>
      </c>
      <c r="S77" s="429" t="str">
        <f ca="1">IFERROR(VLOOKUP(S$2,Rango_Admin_DailyPred,MATCH($F77,Rango_Admin_DailyPred_Primera,0),0),"-")</f>
        <v>-</v>
      </c>
      <c r="T77" s="429" t="str">
        <f ca="1">IFERROR(VLOOKUP(T$2,Rango_Admin_DailyPred,MATCH($F77,Rango_Admin_DailyPred_Primera,0),0),"-")</f>
        <v>-</v>
      </c>
      <c r="U77" s="429" t="str">
        <f ca="1">IFERROR(VLOOKUP(U$2,Rango_Admin_DailyPred,MATCH($F77,Rango_Admin_DailyPred_Primera,0),0),"-")</f>
        <v>-</v>
      </c>
      <c r="V77" s="429" t="str">
        <f ca="1">IFERROR(VLOOKUP(V$2,Rango_Admin_DailyPred,MATCH($F77,Rango_Admin_DailyPred_Primera,0),0),"-")</f>
        <v>-</v>
      </c>
      <c r="W77" s="429" t="str">
        <f ca="1">IFERROR(VLOOKUP(W$2,Rango_Admin_DailyPred,MATCH($F77,Rango_Admin_DailyPred_Primera,0),0),"-")</f>
        <v>-</v>
      </c>
      <c r="X77" s="429" t="str">
        <f ca="1">IFERROR(VLOOKUP(X$2,Rango_Admin_DailyPred,MATCH($F77,Rango_Admin_DailyPred_Primera,0),0),"-")</f>
        <v>-</v>
      </c>
      <c r="Y77" s="429" t="str">
        <f ca="1">IFERROR(VLOOKUP(Y$2,Rango_Admin_DailyPred,MATCH($F77,Rango_Admin_DailyPred_Primera,0),0),"-")</f>
        <v>-</v>
      </c>
      <c r="Z77" s="429" t="str">
        <f ca="1">IFERROR(VLOOKUP(Z$2,Rango_Admin_DailyPred,MATCH($F77,Rango_Admin_DailyPred_Primera,0),0),"-")</f>
        <v>-</v>
      </c>
      <c r="AA77" s="429" t="str">
        <f ca="1">IFERROR(VLOOKUP(AA$2,Rango_Admin_DailyPred,MATCH($F77,Rango_Admin_DailyPred_Primera,0),0),"-")</f>
        <v>-</v>
      </c>
      <c r="AB77" s="429" t="str">
        <f ca="1">IFERROR(VLOOKUP(AB$2,Rango_Admin_DailyPred,MATCH($F77,Rango_Admin_DailyPred_Primera,0),0),"-")</f>
        <v>-</v>
      </c>
      <c r="AC77" s="429" t="str">
        <f ca="1">IFERROR(VLOOKUP(AC$2,Rango_Admin_DailyPred,MATCH($F77,Rango_Admin_DailyPred_Primera,0),0),"-")</f>
        <v>-</v>
      </c>
      <c r="AD77" s="429" t="str">
        <f ca="1">IFERROR(VLOOKUP(AD$2,Rango_Admin_DailyPred,MATCH($F77,Rango_Admin_DailyPred_Primera,0),0),"-")</f>
        <v>-</v>
      </c>
      <c r="AE77" s="429" t="str">
        <f ca="1">IFERROR(VLOOKUP(AE$2,Rango_Admin_DailyPred,MATCH($F77,Rango_Admin_DailyPred_Primera,0),0),"-")</f>
        <v>-</v>
      </c>
      <c r="AF77" s="429" t="str">
        <f ca="1">IFERROR(VLOOKUP(AF$2,Rango_Admin_DailyPred,MATCH($F77,Rango_Admin_DailyPred_Primera,0),0),"-")</f>
        <v>-</v>
      </c>
      <c r="AG77" s="429" t="str">
        <f ca="1">IFERROR(VLOOKUP(AG$2,Rango_Admin_DailyPred,MATCH($F77,Rango_Admin_DailyPred_Primera,0),0),"-")</f>
        <v>-</v>
      </c>
      <c r="AH77" s="429" t="str">
        <f ca="1">IFERROR(VLOOKUP(AH$2,Rango_Admin_DailyPred,MATCH($F77,Rango_Admin_DailyPred_Primera,0),0),"-")</f>
        <v>-</v>
      </c>
      <c r="AI77" s="429" t="str">
        <f ca="1">IFERROR(VLOOKUP(AI$2,Rango_Admin_DailyPred,MATCH($F77,Rango_Admin_DailyPred_Primera,0),0),"-")</f>
        <v>-</v>
      </c>
      <c r="AJ77" s="429" t="str">
        <f ca="1">IFERROR(VLOOKUP(AJ$2,Rango_Admin_DailyPred,MATCH($F77,Rango_Admin_DailyPred_Primera,0),0),"-")</f>
        <v>-</v>
      </c>
      <c r="AK77" s="429" t="str">
        <f ca="1">IFERROR(VLOOKUP(AK$2,Rango_Admin_DailyPred,MATCH($F77,Rango_Admin_DailyPred_Primera,0),0),"-")</f>
        <v>-</v>
      </c>
      <c r="AL77" s="429" t="str">
        <f ca="1">IFERROR(VLOOKUP(AL$2,Rango_Admin_DailyPred,MATCH($F77,Rango_Admin_DailyPred_Primera,0),0),"-")</f>
        <v>-</v>
      </c>
      <c r="AM77" s="297"/>
      <c r="AN77" s="297"/>
      <c r="AO77" s="297"/>
    </row>
    <row r="78" spans="5:41">
      <c r="E78" s="19">
        <f t="shared" si="2"/>
        <v>231</v>
      </c>
      <c r="F78" s="448" t="str" cm="1">
        <f t="array" ref="F78">IFERROR(INDEX(Rango_Admin_DailyPred_Primera,1,E78),"-")</f>
        <v>-</v>
      </c>
      <c r="G78" s="429" t="str">
        <f ca="1">IFERROR(VLOOKUP(G$2,Rango_Admin_DailyPred,MATCH($F78,Rango_Admin_DailyPred_Primera,0),0),"-")</f>
        <v>-</v>
      </c>
      <c r="H78" s="429" t="str">
        <f ca="1">IFERROR(VLOOKUP(H$2,Rango_Admin_DailyPred,MATCH($F78,Rango_Admin_DailyPred_Primera,0),0),"-")</f>
        <v>-</v>
      </c>
      <c r="I78" s="429" t="str">
        <f ca="1">IFERROR(VLOOKUP(I$2,Rango_Admin_DailyPred,MATCH($F78,Rango_Admin_DailyPred_Primera,0),0),"-")</f>
        <v>-</v>
      </c>
      <c r="J78" s="429" t="str">
        <f ca="1">IFERROR(VLOOKUP(J$2,Rango_Admin_DailyPred,MATCH($F78,Rango_Admin_DailyPred_Primera,0),0),"-")</f>
        <v>-</v>
      </c>
      <c r="K78" s="429" t="str">
        <f ca="1">IFERROR(VLOOKUP(K$2,Rango_Admin_DailyPred,MATCH($F78,Rango_Admin_DailyPred_Primera,0),0),"-")</f>
        <v>-</v>
      </c>
      <c r="L78" s="429" t="str">
        <f ca="1">IFERROR(VLOOKUP(L$2,Rango_Admin_DailyPred,MATCH($F78,Rango_Admin_DailyPred_Primera,0),0),"-")</f>
        <v>-</v>
      </c>
      <c r="M78" s="429" t="str">
        <f ca="1">IFERROR(VLOOKUP(M$2,Rango_Admin_DailyPred,MATCH($F78,Rango_Admin_DailyPred_Primera,0),0),"-")</f>
        <v>-</v>
      </c>
      <c r="N78" s="429" t="str">
        <f ca="1">IFERROR(VLOOKUP(N$2,Rango_Admin_DailyPred,MATCH($F78,Rango_Admin_DailyPred_Primera,0),0),"-")</f>
        <v>-</v>
      </c>
      <c r="O78" s="429" t="str">
        <f ca="1">IFERROR(VLOOKUP(O$2,Rango_Admin_DailyPred,MATCH($F78,Rango_Admin_DailyPred_Primera,0),0),"-")</f>
        <v>-</v>
      </c>
      <c r="P78" s="429" t="str">
        <f ca="1">IFERROR(VLOOKUP(P$2,Rango_Admin_DailyPred,MATCH($F78,Rango_Admin_DailyPred_Primera,0),0),"-")</f>
        <v>-</v>
      </c>
      <c r="Q78" s="429" t="str">
        <f ca="1">IFERROR(VLOOKUP(Q$2,Rango_Admin_DailyPred,MATCH($F78,Rango_Admin_DailyPred_Primera,0),0),"-")</f>
        <v>-</v>
      </c>
      <c r="R78" s="429" t="str">
        <f ca="1">IFERROR(VLOOKUP(R$2,Rango_Admin_DailyPred,MATCH($F78,Rango_Admin_DailyPred_Primera,0),0),"-")</f>
        <v>-</v>
      </c>
      <c r="S78" s="429" t="str">
        <f ca="1">IFERROR(VLOOKUP(S$2,Rango_Admin_DailyPred,MATCH($F78,Rango_Admin_DailyPred_Primera,0),0),"-")</f>
        <v>-</v>
      </c>
      <c r="T78" s="429" t="str">
        <f ca="1">IFERROR(VLOOKUP(T$2,Rango_Admin_DailyPred,MATCH($F78,Rango_Admin_DailyPred_Primera,0),0),"-")</f>
        <v>-</v>
      </c>
      <c r="U78" s="429" t="str">
        <f ca="1">IFERROR(VLOOKUP(U$2,Rango_Admin_DailyPred,MATCH($F78,Rango_Admin_DailyPred_Primera,0),0),"-")</f>
        <v>-</v>
      </c>
      <c r="V78" s="429" t="str">
        <f ca="1">IFERROR(VLOOKUP(V$2,Rango_Admin_DailyPred,MATCH($F78,Rango_Admin_DailyPred_Primera,0),0),"-")</f>
        <v>-</v>
      </c>
      <c r="W78" s="429" t="str">
        <f ca="1">IFERROR(VLOOKUP(W$2,Rango_Admin_DailyPred,MATCH($F78,Rango_Admin_DailyPred_Primera,0),0),"-")</f>
        <v>-</v>
      </c>
      <c r="X78" s="429" t="str">
        <f ca="1">IFERROR(VLOOKUP(X$2,Rango_Admin_DailyPred,MATCH($F78,Rango_Admin_DailyPred_Primera,0),0),"-")</f>
        <v>-</v>
      </c>
      <c r="Y78" s="429" t="str">
        <f ca="1">IFERROR(VLOOKUP(Y$2,Rango_Admin_DailyPred,MATCH($F78,Rango_Admin_DailyPred_Primera,0),0),"-")</f>
        <v>-</v>
      </c>
      <c r="Z78" s="429" t="str">
        <f ca="1">IFERROR(VLOOKUP(Z$2,Rango_Admin_DailyPred,MATCH($F78,Rango_Admin_DailyPred_Primera,0),0),"-")</f>
        <v>-</v>
      </c>
      <c r="AA78" s="429" t="str">
        <f ca="1">IFERROR(VLOOKUP(AA$2,Rango_Admin_DailyPred,MATCH($F78,Rango_Admin_DailyPred_Primera,0),0),"-")</f>
        <v>-</v>
      </c>
      <c r="AB78" s="429" t="str">
        <f ca="1">IFERROR(VLOOKUP(AB$2,Rango_Admin_DailyPred,MATCH($F78,Rango_Admin_DailyPred_Primera,0),0),"-")</f>
        <v>-</v>
      </c>
      <c r="AC78" s="429" t="str">
        <f ca="1">IFERROR(VLOOKUP(AC$2,Rango_Admin_DailyPred,MATCH($F78,Rango_Admin_DailyPred_Primera,0),0),"-")</f>
        <v>-</v>
      </c>
      <c r="AD78" s="429" t="str">
        <f ca="1">IFERROR(VLOOKUP(AD$2,Rango_Admin_DailyPred,MATCH($F78,Rango_Admin_DailyPred_Primera,0),0),"-")</f>
        <v>-</v>
      </c>
      <c r="AE78" s="429" t="str">
        <f ca="1">IFERROR(VLOOKUP(AE$2,Rango_Admin_DailyPred,MATCH($F78,Rango_Admin_DailyPred_Primera,0),0),"-")</f>
        <v>-</v>
      </c>
      <c r="AF78" s="429" t="str">
        <f ca="1">IFERROR(VLOOKUP(AF$2,Rango_Admin_DailyPred,MATCH($F78,Rango_Admin_DailyPred_Primera,0),0),"-")</f>
        <v>-</v>
      </c>
      <c r="AG78" s="429" t="str">
        <f ca="1">IFERROR(VLOOKUP(AG$2,Rango_Admin_DailyPred,MATCH($F78,Rango_Admin_DailyPred_Primera,0),0),"-")</f>
        <v>-</v>
      </c>
      <c r="AH78" s="429" t="str">
        <f ca="1">IFERROR(VLOOKUP(AH$2,Rango_Admin_DailyPred,MATCH($F78,Rango_Admin_DailyPred_Primera,0),0),"-")</f>
        <v>-</v>
      </c>
      <c r="AI78" s="429" t="str">
        <f ca="1">IFERROR(VLOOKUP(AI$2,Rango_Admin_DailyPred,MATCH($F78,Rango_Admin_DailyPred_Primera,0),0),"-")</f>
        <v>-</v>
      </c>
      <c r="AJ78" s="429" t="str">
        <f ca="1">IFERROR(VLOOKUP(AJ$2,Rango_Admin_DailyPred,MATCH($F78,Rango_Admin_DailyPred_Primera,0),0),"-")</f>
        <v>-</v>
      </c>
      <c r="AK78" s="429" t="str">
        <f ca="1">IFERROR(VLOOKUP(AK$2,Rango_Admin_DailyPred,MATCH($F78,Rango_Admin_DailyPred_Primera,0),0),"-")</f>
        <v>-</v>
      </c>
      <c r="AL78" s="429" t="str">
        <f ca="1">IFERROR(VLOOKUP(AL$2,Rango_Admin_DailyPred,MATCH($F78,Rango_Admin_DailyPred_Primera,0),0),"-")</f>
        <v>-</v>
      </c>
      <c r="AM78" s="297"/>
      <c r="AN78" s="297"/>
      <c r="AO78" s="297"/>
    </row>
    <row r="79" spans="5:41">
      <c r="E79" s="19">
        <f t="shared" si="2"/>
        <v>234</v>
      </c>
      <c r="F79" s="448" t="str" cm="1">
        <f t="array" ref="F79">IFERROR(INDEX(Rango_Admin_DailyPred_Primera,1,E79),"-")</f>
        <v>-</v>
      </c>
      <c r="G79" s="429" t="str">
        <f ca="1">IFERROR(VLOOKUP(G$2,Rango_Admin_DailyPred,MATCH($F79,Rango_Admin_DailyPred_Primera,0),0),"-")</f>
        <v>-</v>
      </c>
      <c r="H79" s="429" t="str">
        <f ca="1">IFERROR(VLOOKUP(H$2,Rango_Admin_DailyPred,MATCH($F79,Rango_Admin_DailyPred_Primera,0),0),"-")</f>
        <v>-</v>
      </c>
      <c r="I79" s="429" t="str">
        <f ca="1">IFERROR(VLOOKUP(I$2,Rango_Admin_DailyPred,MATCH($F79,Rango_Admin_DailyPred_Primera,0),0),"-")</f>
        <v>-</v>
      </c>
      <c r="J79" s="429" t="str">
        <f ca="1">IFERROR(VLOOKUP(J$2,Rango_Admin_DailyPred,MATCH($F79,Rango_Admin_DailyPred_Primera,0),0),"-")</f>
        <v>-</v>
      </c>
      <c r="K79" s="429" t="str">
        <f ca="1">IFERROR(VLOOKUP(K$2,Rango_Admin_DailyPred,MATCH($F79,Rango_Admin_DailyPred_Primera,0),0),"-")</f>
        <v>-</v>
      </c>
      <c r="L79" s="429" t="str">
        <f ca="1">IFERROR(VLOOKUP(L$2,Rango_Admin_DailyPred,MATCH($F79,Rango_Admin_DailyPred_Primera,0),0),"-")</f>
        <v>-</v>
      </c>
      <c r="M79" s="429" t="str">
        <f ca="1">IFERROR(VLOOKUP(M$2,Rango_Admin_DailyPred,MATCH($F79,Rango_Admin_DailyPred_Primera,0),0),"-")</f>
        <v>-</v>
      </c>
      <c r="N79" s="429" t="str">
        <f ca="1">IFERROR(VLOOKUP(N$2,Rango_Admin_DailyPred,MATCH($F79,Rango_Admin_DailyPred_Primera,0),0),"-")</f>
        <v>-</v>
      </c>
      <c r="O79" s="429" t="str">
        <f ca="1">IFERROR(VLOOKUP(O$2,Rango_Admin_DailyPred,MATCH($F79,Rango_Admin_DailyPred_Primera,0),0),"-")</f>
        <v>-</v>
      </c>
      <c r="P79" s="429" t="str">
        <f ca="1">IFERROR(VLOOKUP(P$2,Rango_Admin_DailyPred,MATCH($F79,Rango_Admin_DailyPred_Primera,0),0),"-")</f>
        <v>-</v>
      </c>
      <c r="Q79" s="429" t="str">
        <f ca="1">IFERROR(VLOOKUP(Q$2,Rango_Admin_DailyPred,MATCH($F79,Rango_Admin_DailyPred_Primera,0),0),"-")</f>
        <v>-</v>
      </c>
      <c r="R79" s="429" t="str">
        <f ca="1">IFERROR(VLOOKUP(R$2,Rango_Admin_DailyPred,MATCH($F79,Rango_Admin_DailyPred_Primera,0),0),"-")</f>
        <v>-</v>
      </c>
      <c r="S79" s="429" t="str">
        <f ca="1">IFERROR(VLOOKUP(S$2,Rango_Admin_DailyPred,MATCH($F79,Rango_Admin_DailyPred_Primera,0),0),"-")</f>
        <v>-</v>
      </c>
      <c r="T79" s="429" t="str">
        <f ca="1">IFERROR(VLOOKUP(T$2,Rango_Admin_DailyPred,MATCH($F79,Rango_Admin_DailyPred_Primera,0),0),"-")</f>
        <v>-</v>
      </c>
      <c r="U79" s="429" t="str">
        <f ca="1">IFERROR(VLOOKUP(U$2,Rango_Admin_DailyPred,MATCH($F79,Rango_Admin_DailyPred_Primera,0),0),"-")</f>
        <v>-</v>
      </c>
      <c r="V79" s="429" t="str">
        <f ca="1">IFERROR(VLOOKUP(V$2,Rango_Admin_DailyPred,MATCH($F79,Rango_Admin_DailyPred_Primera,0),0),"-")</f>
        <v>-</v>
      </c>
      <c r="W79" s="429" t="str">
        <f ca="1">IFERROR(VLOOKUP(W$2,Rango_Admin_DailyPred,MATCH($F79,Rango_Admin_DailyPred_Primera,0),0),"-")</f>
        <v>-</v>
      </c>
      <c r="X79" s="429" t="str">
        <f ca="1">IFERROR(VLOOKUP(X$2,Rango_Admin_DailyPred,MATCH($F79,Rango_Admin_DailyPred_Primera,0),0),"-")</f>
        <v>-</v>
      </c>
      <c r="Y79" s="429" t="str">
        <f ca="1">IFERROR(VLOOKUP(Y$2,Rango_Admin_DailyPred,MATCH($F79,Rango_Admin_DailyPred_Primera,0),0),"-")</f>
        <v>-</v>
      </c>
      <c r="Z79" s="429" t="str">
        <f ca="1">IFERROR(VLOOKUP(Z$2,Rango_Admin_DailyPred,MATCH($F79,Rango_Admin_DailyPred_Primera,0),0),"-")</f>
        <v>-</v>
      </c>
      <c r="AA79" s="429" t="str">
        <f ca="1">IFERROR(VLOOKUP(AA$2,Rango_Admin_DailyPred,MATCH($F79,Rango_Admin_DailyPred_Primera,0),0),"-")</f>
        <v>-</v>
      </c>
      <c r="AB79" s="429" t="str">
        <f ca="1">IFERROR(VLOOKUP(AB$2,Rango_Admin_DailyPred,MATCH($F79,Rango_Admin_DailyPred_Primera,0),0),"-")</f>
        <v>-</v>
      </c>
      <c r="AC79" s="429" t="str">
        <f ca="1">IFERROR(VLOOKUP(AC$2,Rango_Admin_DailyPred,MATCH($F79,Rango_Admin_DailyPred_Primera,0),0),"-")</f>
        <v>-</v>
      </c>
      <c r="AD79" s="429" t="str">
        <f ca="1">IFERROR(VLOOKUP(AD$2,Rango_Admin_DailyPred,MATCH($F79,Rango_Admin_DailyPred_Primera,0),0),"-")</f>
        <v>-</v>
      </c>
      <c r="AE79" s="429" t="str">
        <f ca="1">IFERROR(VLOOKUP(AE$2,Rango_Admin_DailyPred,MATCH($F79,Rango_Admin_DailyPred_Primera,0),0),"-")</f>
        <v>-</v>
      </c>
      <c r="AF79" s="429" t="str">
        <f ca="1">IFERROR(VLOOKUP(AF$2,Rango_Admin_DailyPred,MATCH($F79,Rango_Admin_DailyPred_Primera,0),0),"-")</f>
        <v>-</v>
      </c>
      <c r="AG79" s="429" t="str">
        <f ca="1">IFERROR(VLOOKUP(AG$2,Rango_Admin_DailyPred,MATCH($F79,Rango_Admin_DailyPred_Primera,0),0),"-")</f>
        <v>-</v>
      </c>
      <c r="AH79" s="429" t="str">
        <f ca="1">IFERROR(VLOOKUP(AH$2,Rango_Admin_DailyPred,MATCH($F79,Rango_Admin_DailyPred_Primera,0),0),"-")</f>
        <v>-</v>
      </c>
      <c r="AI79" s="429" t="str">
        <f ca="1">IFERROR(VLOOKUP(AI$2,Rango_Admin_DailyPred,MATCH($F79,Rango_Admin_DailyPred_Primera,0),0),"-")</f>
        <v>-</v>
      </c>
      <c r="AJ79" s="429" t="str">
        <f ca="1">IFERROR(VLOOKUP(AJ$2,Rango_Admin_DailyPred,MATCH($F79,Rango_Admin_DailyPred_Primera,0),0),"-")</f>
        <v>-</v>
      </c>
      <c r="AK79" s="429" t="str">
        <f ca="1">IFERROR(VLOOKUP(AK$2,Rango_Admin_DailyPred,MATCH($F79,Rango_Admin_DailyPred_Primera,0),0),"-")</f>
        <v>-</v>
      </c>
      <c r="AL79" s="429" t="str">
        <f ca="1">IFERROR(VLOOKUP(AL$2,Rango_Admin_DailyPred,MATCH($F79,Rango_Admin_DailyPred_Primera,0),0),"-")</f>
        <v>-</v>
      </c>
      <c r="AM79" s="297"/>
      <c r="AN79" s="297"/>
      <c r="AO79" s="297"/>
    </row>
    <row r="80" spans="5:41">
      <c r="E80" s="19">
        <f t="shared" si="2"/>
        <v>237</v>
      </c>
      <c r="F80" s="448" t="str" cm="1">
        <f t="array" ref="F80">IFERROR(INDEX(Rango_Admin_DailyPred_Primera,1,E80),"-")</f>
        <v>-</v>
      </c>
      <c r="G80" s="429" t="str">
        <f ca="1">IFERROR(VLOOKUP(G$2,Rango_Admin_DailyPred,MATCH($F80,Rango_Admin_DailyPred_Primera,0),0),"-")</f>
        <v>-</v>
      </c>
      <c r="H80" s="429" t="str">
        <f ca="1">IFERROR(VLOOKUP(H$2,Rango_Admin_DailyPred,MATCH($F80,Rango_Admin_DailyPred_Primera,0),0),"-")</f>
        <v>-</v>
      </c>
      <c r="I80" s="429" t="str">
        <f ca="1">IFERROR(VLOOKUP(I$2,Rango_Admin_DailyPred,MATCH($F80,Rango_Admin_DailyPred_Primera,0),0),"-")</f>
        <v>-</v>
      </c>
      <c r="J80" s="429" t="str">
        <f ca="1">IFERROR(VLOOKUP(J$2,Rango_Admin_DailyPred,MATCH($F80,Rango_Admin_DailyPred_Primera,0),0),"-")</f>
        <v>-</v>
      </c>
      <c r="K80" s="429" t="str">
        <f ca="1">IFERROR(VLOOKUP(K$2,Rango_Admin_DailyPred,MATCH($F80,Rango_Admin_DailyPred_Primera,0),0),"-")</f>
        <v>-</v>
      </c>
      <c r="L80" s="429" t="str">
        <f ca="1">IFERROR(VLOOKUP(L$2,Rango_Admin_DailyPred,MATCH($F80,Rango_Admin_DailyPred_Primera,0),0),"-")</f>
        <v>-</v>
      </c>
      <c r="M80" s="429" t="str">
        <f ca="1">IFERROR(VLOOKUP(M$2,Rango_Admin_DailyPred,MATCH($F80,Rango_Admin_DailyPred_Primera,0),0),"-")</f>
        <v>-</v>
      </c>
      <c r="N80" s="429" t="str">
        <f ca="1">IFERROR(VLOOKUP(N$2,Rango_Admin_DailyPred,MATCH($F80,Rango_Admin_DailyPred_Primera,0),0),"-")</f>
        <v>-</v>
      </c>
      <c r="O80" s="429" t="str">
        <f ca="1">IFERROR(VLOOKUP(O$2,Rango_Admin_DailyPred,MATCH($F80,Rango_Admin_DailyPred_Primera,0),0),"-")</f>
        <v>-</v>
      </c>
      <c r="P80" s="429" t="str">
        <f ca="1">IFERROR(VLOOKUP(P$2,Rango_Admin_DailyPred,MATCH($F80,Rango_Admin_DailyPred_Primera,0),0),"-")</f>
        <v>-</v>
      </c>
      <c r="Q80" s="429" t="str">
        <f ca="1">IFERROR(VLOOKUP(Q$2,Rango_Admin_DailyPred,MATCH($F80,Rango_Admin_DailyPred_Primera,0),0),"-")</f>
        <v>-</v>
      </c>
      <c r="R80" s="429" t="str">
        <f ca="1">IFERROR(VLOOKUP(R$2,Rango_Admin_DailyPred,MATCH($F80,Rango_Admin_DailyPred_Primera,0),0),"-")</f>
        <v>-</v>
      </c>
      <c r="S80" s="429" t="str">
        <f ca="1">IFERROR(VLOOKUP(S$2,Rango_Admin_DailyPred,MATCH($F80,Rango_Admin_DailyPred_Primera,0),0),"-")</f>
        <v>-</v>
      </c>
      <c r="T80" s="429" t="str">
        <f ca="1">IFERROR(VLOOKUP(T$2,Rango_Admin_DailyPred,MATCH($F80,Rango_Admin_DailyPred_Primera,0),0),"-")</f>
        <v>-</v>
      </c>
      <c r="U80" s="429" t="str">
        <f ca="1">IFERROR(VLOOKUP(U$2,Rango_Admin_DailyPred,MATCH($F80,Rango_Admin_DailyPred_Primera,0),0),"-")</f>
        <v>-</v>
      </c>
      <c r="V80" s="429" t="str">
        <f ca="1">IFERROR(VLOOKUP(V$2,Rango_Admin_DailyPred,MATCH($F80,Rango_Admin_DailyPred_Primera,0),0),"-")</f>
        <v>-</v>
      </c>
      <c r="W80" s="429" t="str">
        <f ca="1">IFERROR(VLOOKUP(W$2,Rango_Admin_DailyPred,MATCH($F80,Rango_Admin_DailyPred_Primera,0),0),"-")</f>
        <v>-</v>
      </c>
      <c r="X80" s="429" t="str">
        <f ca="1">IFERROR(VLOOKUP(X$2,Rango_Admin_DailyPred,MATCH($F80,Rango_Admin_DailyPred_Primera,0),0),"-")</f>
        <v>-</v>
      </c>
      <c r="Y80" s="429" t="str">
        <f ca="1">IFERROR(VLOOKUP(Y$2,Rango_Admin_DailyPred,MATCH($F80,Rango_Admin_DailyPred_Primera,0),0),"-")</f>
        <v>-</v>
      </c>
      <c r="Z80" s="429" t="str">
        <f ca="1">IFERROR(VLOOKUP(Z$2,Rango_Admin_DailyPred,MATCH($F80,Rango_Admin_DailyPred_Primera,0),0),"-")</f>
        <v>-</v>
      </c>
      <c r="AA80" s="429" t="str">
        <f ca="1">IFERROR(VLOOKUP(AA$2,Rango_Admin_DailyPred,MATCH($F80,Rango_Admin_DailyPred_Primera,0),0),"-")</f>
        <v>-</v>
      </c>
      <c r="AB80" s="429" t="str">
        <f ca="1">IFERROR(VLOOKUP(AB$2,Rango_Admin_DailyPred,MATCH($F80,Rango_Admin_DailyPred_Primera,0),0),"-")</f>
        <v>-</v>
      </c>
      <c r="AC80" s="429" t="str">
        <f ca="1">IFERROR(VLOOKUP(AC$2,Rango_Admin_DailyPred,MATCH($F80,Rango_Admin_DailyPred_Primera,0),0),"-")</f>
        <v>-</v>
      </c>
      <c r="AD80" s="429" t="str">
        <f ca="1">IFERROR(VLOOKUP(AD$2,Rango_Admin_DailyPred,MATCH($F80,Rango_Admin_DailyPred_Primera,0),0),"-")</f>
        <v>-</v>
      </c>
      <c r="AE80" s="429" t="str">
        <f ca="1">IFERROR(VLOOKUP(AE$2,Rango_Admin_DailyPred,MATCH($F80,Rango_Admin_DailyPred_Primera,0),0),"-")</f>
        <v>-</v>
      </c>
      <c r="AF80" s="429" t="str">
        <f ca="1">IFERROR(VLOOKUP(AF$2,Rango_Admin_DailyPred,MATCH($F80,Rango_Admin_DailyPred_Primera,0),0),"-")</f>
        <v>-</v>
      </c>
      <c r="AG80" s="429" t="str">
        <f ca="1">IFERROR(VLOOKUP(AG$2,Rango_Admin_DailyPred,MATCH($F80,Rango_Admin_DailyPred_Primera,0),0),"-")</f>
        <v>-</v>
      </c>
      <c r="AH80" s="429" t="str">
        <f ca="1">IFERROR(VLOOKUP(AH$2,Rango_Admin_DailyPred,MATCH($F80,Rango_Admin_DailyPred_Primera,0),0),"-")</f>
        <v>-</v>
      </c>
      <c r="AI80" s="429" t="str">
        <f ca="1">IFERROR(VLOOKUP(AI$2,Rango_Admin_DailyPred,MATCH($F80,Rango_Admin_DailyPred_Primera,0),0),"-")</f>
        <v>-</v>
      </c>
      <c r="AJ80" s="429" t="str">
        <f ca="1">IFERROR(VLOOKUP(AJ$2,Rango_Admin_DailyPred,MATCH($F80,Rango_Admin_DailyPred_Primera,0),0),"-")</f>
        <v>-</v>
      </c>
      <c r="AK80" s="429" t="str">
        <f ca="1">IFERROR(VLOOKUP(AK$2,Rango_Admin_DailyPred,MATCH($F80,Rango_Admin_DailyPred_Primera,0),0),"-")</f>
        <v>-</v>
      </c>
      <c r="AL80" s="429" t="str">
        <f ca="1">IFERROR(VLOOKUP(AL$2,Rango_Admin_DailyPred,MATCH($F80,Rango_Admin_DailyPred_Primera,0),0),"-")</f>
        <v>-</v>
      </c>
      <c r="AM80" s="297"/>
      <c r="AN80" s="297"/>
      <c r="AO80" s="297"/>
    </row>
    <row r="81" spans="5:41">
      <c r="E81" s="19">
        <f t="shared" si="2"/>
        <v>240</v>
      </c>
      <c r="F81" s="448" t="str" cm="1">
        <f t="array" ref="F81">IFERROR(INDEX(Rango_Admin_DailyPred_Primera,1,E81),"-")</f>
        <v>-</v>
      </c>
      <c r="G81" s="429" t="str">
        <f ca="1">IFERROR(VLOOKUP(G$2,Rango_Admin_DailyPred,MATCH($F81,Rango_Admin_DailyPred_Primera,0),0),"-")</f>
        <v>-</v>
      </c>
      <c r="H81" s="429" t="str">
        <f ca="1">IFERROR(VLOOKUP(H$2,Rango_Admin_DailyPred,MATCH($F81,Rango_Admin_DailyPred_Primera,0),0),"-")</f>
        <v>-</v>
      </c>
      <c r="I81" s="429" t="str">
        <f ca="1">IFERROR(VLOOKUP(I$2,Rango_Admin_DailyPred,MATCH($F81,Rango_Admin_DailyPred_Primera,0),0),"-")</f>
        <v>-</v>
      </c>
      <c r="J81" s="429" t="str">
        <f ca="1">IFERROR(VLOOKUP(J$2,Rango_Admin_DailyPred,MATCH($F81,Rango_Admin_DailyPred_Primera,0),0),"-")</f>
        <v>-</v>
      </c>
      <c r="K81" s="429" t="str">
        <f ca="1">IFERROR(VLOOKUP(K$2,Rango_Admin_DailyPred,MATCH($F81,Rango_Admin_DailyPred_Primera,0),0),"-")</f>
        <v>-</v>
      </c>
      <c r="L81" s="429" t="str">
        <f ca="1">IFERROR(VLOOKUP(L$2,Rango_Admin_DailyPred,MATCH($F81,Rango_Admin_DailyPred_Primera,0),0),"-")</f>
        <v>-</v>
      </c>
      <c r="M81" s="429" t="str">
        <f ca="1">IFERROR(VLOOKUP(M$2,Rango_Admin_DailyPred,MATCH($F81,Rango_Admin_DailyPred_Primera,0),0),"-")</f>
        <v>-</v>
      </c>
      <c r="N81" s="429" t="str">
        <f ca="1">IFERROR(VLOOKUP(N$2,Rango_Admin_DailyPred,MATCH($F81,Rango_Admin_DailyPred_Primera,0),0),"-")</f>
        <v>-</v>
      </c>
      <c r="O81" s="429" t="str">
        <f ca="1">IFERROR(VLOOKUP(O$2,Rango_Admin_DailyPred,MATCH($F81,Rango_Admin_DailyPred_Primera,0),0),"-")</f>
        <v>-</v>
      </c>
      <c r="P81" s="429" t="str">
        <f ca="1">IFERROR(VLOOKUP(P$2,Rango_Admin_DailyPred,MATCH($F81,Rango_Admin_DailyPred_Primera,0),0),"-")</f>
        <v>-</v>
      </c>
      <c r="Q81" s="429" t="str">
        <f ca="1">IFERROR(VLOOKUP(Q$2,Rango_Admin_DailyPred,MATCH($F81,Rango_Admin_DailyPred_Primera,0),0),"-")</f>
        <v>-</v>
      </c>
      <c r="R81" s="429" t="str">
        <f ca="1">IFERROR(VLOOKUP(R$2,Rango_Admin_DailyPred,MATCH($F81,Rango_Admin_DailyPred_Primera,0),0),"-")</f>
        <v>-</v>
      </c>
      <c r="S81" s="429" t="str">
        <f ca="1">IFERROR(VLOOKUP(S$2,Rango_Admin_DailyPred,MATCH($F81,Rango_Admin_DailyPred_Primera,0),0),"-")</f>
        <v>-</v>
      </c>
      <c r="T81" s="429" t="str">
        <f ca="1">IFERROR(VLOOKUP(T$2,Rango_Admin_DailyPred,MATCH($F81,Rango_Admin_DailyPred_Primera,0),0),"-")</f>
        <v>-</v>
      </c>
      <c r="U81" s="429" t="str">
        <f ca="1">IFERROR(VLOOKUP(U$2,Rango_Admin_DailyPred,MATCH($F81,Rango_Admin_DailyPred_Primera,0),0),"-")</f>
        <v>-</v>
      </c>
      <c r="V81" s="429" t="str">
        <f ca="1">IFERROR(VLOOKUP(V$2,Rango_Admin_DailyPred,MATCH($F81,Rango_Admin_DailyPred_Primera,0),0),"-")</f>
        <v>-</v>
      </c>
      <c r="W81" s="429" t="str">
        <f ca="1">IFERROR(VLOOKUP(W$2,Rango_Admin_DailyPred,MATCH($F81,Rango_Admin_DailyPred_Primera,0),0),"-")</f>
        <v>-</v>
      </c>
      <c r="X81" s="429" t="str">
        <f ca="1">IFERROR(VLOOKUP(X$2,Rango_Admin_DailyPred,MATCH($F81,Rango_Admin_DailyPred_Primera,0),0),"-")</f>
        <v>-</v>
      </c>
      <c r="Y81" s="429" t="str">
        <f ca="1">IFERROR(VLOOKUP(Y$2,Rango_Admin_DailyPred,MATCH($F81,Rango_Admin_DailyPred_Primera,0),0),"-")</f>
        <v>-</v>
      </c>
      <c r="Z81" s="429" t="str">
        <f ca="1">IFERROR(VLOOKUP(Z$2,Rango_Admin_DailyPred,MATCH($F81,Rango_Admin_DailyPred_Primera,0),0),"-")</f>
        <v>-</v>
      </c>
      <c r="AA81" s="429" t="str">
        <f ca="1">IFERROR(VLOOKUP(AA$2,Rango_Admin_DailyPred,MATCH($F81,Rango_Admin_DailyPred_Primera,0),0),"-")</f>
        <v>-</v>
      </c>
      <c r="AB81" s="429" t="str">
        <f ca="1">IFERROR(VLOOKUP(AB$2,Rango_Admin_DailyPred,MATCH($F81,Rango_Admin_DailyPred_Primera,0),0),"-")</f>
        <v>-</v>
      </c>
      <c r="AC81" s="429" t="str">
        <f ca="1">IFERROR(VLOOKUP(AC$2,Rango_Admin_DailyPred,MATCH($F81,Rango_Admin_DailyPred_Primera,0),0),"-")</f>
        <v>-</v>
      </c>
      <c r="AD81" s="429" t="str">
        <f ca="1">IFERROR(VLOOKUP(AD$2,Rango_Admin_DailyPred,MATCH($F81,Rango_Admin_DailyPred_Primera,0),0),"-")</f>
        <v>-</v>
      </c>
      <c r="AE81" s="429" t="str">
        <f ca="1">IFERROR(VLOOKUP(AE$2,Rango_Admin_DailyPred,MATCH($F81,Rango_Admin_DailyPred_Primera,0),0),"-")</f>
        <v>-</v>
      </c>
      <c r="AF81" s="429" t="str">
        <f ca="1">IFERROR(VLOOKUP(AF$2,Rango_Admin_DailyPred,MATCH($F81,Rango_Admin_DailyPred_Primera,0),0),"-")</f>
        <v>-</v>
      </c>
      <c r="AG81" s="429" t="str">
        <f ca="1">IFERROR(VLOOKUP(AG$2,Rango_Admin_DailyPred,MATCH($F81,Rango_Admin_DailyPred_Primera,0),0),"-")</f>
        <v>-</v>
      </c>
      <c r="AH81" s="429" t="str">
        <f ca="1">IFERROR(VLOOKUP(AH$2,Rango_Admin_DailyPred,MATCH($F81,Rango_Admin_DailyPred_Primera,0),0),"-")</f>
        <v>-</v>
      </c>
      <c r="AI81" s="429" t="str">
        <f ca="1">IFERROR(VLOOKUP(AI$2,Rango_Admin_DailyPred,MATCH($F81,Rango_Admin_DailyPred_Primera,0),0),"-")</f>
        <v>-</v>
      </c>
      <c r="AJ81" s="429" t="str">
        <f ca="1">IFERROR(VLOOKUP(AJ$2,Rango_Admin_DailyPred,MATCH($F81,Rango_Admin_DailyPred_Primera,0),0),"-")</f>
        <v>-</v>
      </c>
      <c r="AK81" s="429" t="str">
        <f ca="1">IFERROR(VLOOKUP(AK$2,Rango_Admin_DailyPred,MATCH($F81,Rango_Admin_DailyPred_Primera,0),0),"-")</f>
        <v>-</v>
      </c>
      <c r="AL81" s="429" t="str">
        <f ca="1">IFERROR(VLOOKUP(AL$2,Rango_Admin_DailyPred,MATCH($F81,Rango_Admin_DailyPred_Primera,0),0),"-")</f>
        <v>-</v>
      </c>
      <c r="AM81" s="297"/>
      <c r="AN81" s="297"/>
      <c r="AO81" s="297"/>
    </row>
    <row r="82" spans="5:41">
      <c r="E82" s="19">
        <f t="shared" si="2"/>
        <v>243</v>
      </c>
      <c r="F82" s="448" t="str" cm="1">
        <f t="array" ref="F82">IFERROR(INDEX(Rango_Admin_DailyPred_Primera,1,E82),"-")</f>
        <v>-</v>
      </c>
      <c r="G82" s="429" t="str">
        <f ca="1">IFERROR(VLOOKUP(G$2,Rango_Admin_DailyPred,MATCH($F82,Rango_Admin_DailyPred_Primera,0),0),"-")</f>
        <v>-</v>
      </c>
      <c r="H82" s="429" t="str">
        <f ca="1">IFERROR(VLOOKUP(H$2,Rango_Admin_DailyPred,MATCH($F82,Rango_Admin_DailyPred_Primera,0),0),"-")</f>
        <v>-</v>
      </c>
      <c r="I82" s="429" t="str">
        <f ca="1">IFERROR(VLOOKUP(I$2,Rango_Admin_DailyPred,MATCH($F82,Rango_Admin_DailyPred_Primera,0),0),"-")</f>
        <v>-</v>
      </c>
      <c r="J82" s="429" t="str">
        <f ca="1">IFERROR(VLOOKUP(J$2,Rango_Admin_DailyPred,MATCH($F82,Rango_Admin_DailyPred_Primera,0),0),"-")</f>
        <v>-</v>
      </c>
      <c r="K82" s="429" t="str">
        <f ca="1">IFERROR(VLOOKUP(K$2,Rango_Admin_DailyPred,MATCH($F82,Rango_Admin_DailyPred_Primera,0),0),"-")</f>
        <v>-</v>
      </c>
      <c r="L82" s="429" t="str">
        <f ca="1">IFERROR(VLOOKUP(L$2,Rango_Admin_DailyPred,MATCH($F82,Rango_Admin_DailyPred_Primera,0),0),"-")</f>
        <v>-</v>
      </c>
      <c r="M82" s="429" t="str">
        <f ca="1">IFERROR(VLOOKUP(M$2,Rango_Admin_DailyPred,MATCH($F82,Rango_Admin_DailyPred_Primera,0),0),"-")</f>
        <v>-</v>
      </c>
      <c r="N82" s="429" t="str">
        <f ca="1">IFERROR(VLOOKUP(N$2,Rango_Admin_DailyPred,MATCH($F82,Rango_Admin_DailyPred_Primera,0),0),"-")</f>
        <v>-</v>
      </c>
      <c r="O82" s="429" t="str">
        <f ca="1">IFERROR(VLOOKUP(O$2,Rango_Admin_DailyPred,MATCH($F82,Rango_Admin_DailyPred_Primera,0),0),"-")</f>
        <v>-</v>
      </c>
      <c r="P82" s="429" t="str">
        <f ca="1">IFERROR(VLOOKUP(P$2,Rango_Admin_DailyPred,MATCH($F82,Rango_Admin_DailyPred_Primera,0),0),"-")</f>
        <v>-</v>
      </c>
      <c r="Q82" s="429" t="str">
        <f ca="1">IFERROR(VLOOKUP(Q$2,Rango_Admin_DailyPred,MATCH($F82,Rango_Admin_DailyPred_Primera,0),0),"-")</f>
        <v>-</v>
      </c>
      <c r="R82" s="429" t="str">
        <f ca="1">IFERROR(VLOOKUP(R$2,Rango_Admin_DailyPred,MATCH($F82,Rango_Admin_DailyPred_Primera,0),0),"-")</f>
        <v>-</v>
      </c>
      <c r="S82" s="429" t="str">
        <f ca="1">IFERROR(VLOOKUP(S$2,Rango_Admin_DailyPred,MATCH($F82,Rango_Admin_DailyPred_Primera,0),0),"-")</f>
        <v>-</v>
      </c>
      <c r="T82" s="429" t="str">
        <f ca="1">IFERROR(VLOOKUP(T$2,Rango_Admin_DailyPred,MATCH($F82,Rango_Admin_DailyPred_Primera,0),0),"-")</f>
        <v>-</v>
      </c>
      <c r="U82" s="429" t="str">
        <f ca="1">IFERROR(VLOOKUP(U$2,Rango_Admin_DailyPred,MATCH($F82,Rango_Admin_DailyPred_Primera,0),0),"-")</f>
        <v>-</v>
      </c>
      <c r="V82" s="429" t="str">
        <f ca="1">IFERROR(VLOOKUP(V$2,Rango_Admin_DailyPred,MATCH($F82,Rango_Admin_DailyPred_Primera,0),0),"-")</f>
        <v>-</v>
      </c>
      <c r="W82" s="429" t="str">
        <f ca="1">IFERROR(VLOOKUP(W$2,Rango_Admin_DailyPred,MATCH($F82,Rango_Admin_DailyPred_Primera,0),0),"-")</f>
        <v>-</v>
      </c>
      <c r="X82" s="429" t="str">
        <f ca="1">IFERROR(VLOOKUP(X$2,Rango_Admin_DailyPred,MATCH($F82,Rango_Admin_DailyPred_Primera,0),0),"-")</f>
        <v>-</v>
      </c>
      <c r="Y82" s="429" t="str">
        <f ca="1">IFERROR(VLOOKUP(Y$2,Rango_Admin_DailyPred,MATCH($F82,Rango_Admin_DailyPred_Primera,0),0),"-")</f>
        <v>-</v>
      </c>
      <c r="Z82" s="429" t="str">
        <f ca="1">IFERROR(VLOOKUP(Z$2,Rango_Admin_DailyPred,MATCH($F82,Rango_Admin_DailyPred_Primera,0),0),"-")</f>
        <v>-</v>
      </c>
      <c r="AA82" s="429" t="str">
        <f ca="1">IFERROR(VLOOKUP(AA$2,Rango_Admin_DailyPred,MATCH($F82,Rango_Admin_DailyPred_Primera,0),0),"-")</f>
        <v>-</v>
      </c>
      <c r="AB82" s="429" t="str">
        <f ca="1">IFERROR(VLOOKUP(AB$2,Rango_Admin_DailyPred,MATCH($F82,Rango_Admin_DailyPred_Primera,0),0),"-")</f>
        <v>-</v>
      </c>
      <c r="AC82" s="429" t="str">
        <f ca="1">IFERROR(VLOOKUP(AC$2,Rango_Admin_DailyPred,MATCH($F82,Rango_Admin_DailyPred_Primera,0),0),"-")</f>
        <v>-</v>
      </c>
      <c r="AD82" s="429" t="str">
        <f ca="1">IFERROR(VLOOKUP(AD$2,Rango_Admin_DailyPred,MATCH($F82,Rango_Admin_DailyPred_Primera,0),0),"-")</f>
        <v>-</v>
      </c>
      <c r="AE82" s="429" t="str">
        <f ca="1">IFERROR(VLOOKUP(AE$2,Rango_Admin_DailyPred,MATCH($F82,Rango_Admin_DailyPred_Primera,0),0),"-")</f>
        <v>-</v>
      </c>
      <c r="AF82" s="429" t="str">
        <f ca="1">IFERROR(VLOOKUP(AF$2,Rango_Admin_DailyPred,MATCH($F82,Rango_Admin_DailyPred_Primera,0),0),"-")</f>
        <v>-</v>
      </c>
      <c r="AG82" s="429" t="str">
        <f ca="1">IFERROR(VLOOKUP(AG$2,Rango_Admin_DailyPred,MATCH($F82,Rango_Admin_DailyPred_Primera,0),0),"-")</f>
        <v>-</v>
      </c>
      <c r="AH82" s="429" t="str">
        <f ca="1">IFERROR(VLOOKUP(AH$2,Rango_Admin_DailyPred,MATCH($F82,Rango_Admin_DailyPred_Primera,0),0),"-")</f>
        <v>-</v>
      </c>
      <c r="AI82" s="429" t="str">
        <f ca="1">IFERROR(VLOOKUP(AI$2,Rango_Admin_DailyPred,MATCH($F82,Rango_Admin_DailyPred_Primera,0),0),"-")</f>
        <v>-</v>
      </c>
      <c r="AJ82" s="429" t="str">
        <f ca="1">IFERROR(VLOOKUP(AJ$2,Rango_Admin_DailyPred,MATCH($F82,Rango_Admin_DailyPred_Primera,0),0),"-")</f>
        <v>-</v>
      </c>
      <c r="AK82" s="429" t="str">
        <f ca="1">IFERROR(VLOOKUP(AK$2,Rango_Admin_DailyPred,MATCH($F82,Rango_Admin_DailyPred_Primera,0),0),"-")</f>
        <v>-</v>
      </c>
      <c r="AL82" s="429" t="str">
        <f ca="1">IFERROR(VLOOKUP(AL$2,Rango_Admin_DailyPred,MATCH($F82,Rango_Admin_DailyPred_Primera,0),0),"-")</f>
        <v>-</v>
      </c>
      <c r="AM82" s="297"/>
      <c r="AN82" s="297"/>
      <c r="AO82" s="297"/>
    </row>
    <row r="83" spans="5:41">
      <c r="E83" s="19">
        <f t="shared" si="2"/>
        <v>246</v>
      </c>
      <c r="F83" s="448" t="str" cm="1">
        <f t="array" ref="F83">IFERROR(INDEX(Rango_Admin_DailyPred_Primera,1,E83),"-")</f>
        <v>-</v>
      </c>
      <c r="G83" s="429" t="str">
        <f ca="1">IFERROR(VLOOKUP(G$2,Rango_Admin_DailyPred,MATCH($F83,Rango_Admin_DailyPred_Primera,0),0),"-")</f>
        <v>-</v>
      </c>
      <c r="H83" s="429" t="str">
        <f ca="1">IFERROR(VLOOKUP(H$2,Rango_Admin_DailyPred,MATCH($F83,Rango_Admin_DailyPred_Primera,0),0),"-")</f>
        <v>-</v>
      </c>
      <c r="I83" s="429" t="str">
        <f ca="1">IFERROR(VLOOKUP(I$2,Rango_Admin_DailyPred,MATCH($F83,Rango_Admin_DailyPred_Primera,0),0),"-")</f>
        <v>-</v>
      </c>
      <c r="J83" s="429" t="str">
        <f ca="1">IFERROR(VLOOKUP(J$2,Rango_Admin_DailyPred,MATCH($F83,Rango_Admin_DailyPred_Primera,0),0),"-")</f>
        <v>-</v>
      </c>
      <c r="K83" s="429" t="str">
        <f ca="1">IFERROR(VLOOKUP(K$2,Rango_Admin_DailyPred,MATCH($F83,Rango_Admin_DailyPred_Primera,0),0),"-")</f>
        <v>-</v>
      </c>
      <c r="L83" s="429" t="str">
        <f ca="1">IFERROR(VLOOKUP(L$2,Rango_Admin_DailyPred,MATCH($F83,Rango_Admin_DailyPred_Primera,0),0),"-")</f>
        <v>-</v>
      </c>
      <c r="M83" s="429" t="str">
        <f ca="1">IFERROR(VLOOKUP(M$2,Rango_Admin_DailyPred,MATCH($F83,Rango_Admin_DailyPred_Primera,0),0),"-")</f>
        <v>-</v>
      </c>
      <c r="N83" s="429" t="str">
        <f ca="1">IFERROR(VLOOKUP(N$2,Rango_Admin_DailyPred,MATCH($F83,Rango_Admin_DailyPred_Primera,0),0),"-")</f>
        <v>-</v>
      </c>
      <c r="O83" s="429" t="str">
        <f ca="1">IFERROR(VLOOKUP(O$2,Rango_Admin_DailyPred,MATCH($F83,Rango_Admin_DailyPred_Primera,0),0),"-")</f>
        <v>-</v>
      </c>
      <c r="P83" s="429" t="str">
        <f ca="1">IFERROR(VLOOKUP(P$2,Rango_Admin_DailyPred,MATCH($F83,Rango_Admin_DailyPred_Primera,0),0),"-")</f>
        <v>-</v>
      </c>
      <c r="Q83" s="429" t="str">
        <f ca="1">IFERROR(VLOOKUP(Q$2,Rango_Admin_DailyPred,MATCH($F83,Rango_Admin_DailyPred_Primera,0),0),"-")</f>
        <v>-</v>
      </c>
      <c r="R83" s="429" t="str">
        <f ca="1">IFERROR(VLOOKUP(R$2,Rango_Admin_DailyPred,MATCH($F83,Rango_Admin_DailyPred_Primera,0),0),"-")</f>
        <v>-</v>
      </c>
      <c r="S83" s="429" t="str">
        <f ca="1">IFERROR(VLOOKUP(S$2,Rango_Admin_DailyPred,MATCH($F83,Rango_Admin_DailyPred_Primera,0),0),"-")</f>
        <v>-</v>
      </c>
      <c r="T83" s="429" t="str">
        <f ca="1">IFERROR(VLOOKUP(T$2,Rango_Admin_DailyPred,MATCH($F83,Rango_Admin_DailyPred_Primera,0),0),"-")</f>
        <v>-</v>
      </c>
      <c r="U83" s="429" t="str">
        <f ca="1">IFERROR(VLOOKUP(U$2,Rango_Admin_DailyPred,MATCH($F83,Rango_Admin_DailyPred_Primera,0),0),"-")</f>
        <v>-</v>
      </c>
      <c r="V83" s="429" t="str">
        <f ca="1">IFERROR(VLOOKUP(V$2,Rango_Admin_DailyPred,MATCH($F83,Rango_Admin_DailyPred_Primera,0),0),"-")</f>
        <v>-</v>
      </c>
      <c r="W83" s="429" t="str">
        <f ca="1">IFERROR(VLOOKUP(W$2,Rango_Admin_DailyPred,MATCH($F83,Rango_Admin_DailyPred_Primera,0),0),"-")</f>
        <v>-</v>
      </c>
      <c r="X83" s="429" t="str">
        <f ca="1">IFERROR(VLOOKUP(X$2,Rango_Admin_DailyPred,MATCH($F83,Rango_Admin_DailyPred_Primera,0),0),"-")</f>
        <v>-</v>
      </c>
      <c r="Y83" s="429" t="str">
        <f ca="1">IFERROR(VLOOKUP(Y$2,Rango_Admin_DailyPred,MATCH($F83,Rango_Admin_DailyPred_Primera,0),0),"-")</f>
        <v>-</v>
      </c>
      <c r="Z83" s="429" t="str">
        <f ca="1">IFERROR(VLOOKUP(Z$2,Rango_Admin_DailyPred,MATCH($F83,Rango_Admin_DailyPred_Primera,0),0),"-")</f>
        <v>-</v>
      </c>
      <c r="AA83" s="429" t="str">
        <f ca="1">IFERROR(VLOOKUP(AA$2,Rango_Admin_DailyPred,MATCH($F83,Rango_Admin_DailyPred_Primera,0),0),"-")</f>
        <v>-</v>
      </c>
      <c r="AB83" s="429" t="str">
        <f ca="1">IFERROR(VLOOKUP(AB$2,Rango_Admin_DailyPred,MATCH($F83,Rango_Admin_DailyPred_Primera,0),0),"-")</f>
        <v>-</v>
      </c>
      <c r="AC83" s="429" t="str">
        <f ca="1">IFERROR(VLOOKUP(AC$2,Rango_Admin_DailyPred,MATCH($F83,Rango_Admin_DailyPred_Primera,0),0),"-")</f>
        <v>-</v>
      </c>
      <c r="AD83" s="429" t="str">
        <f ca="1">IFERROR(VLOOKUP(AD$2,Rango_Admin_DailyPred,MATCH($F83,Rango_Admin_DailyPred_Primera,0),0),"-")</f>
        <v>-</v>
      </c>
      <c r="AE83" s="429" t="str">
        <f ca="1">IFERROR(VLOOKUP(AE$2,Rango_Admin_DailyPred,MATCH($F83,Rango_Admin_DailyPred_Primera,0),0),"-")</f>
        <v>-</v>
      </c>
      <c r="AF83" s="429" t="str">
        <f ca="1">IFERROR(VLOOKUP(AF$2,Rango_Admin_DailyPred,MATCH($F83,Rango_Admin_DailyPred_Primera,0),0),"-")</f>
        <v>-</v>
      </c>
      <c r="AG83" s="429" t="str">
        <f ca="1">IFERROR(VLOOKUP(AG$2,Rango_Admin_DailyPred,MATCH($F83,Rango_Admin_DailyPred_Primera,0),0),"-")</f>
        <v>-</v>
      </c>
      <c r="AH83" s="429" t="str">
        <f ca="1">IFERROR(VLOOKUP(AH$2,Rango_Admin_DailyPred,MATCH($F83,Rango_Admin_DailyPred_Primera,0),0),"-")</f>
        <v>-</v>
      </c>
      <c r="AI83" s="429" t="str">
        <f ca="1">IFERROR(VLOOKUP(AI$2,Rango_Admin_DailyPred,MATCH($F83,Rango_Admin_DailyPred_Primera,0),0),"-")</f>
        <v>-</v>
      </c>
      <c r="AJ83" s="429" t="str">
        <f ca="1">IFERROR(VLOOKUP(AJ$2,Rango_Admin_DailyPred,MATCH($F83,Rango_Admin_DailyPred_Primera,0),0),"-")</f>
        <v>-</v>
      </c>
      <c r="AK83" s="429" t="str">
        <f ca="1">IFERROR(VLOOKUP(AK$2,Rango_Admin_DailyPred,MATCH($F83,Rango_Admin_DailyPred_Primera,0),0),"-")</f>
        <v>-</v>
      </c>
      <c r="AL83" s="429" t="str">
        <f ca="1">IFERROR(VLOOKUP(AL$2,Rango_Admin_DailyPred,MATCH($F83,Rango_Admin_DailyPred_Primera,0),0),"-")</f>
        <v>-</v>
      </c>
      <c r="AM83" s="297"/>
      <c r="AN83" s="297"/>
      <c r="AO83" s="297"/>
    </row>
    <row r="84" spans="5:41">
      <c r="E84" s="19">
        <f t="shared" si="2"/>
        <v>249</v>
      </c>
      <c r="F84" s="448" t="str" cm="1">
        <f t="array" ref="F84">IFERROR(INDEX(Rango_Admin_DailyPred_Primera,1,E84),"-")</f>
        <v>-</v>
      </c>
      <c r="G84" s="429" t="str">
        <f ca="1">IFERROR(VLOOKUP(G$2,Rango_Admin_DailyPred,MATCH($F84,Rango_Admin_DailyPred_Primera,0),0),"-")</f>
        <v>-</v>
      </c>
      <c r="H84" s="429" t="str">
        <f ca="1">IFERROR(VLOOKUP(H$2,Rango_Admin_DailyPred,MATCH($F84,Rango_Admin_DailyPred_Primera,0),0),"-")</f>
        <v>-</v>
      </c>
      <c r="I84" s="429" t="str">
        <f ca="1">IFERROR(VLOOKUP(I$2,Rango_Admin_DailyPred,MATCH($F84,Rango_Admin_DailyPred_Primera,0),0),"-")</f>
        <v>-</v>
      </c>
      <c r="J84" s="429" t="str">
        <f ca="1">IFERROR(VLOOKUP(J$2,Rango_Admin_DailyPred,MATCH($F84,Rango_Admin_DailyPred_Primera,0),0),"-")</f>
        <v>-</v>
      </c>
      <c r="K84" s="429" t="str">
        <f ca="1">IFERROR(VLOOKUP(K$2,Rango_Admin_DailyPred,MATCH($F84,Rango_Admin_DailyPred_Primera,0),0),"-")</f>
        <v>-</v>
      </c>
      <c r="L84" s="429" t="str">
        <f ca="1">IFERROR(VLOOKUP(L$2,Rango_Admin_DailyPred,MATCH($F84,Rango_Admin_DailyPred_Primera,0),0),"-")</f>
        <v>-</v>
      </c>
      <c r="M84" s="429" t="str">
        <f ca="1">IFERROR(VLOOKUP(M$2,Rango_Admin_DailyPred,MATCH($F84,Rango_Admin_DailyPred_Primera,0),0),"-")</f>
        <v>-</v>
      </c>
      <c r="N84" s="429" t="str">
        <f ca="1">IFERROR(VLOOKUP(N$2,Rango_Admin_DailyPred,MATCH($F84,Rango_Admin_DailyPred_Primera,0),0),"-")</f>
        <v>-</v>
      </c>
      <c r="O84" s="429" t="str">
        <f ca="1">IFERROR(VLOOKUP(O$2,Rango_Admin_DailyPred,MATCH($F84,Rango_Admin_DailyPred_Primera,0),0),"-")</f>
        <v>-</v>
      </c>
      <c r="P84" s="429" t="str">
        <f ca="1">IFERROR(VLOOKUP(P$2,Rango_Admin_DailyPred,MATCH($F84,Rango_Admin_DailyPred_Primera,0),0),"-")</f>
        <v>-</v>
      </c>
      <c r="Q84" s="429" t="str">
        <f ca="1">IFERROR(VLOOKUP(Q$2,Rango_Admin_DailyPred,MATCH($F84,Rango_Admin_DailyPred_Primera,0),0),"-")</f>
        <v>-</v>
      </c>
      <c r="R84" s="429" t="str">
        <f ca="1">IFERROR(VLOOKUP(R$2,Rango_Admin_DailyPred,MATCH($F84,Rango_Admin_DailyPred_Primera,0),0),"-")</f>
        <v>-</v>
      </c>
      <c r="S84" s="429" t="str">
        <f ca="1">IFERROR(VLOOKUP(S$2,Rango_Admin_DailyPred,MATCH($F84,Rango_Admin_DailyPred_Primera,0),0),"-")</f>
        <v>-</v>
      </c>
      <c r="T84" s="429" t="str">
        <f ca="1">IFERROR(VLOOKUP(T$2,Rango_Admin_DailyPred,MATCH($F84,Rango_Admin_DailyPred_Primera,0),0),"-")</f>
        <v>-</v>
      </c>
      <c r="U84" s="429" t="str">
        <f ca="1">IFERROR(VLOOKUP(U$2,Rango_Admin_DailyPred,MATCH($F84,Rango_Admin_DailyPred_Primera,0),0),"-")</f>
        <v>-</v>
      </c>
      <c r="V84" s="429" t="str">
        <f ca="1">IFERROR(VLOOKUP(V$2,Rango_Admin_DailyPred,MATCH($F84,Rango_Admin_DailyPred_Primera,0),0),"-")</f>
        <v>-</v>
      </c>
      <c r="W84" s="429" t="str">
        <f ca="1">IFERROR(VLOOKUP(W$2,Rango_Admin_DailyPred,MATCH($F84,Rango_Admin_DailyPred_Primera,0),0),"-")</f>
        <v>-</v>
      </c>
      <c r="X84" s="429" t="str">
        <f ca="1">IFERROR(VLOOKUP(X$2,Rango_Admin_DailyPred,MATCH($F84,Rango_Admin_DailyPred_Primera,0),0),"-")</f>
        <v>-</v>
      </c>
      <c r="Y84" s="429" t="str">
        <f ca="1">IFERROR(VLOOKUP(Y$2,Rango_Admin_DailyPred,MATCH($F84,Rango_Admin_DailyPred_Primera,0),0),"-")</f>
        <v>-</v>
      </c>
      <c r="Z84" s="429" t="str">
        <f ca="1">IFERROR(VLOOKUP(Z$2,Rango_Admin_DailyPred,MATCH($F84,Rango_Admin_DailyPred_Primera,0),0),"-")</f>
        <v>-</v>
      </c>
      <c r="AA84" s="429" t="str">
        <f ca="1">IFERROR(VLOOKUP(AA$2,Rango_Admin_DailyPred,MATCH($F84,Rango_Admin_DailyPred_Primera,0),0),"-")</f>
        <v>-</v>
      </c>
      <c r="AB84" s="429" t="str">
        <f ca="1">IFERROR(VLOOKUP(AB$2,Rango_Admin_DailyPred,MATCH($F84,Rango_Admin_DailyPred_Primera,0),0),"-")</f>
        <v>-</v>
      </c>
      <c r="AC84" s="429" t="str">
        <f ca="1">IFERROR(VLOOKUP(AC$2,Rango_Admin_DailyPred,MATCH($F84,Rango_Admin_DailyPred_Primera,0),0),"-")</f>
        <v>-</v>
      </c>
      <c r="AD84" s="429" t="str">
        <f ca="1">IFERROR(VLOOKUP(AD$2,Rango_Admin_DailyPred,MATCH($F84,Rango_Admin_DailyPred_Primera,0),0),"-")</f>
        <v>-</v>
      </c>
      <c r="AE84" s="429" t="str">
        <f ca="1">IFERROR(VLOOKUP(AE$2,Rango_Admin_DailyPred,MATCH($F84,Rango_Admin_DailyPred_Primera,0),0),"-")</f>
        <v>-</v>
      </c>
      <c r="AF84" s="429" t="str">
        <f ca="1">IFERROR(VLOOKUP(AF$2,Rango_Admin_DailyPred,MATCH($F84,Rango_Admin_DailyPred_Primera,0),0),"-")</f>
        <v>-</v>
      </c>
      <c r="AG84" s="429" t="str">
        <f ca="1">IFERROR(VLOOKUP(AG$2,Rango_Admin_DailyPred,MATCH($F84,Rango_Admin_DailyPred_Primera,0),0),"-")</f>
        <v>-</v>
      </c>
      <c r="AH84" s="429" t="str">
        <f ca="1">IFERROR(VLOOKUP(AH$2,Rango_Admin_DailyPred,MATCH($F84,Rango_Admin_DailyPred_Primera,0),0),"-")</f>
        <v>-</v>
      </c>
      <c r="AI84" s="429" t="str">
        <f ca="1">IFERROR(VLOOKUP(AI$2,Rango_Admin_DailyPred,MATCH($F84,Rango_Admin_DailyPred_Primera,0),0),"-")</f>
        <v>-</v>
      </c>
      <c r="AJ84" s="429" t="str">
        <f ca="1">IFERROR(VLOOKUP(AJ$2,Rango_Admin_DailyPred,MATCH($F84,Rango_Admin_DailyPred_Primera,0),0),"-")</f>
        <v>-</v>
      </c>
      <c r="AK84" s="429" t="str">
        <f ca="1">IFERROR(VLOOKUP(AK$2,Rango_Admin_DailyPred,MATCH($F84,Rango_Admin_DailyPred_Primera,0),0),"-")</f>
        <v>-</v>
      </c>
      <c r="AL84" s="429" t="str">
        <f ca="1">IFERROR(VLOOKUP(AL$2,Rango_Admin_DailyPred,MATCH($F84,Rango_Admin_DailyPred_Primera,0),0),"-")</f>
        <v>-</v>
      </c>
      <c r="AM84" s="297"/>
      <c r="AN84" s="297"/>
      <c r="AO84" s="297"/>
    </row>
    <row r="85" spans="5:41">
      <c r="E85" s="19">
        <f t="shared" si="2"/>
        <v>252</v>
      </c>
      <c r="F85" s="448" t="str" cm="1">
        <f t="array" ref="F85">IFERROR(INDEX(Rango_Admin_DailyPred_Primera,1,E85),"-")</f>
        <v>-</v>
      </c>
      <c r="G85" s="429" t="str">
        <f ca="1">IFERROR(VLOOKUP(G$2,Rango_Admin_DailyPred,MATCH($F85,Rango_Admin_DailyPred_Primera,0),0),"-")</f>
        <v>-</v>
      </c>
      <c r="H85" s="429" t="str">
        <f ca="1">IFERROR(VLOOKUP(H$2,Rango_Admin_DailyPred,MATCH($F85,Rango_Admin_DailyPred_Primera,0),0),"-")</f>
        <v>-</v>
      </c>
      <c r="I85" s="429" t="str">
        <f ca="1">IFERROR(VLOOKUP(I$2,Rango_Admin_DailyPred,MATCH($F85,Rango_Admin_DailyPred_Primera,0),0),"-")</f>
        <v>-</v>
      </c>
      <c r="J85" s="429" t="str">
        <f ca="1">IFERROR(VLOOKUP(J$2,Rango_Admin_DailyPred,MATCH($F85,Rango_Admin_DailyPred_Primera,0),0),"-")</f>
        <v>-</v>
      </c>
      <c r="K85" s="429" t="str">
        <f ca="1">IFERROR(VLOOKUP(K$2,Rango_Admin_DailyPred,MATCH($F85,Rango_Admin_DailyPred_Primera,0),0),"-")</f>
        <v>-</v>
      </c>
      <c r="L85" s="429" t="str">
        <f ca="1">IFERROR(VLOOKUP(L$2,Rango_Admin_DailyPred,MATCH($F85,Rango_Admin_DailyPred_Primera,0),0),"-")</f>
        <v>-</v>
      </c>
      <c r="M85" s="429" t="str">
        <f ca="1">IFERROR(VLOOKUP(M$2,Rango_Admin_DailyPred,MATCH($F85,Rango_Admin_DailyPred_Primera,0),0),"-")</f>
        <v>-</v>
      </c>
      <c r="N85" s="429" t="str">
        <f ca="1">IFERROR(VLOOKUP(N$2,Rango_Admin_DailyPred,MATCH($F85,Rango_Admin_DailyPred_Primera,0),0),"-")</f>
        <v>-</v>
      </c>
      <c r="O85" s="429" t="str">
        <f ca="1">IFERROR(VLOOKUP(O$2,Rango_Admin_DailyPred,MATCH($F85,Rango_Admin_DailyPred_Primera,0),0),"-")</f>
        <v>-</v>
      </c>
      <c r="P85" s="429" t="str">
        <f ca="1">IFERROR(VLOOKUP(P$2,Rango_Admin_DailyPred,MATCH($F85,Rango_Admin_DailyPred_Primera,0),0),"-")</f>
        <v>-</v>
      </c>
      <c r="Q85" s="429" t="str">
        <f ca="1">IFERROR(VLOOKUP(Q$2,Rango_Admin_DailyPred,MATCH($F85,Rango_Admin_DailyPred_Primera,0),0),"-")</f>
        <v>-</v>
      </c>
      <c r="R85" s="429" t="str">
        <f ca="1">IFERROR(VLOOKUP(R$2,Rango_Admin_DailyPred,MATCH($F85,Rango_Admin_DailyPred_Primera,0),0),"-")</f>
        <v>-</v>
      </c>
      <c r="S85" s="429" t="str">
        <f ca="1">IFERROR(VLOOKUP(S$2,Rango_Admin_DailyPred,MATCH($F85,Rango_Admin_DailyPred_Primera,0),0),"-")</f>
        <v>-</v>
      </c>
      <c r="T85" s="429" t="str">
        <f ca="1">IFERROR(VLOOKUP(T$2,Rango_Admin_DailyPred,MATCH($F85,Rango_Admin_DailyPred_Primera,0),0),"-")</f>
        <v>-</v>
      </c>
      <c r="U85" s="429" t="str">
        <f ca="1">IFERROR(VLOOKUP(U$2,Rango_Admin_DailyPred,MATCH($F85,Rango_Admin_DailyPred_Primera,0),0),"-")</f>
        <v>-</v>
      </c>
      <c r="V85" s="429" t="str">
        <f ca="1">IFERROR(VLOOKUP(V$2,Rango_Admin_DailyPred,MATCH($F85,Rango_Admin_DailyPred_Primera,0),0),"-")</f>
        <v>-</v>
      </c>
      <c r="W85" s="429" t="str">
        <f ca="1">IFERROR(VLOOKUP(W$2,Rango_Admin_DailyPred,MATCH($F85,Rango_Admin_DailyPred_Primera,0),0),"-")</f>
        <v>-</v>
      </c>
      <c r="X85" s="429" t="str">
        <f ca="1">IFERROR(VLOOKUP(X$2,Rango_Admin_DailyPred,MATCH($F85,Rango_Admin_DailyPred_Primera,0),0),"-")</f>
        <v>-</v>
      </c>
      <c r="Y85" s="429" t="str">
        <f ca="1">IFERROR(VLOOKUP(Y$2,Rango_Admin_DailyPred,MATCH($F85,Rango_Admin_DailyPred_Primera,0),0),"-")</f>
        <v>-</v>
      </c>
      <c r="Z85" s="429" t="str">
        <f ca="1">IFERROR(VLOOKUP(Z$2,Rango_Admin_DailyPred,MATCH($F85,Rango_Admin_DailyPred_Primera,0),0),"-")</f>
        <v>-</v>
      </c>
      <c r="AA85" s="429" t="str">
        <f ca="1">IFERROR(VLOOKUP(AA$2,Rango_Admin_DailyPred,MATCH($F85,Rango_Admin_DailyPred_Primera,0),0),"-")</f>
        <v>-</v>
      </c>
      <c r="AB85" s="429" t="str">
        <f ca="1">IFERROR(VLOOKUP(AB$2,Rango_Admin_DailyPred,MATCH($F85,Rango_Admin_DailyPred_Primera,0),0),"-")</f>
        <v>-</v>
      </c>
      <c r="AC85" s="429" t="str">
        <f ca="1">IFERROR(VLOOKUP(AC$2,Rango_Admin_DailyPred,MATCH($F85,Rango_Admin_DailyPred_Primera,0),0),"-")</f>
        <v>-</v>
      </c>
      <c r="AD85" s="429" t="str">
        <f ca="1">IFERROR(VLOOKUP(AD$2,Rango_Admin_DailyPred,MATCH($F85,Rango_Admin_DailyPred_Primera,0),0),"-")</f>
        <v>-</v>
      </c>
      <c r="AE85" s="429" t="str">
        <f ca="1">IFERROR(VLOOKUP(AE$2,Rango_Admin_DailyPred,MATCH($F85,Rango_Admin_DailyPred_Primera,0),0),"-")</f>
        <v>-</v>
      </c>
      <c r="AF85" s="429" t="str">
        <f ca="1">IFERROR(VLOOKUP(AF$2,Rango_Admin_DailyPred,MATCH($F85,Rango_Admin_DailyPred_Primera,0),0),"-")</f>
        <v>-</v>
      </c>
      <c r="AG85" s="429" t="str">
        <f ca="1">IFERROR(VLOOKUP(AG$2,Rango_Admin_DailyPred,MATCH($F85,Rango_Admin_DailyPred_Primera,0),0),"-")</f>
        <v>-</v>
      </c>
      <c r="AH85" s="429" t="str">
        <f ca="1">IFERROR(VLOOKUP(AH$2,Rango_Admin_DailyPred,MATCH($F85,Rango_Admin_DailyPred_Primera,0),0),"-")</f>
        <v>-</v>
      </c>
      <c r="AI85" s="429" t="str">
        <f ca="1">IFERROR(VLOOKUP(AI$2,Rango_Admin_DailyPred,MATCH($F85,Rango_Admin_DailyPred_Primera,0),0),"-")</f>
        <v>-</v>
      </c>
      <c r="AJ85" s="429" t="str">
        <f ca="1">IFERROR(VLOOKUP(AJ$2,Rango_Admin_DailyPred,MATCH($F85,Rango_Admin_DailyPred_Primera,0),0),"-")</f>
        <v>-</v>
      </c>
      <c r="AK85" s="429" t="str">
        <f ca="1">IFERROR(VLOOKUP(AK$2,Rango_Admin_DailyPred,MATCH($F85,Rango_Admin_DailyPred_Primera,0),0),"-")</f>
        <v>-</v>
      </c>
      <c r="AL85" s="429" t="str">
        <f ca="1">IFERROR(VLOOKUP(AL$2,Rango_Admin_DailyPred,MATCH($F85,Rango_Admin_DailyPred_Primera,0),0),"-")</f>
        <v>-</v>
      </c>
      <c r="AM85" s="297"/>
      <c r="AN85" s="297"/>
      <c r="AO85" s="297"/>
    </row>
    <row r="86" spans="5:41">
      <c r="E86" s="19">
        <f t="shared" si="2"/>
        <v>255</v>
      </c>
      <c r="F86" s="448" t="str" cm="1">
        <f t="array" ref="F86">IFERROR(INDEX(Rango_Admin_DailyPred_Primera,1,E86),"-")</f>
        <v>-</v>
      </c>
      <c r="G86" s="429" t="str">
        <f ca="1">IFERROR(VLOOKUP(G$2,Rango_Admin_DailyPred,MATCH($F86,Rango_Admin_DailyPred_Primera,0),0),"-")</f>
        <v>-</v>
      </c>
      <c r="H86" s="429" t="str">
        <f ca="1">IFERROR(VLOOKUP(H$2,Rango_Admin_DailyPred,MATCH($F86,Rango_Admin_DailyPred_Primera,0),0),"-")</f>
        <v>-</v>
      </c>
      <c r="I86" s="429" t="str">
        <f ca="1">IFERROR(VLOOKUP(I$2,Rango_Admin_DailyPred,MATCH($F86,Rango_Admin_DailyPred_Primera,0),0),"-")</f>
        <v>-</v>
      </c>
      <c r="J86" s="429" t="str">
        <f ca="1">IFERROR(VLOOKUP(J$2,Rango_Admin_DailyPred,MATCH($F86,Rango_Admin_DailyPred_Primera,0),0),"-")</f>
        <v>-</v>
      </c>
      <c r="K86" s="429" t="str">
        <f ca="1">IFERROR(VLOOKUP(K$2,Rango_Admin_DailyPred,MATCH($F86,Rango_Admin_DailyPred_Primera,0),0),"-")</f>
        <v>-</v>
      </c>
      <c r="L86" s="429" t="str">
        <f ca="1">IFERROR(VLOOKUP(L$2,Rango_Admin_DailyPred,MATCH($F86,Rango_Admin_DailyPred_Primera,0),0),"-")</f>
        <v>-</v>
      </c>
      <c r="M86" s="429" t="str">
        <f ca="1">IFERROR(VLOOKUP(M$2,Rango_Admin_DailyPred,MATCH($F86,Rango_Admin_DailyPred_Primera,0),0),"-")</f>
        <v>-</v>
      </c>
      <c r="N86" s="429" t="str">
        <f ca="1">IFERROR(VLOOKUP(N$2,Rango_Admin_DailyPred,MATCH($F86,Rango_Admin_DailyPred_Primera,0),0),"-")</f>
        <v>-</v>
      </c>
      <c r="O86" s="429" t="str">
        <f ca="1">IFERROR(VLOOKUP(O$2,Rango_Admin_DailyPred,MATCH($F86,Rango_Admin_DailyPred_Primera,0),0),"-")</f>
        <v>-</v>
      </c>
      <c r="P86" s="429" t="str">
        <f ca="1">IFERROR(VLOOKUP(P$2,Rango_Admin_DailyPred,MATCH($F86,Rango_Admin_DailyPred_Primera,0),0),"-")</f>
        <v>-</v>
      </c>
      <c r="Q86" s="429" t="str">
        <f ca="1">IFERROR(VLOOKUP(Q$2,Rango_Admin_DailyPred,MATCH($F86,Rango_Admin_DailyPred_Primera,0),0),"-")</f>
        <v>-</v>
      </c>
      <c r="R86" s="429" t="str">
        <f ca="1">IFERROR(VLOOKUP(R$2,Rango_Admin_DailyPred,MATCH($F86,Rango_Admin_DailyPred_Primera,0),0),"-")</f>
        <v>-</v>
      </c>
      <c r="S86" s="429" t="str">
        <f ca="1">IFERROR(VLOOKUP(S$2,Rango_Admin_DailyPred,MATCH($F86,Rango_Admin_DailyPred_Primera,0),0),"-")</f>
        <v>-</v>
      </c>
      <c r="T86" s="429" t="str">
        <f ca="1">IFERROR(VLOOKUP(T$2,Rango_Admin_DailyPred,MATCH($F86,Rango_Admin_DailyPred_Primera,0),0),"-")</f>
        <v>-</v>
      </c>
      <c r="U86" s="429" t="str">
        <f ca="1">IFERROR(VLOOKUP(U$2,Rango_Admin_DailyPred,MATCH($F86,Rango_Admin_DailyPred_Primera,0),0),"-")</f>
        <v>-</v>
      </c>
      <c r="V86" s="429" t="str">
        <f ca="1">IFERROR(VLOOKUP(V$2,Rango_Admin_DailyPred,MATCH($F86,Rango_Admin_DailyPred_Primera,0),0),"-")</f>
        <v>-</v>
      </c>
      <c r="W86" s="429" t="str">
        <f ca="1">IFERROR(VLOOKUP(W$2,Rango_Admin_DailyPred,MATCH($F86,Rango_Admin_DailyPred_Primera,0),0),"-")</f>
        <v>-</v>
      </c>
      <c r="X86" s="429" t="str">
        <f ca="1">IFERROR(VLOOKUP(X$2,Rango_Admin_DailyPred,MATCH($F86,Rango_Admin_DailyPred_Primera,0),0),"-")</f>
        <v>-</v>
      </c>
      <c r="Y86" s="429" t="str">
        <f ca="1">IFERROR(VLOOKUP(Y$2,Rango_Admin_DailyPred,MATCH($F86,Rango_Admin_DailyPred_Primera,0),0),"-")</f>
        <v>-</v>
      </c>
      <c r="Z86" s="429" t="str">
        <f ca="1">IFERROR(VLOOKUP(Z$2,Rango_Admin_DailyPred,MATCH($F86,Rango_Admin_DailyPred_Primera,0),0),"-")</f>
        <v>-</v>
      </c>
      <c r="AA86" s="429" t="str">
        <f ca="1">IFERROR(VLOOKUP(AA$2,Rango_Admin_DailyPred,MATCH($F86,Rango_Admin_DailyPred_Primera,0),0),"-")</f>
        <v>-</v>
      </c>
      <c r="AB86" s="429" t="str">
        <f ca="1">IFERROR(VLOOKUP(AB$2,Rango_Admin_DailyPred,MATCH($F86,Rango_Admin_DailyPred_Primera,0),0),"-")</f>
        <v>-</v>
      </c>
      <c r="AC86" s="429" t="str">
        <f ca="1">IFERROR(VLOOKUP(AC$2,Rango_Admin_DailyPred,MATCH($F86,Rango_Admin_DailyPred_Primera,0),0),"-")</f>
        <v>-</v>
      </c>
      <c r="AD86" s="429" t="str">
        <f ca="1">IFERROR(VLOOKUP(AD$2,Rango_Admin_DailyPred,MATCH($F86,Rango_Admin_DailyPred_Primera,0),0),"-")</f>
        <v>-</v>
      </c>
      <c r="AE86" s="429" t="str">
        <f ca="1">IFERROR(VLOOKUP(AE$2,Rango_Admin_DailyPred,MATCH($F86,Rango_Admin_DailyPred_Primera,0),0),"-")</f>
        <v>-</v>
      </c>
      <c r="AF86" s="429" t="str">
        <f ca="1">IFERROR(VLOOKUP(AF$2,Rango_Admin_DailyPred,MATCH($F86,Rango_Admin_DailyPred_Primera,0),0),"-")</f>
        <v>-</v>
      </c>
      <c r="AG86" s="429" t="str">
        <f ca="1">IFERROR(VLOOKUP(AG$2,Rango_Admin_DailyPred,MATCH($F86,Rango_Admin_DailyPred_Primera,0),0),"-")</f>
        <v>-</v>
      </c>
      <c r="AH86" s="429" t="str">
        <f ca="1">IFERROR(VLOOKUP(AH$2,Rango_Admin_DailyPred,MATCH($F86,Rango_Admin_DailyPred_Primera,0),0),"-")</f>
        <v>-</v>
      </c>
      <c r="AI86" s="429" t="str">
        <f ca="1">IFERROR(VLOOKUP(AI$2,Rango_Admin_DailyPred,MATCH($F86,Rango_Admin_DailyPred_Primera,0),0),"-")</f>
        <v>-</v>
      </c>
      <c r="AJ86" s="429" t="str">
        <f ca="1">IFERROR(VLOOKUP(AJ$2,Rango_Admin_DailyPred,MATCH($F86,Rango_Admin_DailyPred_Primera,0),0),"-")</f>
        <v>-</v>
      </c>
      <c r="AK86" s="429" t="str">
        <f ca="1">IFERROR(VLOOKUP(AK$2,Rango_Admin_DailyPred,MATCH($F86,Rango_Admin_DailyPred_Primera,0),0),"-")</f>
        <v>-</v>
      </c>
      <c r="AL86" s="429" t="str">
        <f ca="1">IFERROR(VLOOKUP(AL$2,Rango_Admin_DailyPred,MATCH($F86,Rango_Admin_DailyPred_Primera,0),0),"-")</f>
        <v>-</v>
      </c>
      <c r="AM86" s="297"/>
      <c r="AN86" s="297"/>
      <c r="AO86" s="297"/>
    </row>
    <row r="87" spans="5:41">
      <c r="E87" s="19">
        <f t="shared" si="2"/>
        <v>258</v>
      </c>
      <c r="F87" s="448" t="str" cm="1">
        <f t="array" ref="F87">IFERROR(INDEX(Rango_Admin_DailyPred_Primera,1,E87),"-")</f>
        <v>-</v>
      </c>
      <c r="G87" s="429" t="str">
        <f ca="1">IFERROR(VLOOKUP(G$2,Rango_Admin_DailyPred,MATCH($F87,Rango_Admin_DailyPred_Primera,0),0),"-")</f>
        <v>-</v>
      </c>
      <c r="H87" s="429" t="str">
        <f ca="1">IFERROR(VLOOKUP(H$2,Rango_Admin_DailyPred,MATCH($F87,Rango_Admin_DailyPred_Primera,0),0),"-")</f>
        <v>-</v>
      </c>
      <c r="I87" s="429" t="str">
        <f ca="1">IFERROR(VLOOKUP(I$2,Rango_Admin_DailyPred,MATCH($F87,Rango_Admin_DailyPred_Primera,0),0),"-")</f>
        <v>-</v>
      </c>
      <c r="J87" s="429" t="str">
        <f ca="1">IFERROR(VLOOKUP(J$2,Rango_Admin_DailyPred,MATCH($F87,Rango_Admin_DailyPred_Primera,0),0),"-")</f>
        <v>-</v>
      </c>
      <c r="K87" s="429" t="str">
        <f ca="1">IFERROR(VLOOKUP(K$2,Rango_Admin_DailyPred,MATCH($F87,Rango_Admin_DailyPred_Primera,0),0),"-")</f>
        <v>-</v>
      </c>
      <c r="L87" s="429" t="str">
        <f ca="1">IFERROR(VLOOKUP(L$2,Rango_Admin_DailyPred,MATCH($F87,Rango_Admin_DailyPred_Primera,0),0),"-")</f>
        <v>-</v>
      </c>
      <c r="M87" s="429" t="str">
        <f ca="1">IFERROR(VLOOKUP(M$2,Rango_Admin_DailyPred,MATCH($F87,Rango_Admin_DailyPred_Primera,0),0),"-")</f>
        <v>-</v>
      </c>
      <c r="N87" s="429" t="str">
        <f ca="1">IFERROR(VLOOKUP(N$2,Rango_Admin_DailyPred,MATCH($F87,Rango_Admin_DailyPred_Primera,0),0),"-")</f>
        <v>-</v>
      </c>
      <c r="O87" s="429" t="str">
        <f ca="1">IFERROR(VLOOKUP(O$2,Rango_Admin_DailyPred,MATCH($F87,Rango_Admin_DailyPred_Primera,0),0),"-")</f>
        <v>-</v>
      </c>
      <c r="P87" s="429" t="str">
        <f ca="1">IFERROR(VLOOKUP(P$2,Rango_Admin_DailyPred,MATCH($F87,Rango_Admin_DailyPred_Primera,0),0),"-")</f>
        <v>-</v>
      </c>
      <c r="Q87" s="429" t="str">
        <f ca="1">IFERROR(VLOOKUP(Q$2,Rango_Admin_DailyPred,MATCH($F87,Rango_Admin_DailyPred_Primera,0),0),"-")</f>
        <v>-</v>
      </c>
      <c r="R87" s="429" t="str">
        <f ca="1">IFERROR(VLOOKUP(R$2,Rango_Admin_DailyPred,MATCH($F87,Rango_Admin_DailyPred_Primera,0),0),"-")</f>
        <v>-</v>
      </c>
      <c r="S87" s="429" t="str">
        <f ca="1">IFERROR(VLOOKUP(S$2,Rango_Admin_DailyPred,MATCH($F87,Rango_Admin_DailyPred_Primera,0),0),"-")</f>
        <v>-</v>
      </c>
      <c r="T87" s="429" t="str">
        <f ca="1">IFERROR(VLOOKUP(T$2,Rango_Admin_DailyPred,MATCH($F87,Rango_Admin_DailyPred_Primera,0),0),"-")</f>
        <v>-</v>
      </c>
      <c r="U87" s="429" t="str">
        <f ca="1">IFERROR(VLOOKUP(U$2,Rango_Admin_DailyPred,MATCH($F87,Rango_Admin_DailyPred_Primera,0),0),"-")</f>
        <v>-</v>
      </c>
      <c r="V87" s="429" t="str">
        <f ca="1">IFERROR(VLOOKUP(V$2,Rango_Admin_DailyPred,MATCH($F87,Rango_Admin_DailyPred_Primera,0),0),"-")</f>
        <v>-</v>
      </c>
      <c r="W87" s="429" t="str">
        <f ca="1">IFERROR(VLOOKUP(W$2,Rango_Admin_DailyPred,MATCH($F87,Rango_Admin_DailyPred_Primera,0),0),"-")</f>
        <v>-</v>
      </c>
      <c r="X87" s="429" t="str">
        <f ca="1">IFERROR(VLOOKUP(X$2,Rango_Admin_DailyPred,MATCH($F87,Rango_Admin_DailyPred_Primera,0),0),"-")</f>
        <v>-</v>
      </c>
      <c r="Y87" s="429" t="str">
        <f ca="1">IFERROR(VLOOKUP(Y$2,Rango_Admin_DailyPred,MATCH($F87,Rango_Admin_DailyPred_Primera,0),0),"-")</f>
        <v>-</v>
      </c>
      <c r="Z87" s="429" t="str">
        <f ca="1">IFERROR(VLOOKUP(Z$2,Rango_Admin_DailyPred,MATCH($F87,Rango_Admin_DailyPred_Primera,0),0),"-")</f>
        <v>-</v>
      </c>
      <c r="AA87" s="429" t="str">
        <f ca="1">IFERROR(VLOOKUP(AA$2,Rango_Admin_DailyPred,MATCH($F87,Rango_Admin_DailyPred_Primera,0),0),"-")</f>
        <v>-</v>
      </c>
      <c r="AB87" s="429" t="str">
        <f ca="1">IFERROR(VLOOKUP(AB$2,Rango_Admin_DailyPred,MATCH($F87,Rango_Admin_DailyPred_Primera,0),0),"-")</f>
        <v>-</v>
      </c>
      <c r="AC87" s="429" t="str">
        <f ca="1">IFERROR(VLOOKUP(AC$2,Rango_Admin_DailyPred,MATCH($F87,Rango_Admin_DailyPred_Primera,0),0),"-")</f>
        <v>-</v>
      </c>
      <c r="AD87" s="429" t="str">
        <f ca="1">IFERROR(VLOOKUP(AD$2,Rango_Admin_DailyPred,MATCH($F87,Rango_Admin_DailyPred_Primera,0),0),"-")</f>
        <v>-</v>
      </c>
      <c r="AE87" s="429" t="str">
        <f ca="1">IFERROR(VLOOKUP(AE$2,Rango_Admin_DailyPred,MATCH($F87,Rango_Admin_DailyPred_Primera,0),0),"-")</f>
        <v>-</v>
      </c>
      <c r="AF87" s="429" t="str">
        <f ca="1">IFERROR(VLOOKUP(AF$2,Rango_Admin_DailyPred,MATCH($F87,Rango_Admin_DailyPred_Primera,0),0),"-")</f>
        <v>-</v>
      </c>
      <c r="AG87" s="429" t="str">
        <f ca="1">IFERROR(VLOOKUP(AG$2,Rango_Admin_DailyPred,MATCH($F87,Rango_Admin_DailyPred_Primera,0),0),"-")</f>
        <v>-</v>
      </c>
      <c r="AH87" s="429" t="str">
        <f ca="1">IFERROR(VLOOKUP(AH$2,Rango_Admin_DailyPred,MATCH($F87,Rango_Admin_DailyPred_Primera,0),0),"-")</f>
        <v>-</v>
      </c>
      <c r="AI87" s="429" t="str">
        <f ca="1">IFERROR(VLOOKUP(AI$2,Rango_Admin_DailyPred,MATCH($F87,Rango_Admin_DailyPred_Primera,0),0),"-")</f>
        <v>-</v>
      </c>
      <c r="AJ87" s="429" t="str">
        <f ca="1">IFERROR(VLOOKUP(AJ$2,Rango_Admin_DailyPred,MATCH($F87,Rango_Admin_DailyPred_Primera,0),0),"-")</f>
        <v>-</v>
      </c>
      <c r="AK87" s="429" t="str">
        <f ca="1">IFERROR(VLOOKUP(AK$2,Rango_Admin_DailyPred,MATCH($F87,Rango_Admin_DailyPred_Primera,0),0),"-")</f>
        <v>-</v>
      </c>
      <c r="AL87" s="429" t="str">
        <f ca="1">IFERROR(VLOOKUP(AL$2,Rango_Admin_DailyPred,MATCH($F87,Rango_Admin_DailyPred_Primera,0),0),"-")</f>
        <v>-</v>
      </c>
      <c r="AM87" s="297"/>
      <c r="AN87" s="297"/>
      <c r="AO87" s="297"/>
    </row>
    <row r="88" spans="5:41">
      <c r="E88" s="19">
        <f t="shared" si="2"/>
        <v>261</v>
      </c>
      <c r="F88" s="448" t="str" cm="1">
        <f t="array" ref="F88">IFERROR(INDEX(Rango_Admin_DailyPred_Primera,1,E88),"-")</f>
        <v>-</v>
      </c>
      <c r="G88" s="429" t="str">
        <f ca="1">IFERROR(VLOOKUP(G$2,Rango_Admin_DailyPred,MATCH($F88,Rango_Admin_DailyPred_Primera,0),0),"-")</f>
        <v>-</v>
      </c>
      <c r="H88" s="429" t="str">
        <f ca="1">IFERROR(VLOOKUP(H$2,Rango_Admin_DailyPred,MATCH($F88,Rango_Admin_DailyPred_Primera,0),0),"-")</f>
        <v>-</v>
      </c>
      <c r="I88" s="429" t="str">
        <f ca="1">IFERROR(VLOOKUP(I$2,Rango_Admin_DailyPred,MATCH($F88,Rango_Admin_DailyPred_Primera,0),0),"-")</f>
        <v>-</v>
      </c>
      <c r="J88" s="429" t="str">
        <f ca="1">IFERROR(VLOOKUP(J$2,Rango_Admin_DailyPred,MATCH($F88,Rango_Admin_DailyPred_Primera,0),0),"-")</f>
        <v>-</v>
      </c>
      <c r="K88" s="429" t="str">
        <f ca="1">IFERROR(VLOOKUP(K$2,Rango_Admin_DailyPred,MATCH($F88,Rango_Admin_DailyPred_Primera,0),0),"-")</f>
        <v>-</v>
      </c>
      <c r="L88" s="429" t="str">
        <f ca="1">IFERROR(VLOOKUP(L$2,Rango_Admin_DailyPred,MATCH($F88,Rango_Admin_DailyPred_Primera,0),0),"-")</f>
        <v>-</v>
      </c>
      <c r="M88" s="429" t="str">
        <f ca="1">IFERROR(VLOOKUP(M$2,Rango_Admin_DailyPred,MATCH($F88,Rango_Admin_DailyPred_Primera,0),0),"-")</f>
        <v>-</v>
      </c>
      <c r="N88" s="429" t="str">
        <f ca="1">IFERROR(VLOOKUP(N$2,Rango_Admin_DailyPred,MATCH($F88,Rango_Admin_DailyPred_Primera,0),0),"-")</f>
        <v>-</v>
      </c>
      <c r="O88" s="429" t="str">
        <f ca="1">IFERROR(VLOOKUP(O$2,Rango_Admin_DailyPred,MATCH($F88,Rango_Admin_DailyPred_Primera,0),0),"-")</f>
        <v>-</v>
      </c>
      <c r="P88" s="429" t="str">
        <f ca="1">IFERROR(VLOOKUP(P$2,Rango_Admin_DailyPred,MATCH($F88,Rango_Admin_DailyPred_Primera,0),0),"-")</f>
        <v>-</v>
      </c>
      <c r="Q88" s="429" t="str">
        <f ca="1">IFERROR(VLOOKUP(Q$2,Rango_Admin_DailyPred,MATCH($F88,Rango_Admin_DailyPred_Primera,0),0),"-")</f>
        <v>-</v>
      </c>
      <c r="R88" s="429" t="str">
        <f ca="1">IFERROR(VLOOKUP(R$2,Rango_Admin_DailyPred,MATCH($F88,Rango_Admin_DailyPred_Primera,0),0),"-")</f>
        <v>-</v>
      </c>
      <c r="S88" s="429" t="str">
        <f ca="1">IFERROR(VLOOKUP(S$2,Rango_Admin_DailyPred,MATCH($F88,Rango_Admin_DailyPred_Primera,0),0),"-")</f>
        <v>-</v>
      </c>
      <c r="T88" s="429" t="str">
        <f ca="1">IFERROR(VLOOKUP(T$2,Rango_Admin_DailyPred,MATCH($F88,Rango_Admin_DailyPred_Primera,0),0),"-")</f>
        <v>-</v>
      </c>
      <c r="U88" s="429" t="str">
        <f ca="1">IFERROR(VLOOKUP(U$2,Rango_Admin_DailyPred,MATCH($F88,Rango_Admin_DailyPred_Primera,0),0),"-")</f>
        <v>-</v>
      </c>
      <c r="V88" s="429" t="str">
        <f ca="1">IFERROR(VLOOKUP(V$2,Rango_Admin_DailyPred,MATCH($F88,Rango_Admin_DailyPred_Primera,0),0),"-")</f>
        <v>-</v>
      </c>
      <c r="W88" s="429" t="str">
        <f ca="1">IFERROR(VLOOKUP(W$2,Rango_Admin_DailyPred,MATCH($F88,Rango_Admin_DailyPred_Primera,0),0),"-")</f>
        <v>-</v>
      </c>
      <c r="X88" s="429" t="str">
        <f ca="1">IFERROR(VLOOKUP(X$2,Rango_Admin_DailyPred,MATCH($F88,Rango_Admin_DailyPred_Primera,0),0),"-")</f>
        <v>-</v>
      </c>
      <c r="Y88" s="429" t="str">
        <f ca="1">IFERROR(VLOOKUP(Y$2,Rango_Admin_DailyPred,MATCH($F88,Rango_Admin_DailyPred_Primera,0),0),"-")</f>
        <v>-</v>
      </c>
      <c r="Z88" s="429" t="str">
        <f ca="1">IFERROR(VLOOKUP(Z$2,Rango_Admin_DailyPred,MATCH($F88,Rango_Admin_DailyPred_Primera,0),0),"-")</f>
        <v>-</v>
      </c>
      <c r="AA88" s="429" t="str">
        <f ca="1">IFERROR(VLOOKUP(AA$2,Rango_Admin_DailyPred,MATCH($F88,Rango_Admin_DailyPred_Primera,0),0),"-")</f>
        <v>-</v>
      </c>
      <c r="AB88" s="429" t="str">
        <f ca="1">IFERROR(VLOOKUP(AB$2,Rango_Admin_DailyPred,MATCH($F88,Rango_Admin_DailyPred_Primera,0),0),"-")</f>
        <v>-</v>
      </c>
      <c r="AC88" s="429" t="str">
        <f ca="1">IFERROR(VLOOKUP(AC$2,Rango_Admin_DailyPred,MATCH($F88,Rango_Admin_DailyPred_Primera,0),0),"-")</f>
        <v>-</v>
      </c>
      <c r="AD88" s="429" t="str">
        <f ca="1">IFERROR(VLOOKUP(AD$2,Rango_Admin_DailyPred,MATCH($F88,Rango_Admin_DailyPred_Primera,0),0),"-")</f>
        <v>-</v>
      </c>
      <c r="AE88" s="429" t="str">
        <f ca="1">IFERROR(VLOOKUP(AE$2,Rango_Admin_DailyPred,MATCH($F88,Rango_Admin_DailyPred_Primera,0),0),"-")</f>
        <v>-</v>
      </c>
      <c r="AF88" s="429" t="str">
        <f ca="1">IFERROR(VLOOKUP(AF$2,Rango_Admin_DailyPred,MATCH($F88,Rango_Admin_DailyPred_Primera,0),0),"-")</f>
        <v>-</v>
      </c>
      <c r="AG88" s="429" t="str">
        <f ca="1">IFERROR(VLOOKUP(AG$2,Rango_Admin_DailyPred,MATCH($F88,Rango_Admin_DailyPred_Primera,0),0),"-")</f>
        <v>-</v>
      </c>
      <c r="AH88" s="429" t="str">
        <f ca="1">IFERROR(VLOOKUP(AH$2,Rango_Admin_DailyPred,MATCH($F88,Rango_Admin_DailyPred_Primera,0),0),"-")</f>
        <v>-</v>
      </c>
      <c r="AI88" s="429" t="str">
        <f ca="1">IFERROR(VLOOKUP(AI$2,Rango_Admin_DailyPred,MATCH($F88,Rango_Admin_DailyPred_Primera,0),0),"-")</f>
        <v>-</v>
      </c>
      <c r="AJ88" s="429" t="str">
        <f ca="1">IFERROR(VLOOKUP(AJ$2,Rango_Admin_DailyPred,MATCH($F88,Rango_Admin_DailyPred_Primera,0),0),"-")</f>
        <v>-</v>
      </c>
      <c r="AK88" s="429" t="str">
        <f ca="1">IFERROR(VLOOKUP(AK$2,Rango_Admin_DailyPred,MATCH($F88,Rango_Admin_DailyPred_Primera,0),0),"-")</f>
        <v>-</v>
      </c>
      <c r="AL88" s="429" t="str">
        <f ca="1">IFERROR(VLOOKUP(AL$2,Rango_Admin_DailyPred,MATCH($F88,Rango_Admin_DailyPred_Primera,0),0),"-")</f>
        <v>-</v>
      </c>
      <c r="AM88" s="297"/>
      <c r="AN88" s="297"/>
      <c r="AO88" s="297"/>
    </row>
    <row r="89" spans="5:41">
      <c r="E89" s="19">
        <f t="shared" si="2"/>
        <v>264</v>
      </c>
      <c r="F89" s="448" t="str" cm="1">
        <f t="array" ref="F89">IFERROR(INDEX(Rango_Admin_DailyPred_Primera,1,E89),"-")</f>
        <v>-</v>
      </c>
      <c r="G89" s="429" t="str">
        <f ca="1">IFERROR(VLOOKUP(G$2,Rango_Admin_DailyPred,MATCH($F89,Rango_Admin_DailyPred_Primera,0),0),"-")</f>
        <v>-</v>
      </c>
      <c r="H89" s="429" t="str">
        <f ca="1">IFERROR(VLOOKUP(H$2,Rango_Admin_DailyPred,MATCH($F89,Rango_Admin_DailyPred_Primera,0),0),"-")</f>
        <v>-</v>
      </c>
      <c r="I89" s="429" t="str">
        <f ca="1">IFERROR(VLOOKUP(I$2,Rango_Admin_DailyPred,MATCH($F89,Rango_Admin_DailyPred_Primera,0),0),"-")</f>
        <v>-</v>
      </c>
      <c r="J89" s="429" t="str">
        <f ca="1">IFERROR(VLOOKUP(J$2,Rango_Admin_DailyPred,MATCH($F89,Rango_Admin_DailyPred_Primera,0),0),"-")</f>
        <v>-</v>
      </c>
      <c r="K89" s="429" t="str">
        <f ca="1">IFERROR(VLOOKUP(K$2,Rango_Admin_DailyPred,MATCH($F89,Rango_Admin_DailyPred_Primera,0),0),"-")</f>
        <v>-</v>
      </c>
      <c r="L89" s="429" t="str">
        <f ca="1">IFERROR(VLOOKUP(L$2,Rango_Admin_DailyPred,MATCH($F89,Rango_Admin_DailyPred_Primera,0),0),"-")</f>
        <v>-</v>
      </c>
      <c r="M89" s="429" t="str">
        <f ca="1">IFERROR(VLOOKUP(M$2,Rango_Admin_DailyPred,MATCH($F89,Rango_Admin_DailyPred_Primera,0),0),"-")</f>
        <v>-</v>
      </c>
      <c r="N89" s="429" t="str">
        <f ca="1">IFERROR(VLOOKUP(N$2,Rango_Admin_DailyPred,MATCH($F89,Rango_Admin_DailyPred_Primera,0),0),"-")</f>
        <v>-</v>
      </c>
      <c r="O89" s="429" t="str">
        <f ca="1">IFERROR(VLOOKUP(O$2,Rango_Admin_DailyPred,MATCH($F89,Rango_Admin_DailyPred_Primera,0),0),"-")</f>
        <v>-</v>
      </c>
      <c r="P89" s="429" t="str">
        <f ca="1">IFERROR(VLOOKUP(P$2,Rango_Admin_DailyPred,MATCH($F89,Rango_Admin_DailyPred_Primera,0),0),"-")</f>
        <v>-</v>
      </c>
      <c r="Q89" s="429" t="str">
        <f ca="1">IFERROR(VLOOKUP(Q$2,Rango_Admin_DailyPred,MATCH($F89,Rango_Admin_DailyPred_Primera,0),0),"-")</f>
        <v>-</v>
      </c>
      <c r="R89" s="429" t="str">
        <f ca="1">IFERROR(VLOOKUP(R$2,Rango_Admin_DailyPred,MATCH($F89,Rango_Admin_DailyPred_Primera,0),0),"-")</f>
        <v>-</v>
      </c>
      <c r="S89" s="429" t="str">
        <f ca="1">IFERROR(VLOOKUP(S$2,Rango_Admin_DailyPred,MATCH($F89,Rango_Admin_DailyPred_Primera,0),0),"-")</f>
        <v>-</v>
      </c>
      <c r="T89" s="429" t="str">
        <f ca="1">IFERROR(VLOOKUP(T$2,Rango_Admin_DailyPred,MATCH($F89,Rango_Admin_DailyPred_Primera,0),0),"-")</f>
        <v>-</v>
      </c>
      <c r="U89" s="429" t="str">
        <f ca="1">IFERROR(VLOOKUP(U$2,Rango_Admin_DailyPred,MATCH($F89,Rango_Admin_DailyPred_Primera,0),0),"-")</f>
        <v>-</v>
      </c>
      <c r="V89" s="429" t="str">
        <f ca="1">IFERROR(VLOOKUP(V$2,Rango_Admin_DailyPred,MATCH($F89,Rango_Admin_DailyPred_Primera,0),0),"-")</f>
        <v>-</v>
      </c>
      <c r="W89" s="429" t="str">
        <f ca="1">IFERROR(VLOOKUP(W$2,Rango_Admin_DailyPred,MATCH($F89,Rango_Admin_DailyPred_Primera,0),0),"-")</f>
        <v>-</v>
      </c>
      <c r="X89" s="429" t="str">
        <f ca="1">IFERROR(VLOOKUP(X$2,Rango_Admin_DailyPred,MATCH($F89,Rango_Admin_DailyPred_Primera,0),0),"-")</f>
        <v>-</v>
      </c>
      <c r="Y89" s="429" t="str">
        <f ca="1">IFERROR(VLOOKUP(Y$2,Rango_Admin_DailyPred,MATCH($F89,Rango_Admin_DailyPred_Primera,0),0),"-")</f>
        <v>-</v>
      </c>
      <c r="Z89" s="429" t="str">
        <f ca="1">IFERROR(VLOOKUP(Z$2,Rango_Admin_DailyPred,MATCH($F89,Rango_Admin_DailyPred_Primera,0),0),"-")</f>
        <v>-</v>
      </c>
      <c r="AA89" s="429" t="str">
        <f ca="1">IFERROR(VLOOKUP(AA$2,Rango_Admin_DailyPred,MATCH($F89,Rango_Admin_DailyPred_Primera,0),0),"-")</f>
        <v>-</v>
      </c>
      <c r="AB89" s="429" t="str">
        <f ca="1">IFERROR(VLOOKUP(AB$2,Rango_Admin_DailyPred,MATCH($F89,Rango_Admin_DailyPred_Primera,0),0),"-")</f>
        <v>-</v>
      </c>
      <c r="AC89" s="429" t="str">
        <f ca="1">IFERROR(VLOOKUP(AC$2,Rango_Admin_DailyPred,MATCH($F89,Rango_Admin_DailyPred_Primera,0),0),"-")</f>
        <v>-</v>
      </c>
      <c r="AD89" s="429" t="str">
        <f ca="1">IFERROR(VLOOKUP(AD$2,Rango_Admin_DailyPred,MATCH($F89,Rango_Admin_DailyPred_Primera,0),0),"-")</f>
        <v>-</v>
      </c>
      <c r="AE89" s="429" t="str">
        <f ca="1">IFERROR(VLOOKUP(AE$2,Rango_Admin_DailyPred,MATCH($F89,Rango_Admin_DailyPred_Primera,0),0),"-")</f>
        <v>-</v>
      </c>
      <c r="AF89" s="429" t="str">
        <f ca="1">IFERROR(VLOOKUP(AF$2,Rango_Admin_DailyPred,MATCH($F89,Rango_Admin_DailyPred_Primera,0),0),"-")</f>
        <v>-</v>
      </c>
      <c r="AG89" s="429" t="str">
        <f ca="1">IFERROR(VLOOKUP(AG$2,Rango_Admin_DailyPred,MATCH($F89,Rango_Admin_DailyPred_Primera,0),0),"-")</f>
        <v>-</v>
      </c>
      <c r="AH89" s="429" t="str">
        <f ca="1">IFERROR(VLOOKUP(AH$2,Rango_Admin_DailyPred,MATCH($F89,Rango_Admin_DailyPred_Primera,0),0),"-")</f>
        <v>-</v>
      </c>
      <c r="AI89" s="429" t="str">
        <f ca="1">IFERROR(VLOOKUP(AI$2,Rango_Admin_DailyPred,MATCH($F89,Rango_Admin_DailyPred_Primera,0),0),"-")</f>
        <v>-</v>
      </c>
      <c r="AJ89" s="429" t="str">
        <f ca="1">IFERROR(VLOOKUP(AJ$2,Rango_Admin_DailyPred,MATCH($F89,Rango_Admin_DailyPred_Primera,0),0),"-")</f>
        <v>-</v>
      </c>
      <c r="AK89" s="429" t="str">
        <f ca="1">IFERROR(VLOOKUP(AK$2,Rango_Admin_DailyPred,MATCH($F89,Rango_Admin_DailyPred_Primera,0),0),"-")</f>
        <v>-</v>
      </c>
      <c r="AL89" s="429" t="str">
        <f ca="1">IFERROR(VLOOKUP(AL$2,Rango_Admin_DailyPred,MATCH($F89,Rango_Admin_DailyPred_Primera,0),0),"-")</f>
        <v>-</v>
      </c>
      <c r="AM89" s="297"/>
      <c r="AN89" s="297"/>
      <c r="AO89" s="297"/>
    </row>
    <row r="90" spans="5:41">
      <c r="E90" s="19">
        <f t="shared" si="2"/>
        <v>267</v>
      </c>
      <c r="F90" s="448" t="str" cm="1">
        <f t="array" ref="F90">IFERROR(INDEX(Rango_Admin_DailyPred_Primera,1,E90),"-")</f>
        <v>-</v>
      </c>
      <c r="G90" s="429" t="str">
        <f ca="1">IFERROR(VLOOKUP(G$2,Rango_Admin_DailyPred,MATCH($F90,Rango_Admin_DailyPred_Primera,0),0),"-")</f>
        <v>-</v>
      </c>
      <c r="H90" s="429" t="str">
        <f ca="1">IFERROR(VLOOKUP(H$2,Rango_Admin_DailyPred,MATCH($F90,Rango_Admin_DailyPred_Primera,0),0),"-")</f>
        <v>-</v>
      </c>
      <c r="I90" s="429" t="str">
        <f ca="1">IFERROR(VLOOKUP(I$2,Rango_Admin_DailyPred,MATCH($F90,Rango_Admin_DailyPred_Primera,0),0),"-")</f>
        <v>-</v>
      </c>
      <c r="J90" s="429" t="str">
        <f ca="1">IFERROR(VLOOKUP(J$2,Rango_Admin_DailyPred,MATCH($F90,Rango_Admin_DailyPred_Primera,0),0),"-")</f>
        <v>-</v>
      </c>
      <c r="K90" s="429" t="str">
        <f ca="1">IFERROR(VLOOKUP(K$2,Rango_Admin_DailyPred,MATCH($F90,Rango_Admin_DailyPred_Primera,0),0),"-")</f>
        <v>-</v>
      </c>
      <c r="L90" s="429" t="str">
        <f ca="1">IFERROR(VLOOKUP(L$2,Rango_Admin_DailyPred,MATCH($F90,Rango_Admin_DailyPred_Primera,0),0),"-")</f>
        <v>-</v>
      </c>
      <c r="M90" s="429" t="str">
        <f ca="1">IFERROR(VLOOKUP(M$2,Rango_Admin_DailyPred,MATCH($F90,Rango_Admin_DailyPred_Primera,0),0),"-")</f>
        <v>-</v>
      </c>
      <c r="N90" s="429" t="str">
        <f ca="1">IFERROR(VLOOKUP(N$2,Rango_Admin_DailyPred,MATCH($F90,Rango_Admin_DailyPred_Primera,0),0),"-")</f>
        <v>-</v>
      </c>
      <c r="O90" s="429" t="str">
        <f ca="1">IFERROR(VLOOKUP(O$2,Rango_Admin_DailyPred,MATCH($F90,Rango_Admin_DailyPred_Primera,0),0),"-")</f>
        <v>-</v>
      </c>
      <c r="P90" s="429" t="str">
        <f ca="1">IFERROR(VLOOKUP(P$2,Rango_Admin_DailyPred,MATCH($F90,Rango_Admin_DailyPred_Primera,0),0),"-")</f>
        <v>-</v>
      </c>
      <c r="Q90" s="429" t="str">
        <f ca="1">IFERROR(VLOOKUP(Q$2,Rango_Admin_DailyPred,MATCH($F90,Rango_Admin_DailyPred_Primera,0),0),"-")</f>
        <v>-</v>
      </c>
      <c r="R90" s="429" t="str">
        <f ca="1">IFERROR(VLOOKUP(R$2,Rango_Admin_DailyPred,MATCH($F90,Rango_Admin_DailyPred_Primera,0),0),"-")</f>
        <v>-</v>
      </c>
      <c r="S90" s="429" t="str">
        <f ca="1">IFERROR(VLOOKUP(S$2,Rango_Admin_DailyPred,MATCH($F90,Rango_Admin_DailyPred_Primera,0),0),"-")</f>
        <v>-</v>
      </c>
      <c r="T90" s="429" t="str">
        <f ca="1">IFERROR(VLOOKUP(T$2,Rango_Admin_DailyPred,MATCH($F90,Rango_Admin_DailyPred_Primera,0),0),"-")</f>
        <v>-</v>
      </c>
      <c r="U90" s="429" t="str">
        <f ca="1">IFERROR(VLOOKUP(U$2,Rango_Admin_DailyPred,MATCH($F90,Rango_Admin_DailyPred_Primera,0),0),"-")</f>
        <v>-</v>
      </c>
      <c r="V90" s="429" t="str">
        <f ca="1">IFERROR(VLOOKUP(V$2,Rango_Admin_DailyPred,MATCH($F90,Rango_Admin_DailyPred_Primera,0),0),"-")</f>
        <v>-</v>
      </c>
      <c r="W90" s="429" t="str">
        <f ca="1">IFERROR(VLOOKUP(W$2,Rango_Admin_DailyPred,MATCH($F90,Rango_Admin_DailyPred_Primera,0),0),"-")</f>
        <v>-</v>
      </c>
      <c r="X90" s="429" t="str">
        <f ca="1">IFERROR(VLOOKUP(X$2,Rango_Admin_DailyPred,MATCH($F90,Rango_Admin_DailyPred_Primera,0),0),"-")</f>
        <v>-</v>
      </c>
      <c r="Y90" s="429" t="str">
        <f ca="1">IFERROR(VLOOKUP(Y$2,Rango_Admin_DailyPred,MATCH($F90,Rango_Admin_DailyPred_Primera,0),0),"-")</f>
        <v>-</v>
      </c>
      <c r="Z90" s="429" t="str">
        <f ca="1">IFERROR(VLOOKUP(Z$2,Rango_Admin_DailyPred,MATCH($F90,Rango_Admin_DailyPred_Primera,0),0),"-")</f>
        <v>-</v>
      </c>
      <c r="AA90" s="429" t="str">
        <f ca="1">IFERROR(VLOOKUP(AA$2,Rango_Admin_DailyPred,MATCH($F90,Rango_Admin_DailyPred_Primera,0),0),"-")</f>
        <v>-</v>
      </c>
      <c r="AB90" s="429" t="str">
        <f ca="1">IFERROR(VLOOKUP(AB$2,Rango_Admin_DailyPred,MATCH($F90,Rango_Admin_DailyPred_Primera,0),0),"-")</f>
        <v>-</v>
      </c>
      <c r="AC90" s="429" t="str">
        <f ca="1">IFERROR(VLOOKUP(AC$2,Rango_Admin_DailyPred,MATCH($F90,Rango_Admin_DailyPred_Primera,0),0),"-")</f>
        <v>-</v>
      </c>
      <c r="AD90" s="429" t="str">
        <f ca="1">IFERROR(VLOOKUP(AD$2,Rango_Admin_DailyPred,MATCH($F90,Rango_Admin_DailyPred_Primera,0),0),"-")</f>
        <v>-</v>
      </c>
      <c r="AE90" s="429" t="str">
        <f ca="1">IFERROR(VLOOKUP(AE$2,Rango_Admin_DailyPred,MATCH($F90,Rango_Admin_DailyPred_Primera,0),0),"-")</f>
        <v>-</v>
      </c>
      <c r="AF90" s="429" t="str">
        <f ca="1">IFERROR(VLOOKUP(AF$2,Rango_Admin_DailyPred,MATCH($F90,Rango_Admin_DailyPred_Primera,0),0),"-")</f>
        <v>-</v>
      </c>
      <c r="AG90" s="429" t="str">
        <f ca="1">IFERROR(VLOOKUP(AG$2,Rango_Admin_DailyPred,MATCH($F90,Rango_Admin_DailyPred_Primera,0),0),"-")</f>
        <v>-</v>
      </c>
      <c r="AH90" s="429" t="str">
        <f ca="1">IFERROR(VLOOKUP(AH$2,Rango_Admin_DailyPred,MATCH($F90,Rango_Admin_DailyPred_Primera,0),0),"-")</f>
        <v>-</v>
      </c>
      <c r="AI90" s="429" t="str">
        <f ca="1">IFERROR(VLOOKUP(AI$2,Rango_Admin_DailyPred,MATCH($F90,Rango_Admin_DailyPred_Primera,0),0),"-")</f>
        <v>-</v>
      </c>
      <c r="AJ90" s="429" t="str">
        <f ca="1">IFERROR(VLOOKUP(AJ$2,Rango_Admin_DailyPred,MATCH($F90,Rango_Admin_DailyPred_Primera,0),0),"-")</f>
        <v>-</v>
      </c>
      <c r="AK90" s="429" t="str">
        <f ca="1">IFERROR(VLOOKUP(AK$2,Rango_Admin_DailyPred,MATCH($F90,Rango_Admin_DailyPred_Primera,0),0),"-")</f>
        <v>-</v>
      </c>
      <c r="AL90" s="429" t="str">
        <f ca="1">IFERROR(VLOOKUP(AL$2,Rango_Admin_DailyPred,MATCH($F90,Rango_Admin_DailyPred_Primera,0),0),"-")</f>
        <v>-</v>
      </c>
      <c r="AM90" s="297"/>
      <c r="AN90" s="297"/>
      <c r="AO90" s="297"/>
    </row>
    <row r="91" spans="5:41">
      <c r="E91" s="19">
        <f t="shared" si="2"/>
        <v>270</v>
      </c>
      <c r="F91" s="448" t="str" cm="1">
        <f t="array" ref="F91">IFERROR(INDEX(Rango_Admin_DailyPred_Primera,1,E91),"-")</f>
        <v>-</v>
      </c>
      <c r="G91" s="429" t="str">
        <f ca="1">IFERROR(VLOOKUP(G$2,Rango_Admin_DailyPred,MATCH($F91,Rango_Admin_DailyPred_Primera,0),0),"-")</f>
        <v>-</v>
      </c>
      <c r="H91" s="429" t="str">
        <f ca="1">IFERROR(VLOOKUP(H$2,Rango_Admin_DailyPred,MATCH($F91,Rango_Admin_DailyPred_Primera,0),0),"-")</f>
        <v>-</v>
      </c>
      <c r="I91" s="429" t="str">
        <f ca="1">IFERROR(VLOOKUP(I$2,Rango_Admin_DailyPred,MATCH($F91,Rango_Admin_DailyPred_Primera,0),0),"-")</f>
        <v>-</v>
      </c>
      <c r="J91" s="429" t="str">
        <f ca="1">IFERROR(VLOOKUP(J$2,Rango_Admin_DailyPred,MATCH($F91,Rango_Admin_DailyPred_Primera,0),0),"-")</f>
        <v>-</v>
      </c>
      <c r="K91" s="429" t="str">
        <f ca="1">IFERROR(VLOOKUP(K$2,Rango_Admin_DailyPred,MATCH($F91,Rango_Admin_DailyPred_Primera,0),0),"-")</f>
        <v>-</v>
      </c>
      <c r="L91" s="429" t="str">
        <f ca="1">IFERROR(VLOOKUP(L$2,Rango_Admin_DailyPred,MATCH($F91,Rango_Admin_DailyPred_Primera,0),0),"-")</f>
        <v>-</v>
      </c>
      <c r="M91" s="429" t="str">
        <f ca="1">IFERROR(VLOOKUP(M$2,Rango_Admin_DailyPred,MATCH($F91,Rango_Admin_DailyPred_Primera,0),0),"-")</f>
        <v>-</v>
      </c>
      <c r="N91" s="429" t="str">
        <f ca="1">IFERROR(VLOOKUP(N$2,Rango_Admin_DailyPred,MATCH($F91,Rango_Admin_DailyPred_Primera,0),0),"-")</f>
        <v>-</v>
      </c>
      <c r="O91" s="429" t="str">
        <f ca="1">IFERROR(VLOOKUP(O$2,Rango_Admin_DailyPred,MATCH($F91,Rango_Admin_DailyPred_Primera,0),0),"-")</f>
        <v>-</v>
      </c>
      <c r="P91" s="429" t="str">
        <f ca="1">IFERROR(VLOOKUP(P$2,Rango_Admin_DailyPred,MATCH($F91,Rango_Admin_DailyPred_Primera,0),0),"-")</f>
        <v>-</v>
      </c>
      <c r="Q91" s="429" t="str">
        <f ca="1">IFERROR(VLOOKUP(Q$2,Rango_Admin_DailyPred,MATCH($F91,Rango_Admin_DailyPred_Primera,0),0),"-")</f>
        <v>-</v>
      </c>
      <c r="R91" s="429" t="str">
        <f ca="1">IFERROR(VLOOKUP(R$2,Rango_Admin_DailyPred,MATCH($F91,Rango_Admin_DailyPred_Primera,0),0),"-")</f>
        <v>-</v>
      </c>
      <c r="S91" s="429" t="str">
        <f ca="1">IFERROR(VLOOKUP(S$2,Rango_Admin_DailyPred,MATCH($F91,Rango_Admin_DailyPred_Primera,0),0),"-")</f>
        <v>-</v>
      </c>
      <c r="T91" s="429" t="str">
        <f ca="1">IFERROR(VLOOKUP(T$2,Rango_Admin_DailyPred,MATCH($F91,Rango_Admin_DailyPred_Primera,0),0),"-")</f>
        <v>-</v>
      </c>
      <c r="U91" s="429" t="str">
        <f ca="1">IFERROR(VLOOKUP(U$2,Rango_Admin_DailyPred,MATCH($F91,Rango_Admin_DailyPred_Primera,0),0),"-")</f>
        <v>-</v>
      </c>
      <c r="V91" s="429" t="str">
        <f ca="1">IFERROR(VLOOKUP(V$2,Rango_Admin_DailyPred,MATCH($F91,Rango_Admin_DailyPred_Primera,0),0),"-")</f>
        <v>-</v>
      </c>
      <c r="W91" s="429" t="str">
        <f ca="1">IFERROR(VLOOKUP(W$2,Rango_Admin_DailyPred,MATCH($F91,Rango_Admin_DailyPred_Primera,0),0),"-")</f>
        <v>-</v>
      </c>
      <c r="X91" s="429" t="str">
        <f ca="1">IFERROR(VLOOKUP(X$2,Rango_Admin_DailyPred,MATCH($F91,Rango_Admin_DailyPred_Primera,0),0),"-")</f>
        <v>-</v>
      </c>
      <c r="Y91" s="429" t="str">
        <f ca="1">IFERROR(VLOOKUP(Y$2,Rango_Admin_DailyPred,MATCH($F91,Rango_Admin_DailyPred_Primera,0),0),"-")</f>
        <v>-</v>
      </c>
      <c r="Z91" s="429" t="str">
        <f ca="1">IFERROR(VLOOKUP(Z$2,Rango_Admin_DailyPred,MATCH($F91,Rango_Admin_DailyPred_Primera,0),0),"-")</f>
        <v>-</v>
      </c>
      <c r="AA91" s="429" t="str">
        <f ca="1">IFERROR(VLOOKUP(AA$2,Rango_Admin_DailyPred,MATCH($F91,Rango_Admin_DailyPred_Primera,0),0),"-")</f>
        <v>-</v>
      </c>
      <c r="AB91" s="429" t="str">
        <f ca="1">IFERROR(VLOOKUP(AB$2,Rango_Admin_DailyPred,MATCH($F91,Rango_Admin_DailyPred_Primera,0),0),"-")</f>
        <v>-</v>
      </c>
      <c r="AC91" s="429" t="str">
        <f ca="1">IFERROR(VLOOKUP(AC$2,Rango_Admin_DailyPred,MATCH($F91,Rango_Admin_DailyPred_Primera,0),0),"-")</f>
        <v>-</v>
      </c>
      <c r="AD91" s="429" t="str">
        <f ca="1">IFERROR(VLOOKUP(AD$2,Rango_Admin_DailyPred,MATCH($F91,Rango_Admin_DailyPred_Primera,0),0),"-")</f>
        <v>-</v>
      </c>
      <c r="AE91" s="429" t="str">
        <f ca="1">IFERROR(VLOOKUP(AE$2,Rango_Admin_DailyPred,MATCH($F91,Rango_Admin_DailyPred_Primera,0),0),"-")</f>
        <v>-</v>
      </c>
      <c r="AF91" s="429" t="str">
        <f ca="1">IFERROR(VLOOKUP(AF$2,Rango_Admin_DailyPred,MATCH($F91,Rango_Admin_DailyPred_Primera,0),0),"-")</f>
        <v>-</v>
      </c>
      <c r="AG91" s="429" t="str">
        <f ca="1">IFERROR(VLOOKUP(AG$2,Rango_Admin_DailyPred,MATCH($F91,Rango_Admin_DailyPred_Primera,0),0),"-")</f>
        <v>-</v>
      </c>
      <c r="AH91" s="429" t="str">
        <f ca="1">IFERROR(VLOOKUP(AH$2,Rango_Admin_DailyPred,MATCH($F91,Rango_Admin_DailyPred_Primera,0),0),"-")</f>
        <v>-</v>
      </c>
      <c r="AI91" s="429" t="str">
        <f ca="1">IFERROR(VLOOKUP(AI$2,Rango_Admin_DailyPred,MATCH($F91,Rango_Admin_DailyPred_Primera,0),0),"-")</f>
        <v>-</v>
      </c>
      <c r="AJ91" s="429" t="str">
        <f ca="1">IFERROR(VLOOKUP(AJ$2,Rango_Admin_DailyPred,MATCH($F91,Rango_Admin_DailyPred_Primera,0),0),"-")</f>
        <v>-</v>
      </c>
      <c r="AK91" s="429" t="str">
        <f ca="1">IFERROR(VLOOKUP(AK$2,Rango_Admin_DailyPred,MATCH($F91,Rango_Admin_DailyPred_Primera,0),0),"-")</f>
        <v>-</v>
      </c>
      <c r="AL91" s="429" t="str">
        <f ca="1">IFERROR(VLOOKUP(AL$2,Rango_Admin_DailyPred,MATCH($F91,Rango_Admin_DailyPred_Primera,0),0),"-")</f>
        <v>-</v>
      </c>
      <c r="AM91" s="297"/>
      <c r="AN91" s="297"/>
      <c r="AO91" s="297"/>
    </row>
    <row r="92" spans="5:41">
      <c r="E92" s="19">
        <f t="shared" si="2"/>
        <v>273</v>
      </c>
      <c r="F92" s="448" t="str" cm="1">
        <f t="array" ref="F92">IFERROR(INDEX(Rango_Admin_DailyPred_Primera,1,E92),"-")</f>
        <v>-</v>
      </c>
      <c r="G92" s="429" t="str">
        <f ca="1">IFERROR(VLOOKUP(G$2,Rango_Admin_DailyPred,MATCH($F92,Rango_Admin_DailyPred_Primera,0),0),"-")</f>
        <v>-</v>
      </c>
      <c r="H92" s="429" t="str">
        <f ca="1">IFERROR(VLOOKUP(H$2,Rango_Admin_DailyPred,MATCH($F92,Rango_Admin_DailyPred_Primera,0),0),"-")</f>
        <v>-</v>
      </c>
      <c r="I92" s="429" t="str">
        <f ca="1">IFERROR(VLOOKUP(I$2,Rango_Admin_DailyPred,MATCH($F92,Rango_Admin_DailyPred_Primera,0),0),"-")</f>
        <v>-</v>
      </c>
      <c r="J92" s="429" t="str">
        <f ca="1">IFERROR(VLOOKUP(J$2,Rango_Admin_DailyPred,MATCH($F92,Rango_Admin_DailyPred_Primera,0),0),"-")</f>
        <v>-</v>
      </c>
      <c r="K92" s="429" t="str">
        <f ca="1">IFERROR(VLOOKUP(K$2,Rango_Admin_DailyPred,MATCH($F92,Rango_Admin_DailyPred_Primera,0),0),"-")</f>
        <v>-</v>
      </c>
      <c r="L92" s="429" t="str">
        <f ca="1">IFERROR(VLOOKUP(L$2,Rango_Admin_DailyPred,MATCH($F92,Rango_Admin_DailyPred_Primera,0),0),"-")</f>
        <v>-</v>
      </c>
      <c r="M92" s="429" t="str">
        <f ca="1">IFERROR(VLOOKUP(M$2,Rango_Admin_DailyPred,MATCH($F92,Rango_Admin_DailyPred_Primera,0),0),"-")</f>
        <v>-</v>
      </c>
      <c r="N92" s="429" t="str">
        <f ca="1">IFERROR(VLOOKUP(N$2,Rango_Admin_DailyPred,MATCH($F92,Rango_Admin_DailyPred_Primera,0),0),"-")</f>
        <v>-</v>
      </c>
      <c r="O92" s="429" t="str">
        <f ca="1">IFERROR(VLOOKUP(O$2,Rango_Admin_DailyPred,MATCH($F92,Rango_Admin_DailyPred_Primera,0),0),"-")</f>
        <v>-</v>
      </c>
      <c r="P92" s="429" t="str">
        <f ca="1">IFERROR(VLOOKUP(P$2,Rango_Admin_DailyPred,MATCH($F92,Rango_Admin_DailyPred_Primera,0),0),"-")</f>
        <v>-</v>
      </c>
      <c r="Q92" s="429" t="str">
        <f ca="1">IFERROR(VLOOKUP(Q$2,Rango_Admin_DailyPred,MATCH($F92,Rango_Admin_DailyPred_Primera,0),0),"-")</f>
        <v>-</v>
      </c>
      <c r="R92" s="429" t="str">
        <f ca="1">IFERROR(VLOOKUP(R$2,Rango_Admin_DailyPred,MATCH($F92,Rango_Admin_DailyPred_Primera,0),0),"-")</f>
        <v>-</v>
      </c>
      <c r="S92" s="429" t="str">
        <f ca="1">IFERROR(VLOOKUP(S$2,Rango_Admin_DailyPred,MATCH($F92,Rango_Admin_DailyPred_Primera,0),0),"-")</f>
        <v>-</v>
      </c>
      <c r="T92" s="429" t="str">
        <f ca="1">IFERROR(VLOOKUP(T$2,Rango_Admin_DailyPred,MATCH($F92,Rango_Admin_DailyPred_Primera,0),0),"-")</f>
        <v>-</v>
      </c>
      <c r="U92" s="429" t="str">
        <f ca="1">IFERROR(VLOOKUP(U$2,Rango_Admin_DailyPred,MATCH($F92,Rango_Admin_DailyPred_Primera,0),0),"-")</f>
        <v>-</v>
      </c>
      <c r="V92" s="429" t="str">
        <f ca="1">IFERROR(VLOOKUP(V$2,Rango_Admin_DailyPred,MATCH($F92,Rango_Admin_DailyPred_Primera,0),0),"-")</f>
        <v>-</v>
      </c>
      <c r="W92" s="429" t="str">
        <f ca="1">IFERROR(VLOOKUP(W$2,Rango_Admin_DailyPred,MATCH($F92,Rango_Admin_DailyPred_Primera,0),0),"-")</f>
        <v>-</v>
      </c>
      <c r="X92" s="429" t="str">
        <f ca="1">IFERROR(VLOOKUP(X$2,Rango_Admin_DailyPred,MATCH($F92,Rango_Admin_DailyPred_Primera,0),0),"-")</f>
        <v>-</v>
      </c>
      <c r="Y92" s="429" t="str">
        <f ca="1">IFERROR(VLOOKUP(Y$2,Rango_Admin_DailyPred,MATCH($F92,Rango_Admin_DailyPred_Primera,0),0),"-")</f>
        <v>-</v>
      </c>
      <c r="Z92" s="429" t="str">
        <f ca="1">IFERROR(VLOOKUP(Z$2,Rango_Admin_DailyPred,MATCH($F92,Rango_Admin_DailyPred_Primera,0),0),"-")</f>
        <v>-</v>
      </c>
      <c r="AA92" s="429" t="str">
        <f ca="1">IFERROR(VLOOKUP(AA$2,Rango_Admin_DailyPred,MATCH($F92,Rango_Admin_DailyPred_Primera,0),0),"-")</f>
        <v>-</v>
      </c>
      <c r="AB92" s="429" t="str">
        <f ca="1">IFERROR(VLOOKUP(AB$2,Rango_Admin_DailyPred,MATCH($F92,Rango_Admin_DailyPred_Primera,0),0),"-")</f>
        <v>-</v>
      </c>
      <c r="AC92" s="429" t="str">
        <f ca="1">IFERROR(VLOOKUP(AC$2,Rango_Admin_DailyPred,MATCH($F92,Rango_Admin_DailyPred_Primera,0),0),"-")</f>
        <v>-</v>
      </c>
      <c r="AD92" s="429" t="str">
        <f ca="1">IFERROR(VLOOKUP(AD$2,Rango_Admin_DailyPred,MATCH($F92,Rango_Admin_DailyPred_Primera,0),0),"-")</f>
        <v>-</v>
      </c>
      <c r="AE92" s="429" t="str">
        <f ca="1">IFERROR(VLOOKUP(AE$2,Rango_Admin_DailyPred,MATCH($F92,Rango_Admin_DailyPred_Primera,0),0),"-")</f>
        <v>-</v>
      </c>
      <c r="AF92" s="429" t="str">
        <f ca="1">IFERROR(VLOOKUP(AF$2,Rango_Admin_DailyPred,MATCH($F92,Rango_Admin_DailyPred_Primera,0),0),"-")</f>
        <v>-</v>
      </c>
      <c r="AG92" s="429" t="str">
        <f ca="1">IFERROR(VLOOKUP(AG$2,Rango_Admin_DailyPred,MATCH($F92,Rango_Admin_DailyPred_Primera,0),0),"-")</f>
        <v>-</v>
      </c>
      <c r="AH92" s="429" t="str">
        <f ca="1">IFERROR(VLOOKUP(AH$2,Rango_Admin_DailyPred,MATCH($F92,Rango_Admin_DailyPred_Primera,0),0),"-")</f>
        <v>-</v>
      </c>
      <c r="AI92" s="429" t="str">
        <f ca="1">IFERROR(VLOOKUP(AI$2,Rango_Admin_DailyPred,MATCH($F92,Rango_Admin_DailyPred_Primera,0),0),"-")</f>
        <v>-</v>
      </c>
      <c r="AJ92" s="429" t="str">
        <f ca="1">IFERROR(VLOOKUP(AJ$2,Rango_Admin_DailyPred,MATCH($F92,Rango_Admin_DailyPred_Primera,0),0),"-")</f>
        <v>-</v>
      </c>
      <c r="AK92" s="429" t="str">
        <f ca="1">IFERROR(VLOOKUP(AK$2,Rango_Admin_DailyPred,MATCH($F92,Rango_Admin_DailyPred_Primera,0),0),"-")</f>
        <v>-</v>
      </c>
      <c r="AL92" s="429" t="str">
        <f ca="1">IFERROR(VLOOKUP(AL$2,Rango_Admin_DailyPred,MATCH($F92,Rango_Admin_DailyPred_Primera,0),0),"-")</f>
        <v>-</v>
      </c>
      <c r="AM92" s="297"/>
      <c r="AN92" s="297"/>
      <c r="AO92" s="297"/>
    </row>
    <row r="93" spans="5:41">
      <c r="E93" s="19">
        <f t="shared" si="2"/>
        <v>276</v>
      </c>
      <c r="F93" s="448" t="str" cm="1">
        <f t="array" ref="F93">IFERROR(INDEX(Rango_Admin_DailyPred_Primera,1,E93),"-")</f>
        <v>-</v>
      </c>
      <c r="G93" s="429" t="str">
        <f ca="1">IFERROR(VLOOKUP(G$2,Rango_Admin_DailyPred,MATCH($F93,Rango_Admin_DailyPred_Primera,0),0),"-")</f>
        <v>-</v>
      </c>
      <c r="H93" s="429" t="str">
        <f ca="1">IFERROR(VLOOKUP(H$2,Rango_Admin_DailyPred,MATCH($F93,Rango_Admin_DailyPred_Primera,0),0),"-")</f>
        <v>-</v>
      </c>
      <c r="I93" s="429" t="str">
        <f ca="1">IFERROR(VLOOKUP(I$2,Rango_Admin_DailyPred,MATCH($F93,Rango_Admin_DailyPred_Primera,0),0),"-")</f>
        <v>-</v>
      </c>
      <c r="J93" s="429" t="str">
        <f ca="1">IFERROR(VLOOKUP(J$2,Rango_Admin_DailyPred,MATCH($F93,Rango_Admin_DailyPred_Primera,0),0),"-")</f>
        <v>-</v>
      </c>
      <c r="K93" s="429" t="str">
        <f ca="1">IFERROR(VLOOKUP(K$2,Rango_Admin_DailyPred,MATCH($F93,Rango_Admin_DailyPred_Primera,0),0),"-")</f>
        <v>-</v>
      </c>
      <c r="L93" s="429" t="str">
        <f ca="1">IFERROR(VLOOKUP(L$2,Rango_Admin_DailyPred,MATCH($F93,Rango_Admin_DailyPred_Primera,0),0),"-")</f>
        <v>-</v>
      </c>
      <c r="M93" s="429" t="str">
        <f ca="1">IFERROR(VLOOKUP(M$2,Rango_Admin_DailyPred,MATCH($F93,Rango_Admin_DailyPred_Primera,0),0),"-")</f>
        <v>-</v>
      </c>
      <c r="N93" s="429" t="str">
        <f ca="1">IFERROR(VLOOKUP(N$2,Rango_Admin_DailyPred,MATCH($F93,Rango_Admin_DailyPred_Primera,0),0),"-")</f>
        <v>-</v>
      </c>
      <c r="O93" s="429" t="str">
        <f ca="1">IFERROR(VLOOKUP(O$2,Rango_Admin_DailyPred,MATCH($F93,Rango_Admin_DailyPred_Primera,0),0),"-")</f>
        <v>-</v>
      </c>
      <c r="P93" s="429" t="str">
        <f ca="1">IFERROR(VLOOKUP(P$2,Rango_Admin_DailyPred,MATCH($F93,Rango_Admin_DailyPred_Primera,0),0),"-")</f>
        <v>-</v>
      </c>
      <c r="Q93" s="429" t="str">
        <f ca="1">IFERROR(VLOOKUP(Q$2,Rango_Admin_DailyPred,MATCH($F93,Rango_Admin_DailyPred_Primera,0),0),"-")</f>
        <v>-</v>
      </c>
      <c r="R93" s="429" t="str">
        <f ca="1">IFERROR(VLOOKUP(R$2,Rango_Admin_DailyPred,MATCH($F93,Rango_Admin_DailyPred_Primera,0),0),"-")</f>
        <v>-</v>
      </c>
      <c r="S93" s="429" t="str">
        <f ca="1">IFERROR(VLOOKUP(S$2,Rango_Admin_DailyPred,MATCH($F93,Rango_Admin_DailyPred_Primera,0),0),"-")</f>
        <v>-</v>
      </c>
      <c r="T93" s="429" t="str">
        <f ca="1">IFERROR(VLOOKUP(T$2,Rango_Admin_DailyPred,MATCH($F93,Rango_Admin_DailyPred_Primera,0),0),"-")</f>
        <v>-</v>
      </c>
      <c r="U93" s="429" t="str">
        <f ca="1">IFERROR(VLOOKUP(U$2,Rango_Admin_DailyPred,MATCH($F93,Rango_Admin_DailyPred_Primera,0),0),"-")</f>
        <v>-</v>
      </c>
      <c r="V93" s="429" t="str">
        <f ca="1">IFERROR(VLOOKUP(V$2,Rango_Admin_DailyPred,MATCH($F93,Rango_Admin_DailyPred_Primera,0),0),"-")</f>
        <v>-</v>
      </c>
      <c r="W93" s="429" t="str">
        <f ca="1">IFERROR(VLOOKUP(W$2,Rango_Admin_DailyPred,MATCH($F93,Rango_Admin_DailyPred_Primera,0),0),"-")</f>
        <v>-</v>
      </c>
      <c r="X93" s="429" t="str">
        <f ca="1">IFERROR(VLOOKUP(X$2,Rango_Admin_DailyPred,MATCH($F93,Rango_Admin_DailyPred_Primera,0),0),"-")</f>
        <v>-</v>
      </c>
      <c r="Y93" s="429" t="str">
        <f ca="1">IFERROR(VLOOKUP(Y$2,Rango_Admin_DailyPred,MATCH($F93,Rango_Admin_DailyPred_Primera,0),0),"-")</f>
        <v>-</v>
      </c>
      <c r="Z93" s="429" t="str">
        <f ca="1">IFERROR(VLOOKUP(Z$2,Rango_Admin_DailyPred,MATCH($F93,Rango_Admin_DailyPred_Primera,0),0),"-")</f>
        <v>-</v>
      </c>
      <c r="AA93" s="429" t="str">
        <f ca="1">IFERROR(VLOOKUP(AA$2,Rango_Admin_DailyPred,MATCH($F93,Rango_Admin_DailyPred_Primera,0),0),"-")</f>
        <v>-</v>
      </c>
      <c r="AB93" s="429" t="str">
        <f ca="1">IFERROR(VLOOKUP(AB$2,Rango_Admin_DailyPred,MATCH($F93,Rango_Admin_DailyPred_Primera,0),0),"-")</f>
        <v>-</v>
      </c>
      <c r="AC93" s="429" t="str">
        <f ca="1">IFERROR(VLOOKUP(AC$2,Rango_Admin_DailyPred,MATCH($F93,Rango_Admin_DailyPred_Primera,0),0),"-")</f>
        <v>-</v>
      </c>
      <c r="AD93" s="429" t="str">
        <f ca="1">IFERROR(VLOOKUP(AD$2,Rango_Admin_DailyPred,MATCH($F93,Rango_Admin_DailyPred_Primera,0),0),"-")</f>
        <v>-</v>
      </c>
      <c r="AE93" s="429" t="str">
        <f ca="1">IFERROR(VLOOKUP(AE$2,Rango_Admin_DailyPred,MATCH($F93,Rango_Admin_DailyPred_Primera,0),0),"-")</f>
        <v>-</v>
      </c>
      <c r="AF93" s="429" t="str">
        <f ca="1">IFERROR(VLOOKUP(AF$2,Rango_Admin_DailyPred,MATCH($F93,Rango_Admin_DailyPred_Primera,0),0),"-")</f>
        <v>-</v>
      </c>
      <c r="AG93" s="429" t="str">
        <f ca="1">IFERROR(VLOOKUP(AG$2,Rango_Admin_DailyPred,MATCH($F93,Rango_Admin_DailyPred_Primera,0),0),"-")</f>
        <v>-</v>
      </c>
      <c r="AH93" s="429" t="str">
        <f ca="1">IFERROR(VLOOKUP(AH$2,Rango_Admin_DailyPred,MATCH($F93,Rango_Admin_DailyPred_Primera,0),0),"-")</f>
        <v>-</v>
      </c>
      <c r="AI93" s="429" t="str">
        <f ca="1">IFERROR(VLOOKUP(AI$2,Rango_Admin_DailyPred,MATCH($F93,Rango_Admin_DailyPred_Primera,0),0),"-")</f>
        <v>-</v>
      </c>
      <c r="AJ93" s="429" t="str">
        <f ca="1">IFERROR(VLOOKUP(AJ$2,Rango_Admin_DailyPred,MATCH($F93,Rango_Admin_DailyPred_Primera,0),0),"-")</f>
        <v>-</v>
      </c>
      <c r="AK93" s="429" t="str">
        <f ca="1">IFERROR(VLOOKUP(AK$2,Rango_Admin_DailyPred,MATCH($F93,Rango_Admin_DailyPred_Primera,0),0),"-")</f>
        <v>-</v>
      </c>
      <c r="AL93" s="429" t="str">
        <f ca="1">IFERROR(VLOOKUP(AL$2,Rango_Admin_DailyPred,MATCH($F93,Rango_Admin_DailyPred_Primera,0),0),"-")</f>
        <v>-</v>
      </c>
      <c r="AM93" s="297"/>
      <c r="AN93" s="297"/>
      <c r="AO93" s="297"/>
    </row>
    <row r="94" spans="5:41">
      <c r="E94" s="19">
        <f t="shared" si="2"/>
        <v>279</v>
      </c>
      <c r="F94" s="448" t="str" cm="1">
        <f t="array" ref="F94">IFERROR(INDEX(Rango_Admin_DailyPred_Primera,1,E94),"-")</f>
        <v>-</v>
      </c>
      <c r="G94" s="429" t="str">
        <f ca="1">IFERROR(VLOOKUP(G$2,Rango_Admin_DailyPred,MATCH($F94,Rango_Admin_DailyPred_Primera,0),0),"-")</f>
        <v>-</v>
      </c>
      <c r="H94" s="429" t="str">
        <f ca="1">IFERROR(VLOOKUP(H$2,Rango_Admin_DailyPred,MATCH($F94,Rango_Admin_DailyPred_Primera,0),0),"-")</f>
        <v>-</v>
      </c>
      <c r="I94" s="429" t="str">
        <f ca="1">IFERROR(VLOOKUP(I$2,Rango_Admin_DailyPred,MATCH($F94,Rango_Admin_DailyPred_Primera,0),0),"-")</f>
        <v>-</v>
      </c>
      <c r="J94" s="429" t="str">
        <f ca="1">IFERROR(VLOOKUP(J$2,Rango_Admin_DailyPred,MATCH($F94,Rango_Admin_DailyPred_Primera,0),0),"-")</f>
        <v>-</v>
      </c>
      <c r="K94" s="429" t="str">
        <f ca="1">IFERROR(VLOOKUP(K$2,Rango_Admin_DailyPred,MATCH($F94,Rango_Admin_DailyPred_Primera,0),0),"-")</f>
        <v>-</v>
      </c>
      <c r="L94" s="429" t="str">
        <f ca="1">IFERROR(VLOOKUP(L$2,Rango_Admin_DailyPred,MATCH($F94,Rango_Admin_DailyPred_Primera,0),0),"-")</f>
        <v>-</v>
      </c>
      <c r="M94" s="429" t="str">
        <f ca="1">IFERROR(VLOOKUP(M$2,Rango_Admin_DailyPred,MATCH($F94,Rango_Admin_DailyPred_Primera,0),0),"-")</f>
        <v>-</v>
      </c>
      <c r="N94" s="429" t="str">
        <f ca="1">IFERROR(VLOOKUP(N$2,Rango_Admin_DailyPred,MATCH($F94,Rango_Admin_DailyPred_Primera,0),0),"-")</f>
        <v>-</v>
      </c>
      <c r="O94" s="429" t="str">
        <f ca="1">IFERROR(VLOOKUP(O$2,Rango_Admin_DailyPred,MATCH($F94,Rango_Admin_DailyPred_Primera,0),0),"-")</f>
        <v>-</v>
      </c>
      <c r="P94" s="429" t="str">
        <f ca="1">IFERROR(VLOOKUP(P$2,Rango_Admin_DailyPred,MATCH($F94,Rango_Admin_DailyPred_Primera,0),0),"-")</f>
        <v>-</v>
      </c>
      <c r="Q94" s="429" t="str">
        <f ca="1">IFERROR(VLOOKUP(Q$2,Rango_Admin_DailyPred,MATCH($F94,Rango_Admin_DailyPred_Primera,0),0),"-")</f>
        <v>-</v>
      </c>
      <c r="R94" s="429" t="str">
        <f ca="1">IFERROR(VLOOKUP(R$2,Rango_Admin_DailyPred,MATCH($F94,Rango_Admin_DailyPred_Primera,0),0),"-")</f>
        <v>-</v>
      </c>
      <c r="S94" s="429" t="str">
        <f ca="1">IFERROR(VLOOKUP(S$2,Rango_Admin_DailyPred,MATCH($F94,Rango_Admin_DailyPred_Primera,0),0),"-")</f>
        <v>-</v>
      </c>
      <c r="T94" s="429" t="str">
        <f ca="1">IFERROR(VLOOKUP(T$2,Rango_Admin_DailyPred,MATCH($F94,Rango_Admin_DailyPred_Primera,0),0),"-")</f>
        <v>-</v>
      </c>
      <c r="U94" s="429" t="str">
        <f ca="1">IFERROR(VLOOKUP(U$2,Rango_Admin_DailyPred,MATCH($F94,Rango_Admin_DailyPred_Primera,0),0),"-")</f>
        <v>-</v>
      </c>
      <c r="V94" s="429" t="str">
        <f ca="1">IFERROR(VLOOKUP(V$2,Rango_Admin_DailyPred,MATCH($F94,Rango_Admin_DailyPred_Primera,0),0),"-")</f>
        <v>-</v>
      </c>
      <c r="W94" s="429" t="str">
        <f ca="1">IFERROR(VLOOKUP(W$2,Rango_Admin_DailyPred,MATCH($F94,Rango_Admin_DailyPred_Primera,0),0),"-")</f>
        <v>-</v>
      </c>
      <c r="X94" s="429" t="str">
        <f ca="1">IFERROR(VLOOKUP(X$2,Rango_Admin_DailyPred,MATCH($F94,Rango_Admin_DailyPred_Primera,0),0),"-")</f>
        <v>-</v>
      </c>
      <c r="Y94" s="429" t="str">
        <f ca="1">IFERROR(VLOOKUP(Y$2,Rango_Admin_DailyPred,MATCH($F94,Rango_Admin_DailyPred_Primera,0),0),"-")</f>
        <v>-</v>
      </c>
      <c r="Z94" s="429" t="str">
        <f ca="1">IFERROR(VLOOKUP(Z$2,Rango_Admin_DailyPred,MATCH($F94,Rango_Admin_DailyPred_Primera,0),0),"-")</f>
        <v>-</v>
      </c>
      <c r="AA94" s="429" t="str">
        <f ca="1">IFERROR(VLOOKUP(AA$2,Rango_Admin_DailyPred,MATCH($F94,Rango_Admin_DailyPred_Primera,0),0),"-")</f>
        <v>-</v>
      </c>
      <c r="AB94" s="429" t="str">
        <f ca="1">IFERROR(VLOOKUP(AB$2,Rango_Admin_DailyPred,MATCH($F94,Rango_Admin_DailyPred_Primera,0),0),"-")</f>
        <v>-</v>
      </c>
      <c r="AC94" s="429" t="str">
        <f ca="1">IFERROR(VLOOKUP(AC$2,Rango_Admin_DailyPred,MATCH($F94,Rango_Admin_DailyPred_Primera,0),0),"-")</f>
        <v>-</v>
      </c>
      <c r="AD94" s="429" t="str">
        <f ca="1">IFERROR(VLOOKUP(AD$2,Rango_Admin_DailyPred,MATCH($F94,Rango_Admin_DailyPred_Primera,0),0),"-")</f>
        <v>-</v>
      </c>
      <c r="AE94" s="429" t="str">
        <f ca="1">IFERROR(VLOOKUP(AE$2,Rango_Admin_DailyPred,MATCH($F94,Rango_Admin_DailyPred_Primera,0),0),"-")</f>
        <v>-</v>
      </c>
      <c r="AF94" s="429" t="str">
        <f ca="1">IFERROR(VLOOKUP(AF$2,Rango_Admin_DailyPred,MATCH($F94,Rango_Admin_DailyPred_Primera,0),0),"-")</f>
        <v>-</v>
      </c>
      <c r="AG94" s="429" t="str">
        <f ca="1">IFERROR(VLOOKUP(AG$2,Rango_Admin_DailyPred,MATCH($F94,Rango_Admin_DailyPred_Primera,0),0),"-")</f>
        <v>-</v>
      </c>
      <c r="AH94" s="429" t="str">
        <f ca="1">IFERROR(VLOOKUP(AH$2,Rango_Admin_DailyPred,MATCH($F94,Rango_Admin_DailyPred_Primera,0),0),"-")</f>
        <v>-</v>
      </c>
      <c r="AI94" s="429" t="str">
        <f ca="1">IFERROR(VLOOKUP(AI$2,Rango_Admin_DailyPred,MATCH($F94,Rango_Admin_DailyPred_Primera,0),0),"-")</f>
        <v>-</v>
      </c>
      <c r="AJ94" s="429" t="str">
        <f ca="1">IFERROR(VLOOKUP(AJ$2,Rango_Admin_DailyPred,MATCH($F94,Rango_Admin_DailyPred_Primera,0),0),"-")</f>
        <v>-</v>
      </c>
      <c r="AK94" s="429" t="str">
        <f ca="1">IFERROR(VLOOKUP(AK$2,Rango_Admin_DailyPred,MATCH($F94,Rango_Admin_DailyPred_Primera,0),0),"-")</f>
        <v>-</v>
      </c>
      <c r="AL94" s="429" t="str">
        <f ca="1">IFERROR(VLOOKUP(AL$2,Rango_Admin_DailyPred,MATCH($F94,Rango_Admin_DailyPred_Primera,0),0),"-")</f>
        <v>-</v>
      </c>
      <c r="AM94" s="297"/>
      <c r="AN94" s="297"/>
      <c r="AO94" s="297"/>
    </row>
    <row r="95" spans="5:41">
      <c r="E95" s="19">
        <f t="shared" si="2"/>
        <v>282</v>
      </c>
      <c r="F95" s="448" t="str" cm="1">
        <f t="array" ref="F95">IFERROR(INDEX(Rango_Admin_DailyPred_Primera,1,E95),"-")</f>
        <v>-</v>
      </c>
      <c r="G95" s="429" t="str">
        <f ca="1">IFERROR(VLOOKUP(G$2,Rango_Admin_DailyPred,MATCH($F95,Rango_Admin_DailyPred_Primera,0),0),"-")</f>
        <v>-</v>
      </c>
      <c r="H95" s="429" t="str">
        <f ca="1">IFERROR(VLOOKUP(H$2,Rango_Admin_DailyPred,MATCH($F95,Rango_Admin_DailyPred_Primera,0),0),"-")</f>
        <v>-</v>
      </c>
      <c r="I95" s="429" t="str">
        <f ca="1">IFERROR(VLOOKUP(I$2,Rango_Admin_DailyPred,MATCH($F95,Rango_Admin_DailyPred_Primera,0),0),"-")</f>
        <v>-</v>
      </c>
      <c r="J95" s="429" t="str">
        <f ca="1">IFERROR(VLOOKUP(J$2,Rango_Admin_DailyPred,MATCH($F95,Rango_Admin_DailyPred_Primera,0),0),"-")</f>
        <v>-</v>
      </c>
      <c r="K95" s="429" t="str">
        <f ca="1">IFERROR(VLOOKUP(K$2,Rango_Admin_DailyPred,MATCH($F95,Rango_Admin_DailyPred_Primera,0),0),"-")</f>
        <v>-</v>
      </c>
      <c r="L95" s="429" t="str">
        <f ca="1">IFERROR(VLOOKUP(L$2,Rango_Admin_DailyPred,MATCH($F95,Rango_Admin_DailyPred_Primera,0),0),"-")</f>
        <v>-</v>
      </c>
      <c r="M95" s="429" t="str">
        <f ca="1">IFERROR(VLOOKUP(M$2,Rango_Admin_DailyPred,MATCH($F95,Rango_Admin_DailyPred_Primera,0),0),"-")</f>
        <v>-</v>
      </c>
      <c r="N95" s="429" t="str">
        <f ca="1">IFERROR(VLOOKUP(N$2,Rango_Admin_DailyPred,MATCH($F95,Rango_Admin_DailyPred_Primera,0),0),"-")</f>
        <v>-</v>
      </c>
      <c r="O95" s="429" t="str">
        <f ca="1">IFERROR(VLOOKUP(O$2,Rango_Admin_DailyPred,MATCH($F95,Rango_Admin_DailyPred_Primera,0),0),"-")</f>
        <v>-</v>
      </c>
      <c r="P95" s="429" t="str">
        <f ca="1">IFERROR(VLOOKUP(P$2,Rango_Admin_DailyPred,MATCH($F95,Rango_Admin_DailyPred_Primera,0),0),"-")</f>
        <v>-</v>
      </c>
      <c r="Q95" s="429" t="str">
        <f ca="1">IFERROR(VLOOKUP(Q$2,Rango_Admin_DailyPred,MATCH($F95,Rango_Admin_DailyPred_Primera,0),0),"-")</f>
        <v>-</v>
      </c>
      <c r="R95" s="429" t="str">
        <f ca="1">IFERROR(VLOOKUP(R$2,Rango_Admin_DailyPred,MATCH($F95,Rango_Admin_DailyPred_Primera,0),0),"-")</f>
        <v>-</v>
      </c>
      <c r="S95" s="429" t="str">
        <f ca="1">IFERROR(VLOOKUP(S$2,Rango_Admin_DailyPred,MATCH($F95,Rango_Admin_DailyPred_Primera,0),0),"-")</f>
        <v>-</v>
      </c>
      <c r="T95" s="429" t="str">
        <f ca="1">IFERROR(VLOOKUP(T$2,Rango_Admin_DailyPred,MATCH($F95,Rango_Admin_DailyPred_Primera,0),0),"-")</f>
        <v>-</v>
      </c>
      <c r="U95" s="429" t="str">
        <f ca="1">IFERROR(VLOOKUP(U$2,Rango_Admin_DailyPred,MATCH($F95,Rango_Admin_DailyPred_Primera,0),0),"-")</f>
        <v>-</v>
      </c>
      <c r="V95" s="429" t="str">
        <f ca="1">IFERROR(VLOOKUP(V$2,Rango_Admin_DailyPred,MATCH($F95,Rango_Admin_DailyPred_Primera,0),0),"-")</f>
        <v>-</v>
      </c>
      <c r="W95" s="429" t="str">
        <f ca="1">IFERROR(VLOOKUP(W$2,Rango_Admin_DailyPred,MATCH($F95,Rango_Admin_DailyPred_Primera,0),0),"-")</f>
        <v>-</v>
      </c>
      <c r="X95" s="429" t="str">
        <f ca="1">IFERROR(VLOOKUP(X$2,Rango_Admin_DailyPred,MATCH($F95,Rango_Admin_DailyPred_Primera,0),0),"-")</f>
        <v>-</v>
      </c>
      <c r="Y95" s="429" t="str">
        <f ca="1">IFERROR(VLOOKUP(Y$2,Rango_Admin_DailyPred,MATCH($F95,Rango_Admin_DailyPred_Primera,0),0),"-")</f>
        <v>-</v>
      </c>
      <c r="Z95" s="429" t="str">
        <f ca="1">IFERROR(VLOOKUP(Z$2,Rango_Admin_DailyPred,MATCH($F95,Rango_Admin_DailyPred_Primera,0),0),"-")</f>
        <v>-</v>
      </c>
      <c r="AA95" s="429" t="str">
        <f ca="1">IFERROR(VLOOKUP(AA$2,Rango_Admin_DailyPred,MATCH($F95,Rango_Admin_DailyPred_Primera,0),0),"-")</f>
        <v>-</v>
      </c>
      <c r="AB95" s="429" t="str">
        <f ca="1">IFERROR(VLOOKUP(AB$2,Rango_Admin_DailyPred,MATCH($F95,Rango_Admin_DailyPred_Primera,0),0),"-")</f>
        <v>-</v>
      </c>
      <c r="AC95" s="429" t="str">
        <f ca="1">IFERROR(VLOOKUP(AC$2,Rango_Admin_DailyPred,MATCH($F95,Rango_Admin_DailyPred_Primera,0),0),"-")</f>
        <v>-</v>
      </c>
      <c r="AD95" s="429" t="str">
        <f ca="1">IFERROR(VLOOKUP(AD$2,Rango_Admin_DailyPred,MATCH($F95,Rango_Admin_DailyPred_Primera,0),0),"-")</f>
        <v>-</v>
      </c>
      <c r="AE95" s="429" t="str">
        <f ca="1">IFERROR(VLOOKUP(AE$2,Rango_Admin_DailyPred,MATCH($F95,Rango_Admin_DailyPred_Primera,0),0),"-")</f>
        <v>-</v>
      </c>
      <c r="AF95" s="429" t="str">
        <f ca="1">IFERROR(VLOOKUP(AF$2,Rango_Admin_DailyPred,MATCH($F95,Rango_Admin_DailyPred_Primera,0),0),"-")</f>
        <v>-</v>
      </c>
      <c r="AG95" s="429" t="str">
        <f ca="1">IFERROR(VLOOKUP(AG$2,Rango_Admin_DailyPred,MATCH($F95,Rango_Admin_DailyPred_Primera,0),0),"-")</f>
        <v>-</v>
      </c>
      <c r="AH95" s="429" t="str">
        <f ca="1">IFERROR(VLOOKUP(AH$2,Rango_Admin_DailyPred,MATCH($F95,Rango_Admin_DailyPred_Primera,0),0),"-")</f>
        <v>-</v>
      </c>
      <c r="AI95" s="429" t="str">
        <f ca="1">IFERROR(VLOOKUP(AI$2,Rango_Admin_DailyPred,MATCH($F95,Rango_Admin_DailyPred_Primera,0),0),"-")</f>
        <v>-</v>
      </c>
      <c r="AJ95" s="429" t="str">
        <f ca="1">IFERROR(VLOOKUP(AJ$2,Rango_Admin_DailyPred,MATCH($F95,Rango_Admin_DailyPred_Primera,0),0),"-")</f>
        <v>-</v>
      </c>
      <c r="AK95" s="429" t="str">
        <f ca="1">IFERROR(VLOOKUP(AK$2,Rango_Admin_DailyPred,MATCH($F95,Rango_Admin_DailyPred_Primera,0),0),"-")</f>
        <v>-</v>
      </c>
      <c r="AL95" s="429" t="str">
        <f ca="1">IFERROR(VLOOKUP(AL$2,Rango_Admin_DailyPred,MATCH($F95,Rango_Admin_DailyPred_Primera,0),0),"-")</f>
        <v>-</v>
      </c>
      <c r="AM95" s="297"/>
      <c r="AN95" s="297"/>
      <c r="AO95" s="297"/>
    </row>
    <row r="96" spans="5:41">
      <c r="E96" s="19">
        <f t="shared" si="2"/>
        <v>285</v>
      </c>
      <c r="F96" s="448" t="str" cm="1">
        <f t="array" ref="F96">IFERROR(INDEX(Rango_Admin_DailyPred_Primera,1,E96),"-")</f>
        <v>-</v>
      </c>
      <c r="G96" s="429" t="str">
        <f ca="1">IFERROR(VLOOKUP(G$2,Rango_Admin_DailyPred,MATCH($F96,Rango_Admin_DailyPred_Primera,0),0),"-")</f>
        <v>-</v>
      </c>
      <c r="H96" s="429" t="str">
        <f ca="1">IFERROR(VLOOKUP(H$2,Rango_Admin_DailyPred,MATCH($F96,Rango_Admin_DailyPred_Primera,0),0),"-")</f>
        <v>-</v>
      </c>
      <c r="I96" s="429" t="str">
        <f ca="1">IFERROR(VLOOKUP(I$2,Rango_Admin_DailyPred,MATCH($F96,Rango_Admin_DailyPred_Primera,0),0),"-")</f>
        <v>-</v>
      </c>
      <c r="J96" s="429" t="str">
        <f ca="1">IFERROR(VLOOKUP(J$2,Rango_Admin_DailyPred,MATCH($F96,Rango_Admin_DailyPred_Primera,0),0),"-")</f>
        <v>-</v>
      </c>
      <c r="K96" s="429" t="str">
        <f ca="1">IFERROR(VLOOKUP(K$2,Rango_Admin_DailyPred,MATCH($F96,Rango_Admin_DailyPred_Primera,0),0),"-")</f>
        <v>-</v>
      </c>
      <c r="L96" s="429" t="str">
        <f ca="1">IFERROR(VLOOKUP(L$2,Rango_Admin_DailyPred,MATCH($F96,Rango_Admin_DailyPred_Primera,0),0),"-")</f>
        <v>-</v>
      </c>
      <c r="M96" s="429" t="str">
        <f ca="1">IFERROR(VLOOKUP(M$2,Rango_Admin_DailyPred,MATCH($F96,Rango_Admin_DailyPred_Primera,0),0),"-")</f>
        <v>-</v>
      </c>
      <c r="N96" s="429" t="str">
        <f ca="1">IFERROR(VLOOKUP(N$2,Rango_Admin_DailyPred,MATCH($F96,Rango_Admin_DailyPred_Primera,0),0),"-")</f>
        <v>-</v>
      </c>
      <c r="O96" s="429" t="str">
        <f ca="1">IFERROR(VLOOKUP(O$2,Rango_Admin_DailyPred,MATCH($F96,Rango_Admin_DailyPred_Primera,0),0),"-")</f>
        <v>-</v>
      </c>
      <c r="P96" s="429" t="str">
        <f ca="1">IFERROR(VLOOKUP(P$2,Rango_Admin_DailyPred,MATCH($F96,Rango_Admin_DailyPred_Primera,0),0),"-")</f>
        <v>-</v>
      </c>
      <c r="Q96" s="429" t="str">
        <f ca="1">IFERROR(VLOOKUP(Q$2,Rango_Admin_DailyPred,MATCH($F96,Rango_Admin_DailyPred_Primera,0),0),"-")</f>
        <v>-</v>
      </c>
      <c r="R96" s="429" t="str">
        <f ca="1">IFERROR(VLOOKUP(R$2,Rango_Admin_DailyPred,MATCH($F96,Rango_Admin_DailyPred_Primera,0),0),"-")</f>
        <v>-</v>
      </c>
      <c r="S96" s="429" t="str">
        <f ca="1">IFERROR(VLOOKUP(S$2,Rango_Admin_DailyPred,MATCH($F96,Rango_Admin_DailyPred_Primera,0),0),"-")</f>
        <v>-</v>
      </c>
      <c r="T96" s="429" t="str">
        <f ca="1">IFERROR(VLOOKUP(T$2,Rango_Admin_DailyPred,MATCH($F96,Rango_Admin_DailyPred_Primera,0),0),"-")</f>
        <v>-</v>
      </c>
      <c r="U96" s="429" t="str">
        <f ca="1">IFERROR(VLOOKUP(U$2,Rango_Admin_DailyPred,MATCH($F96,Rango_Admin_DailyPred_Primera,0),0),"-")</f>
        <v>-</v>
      </c>
      <c r="V96" s="429" t="str">
        <f ca="1">IFERROR(VLOOKUP(V$2,Rango_Admin_DailyPred,MATCH($F96,Rango_Admin_DailyPred_Primera,0),0),"-")</f>
        <v>-</v>
      </c>
      <c r="W96" s="429" t="str">
        <f ca="1">IFERROR(VLOOKUP(W$2,Rango_Admin_DailyPred,MATCH($F96,Rango_Admin_DailyPred_Primera,0),0),"-")</f>
        <v>-</v>
      </c>
      <c r="X96" s="429" t="str">
        <f ca="1">IFERROR(VLOOKUP(X$2,Rango_Admin_DailyPred,MATCH($F96,Rango_Admin_DailyPred_Primera,0),0),"-")</f>
        <v>-</v>
      </c>
      <c r="Y96" s="429" t="str">
        <f ca="1">IFERROR(VLOOKUP(Y$2,Rango_Admin_DailyPred,MATCH($F96,Rango_Admin_DailyPred_Primera,0),0),"-")</f>
        <v>-</v>
      </c>
      <c r="Z96" s="429" t="str">
        <f ca="1">IFERROR(VLOOKUP(Z$2,Rango_Admin_DailyPred,MATCH($F96,Rango_Admin_DailyPred_Primera,0),0),"-")</f>
        <v>-</v>
      </c>
      <c r="AA96" s="429" t="str">
        <f ca="1">IFERROR(VLOOKUP(AA$2,Rango_Admin_DailyPred,MATCH($F96,Rango_Admin_DailyPred_Primera,0),0),"-")</f>
        <v>-</v>
      </c>
      <c r="AB96" s="429" t="str">
        <f ca="1">IFERROR(VLOOKUP(AB$2,Rango_Admin_DailyPred,MATCH($F96,Rango_Admin_DailyPred_Primera,0),0),"-")</f>
        <v>-</v>
      </c>
      <c r="AC96" s="429" t="str">
        <f ca="1">IFERROR(VLOOKUP(AC$2,Rango_Admin_DailyPred,MATCH($F96,Rango_Admin_DailyPred_Primera,0),0),"-")</f>
        <v>-</v>
      </c>
      <c r="AD96" s="429" t="str">
        <f ca="1">IFERROR(VLOOKUP(AD$2,Rango_Admin_DailyPred,MATCH($F96,Rango_Admin_DailyPred_Primera,0),0),"-")</f>
        <v>-</v>
      </c>
      <c r="AE96" s="429" t="str">
        <f ca="1">IFERROR(VLOOKUP(AE$2,Rango_Admin_DailyPred,MATCH($F96,Rango_Admin_DailyPred_Primera,0),0),"-")</f>
        <v>-</v>
      </c>
      <c r="AF96" s="429" t="str">
        <f ca="1">IFERROR(VLOOKUP(AF$2,Rango_Admin_DailyPred,MATCH($F96,Rango_Admin_DailyPred_Primera,0),0),"-")</f>
        <v>-</v>
      </c>
      <c r="AG96" s="429" t="str">
        <f ca="1">IFERROR(VLOOKUP(AG$2,Rango_Admin_DailyPred,MATCH($F96,Rango_Admin_DailyPred_Primera,0),0),"-")</f>
        <v>-</v>
      </c>
      <c r="AH96" s="429" t="str">
        <f ca="1">IFERROR(VLOOKUP(AH$2,Rango_Admin_DailyPred,MATCH($F96,Rango_Admin_DailyPred_Primera,0),0),"-")</f>
        <v>-</v>
      </c>
      <c r="AI96" s="429" t="str">
        <f ca="1">IFERROR(VLOOKUP(AI$2,Rango_Admin_DailyPred,MATCH($F96,Rango_Admin_DailyPred_Primera,0),0),"-")</f>
        <v>-</v>
      </c>
      <c r="AJ96" s="429" t="str">
        <f ca="1">IFERROR(VLOOKUP(AJ$2,Rango_Admin_DailyPred,MATCH($F96,Rango_Admin_DailyPred_Primera,0),0),"-")</f>
        <v>-</v>
      </c>
      <c r="AK96" s="429" t="str">
        <f ca="1">IFERROR(VLOOKUP(AK$2,Rango_Admin_DailyPred,MATCH($F96,Rango_Admin_DailyPred_Primera,0),0),"-")</f>
        <v>-</v>
      </c>
      <c r="AL96" s="429" t="str">
        <f ca="1">IFERROR(VLOOKUP(AL$2,Rango_Admin_DailyPred,MATCH($F96,Rango_Admin_DailyPred_Primera,0),0),"-")</f>
        <v>-</v>
      </c>
      <c r="AM96" s="297"/>
      <c r="AN96" s="297"/>
      <c r="AO96" s="297"/>
    </row>
    <row r="97" spans="5:41">
      <c r="E97" s="19">
        <f t="shared" si="2"/>
        <v>288</v>
      </c>
      <c r="F97" s="448" t="str" cm="1">
        <f t="array" ref="F97">IFERROR(INDEX(Rango_Admin_DailyPred_Primera,1,E97),"-")</f>
        <v>-</v>
      </c>
      <c r="G97" s="429" t="str">
        <f ca="1">IFERROR(VLOOKUP(G$2,Rango_Admin_DailyPred,MATCH($F97,Rango_Admin_DailyPred_Primera,0),0),"-")</f>
        <v>-</v>
      </c>
      <c r="H97" s="429" t="str">
        <f ca="1">IFERROR(VLOOKUP(H$2,Rango_Admin_DailyPred,MATCH($F97,Rango_Admin_DailyPred_Primera,0),0),"-")</f>
        <v>-</v>
      </c>
      <c r="I97" s="429" t="str">
        <f ca="1">IFERROR(VLOOKUP(I$2,Rango_Admin_DailyPred,MATCH($F97,Rango_Admin_DailyPred_Primera,0),0),"-")</f>
        <v>-</v>
      </c>
      <c r="J97" s="429" t="str">
        <f ca="1">IFERROR(VLOOKUP(J$2,Rango_Admin_DailyPred,MATCH($F97,Rango_Admin_DailyPred_Primera,0),0),"-")</f>
        <v>-</v>
      </c>
      <c r="K97" s="429" t="str">
        <f ca="1">IFERROR(VLOOKUP(K$2,Rango_Admin_DailyPred,MATCH($F97,Rango_Admin_DailyPred_Primera,0),0),"-")</f>
        <v>-</v>
      </c>
      <c r="L97" s="429" t="str">
        <f ca="1">IFERROR(VLOOKUP(L$2,Rango_Admin_DailyPred,MATCH($F97,Rango_Admin_DailyPred_Primera,0),0),"-")</f>
        <v>-</v>
      </c>
      <c r="M97" s="429" t="str">
        <f ca="1">IFERROR(VLOOKUP(M$2,Rango_Admin_DailyPred,MATCH($F97,Rango_Admin_DailyPred_Primera,0),0),"-")</f>
        <v>-</v>
      </c>
      <c r="N97" s="429" t="str">
        <f ca="1">IFERROR(VLOOKUP(N$2,Rango_Admin_DailyPred,MATCH($F97,Rango_Admin_DailyPred_Primera,0),0),"-")</f>
        <v>-</v>
      </c>
      <c r="O97" s="429" t="str">
        <f ca="1">IFERROR(VLOOKUP(O$2,Rango_Admin_DailyPred,MATCH($F97,Rango_Admin_DailyPred_Primera,0),0),"-")</f>
        <v>-</v>
      </c>
      <c r="P97" s="429" t="str">
        <f ca="1">IFERROR(VLOOKUP(P$2,Rango_Admin_DailyPred,MATCH($F97,Rango_Admin_DailyPred_Primera,0),0),"-")</f>
        <v>-</v>
      </c>
      <c r="Q97" s="429" t="str">
        <f ca="1">IFERROR(VLOOKUP(Q$2,Rango_Admin_DailyPred,MATCH($F97,Rango_Admin_DailyPred_Primera,0),0),"-")</f>
        <v>-</v>
      </c>
      <c r="R97" s="429" t="str">
        <f ca="1">IFERROR(VLOOKUP(R$2,Rango_Admin_DailyPred,MATCH($F97,Rango_Admin_DailyPred_Primera,0),0),"-")</f>
        <v>-</v>
      </c>
      <c r="S97" s="429" t="str">
        <f ca="1">IFERROR(VLOOKUP(S$2,Rango_Admin_DailyPred,MATCH($F97,Rango_Admin_DailyPred_Primera,0),0),"-")</f>
        <v>-</v>
      </c>
      <c r="T97" s="429" t="str">
        <f ca="1">IFERROR(VLOOKUP(T$2,Rango_Admin_DailyPred,MATCH($F97,Rango_Admin_DailyPred_Primera,0),0),"-")</f>
        <v>-</v>
      </c>
      <c r="U97" s="429" t="str">
        <f ca="1">IFERROR(VLOOKUP(U$2,Rango_Admin_DailyPred,MATCH($F97,Rango_Admin_DailyPred_Primera,0),0),"-")</f>
        <v>-</v>
      </c>
      <c r="V97" s="429" t="str">
        <f ca="1">IFERROR(VLOOKUP(V$2,Rango_Admin_DailyPred,MATCH($F97,Rango_Admin_DailyPred_Primera,0),0),"-")</f>
        <v>-</v>
      </c>
      <c r="W97" s="429" t="str">
        <f ca="1">IFERROR(VLOOKUP(W$2,Rango_Admin_DailyPred,MATCH($F97,Rango_Admin_DailyPred_Primera,0),0),"-")</f>
        <v>-</v>
      </c>
      <c r="X97" s="429" t="str">
        <f ca="1">IFERROR(VLOOKUP(X$2,Rango_Admin_DailyPred,MATCH($F97,Rango_Admin_DailyPred_Primera,0),0),"-")</f>
        <v>-</v>
      </c>
      <c r="Y97" s="429" t="str">
        <f ca="1">IFERROR(VLOOKUP(Y$2,Rango_Admin_DailyPred,MATCH($F97,Rango_Admin_DailyPred_Primera,0),0),"-")</f>
        <v>-</v>
      </c>
      <c r="Z97" s="429" t="str">
        <f ca="1">IFERROR(VLOOKUP(Z$2,Rango_Admin_DailyPred,MATCH($F97,Rango_Admin_DailyPred_Primera,0),0),"-")</f>
        <v>-</v>
      </c>
      <c r="AA97" s="429" t="str">
        <f ca="1">IFERROR(VLOOKUP(AA$2,Rango_Admin_DailyPred,MATCH($F97,Rango_Admin_DailyPred_Primera,0),0),"-")</f>
        <v>-</v>
      </c>
      <c r="AB97" s="429" t="str">
        <f ca="1">IFERROR(VLOOKUP(AB$2,Rango_Admin_DailyPred,MATCH($F97,Rango_Admin_DailyPred_Primera,0),0),"-")</f>
        <v>-</v>
      </c>
      <c r="AC97" s="429" t="str">
        <f ca="1">IFERROR(VLOOKUP(AC$2,Rango_Admin_DailyPred,MATCH($F97,Rango_Admin_DailyPred_Primera,0),0),"-")</f>
        <v>-</v>
      </c>
      <c r="AD97" s="429" t="str">
        <f ca="1">IFERROR(VLOOKUP(AD$2,Rango_Admin_DailyPred,MATCH($F97,Rango_Admin_DailyPred_Primera,0),0),"-")</f>
        <v>-</v>
      </c>
      <c r="AE97" s="429" t="str">
        <f ca="1">IFERROR(VLOOKUP(AE$2,Rango_Admin_DailyPred,MATCH($F97,Rango_Admin_DailyPred_Primera,0),0),"-")</f>
        <v>-</v>
      </c>
      <c r="AF97" s="429" t="str">
        <f ca="1">IFERROR(VLOOKUP(AF$2,Rango_Admin_DailyPred,MATCH($F97,Rango_Admin_DailyPred_Primera,0),0),"-")</f>
        <v>-</v>
      </c>
      <c r="AG97" s="429" t="str">
        <f ca="1">IFERROR(VLOOKUP(AG$2,Rango_Admin_DailyPred,MATCH($F97,Rango_Admin_DailyPred_Primera,0),0),"-")</f>
        <v>-</v>
      </c>
      <c r="AH97" s="429" t="str">
        <f ca="1">IFERROR(VLOOKUP(AH$2,Rango_Admin_DailyPred,MATCH($F97,Rango_Admin_DailyPred_Primera,0),0),"-")</f>
        <v>-</v>
      </c>
      <c r="AI97" s="429" t="str">
        <f ca="1">IFERROR(VLOOKUP(AI$2,Rango_Admin_DailyPred,MATCH($F97,Rango_Admin_DailyPred_Primera,0),0),"-")</f>
        <v>-</v>
      </c>
      <c r="AJ97" s="429" t="str">
        <f ca="1">IFERROR(VLOOKUP(AJ$2,Rango_Admin_DailyPred,MATCH($F97,Rango_Admin_DailyPred_Primera,0),0),"-")</f>
        <v>-</v>
      </c>
      <c r="AK97" s="429" t="str">
        <f ca="1">IFERROR(VLOOKUP(AK$2,Rango_Admin_DailyPred,MATCH($F97,Rango_Admin_DailyPred_Primera,0),0),"-")</f>
        <v>-</v>
      </c>
      <c r="AL97" s="429" t="str">
        <f ca="1">IFERROR(VLOOKUP(AL$2,Rango_Admin_DailyPred,MATCH($F97,Rango_Admin_DailyPred_Primera,0),0),"-")</f>
        <v>-</v>
      </c>
      <c r="AM97" s="297"/>
      <c r="AN97" s="297"/>
      <c r="AO97" s="297"/>
    </row>
    <row r="98" spans="5:41">
      <c r="E98" s="19">
        <f t="shared" si="2"/>
        <v>291</v>
      </c>
      <c r="F98" s="448" t="str" cm="1">
        <f t="array" ref="F98">IFERROR(INDEX(Rango_Admin_DailyPred_Primera,1,E98),"-")</f>
        <v>-</v>
      </c>
      <c r="G98" s="429" t="str">
        <f ca="1">IFERROR(VLOOKUP(G$2,Rango_Admin_DailyPred,MATCH($F98,Rango_Admin_DailyPred_Primera,0),0),"-")</f>
        <v>-</v>
      </c>
      <c r="H98" s="429" t="str">
        <f ca="1">IFERROR(VLOOKUP(H$2,Rango_Admin_DailyPred,MATCH($F98,Rango_Admin_DailyPred_Primera,0),0),"-")</f>
        <v>-</v>
      </c>
      <c r="I98" s="429" t="str">
        <f ca="1">IFERROR(VLOOKUP(I$2,Rango_Admin_DailyPred,MATCH($F98,Rango_Admin_DailyPred_Primera,0),0),"-")</f>
        <v>-</v>
      </c>
      <c r="J98" s="429" t="str">
        <f ca="1">IFERROR(VLOOKUP(J$2,Rango_Admin_DailyPred,MATCH($F98,Rango_Admin_DailyPred_Primera,0),0),"-")</f>
        <v>-</v>
      </c>
      <c r="K98" s="429" t="str">
        <f ca="1">IFERROR(VLOOKUP(K$2,Rango_Admin_DailyPred,MATCH($F98,Rango_Admin_DailyPred_Primera,0),0),"-")</f>
        <v>-</v>
      </c>
      <c r="L98" s="429" t="str">
        <f ca="1">IFERROR(VLOOKUP(L$2,Rango_Admin_DailyPred,MATCH($F98,Rango_Admin_DailyPred_Primera,0),0),"-")</f>
        <v>-</v>
      </c>
      <c r="M98" s="429" t="str">
        <f ca="1">IFERROR(VLOOKUP(M$2,Rango_Admin_DailyPred,MATCH($F98,Rango_Admin_DailyPred_Primera,0),0),"-")</f>
        <v>-</v>
      </c>
      <c r="N98" s="429" t="str">
        <f ca="1">IFERROR(VLOOKUP(N$2,Rango_Admin_DailyPred,MATCH($F98,Rango_Admin_DailyPred_Primera,0),0),"-")</f>
        <v>-</v>
      </c>
      <c r="O98" s="429" t="str">
        <f ca="1">IFERROR(VLOOKUP(O$2,Rango_Admin_DailyPred,MATCH($F98,Rango_Admin_DailyPred_Primera,0),0),"-")</f>
        <v>-</v>
      </c>
      <c r="P98" s="429" t="str">
        <f ca="1">IFERROR(VLOOKUP(P$2,Rango_Admin_DailyPred,MATCH($F98,Rango_Admin_DailyPred_Primera,0),0),"-")</f>
        <v>-</v>
      </c>
      <c r="Q98" s="429" t="str">
        <f ca="1">IFERROR(VLOOKUP(Q$2,Rango_Admin_DailyPred,MATCH($F98,Rango_Admin_DailyPred_Primera,0),0),"-")</f>
        <v>-</v>
      </c>
      <c r="R98" s="429" t="str">
        <f ca="1">IFERROR(VLOOKUP(R$2,Rango_Admin_DailyPred,MATCH($F98,Rango_Admin_DailyPred_Primera,0),0),"-")</f>
        <v>-</v>
      </c>
      <c r="S98" s="429" t="str">
        <f ca="1">IFERROR(VLOOKUP(S$2,Rango_Admin_DailyPred,MATCH($F98,Rango_Admin_DailyPred_Primera,0),0),"-")</f>
        <v>-</v>
      </c>
      <c r="T98" s="429" t="str">
        <f ca="1">IFERROR(VLOOKUP(T$2,Rango_Admin_DailyPred,MATCH($F98,Rango_Admin_DailyPred_Primera,0),0),"-")</f>
        <v>-</v>
      </c>
      <c r="U98" s="429" t="str">
        <f ca="1">IFERROR(VLOOKUP(U$2,Rango_Admin_DailyPred,MATCH($F98,Rango_Admin_DailyPred_Primera,0),0),"-")</f>
        <v>-</v>
      </c>
      <c r="V98" s="429" t="str">
        <f ca="1">IFERROR(VLOOKUP(V$2,Rango_Admin_DailyPred,MATCH($F98,Rango_Admin_DailyPred_Primera,0),0),"-")</f>
        <v>-</v>
      </c>
      <c r="W98" s="429" t="str">
        <f ca="1">IFERROR(VLOOKUP(W$2,Rango_Admin_DailyPred,MATCH($F98,Rango_Admin_DailyPred_Primera,0),0),"-")</f>
        <v>-</v>
      </c>
      <c r="X98" s="429" t="str">
        <f ca="1">IFERROR(VLOOKUP(X$2,Rango_Admin_DailyPred,MATCH($F98,Rango_Admin_DailyPred_Primera,0),0),"-")</f>
        <v>-</v>
      </c>
      <c r="Y98" s="429" t="str">
        <f ca="1">IFERROR(VLOOKUP(Y$2,Rango_Admin_DailyPred,MATCH($F98,Rango_Admin_DailyPred_Primera,0),0),"-")</f>
        <v>-</v>
      </c>
      <c r="Z98" s="429" t="str">
        <f ca="1">IFERROR(VLOOKUP(Z$2,Rango_Admin_DailyPred,MATCH($F98,Rango_Admin_DailyPred_Primera,0),0),"-")</f>
        <v>-</v>
      </c>
      <c r="AA98" s="429" t="str">
        <f ca="1">IFERROR(VLOOKUP(AA$2,Rango_Admin_DailyPred,MATCH($F98,Rango_Admin_DailyPred_Primera,0),0),"-")</f>
        <v>-</v>
      </c>
      <c r="AB98" s="429" t="str">
        <f ca="1">IFERROR(VLOOKUP(AB$2,Rango_Admin_DailyPred,MATCH($F98,Rango_Admin_DailyPred_Primera,0),0),"-")</f>
        <v>-</v>
      </c>
      <c r="AC98" s="429" t="str">
        <f ca="1">IFERROR(VLOOKUP(AC$2,Rango_Admin_DailyPred,MATCH($F98,Rango_Admin_DailyPred_Primera,0),0),"-")</f>
        <v>-</v>
      </c>
      <c r="AD98" s="429" t="str">
        <f ca="1">IFERROR(VLOOKUP(AD$2,Rango_Admin_DailyPred,MATCH($F98,Rango_Admin_DailyPred_Primera,0),0),"-")</f>
        <v>-</v>
      </c>
      <c r="AE98" s="429" t="str">
        <f ca="1">IFERROR(VLOOKUP(AE$2,Rango_Admin_DailyPred,MATCH($F98,Rango_Admin_DailyPred_Primera,0),0),"-")</f>
        <v>-</v>
      </c>
      <c r="AF98" s="429" t="str">
        <f ca="1">IFERROR(VLOOKUP(AF$2,Rango_Admin_DailyPred,MATCH($F98,Rango_Admin_DailyPred_Primera,0),0),"-")</f>
        <v>-</v>
      </c>
      <c r="AG98" s="429" t="str">
        <f ca="1">IFERROR(VLOOKUP(AG$2,Rango_Admin_DailyPred,MATCH($F98,Rango_Admin_DailyPred_Primera,0),0),"-")</f>
        <v>-</v>
      </c>
      <c r="AH98" s="429" t="str">
        <f ca="1">IFERROR(VLOOKUP(AH$2,Rango_Admin_DailyPred,MATCH($F98,Rango_Admin_DailyPred_Primera,0),0),"-")</f>
        <v>-</v>
      </c>
      <c r="AI98" s="429" t="str">
        <f ca="1">IFERROR(VLOOKUP(AI$2,Rango_Admin_DailyPred,MATCH($F98,Rango_Admin_DailyPred_Primera,0),0),"-")</f>
        <v>-</v>
      </c>
      <c r="AJ98" s="429" t="str">
        <f ca="1">IFERROR(VLOOKUP(AJ$2,Rango_Admin_DailyPred,MATCH($F98,Rango_Admin_DailyPred_Primera,0),0),"-")</f>
        <v>-</v>
      </c>
      <c r="AK98" s="429" t="str">
        <f ca="1">IFERROR(VLOOKUP(AK$2,Rango_Admin_DailyPred,MATCH($F98,Rango_Admin_DailyPred_Primera,0),0),"-")</f>
        <v>-</v>
      </c>
      <c r="AL98" s="429" t="str">
        <f ca="1">IFERROR(VLOOKUP(AL$2,Rango_Admin_DailyPred,MATCH($F98,Rango_Admin_DailyPred_Primera,0),0),"-")</f>
        <v>-</v>
      </c>
      <c r="AM98" s="297"/>
      <c r="AN98" s="297"/>
      <c r="AO98" s="297"/>
    </row>
    <row r="99" spans="5:41">
      <c r="E99" s="19">
        <f t="shared" si="2"/>
        <v>294</v>
      </c>
      <c r="F99" s="448" t="str" cm="1">
        <f t="array" ref="F99">IFERROR(INDEX(Rango_Admin_DailyPred_Primera,1,E99),"-")</f>
        <v>-</v>
      </c>
      <c r="G99" s="429" t="str">
        <f ca="1">IFERROR(VLOOKUP(G$2,Rango_Admin_DailyPred,MATCH($F99,Rango_Admin_DailyPred_Primera,0),0),"-")</f>
        <v>-</v>
      </c>
      <c r="H99" s="429" t="str">
        <f ca="1">IFERROR(VLOOKUP(H$2,Rango_Admin_DailyPred,MATCH($F99,Rango_Admin_DailyPred_Primera,0),0),"-")</f>
        <v>-</v>
      </c>
      <c r="I99" s="429" t="str">
        <f ca="1">IFERROR(VLOOKUP(I$2,Rango_Admin_DailyPred,MATCH($F99,Rango_Admin_DailyPred_Primera,0),0),"-")</f>
        <v>-</v>
      </c>
      <c r="J99" s="429" t="str">
        <f ca="1">IFERROR(VLOOKUP(J$2,Rango_Admin_DailyPred,MATCH($F99,Rango_Admin_DailyPred_Primera,0),0),"-")</f>
        <v>-</v>
      </c>
      <c r="K99" s="429" t="str">
        <f ca="1">IFERROR(VLOOKUP(K$2,Rango_Admin_DailyPred,MATCH($F99,Rango_Admin_DailyPred_Primera,0),0),"-")</f>
        <v>-</v>
      </c>
      <c r="L99" s="429" t="str">
        <f ca="1">IFERROR(VLOOKUP(L$2,Rango_Admin_DailyPred,MATCH($F99,Rango_Admin_DailyPred_Primera,0),0),"-")</f>
        <v>-</v>
      </c>
      <c r="M99" s="429" t="str">
        <f ca="1">IFERROR(VLOOKUP(M$2,Rango_Admin_DailyPred,MATCH($F99,Rango_Admin_DailyPred_Primera,0),0),"-")</f>
        <v>-</v>
      </c>
      <c r="N99" s="429" t="str">
        <f ca="1">IFERROR(VLOOKUP(N$2,Rango_Admin_DailyPred,MATCH($F99,Rango_Admin_DailyPred_Primera,0),0),"-")</f>
        <v>-</v>
      </c>
      <c r="O99" s="429" t="str">
        <f ca="1">IFERROR(VLOOKUP(O$2,Rango_Admin_DailyPred,MATCH($F99,Rango_Admin_DailyPred_Primera,0),0),"-")</f>
        <v>-</v>
      </c>
      <c r="P99" s="429" t="str">
        <f ca="1">IFERROR(VLOOKUP(P$2,Rango_Admin_DailyPred,MATCH($F99,Rango_Admin_DailyPred_Primera,0),0),"-")</f>
        <v>-</v>
      </c>
      <c r="Q99" s="429" t="str">
        <f ca="1">IFERROR(VLOOKUP(Q$2,Rango_Admin_DailyPred,MATCH($F99,Rango_Admin_DailyPred_Primera,0),0),"-")</f>
        <v>-</v>
      </c>
      <c r="R99" s="429" t="str">
        <f ca="1">IFERROR(VLOOKUP(R$2,Rango_Admin_DailyPred,MATCH($F99,Rango_Admin_DailyPred_Primera,0),0),"-")</f>
        <v>-</v>
      </c>
      <c r="S99" s="429" t="str">
        <f ca="1">IFERROR(VLOOKUP(S$2,Rango_Admin_DailyPred,MATCH($F99,Rango_Admin_DailyPred_Primera,0),0),"-")</f>
        <v>-</v>
      </c>
      <c r="T99" s="429" t="str">
        <f ca="1">IFERROR(VLOOKUP(T$2,Rango_Admin_DailyPred,MATCH($F99,Rango_Admin_DailyPred_Primera,0),0),"-")</f>
        <v>-</v>
      </c>
      <c r="U99" s="429" t="str">
        <f ca="1">IFERROR(VLOOKUP(U$2,Rango_Admin_DailyPred,MATCH($F99,Rango_Admin_DailyPred_Primera,0),0),"-")</f>
        <v>-</v>
      </c>
      <c r="V99" s="429" t="str">
        <f ca="1">IFERROR(VLOOKUP(V$2,Rango_Admin_DailyPred,MATCH($F99,Rango_Admin_DailyPred_Primera,0),0),"-")</f>
        <v>-</v>
      </c>
      <c r="W99" s="429" t="str">
        <f ca="1">IFERROR(VLOOKUP(W$2,Rango_Admin_DailyPred,MATCH($F99,Rango_Admin_DailyPred_Primera,0),0),"-")</f>
        <v>-</v>
      </c>
      <c r="X99" s="429" t="str">
        <f ca="1">IFERROR(VLOOKUP(X$2,Rango_Admin_DailyPred,MATCH($F99,Rango_Admin_DailyPred_Primera,0),0),"-")</f>
        <v>-</v>
      </c>
      <c r="Y99" s="429" t="str">
        <f ca="1">IFERROR(VLOOKUP(Y$2,Rango_Admin_DailyPred,MATCH($F99,Rango_Admin_DailyPred_Primera,0),0),"-")</f>
        <v>-</v>
      </c>
      <c r="Z99" s="429" t="str">
        <f ca="1">IFERROR(VLOOKUP(Z$2,Rango_Admin_DailyPred,MATCH($F99,Rango_Admin_DailyPred_Primera,0),0),"-")</f>
        <v>-</v>
      </c>
      <c r="AA99" s="429" t="str">
        <f ca="1">IFERROR(VLOOKUP(AA$2,Rango_Admin_DailyPred,MATCH($F99,Rango_Admin_DailyPred_Primera,0),0),"-")</f>
        <v>-</v>
      </c>
      <c r="AB99" s="429" t="str">
        <f ca="1">IFERROR(VLOOKUP(AB$2,Rango_Admin_DailyPred,MATCH($F99,Rango_Admin_DailyPred_Primera,0),0),"-")</f>
        <v>-</v>
      </c>
      <c r="AC99" s="429" t="str">
        <f ca="1">IFERROR(VLOOKUP(AC$2,Rango_Admin_DailyPred,MATCH($F99,Rango_Admin_DailyPred_Primera,0),0),"-")</f>
        <v>-</v>
      </c>
      <c r="AD99" s="429" t="str">
        <f ca="1">IFERROR(VLOOKUP(AD$2,Rango_Admin_DailyPred,MATCH($F99,Rango_Admin_DailyPred_Primera,0),0),"-")</f>
        <v>-</v>
      </c>
      <c r="AE99" s="429" t="str">
        <f ca="1">IFERROR(VLOOKUP(AE$2,Rango_Admin_DailyPred,MATCH($F99,Rango_Admin_DailyPred_Primera,0),0),"-")</f>
        <v>-</v>
      </c>
      <c r="AF99" s="429" t="str">
        <f ca="1">IFERROR(VLOOKUP(AF$2,Rango_Admin_DailyPred,MATCH($F99,Rango_Admin_DailyPred_Primera,0),0),"-")</f>
        <v>-</v>
      </c>
      <c r="AG99" s="429" t="str">
        <f ca="1">IFERROR(VLOOKUP(AG$2,Rango_Admin_DailyPred,MATCH($F99,Rango_Admin_DailyPred_Primera,0),0),"-")</f>
        <v>-</v>
      </c>
      <c r="AH99" s="429" t="str">
        <f ca="1">IFERROR(VLOOKUP(AH$2,Rango_Admin_DailyPred,MATCH($F99,Rango_Admin_DailyPred_Primera,0),0),"-")</f>
        <v>-</v>
      </c>
      <c r="AI99" s="429" t="str">
        <f ca="1">IFERROR(VLOOKUP(AI$2,Rango_Admin_DailyPred,MATCH($F99,Rango_Admin_DailyPred_Primera,0),0),"-")</f>
        <v>-</v>
      </c>
      <c r="AJ99" s="429" t="str">
        <f ca="1">IFERROR(VLOOKUP(AJ$2,Rango_Admin_DailyPred,MATCH($F99,Rango_Admin_DailyPred_Primera,0),0),"-")</f>
        <v>-</v>
      </c>
      <c r="AK99" s="429" t="str">
        <f ca="1">IFERROR(VLOOKUP(AK$2,Rango_Admin_DailyPred,MATCH($F99,Rango_Admin_DailyPred_Primera,0),0),"-")</f>
        <v>-</v>
      </c>
      <c r="AL99" s="429" t="str">
        <f ca="1">IFERROR(VLOOKUP(AL$2,Rango_Admin_DailyPred,MATCH($F99,Rango_Admin_DailyPred_Primera,0),0),"-")</f>
        <v>-</v>
      </c>
      <c r="AM99" s="297"/>
      <c r="AN99" s="297"/>
      <c r="AO99" s="297"/>
    </row>
    <row r="100" spans="5:41">
      <c r="E100" s="19">
        <f t="shared" si="2"/>
        <v>297</v>
      </c>
      <c r="F100" s="448" t="str" cm="1">
        <f t="array" ref="F100">IFERROR(INDEX(Rango_Admin_DailyPred_Primera,1,E100),"-")</f>
        <v>-</v>
      </c>
      <c r="G100" s="429" t="str">
        <f ca="1">IFERROR(VLOOKUP(G$2,Rango_Admin_DailyPred,MATCH($F100,Rango_Admin_DailyPred_Primera,0),0),"-")</f>
        <v>-</v>
      </c>
      <c r="H100" s="429" t="str">
        <f ca="1">IFERROR(VLOOKUP(H$2,Rango_Admin_DailyPred,MATCH($F100,Rango_Admin_DailyPred_Primera,0),0),"-")</f>
        <v>-</v>
      </c>
      <c r="I100" s="429" t="str">
        <f ca="1">IFERROR(VLOOKUP(I$2,Rango_Admin_DailyPred,MATCH($F100,Rango_Admin_DailyPred_Primera,0),0),"-")</f>
        <v>-</v>
      </c>
      <c r="J100" s="429" t="str">
        <f ca="1">IFERROR(VLOOKUP(J$2,Rango_Admin_DailyPred,MATCH($F100,Rango_Admin_DailyPred_Primera,0),0),"-")</f>
        <v>-</v>
      </c>
      <c r="K100" s="429" t="str">
        <f ca="1">IFERROR(VLOOKUP(K$2,Rango_Admin_DailyPred,MATCH($F100,Rango_Admin_DailyPred_Primera,0),0),"-")</f>
        <v>-</v>
      </c>
      <c r="L100" s="429" t="str">
        <f ca="1">IFERROR(VLOOKUP(L$2,Rango_Admin_DailyPred,MATCH($F100,Rango_Admin_DailyPred_Primera,0),0),"-")</f>
        <v>-</v>
      </c>
      <c r="M100" s="429" t="str">
        <f ca="1">IFERROR(VLOOKUP(M$2,Rango_Admin_DailyPred,MATCH($F100,Rango_Admin_DailyPred_Primera,0),0),"-")</f>
        <v>-</v>
      </c>
      <c r="N100" s="429" t="str">
        <f ca="1">IFERROR(VLOOKUP(N$2,Rango_Admin_DailyPred,MATCH($F100,Rango_Admin_DailyPred_Primera,0),0),"-")</f>
        <v>-</v>
      </c>
      <c r="O100" s="429" t="str">
        <f ca="1">IFERROR(VLOOKUP(O$2,Rango_Admin_DailyPred,MATCH($F100,Rango_Admin_DailyPred_Primera,0),0),"-")</f>
        <v>-</v>
      </c>
      <c r="P100" s="429" t="str">
        <f ca="1">IFERROR(VLOOKUP(P$2,Rango_Admin_DailyPred,MATCH($F100,Rango_Admin_DailyPred_Primera,0),0),"-")</f>
        <v>-</v>
      </c>
      <c r="Q100" s="429" t="str">
        <f ca="1">IFERROR(VLOOKUP(Q$2,Rango_Admin_DailyPred,MATCH($F100,Rango_Admin_DailyPred_Primera,0),0),"-")</f>
        <v>-</v>
      </c>
      <c r="R100" s="429" t="str">
        <f ca="1">IFERROR(VLOOKUP(R$2,Rango_Admin_DailyPred,MATCH($F100,Rango_Admin_DailyPred_Primera,0),0),"-")</f>
        <v>-</v>
      </c>
      <c r="S100" s="429" t="str">
        <f ca="1">IFERROR(VLOOKUP(S$2,Rango_Admin_DailyPred,MATCH($F100,Rango_Admin_DailyPred_Primera,0),0),"-")</f>
        <v>-</v>
      </c>
      <c r="T100" s="429" t="str">
        <f ca="1">IFERROR(VLOOKUP(T$2,Rango_Admin_DailyPred,MATCH($F100,Rango_Admin_DailyPred_Primera,0),0),"-")</f>
        <v>-</v>
      </c>
      <c r="U100" s="429" t="str">
        <f ca="1">IFERROR(VLOOKUP(U$2,Rango_Admin_DailyPred,MATCH($F100,Rango_Admin_DailyPred_Primera,0),0),"-")</f>
        <v>-</v>
      </c>
      <c r="V100" s="429" t="str">
        <f ca="1">IFERROR(VLOOKUP(V$2,Rango_Admin_DailyPred,MATCH($F100,Rango_Admin_DailyPred_Primera,0),0),"-")</f>
        <v>-</v>
      </c>
      <c r="W100" s="429" t="str">
        <f ca="1">IFERROR(VLOOKUP(W$2,Rango_Admin_DailyPred,MATCH($F100,Rango_Admin_DailyPred_Primera,0),0),"-")</f>
        <v>-</v>
      </c>
      <c r="X100" s="429" t="str">
        <f ca="1">IFERROR(VLOOKUP(X$2,Rango_Admin_DailyPred,MATCH($F100,Rango_Admin_DailyPred_Primera,0),0),"-")</f>
        <v>-</v>
      </c>
      <c r="Y100" s="429" t="str">
        <f ca="1">IFERROR(VLOOKUP(Y$2,Rango_Admin_DailyPred,MATCH($F100,Rango_Admin_DailyPred_Primera,0),0),"-")</f>
        <v>-</v>
      </c>
      <c r="Z100" s="429" t="str">
        <f ca="1">IFERROR(VLOOKUP(Z$2,Rango_Admin_DailyPred,MATCH($F100,Rango_Admin_DailyPred_Primera,0),0),"-")</f>
        <v>-</v>
      </c>
      <c r="AA100" s="429" t="str">
        <f ca="1">IFERROR(VLOOKUP(AA$2,Rango_Admin_DailyPred,MATCH($F100,Rango_Admin_DailyPred_Primera,0),0),"-")</f>
        <v>-</v>
      </c>
      <c r="AB100" s="429" t="str">
        <f ca="1">IFERROR(VLOOKUP(AB$2,Rango_Admin_DailyPred,MATCH($F100,Rango_Admin_DailyPred_Primera,0),0),"-")</f>
        <v>-</v>
      </c>
      <c r="AC100" s="429" t="str">
        <f ca="1">IFERROR(VLOOKUP(AC$2,Rango_Admin_DailyPred,MATCH($F100,Rango_Admin_DailyPred_Primera,0),0),"-")</f>
        <v>-</v>
      </c>
      <c r="AD100" s="429" t="str">
        <f ca="1">IFERROR(VLOOKUP(AD$2,Rango_Admin_DailyPred,MATCH($F100,Rango_Admin_DailyPred_Primera,0),0),"-")</f>
        <v>-</v>
      </c>
      <c r="AE100" s="429" t="str">
        <f ca="1">IFERROR(VLOOKUP(AE$2,Rango_Admin_DailyPred,MATCH($F100,Rango_Admin_DailyPred_Primera,0),0),"-")</f>
        <v>-</v>
      </c>
      <c r="AF100" s="429" t="str">
        <f ca="1">IFERROR(VLOOKUP(AF$2,Rango_Admin_DailyPred,MATCH($F100,Rango_Admin_DailyPred_Primera,0),0),"-")</f>
        <v>-</v>
      </c>
      <c r="AG100" s="429" t="str">
        <f ca="1">IFERROR(VLOOKUP(AG$2,Rango_Admin_DailyPred,MATCH($F100,Rango_Admin_DailyPred_Primera,0),0),"-")</f>
        <v>-</v>
      </c>
      <c r="AH100" s="429" t="str">
        <f ca="1">IFERROR(VLOOKUP(AH$2,Rango_Admin_DailyPred,MATCH($F100,Rango_Admin_DailyPred_Primera,0),0),"-")</f>
        <v>-</v>
      </c>
      <c r="AI100" s="429" t="str">
        <f ca="1">IFERROR(VLOOKUP(AI$2,Rango_Admin_DailyPred,MATCH($F100,Rango_Admin_DailyPred_Primera,0),0),"-")</f>
        <v>-</v>
      </c>
      <c r="AJ100" s="429" t="str">
        <f ca="1">IFERROR(VLOOKUP(AJ$2,Rango_Admin_DailyPred,MATCH($F100,Rango_Admin_DailyPred_Primera,0),0),"-")</f>
        <v>-</v>
      </c>
      <c r="AK100" s="429" t="str">
        <f ca="1">IFERROR(VLOOKUP(AK$2,Rango_Admin_DailyPred,MATCH($F100,Rango_Admin_DailyPred_Primera,0),0),"-")</f>
        <v>-</v>
      </c>
      <c r="AL100" s="429" t="str">
        <f ca="1">IFERROR(VLOOKUP(AL$2,Rango_Admin_DailyPred,MATCH($F100,Rango_Admin_DailyPred_Primera,0),0),"-")</f>
        <v>-</v>
      </c>
      <c r="AM100" s="297"/>
      <c r="AN100" s="297"/>
      <c r="AO100" s="297"/>
    </row>
    <row r="101" spans="5:41">
      <c r="E101" s="19">
        <f t="shared" si="2"/>
        <v>300</v>
      </c>
      <c r="F101" s="448" t="str" cm="1">
        <f t="array" ref="F101">IFERROR(INDEX(Rango_Admin_DailyPred_Primera,1,E101),"-")</f>
        <v>-</v>
      </c>
      <c r="G101" s="429" t="str">
        <f ca="1">IFERROR(VLOOKUP(G$2,Rango_Admin_DailyPred,MATCH($F101,Rango_Admin_DailyPred_Primera,0),0),"-")</f>
        <v>-</v>
      </c>
      <c r="H101" s="429" t="str">
        <f ca="1">IFERROR(VLOOKUP(H$2,Rango_Admin_DailyPred,MATCH($F101,Rango_Admin_DailyPred_Primera,0),0),"-")</f>
        <v>-</v>
      </c>
      <c r="I101" s="429" t="str">
        <f ca="1">IFERROR(VLOOKUP(I$2,Rango_Admin_DailyPred,MATCH($F101,Rango_Admin_DailyPred_Primera,0),0),"-")</f>
        <v>-</v>
      </c>
      <c r="J101" s="429" t="str">
        <f ca="1">IFERROR(VLOOKUP(J$2,Rango_Admin_DailyPred,MATCH($F101,Rango_Admin_DailyPred_Primera,0),0),"-")</f>
        <v>-</v>
      </c>
      <c r="K101" s="429" t="str">
        <f ca="1">IFERROR(VLOOKUP(K$2,Rango_Admin_DailyPred,MATCH($F101,Rango_Admin_DailyPred_Primera,0),0),"-")</f>
        <v>-</v>
      </c>
      <c r="L101" s="429" t="str">
        <f ca="1">IFERROR(VLOOKUP(L$2,Rango_Admin_DailyPred,MATCH($F101,Rango_Admin_DailyPred_Primera,0),0),"-")</f>
        <v>-</v>
      </c>
      <c r="M101" s="429" t="str">
        <f ca="1">IFERROR(VLOOKUP(M$2,Rango_Admin_DailyPred,MATCH($F101,Rango_Admin_DailyPred_Primera,0),0),"-")</f>
        <v>-</v>
      </c>
      <c r="N101" s="429" t="str">
        <f ca="1">IFERROR(VLOOKUP(N$2,Rango_Admin_DailyPred,MATCH($F101,Rango_Admin_DailyPred_Primera,0),0),"-")</f>
        <v>-</v>
      </c>
      <c r="O101" s="429" t="str">
        <f ca="1">IFERROR(VLOOKUP(O$2,Rango_Admin_DailyPred,MATCH($F101,Rango_Admin_DailyPred_Primera,0),0),"-")</f>
        <v>-</v>
      </c>
      <c r="P101" s="429" t="str">
        <f ca="1">IFERROR(VLOOKUP(P$2,Rango_Admin_DailyPred,MATCH($F101,Rango_Admin_DailyPred_Primera,0),0),"-")</f>
        <v>-</v>
      </c>
      <c r="Q101" s="429" t="str">
        <f ca="1">IFERROR(VLOOKUP(Q$2,Rango_Admin_DailyPred,MATCH($F101,Rango_Admin_DailyPred_Primera,0),0),"-")</f>
        <v>-</v>
      </c>
      <c r="R101" s="429" t="str">
        <f ca="1">IFERROR(VLOOKUP(R$2,Rango_Admin_DailyPred,MATCH($F101,Rango_Admin_DailyPred_Primera,0),0),"-")</f>
        <v>-</v>
      </c>
      <c r="S101" s="429" t="str">
        <f ca="1">IFERROR(VLOOKUP(S$2,Rango_Admin_DailyPred,MATCH($F101,Rango_Admin_DailyPred_Primera,0),0),"-")</f>
        <v>-</v>
      </c>
      <c r="T101" s="429" t="str">
        <f ca="1">IFERROR(VLOOKUP(T$2,Rango_Admin_DailyPred,MATCH($F101,Rango_Admin_DailyPred_Primera,0),0),"-")</f>
        <v>-</v>
      </c>
      <c r="U101" s="429" t="str">
        <f ca="1">IFERROR(VLOOKUP(U$2,Rango_Admin_DailyPred,MATCH($F101,Rango_Admin_DailyPred_Primera,0),0),"-")</f>
        <v>-</v>
      </c>
      <c r="V101" s="429" t="str">
        <f ca="1">IFERROR(VLOOKUP(V$2,Rango_Admin_DailyPred,MATCH($F101,Rango_Admin_DailyPred_Primera,0),0),"-")</f>
        <v>-</v>
      </c>
      <c r="W101" s="429" t="str">
        <f ca="1">IFERROR(VLOOKUP(W$2,Rango_Admin_DailyPred,MATCH($F101,Rango_Admin_DailyPred_Primera,0),0),"-")</f>
        <v>-</v>
      </c>
      <c r="X101" s="429" t="str">
        <f ca="1">IFERROR(VLOOKUP(X$2,Rango_Admin_DailyPred,MATCH($F101,Rango_Admin_DailyPred_Primera,0),0),"-")</f>
        <v>-</v>
      </c>
      <c r="Y101" s="429" t="str">
        <f ca="1">IFERROR(VLOOKUP(Y$2,Rango_Admin_DailyPred,MATCH($F101,Rango_Admin_DailyPred_Primera,0),0),"-")</f>
        <v>-</v>
      </c>
      <c r="Z101" s="429" t="str">
        <f ca="1">IFERROR(VLOOKUP(Z$2,Rango_Admin_DailyPred,MATCH($F101,Rango_Admin_DailyPred_Primera,0),0),"-")</f>
        <v>-</v>
      </c>
      <c r="AA101" s="429" t="str">
        <f ca="1">IFERROR(VLOOKUP(AA$2,Rango_Admin_DailyPred,MATCH($F101,Rango_Admin_DailyPred_Primera,0),0),"-")</f>
        <v>-</v>
      </c>
      <c r="AB101" s="429" t="str">
        <f ca="1">IFERROR(VLOOKUP(AB$2,Rango_Admin_DailyPred,MATCH($F101,Rango_Admin_DailyPred_Primera,0),0),"-")</f>
        <v>-</v>
      </c>
      <c r="AC101" s="429" t="str">
        <f ca="1">IFERROR(VLOOKUP(AC$2,Rango_Admin_DailyPred,MATCH($F101,Rango_Admin_DailyPred_Primera,0),0),"-")</f>
        <v>-</v>
      </c>
      <c r="AD101" s="429" t="str">
        <f ca="1">IFERROR(VLOOKUP(AD$2,Rango_Admin_DailyPred,MATCH($F101,Rango_Admin_DailyPred_Primera,0),0),"-")</f>
        <v>-</v>
      </c>
      <c r="AE101" s="429" t="str">
        <f ca="1">IFERROR(VLOOKUP(AE$2,Rango_Admin_DailyPred,MATCH($F101,Rango_Admin_DailyPred_Primera,0),0),"-")</f>
        <v>-</v>
      </c>
      <c r="AF101" s="429" t="str">
        <f ca="1">IFERROR(VLOOKUP(AF$2,Rango_Admin_DailyPred,MATCH($F101,Rango_Admin_DailyPred_Primera,0),0),"-")</f>
        <v>-</v>
      </c>
      <c r="AG101" s="429" t="str">
        <f ca="1">IFERROR(VLOOKUP(AG$2,Rango_Admin_DailyPred,MATCH($F101,Rango_Admin_DailyPred_Primera,0),0),"-")</f>
        <v>-</v>
      </c>
      <c r="AH101" s="429" t="str">
        <f ca="1">IFERROR(VLOOKUP(AH$2,Rango_Admin_DailyPred,MATCH($F101,Rango_Admin_DailyPred_Primera,0),0),"-")</f>
        <v>-</v>
      </c>
      <c r="AI101" s="429" t="str">
        <f ca="1">IFERROR(VLOOKUP(AI$2,Rango_Admin_DailyPred,MATCH($F101,Rango_Admin_DailyPred_Primera,0),0),"-")</f>
        <v>-</v>
      </c>
      <c r="AJ101" s="429" t="str">
        <f ca="1">IFERROR(VLOOKUP(AJ$2,Rango_Admin_DailyPred,MATCH($F101,Rango_Admin_DailyPred_Primera,0),0),"-")</f>
        <v>-</v>
      </c>
      <c r="AK101" s="429" t="str">
        <f ca="1">IFERROR(VLOOKUP(AK$2,Rango_Admin_DailyPred,MATCH($F101,Rango_Admin_DailyPred_Primera,0),0),"-")</f>
        <v>-</v>
      </c>
      <c r="AL101" s="429" t="str">
        <f ca="1">IFERROR(VLOOKUP(AL$2,Rango_Admin_DailyPred,MATCH($F101,Rango_Admin_DailyPred_Primera,0),0),"-")</f>
        <v>-</v>
      </c>
      <c r="AM101" s="297"/>
      <c r="AN101" s="297"/>
      <c r="AO101" s="297"/>
    </row>
    <row r="102" spans="5:41">
      <c r="E102" s="19">
        <f t="shared" si="2"/>
        <v>303</v>
      </c>
      <c r="F102" s="448" t="str" cm="1">
        <f t="array" ref="F102">IFERROR(INDEX(Rango_Admin_DailyPred_Primera,1,E102),"-")</f>
        <v>-</v>
      </c>
      <c r="G102" s="429" t="str">
        <f ca="1">IFERROR(VLOOKUP(G$2,Rango_Admin_DailyPred,MATCH($F102,Rango_Admin_DailyPred_Primera,0),0),"-")</f>
        <v>-</v>
      </c>
      <c r="H102" s="429" t="str">
        <f ca="1">IFERROR(VLOOKUP(H$2,Rango_Admin_DailyPred,MATCH($F102,Rango_Admin_DailyPred_Primera,0),0),"-")</f>
        <v>-</v>
      </c>
      <c r="I102" s="429" t="str">
        <f ca="1">IFERROR(VLOOKUP(I$2,Rango_Admin_DailyPred,MATCH($F102,Rango_Admin_DailyPred_Primera,0),0),"-")</f>
        <v>-</v>
      </c>
      <c r="J102" s="429" t="str">
        <f ca="1">IFERROR(VLOOKUP(J$2,Rango_Admin_DailyPred,MATCH($F102,Rango_Admin_DailyPred_Primera,0),0),"-")</f>
        <v>-</v>
      </c>
      <c r="K102" s="429" t="str">
        <f ca="1">IFERROR(VLOOKUP(K$2,Rango_Admin_DailyPred,MATCH($F102,Rango_Admin_DailyPred_Primera,0),0),"-")</f>
        <v>-</v>
      </c>
      <c r="L102" s="429" t="str">
        <f ca="1">IFERROR(VLOOKUP(L$2,Rango_Admin_DailyPred,MATCH($F102,Rango_Admin_DailyPred_Primera,0),0),"-")</f>
        <v>-</v>
      </c>
      <c r="M102" s="429" t="str">
        <f ca="1">IFERROR(VLOOKUP(M$2,Rango_Admin_DailyPred,MATCH($F102,Rango_Admin_DailyPred_Primera,0),0),"-")</f>
        <v>-</v>
      </c>
      <c r="N102" s="429" t="str">
        <f ca="1">IFERROR(VLOOKUP(N$2,Rango_Admin_DailyPred,MATCH($F102,Rango_Admin_DailyPred_Primera,0),0),"-")</f>
        <v>-</v>
      </c>
      <c r="O102" s="429" t="str">
        <f ca="1">IFERROR(VLOOKUP(O$2,Rango_Admin_DailyPred,MATCH($F102,Rango_Admin_DailyPred_Primera,0),0),"-")</f>
        <v>-</v>
      </c>
      <c r="P102" s="429" t="str">
        <f ca="1">IFERROR(VLOOKUP(P$2,Rango_Admin_DailyPred,MATCH($F102,Rango_Admin_DailyPred_Primera,0),0),"-")</f>
        <v>-</v>
      </c>
      <c r="Q102" s="429" t="str">
        <f ca="1">IFERROR(VLOOKUP(Q$2,Rango_Admin_DailyPred,MATCH($F102,Rango_Admin_DailyPred_Primera,0),0),"-")</f>
        <v>-</v>
      </c>
      <c r="R102" s="429" t="str">
        <f ca="1">IFERROR(VLOOKUP(R$2,Rango_Admin_DailyPred,MATCH($F102,Rango_Admin_DailyPred_Primera,0),0),"-")</f>
        <v>-</v>
      </c>
      <c r="S102" s="429" t="str">
        <f ca="1">IFERROR(VLOOKUP(S$2,Rango_Admin_DailyPred,MATCH($F102,Rango_Admin_DailyPred_Primera,0),0),"-")</f>
        <v>-</v>
      </c>
      <c r="T102" s="429" t="str">
        <f ca="1">IFERROR(VLOOKUP(T$2,Rango_Admin_DailyPred,MATCH($F102,Rango_Admin_DailyPred_Primera,0),0),"-")</f>
        <v>-</v>
      </c>
      <c r="U102" s="429" t="str">
        <f ca="1">IFERROR(VLOOKUP(U$2,Rango_Admin_DailyPred,MATCH($F102,Rango_Admin_DailyPred_Primera,0),0),"-")</f>
        <v>-</v>
      </c>
      <c r="V102" s="429" t="str">
        <f ca="1">IFERROR(VLOOKUP(V$2,Rango_Admin_DailyPred,MATCH($F102,Rango_Admin_DailyPred_Primera,0),0),"-")</f>
        <v>-</v>
      </c>
      <c r="W102" s="429" t="str">
        <f ca="1">IFERROR(VLOOKUP(W$2,Rango_Admin_DailyPred,MATCH($F102,Rango_Admin_DailyPred_Primera,0),0),"-")</f>
        <v>-</v>
      </c>
      <c r="X102" s="429" t="str">
        <f ca="1">IFERROR(VLOOKUP(X$2,Rango_Admin_DailyPred,MATCH($F102,Rango_Admin_DailyPred_Primera,0),0),"-")</f>
        <v>-</v>
      </c>
      <c r="Y102" s="429" t="str">
        <f ca="1">IFERROR(VLOOKUP(Y$2,Rango_Admin_DailyPred,MATCH($F102,Rango_Admin_DailyPred_Primera,0),0),"-")</f>
        <v>-</v>
      </c>
      <c r="Z102" s="429" t="str">
        <f ca="1">IFERROR(VLOOKUP(Z$2,Rango_Admin_DailyPred,MATCH($F102,Rango_Admin_DailyPred_Primera,0),0),"-")</f>
        <v>-</v>
      </c>
      <c r="AA102" s="429" t="str">
        <f ca="1">IFERROR(VLOOKUP(AA$2,Rango_Admin_DailyPred,MATCH($F102,Rango_Admin_DailyPred_Primera,0),0),"-")</f>
        <v>-</v>
      </c>
      <c r="AB102" s="429" t="str">
        <f ca="1">IFERROR(VLOOKUP(AB$2,Rango_Admin_DailyPred,MATCH($F102,Rango_Admin_DailyPred_Primera,0),0),"-")</f>
        <v>-</v>
      </c>
      <c r="AC102" s="429" t="str">
        <f ca="1">IFERROR(VLOOKUP(AC$2,Rango_Admin_DailyPred,MATCH($F102,Rango_Admin_DailyPred_Primera,0),0),"-")</f>
        <v>-</v>
      </c>
      <c r="AD102" s="429" t="str">
        <f ca="1">IFERROR(VLOOKUP(AD$2,Rango_Admin_DailyPred,MATCH($F102,Rango_Admin_DailyPred_Primera,0),0),"-")</f>
        <v>-</v>
      </c>
      <c r="AE102" s="429" t="str">
        <f ca="1">IFERROR(VLOOKUP(AE$2,Rango_Admin_DailyPred,MATCH($F102,Rango_Admin_DailyPred_Primera,0),0),"-")</f>
        <v>-</v>
      </c>
      <c r="AF102" s="429" t="str">
        <f ca="1">IFERROR(VLOOKUP(AF$2,Rango_Admin_DailyPred,MATCH($F102,Rango_Admin_DailyPred_Primera,0),0),"-")</f>
        <v>-</v>
      </c>
      <c r="AG102" s="429" t="str">
        <f ca="1">IFERROR(VLOOKUP(AG$2,Rango_Admin_DailyPred,MATCH($F102,Rango_Admin_DailyPred_Primera,0),0),"-")</f>
        <v>-</v>
      </c>
      <c r="AH102" s="429" t="str">
        <f ca="1">IFERROR(VLOOKUP(AH$2,Rango_Admin_DailyPred,MATCH($F102,Rango_Admin_DailyPred_Primera,0),0),"-")</f>
        <v>-</v>
      </c>
      <c r="AI102" s="429" t="str">
        <f ca="1">IFERROR(VLOOKUP(AI$2,Rango_Admin_DailyPred,MATCH($F102,Rango_Admin_DailyPred_Primera,0),0),"-")</f>
        <v>-</v>
      </c>
      <c r="AJ102" s="429" t="str">
        <f ca="1">IFERROR(VLOOKUP(AJ$2,Rango_Admin_DailyPred,MATCH($F102,Rango_Admin_DailyPred_Primera,0),0),"-")</f>
        <v>-</v>
      </c>
      <c r="AK102" s="429" t="str">
        <f ca="1">IFERROR(VLOOKUP(AK$2,Rango_Admin_DailyPred,MATCH($F102,Rango_Admin_DailyPred_Primera,0),0),"-")</f>
        <v>-</v>
      </c>
      <c r="AL102" s="429" t="str">
        <f ca="1">IFERROR(VLOOKUP(AL$2,Rango_Admin_DailyPred,MATCH($F102,Rango_Admin_DailyPred_Primera,0),0),"-")</f>
        <v>-</v>
      </c>
      <c r="AM102" s="297"/>
      <c r="AN102" s="297"/>
      <c r="AO102" s="297"/>
    </row>
    <row r="103" spans="5:41">
      <c r="E103" s="19">
        <f t="shared" si="2"/>
        <v>306</v>
      </c>
      <c r="F103" s="448" t="str" cm="1">
        <f t="array" ref="F103">IFERROR(INDEX(Rango_Admin_DailyPred_Primera,1,E103),"-")</f>
        <v>-</v>
      </c>
      <c r="G103" s="429" t="str">
        <f ca="1">IFERROR(VLOOKUP(G$2,Rango_Admin_DailyPred,MATCH($F103,Rango_Admin_DailyPred_Primera,0),0),"-")</f>
        <v>-</v>
      </c>
      <c r="H103" s="429" t="str">
        <f ca="1">IFERROR(VLOOKUP(H$2,Rango_Admin_DailyPred,MATCH($F103,Rango_Admin_DailyPred_Primera,0),0),"-")</f>
        <v>-</v>
      </c>
      <c r="I103" s="429" t="str">
        <f ca="1">IFERROR(VLOOKUP(I$2,Rango_Admin_DailyPred,MATCH($F103,Rango_Admin_DailyPred_Primera,0),0),"-")</f>
        <v>-</v>
      </c>
      <c r="J103" s="429" t="str">
        <f ca="1">IFERROR(VLOOKUP(J$2,Rango_Admin_DailyPred,MATCH($F103,Rango_Admin_DailyPred_Primera,0),0),"-")</f>
        <v>-</v>
      </c>
      <c r="K103" s="429" t="str">
        <f ca="1">IFERROR(VLOOKUP(K$2,Rango_Admin_DailyPred,MATCH($F103,Rango_Admin_DailyPred_Primera,0),0),"-")</f>
        <v>-</v>
      </c>
      <c r="L103" s="429" t="str">
        <f ca="1">IFERROR(VLOOKUP(L$2,Rango_Admin_DailyPred,MATCH($F103,Rango_Admin_DailyPred_Primera,0),0),"-")</f>
        <v>-</v>
      </c>
      <c r="M103" s="429" t="str">
        <f ca="1">IFERROR(VLOOKUP(M$2,Rango_Admin_DailyPred,MATCH($F103,Rango_Admin_DailyPred_Primera,0),0),"-")</f>
        <v>-</v>
      </c>
      <c r="N103" s="429" t="str">
        <f ca="1">IFERROR(VLOOKUP(N$2,Rango_Admin_DailyPred,MATCH($F103,Rango_Admin_DailyPred_Primera,0),0),"-")</f>
        <v>-</v>
      </c>
      <c r="O103" s="429" t="str">
        <f ca="1">IFERROR(VLOOKUP(O$2,Rango_Admin_DailyPred,MATCH($F103,Rango_Admin_DailyPred_Primera,0),0),"-")</f>
        <v>-</v>
      </c>
      <c r="P103" s="429" t="str">
        <f ca="1">IFERROR(VLOOKUP(P$2,Rango_Admin_DailyPred,MATCH($F103,Rango_Admin_DailyPred_Primera,0),0),"-")</f>
        <v>-</v>
      </c>
      <c r="Q103" s="429" t="str">
        <f ca="1">IFERROR(VLOOKUP(Q$2,Rango_Admin_DailyPred,MATCH($F103,Rango_Admin_DailyPred_Primera,0),0),"-")</f>
        <v>-</v>
      </c>
      <c r="R103" s="429" t="str">
        <f ca="1">IFERROR(VLOOKUP(R$2,Rango_Admin_DailyPred,MATCH($F103,Rango_Admin_DailyPred_Primera,0),0),"-")</f>
        <v>-</v>
      </c>
      <c r="S103" s="429" t="str">
        <f ca="1">IFERROR(VLOOKUP(S$2,Rango_Admin_DailyPred,MATCH($F103,Rango_Admin_DailyPred_Primera,0),0),"-")</f>
        <v>-</v>
      </c>
      <c r="T103" s="429" t="str">
        <f ca="1">IFERROR(VLOOKUP(T$2,Rango_Admin_DailyPred,MATCH($F103,Rango_Admin_DailyPred_Primera,0),0),"-")</f>
        <v>-</v>
      </c>
      <c r="U103" s="429" t="str">
        <f ca="1">IFERROR(VLOOKUP(U$2,Rango_Admin_DailyPred,MATCH($F103,Rango_Admin_DailyPred_Primera,0),0),"-")</f>
        <v>-</v>
      </c>
      <c r="V103" s="429" t="str">
        <f ca="1">IFERROR(VLOOKUP(V$2,Rango_Admin_DailyPred,MATCH($F103,Rango_Admin_DailyPred_Primera,0),0),"-")</f>
        <v>-</v>
      </c>
      <c r="W103" s="429" t="str">
        <f ca="1">IFERROR(VLOOKUP(W$2,Rango_Admin_DailyPred,MATCH($F103,Rango_Admin_DailyPred_Primera,0),0),"-")</f>
        <v>-</v>
      </c>
      <c r="X103" s="429" t="str">
        <f ca="1">IFERROR(VLOOKUP(X$2,Rango_Admin_DailyPred,MATCH($F103,Rango_Admin_DailyPred_Primera,0),0),"-")</f>
        <v>-</v>
      </c>
      <c r="Y103" s="429" t="str">
        <f ca="1">IFERROR(VLOOKUP(Y$2,Rango_Admin_DailyPred,MATCH($F103,Rango_Admin_DailyPred_Primera,0),0),"-")</f>
        <v>-</v>
      </c>
      <c r="Z103" s="429" t="str">
        <f ca="1">IFERROR(VLOOKUP(Z$2,Rango_Admin_DailyPred,MATCH($F103,Rango_Admin_DailyPred_Primera,0),0),"-")</f>
        <v>-</v>
      </c>
      <c r="AA103" s="429" t="str">
        <f ca="1">IFERROR(VLOOKUP(AA$2,Rango_Admin_DailyPred,MATCH($F103,Rango_Admin_DailyPred_Primera,0),0),"-")</f>
        <v>-</v>
      </c>
      <c r="AB103" s="429" t="str">
        <f ca="1">IFERROR(VLOOKUP(AB$2,Rango_Admin_DailyPred,MATCH($F103,Rango_Admin_DailyPred_Primera,0),0),"-")</f>
        <v>-</v>
      </c>
      <c r="AC103" s="429" t="str">
        <f ca="1">IFERROR(VLOOKUP(AC$2,Rango_Admin_DailyPred,MATCH($F103,Rango_Admin_DailyPred_Primera,0),0),"-")</f>
        <v>-</v>
      </c>
      <c r="AD103" s="429" t="str">
        <f ca="1">IFERROR(VLOOKUP(AD$2,Rango_Admin_DailyPred,MATCH($F103,Rango_Admin_DailyPred_Primera,0),0),"-")</f>
        <v>-</v>
      </c>
      <c r="AE103" s="429" t="str">
        <f ca="1">IFERROR(VLOOKUP(AE$2,Rango_Admin_DailyPred,MATCH($F103,Rango_Admin_DailyPred_Primera,0),0),"-")</f>
        <v>-</v>
      </c>
      <c r="AF103" s="429" t="str">
        <f ca="1">IFERROR(VLOOKUP(AF$2,Rango_Admin_DailyPred,MATCH($F103,Rango_Admin_DailyPred_Primera,0),0),"-")</f>
        <v>-</v>
      </c>
      <c r="AG103" s="429" t="str">
        <f ca="1">IFERROR(VLOOKUP(AG$2,Rango_Admin_DailyPred,MATCH($F103,Rango_Admin_DailyPred_Primera,0),0),"-")</f>
        <v>-</v>
      </c>
      <c r="AH103" s="429" t="str">
        <f ca="1">IFERROR(VLOOKUP(AH$2,Rango_Admin_DailyPred,MATCH($F103,Rango_Admin_DailyPred_Primera,0),0),"-")</f>
        <v>-</v>
      </c>
      <c r="AI103" s="429" t="str">
        <f ca="1">IFERROR(VLOOKUP(AI$2,Rango_Admin_DailyPred,MATCH($F103,Rango_Admin_DailyPred_Primera,0),0),"-")</f>
        <v>-</v>
      </c>
      <c r="AJ103" s="429" t="str">
        <f ca="1">IFERROR(VLOOKUP(AJ$2,Rango_Admin_DailyPred,MATCH($F103,Rango_Admin_DailyPred_Primera,0),0),"-")</f>
        <v>-</v>
      </c>
      <c r="AK103" s="429" t="str">
        <f ca="1">IFERROR(VLOOKUP(AK$2,Rango_Admin_DailyPred,MATCH($F103,Rango_Admin_DailyPred_Primera,0),0),"-")</f>
        <v>-</v>
      </c>
      <c r="AL103" s="429" t="str">
        <f ca="1">IFERROR(VLOOKUP(AL$2,Rango_Admin_DailyPred,MATCH($F103,Rango_Admin_DailyPred_Primera,0),0),"-")</f>
        <v>-</v>
      </c>
      <c r="AM103" s="297"/>
      <c r="AN103" s="297"/>
      <c r="AO103" s="297"/>
    </row>
    <row r="104" spans="5:41">
      <c r="E104" s="19"/>
      <c r="F104" s="297"/>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c r="AK104" s="441"/>
      <c r="AL104" s="441"/>
      <c r="AM104" s="297"/>
      <c r="AN104" s="297"/>
      <c r="AO104" s="297"/>
    </row>
    <row r="105" spans="5:41">
      <c r="E105" s="19"/>
      <c r="F105" s="297"/>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c r="AK105" s="441"/>
      <c r="AL105" s="441"/>
      <c r="AM105" s="297"/>
      <c r="AN105" s="297"/>
      <c r="AO105" s="297"/>
    </row>
    <row r="106" spans="5:41">
      <c r="E106" s="19"/>
      <c r="F106" s="297"/>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297"/>
      <c r="AN106" s="297"/>
      <c r="AO106" s="297"/>
    </row>
    <row r="107" spans="5:41">
      <c r="E107" s="19"/>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297"/>
      <c r="AE107" s="297"/>
      <c r="AF107" s="297"/>
      <c r="AG107" s="297"/>
      <c r="AH107" s="297"/>
      <c r="AI107" s="297"/>
      <c r="AJ107" s="297"/>
      <c r="AK107" s="297"/>
      <c r="AL107" s="297"/>
      <c r="AM107" s="297"/>
      <c r="AN107" s="297"/>
      <c r="AO107" s="297"/>
    </row>
    <row r="108" spans="5:41">
      <c r="E108" s="19"/>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297"/>
      <c r="AE108" s="297"/>
      <c r="AF108" s="297"/>
      <c r="AG108" s="297"/>
      <c r="AH108" s="297"/>
      <c r="AI108" s="297"/>
      <c r="AJ108" s="297"/>
      <c r="AK108" s="297"/>
      <c r="AL108" s="297"/>
      <c r="AM108" s="297"/>
      <c r="AN108" s="297"/>
      <c r="AO108" s="297"/>
    </row>
    <row r="109" spans="5:41">
      <c r="E109" s="19"/>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297"/>
      <c r="AE109" s="297"/>
      <c r="AF109" s="297"/>
      <c r="AG109" s="297"/>
      <c r="AH109" s="297"/>
      <c r="AI109" s="297"/>
      <c r="AJ109" s="297"/>
      <c r="AK109" s="297"/>
      <c r="AL109" s="297"/>
      <c r="AM109" s="297"/>
      <c r="AN109" s="297"/>
      <c r="AO109" s="297"/>
    </row>
    <row r="110" spans="5:41">
      <c r="E110" s="19"/>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297"/>
      <c r="AE110" s="297"/>
      <c r="AF110" s="297"/>
      <c r="AG110" s="297"/>
      <c r="AH110" s="297"/>
      <c r="AI110" s="297"/>
      <c r="AJ110" s="297"/>
      <c r="AK110" s="297"/>
      <c r="AL110" s="297"/>
      <c r="AM110" s="297"/>
      <c r="AN110" s="297"/>
      <c r="AO110" s="297"/>
    </row>
    <row r="111" spans="5:41">
      <c r="E111" s="19"/>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97"/>
      <c r="AK111" s="297"/>
      <c r="AL111" s="297"/>
      <c r="AM111" s="297"/>
      <c r="AN111" s="297"/>
      <c r="AO111" s="297"/>
    </row>
    <row r="112" spans="5:41">
      <c r="E112" s="19"/>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297"/>
      <c r="AK112" s="297"/>
      <c r="AL112" s="297"/>
      <c r="AM112" s="297"/>
      <c r="AN112" s="297"/>
      <c r="AO112" s="297"/>
    </row>
    <row r="113" spans="5:41">
      <c r="E113" s="19"/>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row>
    <row r="114" spans="5:41">
      <c r="E114" s="19"/>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97"/>
      <c r="AK114" s="297"/>
      <c r="AL114" s="297"/>
      <c r="AM114" s="297"/>
      <c r="AN114" s="297"/>
      <c r="AO114" s="297"/>
    </row>
    <row r="115" spans="5:41">
      <c r="E115" s="19"/>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297"/>
      <c r="AF115" s="297"/>
      <c r="AG115" s="297"/>
      <c r="AH115" s="297"/>
      <c r="AI115" s="297"/>
      <c r="AJ115" s="297"/>
      <c r="AK115" s="297"/>
      <c r="AL115" s="297"/>
      <c r="AM115" s="297"/>
      <c r="AN115" s="297"/>
      <c r="AO115" s="297"/>
    </row>
    <row r="116" spans="5:41">
      <c r="E116" s="19"/>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row>
    <row r="117" spans="5:41">
      <c r="E117" s="19"/>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row>
    <row r="118" spans="5:41">
      <c r="E118" s="19"/>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297"/>
      <c r="AK118" s="297"/>
      <c r="AL118" s="297"/>
      <c r="AM118" s="297"/>
      <c r="AN118" s="297"/>
      <c r="AO118" s="297"/>
    </row>
    <row r="119" spans="5:41">
      <c r="E119" s="19"/>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297"/>
      <c r="AF119" s="297"/>
      <c r="AG119" s="297"/>
      <c r="AH119" s="297"/>
      <c r="AI119" s="297"/>
      <c r="AJ119" s="297"/>
      <c r="AK119" s="297"/>
      <c r="AL119" s="297"/>
      <c r="AM119" s="297"/>
      <c r="AN119" s="297"/>
      <c r="AO119" s="297"/>
    </row>
    <row r="120" spans="5:41">
      <c r="E120" s="19"/>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297"/>
      <c r="AK120" s="297"/>
      <c r="AL120" s="297"/>
      <c r="AM120" s="297"/>
      <c r="AN120" s="297"/>
      <c r="AO120" s="297"/>
    </row>
    <row r="121" spans="5:41">
      <c r="E121" s="19"/>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row>
    <row r="122" spans="5:41">
      <c r="E122" s="19"/>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297"/>
      <c r="AK122" s="297"/>
      <c r="AL122" s="297"/>
      <c r="AM122" s="297"/>
      <c r="AN122" s="297"/>
      <c r="AO122" s="297"/>
    </row>
    <row r="123" spans="5:41">
      <c r="E123" s="19"/>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7"/>
      <c r="AN123" s="297"/>
      <c r="AO123" s="297"/>
    </row>
    <row r="124" spans="5:41">
      <c r="E124" s="19"/>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c r="AF124" s="297"/>
      <c r="AG124" s="297"/>
      <c r="AH124" s="297"/>
      <c r="AI124" s="297"/>
      <c r="AJ124" s="297"/>
      <c r="AK124" s="297"/>
      <c r="AL124" s="297"/>
      <c r="AM124" s="297"/>
      <c r="AN124" s="297"/>
      <c r="AO124" s="297"/>
    </row>
    <row r="125" spans="5:41">
      <c r="E125" s="19"/>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297"/>
      <c r="AK125" s="297"/>
      <c r="AL125" s="297"/>
      <c r="AM125" s="297"/>
      <c r="AN125" s="297"/>
      <c r="AO125" s="297"/>
    </row>
    <row r="126" spans="5:41">
      <c r="E126" s="19"/>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F126" s="297"/>
      <c r="AG126" s="297"/>
      <c r="AH126" s="297"/>
      <c r="AI126" s="297"/>
      <c r="AJ126" s="297"/>
      <c r="AK126" s="297"/>
      <c r="AL126" s="297"/>
      <c r="AM126" s="297"/>
      <c r="AN126" s="297"/>
      <c r="AO126" s="297"/>
    </row>
    <row r="127" spans="5:41">
      <c r="E127" s="19"/>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297"/>
      <c r="AK127" s="297"/>
      <c r="AL127" s="297"/>
      <c r="AM127" s="297"/>
      <c r="AN127" s="297"/>
      <c r="AO127" s="297"/>
    </row>
  </sheetData>
  <sheetProtection algorithmName="SHA-512" hashValue="lJZJhAsoLeWUf9n4x00Damk1k1IO4QhT2jr3YYOeK8T7ySsmivSte/9NmivAuwaZE4Fi/EJk2bElM3r1dIfF8w==" saltValue="w9AkQ9omUj32DDhjO6DcBQ==" spinCount="100000" sheet="1" objects="1" scenarios="1" formatColumns="0"/>
  <dataValidations count="1">
    <dataValidation type="list" allowBlank="1" showInputMessage="1" showErrorMessage="1" sqref="H1" xr:uid="{1527229D-2C58-A743-9281-16B7F10B6826}">
      <formula1>Lista_fechas_rondas</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 id="{6B9A433D-9C42-6243-A008-F5DBEEC47A00}">
            <xm:f>AND((INDEX(ADMIN!$5:$5,1,ADMIN!$D$5*3+18)&gt;=ROW()-3),MOD(ROW(),2)=0)</xm:f>
            <x14:dxf>
              <font>
                <color rgb="FF1B4066"/>
              </font>
              <fill>
                <patternFill>
                  <bgColor theme="0" tint="-0.14996795556505021"/>
                </patternFill>
              </fill>
            </x14:dxf>
          </x14:cfRule>
          <x14:cfRule type="expression" priority="5" id="{4AB67671-0779-0D48-BCBB-8C2C52495E9F}">
            <xm:f>AND((INDEX(ADMIN!$5:$5,1,ADMIN!$D$5*3+18)&gt;=ROW()-3),MOD(ROW(),2)=1)</xm:f>
            <x14:dxf>
              <font>
                <color rgb="FF1B4066"/>
              </font>
              <fill>
                <patternFill>
                  <bgColor theme="0"/>
                </patternFill>
              </fill>
            </x14:dxf>
          </x14:cfRule>
          <xm:sqref>F4:AL103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6B9E-16DC-824C-AFB1-BCB20B114BDE}">
  <sheetPr codeName="Hoja16"/>
  <dimension ref="A1:AN122"/>
  <sheetViews>
    <sheetView showGridLines="0" showRowColHeaders="0" topLeftCell="G1" workbookViewId="0">
      <selection activeCell="I1" sqref="I1"/>
    </sheetView>
  </sheetViews>
  <sheetFormatPr defaultColWidth="0" defaultRowHeight="15"/>
  <cols>
    <col min="1" max="1" width="25.28515625" style="5" hidden="1" customWidth="1"/>
    <col min="2" max="2" width="35.28515625" style="5" hidden="1" customWidth="1"/>
    <col min="3" max="3" width="10.7109375" style="5" hidden="1" customWidth="1"/>
    <col min="4" max="4" width="3.42578125" style="20" customWidth="1"/>
    <col min="5" max="5" width="4.140625" style="1" bestFit="1" customWidth="1"/>
    <col min="6" max="6" width="24.7109375" style="1" customWidth="1"/>
    <col min="7" max="39" width="25.7109375" style="1" customWidth="1"/>
    <col min="40" max="40" width="10.7109375" style="1" customWidth="1"/>
    <col min="41" max="16384" width="10.7109375" style="1" hidden="1"/>
  </cols>
  <sheetData>
    <row r="1" spans="1:40" ht="40.15" customHeight="1" thickBot="1">
      <c r="D1" s="17"/>
      <c r="E1" s="17"/>
      <c r="F1" s="17"/>
      <c r="G1" s="17"/>
      <c r="H1" s="408" t="str">
        <f>Idiomas!D496</f>
        <v>Day selected in "Daily Prediction"</v>
      </c>
      <c r="I1" s="761" t="str">
        <f>DailyPrediction!H1</f>
        <v>3-4 &amp; Final</v>
      </c>
      <c r="J1" s="297"/>
      <c r="K1" s="19">
        <f ca="1">VLOOKUP($I$1,Equipos!$Q$2:$R$37,2,0)</f>
        <v>24</v>
      </c>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1:40" hidden="1">
      <c r="D2" s="19"/>
      <c r="E2" s="297"/>
      <c r="F2" s="19"/>
      <c r="G2" s="19"/>
      <c r="H2" s="19" t="str" cm="1">
        <f t="array" aca="1" ref="H2:AM2" ca="1">TRANSPOSE($A$4:$A$35)</f>
        <v>France-England</v>
      </c>
      <c r="I2" s="19" t="str">
        <f ca="1"/>
        <v>Spain-Argentina</v>
      </c>
      <c r="J2" s="19" t="str">
        <f ca="1"/>
        <v>🥇Winner</v>
      </c>
      <c r="K2" s="19" t="str">
        <f ca="1"/>
        <v>🥈Runner-up</v>
      </c>
      <c r="L2" s="19" t="str">
        <f ca="1"/>
        <v>🥉3rd place</v>
      </c>
      <c r="M2" s="19" t="str">
        <f ca="1"/>
        <v>Golden Boot  (Top Scorer)</v>
      </c>
      <c r="N2" s="19" t="str">
        <f ca="1"/>
        <v>Silver Boot  (2nd Top Scorer)</v>
      </c>
      <c r="O2" s="19" t="str">
        <f ca="1"/>
        <v>Bronze Boot (3rd Top Scorer)</v>
      </c>
      <c r="P2" s="19" t="str">
        <f ca="1"/>
        <v>Golden Ball (Best Player)</v>
      </c>
      <c r="Q2" s="19" t="str">
        <f ca="1"/>
        <v>Silver Ball (2nd Best Player)</v>
      </c>
      <c r="R2" s="19" t="str">
        <f ca="1"/>
        <v>Bronze Ball (3rd Best Player))</v>
      </c>
      <c r="S2" s="19" t="str">
        <f ca="1"/>
        <v/>
      </c>
      <c r="T2" s="19" t="str">
        <f ca="1"/>
        <v/>
      </c>
      <c r="U2" s="19" t="str">
        <f ca="1"/>
        <v/>
      </c>
      <c r="V2" s="19" t="str">
        <f ca="1"/>
        <v/>
      </c>
      <c r="W2" s="19" t="str">
        <f ca="1"/>
        <v/>
      </c>
      <c r="X2" s="19" t="str">
        <f ca="1"/>
        <v/>
      </c>
      <c r="Y2" s="19" t="str">
        <f ca="1"/>
        <v/>
      </c>
      <c r="Z2" s="19" t="str">
        <f ca="1"/>
        <v/>
      </c>
      <c r="AA2" s="19" t="str">
        <f ca="1"/>
        <v/>
      </c>
      <c r="AB2" s="19" t="str">
        <f ca="1"/>
        <v/>
      </c>
      <c r="AC2" s="19" t="str">
        <f ca="1"/>
        <v/>
      </c>
      <c r="AD2" s="19" t="str">
        <f ca="1"/>
        <v/>
      </c>
      <c r="AE2" s="19" t="str">
        <f ca="1"/>
        <v/>
      </c>
      <c r="AF2" s="19" t="str">
        <f ca="1"/>
        <v/>
      </c>
      <c r="AG2" s="19" t="str">
        <f ca="1"/>
        <v/>
      </c>
      <c r="AH2" s="19" t="str">
        <f ca="1"/>
        <v/>
      </c>
      <c r="AI2" s="19" t="str">
        <f ca="1"/>
        <v/>
      </c>
      <c r="AJ2" s="19" t="str">
        <f ca="1"/>
        <v/>
      </c>
      <c r="AK2" s="19" t="str">
        <f ca="1"/>
        <v/>
      </c>
      <c r="AL2" s="19" t="str">
        <f ca="1"/>
        <v/>
      </c>
      <c r="AM2" s="19" t="str">
        <f ca="1"/>
        <v/>
      </c>
      <c r="AN2" s="297"/>
    </row>
    <row r="3" spans="1:40" ht="49.9" customHeight="1" thickBot="1">
      <c r="D3" s="19"/>
      <c r="E3" s="449" t="str">
        <f>Idiomas!D479</f>
        <v>Pos</v>
      </c>
      <c r="F3" s="449" t="str">
        <f>Idiomas!D480</f>
        <v>Name</v>
      </c>
      <c r="G3" s="449" t="str">
        <f>Idiomas!D481</f>
        <v>Points Day / Round</v>
      </c>
      <c r="H3" s="449" t="str" cm="1">
        <f t="array" aca="1" ref="H3:AM3" ca="1">TRANSPOSE($B$4:$B$35)</f>
        <v>France-England
 (4-6)</v>
      </c>
      <c r="I3" s="449" t="str">
        <f ca="1"/>
        <v>Spain-Argentina
 (1-0)</v>
      </c>
      <c r="J3" s="449" t="str">
        <f ca="1"/>
        <v>🥇Winner
 (Spain)</v>
      </c>
      <c r="K3" s="449" t="str">
        <f ca="1"/>
        <v>🥈Runner-up
 (Argentina)</v>
      </c>
      <c r="L3" s="449" t="str">
        <f ca="1"/>
        <v>🥉3rd place
 (England)</v>
      </c>
      <c r="M3" s="449" t="str">
        <f ca="1"/>
        <v>Golden Boot  (Top Scorer)
 (Mbappé)</v>
      </c>
      <c r="N3" s="449" t="str">
        <f ca="1"/>
        <v>Silver Boot  (2nd Top Scorer)
 (Messi)</v>
      </c>
      <c r="O3" s="449" t="str">
        <f ca="1"/>
        <v>Bronze Boot (3rd Top Scorer)
 (Bellingham / Haaland)</v>
      </c>
      <c r="P3" s="449" t="str">
        <f ca="1"/>
        <v>Golden Ball (Best Player)
 (Rodri)</v>
      </c>
      <c r="Q3" s="449" t="str">
        <f ca="1"/>
        <v>Silver Ball (2nd Best Player)
 (Messi)</v>
      </c>
      <c r="R3" s="449" t="str">
        <f ca="1"/>
        <v>Bronze Ball (3rd Best Player))
 (Mbappé)</v>
      </c>
      <c r="S3" s="449" t="str">
        <f ca="1"/>
        <v/>
      </c>
      <c r="T3" s="449" t="str">
        <f ca="1"/>
        <v/>
      </c>
      <c r="U3" s="449" t="str">
        <f ca="1"/>
        <v/>
      </c>
      <c r="V3" s="449" t="str">
        <f ca="1"/>
        <v/>
      </c>
      <c r="W3" s="449" t="str">
        <f ca="1"/>
        <v/>
      </c>
      <c r="X3" s="449" t="str">
        <f ca="1"/>
        <v/>
      </c>
      <c r="Y3" s="449" t="str">
        <f ca="1"/>
        <v/>
      </c>
      <c r="Z3" s="449" t="str">
        <f ca="1"/>
        <v/>
      </c>
      <c r="AA3" s="449" t="str">
        <f ca="1"/>
        <v/>
      </c>
      <c r="AB3" s="449" t="str">
        <f ca="1"/>
        <v/>
      </c>
      <c r="AC3" s="449" t="str">
        <f ca="1"/>
        <v/>
      </c>
      <c r="AD3" s="449" t="str">
        <f ca="1"/>
        <v/>
      </c>
      <c r="AE3" s="449" t="str">
        <f ca="1"/>
        <v/>
      </c>
      <c r="AF3" s="449" t="str">
        <f ca="1"/>
        <v/>
      </c>
      <c r="AG3" s="449" t="str">
        <f ca="1"/>
        <v/>
      </c>
      <c r="AH3" s="449" t="str">
        <f ca="1"/>
        <v/>
      </c>
      <c r="AI3" s="449" t="str">
        <f ca="1"/>
        <v/>
      </c>
      <c r="AJ3" s="449" t="str">
        <f ca="1"/>
        <v/>
      </c>
      <c r="AK3" s="449" t="str">
        <f ca="1"/>
        <v/>
      </c>
      <c r="AL3" s="449" t="str">
        <f ca="1"/>
        <v/>
      </c>
      <c r="AM3" s="449" t="str">
        <f ca="1"/>
        <v/>
      </c>
      <c r="AN3" s="297"/>
    </row>
    <row r="4" spans="1:40" ht="15.75" thickTop="1">
      <c r="A4" s="8" t="str" cm="1">
        <f t="array" aca="1" ref="A4" ca="1">IFERROR(INDEX(ADMIN!$K$6:$K$258,SMALL(IF(ADMIN!$G$6:$G$258=$K$1,ROW(ADMIN!$G$6:$G$258)-ROW(ADMIN!$G$6)+1),ROWS($A$1:A1))),"")</f>
        <v>France-England</v>
      </c>
      <c r="B4" s="8" t="str" cm="1">
        <f t="array" aca="1" ref="B4" ca="1">IFERROR(IFERROR(INDEX(ADMIN!$K$6:$K$258,SMALL(IF($K$1=ADMIN!$G$6:$G$258,ROW(ADMIN!$K$6:$K$258)-MIN(ROW(ADMIN!$G$6:$G$258))+1,""),ROW()-3)),"")&amp;CHAR(10)&amp;IF(INDEX(ADMIN!$M$6:$M$258,SMALL(IF($K$1=ADMIN!$G$6:$G$258,ROW(ADMIN!$M$6:$M$258)-MIN(ROW(ADMIN!$G$6:$G$258))+1,""),ROW()-3))="0|-",""," ("&amp;INDEX(ADMIN!$M$6:$M$258,SMALL(IF($K$1=ADMIN!$G$6:$G$258,ROW(ADMIN!$M$6:$M$258)-MIN(ROW(ADMIN!$G$6:$G$258))+1,""),ROW()-3))&amp;")"),"")</f>
        <v>France-England
 (4-6)</v>
      </c>
      <c r="C4" s="8">
        <v>1</v>
      </c>
      <c r="D4" s="90"/>
      <c r="E4" s="409">
        <f ca="1">IFERROR(HLOOKUP(C4,Rango_Admin_DailyClas,3,FALSE),"-")</f>
        <v>1</v>
      </c>
      <c r="F4" s="448" t="str">
        <f ca="1">IFERROR(HLOOKUP(C4,Rango_Admin_DailyClas,5,FALSE),"-")</f>
        <v>Jesper Schutten</v>
      </c>
      <c r="G4" s="22">
        <f ca="1">IFERROR(HLOOKUP(C4,Rango_Admin_DailyClas,4,FALSE),"-")</f>
        <v>117</v>
      </c>
      <c r="H4" s="429">
        <f ca="1">IFERROR(VLOOKUP(H$2,Rango_Admin_DailyPred,MATCH($F4,Rango_Admin_DailyPred_Primera,0)+1,0),"-")</f>
        <v>0</v>
      </c>
      <c r="I4" s="429">
        <f ca="1">IFERROR(VLOOKUP(I$2,Rango_Admin_DailyPred,MATCH($F4,Rango_Admin_DailyPred_Primera,0)+1,0),"-")</f>
        <v>12</v>
      </c>
      <c r="J4" s="429">
        <f ca="1">IFERROR(VLOOKUP(J$2,Rango_Admin_DailyPred,MATCH($F4,Rango_Admin_DailyPred_Primera,0)+1,0),"-")</f>
        <v>50</v>
      </c>
      <c r="K4" s="429">
        <f ca="1">IFERROR(VLOOKUP(K$2,Rango_Admin_DailyPred,MATCH($F4,Rango_Admin_DailyPred_Primera,0)+1,0),"-")</f>
        <v>30</v>
      </c>
      <c r="L4" s="429">
        <f ca="1">IFERROR(VLOOKUP(L$2,Rango_Admin_DailyPred,MATCH($F4,Rango_Admin_DailyPred_Primera,0)+1,0),"-")</f>
        <v>0</v>
      </c>
      <c r="M4" s="429">
        <f ca="1">IFERROR(VLOOKUP(M$2,Rango_Admin_DailyPred,MATCH($F4,Rango_Admin_DailyPred_Primera,0)+1,0),"-")</f>
        <v>20</v>
      </c>
      <c r="N4" s="429">
        <f ca="1">IFERROR(VLOOKUP(N$2,Rango_Admin_DailyPred,MATCH($F4,Rango_Admin_DailyPred_Primera,0)+1,0),"-")</f>
        <v>0</v>
      </c>
      <c r="O4" s="429">
        <f ca="1">IFERROR(VLOOKUP(O$2,Rango_Admin_DailyPred,MATCH($F4,Rango_Admin_DailyPred_Primera,0)+1,0),"-")</f>
        <v>5</v>
      </c>
      <c r="P4" s="429">
        <f ca="1">IFERROR(VLOOKUP(P$2,Rango_Admin_DailyPred,MATCH($F4,Rango_Admin_DailyPred_Primera,0)+1,0),"-")</f>
        <v>0</v>
      </c>
      <c r="Q4" s="429">
        <f ca="1">IFERROR(VLOOKUP(Q$2,Rango_Admin_DailyPred,MATCH($F4,Rango_Admin_DailyPred_Primera,0)+1,0),"-")</f>
        <v>0</v>
      </c>
      <c r="R4" s="429">
        <f ca="1">IFERROR(VLOOKUP(R$2,Rango_Admin_DailyPred,MATCH($F4,Rango_Admin_DailyPred_Primera,0)+1,0),"-")</f>
        <v>0</v>
      </c>
      <c r="S4" s="429" t="str">
        <f ca="1">IFERROR(VLOOKUP(S$2,Rango_Admin_DailyPred,MATCH($F4,Rango_Admin_DailyPred_Primera,0)+1,0),"-")</f>
        <v>-</v>
      </c>
      <c r="T4" s="429" t="str">
        <f ca="1">IFERROR(VLOOKUP(T$2,Rango_Admin_DailyPred,MATCH($F4,Rango_Admin_DailyPred_Primera,0)+1,0),"-")</f>
        <v>-</v>
      </c>
      <c r="U4" s="429" t="str">
        <f ca="1">IFERROR(VLOOKUP(U$2,Rango_Admin_DailyPred,MATCH($F4,Rango_Admin_DailyPred_Primera,0)+1,0),"-")</f>
        <v>-</v>
      </c>
      <c r="V4" s="429" t="str">
        <f ca="1">IFERROR(VLOOKUP(V$2,Rango_Admin_DailyPred,MATCH($F4,Rango_Admin_DailyPred_Primera,0)+1,0),"-")</f>
        <v>-</v>
      </c>
      <c r="W4" s="429" t="str">
        <f ca="1">IFERROR(VLOOKUP(W$2,Rango_Admin_DailyPred,MATCH($F4,Rango_Admin_DailyPred_Primera,0)+1,0),"-")</f>
        <v>-</v>
      </c>
      <c r="X4" s="429" t="str">
        <f ca="1">IFERROR(VLOOKUP(X$2,Rango_Admin_DailyPred,MATCH($F4,Rango_Admin_DailyPred_Primera,0)+1,0),"-")</f>
        <v>-</v>
      </c>
      <c r="Y4" s="429" t="str">
        <f ca="1">IFERROR(VLOOKUP(Y$2,Rango_Admin_DailyPred,MATCH($F4,Rango_Admin_DailyPred_Primera,0)+1,0),"-")</f>
        <v>-</v>
      </c>
      <c r="Z4" s="429" t="str">
        <f ca="1">IFERROR(VLOOKUP(Z$2,Rango_Admin_DailyPred,MATCH($F4,Rango_Admin_DailyPred_Primera,0)+1,0),"-")</f>
        <v>-</v>
      </c>
      <c r="AA4" s="429" t="str">
        <f ca="1">IFERROR(VLOOKUP(AA$2,Rango_Admin_DailyPred,MATCH($F4,Rango_Admin_DailyPred_Primera,0)+1,0),"-")</f>
        <v>-</v>
      </c>
      <c r="AB4" s="429" t="str">
        <f ca="1">IFERROR(VLOOKUP(AB$2,Rango_Admin_DailyPred,MATCH($F4,Rango_Admin_DailyPred_Primera,0)+1,0),"-")</f>
        <v>-</v>
      </c>
      <c r="AC4" s="429" t="str">
        <f ca="1">IFERROR(VLOOKUP(AC$2,Rango_Admin_DailyPred,MATCH($F4,Rango_Admin_DailyPred_Primera,0)+1,0),"-")</f>
        <v>-</v>
      </c>
      <c r="AD4" s="429" t="str">
        <f ca="1">IFERROR(VLOOKUP(AD$2,Rango_Admin_DailyPred,MATCH($F4,Rango_Admin_DailyPred_Primera,0)+1,0),"-")</f>
        <v>-</v>
      </c>
      <c r="AE4" s="429" t="str">
        <f ca="1">IFERROR(VLOOKUP(AE$2,Rango_Admin_DailyPred,MATCH($F4,Rango_Admin_DailyPred_Primera,0)+1,0),"-")</f>
        <v>-</v>
      </c>
      <c r="AF4" s="429" t="str">
        <f ca="1">IFERROR(VLOOKUP(AF$2,Rango_Admin_DailyPred,MATCH($F4,Rango_Admin_DailyPred_Primera,0)+1,0),"-")</f>
        <v>-</v>
      </c>
      <c r="AG4" s="429" t="str">
        <f ca="1">IFERROR(VLOOKUP(AG$2,Rango_Admin_DailyPred,MATCH($F4,Rango_Admin_DailyPred_Primera,0)+1,0),"-")</f>
        <v>-</v>
      </c>
      <c r="AH4" s="429" t="str">
        <f ca="1">IFERROR(VLOOKUP(AH$2,Rango_Admin_DailyPred,MATCH($F4,Rango_Admin_DailyPred_Primera,0)+1,0),"-")</f>
        <v>-</v>
      </c>
      <c r="AI4" s="429" t="str">
        <f ca="1">IFERROR(VLOOKUP(AI$2,Rango_Admin_DailyPred,MATCH($F4,Rango_Admin_DailyPred_Primera,0)+1,0),"-")</f>
        <v>-</v>
      </c>
      <c r="AJ4" s="429" t="str">
        <f ca="1">IFERROR(VLOOKUP(AJ$2,Rango_Admin_DailyPred,MATCH($F4,Rango_Admin_DailyPred_Primera,0)+1,0),"-")</f>
        <v>-</v>
      </c>
      <c r="AK4" s="429" t="str">
        <f ca="1">IFERROR(VLOOKUP(AK$2,Rango_Admin_DailyPred,MATCH($F4,Rango_Admin_DailyPred_Primera,0)+1,0),"-")</f>
        <v>-</v>
      </c>
      <c r="AL4" s="429" t="str">
        <f ca="1">IFERROR(VLOOKUP(AL$2,Rango_Admin_DailyPred,MATCH($F4,Rango_Admin_DailyPred_Primera,0)+1,0),"-")</f>
        <v>-</v>
      </c>
      <c r="AM4" s="429" t="str">
        <f ca="1">IFERROR(VLOOKUP(AM$2,Rango_Admin_DailyPred,MATCH($F4,Rango_Admin_DailyPred_Primera,0)+1,0),"-")</f>
        <v>-</v>
      </c>
      <c r="AN4" s="297"/>
    </row>
    <row r="5" spans="1:40">
      <c r="A5" s="8" t="str" cm="1">
        <f t="array" aca="1" ref="A5" ca="1">IFERROR(INDEX(ADMIN!$K$6:$K$258,SMALL(IF(ADMIN!$G$6:$G$258=$K$1,ROW(ADMIN!$G$6:$G$258)-ROW(ADMIN!$G$6)+1),ROWS($A$1:A2))),"")</f>
        <v>Spain-Argentina</v>
      </c>
      <c r="B5" s="8" t="str" cm="1">
        <f t="array" aca="1" ref="B5" ca="1">IFERROR(IFERROR(INDEX(ADMIN!$K$6:$K$258,SMALL(IF($K$1=ADMIN!$G$6:$G$258,ROW(ADMIN!$K$6:$K$258)-MIN(ROW(ADMIN!$G$6:$G$258))+1,""),ROW()-3)),"")&amp;CHAR(10)&amp;IF(INDEX(ADMIN!$M$6:$M$258,SMALL(IF($K$1=ADMIN!$G$6:$G$258,ROW(ADMIN!$M$6:$M$258)-MIN(ROW(ADMIN!$G$6:$G$258))+1,""),ROW()-3))="0|-",""," ("&amp;INDEX(ADMIN!$M$6:$M$258,SMALL(IF($K$1=ADMIN!$G$6:$G$258,ROW(ADMIN!$M$6:$M$258)-MIN(ROW(ADMIN!$G$6:$G$258))+1,""),ROW()-3))&amp;")"),"")</f>
        <v>Spain-Argentina
 (1-0)</v>
      </c>
      <c r="C5" s="8">
        <v>2</v>
      </c>
      <c r="D5" s="90"/>
      <c r="E5" s="409">
        <f ca="1">IFERROR(HLOOKUP(C5,Rango_Admin_DailyClas,3,FALSE),"-")</f>
        <v>2</v>
      </c>
      <c r="F5" s="448" t="str">
        <f ca="1">IFERROR(HLOOKUP(C5,Rango_Admin_DailyClas,5,FALSE),"-")</f>
        <v>Pien Breukers</v>
      </c>
      <c r="G5" s="22">
        <f ca="1">IFERROR(HLOOKUP(C5,Rango_Admin_DailyClas,4,FALSE),"-")</f>
        <v>112</v>
      </c>
      <c r="H5" s="429">
        <f ca="1">IFERROR(VLOOKUP(H$2,Rango_Admin_DailyPred,MATCH($F5,Rango_Admin_DailyPred_Primera,0)+1,0),"-")</f>
        <v>0</v>
      </c>
      <c r="I5" s="429">
        <f ca="1">IFERROR(VLOOKUP(I$2,Rango_Admin_DailyPred,MATCH($F5,Rango_Admin_DailyPred_Primera,0)+1,0),"-")</f>
        <v>12</v>
      </c>
      <c r="J5" s="429">
        <f ca="1">IFERROR(VLOOKUP(J$2,Rango_Admin_DailyPred,MATCH($F5,Rango_Admin_DailyPred_Primera,0)+1,0),"-")</f>
        <v>50</v>
      </c>
      <c r="K5" s="429">
        <f ca="1">IFERROR(VLOOKUP(K$2,Rango_Admin_DailyPred,MATCH($F5,Rango_Admin_DailyPred_Primera,0)+1,0),"-")</f>
        <v>30</v>
      </c>
      <c r="L5" s="429">
        <f ca="1">IFERROR(VLOOKUP(L$2,Rango_Admin_DailyPred,MATCH($F5,Rango_Admin_DailyPred_Primera,0)+1,0),"-")</f>
        <v>20</v>
      </c>
      <c r="M5" s="429">
        <f ca="1">IFERROR(VLOOKUP(M$2,Rango_Admin_DailyPred,MATCH($F5,Rango_Admin_DailyPred_Primera,0)+1,0),"-")</f>
        <v>0</v>
      </c>
      <c r="N5" s="429">
        <f ca="1">IFERROR(VLOOKUP(N$2,Rango_Admin_DailyPred,MATCH($F5,Rango_Admin_DailyPred_Primera,0)+1,0),"-")</f>
        <v>0</v>
      </c>
      <c r="O5" s="429">
        <f ca="1">IFERROR(VLOOKUP(O$2,Rango_Admin_DailyPred,MATCH($F5,Rango_Admin_DailyPred_Primera,0)+1,0),"-")</f>
        <v>0</v>
      </c>
      <c r="P5" s="429">
        <f ca="1">IFERROR(VLOOKUP(P$2,Rango_Admin_DailyPred,MATCH($F5,Rango_Admin_DailyPred_Primera,0)+1,0),"-")</f>
        <v>0</v>
      </c>
      <c r="Q5" s="429">
        <f ca="1">IFERROR(VLOOKUP(Q$2,Rango_Admin_DailyPred,MATCH($F5,Rango_Admin_DailyPred_Primera,0)+1,0),"-")</f>
        <v>0</v>
      </c>
      <c r="R5" s="429">
        <f ca="1">IFERROR(VLOOKUP(R$2,Rango_Admin_DailyPred,MATCH($F5,Rango_Admin_DailyPred_Primera,0)+1,0),"-")</f>
        <v>0</v>
      </c>
      <c r="S5" s="429" t="str">
        <f ca="1">IFERROR(VLOOKUP(S$2,Rango_Admin_DailyPred,MATCH($F5,Rango_Admin_DailyPred_Primera,0)+1,0),"-")</f>
        <v>-</v>
      </c>
      <c r="T5" s="429" t="str">
        <f ca="1">IFERROR(VLOOKUP(T$2,Rango_Admin_DailyPred,MATCH($F5,Rango_Admin_DailyPred_Primera,0)+1,0),"-")</f>
        <v>-</v>
      </c>
      <c r="U5" s="429" t="str">
        <f ca="1">IFERROR(VLOOKUP(U$2,Rango_Admin_DailyPred,MATCH($F5,Rango_Admin_DailyPred_Primera,0)+1,0),"-")</f>
        <v>-</v>
      </c>
      <c r="V5" s="429" t="str">
        <f ca="1">IFERROR(VLOOKUP(V$2,Rango_Admin_DailyPred,MATCH($F5,Rango_Admin_DailyPred_Primera,0)+1,0),"-")</f>
        <v>-</v>
      </c>
      <c r="W5" s="429" t="str">
        <f ca="1">IFERROR(VLOOKUP(W$2,Rango_Admin_DailyPred,MATCH($F5,Rango_Admin_DailyPred_Primera,0)+1,0),"-")</f>
        <v>-</v>
      </c>
      <c r="X5" s="429" t="str">
        <f ca="1">IFERROR(VLOOKUP(X$2,Rango_Admin_DailyPred,MATCH($F5,Rango_Admin_DailyPred_Primera,0)+1,0),"-")</f>
        <v>-</v>
      </c>
      <c r="Y5" s="429" t="str">
        <f ca="1">IFERROR(VLOOKUP(Y$2,Rango_Admin_DailyPred,MATCH($F5,Rango_Admin_DailyPred_Primera,0)+1,0),"-")</f>
        <v>-</v>
      </c>
      <c r="Z5" s="429" t="str">
        <f ca="1">IFERROR(VLOOKUP(Z$2,Rango_Admin_DailyPred,MATCH($F5,Rango_Admin_DailyPred_Primera,0)+1,0),"-")</f>
        <v>-</v>
      </c>
      <c r="AA5" s="429" t="str">
        <f ca="1">IFERROR(VLOOKUP(AA$2,Rango_Admin_DailyPred,MATCH($F5,Rango_Admin_DailyPred_Primera,0)+1,0),"-")</f>
        <v>-</v>
      </c>
      <c r="AB5" s="429" t="str">
        <f ca="1">IFERROR(VLOOKUP(AB$2,Rango_Admin_DailyPred,MATCH($F5,Rango_Admin_DailyPred_Primera,0)+1,0),"-")</f>
        <v>-</v>
      </c>
      <c r="AC5" s="429" t="str">
        <f ca="1">IFERROR(VLOOKUP(AC$2,Rango_Admin_DailyPred,MATCH($F5,Rango_Admin_DailyPred_Primera,0)+1,0),"-")</f>
        <v>-</v>
      </c>
      <c r="AD5" s="429" t="str">
        <f ca="1">IFERROR(VLOOKUP(AD$2,Rango_Admin_DailyPred,MATCH($F5,Rango_Admin_DailyPred_Primera,0)+1,0),"-")</f>
        <v>-</v>
      </c>
      <c r="AE5" s="429" t="str">
        <f ca="1">IFERROR(VLOOKUP(AE$2,Rango_Admin_DailyPred,MATCH($F5,Rango_Admin_DailyPred_Primera,0)+1,0),"-")</f>
        <v>-</v>
      </c>
      <c r="AF5" s="429" t="str">
        <f ca="1">IFERROR(VLOOKUP(AF$2,Rango_Admin_DailyPred,MATCH($F5,Rango_Admin_DailyPred_Primera,0)+1,0),"-")</f>
        <v>-</v>
      </c>
      <c r="AG5" s="429" t="str">
        <f ca="1">IFERROR(VLOOKUP(AG$2,Rango_Admin_DailyPred,MATCH($F5,Rango_Admin_DailyPred_Primera,0)+1,0),"-")</f>
        <v>-</v>
      </c>
      <c r="AH5" s="429" t="str">
        <f ca="1">IFERROR(VLOOKUP(AH$2,Rango_Admin_DailyPred,MATCH($F5,Rango_Admin_DailyPred_Primera,0)+1,0),"-")</f>
        <v>-</v>
      </c>
      <c r="AI5" s="429" t="str">
        <f ca="1">IFERROR(VLOOKUP(AI$2,Rango_Admin_DailyPred,MATCH($F5,Rango_Admin_DailyPred_Primera,0)+1,0),"-")</f>
        <v>-</v>
      </c>
      <c r="AJ5" s="429" t="str">
        <f ca="1">IFERROR(VLOOKUP(AJ$2,Rango_Admin_DailyPred,MATCH($F5,Rango_Admin_DailyPred_Primera,0)+1,0),"-")</f>
        <v>-</v>
      </c>
      <c r="AK5" s="429" t="str">
        <f ca="1">IFERROR(VLOOKUP(AK$2,Rango_Admin_DailyPred,MATCH($F5,Rango_Admin_DailyPred_Primera,0)+1,0),"-")</f>
        <v>-</v>
      </c>
      <c r="AL5" s="429" t="str">
        <f ca="1">IFERROR(VLOOKUP(AL$2,Rango_Admin_DailyPred,MATCH($F5,Rango_Admin_DailyPred_Primera,0)+1,0),"-")</f>
        <v>-</v>
      </c>
      <c r="AM5" s="429" t="str">
        <f ca="1">IFERROR(VLOOKUP(AM$2,Rango_Admin_DailyPred,MATCH($F5,Rango_Admin_DailyPred_Primera,0)+1,0),"-")</f>
        <v>-</v>
      </c>
      <c r="AN5" s="297"/>
    </row>
    <row r="6" spans="1:40">
      <c r="A6" s="8" t="str" cm="1">
        <f t="array" aca="1" ref="A6" ca="1">IFERROR(INDEX(ADMIN!$K$6:$K$258,SMALL(IF(ADMIN!$G$6:$G$258=$K$1,ROW(ADMIN!$G$6:$G$258)-ROW(ADMIN!$G$6)+1),ROWS($A$1:A3))),"")</f>
        <v>🥇Winner</v>
      </c>
      <c r="B6" s="8" t="str" cm="1">
        <f t="array" aca="1" ref="B6" ca="1">IFERROR(IFERROR(INDEX(ADMIN!$K$6:$K$258,SMALL(IF($K$1=ADMIN!$G$6:$G$258,ROW(ADMIN!$K$6:$K$258)-MIN(ROW(ADMIN!$G$6:$G$258))+1,""),ROW()-3)),"")&amp;CHAR(10)&amp;IF(INDEX(ADMIN!$M$6:$M$258,SMALL(IF($K$1=ADMIN!$G$6:$G$258,ROW(ADMIN!$M$6:$M$258)-MIN(ROW(ADMIN!$G$6:$G$258))+1,""),ROW()-3))="0|-",""," ("&amp;INDEX(ADMIN!$M$6:$M$258,SMALL(IF($K$1=ADMIN!$G$6:$G$258,ROW(ADMIN!$M$6:$M$258)-MIN(ROW(ADMIN!$G$6:$G$258))+1,""),ROW()-3))&amp;")"),"")</f>
        <v>🥇Winner
 (Spain)</v>
      </c>
      <c r="C6" s="8">
        <v>3</v>
      </c>
      <c r="D6" s="90"/>
      <c r="E6" s="409">
        <f ca="1">IFERROR(HLOOKUP(C6,Rango_Admin_DailyClas,3,FALSE),"-")</f>
        <v>3</v>
      </c>
      <c r="F6" s="448" t="str">
        <f ca="1">IFERROR(HLOOKUP(C6,Rango_Admin_DailyClas,5,FALSE),"-")</f>
        <v>Evelien ten Thije</v>
      </c>
      <c r="G6" s="22">
        <f ca="1">IFERROR(HLOOKUP(C6,Rango_Admin_DailyClas,4,FALSE),"-")</f>
        <v>108</v>
      </c>
      <c r="H6" s="429">
        <f ca="1">IFERROR(VLOOKUP(H$2,Rango_Admin_DailyPred,MATCH($F6,Rango_Admin_DailyPred_Primera,0)+1,0),"-")</f>
        <v>0</v>
      </c>
      <c r="I6" s="429">
        <f ca="1">IFERROR(VLOOKUP(I$2,Rango_Admin_DailyPred,MATCH($F6,Rango_Admin_DailyPred_Primera,0)+1,0),"-")</f>
        <v>20</v>
      </c>
      <c r="J6" s="429">
        <f ca="1">IFERROR(VLOOKUP(J$2,Rango_Admin_DailyPred,MATCH($F6,Rango_Admin_DailyPred_Primera,0)+1,0),"-")</f>
        <v>50</v>
      </c>
      <c r="K6" s="429">
        <f ca="1">IFERROR(VLOOKUP(K$2,Rango_Admin_DailyPred,MATCH($F6,Rango_Admin_DailyPred_Primera,0)+1,0),"-")</f>
        <v>30</v>
      </c>
      <c r="L6" s="429">
        <f ca="1">IFERROR(VLOOKUP(L$2,Rango_Admin_DailyPred,MATCH($F6,Rango_Admin_DailyPred_Primera,0)+1,0),"-")</f>
        <v>0</v>
      </c>
      <c r="M6" s="429">
        <f ca="1">IFERROR(VLOOKUP(M$2,Rango_Admin_DailyPred,MATCH($F6,Rango_Admin_DailyPred_Primera,0)+1,0),"-")</f>
        <v>0</v>
      </c>
      <c r="N6" s="429">
        <f ca="1">IFERROR(VLOOKUP(N$2,Rango_Admin_DailyPred,MATCH($F6,Rango_Admin_DailyPred_Primera,0)+1,0),"-")</f>
        <v>0</v>
      </c>
      <c r="O6" s="429">
        <f ca="1">IFERROR(VLOOKUP(O$2,Rango_Admin_DailyPred,MATCH($F6,Rango_Admin_DailyPred_Primera,0)+1,0),"-")</f>
        <v>0</v>
      </c>
      <c r="P6" s="429">
        <f ca="1">IFERROR(VLOOKUP(P$2,Rango_Admin_DailyPred,MATCH($F6,Rango_Admin_DailyPred_Primera,0)+1,0),"-")</f>
        <v>0</v>
      </c>
      <c r="Q6" s="429">
        <f ca="1">IFERROR(VLOOKUP(Q$2,Rango_Admin_DailyPred,MATCH($F6,Rango_Admin_DailyPred_Primera,0)+1,0),"-")</f>
        <v>8</v>
      </c>
      <c r="R6" s="429">
        <f ca="1">IFERROR(VLOOKUP(R$2,Rango_Admin_DailyPred,MATCH($F6,Rango_Admin_DailyPred_Primera,0)+1,0),"-")</f>
        <v>0</v>
      </c>
      <c r="S6" s="429" t="str">
        <f ca="1">IFERROR(VLOOKUP(S$2,Rango_Admin_DailyPred,MATCH($F6,Rango_Admin_DailyPred_Primera,0)+1,0),"-")</f>
        <v>-</v>
      </c>
      <c r="T6" s="429" t="str">
        <f ca="1">IFERROR(VLOOKUP(T$2,Rango_Admin_DailyPred,MATCH($F6,Rango_Admin_DailyPred_Primera,0)+1,0),"-")</f>
        <v>-</v>
      </c>
      <c r="U6" s="429" t="str">
        <f ca="1">IFERROR(VLOOKUP(U$2,Rango_Admin_DailyPred,MATCH($F6,Rango_Admin_DailyPred_Primera,0)+1,0),"-")</f>
        <v>-</v>
      </c>
      <c r="V6" s="429" t="str">
        <f ca="1">IFERROR(VLOOKUP(V$2,Rango_Admin_DailyPred,MATCH($F6,Rango_Admin_DailyPred_Primera,0)+1,0),"-")</f>
        <v>-</v>
      </c>
      <c r="W6" s="429" t="str">
        <f ca="1">IFERROR(VLOOKUP(W$2,Rango_Admin_DailyPred,MATCH($F6,Rango_Admin_DailyPred_Primera,0)+1,0),"-")</f>
        <v>-</v>
      </c>
      <c r="X6" s="429" t="str">
        <f ca="1">IFERROR(VLOOKUP(X$2,Rango_Admin_DailyPred,MATCH($F6,Rango_Admin_DailyPred_Primera,0)+1,0),"-")</f>
        <v>-</v>
      </c>
      <c r="Y6" s="429" t="str">
        <f ca="1">IFERROR(VLOOKUP(Y$2,Rango_Admin_DailyPred,MATCH($F6,Rango_Admin_DailyPred_Primera,0)+1,0),"-")</f>
        <v>-</v>
      </c>
      <c r="Z6" s="429" t="str">
        <f ca="1">IFERROR(VLOOKUP(Z$2,Rango_Admin_DailyPred,MATCH($F6,Rango_Admin_DailyPred_Primera,0)+1,0),"-")</f>
        <v>-</v>
      </c>
      <c r="AA6" s="429" t="str">
        <f ca="1">IFERROR(VLOOKUP(AA$2,Rango_Admin_DailyPred,MATCH($F6,Rango_Admin_DailyPred_Primera,0)+1,0),"-")</f>
        <v>-</v>
      </c>
      <c r="AB6" s="429" t="str">
        <f ca="1">IFERROR(VLOOKUP(AB$2,Rango_Admin_DailyPred,MATCH($F6,Rango_Admin_DailyPred_Primera,0)+1,0),"-")</f>
        <v>-</v>
      </c>
      <c r="AC6" s="429" t="str">
        <f ca="1">IFERROR(VLOOKUP(AC$2,Rango_Admin_DailyPred,MATCH($F6,Rango_Admin_DailyPred_Primera,0)+1,0),"-")</f>
        <v>-</v>
      </c>
      <c r="AD6" s="429" t="str">
        <f ca="1">IFERROR(VLOOKUP(AD$2,Rango_Admin_DailyPred,MATCH($F6,Rango_Admin_DailyPred_Primera,0)+1,0),"-")</f>
        <v>-</v>
      </c>
      <c r="AE6" s="429" t="str">
        <f ca="1">IFERROR(VLOOKUP(AE$2,Rango_Admin_DailyPred,MATCH($F6,Rango_Admin_DailyPred_Primera,0)+1,0),"-")</f>
        <v>-</v>
      </c>
      <c r="AF6" s="429" t="str">
        <f ca="1">IFERROR(VLOOKUP(AF$2,Rango_Admin_DailyPred,MATCH($F6,Rango_Admin_DailyPred_Primera,0)+1,0),"-")</f>
        <v>-</v>
      </c>
      <c r="AG6" s="429" t="str">
        <f ca="1">IFERROR(VLOOKUP(AG$2,Rango_Admin_DailyPred,MATCH($F6,Rango_Admin_DailyPred_Primera,0)+1,0),"-")</f>
        <v>-</v>
      </c>
      <c r="AH6" s="429" t="str">
        <f ca="1">IFERROR(VLOOKUP(AH$2,Rango_Admin_DailyPred,MATCH($F6,Rango_Admin_DailyPred_Primera,0)+1,0),"-")</f>
        <v>-</v>
      </c>
      <c r="AI6" s="429" t="str">
        <f ca="1">IFERROR(VLOOKUP(AI$2,Rango_Admin_DailyPred,MATCH($F6,Rango_Admin_DailyPred_Primera,0)+1,0),"-")</f>
        <v>-</v>
      </c>
      <c r="AJ6" s="429" t="str">
        <f ca="1">IFERROR(VLOOKUP(AJ$2,Rango_Admin_DailyPred,MATCH($F6,Rango_Admin_DailyPred_Primera,0)+1,0),"-")</f>
        <v>-</v>
      </c>
      <c r="AK6" s="429" t="str">
        <f ca="1">IFERROR(VLOOKUP(AK$2,Rango_Admin_DailyPred,MATCH($F6,Rango_Admin_DailyPred_Primera,0)+1,0),"-")</f>
        <v>-</v>
      </c>
      <c r="AL6" s="429" t="str">
        <f ca="1">IFERROR(VLOOKUP(AL$2,Rango_Admin_DailyPred,MATCH($F6,Rango_Admin_DailyPred_Primera,0)+1,0),"-")</f>
        <v>-</v>
      </c>
      <c r="AM6" s="429" t="str">
        <f ca="1">IFERROR(VLOOKUP(AM$2,Rango_Admin_DailyPred,MATCH($F6,Rango_Admin_DailyPred_Primera,0)+1,0),"-")</f>
        <v>-</v>
      </c>
      <c r="AN6" s="297"/>
    </row>
    <row r="7" spans="1:40">
      <c r="A7" s="8" t="str" cm="1">
        <f t="array" aca="1" ref="A7" ca="1">IFERROR(INDEX(ADMIN!$K$6:$K$258,SMALL(IF(ADMIN!$G$6:$G$258=$K$1,ROW(ADMIN!$G$6:$G$258)-ROW(ADMIN!$G$6)+1),ROWS($A$1:A4))),"")</f>
        <v>🥈Runner-up</v>
      </c>
      <c r="B7" s="8" t="str" cm="1">
        <f t="array" aca="1" ref="B7" ca="1">IFERROR(IFERROR(INDEX(ADMIN!$K$6:$K$258,SMALL(IF($K$1=ADMIN!$G$6:$G$258,ROW(ADMIN!$K$6:$K$258)-MIN(ROW(ADMIN!$G$6:$G$258))+1,""),ROW()-3)),"")&amp;CHAR(10)&amp;IF(INDEX(ADMIN!$M$6:$M$258,SMALL(IF($K$1=ADMIN!$G$6:$G$258,ROW(ADMIN!$M$6:$M$258)-MIN(ROW(ADMIN!$G$6:$G$258))+1,""),ROW()-3))="0|-",""," ("&amp;INDEX(ADMIN!$M$6:$M$258,SMALL(IF($K$1=ADMIN!$G$6:$G$258,ROW(ADMIN!$M$6:$M$258)-MIN(ROW(ADMIN!$G$6:$G$258))+1,""),ROW()-3))&amp;")"),"")</f>
        <v>🥈Runner-up
 (Argentina)</v>
      </c>
      <c r="C7" s="8">
        <v>4</v>
      </c>
      <c r="D7" s="90"/>
      <c r="E7" s="409">
        <f ca="1">IFERROR(HLOOKUP(C7,Rango_Admin_DailyClas,3,FALSE),"-")</f>
        <v>4</v>
      </c>
      <c r="F7" s="448" t="str">
        <f ca="1">IFERROR(HLOOKUP(C7,Rango_Admin_DailyClas,5,FALSE),"-")</f>
        <v>Roel Westerveld</v>
      </c>
      <c r="G7" s="22">
        <f ca="1">IFERROR(HLOOKUP(C7,Rango_Admin_DailyClas,4,FALSE),"-")</f>
        <v>100</v>
      </c>
      <c r="H7" s="429">
        <f ca="1">IFERROR(VLOOKUP(H$2,Rango_Admin_DailyPred,MATCH($F7,Rango_Admin_DailyPred_Primera,0)+1,0),"-")</f>
        <v>10</v>
      </c>
      <c r="I7" s="429">
        <f ca="1">IFERROR(VLOOKUP(I$2,Rango_Admin_DailyPred,MATCH($F7,Rango_Admin_DailyPred_Primera,0)+1,0),"-")</f>
        <v>0</v>
      </c>
      <c r="J7" s="429">
        <f ca="1">IFERROR(VLOOKUP(J$2,Rango_Admin_DailyPred,MATCH($F7,Rango_Admin_DailyPred_Primera,0)+1,0),"-")</f>
        <v>50</v>
      </c>
      <c r="K7" s="429">
        <f ca="1">IFERROR(VLOOKUP(K$2,Rango_Admin_DailyPred,MATCH($F7,Rango_Admin_DailyPred_Primera,0)+1,0),"-")</f>
        <v>0</v>
      </c>
      <c r="L7" s="429">
        <f ca="1">IFERROR(VLOOKUP(L$2,Rango_Admin_DailyPred,MATCH($F7,Rango_Admin_DailyPred_Primera,0)+1,0),"-")</f>
        <v>20</v>
      </c>
      <c r="M7" s="429">
        <f ca="1">IFERROR(VLOOKUP(M$2,Rango_Admin_DailyPred,MATCH($F7,Rango_Admin_DailyPred_Primera,0)+1,0),"-")</f>
        <v>20</v>
      </c>
      <c r="N7" s="429">
        <f ca="1">IFERROR(VLOOKUP(N$2,Rango_Admin_DailyPred,MATCH($F7,Rango_Admin_DailyPred_Primera,0)+1,0),"-")</f>
        <v>0</v>
      </c>
      <c r="O7" s="429">
        <f ca="1">IFERROR(VLOOKUP(O$2,Rango_Admin_DailyPred,MATCH($F7,Rango_Admin_DailyPred_Primera,0)+1,0),"-")</f>
        <v>0</v>
      </c>
      <c r="P7" s="429">
        <f ca="1">IFERROR(VLOOKUP(P$2,Rango_Admin_DailyPred,MATCH($F7,Rango_Admin_DailyPred_Primera,0)+1,0),"-")</f>
        <v>0</v>
      </c>
      <c r="Q7" s="429">
        <f ca="1">IFERROR(VLOOKUP(Q$2,Rango_Admin_DailyPred,MATCH($F7,Rango_Admin_DailyPred_Primera,0)+1,0),"-")</f>
        <v>0</v>
      </c>
      <c r="R7" s="429">
        <f ca="1">IFERROR(VLOOKUP(R$2,Rango_Admin_DailyPred,MATCH($F7,Rango_Admin_DailyPred_Primera,0)+1,0),"-")</f>
        <v>0</v>
      </c>
      <c r="S7" s="429" t="str">
        <f ca="1">IFERROR(VLOOKUP(S$2,Rango_Admin_DailyPred,MATCH($F7,Rango_Admin_DailyPred_Primera,0)+1,0),"-")</f>
        <v>-</v>
      </c>
      <c r="T7" s="429" t="str">
        <f ca="1">IFERROR(VLOOKUP(T$2,Rango_Admin_DailyPred,MATCH($F7,Rango_Admin_DailyPred_Primera,0)+1,0),"-")</f>
        <v>-</v>
      </c>
      <c r="U7" s="429" t="str">
        <f ca="1">IFERROR(VLOOKUP(U$2,Rango_Admin_DailyPred,MATCH($F7,Rango_Admin_DailyPred_Primera,0)+1,0),"-")</f>
        <v>-</v>
      </c>
      <c r="V7" s="429" t="str">
        <f ca="1">IFERROR(VLOOKUP(V$2,Rango_Admin_DailyPred,MATCH($F7,Rango_Admin_DailyPred_Primera,0)+1,0),"-")</f>
        <v>-</v>
      </c>
      <c r="W7" s="429" t="str">
        <f ca="1">IFERROR(VLOOKUP(W$2,Rango_Admin_DailyPred,MATCH($F7,Rango_Admin_DailyPred_Primera,0)+1,0),"-")</f>
        <v>-</v>
      </c>
      <c r="X7" s="429" t="str">
        <f ca="1">IFERROR(VLOOKUP(X$2,Rango_Admin_DailyPred,MATCH($F7,Rango_Admin_DailyPred_Primera,0)+1,0),"-")</f>
        <v>-</v>
      </c>
      <c r="Y7" s="429" t="str">
        <f ca="1">IFERROR(VLOOKUP(Y$2,Rango_Admin_DailyPred,MATCH($F7,Rango_Admin_DailyPred_Primera,0)+1,0),"-")</f>
        <v>-</v>
      </c>
      <c r="Z7" s="429" t="str">
        <f ca="1">IFERROR(VLOOKUP(Z$2,Rango_Admin_DailyPred,MATCH($F7,Rango_Admin_DailyPred_Primera,0)+1,0),"-")</f>
        <v>-</v>
      </c>
      <c r="AA7" s="429" t="str">
        <f ca="1">IFERROR(VLOOKUP(AA$2,Rango_Admin_DailyPred,MATCH($F7,Rango_Admin_DailyPred_Primera,0)+1,0),"-")</f>
        <v>-</v>
      </c>
      <c r="AB7" s="429" t="str">
        <f ca="1">IFERROR(VLOOKUP(AB$2,Rango_Admin_DailyPred,MATCH($F7,Rango_Admin_DailyPred_Primera,0)+1,0),"-")</f>
        <v>-</v>
      </c>
      <c r="AC7" s="429" t="str">
        <f ca="1">IFERROR(VLOOKUP(AC$2,Rango_Admin_DailyPred,MATCH($F7,Rango_Admin_DailyPred_Primera,0)+1,0),"-")</f>
        <v>-</v>
      </c>
      <c r="AD7" s="429" t="str">
        <f ca="1">IFERROR(VLOOKUP(AD$2,Rango_Admin_DailyPred,MATCH($F7,Rango_Admin_DailyPred_Primera,0)+1,0),"-")</f>
        <v>-</v>
      </c>
      <c r="AE7" s="429" t="str">
        <f ca="1">IFERROR(VLOOKUP(AE$2,Rango_Admin_DailyPred,MATCH($F7,Rango_Admin_DailyPred_Primera,0)+1,0),"-")</f>
        <v>-</v>
      </c>
      <c r="AF7" s="429" t="str">
        <f ca="1">IFERROR(VLOOKUP(AF$2,Rango_Admin_DailyPred,MATCH($F7,Rango_Admin_DailyPred_Primera,0)+1,0),"-")</f>
        <v>-</v>
      </c>
      <c r="AG7" s="429" t="str">
        <f ca="1">IFERROR(VLOOKUP(AG$2,Rango_Admin_DailyPred,MATCH($F7,Rango_Admin_DailyPred_Primera,0)+1,0),"-")</f>
        <v>-</v>
      </c>
      <c r="AH7" s="429" t="str">
        <f ca="1">IFERROR(VLOOKUP(AH$2,Rango_Admin_DailyPred,MATCH($F7,Rango_Admin_DailyPred_Primera,0)+1,0),"-")</f>
        <v>-</v>
      </c>
      <c r="AI7" s="429" t="str">
        <f ca="1">IFERROR(VLOOKUP(AI$2,Rango_Admin_DailyPred,MATCH($F7,Rango_Admin_DailyPred_Primera,0)+1,0),"-")</f>
        <v>-</v>
      </c>
      <c r="AJ7" s="429" t="str">
        <f ca="1">IFERROR(VLOOKUP(AJ$2,Rango_Admin_DailyPred,MATCH($F7,Rango_Admin_DailyPred_Primera,0)+1,0),"-")</f>
        <v>-</v>
      </c>
      <c r="AK7" s="429" t="str">
        <f ca="1">IFERROR(VLOOKUP(AK$2,Rango_Admin_DailyPred,MATCH($F7,Rango_Admin_DailyPred_Primera,0)+1,0),"-")</f>
        <v>-</v>
      </c>
      <c r="AL7" s="429" t="str">
        <f ca="1">IFERROR(VLOOKUP(AL$2,Rango_Admin_DailyPred,MATCH($F7,Rango_Admin_DailyPred_Primera,0)+1,0),"-")</f>
        <v>-</v>
      </c>
      <c r="AM7" s="429" t="str">
        <f ca="1">IFERROR(VLOOKUP(AM$2,Rango_Admin_DailyPred,MATCH($F7,Rango_Admin_DailyPred_Primera,0)+1,0),"-")</f>
        <v>-</v>
      </c>
      <c r="AN7" s="297"/>
    </row>
    <row r="8" spans="1:40">
      <c r="A8" s="8" t="str" cm="1">
        <f t="array" aca="1" ref="A8" ca="1">IFERROR(INDEX(ADMIN!$K$6:$K$258,SMALL(IF(ADMIN!$G$6:$G$258=$K$1,ROW(ADMIN!$G$6:$G$258)-ROW(ADMIN!$G$6)+1),ROWS($A$1:A5))),"")</f>
        <v>🥉3rd place</v>
      </c>
      <c r="B8" s="8" t="str" cm="1">
        <f t="array" aca="1" ref="B8" ca="1">IFERROR(IFERROR(INDEX(ADMIN!$K$6:$K$258,SMALL(IF($K$1=ADMIN!$G$6:$G$258,ROW(ADMIN!$K$6:$K$258)-MIN(ROW(ADMIN!$G$6:$G$258))+1,""),ROW()-3)),"")&amp;CHAR(10)&amp;IF(INDEX(ADMIN!$M$6:$M$258,SMALL(IF($K$1=ADMIN!$G$6:$G$258,ROW(ADMIN!$M$6:$M$258)-MIN(ROW(ADMIN!$G$6:$G$258))+1,""),ROW()-3))="0|-",""," ("&amp;INDEX(ADMIN!$M$6:$M$258,SMALL(IF($K$1=ADMIN!$G$6:$G$258,ROW(ADMIN!$M$6:$M$258)-MIN(ROW(ADMIN!$G$6:$G$258))+1,""),ROW()-3))&amp;")"),"")</f>
        <v>🥉3rd place
 (England)</v>
      </c>
      <c r="C8" s="8">
        <v>5</v>
      </c>
      <c r="D8" s="90"/>
      <c r="E8" s="409">
        <f ca="1">IFERROR(HLOOKUP(C8,Rango_Admin_DailyClas,3,FALSE),"-")</f>
        <v>5</v>
      </c>
      <c r="F8" s="448" t="str">
        <f ca="1">IFERROR(HLOOKUP(C8,Rango_Admin_DailyClas,5,FALSE),"-")</f>
        <v>Florian Boitelle</v>
      </c>
      <c r="G8" s="22">
        <f ca="1">IFERROR(HLOOKUP(C8,Rango_Admin_DailyClas,4,FALSE),"-")</f>
        <v>90</v>
      </c>
      <c r="H8" s="429">
        <f ca="1">IFERROR(VLOOKUP(H$2,Rango_Admin_DailyPred,MATCH($F8,Rango_Admin_DailyPred_Primera,0)+1,0),"-")</f>
        <v>0</v>
      </c>
      <c r="I8" s="429">
        <f ca="1">IFERROR(VLOOKUP(I$2,Rango_Admin_DailyPred,MATCH($F8,Rango_Admin_DailyPred_Primera,0)+1,0),"-")</f>
        <v>10</v>
      </c>
      <c r="J8" s="429">
        <f ca="1">IFERROR(VLOOKUP(J$2,Rango_Admin_DailyPred,MATCH($F8,Rango_Admin_DailyPred_Primera,0)+1,0),"-")</f>
        <v>50</v>
      </c>
      <c r="K8" s="429">
        <f ca="1">IFERROR(VLOOKUP(K$2,Rango_Admin_DailyPred,MATCH($F8,Rango_Admin_DailyPred_Primera,0)+1,0),"-")</f>
        <v>30</v>
      </c>
      <c r="L8" s="429">
        <f ca="1">IFERROR(VLOOKUP(L$2,Rango_Admin_DailyPred,MATCH($F8,Rango_Admin_DailyPred_Primera,0)+1,0),"-")</f>
        <v>0</v>
      </c>
      <c r="M8" s="429">
        <f ca="1">IFERROR(VLOOKUP(M$2,Rango_Admin_DailyPred,MATCH($F8,Rango_Admin_DailyPred_Primera,0)+1,0),"-")</f>
        <v>0</v>
      </c>
      <c r="N8" s="429">
        <f ca="1">IFERROR(VLOOKUP(N$2,Rango_Admin_DailyPred,MATCH($F8,Rango_Admin_DailyPred_Primera,0)+1,0),"-")</f>
        <v>0</v>
      </c>
      <c r="O8" s="429">
        <f ca="1">IFERROR(VLOOKUP(O$2,Rango_Admin_DailyPred,MATCH($F8,Rango_Admin_DailyPred_Primera,0)+1,0),"-")</f>
        <v>0</v>
      </c>
      <c r="P8" s="429">
        <f ca="1">IFERROR(VLOOKUP(P$2,Rango_Admin_DailyPred,MATCH($F8,Rango_Admin_DailyPred_Primera,0)+1,0),"-")</f>
        <v>0</v>
      </c>
      <c r="Q8" s="429">
        <f ca="1">IFERROR(VLOOKUP(Q$2,Rango_Admin_DailyPred,MATCH($F8,Rango_Admin_DailyPred_Primera,0)+1,0),"-")</f>
        <v>0</v>
      </c>
      <c r="R8" s="429">
        <f ca="1">IFERROR(VLOOKUP(R$2,Rango_Admin_DailyPred,MATCH($F8,Rango_Admin_DailyPred_Primera,0)+1,0),"-")</f>
        <v>0</v>
      </c>
      <c r="S8" s="429" t="str">
        <f ca="1">IFERROR(VLOOKUP(S$2,Rango_Admin_DailyPred,MATCH($F8,Rango_Admin_DailyPred_Primera,0)+1,0),"-")</f>
        <v>-</v>
      </c>
      <c r="T8" s="429" t="str">
        <f ca="1">IFERROR(VLOOKUP(T$2,Rango_Admin_DailyPred,MATCH($F8,Rango_Admin_DailyPred_Primera,0)+1,0),"-")</f>
        <v>-</v>
      </c>
      <c r="U8" s="429" t="str">
        <f ca="1">IFERROR(VLOOKUP(U$2,Rango_Admin_DailyPred,MATCH($F8,Rango_Admin_DailyPred_Primera,0)+1,0),"-")</f>
        <v>-</v>
      </c>
      <c r="V8" s="429" t="str">
        <f ca="1">IFERROR(VLOOKUP(V$2,Rango_Admin_DailyPred,MATCH($F8,Rango_Admin_DailyPred_Primera,0)+1,0),"-")</f>
        <v>-</v>
      </c>
      <c r="W8" s="429" t="str">
        <f ca="1">IFERROR(VLOOKUP(W$2,Rango_Admin_DailyPred,MATCH($F8,Rango_Admin_DailyPred_Primera,0)+1,0),"-")</f>
        <v>-</v>
      </c>
      <c r="X8" s="429" t="str">
        <f ca="1">IFERROR(VLOOKUP(X$2,Rango_Admin_DailyPred,MATCH($F8,Rango_Admin_DailyPred_Primera,0)+1,0),"-")</f>
        <v>-</v>
      </c>
      <c r="Y8" s="429" t="str">
        <f ca="1">IFERROR(VLOOKUP(Y$2,Rango_Admin_DailyPred,MATCH($F8,Rango_Admin_DailyPred_Primera,0)+1,0),"-")</f>
        <v>-</v>
      </c>
      <c r="Z8" s="429" t="str">
        <f ca="1">IFERROR(VLOOKUP(Z$2,Rango_Admin_DailyPred,MATCH($F8,Rango_Admin_DailyPred_Primera,0)+1,0),"-")</f>
        <v>-</v>
      </c>
      <c r="AA8" s="429" t="str">
        <f ca="1">IFERROR(VLOOKUP(AA$2,Rango_Admin_DailyPred,MATCH($F8,Rango_Admin_DailyPred_Primera,0)+1,0),"-")</f>
        <v>-</v>
      </c>
      <c r="AB8" s="429" t="str">
        <f ca="1">IFERROR(VLOOKUP(AB$2,Rango_Admin_DailyPred,MATCH($F8,Rango_Admin_DailyPred_Primera,0)+1,0),"-")</f>
        <v>-</v>
      </c>
      <c r="AC8" s="429" t="str">
        <f ca="1">IFERROR(VLOOKUP(AC$2,Rango_Admin_DailyPred,MATCH($F8,Rango_Admin_DailyPred_Primera,0)+1,0),"-")</f>
        <v>-</v>
      </c>
      <c r="AD8" s="429" t="str">
        <f ca="1">IFERROR(VLOOKUP(AD$2,Rango_Admin_DailyPred,MATCH($F8,Rango_Admin_DailyPred_Primera,0)+1,0),"-")</f>
        <v>-</v>
      </c>
      <c r="AE8" s="429" t="str">
        <f ca="1">IFERROR(VLOOKUP(AE$2,Rango_Admin_DailyPred,MATCH($F8,Rango_Admin_DailyPred_Primera,0)+1,0),"-")</f>
        <v>-</v>
      </c>
      <c r="AF8" s="429" t="str">
        <f ca="1">IFERROR(VLOOKUP(AF$2,Rango_Admin_DailyPred,MATCH($F8,Rango_Admin_DailyPred_Primera,0)+1,0),"-")</f>
        <v>-</v>
      </c>
      <c r="AG8" s="429" t="str">
        <f ca="1">IFERROR(VLOOKUP(AG$2,Rango_Admin_DailyPred,MATCH($F8,Rango_Admin_DailyPred_Primera,0)+1,0),"-")</f>
        <v>-</v>
      </c>
      <c r="AH8" s="429" t="str">
        <f ca="1">IFERROR(VLOOKUP(AH$2,Rango_Admin_DailyPred,MATCH($F8,Rango_Admin_DailyPred_Primera,0)+1,0),"-")</f>
        <v>-</v>
      </c>
      <c r="AI8" s="429" t="str">
        <f ca="1">IFERROR(VLOOKUP(AI$2,Rango_Admin_DailyPred,MATCH($F8,Rango_Admin_DailyPred_Primera,0)+1,0),"-")</f>
        <v>-</v>
      </c>
      <c r="AJ8" s="429" t="str">
        <f ca="1">IFERROR(VLOOKUP(AJ$2,Rango_Admin_DailyPred,MATCH($F8,Rango_Admin_DailyPred_Primera,0)+1,0),"-")</f>
        <v>-</v>
      </c>
      <c r="AK8" s="429" t="str">
        <f ca="1">IFERROR(VLOOKUP(AK$2,Rango_Admin_DailyPred,MATCH($F8,Rango_Admin_DailyPred_Primera,0)+1,0),"-")</f>
        <v>-</v>
      </c>
      <c r="AL8" s="429" t="str">
        <f ca="1">IFERROR(VLOOKUP(AL$2,Rango_Admin_DailyPred,MATCH($F8,Rango_Admin_DailyPred_Primera,0)+1,0),"-")</f>
        <v>-</v>
      </c>
      <c r="AM8" s="429" t="str">
        <f ca="1">IFERROR(VLOOKUP(AM$2,Rango_Admin_DailyPred,MATCH($F8,Rango_Admin_DailyPred_Primera,0)+1,0),"-")</f>
        <v>-</v>
      </c>
      <c r="AN8" s="297"/>
    </row>
    <row r="9" spans="1:40">
      <c r="A9" s="8" t="str" cm="1">
        <f t="array" aca="1" ref="A9" ca="1">IFERROR(INDEX(ADMIN!$K$6:$K$258,SMALL(IF(ADMIN!$G$6:$G$258=$K$1,ROW(ADMIN!$G$6:$G$258)-ROW(ADMIN!$G$6)+1),ROWS($A$1:A6))),"")</f>
        <v>Golden Boot  (Top Scorer)</v>
      </c>
      <c r="B9" s="8" t="str" cm="1">
        <f t="array" aca="1" ref="B9" ca="1">IFERROR(IFERROR(INDEX(ADMIN!$K$6:$K$258,SMALL(IF($K$1=ADMIN!$G$6:$G$258,ROW(ADMIN!$K$6:$K$258)-MIN(ROW(ADMIN!$G$6:$G$258))+1,""),ROW()-3)),"")&amp;CHAR(10)&amp;IF(INDEX(ADMIN!$M$6:$M$258,SMALL(IF($K$1=ADMIN!$G$6:$G$258,ROW(ADMIN!$M$6:$M$258)-MIN(ROW(ADMIN!$G$6:$G$258))+1,""),ROW()-3))="0|-",""," ("&amp;INDEX(ADMIN!$M$6:$M$258,SMALL(IF($K$1=ADMIN!$G$6:$G$258,ROW(ADMIN!$M$6:$M$258)-MIN(ROW(ADMIN!$G$6:$G$258))+1,""),ROW()-3))&amp;")"),"")</f>
        <v>Golden Boot  (Top Scorer)
 (Mbappé)</v>
      </c>
      <c r="C9" s="8">
        <v>6</v>
      </c>
      <c r="D9" s="90"/>
      <c r="E9" s="409">
        <f ca="1">IFERROR(HLOOKUP(C9,Rango_Admin_DailyClas,3,FALSE),"-")</f>
        <v>6</v>
      </c>
      <c r="F9" s="448" t="str">
        <f ca="1">IFERROR(HLOOKUP(C9,Rango_Admin_DailyClas,5,FALSE),"-")</f>
        <v>Martijn Nijmeijer</v>
      </c>
      <c r="G9" s="22">
        <f ca="1">IFERROR(HLOOKUP(C9,Rango_Admin_DailyClas,4,FALSE),"-")</f>
        <v>82</v>
      </c>
      <c r="H9" s="429">
        <f ca="1">IFERROR(VLOOKUP(H$2,Rango_Admin_DailyPred,MATCH($F9,Rango_Admin_DailyPred_Primera,0)+1,0),"-")</f>
        <v>0</v>
      </c>
      <c r="I9" s="429">
        <f ca="1">IFERROR(VLOOKUP(I$2,Rango_Admin_DailyPred,MATCH($F9,Rango_Admin_DailyPred_Primera,0)+1,0),"-")</f>
        <v>0</v>
      </c>
      <c r="J9" s="429">
        <f ca="1">IFERROR(VLOOKUP(J$2,Rango_Admin_DailyPred,MATCH($F9,Rango_Admin_DailyPred_Primera,0)+1,0),"-")</f>
        <v>50</v>
      </c>
      <c r="K9" s="429">
        <f ca="1">IFERROR(VLOOKUP(K$2,Rango_Admin_DailyPred,MATCH($F9,Rango_Admin_DailyPred_Primera,0)+1,0),"-")</f>
        <v>0</v>
      </c>
      <c r="L9" s="429">
        <f ca="1">IFERROR(VLOOKUP(L$2,Rango_Admin_DailyPred,MATCH($F9,Rango_Admin_DailyPred_Primera,0)+1,0),"-")</f>
        <v>0</v>
      </c>
      <c r="M9" s="429">
        <f ca="1">IFERROR(VLOOKUP(M$2,Rango_Admin_DailyPred,MATCH($F9,Rango_Admin_DailyPred_Primera,0)+1,0),"-")</f>
        <v>20</v>
      </c>
      <c r="N9" s="429">
        <f ca="1">IFERROR(VLOOKUP(N$2,Rango_Admin_DailyPred,MATCH($F9,Rango_Admin_DailyPred_Primera,0)+1,0),"-")</f>
        <v>0</v>
      </c>
      <c r="O9" s="429">
        <f ca="1">IFERROR(VLOOKUP(O$2,Rango_Admin_DailyPred,MATCH($F9,Rango_Admin_DailyPred_Primera,0)+1,0),"-")</f>
        <v>0</v>
      </c>
      <c r="P9" s="429">
        <f ca="1">IFERROR(VLOOKUP(P$2,Rango_Admin_DailyPred,MATCH($F9,Rango_Admin_DailyPred_Primera,0)+1,0),"-")</f>
        <v>0</v>
      </c>
      <c r="Q9" s="429">
        <f ca="1">IFERROR(VLOOKUP(Q$2,Rango_Admin_DailyPred,MATCH($F9,Rango_Admin_DailyPred_Primera,0)+1,0),"-")</f>
        <v>8</v>
      </c>
      <c r="R9" s="429">
        <f ca="1">IFERROR(VLOOKUP(R$2,Rango_Admin_DailyPred,MATCH($F9,Rango_Admin_DailyPred_Primera,0)+1,0),"-")</f>
        <v>4</v>
      </c>
      <c r="S9" s="429" t="str">
        <f ca="1">IFERROR(VLOOKUP(S$2,Rango_Admin_DailyPred,MATCH($F9,Rango_Admin_DailyPred_Primera,0)+1,0),"-")</f>
        <v>-</v>
      </c>
      <c r="T9" s="429" t="str">
        <f ca="1">IFERROR(VLOOKUP(T$2,Rango_Admin_DailyPred,MATCH($F9,Rango_Admin_DailyPred_Primera,0)+1,0),"-")</f>
        <v>-</v>
      </c>
      <c r="U9" s="429" t="str">
        <f ca="1">IFERROR(VLOOKUP(U$2,Rango_Admin_DailyPred,MATCH($F9,Rango_Admin_DailyPred_Primera,0)+1,0),"-")</f>
        <v>-</v>
      </c>
      <c r="V9" s="429" t="str">
        <f ca="1">IFERROR(VLOOKUP(V$2,Rango_Admin_DailyPred,MATCH($F9,Rango_Admin_DailyPred_Primera,0)+1,0),"-")</f>
        <v>-</v>
      </c>
      <c r="W9" s="429" t="str">
        <f ca="1">IFERROR(VLOOKUP(W$2,Rango_Admin_DailyPred,MATCH($F9,Rango_Admin_DailyPred_Primera,0)+1,0),"-")</f>
        <v>-</v>
      </c>
      <c r="X9" s="429" t="str">
        <f ca="1">IFERROR(VLOOKUP(X$2,Rango_Admin_DailyPred,MATCH($F9,Rango_Admin_DailyPred_Primera,0)+1,0),"-")</f>
        <v>-</v>
      </c>
      <c r="Y9" s="429" t="str">
        <f ca="1">IFERROR(VLOOKUP(Y$2,Rango_Admin_DailyPred,MATCH($F9,Rango_Admin_DailyPred_Primera,0)+1,0),"-")</f>
        <v>-</v>
      </c>
      <c r="Z9" s="429" t="str">
        <f ca="1">IFERROR(VLOOKUP(Z$2,Rango_Admin_DailyPred,MATCH($F9,Rango_Admin_DailyPred_Primera,0)+1,0),"-")</f>
        <v>-</v>
      </c>
      <c r="AA9" s="429" t="str">
        <f ca="1">IFERROR(VLOOKUP(AA$2,Rango_Admin_DailyPred,MATCH($F9,Rango_Admin_DailyPred_Primera,0)+1,0),"-")</f>
        <v>-</v>
      </c>
      <c r="AB9" s="429" t="str">
        <f ca="1">IFERROR(VLOOKUP(AB$2,Rango_Admin_DailyPred,MATCH($F9,Rango_Admin_DailyPred_Primera,0)+1,0),"-")</f>
        <v>-</v>
      </c>
      <c r="AC9" s="429" t="str">
        <f ca="1">IFERROR(VLOOKUP(AC$2,Rango_Admin_DailyPred,MATCH($F9,Rango_Admin_DailyPred_Primera,0)+1,0),"-")</f>
        <v>-</v>
      </c>
      <c r="AD9" s="429" t="str">
        <f ca="1">IFERROR(VLOOKUP(AD$2,Rango_Admin_DailyPred,MATCH($F9,Rango_Admin_DailyPred_Primera,0)+1,0),"-")</f>
        <v>-</v>
      </c>
      <c r="AE9" s="429" t="str">
        <f ca="1">IFERROR(VLOOKUP(AE$2,Rango_Admin_DailyPred,MATCH($F9,Rango_Admin_DailyPred_Primera,0)+1,0),"-")</f>
        <v>-</v>
      </c>
      <c r="AF9" s="429" t="str">
        <f ca="1">IFERROR(VLOOKUP(AF$2,Rango_Admin_DailyPred,MATCH($F9,Rango_Admin_DailyPred_Primera,0)+1,0),"-")</f>
        <v>-</v>
      </c>
      <c r="AG9" s="429" t="str">
        <f ca="1">IFERROR(VLOOKUP(AG$2,Rango_Admin_DailyPred,MATCH($F9,Rango_Admin_DailyPred_Primera,0)+1,0),"-")</f>
        <v>-</v>
      </c>
      <c r="AH9" s="429" t="str">
        <f ca="1">IFERROR(VLOOKUP(AH$2,Rango_Admin_DailyPred,MATCH($F9,Rango_Admin_DailyPred_Primera,0)+1,0),"-")</f>
        <v>-</v>
      </c>
      <c r="AI9" s="429" t="str">
        <f ca="1">IFERROR(VLOOKUP(AI$2,Rango_Admin_DailyPred,MATCH($F9,Rango_Admin_DailyPred_Primera,0)+1,0),"-")</f>
        <v>-</v>
      </c>
      <c r="AJ9" s="429" t="str">
        <f ca="1">IFERROR(VLOOKUP(AJ$2,Rango_Admin_DailyPred,MATCH($F9,Rango_Admin_DailyPred_Primera,0)+1,0),"-")</f>
        <v>-</v>
      </c>
      <c r="AK9" s="429" t="str">
        <f ca="1">IFERROR(VLOOKUP(AK$2,Rango_Admin_DailyPred,MATCH($F9,Rango_Admin_DailyPred_Primera,0)+1,0),"-")</f>
        <v>-</v>
      </c>
      <c r="AL9" s="429" t="str">
        <f ca="1">IFERROR(VLOOKUP(AL$2,Rango_Admin_DailyPred,MATCH($F9,Rango_Admin_DailyPred_Primera,0)+1,0),"-")</f>
        <v>-</v>
      </c>
      <c r="AM9" s="429" t="str">
        <f ca="1">IFERROR(VLOOKUP(AM$2,Rango_Admin_DailyPred,MATCH($F9,Rango_Admin_DailyPred_Primera,0)+1,0),"-")</f>
        <v>-</v>
      </c>
      <c r="AN9" s="297"/>
    </row>
    <row r="10" spans="1:40">
      <c r="A10" s="8" t="str" cm="1">
        <f t="array" aca="1" ref="A10" ca="1">IFERROR(INDEX(ADMIN!$K$6:$K$258,SMALL(IF(ADMIN!$G$6:$G$258=$K$1,ROW(ADMIN!$G$6:$G$258)-ROW(ADMIN!$G$6)+1),ROWS($A$1:A7))),"")</f>
        <v>Silver Boot  (2nd Top Scorer)</v>
      </c>
      <c r="B10" s="8" t="str" cm="1">
        <f t="array" aca="1" ref="B10" ca="1">IFERROR(IFERROR(INDEX(ADMIN!$K$6:$K$258,SMALL(IF($K$1=ADMIN!$G$6:$G$258,ROW(ADMIN!$K$6:$K$258)-MIN(ROW(ADMIN!$G$6:$G$258))+1,""),ROW()-3)),"")&amp;CHAR(10)&amp;IF(INDEX(ADMIN!$M$6:$M$258,SMALL(IF($K$1=ADMIN!$G$6:$G$258,ROW(ADMIN!$M$6:$M$258)-MIN(ROW(ADMIN!$G$6:$G$258))+1,""),ROW()-3))="0|-",""," ("&amp;INDEX(ADMIN!$M$6:$M$258,SMALL(IF($K$1=ADMIN!$G$6:$G$258,ROW(ADMIN!$M$6:$M$258)-MIN(ROW(ADMIN!$G$6:$G$258))+1,""),ROW()-3))&amp;")"),"")</f>
        <v>Silver Boot  (2nd Top Scorer)
 (Messi)</v>
      </c>
      <c r="C10" s="8">
        <v>7</v>
      </c>
      <c r="D10" s="90"/>
      <c r="E10" s="409">
        <f ca="1">IFERROR(HLOOKUP(C10,Rango_Admin_DailyClas,3,FALSE),"-")</f>
        <v>7</v>
      </c>
      <c r="F10" s="448" t="str">
        <f ca="1">IFERROR(HLOOKUP(C10,Rango_Admin_DailyClas,5,FALSE),"-")</f>
        <v>Twan Veldhuis</v>
      </c>
      <c r="G10" s="22">
        <f ca="1">IFERROR(HLOOKUP(C10,Rango_Admin_DailyClas,4,FALSE),"-")</f>
        <v>75</v>
      </c>
      <c r="H10" s="429">
        <f ca="1">IFERROR(VLOOKUP(H$2,Rango_Admin_DailyPred,MATCH($F10,Rango_Admin_DailyPred_Primera,0)+1,0),"-")</f>
        <v>0</v>
      </c>
      <c r="I10" s="429">
        <f ca="1">IFERROR(VLOOKUP(I$2,Rango_Admin_DailyPred,MATCH($F10,Rango_Admin_DailyPred_Primera,0)+1,0),"-")</f>
        <v>0</v>
      </c>
      <c r="J10" s="429">
        <f ca="1">IFERROR(VLOOKUP(J$2,Rango_Admin_DailyPred,MATCH($F10,Rango_Admin_DailyPred_Primera,0)+1,0),"-")</f>
        <v>50</v>
      </c>
      <c r="K10" s="429">
        <f ca="1">IFERROR(VLOOKUP(K$2,Rango_Admin_DailyPred,MATCH($F10,Rango_Admin_DailyPred_Primera,0)+1,0),"-")</f>
        <v>0</v>
      </c>
      <c r="L10" s="429">
        <f ca="1">IFERROR(VLOOKUP(L$2,Rango_Admin_DailyPred,MATCH($F10,Rango_Admin_DailyPred_Primera,0)+1,0),"-")</f>
        <v>0</v>
      </c>
      <c r="M10" s="429">
        <f ca="1">IFERROR(VLOOKUP(M$2,Rango_Admin_DailyPred,MATCH($F10,Rango_Admin_DailyPred_Primera,0)+1,0),"-")</f>
        <v>20</v>
      </c>
      <c r="N10" s="429">
        <f ca="1">IFERROR(VLOOKUP(N$2,Rango_Admin_DailyPred,MATCH($F10,Rango_Admin_DailyPred_Primera,0)+1,0),"-")</f>
        <v>0</v>
      </c>
      <c r="O10" s="429">
        <f ca="1">IFERROR(VLOOKUP(O$2,Rango_Admin_DailyPred,MATCH($F10,Rango_Admin_DailyPred_Primera,0)+1,0),"-")</f>
        <v>5</v>
      </c>
      <c r="P10" s="429">
        <f ca="1">IFERROR(VLOOKUP(P$2,Rango_Admin_DailyPred,MATCH($F10,Rango_Admin_DailyPred_Primera,0)+1,0),"-")</f>
        <v>0</v>
      </c>
      <c r="Q10" s="429">
        <f ca="1">IFERROR(VLOOKUP(Q$2,Rango_Admin_DailyPred,MATCH($F10,Rango_Admin_DailyPred_Primera,0)+1,0),"-")</f>
        <v>0</v>
      </c>
      <c r="R10" s="429">
        <f ca="1">IFERROR(VLOOKUP(R$2,Rango_Admin_DailyPred,MATCH($F10,Rango_Admin_DailyPred_Primera,0)+1,0),"-")</f>
        <v>0</v>
      </c>
      <c r="S10" s="429" t="str">
        <f ca="1">IFERROR(VLOOKUP(S$2,Rango_Admin_DailyPred,MATCH($F10,Rango_Admin_DailyPred_Primera,0)+1,0),"-")</f>
        <v>-</v>
      </c>
      <c r="T10" s="429" t="str">
        <f ca="1">IFERROR(VLOOKUP(T$2,Rango_Admin_DailyPred,MATCH($F10,Rango_Admin_DailyPred_Primera,0)+1,0),"-")</f>
        <v>-</v>
      </c>
      <c r="U10" s="429" t="str">
        <f ca="1">IFERROR(VLOOKUP(U$2,Rango_Admin_DailyPred,MATCH($F10,Rango_Admin_DailyPred_Primera,0)+1,0),"-")</f>
        <v>-</v>
      </c>
      <c r="V10" s="429" t="str">
        <f ca="1">IFERROR(VLOOKUP(V$2,Rango_Admin_DailyPred,MATCH($F10,Rango_Admin_DailyPred_Primera,0)+1,0),"-")</f>
        <v>-</v>
      </c>
      <c r="W10" s="429" t="str">
        <f ca="1">IFERROR(VLOOKUP(W$2,Rango_Admin_DailyPred,MATCH($F10,Rango_Admin_DailyPred_Primera,0)+1,0),"-")</f>
        <v>-</v>
      </c>
      <c r="X10" s="429" t="str">
        <f ca="1">IFERROR(VLOOKUP(X$2,Rango_Admin_DailyPred,MATCH($F10,Rango_Admin_DailyPred_Primera,0)+1,0),"-")</f>
        <v>-</v>
      </c>
      <c r="Y10" s="429" t="str">
        <f ca="1">IFERROR(VLOOKUP(Y$2,Rango_Admin_DailyPred,MATCH($F10,Rango_Admin_DailyPred_Primera,0)+1,0),"-")</f>
        <v>-</v>
      </c>
      <c r="Z10" s="429" t="str">
        <f ca="1">IFERROR(VLOOKUP(Z$2,Rango_Admin_DailyPred,MATCH($F10,Rango_Admin_DailyPred_Primera,0)+1,0),"-")</f>
        <v>-</v>
      </c>
      <c r="AA10" s="429" t="str">
        <f ca="1">IFERROR(VLOOKUP(AA$2,Rango_Admin_DailyPred,MATCH($F10,Rango_Admin_DailyPred_Primera,0)+1,0),"-")</f>
        <v>-</v>
      </c>
      <c r="AB10" s="429" t="str">
        <f ca="1">IFERROR(VLOOKUP(AB$2,Rango_Admin_DailyPred,MATCH($F10,Rango_Admin_DailyPred_Primera,0)+1,0),"-")</f>
        <v>-</v>
      </c>
      <c r="AC10" s="429" t="str">
        <f ca="1">IFERROR(VLOOKUP(AC$2,Rango_Admin_DailyPred,MATCH($F10,Rango_Admin_DailyPred_Primera,0)+1,0),"-")</f>
        <v>-</v>
      </c>
      <c r="AD10" s="429" t="str">
        <f ca="1">IFERROR(VLOOKUP(AD$2,Rango_Admin_DailyPred,MATCH($F10,Rango_Admin_DailyPred_Primera,0)+1,0),"-")</f>
        <v>-</v>
      </c>
      <c r="AE10" s="429" t="str">
        <f ca="1">IFERROR(VLOOKUP(AE$2,Rango_Admin_DailyPred,MATCH($F10,Rango_Admin_DailyPred_Primera,0)+1,0),"-")</f>
        <v>-</v>
      </c>
      <c r="AF10" s="429" t="str">
        <f ca="1">IFERROR(VLOOKUP(AF$2,Rango_Admin_DailyPred,MATCH($F10,Rango_Admin_DailyPred_Primera,0)+1,0),"-")</f>
        <v>-</v>
      </c>
      <c r="AG10" s="429" t="str">
        <f ca="1">IFERROR(VLOOKUP(AG$2,Rango_Admin_DailyPred,MATCH($F10,Rango_Admin_DailyPred_Primera,0)+1,0),"-")</f>
        <v>-</v>
      </c>
      <c r="AH10" s="429" t="str">
        <f ca="1">IFERROR(VLOOKUP(AH$2,Rango_Admin_DailyPred,MATCH($F10,Rango_Admin_DailyPred_Primera,0)+1,0),"-")</f>
        <v>-</v>
      </c>
      <c r="AI10" s="429" t="str">
        <f ca="1">IFERROR(VLOOKUP(AI$2,Rango_Admin_DailyPred,MATCH($F10,Rango_Admin_DailyPred_Primera,0)+1,0),"-")</f>
        <v>-</v>
      </c>
      <c r="AJ10" s="429" t="str">
        <f ca="1">IFERROR(VLOOKUP(AJ$2,Rango_Admin_DailyPred,MATCH($F10,Rango_Admin_DailyPred_Primera,0)+1,0),"-")</f>
        <v>-</v>
      </c>
      <c r="AK10" s="429" t="str">
        <f ca="1">IFERROR(VLOOKUP(AK$2,Rango_Admin_DailyPred,MATCH($F10,Rango_Admin_DailyPred_Primera,0)+1,0),"-")</f>
        <v>-</v>
      </c>
      <c r="AL10" s="429" t="str">
        <f ca="1">IFERROR(VLOOKUP(AL$2,Rango_Admin_DailyPred,MATCH($F10,Rango_Admin_DailyPred_Primera,0)+1,0),"-")</f>
        <v>-</v>
      </c>
      <c r="AM10" s="429" t="str">
        <f ca="1">IFERROR(VLOOKUP(AM$2,Rango_Admin_DailyPred,MATCH($F10,Rango_Admin_DailyPred_Primera,0)+1,0),"-")</f>
        <v>-</v>
      </c>
      <c r="AN10" s="297"/>
    </row>
    <row r="11" spans="1:40">
      <c r="A11" s="8" t="str" cm="1">
        <f t="array" aca="1" ref="A11" ca="1">IFERROR(INDEX(ADMIN!$K$6:$K$258,SMALL(IF(ADMIN!$G$6:$G$258=$K$1,ROW(ADMIN!$G$6:$G$258)-ROW(ADMIN!$G$6)+1),ROWS($A$1:A8))),"")</f>
        <v>Bronze Boot (3rd Top Scorer)</v>
      </c>
      <c r="B11" s="8" t="str" cm="1">
        <f t="array" aca="1" ref="B11" ca="1">IFERROR(IFERROR(INDEX(ADMIN!$K$6:$K$258,SMALL(IF($K$1=ADMIN!$G$6:$G$258,ROW(ADMIN!$K$6:$K$258)-MIN(ROW(ADMIN!$G$6:$G$258))+1,""),ROW()-3)),"")&amp;CHAR(10)&amp;IF(INDEX(ADMIN!$M$6:$M$258,SMALL(IF($K$1=ADMIN!$G$6:$G$258,ROW(ADMIN!$M$6:$M$258)-MIN(ROW(ADMIN!$G$6:$G$258))+1,""),ROW()-3))="0|-",""," ("&amp;INDEX(ADMIN!$M$6:$M$258,SMALL(IF($K$1=ADMIN!$G$6:$G$258,ROW(ADMIN!$M$6:$M$258)-MIN(ROW(ADMIN!$G$6:$G$258))+1,""),ROW()-3))&amp;")"),"")</f>
        <v>Bronze Boot (3rd Top Scorer)
 (Bellingham / Haaland)</v>
      </c>
      <c r="C11" s="8">
        <v>8</v>
      </c>
      <c r="D11" s="90"/>
      <c r="E11" s="409">
        <f ca="1">IFERROR(HLOOKUP(C11,Rango_Admin_DailyClas,3,FALSE),"-")</f>
        <v>7</v>
      </c>
      <c r="F11" s="448" t="str">
        <f ca="1">IFERROR(HLOOKUP(C11,Rango_Admin_DailyClas,5,FALSE),"-")</f>
        <v>Martijn Pierik</v>
      </c>
      <c r="G11" s="22">
        <f ca="1">IFERROR(HLOOKUP(C11,Rango_Admin_DailyClas,4,FALSE),"-")</f>
        <v>75</v>
      </c>
      <c r="H11" s="429">
        <f ca="1">IFERROR(VLOOKUP(H$2,Rango_Admin_DailyPred,MATCH($F11,Rango_Admin_DailyPred_Primera,0)+1,0),"-")</f>
        <v>0</v>
      </c>
      <c r="I11" s="429">
        <f ca="1">IFERROR(VLOOKUP(I$2,Rango_Admin_DailyPred,MATCH($F11,Rango_Admin_DailyPred_Primera,0)+1,0),"-")</f>
        <v>0</v>
      </c>
      <c r="J11" s="429">
        <f ca="1">IFERROR(VLOOKUP(J$2,Rango_Admin_DailyPred,MATCH($F11,Rango_Admin_DailyPred_Primera,0)+1,0),"-")</f>
        <v>0</v>
      </c>
      <c r="K11" s="429">
        <f ca="1">IFERROR(VLOOKUP(K$2,Rango_Admin_DailyPred,MATCH($F11,Rango_Admin_DailyPred_Primera,0)+1,0),"-")</f>
        <v>30</v>
      </c>
      <c r="L11" s="429">
        <f ca="1">IFERROR(VLOOKUP(L$2,Rango_Admin_DailyPred,MATCH($F11,Rango_Admin_DailyPred_Primera,0)+1,0),"-")</f>
        <v>20</v>
      </c>
      <c r="M11" s="429">
        <f ca="1">IFERROR(VLOOKUP(M$2,Rango_Admin_DailyPred,MATCH($F11,Rango_Admin_DailyPred_Primera,0)+1,0),"-")</f>
        <v>20</v>
      </c>
      <c r="N11" s="429">
        <f ca="1">IFERROR(VLOOKUP(N$2,Rango_Admin_DailyPred,MATCH($F11,Rango_Admin_DailyPred_Primera,0)+1,0),"-")</f>
        <v>0</v>
      </c>
      <c r="O11" s="429">
        <f ca="1">IFERROR(VLOOKUP(O$2,Rango_Admin_DailyPred,MATCH($F11,Rango_Admin_DailyPred_Primera,0)+1,0),"-")</f>
        <v>5</v>
      </c>
      <c r="P11" s="429">
        <f ca="1">IFERROR(VLOOKUP(P$2,Rango_Admin_DailyPred,MATCH($F11,Rango_Admin_DailyPred_Primera,0)+1,0),"-")</f>
        <v>0</v>
      </c>
      <c r="Q11" s="429">
        <f ca="1">IFERROR(VLOOKUP(Q$2,Rango_Admin_DailyPred,MATCH($F11,Rango_Admin_DailyPred_Primera,0)+1,0),"-")</f>
        <v>0</v>
      </c>
      <c r="R11" s="429">
        <f ca="1">IFERROR(VLOOKUP(R$2,Rango_Admin_DailyPred,MATCH($F11,Rango_Admin_DailyPred_Primera,0)+1,0),"-")</f>
        <v>0</v>
      </c>
      <c r="S11" s="429" t="str">
        <f ca="1">IFERROR(VLOOKUP(S$2,Rango_Admin_DailyPred,MATCH($F11,Rango_Admin_DailyPred_Primera,0)+1,0),"-")</f>
        <v>-</v>
      </c>
      <c r="T11" s="429" t="str">
        <f ca="1">IFERROR(VLOOKUP(T$2,Rango_Admin_DailyPred,MATCH($F11,Rango_Admin_DailyPred_Primera,0)+1,0),"-")</f>
        <v>-</v>
      </c>
      <c r="U11" s="429" t="str">
        <f ca="1">IFERROR(VLOOKUP(U$2,Rango_Admin_DailyPred,MATCH($F11,Rango_Admin_DailyPred_Primera,0)+1,0),"-")</f>
        <v>-</v>
      </c>
      <c r="V11" s="429" t="str">
        <f ca="1">IFERROR(VLOOKUP(V$2,Rango_Admin_DailyPred,MATCH($F11,Rango_Admin_DailyPred_Primera,0)+1,0),"-")</f>
        <v>-</v>
      </c>
      <c r="W11" s="429" t="str">
        <f ca="1">IFERROR(VLOOKUP(W$2,Rango_Admin_DailyPred,MATCH($F11,Rango_Admin_DailyPred_Primera,0)+1,0),"-")</f>
        <v>-</v>
      </c>
      <c r="X11" s="429" t="str">
        <f ca="1">IFERROR(VLOOKUP(X$2,Rango_Admin_DailyPred,MATCH($F11,Rango_Admin_DailyPred_Primera,0)+1,0),"-")</f>
        <v>-</v>
      </c>
      <c r="Y11" s="429" t="str">
        <f ca="1">IFERROR(VLOOKUP(Y$2,Rango_Admin_DailyPred,MATCH($F11,Rango_Admin_DailyPred_Primera,0)+1,0),"-")</f>
        <v>-</v>
      </c>
      <c r="Z11" s="429" t="str">
        <f ca="1">IFERROR(VLOOKUP(Z$2,Rango_Admin_DailyPred,MATCH($F11,Rango_Admin_DailyPred_Primera,0)+1,0),"-")</f>
        <v>-</v>
      </c>
      <c r="AA11" s="429" t="str">
        <f ca="1">IFERROR(VLOOKUP(AA$2,Rango_Admin_DailyPred,MATCH($F11,Rango_Admin_DailyPred_Primera,0)+1,0),"-")</f>
        <v>-</v>
      </c>
      <c r="AB11" s="429" t="str">
        <f ca="1">IFERROR(VLOOKUP(AB$2,Rango_Admin_DailyPred,MATCH($F11,Rango_Admin_DailyPred_Primera,0)+1,0),"-")</f>
        <v>-</v>
      </c>
      <c r="AC11" s="429" t="str">
        <f ca="1">IFERROR(VLOOKUP(AC$2,Rango_Admin_DailyPred,MATCH($F11,Rango_Admin_DailyPred_Primera,0)+1,0),"-")</f>
        <v>-</v>
      </c>
      <c r="AD11" s="429" t="str">
        <f ca="1">IFERROR(VLOOKUP(AD$2,Rango_Admin_DailyPred,MATCH($F11,Rango_Admin_DailyPred_Primera,0)+1,0),"-")</f>
        <v>-</v>
      </c>
      <c r="AE11" s="429" t="str">
        <f ca="1">IFERROR(VLOOKUP(AE$2,Rango_Admin_DailyPred,MATCH($F11,Rango_Admin_DailyPred_Primera,0)+1,0),"-")</f>
        <v>-</v>
      </c>
      <c r="AF11" s="429" t="str">
        <f ca="1">IFERROR(VLOOKUP(AF$2,Rango_Admin_DailyPred,MATCH($F11,Rango_Admin_DailyPred_Primera,0)+1,0),"-")</f>
        <v>-</v>
      </c>
      <c r="AG11" s="429" t="str">
        <f ca="1">IFERROR(VLOOKUP(AG$2,Rango_Admin_DailyPred,MATCH($F11,Rango_Admin_DailyPred_Primera,0)+1,0),"-")</f>
        <v>-</v>
      </c>
      <c r="AH11" s="429" t="str">
        <f ca="1">IFERROR(VLOOKUP(AH$2,Rango_Admin_DailyPred,MATCH($F11,Rango_Admin_DailyPred_Primera,0)+1,0),"-")</f>
        <v>-</v>
      </c>
      <c r="AI11" s="429" t="str">
        <f ca="1">IFERROR(VLOOKUP(AI$2,Rango_Admin_DailyPred,MATCH($F11,Rango_Admin_DailyPred_Primera,0)+1,0),"-")</f>
        <v>-</v>
      </c>
      <c r="AJ11" s="429" t="str">
        <f ca="1">IFERROR(VLOOKUP(AJ$2,Rango_Admin_DailyPred,MATCH($F11,Rango_Admin_DailyPred_Primera,0)+1,0),"-")</f>
        <v>-</v>
      </c>
      <c r="AK11" s="429" t="str">
        <f ca="1">IFERROR(VLOOKUP(AK$2,Rango_Admin_DailyPred,MATCH($F11,Rango_Admin_DailyPred_Primera,0)+1,0),"-")</f>
        <v>-</v>
      </c>
      <c r="AL11" s="429" t="str">
        <f ca="1">IFERROR(VLOOKUP(AL$2,Rango_Admin_DailyPred,MATCH($F11,Rango_Admin_DailyPred_Primera,0)+1,0),"-")</f>
        <v>-</v>
      </c>
      <c r="AM11" s="429" t="str">
        <f ca="1">IFERROR(VLOOKUP(AM$2,Rango_Admin_DailyPred,MATCH($F11,Rango_Admin_DailyPred_Primera,0)+1,0),"-")</f>
        <v>-</v>
      </c>
      <c r="AN11" s="297"/>
    </row>
    <row r="12" spans="1:40">
      <c r="A12" s="8" t="str" cm="1">
        <f t="array" aca="1" ref="A12" ca="1">IFERROR(INDEX(ADMIN!$K$6:$K$258,SMALL(IF(ADMIN!$G$6:$G$258=$K$1,ROW(ADMIN!$G$6:$G$258)-ROW(ADMIN!$G$6)+1),ROWS($A$1:A9))),"")</f>
        <v>Golden Ball (Best Player)</v>
      </c>
      <c r="B12" s="8" t="str" cm="1">
        <f t="array" aca="1" ref="B12" ca="1">IFERROR(IFERROR(INDEX(ADMIN!$K$6:$K$258,SMALL(IF($K$1=ADMIN!$G$6:$G$258,ROW(ADMIN!$K$6:$K$258)-MIN(ROW(ADMIN!$G$6:$G$258))+1,""),ROW()-3)),"")&amp;CHAR(10)&amp;IF(INDEX(ADMIN!$M$6:$M$258,SMALL(IF($K$1=ADMIN!$G$6:$G$258,ROW(ADMIN!$M$6:$M$258)-MIN(ROW(ADMIN!$G$6:$G$258))+1,""),ROW()-3))="0|-",""," ("&amp;INDEX(ADMIN!$M$6:$M$258,SMALL(IF($K$1=ADMIN!$G$6:$G$258,ROW(ADMIN!$M$6:$M$258)-MIN(ROW(ADMIN!$G$6:$G$258))+1,""),ROW()-3))&amp;")"),"")</f>
        <v>Golden Ball (Best Player)
 (Rodri)</v>
      </c>
      <c r="C12" s="8">
        <v>9</v>
      </c>
      <c r="D12" s="90"/>
      <c r="E12" s="409">
        <f ca="1">IFERROR(HLOOKUP(C12,Rango_Admin_DailyClas,3,FALSE),"-")</f>
        <v>7</v>
      </c>
      <c r="F12" s="448" t="str">
        <f ca="1">IFERROR(HLOOKUP(C12,Rango_Admin_DailyClas,5,FALSE),"-")</f>
        <v>Stan Hofstra</v>
      </c>
      <c r="G12" s="22">
        <f ca="1">IFERROR(HLOOKUP(C12,Rango_Admin_DailyClas,4,FALSE),"-")</f>
        <v>75</v>
      </c>
      <c r="H12" s="429">
        <f ca="1">IFERROR(VLOOKUP(H$2,Rango_Admin_DailyPred,MATCH($F12,Rango_Admin_DailyPred_Primera,0)+1,0),"-")</f>
        <v>0</v>
      </c>
      <c r="I12" s="429">
        <f ca="1">IFERROR(VLOOKUP(I$2,Rango_Admin_DailyPred,MATCH($F12,Rango_Admin_DailyPred_Primera,0)+1,0),"-")</f>
        <v>0</v>
      </c>
      <c r="J12" s="429">
        <f ca="1">IFERROR(VLOOKUP(J$2,Rango_Admin_DailyPred,MATCH($F12,Rango_Admin_DailyPred_Primera,0)+1,0),"-")</f>
        <v>50</v>
      </c>
      <c r="K12" s="429">
        <f ca="1">IFERROR(VLOOKUP(K$2,Rango_Admin_DailyPred,MATCH($F12,Rango_Admin_DailyPred_Primera,0)+1,0),"-")</f>
        <v>0</v>
      </c>
      <c r="L12" s="429">
        <f ca="1">IFERROR(VLOOKUP(L$2,Rango_Admin_DailyPred,MATCH($F12,Rango_Admin_DailyPred_Primera,0)+1,0),"-")</f>
        <v>0</v>
      </c>
      <c r="M12" s="429">
        <f ca="1">IFERROR(VLOOKUP(M$2,Rango_Admin_DailyPred,MATCH($F12,Rango_Admin_DailyPred_Primera,0)+1,0),"-")</f>
        <v>20</v>
      </c>
      <c r="N12" s="429">
        <f ca="1">IFERROR(VLOOKUP(N$2,Rango_Admin_DailyPred,MATCH($F12,Rango_Admin_DailyPred_Primera,0)+1,0),"-")</f>
        <v>0</v>
      </c>
      <c r="O12" s="429">
        <f ca="1">IFERROR(VLOOKUP(O$2,Rango_Admin_DailyPred,MATCH($F12,Rango_Admin_DailyPred_Primera,0)+1,0),"-")</f>
        <v>5</v>
      </c>
      <c r="P12" s="429">
        <f ca="1">IFERROR(VLOOKUP(P$2,Rango_Admin_DailyPred,MATCH($F12,Rango_Admin_DailyPred_Primera,0)+1,0),"-")</f>
        <v>0</v>
      </c>
      <c r="Q12" s="429">
        <f ca="1">IFERROR(VLOOKUP(Q$2,Rango_Admin_DailyPred,MATCH($F12,Rango_Admin_DailyPred_Primera,0)+1,0),"-")</f>
        <v>0</v>
      </c>
      <c r="R12" s="429">
        <f ca="1">IFERROR(VLOOKUP(R$2,Rango_Admin_DailyPred,MATCH($F12,Rango_Admin_DailyPred_Primera,0)+1,0),"-")</f>
        <v>0</v>
      </c>
      <c r="S12" s="429" t="str">
        <f ca="1">IFERROR(VLOOKUP(S$2,Rango_Admin_DailyPred,MATCH($F12,Rango_Admin_DailyPred_Primera,0)+1,0),"-")</f>
        <v>-</v>
      </c>
      <c r="T12" s="429" t="str">
        <f ca="1">IFERROR(VLOOKUP(T$2,Rango_Admin_DailyPred,MATCH($F12,Rango_Admin_DailyPred_Primera,0)+1,0),"-")</f>
        <v>-</v>
      </c>
      <c r="U12" s="429" t="str">
        <f ca="1">IFERROR(VLOOKUP(U$2,Rango_Admin_DailyPred,MATCH($F12,Rango_Admin_DailyPred_Primera,0)+1,0),"-")</f>
        <v>-</v>
      </c>
      <c r="V12" s="429" t="str">
        <f ca="1">IFERROR(VLOOKUP(V$2,Rango_Admin_DailyPred,MATCH($F12,Rango_Admin_DailyPred_Primera,0)+1,0),"-")</f>
        <v>-</v>
      </c>
      <c r="W12" s="429" t="str">
        <f ca="1">IFERROR(VLOOKUP(W$2,Rango_Admin_DailyPred,MATCH($F12,Rango_Admin_DailyPred_Primera,0)+1,0),"-")</f>
        <v>-</v>
      </c>
      <c r="X12" s="429" t="str">
        <f ca="1">IFERROR(VLOOKUP(X$2,Rango_Admin_DailyPred,MATCH($F12,Rango_Admin_DailyPred_Primera,0)+1,0),"-")</f>
        <v>-</v>
      </c>
      <c r="Y12" s="429" t="str">
        <f ca="1">IFERROR(VLOOKUP(Y$2,Rango_Admin_DailyPred,MATCH($F12,Rango_Admin_DailyPred_Primera,0)+1,0),"-")</f>
        <v>-</v>
      </c>
      <c r="Z12" s="429" t="str">
        <f ca="1">IFERROR(VLOOKUP(Z$2,Rango_Admin_DailyPred,MATCH($F12,Rango_Admin_DailyPred_Primera,0)+1,0),"-")</f>
        <v>-</v>
      </c>
      <c r="AA12" s="429" t="str">
        <f ca="1">IFERROR(VLOOKUP(AA$2,Rango_Admin_DailyPred,MATCH($F12,Rango_Admin_DailyPred_Primera,0)+1,0),"-")</f>
        <v>-</v>
      </c>
      <c r="AB12" s="429" t="str">
        <f ca="1">IFERROR(VLOOKUP(AB$2,Rango_Admin_DailyPred,MATCH($F12,Rango_Admin_DailyPred_Primera,0)+1,0),"-")</f>
        <v>-</v>
      </c>
      <c r="AC12" s="429" t="str">
        <f ca="1">IFERROR(VLOOKUP(AC$2,Rango_Admin_DailyPred,MATCH($F12,Rango_Admin_DailyPred_Primera,0)+1,0),"-")</f>
        <v>-</v>
      </c>
      <c r="AD12" s="429" t="str">
        <f ca="1">IFERROR(VLOOKUP(AD$2,Rango_Admin_DailyPred,MATCH($F12,Rango_Admin_DailyPred_Primera,0)+1,0),"-")</f>
        <v>-</v>
      </c>
      <c r="AE12" s="429" t="str">
        <f ca="1">IFERROR(VLOOKUP(AE$2,Rango_Admin_DailyPred,MATCH($F12,Rango_Admin_DailyPred_Primera,0)+1,0),"-")</f>
        <v>-</v>
      </c>
      <c r="AF12" s="429" t="str">
        <f ca="1">IFERROR(VLOOKUP(AF$2,Rango_Admin_DailyPred,MATCH($F12,Rango_Admin_DailyPred_Primera,0)+1,0),"-")</f>
        <v>-</v>
      </c>
      <c r="AG12" s="429" t="str">
        <f ca="1">IFERROR(VLOOKUP(AG$2,Rango_Admin_DailyPred,MATCH($F12,Rango_Admin_DailyPred_Primera,0)+1,0),"-")</f>
        <v>-</v>
      </c>
      <c r="AH12" s="429" t="str">
        <f ca="1">IFERROR(VLOOKUP(AH$2,Rango_Admin_DailyPred,MATCH($F12,Rango_Admin_DailyPred_Primera,0)+1,0),"-")</f>
        <v>-</v>
      </c>
      <c r="AI12" s="429" t="str">
        <f ca="1">IFERROR(VLOOKUP(AI$2,Rango_Admin_DailyPred,MATCH($F12,Rango_Admin_DailyPred_Primera,0)+1,0),"-")</f>
        <v>-</v>
      </c>
      <c r="AJ12" s="429" t="str">
        <f ca="1">IFERROR(VLOOKUP(AJ$2,Rango_Admin_DailyPred,MATCH($F12,Rango_Admin_DailyPred_Primera,0)+1,0),"-")</f>
        <v>-</v>
      </c>
      <c r="AK12" s="429" t="str">
        <f ca="1">IFERROR(VLOOKUP(AK$2,Rango_Admin_DailyPred,MATCH($F12,Rango_Admin_DailyPred_Primera,0)+1,0),"-")</f>
        <v>-</v>
      </c>
      <c r="AL12" s="429" t="str">
        <f ca="1">IFERROR(VLOOKUP(AL$2,Rango_Admin_DailyPred,MATCH($F12,Rango_Admin_DailyPred_Primera,0)+1,0),"-")</f>
        <v>-</v>
      </c>
      <c r="AM12" s="429" t="str">
        <f ca="1">IFERROR(VLOOKUP(AM$2,Rango_Admin_DailyPred,MATCH($F12,Rango_Admin_DailyPred_Primera,0)+1,0),"-")</f>
        <v>-</v>
      </c>
      <c r="AN12" s="297"/>
    </row>
    <row r="13" spans="1:40">
      <c r="A13" s="8" t="str" cm="1">
        <f t="array" aca="1" ref="A13" ca="1">IFERROR(INDEX(ADMIN!$K$6:$K$258,SMALL(IF(ADMIN!$G$6:$G$258=$K$1,ROW(ADMIN!$G$6:$G$258)-ROW(ADMIN!$G$6)+1),ROWS($A$1:A10))),"")</f>
        <v>Silver Ball (2nd Best Player)</v>
      </c>
      <c r="B13" s="8" t="str" cm="1">
        <f t="array" aca="1" ref="B13" ca="1">IFERROR(IFERROR(INDEX(ADMIN!$K$6:$K$258,SMALL(IF($K$1=ADMIN!$G$6:$G$258,ROW(ADMIN!$K$6:$K$258)-MIN(ROW(ADMIN!$G$6:$G$258))+1,""),ROW()-3)),"")&amp;CHAR(10)&amp;IF(INDEX(ADMIN!$M$6:$M$258,SMALL(IF($K$1=ADMIN!$G$6:$G$258,ROW(ADMIN!$M$6:$M$258)-MIN(ROW(ADMIN!$G$6:$G$258))+1,""),ROW()-3))="0|-",""," ("&amp;INDEX(ADMIN!$M$6:$M$258,SMALL(IF($K$1=ADMIN!$G$6:$G$258,ROW(ADMIN!$M$6:$M$258)-MIN(ROW(ADMIN!$G$6:$G$258))+1,""),ROW()-3))&amp;")"),"")</f>
        <v>Silver Ball (2nd Best Player)
 (Messi)</v>
      </c>
      <c r="C13" s="8">
        <v>10</v>
      </c>
      <c r="D13" s="90"/>
      <c r="E13" s="409">
        <f ca="1">IFERROR(HLOOKUP(C13,Rango_Admin_DailyClas,3,FALSE),"-")</f>
        <v>10</v>
      </c>
      <c r="F13" s="448" t="str">
        <f ca="1">IFERROR(HLOOKUP(C13,Rango_Admin_DailyClas,5,FALSE),"-")</f>
        <v>Ruben van Wamelen</v>
      </c>
      <c r="G13" s="22">
        <f ca="1">IFERROR(HLOOKUP(C13,Rango_Admin_DailyClas,4,FALSE),"-")</f>
        <v>74</v>
      </c>
      <c r="H13" s="429">
        <f ca="1">IFERROR(VLOOKUP(H$2,Rango_Admin_DailyPred,MATCH($F13,Rango_Admin_DailyPred_Primera,0)+1,0),"-")</f>
        <v>0</v>
      </c>
      <c r="I13" s="429">
        <f ca="1">IFERROR(VLOOKUP(I$2,Rango_Admin_DailyPred,MATCH($F13,Rango_Admin_DailyPred_Primera,0)+1,0),"-")</f>
        <v>0</v>
      </c>
      <c r="J13" s="429">
        <f ca="1">IFERROR(VLOOKUP(J$2,Rango_Admin_DailyPred,MATCH($F13,Rango_Admin_DailyPred_Primera,0)+1,0),"-")</f>
        <v>50</v>
      </c>
      <c r="K13" s="429">
        <f ca="1">IFERROR(VLOOKUP(K$2,Rango_Admin_DailyPred,MATCH($F13,Rango_Admin_DailyPred_Primera,0)+1,0),"-")</f>
        <v>0</v>
      </c>
      <c r="L13" s="429">
        <f ca="1">IFERROR(VLOOKUP(L$2,Rango_Admin_DailyPred,MATCH($F13,Rango_Admin_DailyPred_Primera,0)+1,0),"-")</f>
        <v>0</v>
      </c>
      <c r="M13" s="429">
        <f ca="1">IFERROR(VLOOKUP(M$2,Rango_Admin_DailyPred,MATCH($F13,Rango_Admin_DailyPred_Primera,0)+1,0),"-")</f>
        <v>20</v>
      </c>
      <c r="N13" s="429">
        <f ca="1">IFERROR(VLOOKUP(N$2,Rango_Admin_DailyPred,MATCH($F13,Rango_Admin_DailyPred_Primera,0)+1,0),"-")</f>
        <v>0</v>
      </c>
      <c r="O13" s="429">
        <f ca="1">IFERROR(VLOOKUP(O$2,Rango_Admin_DailyPred,MATCH($F13,Rango_Admin_DailyPred_Primera,0)+1,0),"-")</f>
        <v>0</v>
      </c>
      <c r="P13" s="429">
        <f ca="1">IFERROR(VLOOKUP(P$2,Rango_Admin_DailyPred,MATCH($F13,Rango_Admin_DailyPred_Primera,0)+1,0),"-")</f>
        <v>0</v>
      </c>
      <c r="Q13" s="429">
        <f ca="1">IFERROR(VLOOKUP(Q$2,Rango_Admin_DailyPred,MATCH($F13,Rango_Admin_DailyPred_Primera,0)+1,0),"-")</f>
        <v>0</v>
      </c>
      <c r="R13" s="429">
        <f ca="1">IFERROR(VLOOKUP(R$2,Rango_Admin_DailyPred,MATCH($F13,Rango_Admin_DailyPred_Primera,0)+1,0),"-")</f>
        <v>4</v>
      </c>
      <c r="S13" s="429" t="str">
        <f ca="1">IFERROR(VLOOKUP(S$2,Rango_Admin_DailyPred,MATCH($F13,Rango_Admin_DailyPred_Primera,0)+1,0),"-")</f>
        <v>-</v>
      </c>
      <c r="T13" s="429" t="str">
        <f ca="1">IFERROR(VLOOKUP(T$2,Rango_Admin_DailyPred,MATCH($F13,Rango_Admin_DailyPred_Primera,0)+1,0),"-")</f>
        <v>-</v>
      </c>
      <c r="U13" s="429" t="str">
        <f ca="1">IFERROR(VLOOKUP(U$2,Rango_Admin_DailyPred,MATCH($F13,Rango_Admin_DailyPred_Primera,0)+1,0),"-")</f>
        <v>-</v>
      </c>
      <c r="V13" s="429" t="str">
        <f ca="1">IFERROR(VLOOKUP(V$2,Rango_Admin_DailyPred,MATCH($F13,Rango_Admin_DailyPred_Primera,0)+1,0),"-")</f>
        <v>-</v>
      </c>
      <c r="W13" s="429" t="str">
        <f ca="1">IFERROR(VLOOKUP(W$2,Rango_Admin_DailyPred,MATCH($F13,Rango_Admin_DailyPred_Primera,0)+1,0),"-")</f>
        <v>-</v>
      </c>
      <c r="X13" s="429" t="str">
        <f ca="1">IFERROR(VLOOKUP(X$2,Rango_Admin_DailyPred,MATCH($F13,Rango_Admin_DailyPred_Primera,0)+1,0),"-")</f>
        <v>-</v>
      </c>
      <c r="Y13" s="429" t="str">
        <f ca="1">IFERROR(VLOOKUP(Y$2,Rango_Admin_DailyPred,MATCH($F13,Rango_Admin_DailyPred_Primera,0)+1,0),"-")</f>
        <v>-</v>
      </c>
      <c r="Z13" s="429" t="str">
        <f ca="1">IFERROR(VLOOKUP(Z$2,Rango_Admin_DailyPred,MATCH($F13,Rango_Admin_DailyPred_Primera,0)+1,0),"-")</f>
        <v>-</v>
      </c>
      <c r="AA13" s="429" t="str">
        <f ca="1">IFERROR(VLOOKUP(AA$2,Rango_Admin_DailyPred,MATCH($F13,Rango_Admin_DailyPred_Primera,0)+1,0),"-")</f>
        <v>-</v>
      </c>
      <c r="AB13" s="429" t="str">
        <f ca="1">IFERROR(VLOOKUP(AB$2,Rango_Admin_DailyPred,MATCH($F13,Rango_Admin_DailyPred_Primera,0)+1,0),"-")</f>
        <v>-</v>
      </c>
      <c r="AC13" s="429" t="str">
        <f ca="1">IFERROR(VLOOKUP(AC$2,Rango_Admin_DailyPred,MATCH($F13,Rango_Admin_DailyPred_Primera,0)+1,0),"-")</f>
        <v>-</v>
      </c>
      <c r="AD13" s="429" t="str">
        <f ca="1">IFERROR(VLOOKUP(AD$2,Rango_Admin_DailyPred,MATCH($F13,Rango_Admin_DailyPred_Primera,0)+1,0),"-")</f>
        <v>-</v>
      </c>
      <c r="AE13" s="429" t="str">
        <f ca="1">IFERROR(VLOOKUP(AE$2,Rango_Admin_DailyPred,MATCH($F13,Rango_Admin_DailyPred_Primera,0)+1,0),"-")</f>
        <v>-</v>
      </c>
      <c r="AF13" s="429" t="str">
        <f ca="1">IFERROR(VLOOKUP(AF$2,Rango_Admin_DailyPred,MATCH($F13,Rango_Admin_DailyPred_Primera,0)+1,0),"-")</f>
        <v>-</v>
      </c>
      <c r="AG13" s="429" t="str">
        <f ca="1">IFERROR(VLOOKUP(AG$2,Rango_Admin_DailyPred,MATCH($F13,Rango_Admin_DailyPred_Primera,0)+1,0),"-")</f>
        <v>-</v>
      </c>
      <c r="AH13" s="429" t="str">
        <f ca="1">IFERROR(VLOOKUP(AH$2,Rango_Admin_DailyPred,MATCH($F13,Rango_Admin_DailyPred_Primera,0)+1,0),"-")</f>
        <v>-</v>
      </c>
      <c r="AI13" s="429" t="str">
        <f ca="1">IFERROR(VLOOKUP(AI$2,Rango_Admin_DailyPred,MATCH($F13,Rango_Admin_DailyPred_Primera,0)+1,0),"-")</f>
        <v>-</v>
      </c>
      <c r="AJ13" s="429" t="str">
        <f ca="1">IFERROR(VLOOKUP(AJ$2,Rango_Admin_DailyPred,MATCH($F13,Rango_Admin_DailyPred_Primera,0)+1,0),"-")</f>
        <v>-</v>
      </c>
      <c r="AK13" s="429" t="str">
        <f ca="1">IFERROR(VLOOKUP(AK$2,Rango_Admin_DailyPred,MATCH($F13,Rango_Admin_DailyPred_Primera,0)+1,0),"-")</f>
        <v>-</v>
      </c>
      <c r="AL13" s="429" t="str">
        <f ca="1">IFERROR(VLOOKUP(AL$2,Rango_Admin_DailyPred,MATCH($F13,Rango_Admin_DailyPred_Primera,0)+1,0),"-")</f>
        <v>-</v>
      </c>
      <c r="AM13" s="429" t="str">
        <f ca="1">IFERROR(VLOOKUP(AM$2,Rango_Admin_DailyPred,MATCH($F13,Rango_Admin_DailyPred_Primera,0)+1,0),"-")</f>
        <v>-</v>
      </c>
      <c r="AN13" s="297"/>
    </row>
    <row r="14" spans="1:40">
      <c r="A14" s="8" t="str" cm="1">
        <f t="array" aca="1" ref="A14" ca="1">IFERROR(INDEX(ADMIN!$K$6:$K$258,SMALL(IF(ADMIN!$G$6:$G$258=$K$1,ROW(ADMIN!$G$6:$G$258)-ROW(ADMIN!$G$6)+1),ROWS($A$1:A11))),"")</f>
        <v>Bronze Ball (3rd Best Player))</v>
      </c>
      <c r="B14" s="8" t="str" cm="1">
        <f t="array" aca="1" ref="B14" ca="1">IFERROR(IFERROR(INDEX(ADMIN!$K$6:$K$258,SMALL(IF($K$1=ADMIN!$G$6:$G$258,ROW(ADMIN!$K$6:$K$258)-MIN(ROW(ADMIN!$G$6:$G$258))+1,""),ROW()-3)),"")&amp;CHAR(10)&amp;IF(INDEX(ADMIN!$M$6:$M$258,SMALL(IF($K$1=ADMIN!$G$6:$G$258,ROW(ADMIN!$M$6:$M$258)-MIN(ROW(ADMIN!$G$6:$G$258))+1,""),ROW()-3))="0|-",""," ("&amp;INDEX(ADMIN!$M$6:$M$258,SMALL(IF($K$1=ADMIN!$G$6:$G$258,ROW(ADMIN!$M$6:$M$258)-MIN(ROW(ADMIN!$G$6:$G$258))+1,""),ROW()-3))&amp;")"),"")</f>
        <v>Bronze Ball (3rd Best Player))
 (Mbappé)</v>
      </c>
      <c r="C14" s="8">
        <v>11</v>
      </c>
      <c r="D14" s="90"/>
      <c r="E14" s="409">
        <f ca="1">IFERROR(HLOOKUP(C14,Rango_Admin_DailyClas,3,FALSE),"-")</f>
        <v>10</v>
      </c>
      <c r="F14" s="448" t="str">
        <f ca="1">IFERROR(HLOOKUP(C14,Rango_Admin_DailyClas,5,FALSE),"-")</f>
        <v>Laura Hospers</v>
      </c>
      <c r="G14" s="22">
        <f ca="1">IFERROR(HLOOKUP(C14,Rango_Admin_DailyClas,4,FALSE),"-")</f>
        <v>74</v>
      </c>
      <c r="H14" s="429">
        <f ca="1">IFERROR(VLOOKUP(H$2,Rango_Admin_DailyPred,MATCH($F14,Rango_Admin_DailyPred_Primera,0)+1,0),"-")</f>
        <v>0</v>
      </c>
      <c r="I14" s="429">
        <f ca="1">IFERROR(VLOOKUP(I$2,Rango_Admin_DailyPred,MATCH($F14,Rango_Admin_DailyPred_Primera,0)+1,0),"-")</f>
        <v>0</v>
      </c>
      <c r="J14" s="429">
        <f ca="1">IFERROR(VLOOKUP(J$2,Rango_Admin_DailyPred,MATCH($F14,Rango_Admin_DailyPred_Primera,0)+1,0),"-")</f>
        <v>50</v>
      </c>
      <c r="K14" s="429">
        <f ca="1">IFERROR(VLOOKUP(K$2,Rango_Admin_DailyPred,MATCH($F14,Rango_Admin_DailyPred_Primera,0)+1,0),"-")</f>
        <v>0</v>
      </c>
      <c r="L14" s="429">
        <f ca="1">IFERROR(VLOOKUP(L$2,Rango_Admin_DailyPred,MATCH($F14,Rango_Admin_DailyPred_Primera,0)+1,0),"-")</f>
        <v>0</v>
      </c>
      <c r="M14" s="429">
        <f ca="1">IFERROR(VLOOKUP(M$2,Rango_Admin_DailyPred,MATCH($F14,Rango_Admin_DailyPred_Primera,0)+1,0),"-")</f>
        <v>20</v>
      </c>
      <c r="N14" s="429">
        <f ca="1">IFERROR(VLOOKUP(N$2,Rango_Admin_DailyPred,MATCH($F14,Rango_Admin_DailyPred_Primera,0)+1,0),"-")</f>
        <v>0</v>
      </c>
      <c r="O14" s="429">
        <f ca="1">IFERROR(VLOOKUP(O$2,Rango_Admin_DailyPred,MATCH($F14,Rango_Admin_DailyPred_Primera,0)+1,0),"-")</f>
        <v>0</v>
      </c>
      <c r="P14" s="429">
        <f ca="1">IFERROR(VLOOKUP(P$2,Rango_Admin_DailyPred,MATCH($F14,Rango_Admin_DailyPred_Primera,0)+1,0),"-")</f>
        <v>0</v>
      </c>
      <c r="Q14" s="429">
        <f ca="1">IFERROR(VLOOKUP(Q$2,Rango_Admin_DailyPred,MATCH($F14,Rango_Admin_DailyPred_Primera,0)+1,0),"-")</f>
        <v>0</v>
      </c>
      <c r="R14" s="429">
        <f ca="1">IFERROR(VLOOKUP(R$2,Rango_Admin_DailyPred,MATCH($F14,Rango_Admin_DailyPred_Primera,0)+1,0),"-")</f>
        <v>4</v>
      </c>
      <c r="S14" s="429" t="str">
        <f ca="1">IFERROR(VLOOKUP(S$2,Rango_Admin_DailyPred,MATCH($F14,Rango_Admin_DailyPred_Primera,0)+1,0),"-")</f>
        <v>-</v>
      </c>
      <c r="T14" s="429" t="str">
        <f ca="1">IFERROR(VLOOKUP(T$2,Rango_Admin_DailyPred,MATCH($F14,Rango_Admin_DailyPred_Primera,0)+1,0),"-")</f>
        <v>-</v>
      </c>
      <c r="U14" s="429" t="str">
        <f ca="1">IFERROR(VLOOKUP(U$2,Rango_Admin_DailyPred,MATCH($F14,Rango_Admin_DailyPred_Primera,0)+1,0),"-")</f>
        <v>-</v>
      </c>
      <c r="V14" s="429" t="str">
        <f ca="1">IFERROR(VLOOKUP(V$2,Rango_Admin_DailyPred,MATCH($F14,Rango_Admin_DailyPred_Primera,0)+1,0),"-")</f>
        <v>-</v>
      </c>
      <c r="W14" s="429" t="str">
        <f ca="1">IFERROR(VLOOKUP(W$2,Rango_Admin_DailyPred,MATCH($F14,Rango_Admin_DailyPred_Primera,0)+1,0),"-")</f>
        <v>-</v>
      </c>
      <c r="X14" s="429" t="str">
        <f ca="1">IFERROR(VLOOKUP(X$2,Rango_Admin_DailyPred,MATCH($F14,Rango_Admin_DailyPred_Primera,0)+1,0),"-")</f>
        <v>-</v>
      </c>
      <c r="Y14" s="429" t="str">
        <f ca="1">IFERROR(VLOOKUP(Y$2,Rango_Admin_DailyPred,MATCH($F14,Rango_Admin_DailyPred_Primera,0)+1,0),"-")</f>
        <v>-</v>
      </c>
      <c r="Z14" s="429" t="str">
        <f ca="1">IFERROR(VLOOKUP(Z$2,Rango_Admin_DailyPred,MATCH($F14,Rango_Admin_DailyPred_Primera,0)+1,0),"-")</f>
        <v>-</v>
      </c>
      <c r="AA14" s="429" t="str">
        <f ca="1">IFERROR(VLOOKUP(AA$2,Rango_Admin_DailyPred,MATCH($F14,Rango_Admin_DailyPred_Primera,0)+1,0),"-")</f>
        <v>-</v>
      </c>
      <c r="AB14" s="429" t="str">
        <f ca="1">IFERROR(VLOOKUP(AB$2,Rango_Admin_DailyPred,MATCH($F14,Rango_Admin_DailyPred_Primera,0)+1,0),"-")</f>
        <v>-</v>
      </c>
      <c r="AC14" s="429" t="str">
        <f ca="1">IFERROR(VLOOKUP(AC$2,Rango_Admin_DailyPred,MATCH($F14,Rango_Admin_DailyPred_Primera,0)+1,0),"-")</f>
        <v>-</v>
      </c>
      <c r="AD14" s="429" t="str">
        <f ca="1">IFERROR(VLOOKUP(AD$2,Rango_Admin_DailyPred,MATCH($F14,Rango_Admin_DailyPred_Primera,0)+1,0),"-")</f>
        <v>-</v>
      </c>
      <c r="AE14" s="429" t="str">
        <f ca="1">IFERROR(VLOOKUP(AE$2,Rango_Admin_DailyPred,MATCH($F14,Rango_Admin_DailyPred_Primera,0)+1,0),"-")</f>
        <v>-</v>
      </c>
      <c r="AF14" s="429" t="str">
        <f ca="1">IFERROR(VLOOKUP(AF$2,Rango_Admin_DailyPred,MATCH($F14,Rango_Admin_DailyPred_Primera,0)+1,0),"-")</f>
        <v>-</v>
      </c>
      <c r="AG14" s="429" t="str">
        <f ca="1">IFERROR(VLOOKUP(AG$2,Rango_Admin_DailyPred,MATCH($F14,Rango_Admin_DailyPred_Primera,0)+1,0),"-")</f>
        <v>-</v>
      </c>
      <c r="AH14" s="429" t="str">
        <f ca="1">IFERROR(VLOOKUP(AH$2,Rango_Admin_DailyPred,MATCH($F14,Rango_Admin_DailyPred_Primera,0)+1,0),"-")</f>
        <v>-</v>
      </c>
      <c r="AI14" s="429" t="str">
        <f ca="1">IFERROR(VLOOKUP(AI$2,Rango_Admin_DailyPred,MATCH($F14,Rango_Admin_DailyPred_Primera,0)+1,0),"-")</f>
        <v>-</v>
      </c>
      <c r="AJ14" s="429" t="str">
        <f ca="1">IFERROR(VLOOKUP(AJ$2,Rango_Admin_DailyPred,MATCH($F14,Rango_Admin_DailyPred_Primera,0)+1,0),"-")</f>
        <v>-</v>
      </c>
      <c r="AK14" s="429" t="str">
        <f ca="1">IFERROR(VLOOKUP(AK$2,Rango_Admin_DailyPred,MATCH($F14,Rango_Admin_DailyPred_Primera,0)+1,0),"-")</f>
        <v>-</v>
      </c>
      <c r="AL14" s="429" t="str">
        <f ca="1">IFERROR(VLOOKUP(AL$2,Rango_Admin_DailyPred,MATCH($F14,Rango_Admin_DailyPred_Primera,0)+1,0),"-")</f>
        <v>-</v>
      </c>
      <c r="AM14" s="429" t="str">
        <f ca="1">IFERROR(VLOOKUP(AM$2,Rango_Admin_DailyPred,MATCH($F14,Rango_Admin_DailyPred_Primera,0)+1,0),"-")</f>
        <v>-</v>
      </c>
      <c r="AN14" s="297"/>
    </row>
    <row r="15" spans="1:40">
      <c r="A15" s="8" t="str" cm="1">
        <f t="array" aca="1" ref="A15" ca="1">IFERROR(INDEX(ADMIN!$K$6:$K$258,SMALL(IF(ADMIN!$G$6:$G$258=$K$1,ROW(ADMIN!$G$6:$G$258)-ROW(ADMIN!$G$6)+1),ROWS($A$1:A12))),"")</f>
        <v/>
      </c>
      <c r="B15" s="8" t="str" cm="1">
        <f t="array" aca="1" ref="B15" ca="1">IFERROR(IFERROR(INDEX(ADMIN!$K$6:$K$258,SMALL(IF($K$1=ADMIN!$G$6:$G$258,ROW(ADMIN!$K$6:$K$258)-MIN(ROW(ADMIN!$G$6:$G$258))+1,""),ROW()-3)),"")&amp;CHAR(10)&amp;IF(INDEX(ADMIN!$M$6:$M$258,SMALL(IF($K$1=ADMIN!$G$6:$G$258,ROW(ADMIN!$M$6:$M$258)-MIN(ROW(ADMIN!$G$6:$G$258))+1,""),ROW()-3))="0|-",""," ("&amp;INDEX(ADMIN!$M$6:$M$258,SMALL(IF($K$1=ADMIN!$G$6:$G$258,ROW(ADMIN!$M$6:$M$258)-MIN(ROW(ADMIN!$G$6:$G$258))+1,""),ROW()-3))&amp;")"),"")</f>
        <v/>
      </c>
      <c r="C15" s="8">
        <v>12</v>
      </c>
      <c r="D15" s="19"/>
      <c r="E15" s="409">
        <f ca="1">IFERROR(HLOOKUP(C15,Rango_Admin_DailyClas,3,FALSE),"-")</f>
        <v>12</v>
      </c>
      <c r="F15" s="448" t="str">
        <f ca="1">IFERROR(HLOOKUP(C15,Rango_Admin_DailyClas,5,FALSE),"-")</f>
        <v xml:space="preserve">Ruben Esseling </v>
      </c>
      <c r="G15" s="22">
        <f ca="1">IFERROR(HLOOKUP(C15,Rango_Admin_DailyClas,4,FALSE),"-")</f>
        <v>70</v>
      </c>
      <c r="H15" s="429">
        <f ca="1">IFERROR(VLOOKUP(H$2,Rango_Admin_DailyPred,MATCH($F15,Rango_Admin_DailyPred_Primera,0)+1,0),"-")</f>
        <v>0</v>
      </c>
      <c r="I15" s="429">
        <f ca="1">IFERROR(VLOOKUP(I$2,Rango_Admin_DailyPred,MATCH($F15,Rango_Admin_DailyPred_Primera,0)+1,0),"-")</f>
        <v>0</v>
      </c>
      <c r="J15" s="429">
        <f ca="1">IFERROR(VLOOKUP(J$2,Rango_Admin_DailyPred,MATCH($F15,Rango_Admin_DailyPred_Primera,0)+1,0),"-")</f>
        <v>50</v>
      </c>
      <c r="K15" s="429">
        <f ca="1">IFERROR(VLOOKUP(K$2,Rango_Admin_DailyPred,MATCH($F15,Rango_Admin_DailyPred_Primera,0)+1,0),"-")</f>
        <v>0</v>
      </c>
      <c r="L15" s="429">
        <f ca="1">IFERROR(VLOOKUP(L$2,Rango_Admin_DailyPred,MATCH($F15,Rango_Admin_DailyPred_Primera,0)+1,0),"-")</f>
        <v>0</v>
      </c>
      <c r="M15" s="429">
        <f ca="1">IFERROR(VLOOKUP(M$2,Rango_Admin_DailyPred,MATCH($F15,Rango_Admin_DailyPred_Primera,0)+1,0),"-")</f>
        <v>20</v>
      </c>
      <c r="N15" s="429">
        <f ca="1">IFERROR(VLOOKUP(N$2,Rango_Admin_DailyPred,MATCH($F15,Rango_Admin_DailyPred_Primera,0)+1,0),"-")</f>
        <v>0</v>
      </c>
      <c r="O15" s="429">
        <f ca="1">IFERROR(VLOOKUP(O$2,Rango_Admin_DailyPred,MATCH($F15,Rango_Admin_DailyPred_Primera,0)+1,0),"-")</f>
        <v>0</v>
      </c>
      <c r="P15" s="429">
        <f ca="1">IFERROR(VLOOKUP(P$2,Rango_Admin_DailyPred,MATCH($F15,Rango_Admin_DailyPred_Primera,0)+1,0),"-")</f>
        <v>0</v>
      </c>
      <c r="Q15" s="429">
        <f ca="1">IFERROR(VLOOKUP(Q$2,Rango_Admin_DailyPred,MATCH($F15,Rango_Admin_DailyPred_Primera,0)+1,0),"-")</f>
        <v>0</v>
      </c>
      <c r="R15" s="429">
        <f ca="1">IFERROR(VLOOKUP(R$2,Rango_Admin_DailyPred,MATCH($F15,Rango_Admin_DailyPred_Primera,0)+1,0),"-")</f>
        <v>0</v>
      </c>
      <c r="S15" s="429" t="str">
        <f ca="1">IFERROR(VLOOKUP(S$2,Rango_Admin_DailyPred,MATCH($F15,Rango_Admin_DailyPred_Primera,0)+1,0),"-")</f>
        <v>-</v>
      </c>
      <c r="T15" s="429" t="str">
        <f ca="1">IFERROR(VLOOKUP(T$2,Rango_Admin_DailyPred,MATCH($F15,Rango_Admin_DailyPred_Primera,0)+1,0),"-")</f>
        <v>-</v>
      </c>
      <c r="U15" s="429" t="str">
        <f ca="1">IFERROR(VLOOKUP(U$2,Rango_Admin_DailyPred,MATCH($F15,Rango_Admin_DailyPred_Primera,0)+1,0),"-")</f>
        <v>-</v>
      </c>
      <c r="V15" s="429" t="str">
        <f ca="1">IFERROR(VLOOKUP(V$2,Rango_Admin_DailyPred,MATCH($F15,Rango_Admin_DailyPred_Primera,0)+1,0),"-")</f>
        <v>-</v>
      </c>
      <c r="W15" s="429" t="str">
        <f ca="1">IFERROR(VLOOKUP(W$2,Rango_Admin_DailyPred,MATCH($F15,Rango_Admin_DailyPred_Primera,0)+1,0),"-")</f>
        <v>-</v>
      </c>
      <c r="X15" s="429" t="str">
        <f ca="1">IFERROR(VLOOKUP(X$2,Rango_Admin_DailyPred,MATCH($F15,Rango_Admin_DailyPred_Primera,0)+1,0),"-")</f>
        <v>-</v>
      </c>
      <c r="Y15" s="429" t="str">
        <f ca="1">IFERROR(VLOOKUP(Y$2,Rango_Admin_DailyPred,MATCH($F15,Rango_Admin_DailyPred_Primera,0)+1,0),"-")</f>
        <v>-</v>
      </c>
      <c r="Z15" s="429" t="str">
        <f ca="1">IFERROR(VLOOKUP(Z$2,Rango_Admin_DailyPred,MATCH($F15,Rango_Admin_DailyPred_Primera,0)+1,0),"-")</f>
        <v>-</v>
      </c>
      <c r="AA15" s="429" t="str">
        <f ca="1">IFERROR(VLOOKUP(AA$2,Rango_Admin_DailyPred,MATCH($F15,Rango_Admin_DailyPred_Primera,0)+1,0),"-")</f>
        <v>-</v>
      </c>
      <c r="AB15" s="429" t="str">
        <f ca="1">IFERROR(VLOOKUP(AB$2,Rango_Admin_DailyPred,MATCH($F15,Rango_Admin_DailyPred_Primera,0)+1,0),"-")</f>
        <v>-</v>
      </c>
      <c r="AC15" s="429" t="str">
        <f ca="1">IFERROR(VLOOKUP(AC$2,Rango_Admin_DailyPred,MATCH($F15,Rango_Admin_DailyPred_Primera,0)+1,0),"-")</f>
        <v>-</v>
      </c>
      <c r="AD15" s="429" t="str">
        <f ca="1">IFERROR(VLOOKUP(AD$2,Rango_Admin_DailyPred,MATCH($F15,Rango_Admin_DailyPred_Primera,0)+1,0),"-")</f>
        <v>-</v>
      </c>
      <c r="AE15" s="429" t="str">
        <f ca="1">IFERROR(VLOOKUP(AE$2,Rango_Admin_DailyPred,MATCH($F15,Rango_Admin_DailyPred_Primera,0)+1,0),"-")</f>
        <v>-</v>
      </c>
      <c r="AF15" s="429" t="str">
        <f ca="1">IFERROR(VLOOKUP(AF$2,Rango_Admin_DailyPred,MATCH($F15,Rango_Admin_DailyPred_Primera,0)+1,0),"-")</f>
        <v>-</v>
      </c>
      <c r="AG15" s="429" t="str">
        <f ca="1">IFERROR(VLOOKUP(AG$2,Rango_Admin_DailyPred,MATCH($F15,Rango_Admin_DailyPred_Primera,0)+1,0),"-")</f>
        <v>-</v>
      </c>
      <c r="AH15" s="429" t="str">
        <f ca="1">IFERROR(VLOOKUP(AH$2,Rango_Admin_DailyPred,MATCH($F15,Rango_Admin_DailyPred_Primera,0)+1,0),"-")</f>
        <v>-</v>
      </c>
      <c r="AI15" s="429" t="str">
        <f ca="1">IFERROR(VLOOKUP(AI$2,Rango_Admin_DailyPred,MATCH($F15,Rango_Admin_DailyPred_Primera,0)+1,0),"-")</f>
        <v>-</v>
      </c>
      <c r="AJ15" s="429" t="str">
        <f ca="1">IFERROR(VLOOKUP(AJ$2,Rango_Admin_DailyPred,MATCH($F15,Rango_Admin_DailyPred_Primera,0)+1,0),"-")</f>
        <v>-</v>
      </c>
      <c r="AK15" s="429" t="str">
        <f ca="1">IFERROR(VLOOKUP(AK$2,Rango_Admin_DailyPred,MATCH($F15,Rango_Admin_DailyPred_Primera,0)+1,0),"-")</f>
        <v>-</v>
      </c>
      <c r="AL15" s="429" t="str">
        <f ca="1">IFERROR(VLOOKUP(AL$2,Rango_Admin_DailyPred,MATCH($F15,Rango_Admin_DailyPred_Primera,0)+1,0),"-")</f>
        <v>-</v>
      </c>
      <c r="AM15" s="429" t="str">
        <f ca="1">IFERROR(VLOOKUP(AM$2,Rango_Admin_DailyPred,MATCH($F15,Rango_Admin_DailyPred_Primera,0)+1,0),"-")</f>
        <v>-</v>
      </c>
      <c r="AN15" s="297"/>
    </row>
    <row r="16" spans="1:40">
      <c r="A16" s="8" t="str" cm="1">
        <f t="array" aca="1" ref="A16" ca="1">IFERROR(INDEX(ADMIN!$K$6:$K$258,SMALL(IF(ADMIN!$G$6:$G$258=$K$1,ROW(ADMIN!$G$6:$G$258)-ROW(ADMIN!$G$6)+1),ROWS($A$1:A13))),"")</f>
        <v/>
      </c>
      <c r="B16" s="8" t="str" cm="1">
        <f t="array" aca="1" ref="B16" ca="1">IFERROR(IFERROR(INDEX(ADMIN!$K$6:$K$258,SMALL(IF($K$1=ADMIN!$G$6:$G$258,ROW(ADMIN!$K$6:$K$258)-MIN(ROW(ADMIN!$G$6:$G$258))+1,""),ROW()-3)),"")&amp;CHAR(10)&amp;IF(INDEX(ADMIN!$M$6:$M$258,SMALL(IF($K$1=ADMIN!$G$6:$G$258,ROW(ADMIN!$M$6:$M$258)-MIN(ROW(ADMIN!$G$6:$G$258))+1,""),ROW()-3))="0|-",""," ("&amp;INDEX(ADMIN!$M$6:$M$258,SMALL(IF($K$1=ADMIN!$G$6:$G$258,ROW(ADMIN!$M$6:$M$258)-MIN(ROW(ADMIN!$G$6:$G$258))+1,""),ROW()-3))&amp;")"),"")</f>
        <v/>
      </c>
      <c r="C16" s="8">
        <v>13</v>
      </c>
      <c r="D16" s="19"/>
      <c r="E16" s="409">
        <f ca="1">IFERROR(HLOOKUP(C16,Rango_Admin_DailyClas,3,FALSE),"-")</f>
        <v>12</v>
      </c>
      <c r="F16" s="448" t="str">
        <f ca="1">IFERROR(HLOOKUP(C16,Rango_Admin_DailyClas,5,FALSE),"-")</f>
        <v>Tom Olde Keizer</v>
      </c>
      <c r="G16" s="22">
        <f ca="1">IFERROR(HLOOKUP(C16,Rango_Admin_DailyClas,4,FALSE),"-")</f>
        <v>70</v>
      </c>
      <c r="H16" s="429">
        <f ca="1">IFERROR(VLOOKUP(H$2,Rango_Admin_DailyPred,MATCH($F16,Rango_Admin_DailyPred_Primera,0)+1,0),"-")</f>
        <v>0</v>
      </c>
      <c r="I16" s="429">
        <f ca="1">IFERROR(VLOOKUP(I$2,Rango_Admin_DailyPred,MATCH($F16,Rango_Admin_DailyPred_Primera,0)+1,0),"-")</f>
        <v>0</v>
      </c>
      <c r="J16" s="429">
        <f ca="1">IFERROR(VLOOKUP(J$2,Rango_Admin_DailyPred,MATCH($F16,Rango_Admin_DailyPred_Primera,0)+1,0),"-")</f>
        <v>50</v>
      </c>
      <c r="K16" s="429">
        <f ca="1">IFERROR(VLOOKUP(K$2,Rango_Admin_DailyPred,MATCH($F16,Rango_Admin_DailyPred_Primera,0)+1,0),"-")</f>
        <v>0</v>
      </c>
      <c r="L16" s="429">
        <f ca="1">IFERROR(VLOOKUP(L$2,Rango_Admin_DailyPred,MATCH($F16,Rango_Admin_DailyPred_Primera,0)+1,0),"-")</f>
        <v>0</v>
      </c>
      <c r="M16" s="429">
        <f ca="1">IFERROR(VLOOKUP(M$2,Rango_Admin_DailyPred,MATCH($F16,Rango_Admin_DailyPred_Primera,0)+1,0),"-")</f>
        <v>20</v>
      </c>
      <c r="N16" s="429">
        <f ca="1">IFERROR(VLOOKUP(N$2,Rango_Admin_DailyPred,MATCH($F16,Rango_Admin_DailyPred_Primera,0)+1,0),"-")</f>
        <v>0</v>
      </c>
      <c r="O16" s="429">
        <f ca="1">IFERROR(VLOOKUP(O$2,Rango_Admin_DailyPred,MATCH($F16,Rango_Admin_DailyPred_Primera,0)+1,0),"-")</f>
        <v>0</v>
      </c>
      <c r="P16" s="429">
        <f ca="1">IFERROR(VLOOKUP(P$2,Rango_Admin_DailyPred,MATCH($F16,Rango_Admin_DailyPred_Primera,0)+1,0),"-")</f>
        <v>0</v>
      </c>
      <c r="Q16" s="429">
        <f ca="1">IFERROR(VLOOKUP(Q$2,Rango_Admin_DailyPred,MATCH($F16,Rango_Admin_DailyPred_Primera,0)+1,0),"-")</f>
        <v>0</v>
      </c>
      <c r="R16" s="429">
        <f ca="1">IFERROR(VLOOKUP(R$2,Rango_Admin_DailyPred,MATCH($F16,Rango_Admin_DailyPred_Primera,0)+1,0),"-")</f>
        <v>0</v>
      </c>
      <c r="S16" s="429" t="str">
        <f ca="1">IFERROR(VLOOKUP(S$2,Rango_Admin_DailyPred,MATCH($F16,Rango_Admin_DailyPred_Primera,0)+1,0),"-")</f>
        <v>-</v>
      </c>
      <c r="T16" s="429" t="str">
        <f ca="1">IFERROR(VLOOKUP(T$2,Rango_Admin_DailyPred,MATCH($F16,Rango_Admin_DailyPred_Primera,0)+1,0),"-")</f>
        <v>-</v>
      </c>
      <c r="U16" s="429" t="str">
        <f ca="1">IFERROR(VLOOKUP(U$2,Rango_Admin_DailyPred,MATCH($F16,Rango_Admin_DailyPred_Primera,0)+1,0),"-")</f>
        <v>-</v>
      </c>
      <c r="V16" s="429" t="str">
        <f ca="1">IFERROR(VLOOKUP(V$2,Rango_Admin_DailyPred,MATCH($F16,Rango_Admin_DailyPred_Primera,0)+1,0),"-")</f>
        <v>-</v>
      </c>
      <c r="W16" s="429" t="str">
        <f ca="1">IFERROR(VLOOKUP(W$2,Rango_Admin_DailyPred,MATCH($F16,Rango_Admin_DailyPred_Primera,0)+1,0),"-")</f>
        <v>-</v>
      </c>
      <c r="X16" s="429" t="str">
        <f ca="1">IFERROR(VLOOKUP(X$2,Rango_Admin_DailyPred,MATCH($F16,Rango_Admin_DailyPred_Primera,0)+1,0),"-")</f>
        <v>-</v>
      </c>
      <c r="Y16" s="429" t="str">
        <f ca="1">IFERROR(VLOOKUP(Y$2,Rango_Admin_DailyPred,MATCH($F16,Rango_Admin_DailyPred_Primera,0)+1,0),"-")</f>
        <v>-</v>
      </c>
      <c r="Z16" s="429" t="str">
        <f ca="1">IFERROR(VLOOKUP(Z$2,Rango_Admin_DailyPred,MATCH($F16,Rango_Admin_DailyPred_Primera,0)+1,0),"-")</f>
        <v>-</v>
      </c>
      <c r="AA16" s="429" t="str">
        <f ca="1">IFERROR(VLOOKUP(AA$2,Rango_Admin_DailyPred,MATCH($F16,Rango_Admin_DailyPred_Primera,0)+1,0),"-")</f>
        <v>-</v>
      </c>
      <c r="AB16" s="429" t="str">
        <f ca="1">IFERROR(VLOOKUP(AB$2,Rango_Admin_DailyPred,MATCH($F16,Rango_Admin_DailyPred_Primera,0)+1,0),"-")</f>
        <v>-</v>
      </c>
      <c r="AC16" s="429" t="str">
        <f ca="1">IFERROR(VLOOKUP(AC$2,Rango_Admin_DailyPred,MATCH($F16,Rango_Admin_DailyPred_Primera,0)+1,0),"-")</f>
        <v>-</v>
      </c>
      <c r="AD16" s="429" t="str">
        <f ca="1">IFERROR(VLOOKUP(AD$2,Rango_Admin_DailyPred,MATCH($F16,Rango_Admin_DailyPred_Primera,0)+1,0),"-")</f>
        <v>-</v>
      </c>
      <c r="AE16" s="429" t="str">
        <f ca="1">IFERROR(VLOOKUP(AE$2,Rango_Admin_DailyPred,MATCH($F16,Rango_Admin_DailyPred_Primera,0)+1,0),"-")</f>
        <v>-</v>
      </c>
      <c r="AF16" s="429" t="str">
        <f ca="1">IFERROR(VLOOKUP(AF$2,Rango_Admin_DailyPred,MATCH($F16,Rango_Admin_DailyPred_Primera,0)+1,0),"-")</f>
        <v>-</v>
      </c>
      <c r="AG16" s="429" t="str">
        <f ca="1">IFERROR(VLOOKUP(AG$2,Rango_Admin_DailyPred,MATCH($F16,Rango_Admin_DailyPred_Primera,0)+1,0),"-")</f>
        <v>-</v>
      </c>
      <c r="AH16" s="429" t="str">
        <f ca="1">IFERROR(VLOOKUP(AH$2,Rango_Admin_DailyPred,MATCH($F16,Rango_Admin_DailyPred_Primera,0)+1,0),"-")</f>
        <v>-</v>
      </c>
      <c r="AI16" s="429" t="str">
        <f ca="1">IFERROR(VLOOKUP(AI$2,Rango_Admin_DailyPred,MATCH($F16,Rango_Admin_DailyPred_Primera,0)+1,0),"-")</f>
        <v>-</v>
      </c>
      <c r="AJ16" s="429" t="str">
        <f ca="1">IFERROR(VLOOKUP(AJ$2,Rango_Admin_DailyPred,MATCH($F16,Rango_Admin_DailyPred_Primera,0)+1,0),"-")</f>
        <v>-</v>
      </c>
      <c r="AK16" s="429" t="str">
        <f ca="1">IFERROR(VLOOKUP(AK$2,Rango_Admin_DailyPred,MATCH($F16,Rango_Admin_DailyPred_Primera,0)+1,0),"-")</f>
        <v>-</v>
      </c>
      <c r="AL16" s="429" t="str">
        <f ca="1">IFERROR(VLOOKUP(AL$2,Rango_Admin_DailyPred,MATCH($F16,Rango_Admin_DailyPred_Primera,0)+1,0),"-")</f>
        <v>-</v>
      </c>
      <c r="AM16" s="429" t="str">
        <f ca="1">IFERROR(VLOOKUP(AM$2,Rango_Admin_DailyPred,MATCH($F16,Rango_Admin_DailyPred_Primera,0)+1,0),"-")</f>
        <v>-</v>
      </c>
      <c r="AN16" s="297"/>
    </row>
    <row r="17" spans="1:40">
      <c r="A17" s="8" t="str" cm="1">
        <f t="array" aca="1" ref="A17" ca="1">IFERROR(INDEX(ADMIN!$K$6:$K$258,SMALL(IF(ADMIN!$G$6:$G$258=$K$1,ROW(ADMIN!$G$6:$G$258)-ROW(ADMIN!$G$6)+1),ROWS($A$1:A14))),"")</f>
        <v/>
      </c>
      <c r="B17" s="8" t="str" cm="1">
        <f t="array" aca="1" ref="B17" ca="1">IFERROR(IFERROR(INDEX(ADMIN!$K$6:$K$258,SMALL(IF($K$1=ADMIN!$G$6:$G$258,ROW(ADMIN!$K$6:$K$258)-MIN(ROW(ADMIN!$G$6:$G$258))+1,""),ROW()-3)),"")&amp;CHAR(10)&amp;IF(INDEX(ADMIN!$M$6:$M$258,SMALL(IF($K$1=ADMIN!$G$6:$G$258,ROW(ADMIN!$M$6:$M$258)-MIN(ROW(ADMIN!$G$6:$G$258))+1,""),ROW()-3))="0|-",""," ("&amp;INDEX(ADMIN!$M$6:$M$258,SMALL(IF($K$1=ADMIN!$G$6:$G$258,ROW(ADMIN!$M$6:$M$258)-MIN(ROW(ADMIN!$G$6:$G$258))+1,""),ROW()-3))&amp;")"),"")</f>
        <v/>
      </c>
      <c r="C17" s="8">
        <v>14</v>
      </c>
      <c r="D17" s="19"/>
      <c r="E17" s="409">
        <f ca="1">IFERROR(HLOOKUP(C17,Rango_Admin_DailyClas,3,FALSE),"-")</f>
        <v>12</v>
      </c>
      <c r="F17" s="448" t="str">
        <f ca="1">IFERROR(HLOOKUP(C17,Rango_Admin_DailyClas,5,FALSE),"-")</f>
        <v>Petra Hemmer - Kleis</v>
      </c>
      <c r="G17" s="22">
        <f ca="1">IFERROR(HLOOKUP(C17,Rango_Admin_DailyClas,4,FALSE),"-")</f>
        <v>70</v>
      </c>
      <c r="H17" s="429">
        <f ca="1">IFERROR(VLOOKUP(H$2,Rango_Admin_DailyPred,MATCH($F17,Rango_Admin_DailyPred_Primera,0)+1,0),"-")</f>
        <v>0</v>
      </c>
      <c r="I17" s="429">
        <f ca="1">IFERROR(VLOOKUP(I$2,Rango_Admin_DailyPred,MATCH($F17,Rango_Admin_DailyPred_Primera,0)+1,0),"-")</f>
        <v>0</v>
      </c>
      <c r="J17" s="429">
        <f ca="1">IFERROR(VLOOKUP(J$2,Rango_Admin_DailyPred,MATCH($F17,Rango_Admin_DailyPred_Primera,0)+1,0),"-")</f>
        <v>50</v>
      </c>
      <c r="K17" s="429">
        <f ca="1">IFERROR(VLOOKUP(K$2,Rango_Admin_DailyPred,MATCH($F17,Rango_Admin_DailyPred_Primera,0)+1,0),"-")</f>
        <v>0</v>
      </c>
      <c r="L17" s="429">
        <f ca="1">IFERROR(VLOOKUP(L$2,Rango_Admin_DailyPred,MATCH($F17,Rango_Admin_DailyPred_Primera,0)+1,0),"-")</f>
        <v>0</v>
      </c>
      <c r="M17" s="429">
        <f ca="1">IFERROR(VLOOKUP(M$2,Rango_Admin_DailyPred,MATCH($F17,Rango_Admin_DailyPred_Primera,0)+1,0),"-")</f>
        <v>20</v>
      </c>
      <c r="N17" s="429">
        <f ca="1">IFERROR(VLOOKUP(N$2,Rango_Admin_DailyPred,MATCH($F17,Rango_Admin_DailyPred_Primera,0)+1,0),"-")</f>
        <v>0</v>
      </c>
      <c r="O17" s="429">
        <f ca="1">IFERROR(VLOOKUP(O$2,Rango_Admin_DailyPred,MATCH($F17,Rango_Admin_DailyPred_Primera,0)+1,0),"-")</f>
        <v>0</v>
      </c>
      <c r="P17" s="429">
        <f ca="1">IFERROR(VLOOKUP(P$2,Rango_Admin_DailyPred,MATCH($F17,Rango_Admin_DailyPred_Primera,0)+1,0),"-")</f>
        <v>0</v>
      </c>
      <c r="Q17" s="429">
        <f ca="1">IFERROR(VLOOKUP(Q$2,Rango_Admin_DailyPred,MATCH($F17,Rango_Admin_DailyPred_Primera,0)+1,0),"-")</f>
        <v>0</v>
      </c>
      <c r="R17" s="429">
        <f ca="1">IFERROR(VLOOKUP(R$2,Rango_Admin_DailyPred,MATCH($F17,Rango_Admin_DailyPred_Primera,0)+1,0),"-")</f>
        <v>0</v>
      </c>
      <c r="S17" s="429" t="str">
        <f ca="1">IFERROR(VLOOKUP(S$2,Rango_Admin_DailyPred,MATCH($F17,Rango_Admin_DailyPred_Primera,0)+1,0),"-")</f>
        <v>-</v>
      </c>
      <c r="T17" s="429" t="str">
        <f ca="1">IFERROR(VLOOKUP(T$2,Rango_Admin_DailyPred,MATCH($F17,Rango_Admin_DailyPred_Primera,0)+1,0),"-")</f>
        <v>-</v>
      </c>
      <c r="U17" s="429" t="str">
        <f ca="1">IFERROR(VLOOKUP(U$2,Rango_Admin_DailyPred,MATCH($F17,Rango_Admin_DailyPred_Primera,0)+1,0),"-")</f>
        <v>-</v>
      </c>
      <c r="V17" s="429" t="str">
        <f ca="1">IFERROR(VLOOKUP(V$2,Rango_Admin_DailyPred,MATCH($F17,Rango_Admin_DailyPred_Primera,0)+1,0),"-")</f>
        <v>-</v>
      </c>
      <c r="W17" s="429" t="str">
        <f ca="1">IFERROR(VLOOKUP(W$2,Rango_Admin_DailyPred,MATCH($F17,Rango_Admin_DailyPred_Primera,0)+1,0),"-")</f>
        <v>-</v>
      </c>
      <c r="X17" s="429" t="str">
        <f ca="1">IFERROR(VLOOKUP(X$2,Rango_Admin_DailyPred,MATCH($F17,Rango_Admin_DailyPred_Primera,0)+1,0),"-")</f>
        <v>-</v>
      </c>
      <c r="Y17" s="429" t="str">
        <f ca="1">IFERROR(VLOOKUP(Y$2,Rango_Admin_DailyPred,MATCH($F17,Rango_Admin_DailyPred_Primera,0)+1,0),"-")</f>
        <v>-</v>
      </c>
      <c r="Z17" s="429" t="str">
        <f ca="1">IFERROR(VLOOKUP(Z$2,Rango_Admin_DailyPred,MATCH($F17,Rango_Admin_DailyPred_Primera,0)+1,0),"-")</f>
        <v>-</v>
      </c>
      <c r="AA17" s="429" t="str">
        <f ca="1">IFERROR(VLOOKUP(AA$2,Rango_Admin_DailyPred,MATCH($F17,Rango_Admin_DailyPred_Primera,0)+1,0),"-")</f>
        <v>-</v>
      </c>
      <c r="AB17" s="429" t="str">
        <f ca="1">IFERROR(VLOOKUP(AB$2,Rango_Admin_DailyPred,MATCH($F17,Rango_Admin_DailyPred_Primera,0)+1,0),"-")</f>
        <v>-</v>
      </c>
      <c r="AC17" s="429" t="str">
        <f ca="1">IFERROR(VLOOKUP(AC$2,Rango_Admin_DailyPred,MATCH($F17,Rango_Admin_DailyPred_Primera,0)+1,0),"-")</f>
        <v>-</v>
      </c>
      <c r="AD17" s="429" t="str">
        <f ca="1">IFERROR(VLOOKUP(AD$2,Rango_Admin_DailyPred,MATCH($F17,Rango_Admin_DailyPred_Primera,0)+1,0),"-")</f>
        <v>-</v>
      </c>
      <c r="AE17" s="429" t="str">
        <f ca="1">IFERROR(VLOOKUP(AE$2,Rango_Admin_DailyPred,MATCH($F17,Rango_Admin_DailyPred_Primera,0)+1,0),"-")</f>
        <v>-</v>
      </c>
      <c r="AF17" s="429" t="str">
        <f ca="1">IFERROR(VLOOKUP(AF$2,Rango_Admin_DailyPred,MATCH($F17,Rango_Admin_DailyPred_Primera,0)+1,0),"-")</f>
        <v>-</v>
      </c>
      <c r="AG17" s="429" t="str">
        <f ca="1">IFERROR(VLOOKUP(AG$2,Rango_Admin_DailyPred,MATCH($F17,Rango_Admin_DailyPred_Primera,0)+1,0),"-")</f>
        <v>-</v>
      </c>
      <c r="AH17" s="429" t="str">
        <f ca="1">IFERROR(VLOOKUP(AH$2,Rango_Admin_DailyPred,MATCH($F17,Rango_Admin_DailyPred_Primera,0)+1,0),"-")</f>
        <v>-</v>
      </c>
      <c r="AI17" s="429" t="str">
        <f ca="1">IFERROR(VLOOKUP(AI$2,Rango_Admin_DailyPred,MATCH($F17,Rango_Admin_DailyPred_Primera,0)+1,0),"-")</f>
        <v>-</v>
      </c>
      <c r="AJ17" s="429" t="str">
        <f ca="1">IFERROR(VLOOKUP(AJ$2,Rango_Admin_DailyPred,MATCH($F17,Rango_Admin_DailyPred_Primera,0)+1,0),"-")</f>
        <v>-</v>
      </c>
      <c r="AK17" s="429" t="str">
        <f ca="1">IFERROR(VLOOKUP(AK$2,Rango_Admin_DailyPred,MATCH($F17,Rango_Admin_DailyPred_Primera,0)+1,0),"-")</f>
        <v>-</v>
      </c>
      <c r="AL17" s="429" t="str">
        <f ca="1">IFERROR(VLOOKUP(AL$2,Rango_Admin_DailyPred,MATCH($F17,Rango_Admin_DailyPred_Primera,0)+1,0),"-")</f>
        <v>-</v>
      </c>
      <c r="AM17" s="429" t="str">
        <f ca="1">IFERROR(VLOOKUP(AM$2,Rango_Admin_DailyPred,MATCH($F17,Rango_Admin_DailyPred_Primera,0)+1,0),"-")</f>
        <v>-</v>
      </c>
      <c r="AN17" s="297"/>
    </row>
    <row r="18" spans="1:40">
      <c r="A18" s="8" t="str" cm="1">
        <f t="array" aca="1" ref="A18" ca="1">IFERROR(INDEX(ADMIN!$K$6:$K$258,SMALL(IF(ADMIN!$G$6:$G$258=$K$1,ROW(ADMIN!$G$6:$G$258)-ROW(ADMIN!$G$6)+1),ROWS($A$1:A15))),"")</f>
        <v/>
      </c>
      <c r="B18" s="8" t="str" cm="1">
        <f t="array" aca="1" ref="B18" ca="1">IFERROR(IFERROR(INDEX(ADMIN!$K$6:$K$258,SMALL(IF($K$1=ADMIN!$G$6:$G$258,ROW(ADMIN!$K$6:$K$258)-MIN(ROW(ADMIN!$G$6:$G$258))+1,""),ROW()-3)),"")&amp;CHAR(10)&amp;IF(INDEX(ADMIN!$M$6:$M$258,SMALL(IF($K$1=ADMIN!$G$6:$G$258,ROW(ADMIN!$M$6:$M$258)-MIN(ROW(ADMIN!$G$6:$G$258))+1,""),ROW()-3))="0|-",""," ("&amp;INDEX(ADMIN!$M$6:$M$258,SMALL(IF($K$1=ADMIN!$G$6:$G$258,ROW(ADMIN!$M$6:$M$258)-MIN(ROW(ADMIN!$G$6:$G$258))+1,""),ROW()-3))&amp;")"),"")</f>
        <v/>
      </c>
      <c r="C18" s="8">
        <v>15</v>
      </c>
      <c r="D18" s="19"/>
      <c r="E18" s="409">
        <f ca="1">IFERROR(HLOOKUP(C18,Rango_Admin_DailyClas,3,FALSE),"-")</f>
        <v>12</v>
      </c>
      <c r="F18" s="448" t="str">
        <f ca="1">IFERROR(HLOOKUP(C18,Rango_Admin_DailyClas,5,FALSE),"-")</f>
        <v>Chantal Wolbers</v>
      </c>
      <c r="G18" s="22">
        <f ca="1">IFERROR(HLOOKUP(C18,Rango_Admin_DailyClas,4,FALSE),"-")</f>
        <v>70</v>
      </c>
      <c r="H18" s="429">
        <f ca="1">IFERROR(VLOOKUP(H$2,Rango_Admin_DailyPred,MATCH($F18,Rango_Admin_DailyPred_Primera,0)+1,0),"-")</f>
        <v>0</v>
      </c>
      <c r="I18" s="429">
        <f ca="1">IFERROR(VLOOKUP(I$2,Rango_Admin_DailyPred,MATCH($F18,Rango_Admin_DailyPred_Primera,0)+1,0),"-")</f>
        <v>0</v>
      </c>
      <c r="J18" s="429">
        <f ca="1">IFERROR(VLOOKUP(J$2,Rango_Admin_DailyPred,MATCH($F18,Rango_Admin_DailyPred_Primera,0)+1,0),"-")</f>
        <v>50</v>
      </c>
      <c r="K18" s="429">
        <f ca="1">IFERROR(VLOOKUP(K$2,Rango_Admin_DailyPred,MATCH($F18,Rango_Admin_DailyPred_Primera,0)+1,0),"-")</f>
        <v>0</v>
      </c>
      <c r="L18" s="429">
        <f ca="1">IFERROR(VLOOKUP(L$2,Rango_Admin_DailyPred,MATCH($F18,Rango_Admin_DailyPred_Primera,0)+1,0),"-")</f>
        <v>0</v>
      </c>
      <c r="M18" s="429">
        <f ca="1">IFERROR(VLOOKUP(M$2,Rango_Admin_DailyPred,MATCH($F18,Rango_Admin_DailyPred_Primera,0)+1,0),"-")</f>
        <v>20</v>
      </c>
      <c r="N18" s="429">
        <f ca="1">IFERROR(VLOOKUP(N$2,Rango_Admin_DailyPred,MATCH($F18,Rango_Admin_DailyPred_Primera,0)+1,0),"-")</f>
        <v>0</v>
      </c>
      <c r="O18" s="429">
        <f ca="1">IFERROR(VLOOKUP(O$2,Rango_Admin_DailyPred,MATCH($F18,Rango_Admin_DailyPred_Primera,0)+1,0),"-")</f>
        <v>0</v>
      </c>
      <c r="P18" s="429">
        <f ca="1">IFERROR(VLOOKUP(P$2,Rango_Admin_DailyPred,MATCH($F18,Rango_Admin_DailyPred_Primera,0)+1,0),"-")</f>
        <v>0</v>
      </c>
      <c r="Q18" s="429">
        <f ca="1">IFERROR(VLOOKUP(Q$2,Rango_Admin_DailyPred,MATCH($F18,Rango_Admin_DailyPred_Primera,0)+1,0),"-")</f>
        <v>0</v>
      </c>
      <c r="R18" s="429">
        <f ca="1">IFERROR(VLOOKUP(R$2,Rango_Admin_DailyPred,MATCH($F18,Rango_Admin_DailyPred_Primera,0)+1,0),"-")</f>
        <v>0</v>
      </c>
      <c r="S18" s="429" t="str">
        <f ca="1">IFERROR(VLOOKUP(S$2,Rango_Admin_DailyPred,MATCH($F18,Rango_Admin_DailyPred_Primera,0)+1,0),"-")</f>
        <v>-</v>
      </c>
      <c r="T18" s="429" t="str">
        <f ca="1">IFERROR(VLOOKUP(T$2,Rango_Admin_DailyPred,MATCH($F18,Rango_Admin_DailyPred_Primera,0)+1,0),"-")</f>
        <v>-</v>
      </c>
      <c r="U18" s="429" t="str">
        <f ca="1">IFERROR(VLOOKUP(U$2,Rango_Admin_DailyPred,MATCH($F18,Rango_Admin_DailyPred_Primera,0)+1,0),"-")</f>
        <v>-</v>
      </c>
      <c r="V18" s="429" t="str">
        <f ca="1">IFERROR(VLOOKUP(V$2,Rango_Admin_DailyPred,MATCH($F18,Rango_Admin_DailyPred_Primera,0)+1,0),"-")</f>
        <v>-</v>
      </c>
      <c r="W18" s="429" t="str">
        <f ca="1">IFERROR(VLOOKUP(W$2,Rango_Admin_DailyPred,MATCH($F18,Rango_Admin_DailyPred_Primera,0)+1,0),"-")</f>
        <v>-</v>
      </c>
      <c r="X18" s="429" t="str">
        <f ca="1">IFERROR(VLOOKUP(X$2,Rango_Admin_DailyPred,MATCH($F18,Rango_Admin_DailyPred_Primera,0)+1,0),"-")</f>
        <v>-</v>
      </c>
      <c r="Y18" s="429" t="str">
        <f ca="1">IFERROR(VLOOKUP(Y$2,Rango_Admin_DailyPred,MATCH($F18,Rango_Admin_DailyPred_Primera,0)+1,0),"-")</f>
        <v>-</v>
      </c>
      <c r="Z18" s="429" t="str">
        <f ca="1">IFERROR(VLOOKUP(Z$2,Rango_Admin_DailyPred,MATCH($F18,Rango_Admin_DailyPred_Primera,0)+1,0),"-")</f>
        <v>-</v>
      </c>
      <c r="AA18" s="429" t="str">
        <f ca="1">IFERROR(VLOOKUP(AA$2,Rango_Admin_DailyPred,MATCH($F18,Rango_Admin_DailyPred_Primera,0)+1,0),"-")</f>
        <v>-</v>
      </c>
      <c r="AB18" s="429" t="str">
        <f ca="1">IFERROR(VLOOKUP(AB$2,Rango_Admin_DailyPred,MATCH($F18,Rango_Admin_DailyPred_Primera,0)+1,0),"-")</f>
        <v>-</v>
      </c>
      <c r="AC18" s="429" t="str">
        <f ca="1">IFERROR(VLOOKUP(AC$2,Rango_Admin_DailyPred,MATCH($F18,Rango_Admin_DailyPred_Primera,0)+1,0),"-")</f>
        <v>-</v>
      </c>
      <c r="AD18" s="429" t="str">
        <f ca="1">IFERROR(VLOOKUP(AD$2,Rango_Admin_DailyPred,MATCH($F18,Rango_Admin_DailyPred_Primera,0)+1,0),"-")</f>
        <v>-</v>
      </c>
      <c r="AE18" s="429" t="str">
        <f ca="1">IFERROR(VLOOKUP(AE$2,Rango_Admin_DailyPred,MATCH($F18,Rango_Admin_DailyPred_Primera,0)+1,0),"-")</f>
        <v>-</v>
      </c>
      <c r="AF18" s="429" t="str">
        <f ca="1">IFERROR(VLOOKUP(AF$2,Rango_Admin_DailyPred,MATCH($F18,Rango_Admin_DailyPred_Primera,0)+1,0),"-")</f>
        <v>-</v>
      </c>
      <c r="AG18" s="429" t="str">
        <f ca="1">IFERROR(VLOOKUP(AG$2,Rango_Admin_DailyPred,MATCH($F18,Rango_Admin_DailyPred_Primera,0)+1,0),"-")</f>
        <v>-</v>
      </c>
      <c r="AH18" s="429" t="str">
        <f ca="1">IFERROR(VLOOKUP(AH$2,Rango_Admin_DailyPred,MATCH($F18,Rango_Admin_DailyPred_Primera,0)+1,0),"-")</f>
        <v>-</v>
      </c>
      <c r="AI18" s="429" t="str">
        <f ca="1">IFERROR(VLOOKUP(AI$2,Rango_Admin_DailyPred,MATCH($F18,Rango_Admin_DailyPred_Primera,0)+1,0),"-")</f>
        <v>-</v>
      </c>
      <c r="AJ18" s="429" t="str">
        <f ca="1">IFERROR(VLOOKUP(AJ$2,Rango_Admin_DailyPred,MATCH($F18,Rango_Admin_DailyPred_Primera,0)+1,0),"-")</f>
        <v>-</v>
      </c>
      <c r="AK18" s="429" t="str">
        <f ca="1">IFERROR(VLOOKUP(AK$2,Rango_Admin_DailyPred,MATCH($F18,Rango_Admin_DailyPred_Primera,0)+1,0),"-")</f>
        <v>-</v>
      </c>
      <c r="AL18" s="429" t="str">
        <f ca="1">IFERROR(VLOOKUP(AL$2,Rango_Admin_DailyPred,MATCH($F18,Rango_Admin_DailyPred_Primera,0)+1,0),"-")</f>
        <v>-</v>
      </c>
      <c r="AM18" s="429" t="str">
        <f ca="1">IFERROR(VLOOKUP(AM$2,Rango_Admin_DailyPred,MATCH($F18,Rango_Admin_DailyPred_Primera,0)+1,0),"-")</f>
        <v>-</v>
      </c>
      <c r="AN18" s="297"/>
    </row>
    <row r="19" spans="1:40">
      <c r="A19" s="8" t="str" cm="1">
        <f t="array" aca="1" ref="A19" ca="1">IFERROR(INDEX(ADMIN!$K$6:$K$258,SMALL(IF(ADMIN!$G$6:$G$258=$K$1,ROW(ADMIN!$G$6:$G$258)-ROW(ADMIN!$G$6)+1),ROWS($A$1:A16))),"")</f>
        <v/>
      </c>
      <c r="B19" s="8" t="str" cm="1">
        <f t="array" aca="1" ref="B19" ca="1">IFERROR(IFERROR(INDEX(ADMIN!$K$6:$K$258,SMALL(IF($K$1=ADMIN!$G$6:$G$258,ROW(ADMIN!$K$6:$K$258)-MIN(ROW(ADMIN!$G$6:$G$258))+1,""),ROW()-3)),"")&amp;CHAR(10)&amp;IF(INDEX(ADMIN!$M$6:$M$258,SMALL(IF($K$1=ADMIN!$G$6:$G$258,ROW(ADMIN!$M$6:$M$258)-MIN(ROW(ADMIN!$G$6:$G$258))+1,""),ROW()-3))="0|-",""," ("&amp;INDEX(ADMIN!$M$6:$M$258,SMALL(IF($K$1=ADMIN!$G$6:$G$258,ROW(ADMIN!$M$6:$M$258)-MIN(ROW(ADMIN!$G$6:$G$258))+1,""),ROW()-3))&amp;")"),"")</f>
        <v/>
      </c>
      <c r="C19" s="8">
        <v>16</v>
      </c>
      <c r="D19" s="19"/>
      <c r="E19" s="409">
        <f ca="1">IFERROR(HLOOKUP(C19,Rango_Admin_DailyClas,3,FALSE),"-")</f>
        <v>16</v>
      </c>
      <c r="F19" s="448" t="str">
        <f ca="1">IFERROR(HLOOKUP(C19,Rango_Admin_DailyClas,5,FALSE),"-")</f>
        <v xml:space="preserve">Esmee Pruim </v>
      </c>
      <c r="G19" s="22">
        <f ca="1">IFERROR(HLOOKUP(C19,Rango_Admin_DailyClas,4,FALSE),"-")</f>
        <v>63</v>
      </c>
      <c r="H19" s="429">
        <f ca="1">IFERROR(VLOOKUP(H$2,Rango_Admin_DailyPred,MATCH($F19,Rango_Admin_DailyPred_Primera,0)+1,0),"-")</f>
        <v>0</v>
      </c>
      <c r="I19" s="429">
        <f ca="1">IFERROR(VLOOKUP(I$2,Rango_Admin_DailyPred,MATCH($F19,Rango_Admin_DailyPred_Primera,0)+1,0),"-")</f>
        <v>0</v>
      </c>
      <c r="J19" s="429">
        <f ca="1">IFERROR(VLOOKUP(J$2,Rango_Admin_DailyPred,MATCH($F19,Rango_Admin_DailyPred_Primera,0)+1,0),"-")</f>
        <v>0</v>
      </c>
      <c r="K19" s="429">
        <f ca="1">IFERROR(VLOOKUP(K$2,Rango_Admin_DailyPred,MATCH($F19,Rango_Admin_DailyPred_Primera,0)+1,0),"-")</f>
        <v>30</v>
      </c>
      <c r="L19" s="429">
        <f ca="1">IFERROR(VLOOKUP(L$2,Rango_Admin_DailyPred,MATCH($F19,Rango_Admin_DailyPred_Primera,0)+1,0),"-")</f>
        <v>0</v>
      </c>
      <c r="M19" s="429">
        <f ca="1">IFERROR(VLOOKUP(M$2,Rango_Admin_DailyPred,MATCH($F19,Rango_Admin_DailyPred_Primera,0)+1,0),"-")</f>
        <v>20</v>
      </c>
      <c r="N19" s="429">
        <f ca="1">IFERROR(VLOOKUP(N$2,Rango_Admin_DailyPred,MATCH($F19,Rango_Admin_DailyPred_Primera,0)+1,0),"-")</f>
        <v>0</v>
      </c>
      <c r="O19" s="429">
        <f ca="1">IFERROR(VLOOKUP(O$2,Rango_Admin_DailyPred,MATCH($F19,Rango_Admin_DailyPred_Primera,0)+1,0),"-")</f>
        <v>5</v>
      </c>
      <c r="P19" s="429">
        <f ca="1">IFERROR(VLOOKUP(P$2,Rango_Admin_DailyPred,MATCH($F19,Rango_Admin_DailyPred_Primera,0)+1,0),"-")</f>
        <v>0</v>
      </c>
      <c r="Q19" s="429">
        <f ca="1">IFERROR(VLOOKUP(Q$2,Rango_Admin_DailyPred,MATCH($F19,Rango_Admin_DailyPred_Primera,0)+1,0),"-")</f>
        <v>8</v>
      </c>
      <c r="R19" s="429">
        <f ca="1">IFERROR(VLOOKUP(R$2,Rango_Admin_DailyPred,MATCH($F19,Rango_Admin_DailyPred_Primera,0)+1,0),"-")</f>
        <v>0</v>
      </c>
      <c r="S19" s="429" t="str">
        <f ca="1">IFERROR(VLOOKUP(S$2,Rango_Admin_DailyPred,MATCH($F19,Rango_Admin_DailyPred_Primera,0)+1,0),"-")</f>
        <v>-</v>
      </c>
      <c r="T19" s="429" t="str">
        <f ca="1">IFERROR(VLOOKUP(T$2,Rango_Admin_DailyPred,MATCH($F19,Rango_Admin_DailyPred_Primera,0)+1,0),"-")</f>
        <v>-</v>
      </c>
      <c r="U19" s="429" t="str">
        <f ca="1">IFERROR(VLOOKUP(U$2,Rango_Admin_DailyPred,MATCH($F19,Rango_Admin_DailyPred_Primera,0)+1,0),"-")</f>
        <v>-</v>
      </c>
      <c r="V19" s="429" t="str">
        <f ca="1">IFERROR(VLOOKUP(V$2,Rango_Admin_DailyPred,MATCH($F19,Rango_Admin_DailyPred_Primera,0)+1,0),"-")</f>
        <v>-</v>
      </c>
      <c r="W19" s="429" t="str">
        <f ca="1">IFERROR(VLOOKUP(W$2,Rango_Admin_DailyPred,MATCH($F19,Rango_Admin_DailyPred_Primera,0)+1,0),"-")</f>
        <v>-</v>
      </c>
      <c r="X19" s="429" t="str">
        <f ca="1">IFERROR(VLOOKUP(X$2,Rango_Admin_DailyPred,MATCH($F19,Rango_Admin_DailyPred_Primera,0)+1,0),"-")</f>
        <v>-</v>
      </c>
      <c r="Y19" s="429" t="str">
        <f ca="1">IFERROR(VLOOKUP(Y$2,Rango_Admin_DailyPred,MATCH($F19,Rango_Admin_DailyPred_Primera,0)+1,0),"-")</f>
        <v>-</v>
      </c>
      <c r="Z19" s="429" t="str">
        <f ca="1">IFERROR(VLOOKUP(Z$2,Rango_Admin_DailyPred,MATCH($F19,Rango_Admin_DailyPred_Primera,0)+1,0),"-")</f>
        <v>-</v>
      </c>
      <c r="AA19" s="429" t="str">
        <f ca="1">IFERROR(VLOOKUP(AA$2,Rango_Admin_DailyPred,MATCH($F19,Rango_Admin_DailyPred_Primera,0)+1,0),"-")</f>
        <v>-</v>
      </c>
      <c r="AB19" s="429" t="str">
        <f ca="1">IFERROR(VLOOKUP(AB$2,Rango_Admin_DailyPred,MATCH($F19,Rango_Admin_DailyPred_Primera,0)+1,0),"-")</f>
        <v>-</v>
      </c>
      <c r="AC19" s="429" t="str">
        <f ca="1">IFERROR(VLOOKUP(AC$2,Rango_Admin_DailyPred,MATCH($F19,Rango_Admin_DailyPred_Primera,0)+1,0),"-")</f>
        <v>-</v>
      </c>
      <c r="AD19" s="429" t="str">
        <f ca="1">IFERROR(VLOOKUP(AD$2,Rango_Admin_DailyPred,MATCH($F19,Rango_Admin_DailyPred_Primera,0)+1,0),"-")</f>
        <v>-</v>
      </c>
      <c r="AE19" s="429" t="str">
        <f ca="1">IFERROR(VLOOKUP(AE$2,Rango_Admin_DailyPred,MATCH($F19,Rango_Admin_DailyPred_Primera,0)+1,0),"-")</f>
        <v>-</v>
      </c>
      <c r="AF19" s="429" t="str">
        <f ca="1">IFERROR(VLOOKUP(AF$2,Rango_Admin_DailyPred,MATCH($F19,Rango_Admin_DailyPred_Primera,0)+1,0),"-")</f>
        <v>-</v>
      </c>
      <c r="AG19" s="429" t="str">
        <f ca="1">IFERROR(VLOOKUP(AG$2,Rango_Admin_DailyPred,MATCH($F19,Rango_Admin_DailyPred_Primera,0)+1,0),"-")</f>
        <v>-</v>
      </c>
      <c r="AH19" s="429" t="str">
        <f ca="1">IFERROR(VLOOKUP(AH$2,Rango_Admin_DailyPred,MATCH($F19,Rango_Admin_DailyPred_Primera,0)+1,0),"-")</f>
        <v>-</v>
      </c>
      <c r="AI19" s="429" t="str">
        <f ca="1">IFERROR(VLOOKUP(AI$2,Rango_Admin_DailyPred,MATCH($F19,Rango_Admin_DailyPred_Primera,0)+1,0),"-")</f>
        <v>-</v>
      </c>
      <c r="AJ19" s="429" t="str">
        <f ca="1">IFERROR(VLOOKUP(AJ$2,Rango_Admin_DailyPred,MATCH($F19,Rango_Admin_DailyPred_Primera,0)+1,0),"-")</f>
        <v>-</v>
      </c>
      <c r="AK19" s="429" t="str">
        <f ca="1">IFERROR(VLOOKUP(AK$2,Rango_Admin_DailyPred,MATCH($F19,Rango_Admin_DailyPred_Primera,0)+1,0),"-")</f>
        <v>-</v>
      </c>
      <c r="AL19" s="429" t="str">
        <f ca="1">IFERROR(VLOOKUP(AL$2,Rango_Admin_DailyPred,MATCH($F19,Rango_Admin_DailyPred_Primera,0)+1,0),"-")</f>
        <v>-</v>
      </c>
      <c r="AM19" s="429" t="str">
        <f ca="1">IFERROR(VLOOKUP(AM$2,Rango_Admin_DailyPred,MATCH($F19,Rango_Admin_DailyPred_Primera,0)+1,0),"-")</f>
        <v>-</v>
      </c>
      <c r="AN19" s="297"/>
    </row>
    <row r="20" spans="1:40">
      <c r="A20" s="8" t="str" cm="1">
        <f t="array" aca="1" ref="A20" ca="1">IFERROR(INDEX(ADMIN!$K$6:$K$258,SMALL(IF(ADMIN!$G$6:$G$258=$K$1,ROW(ADMIN!$G$6:$G$258)-ROW(ADMIN!$G$6)+1),ROWS($A$1:A17))),"")</f>
        <v/>
      </c>
      <c r="B20" s="8" t="str" cm="1">
        <f t="array" aca="1" ref="B20" ca="1">IFERROR(IFERROR(INDEX(ADMIN!$K$6:$K$258,SMALL(IF($K$1=ADMIN!$G$6:$G$258,ROW(ADMIN!$K$6:$K$258)-MIN(ROW(ADMIN!$G$6:$G$258))+1,""),ROW()-3)),"")&amp;CHAR(10)&amp;IF(INDEX(ADMIN!$M$6:$M$258,SMALL(IF($K$1=ADMIN!$G$6:$G$258,ROW(ADMIN!$M$6:$M$258)-MIN(ROW(ADMIN!$G$6:$G$258))+1,""),ROW()-3))="0|-",""," ("&amp;INDEX(ADMIN!$M$6:$M$258,SMALL(IF($K$1=ADMIN!$G$6:$G$258,ROW(ADMIN!$M$6:$M$258)-MIN(ROW(ADMIN!$G$6:$G$258))+1,""),ROW()-3))&amp;")"),"")</f>
        <v/>
      </c>
      <c r="C20" s="8">
        <v>17</v>
      </c>
      <c r="D20" s="19"/>
      <c r="E20" s="409">
        <f ca="1">IFERROR(HLOOKUP(C20,Rango_Admin_DailyClas,3,FALSE),"-")</f>
        <v>17</v>
      </c>
      <c r="F20" s="448" t="str">
        <f ca="1">IFERROR(HLOOKUP(C20,Rango_Admin_DailyClas,5,FALSE),"-")</f>
        <v>Jurgen Wiegerinck</v>
      </c>
      <c r="G20" s="22">
        <f ca="1">IFERROR(HLOOKUP(C20,Rango_Admin_DailyClas,4,FALSE),"-")</f>
        <v>58</v>
      </c>
      <c r="H20" s="429">
        <f ca="1">IFERROR(VLOOKUP(H$2,Rango_Admin_DailyPred,MATCH($F20,Rango_Admin_DailyPred_Primera,0)+1,0),"-")</f>
        <v>0</v>
      </c>
      <c r="I20" s="429">
        <f ca="1">IFERROR(VLOOKUP(I$2,Rango_Admin_DailyPred,MATCH($F20,Rango_Admin_DailyPred_Primera,0)+1,0),"-")</f>
        <v>0</v>
      </c>
      <c r="J20" s="429">
        <f ca="1">IFERROR(VLOOKUP(J$2,Rango_Admin_DailyPred,MATCH($F20,Rango_Admin_DailyPred_Primera,0)+1,0),"-")</f>
        <v>0</v>
      </c>
      <c r="K20" s="429">
        <f ca="1">IFERROR(VLOOKUP(K$2,Rango_Admin_DailyPred,MATCH($F20,Rango_Admin_DailyPred_Primera,0)+1,0),"-")</f>
        <v>30</v>
      </c>
      <c r="L20" s="429">
        <f ca="1">IFERROR(VLOOKUP(L$2,Rango_Admin_DailyPred,MATCH($F20,Rango_Admin_DailyPred_Primera,0)+1,0),"-")</f>
        <v>0</v>
      </c>
      <c r="M20" s="429">
        <f ca="1">IFERROR(VLOOKUP(M$2,Rango_Admin_DailyPred,MATCH($F20,Rango_Admin_DailyPred_Primera,0)+1,0),"-")</f>
        <v>20</v>
      </c>
      <c r="N20" s="429">
        <f ca="1">IFERROR(VLOOKUP(N$2,Rango_Admin_DailyPred,MATCH($F20,Rango_Admin_DailyPred_Primera,0)+1,0),"-")</f>
        <v>0</v>
      </c>
      <c r="O20" s="429">
        <f ca="1">IFERROR(VLOOKUP(O$2,Rango_Admin_DailyPred,MATCH($F20,Rango_Admin_DailyPred_Primera,0)+1,0),"-")</f>
        <v>0</v>
      </c>
      <c r="P20" s="429">
        <f ca="1">IFERROR(VLOOKUP(P$2,Rango_Admin_DailyPred,MATCH($F20,Rango_Admin_DailyPred_Primera,0)+1,0),"-")</f>
        <v>0</v>
      </c>
      <c r="Q20" s="429">
        <f ca="1">IFERROR(VLOOKUP(Q$2,Rango_Admin_DailyPred,MATCH($F20,Rango_Admin_DailyPred_Primera,0)+1,0),"-")</f>
        <v>8</v>
      </c>
      <c r="R20" s="429">
        <f ca="1">IFERROR(VLOOKUP(R$2,Rango_Admin_DailyPred,MATCH($F20,Rango_Admin_DailyPred_Primera,0)+1,0),"-")</f>
        <v>0</v>
      </c>
      <c r="S20" s="429" t="str">
        <f ca="1">IFERROR(VLOOKUP(S$2,Rango_Admin_DailyPred,MATCH($F20,Rango_Admin_DailyPred_Primera,0)+1,0),"-")</f>
        <v>-</v>
      </c>
      <c r="T20" s="429" t="str">
        <f ca="1">IFERROR(VLOOKUP(T$2,Rango_Admin_DailyPred,MATCH($F20,Rango_Admin_DailyPred_Primera,0)+1,0),"-")</f>
        <v>-</v>
      </c>
      <c r="U20" s="429" t="str">
        <f ca="1">IFERROR(VLOOKUP(U$2,Rango_Admin_DailyPred,MATCH($F20,Rango_Admin_DailyPred_Primera,0)+1,0),"-")</f>
        <v>-</v>
      </c>
      <c r="V20" s="429" t="str">
        <f ca="1">IFERROR(VLOOKUP(V$2,Rango_Admin_DailyPred,MATCH($F20,Rango_Admin_DailyPred_Primera,0)+1,0),"-")</f>
        <v>-</v>
      </c>
      <c r="W20" s="429" t="str">
        <f ca="1">IFERROR(VLOOKUP(W$2,Rango_Admin_DailyPred,MATCH($F20,Rango_Admin_DailyPred_Primera,0)+1,0),"-")</f>
        <v>-</v>
      </c>
      <c r="X20" s="429" t="str">
        <f ca="1">IFERROR(VLOOKUP(X$2,Rango_Admin_DailyPred,MATCH($F20,Rango_Admin_DailyPred_Primera,0)+1,0),"-")</f>
        <v>-</v>
      </c>
      <c r="Y20" s="429" t="str">
        <f ca="1">IFERROR(VLOOKUP(Y$2,Rango_Admin_DailyPred,MATCH($F20,Rango_Admin_DailyPred_Primera,0)+1,0),"-")</f>
        <v>-</v>
      </c>
      <c r="Z20" s="429" t="str">
        <f ca="1">IFERROR(VLOOKUP(Z$2,Rango_Admin_DailyPred,MATCH($F20,Rango_Admin_DailyPred_Primera,0)+1,0),"-")</f>
        <v>-</v>
      </c>
      <c r="AA20" s="429" t="str">
        <f ca="1">IFERROR(VLOOKUP(AA$2,Rango_Admin_DailyPred,MATCH($F20,Rango_Admin_DailyPred_Primera,0)+1,0),"-")</f>
        <v>-</v>
      </c>
      <c r="AB20" s="429" t="str">
        <f ca="1">IFERROR(VLOOKUP(AB$2,Rango_Admin_DailyPred,MATCH($F20,Rango_Admin_DailyPred_Primera,0)+1,0),"-")</f>
        <v>-</v>
      </c>
      <c r="AC20" s="429" t="str">
        <f ca="1">IFERROR(VLOOKUP(AC$2,Rango_Admin_DailyPred,MATCH($F20,Rango_Admin_DailyPred_Primera,0)+1,0),"-")</f>
        <v>-</v>
      </c>
      <c r="AD20" s="429" t="str">
        <f ca="1">IFERROR(VLOOKUP(AD$2,Rango_Admin_DailyPred,MATCH($F20,Rango_Admin_DailyPred_Primera,0)+1,0),"-")</f>
        <v>-</v>
      </c>
      <c r="AE20" s="429" t="str">
        <f ca="1">IFERROR(VLOOKUP(AE$2,Rango_Admin_DailyPred,MATCH($F20,Rango_Admin_DailyPred_Primera,0)+1,0),"-")</f>
        <v>-</v>
      </c>
      <c r="AF20" s="429" t="str">
        <f ca="1">IFERROR(VLOOKUP(AF$2,Rango_Admin_DailyPred,MATCH($F20,Rango_Admin_DailyPred_Primera,0)+1,0),"-")</f>
        <v>-</v>
      </c>
      <c r="AG20" s="429" t="str">
        <f ca="1">IFERROR(VLOOKUP(AG$2,Rango_Admin_DailyPred,MATCH($F20,Rango_Admin_DailyPred_Primera,0)+1,0),"-")</f>
        <v>-</v>
      </c>
      <c r="AH20" s="429" t="str">
        <f ca="1">IFERROR(VLOOKUP(AH$2,Rango_Admin_DailyPred,MATCH($F20,Rango_Admin_DailyPred_Primera,0)+1,0),"-")</f>
        <v>-</v>
      </c>
      <c r="AI20" s="429" t="str">
        <f ca="1">IFERROR(VLOOKUP(AI$2,Rango_Admin_DailyPred,MATCH($F20,Rango_Admin_DailyPred_Primera,0)+1,0),"-")</f>
        <v>-</v>
      </c>
      <c r="AJ20" s="429" t="str">
        <f ca="1">IFERROR(VLOOKUP(AJ$2,Rango_Admin_DailyPred,MATCH($F20,Rango_Admin_DailyPred_Primera,0)+1,0),"-")</f>
        <v>-</v>
      </c>
      <c r="AK20" s="429" t="str">
        <f ca="1">IFERROR(VLOOKUP(AK$2,Rango_Admin_DailyPred,MATCH($F20,Rango_Admin_DailyPred_Primera,0)+1,0),"-")</f>
        <v>-</v>
      </c>
      <c r="AL20" s="429" t="str">
        <f ca="1">IFERROR(VLOOKUP(AL$2,Rango_Admin_DailyPred,MATCH($F20,Rango_Admin_DailyPred_Primera,0)+1,0),"-")</f>
        <v>-</v>
      </c>
      <c r="AM20" s="429" t="str">
        <f ca="1">IFERROR(VLOOKUP(AM$2,Rango_Admin_DailyPred,MATCH($F20,Rango_Admin_DailyPred_Primera,0)+1,0),"-")</f>
        <v>-</v>
      </c>
      <c r="AN20" s="297"/>
    </row>
    <row r="21" spans="1:40">
      <c r="A21" s="8" t="str" cm="1">
        <f t="array" aca="1" ref="A21" ca="1">IFERROR(INDEX(ADMIN!$K$6:$K$258,SMALL(IF(ADMIN!$G$6:$G$258=$K$1,ROW(ADMIN!$G$6:$G$258)-ROW(ADMIN!$G$6)+1),ROWS($A$1:A18))),"")</f>
        <v/>
      </c>
      <c r="B21" s="8" t="str" cm="1">
        <f t="array" aca="1" ref="B21" ca="1">IFERROR(IFERROR(INDEX(ADMIN!$K$6:$K$258,SMALL(IF($K$1=ADMIN!$G$6:$G$258,ROW(ADMIN!$K$6:$K$258)-MIN(ROW(ADMIN!$G$6:$G$258))+1,""),ROW()-3)),"")&amp;CHAR(10)&amp;IF(INDEX(ADMIN!$M$6:$M$258,SMALL(IF($K$1=ADMIN!$G$6:$G$258,ROW(ADMIN!$M$6:$M$258)-MIN(ROW(ADMIN!$G$6:$G$258))+1,""),ROW()-3))="0|-",""," ("&amp;INDEX(ADMIN!$M$6:$M$258,SMALL(IF($K$1=ADMIN!$G$6:$G$258,ROW(ADMIN!$M$6:$M$258)-MIN(ROW(ADMIN!$G$6:$G$258))+1,""),ROW()-3))&amp;")"),"")</f>
        <v/>
      </c>
      <c r="C21" s="8">
        <v>18</v>
      </c>
      <c r="D21" s="19"/>
      <c r="E21" s="409">
        <f ca="1">IFERROR(HLOOKUP(C21,Rango_Admin_DailyClas,3,FALSE),"-")</f>
        <v>18</v>
      </c>
      <c r="F21" s="448" t="str">
        <f ca="1">IFERROR(HLOOKUP(C21,Rango_Admin_DailyClas,5,FALSE),"-")</f>
        <v>Mart-Jan aan het Rot</v>
      </c>
      <c r="G21" s="22">
        <f ca="1">IFERROR(HLOOKUP(C21,Rango_Admin_DailyClas,4,FALSE),"-")</f>
        <v>50</v>
      </c>
      <c r="H21" s="429">
        <f ca="1">IFERROR(VLOOKUP(H$2,Rango_Admin_DailyPred,MATCH($F21,Rango_Admin_DailyPred_Primera,0)+1,0),"-")</f>
        <v>0</v>
      </c>
      <c r="I21" s="429">
        <f ca="1">IFERROR(VLOOKUP(I$2,Rango_Admin_DailyPred,MATCH($F21,Rango_Admin_DailyPred_Primera,0)+1,0),"-")</f>
        <v>0</v>
      </c>
      <c r="J21" s="429">
        <f ca="1">IFERROR(VLOOKUP(J$2,Rango_Admin_DailyPred,MATCH($F21,Rango_Admin_DailyPred_Primera,0)+1,0),"-")</f>
        <v>0</v>
      </c>
      <c r="K21" s="429">
        <f ca="1">IFERROR(VLOOKUP(K$2,Rango_Admin_DailyPred,MATCH($F21,Rango_Admin_DailyPred_Primera,0)+1,0),"-")</f>
        <v>30</v>
      </c>
      <c r="L21" s="429">
        <f ca="1">IFERROR(VLOOKUP(L$2,Rango_Admin_DailyPred,MATCH($F21,Rango_Admin_DailyPred_Primera,0)+1,0),"-")</f>
        <v>0</v>
      </c>
      <c r="M21" s="429">
        <f ca="1">IFERROR(VLOOKUP(M$2,Rango_Admin_DailyPred,MATCH($F21,Rango_Admin_DailyPred_Primera,0)+1,0),"-")</f>
        <v>20</v>
      </c>
      <c r="N21" s="429">
        <f ca="1">IFERROR(VLOOKUP(N$2,Rango_Admin_DailyPred,MATCH($F21,Rango_Admin_DailyPred_Primera,0)+1,0),"-")</f>
        <v>0</v>
      </c>
      <c r="O21" s="429">
        <f ca="1">IFERROR(VLOOKUP(O$2,Rango_Admin_DailyPred,MATCH($F21,Rango_Admin_DailyPred_Primera,0)+1,0),"-")</f>
        <v>0</v>
      </c>
      <c r="P21" s="429">
        <f ca="1">IFERROR(VLOOKUP(P$2,Rango_Admin_DailyPred,MATCH($F21,Rango_Admin_DailyPred_Primera,0)+1,0),"-")</f>
        <v>0</v>
      </c>
      <c r="Q21" s="429">
        <f ca="1">IFERROR(VLOOKUP(Q$2,Rango_Admin_DailyPred,MATCH($F21,Rango_Admin_DailyPred_Primera,0)+1,0),"-")</f>
        <v>0</v>
      </c>
      <c r="R21" s="429">
        <f ca="1">IFERROR(VLOOKUP(R$2,Rango_Admin_DailyPred,MATCH($F21,Rango_Admin_DailyPred_Primera,0)+1,0),"-")</f>
        <v>0</v>
      </c>
      <c r="S21" s="429" t="str">
        <f ca="1">IFERROR(VLOOKUP(S$2,Rango_Admin_DailyPred,MATCH($F21,Rango_Admin_DailyPred_Primera,0)+1,0),"-")</f>
        <v>-</v>
      </c>
      <c r="T21" s="429" t="str">
        <f ca="1">IFERROR(VLOOKUP(T$2,Rango_Admin_DailyPred,MATCH($F21,Rango_Admin_DailyPred_Primera,0)+1,0),"-")</f>
        <v>-</v>
      </c>
      <c r="U21" s="429" t="str">
        <f ca="1">IFERROR(VLOOKUP(U$2,Rango_Admin_DailyPred,MATCH($F21,Rango_Admin_DailyPred_Primera,0)+1,0),"-")</f>
        <v>-</v>
      </c>
      <c r="V21" s="429" t="str">
        <f ca="1">IFERROR(VLOOKUP(V$2,Rango_Admin_DailyPred,MATCH($F21,Rango_Admin_DailyPred_Primera,0)+1,0),"-")</f>
        <v>-</v>
      </c>
      <c r="W21" s="429" t="str">
        <f ca="1">IFERROR(VLOOKUP(W$2,Rango_Admin_DailyPred,MATCH($F21,Rango_Admin_DailyPred_Primera,0)+1,0),"-")</f>
        <v>-</v>
      </c>
      <c r="X21" s="429" t="str">
        <f ca="1">IFERROR(VLOOKUP(X$2,Rango_Admin_DailyPred,MATCH($F21,Rango_Admin_DailyPred_Primera,0)+1,0),"-")</f>
        <v>-</v>
      </c>
      <c r="Y21" s="429" t="str">
        <f ca="1">IFERROR(VLOOKUP(Y$2,Rango_Admin_DailyPred,MATCH($F21,Rango_Admin_DailyPred_Primera,0)+1,0),"-")</f>
        <v>-</v>
      </c>
      <c r="Z21" s="429" t="str">
        <f ca="1">IFERROR(VLOOKUP(Z$2,Rango_Admin_DailyPred,MATCH($F21,Rango_Admin_DailyPred_Primera,0)+1,0),"-")</f>
        <v>-</v>
      </c>
      <c r="AA21" s="429" t="str">
        <f ca="1">IFERROR(VLOOKUP(AA$2,Rango_Admin_DailyPred,MATCH($F21,Rango_Admin_DailyPred_Primera,0)+1,0),"-")</f>
        <v>-</v>
      </c>
      <c r="AB21" s="429" t="str">
        <f ca="1">IFERROR(VLOOKUP(AB$2,Rango_Admin_DailyPred,MATCH($F21,Rango_Admin_DailyPred_Primera,0)+1,0),"-")</f>
        <v>-</v>
      </c>
      <c r="AC21" s="429" t="str">
        <f ca="1">IFERROR(VLOOKUP(AC$2,Rango_Admin_DailyPred,MATCH($F21,Rango_Admin_DailyPred_Primera,0)+1,0),"-")</f>
        <v>-</v>
      </c>
      <c r="AD21" s="429" t="str">
        <f ca="1">IFERROR(VLOOKUP(AD$2,Rango_Admin_DailyPred,MATCH($F21,Rango_Admin_DailyPred_Primera,0)+1,0),"-")</f>
        <v>-</v>
      </c>
      <c r="AE21" s="429" t="str">
        <f ca="1">IFERROR(VLOOKUP(AE$2,Rango_Admin_DailyPred,MATCH($F21,Rango_Admin_DailyPred_Primera,0)+1,0),"-")</f>
        <v>-</v>
      </c>
      <c r="AF21" s="429" t="str">
        <f ca="1">IFERROR(VLOOKUP(AF$2,Rango_Admin_DailyPred,MATCH($F21,Rango_Admin_DailyPred_Primera,0)+1,0),"-")</f>
        <v>-</v>
      </c>
      <c r="AG21" s="429" t="str">
        <f ca="1">IFERROR(VLOOKUP(AG$2,Rango_Admin_DailyPred,MATCH($F21,Rango_Admin_DailyPred_Primera,0)+1,0),"-")</f>
        <v>-</v>
      </c>
      <c r="AH21" s="429" t="str">
        <f ca="1">IFERROR(VLOOKUP(AH$2,Rango_Admin_DailyPred,MATCH($F21,Rango_Admin_DailyPred_Primera,0)+1,0),"-")</f>
        <v>-</v>
      </c>
      <c r="AI21" s="429" t="str">
        <f ca="1">IFERROR(VLOOKUP(AI$2,Rango_Admin_DailyPred,MATCH($F21,Rango_Admin_DailyPred_Primera,0)+1,0),"-")</f>
        <v>-</v>
      </c>
      <c r="AJ21" s="429" t="str">
        <f ca="1">IFERROR(VLOOKUP(AJ$2,Rango_Admin_DailyPred,MATCH($F21,Rango_Admin_DailyPred_Primera,0)+1,0),"-")</f>
        <v>-</v>
      </c>
      <c r="AK21" s="429" t="str">
        <f ca="1">IFERROR(VLOOKUP(AK$2,Rango_Admin_DailyPred,MATCH($F21,Rango_Admin_DailyPred_Primera,0)+1,0),"-")</f>
        <v>-</v>
      </c>
      <c r="AL21" s="429" t="str">
        <f ca="1">IFERROR(VLOOKUP(AL$2,Rango_Admin_DailyPred,MATCH($F21,Rango_Admin_DailyPred_Primera,0)+1,0),"-")</f>
        <v>-</v>
      </c>
      <c r="AM21" s="429" t="str">
        <f ca="1">IFERROR(VLOOKUP(AM$2,Rango_Admin_DailyPred,MATCH($F21,Rango_Admin_DailyPred_Primera,0)+1,0),"-")</f>
        <v>-</v>
      </c>
      <c r="AN21" s="297"/>
    </row>
    <row r="22" spans="1:40">
      <c r="A22" s="8" t="str" cm="1">
        <f t="array" aca="1" ref="A22" ca="1">IFERROR(INDEX(ADMIN!$K$6:$K$258,SMALL(IF(ADMIN!$G$6:$G$258=$K$1,ROW(ADMIN!$G$6:$G$258)-ROW(ADMIN!$G$6)+1),ROWS($A$1:A19))),"")</f>
        <v/>
      </c>
      <c r="B22" s="8" t="str" cm="1">
        <f t="array" aca="1" ref="B22" ca="1">IFERROR(IFERROR(INDEX(ADMIN!$K$6:$K$258,SMALL(IF($K$1=ADMIN!$G$6:$G$258,ROW(ADMIN!$K$6:$K$258)-MIN(ROW(ADMIN!$G$6:$G$258))+1,""),ROW()-3)),"")&amp;CHAR(10)&amp;IF(INDEX(ADMIN!$M$6:$M$258,SMALL(IF($K$1=ADMIN!$G$6:$G$258,ROW(ADMIN!$M$6:$M$258)-MIN(ROW(ADMIN!$G$6:$G$258))+1,""),ROW()-3))="0|-",""," ("&amp;INDEX(ADMIN!$M$6:$M$258,SMALL(IF($K$1=ADMIN!$G$6:$G$258,ROW(ADMIN!$M$6:$M$258)-MIN(ROW(ADMIN!$G$6:$G$258))+1,""),ROW()-3))&amp;")"),"")</f>
        <v/>
      </c>
      <c r="C22" s="8">
        <v>19</v>
      </c>
      <c r="D22" s="19"/>
      <c r="E22" s="409">
        <f ca="1">IFERROR(HLOOKUP(C22,Rango_Admin_DailyClas,3,FALSE),"-")</f>
        <v>18</v>
      </c>
      <c r="F22" s="448" t="str">
        <f ca="1">IFERROR(HLOOKUP(C22,Rango_Admin_DailyClas,5,FALSE),"-")</f>
        <v>Joris Reinders</v>
      </c>
      <c r="G22" s="22">
        <f ca="1">IFERROR(HLOOKUP(C22,Rango_Admin_DailyClas,4,FALSE),"-")</f>
        <v>50</v>
      </c>
      <c r="H22" s="429">
        <f ca="1">IFERROR(VLOOKUP(H$2,Rango_Admin_DailyPred,MATCH($F22,Rango_Admin_DailyPred_Primera,0)+1,0),"-")</f>
        <v>0</v>
      </c>
      <c r="I22" s="429">
        <f ca="1">IFERROR(VLOOKUP(I$2,Rango_Admin_DailyPred,MATCH($F22,Rango_Admin_DailyPred_Primera,0)+1,0),"-")</f>
        <v>0</v>
      </c>
      <c r="J22" s="429">
        <f ca="1">IFERROR(VLOOKUP(J$2,Rango_Admin_DailyPred,MATCH($F22,Rango_Admin_DailyPred_Primera,0)+1,0),"-")</f>
        <v>50</v>
      </c>
      <c r="K22" s="429">
        <f ca="1">IFERROR(VLOOKUP(K$2,Rango_Admin_DailyPred,MATCH($F22,Rango_Admin_DailyPred_Primera,0)+1,0),"-")</f>
        <v>0</v>
      </c>
      <c r="L22" s="429">
        <f ca="1">IFERROR(VLOOKUP(L$2,Rango_Admin_DailyPred,MATCH($F22,Rango_Admin_DailyPred_Primera,0)+1,0),"-")</f>
        <v>0</v>
      </c>
      <c r="M22" s="429">
        <f ca="1">IFERROR(VLOOKUP(M$2,Rango_Admin_DailyPred,MATCH($F22,Rango_Admin_DailyPred_Primera,0)+1,0),"-")</f>
        <v>0</v>
      </c>
      <c r="N22" s="429">
        <f ca="1">IFERROR(VLOOKUP(N$2,Rango_Admin_DailyPred,MATCH($F22,Rango_Admin_DailyPred_Primera,0)+1,0),"-")</f>
        <v>0</v>
      </c>
      <c r="O22" s="429">
        <f ca="1">IFERROR(VLOOKUP(O$2,Rango_Admin_DailyPred,MATCH($F22,Rango_Admin_DailyPred_Primera,0)+1,0),"-")</f>
        <v>0</v>
      </c>
      <c r="P22" s="429">
        <f ca="1">IFERROR(VLOOKUP(P$2,Rango_Admin_DailyPred,MATCH($F22,Rango_Admin_DailyPred_Primera,0)+1,0),"-")</f>
        <v>0</v>
      </c>
      <c r="Q22" s="429">
        <f ca="1">IFERROR(VLOOKUP(Q$2,Rango_Admin_DailyPred,MATCH($F22,Rango_Admin_DailyPred_Primera,0)+1,0),"-")</f>
        <v>0</v>
      </c>
      <c r="R22" s="429">
        <f ca="1">IFERROR(VLOOKUP(R$2,Rango_Admin_DailyPred,MATCH($F22,Rango_Admin_DailyPred_Primera,0)+1,0),"-")</f>
        <v>0</v>
      </c>
      <c r="S22" s="429" t="str">
        <f ca="1">IFERROR(VLOOKUP(S$2,Rango_Admin_DailyPred,MATCH($F22,Rango_Admin_DailyPred_Primera,0)+1,0),"-")</f>
        <v>-</v>
      </c>
      <c r="T22" s="429" t="str">
        <f ca="1">IFERROR(VLOOKUP(T$2,Rango_Admin_DailyPred,MATCH($F22,Rango_Admin_DailyPred_Primera,0)+1,0),"-")</f>
        <v>-</v>
      </c>
      <c r="U22" s="429" t="str">
        <f ca="1">IFERROR(VLOOKUP(U$2,Rango_Admin_DailyPred,MATCH($F22,Rango_Admin_DailyPred_Primera,0)+1,0),"-")</f>
        <v>-</v>
      </c>
      <c r="V22" s="429" t="str">
        <f ca="1">IFERROR(VLOOKUP(V$2,Rango_Admin_DailyPred,MATCH($F22,Rango_Admin_DailyPred_Primera,0)+1,0),"-")</f>
        <v>-</v>
      </c>
      <c r="W22" s="429" t="str">
        <f ca="1">IFERROR(VLOOKUP(W$2,Rango_Admin_DailyPred,MATCH($F22,Rango_Admin_DailyPred_Primera,0)+1,0),"-")</f>
        <v>-</v>
      </c>
      <c r="X22" s="429" t="str">
        <f ca="1">IFERROR(VLOOKUP(X$2,Rango_Admin_DailyPred,MATCH($F22,Rango_Admin_DailyPred_Primera,0)+1,0),"-")</f>
        <v>-</v>
      </c>
      <c r="Y22" s="429" t="str">
        <f ca="1">IFERROR(VLOOKUP(Y$2,Rango_Admin_DailyPred,MATCH($F22,Rango_Admin_DailyPred_Primera,0)+1,0),"-")</f>
        <v>-</v>
      </c>
      <c r="Z22" s="429" t="str">
        <f ca="1">IFERROR(VLOOKUP(Z$2,Rango_Admin_DailyPred,MATCH($F22,Rango_Admin_DailyPred_Primera,0)+1,0),"-")</f>
        <v>-</v>
      </c>
      <c r="AA22" s="429" t="str">
        <f ca="1">IFERROR(VLOOKUP(AA$2,Rango_Admin_DailyPred,MATCH($F22,Rango_Admin_DailyPred_Primera,0)+1,0),"-")</f>
        <v>-</v>
      </c>
      <c r="AB22" s="429" t="str">
        <f ca="1">IFERROR(VLOOKUP(AB$2,Rango_Admin_DailyPred,MATCH($F22,Rango_Admin_DailyPred_Primera,0)+1,0),"-")</f>
        <v>-</v>
      </c>
      <c r="AC22" s="429" t="str">
        <f ca="1">IFERROR(VLOOKUP(AC$2,Rango_Admin_DailyPred,MATCH($F22,Rango_Admin_DailyPred_Primera,0)+1,0),"-")</f>
        <v>-</v>
      </c>
      <c r="AD22" s="429" t="str">
        <f ca="1">IFERROR(VLOOKUP(AD$2,Rango_Admin_DailyPred,MATCH($F22,Rango_Admin_DailyPred_Primera,0)+1,0),"-")</f>
        <v>-</v>
      </c>
      <c r="AE22" s="429" t="str">
        <f ca="1">IFERROR(VLOOKUP(AE$2,Rango_Admin_DailyPred,MATCH($F22,Rango_Admin_DailyPred_Primera,0)+1,0),"-")</f>
        <v>-</v>
      </c>
      <c r="AF22" s="429" t="str">
        <f ca="1">IFERROR(VLOOKUP(AF$2,Rango_Admin_DailyPred,MATCH($F22,Rango_Admin_DailyPred_Primera,0)+1,0),"-")</f>
        <v>-</v>
      </c>
      <c r="AG22" s="429" t="str">
        <f ca="1">IFERROR(VLOOKUP(AG$2,Rango_Admin_DailyPred,MATCH($F22,Rango_Admin_DailyPred_Primera,0)+1,0),"-")</f>
        <v>-</v>
      </c>
      <c r="AH22" s="429" t="str">
        <f ca="1">IFERROR(VLOOKUP(AH$2,Rango_Admin_DailyPred,MATCH($F22,Rango_Admin_DailyPred_Primera,0)+1,0),"-")</f>
        <v>-</v>
      </c>
      <c r="AI22" s="429" t="str">
        <f ca="1">IFERROR(VLOOKUP(AI$2,Rango_Admin_DailyPred,MATCH($F22,Rango_Admin_DailyPred_Primera,0)+1,0),"-")</f>
        <v>-</v>
      </c>
      <c r="AJ22" s="429" t="str">
        <f ca="1">IFERROR(VLOOKUP(AJ$2,Rango_Admin_DailyPred,MATCH($F22,Rango_Admin_DailyPred_Primera,0)+1,0),"-")</f>
        <v>-</v>
      </c>
      <c r="AK22" s="429" t="str">
        <f ca="1">IFERROR(VLOOKUP(AK$2,Rango_Admin_DailyPred,MATCH($F22,Rango_Admin_DailyPred_Primera,0)+1,0),"-")</f>
        <v>-</v>
      </c>
      <c r="AL22" s="429" t="str">
        <f ca="1">IFERROR(VLOOKUP(AL$2,Rango_Admin_DailyPred,MATCH($F22,Rango_Admin_DailyPred_Primera,0)+1,0),"-")</f>
        <v>-</v>
      </c>
      <c r="AM22" s="429" t="str">
        <f ca="1">IFERROR(VLOOKUP(AM$2,Rango_Admin_DailyPred,MATCH($F22,Rango_Admin_DailyPred_Primera,0)+1,0),"-")</f>
        <v>-</v>
      </c>
      <c r="AN22" s="297"/>
    </row>
    <row r="23" spans="1:40">
      <c r="A23" s="8" t="str" cm="1">
        <f t="array" aca="1" ref="A23" ca="1">IFERROR(INDEX(ADMIN!$K$6:$K$258,SMALL(IF(ADMIN!$G$6:$G$258=$K$1,ROW(ADMIN!$G$6:$G$258)-ROW(ADMIN!$G$6)+1),ROWS($A$1:A20))),"")</f>
        <v/>
      </c>
      <c r="B23" s="8" t="str" cm="1">
        <f t="array" aca="1" ref="B23" ca="1">IFERROR(IFERROR(INDEX(ADMIN!$K$6:$K$258,SMALL(IF($K$1=ADMIN!$G$6:$G$258,ROW(ADMIN!$K$6:$K$258)-MIN(ROW(ADMIN!$G$6:$G$258))+1,""),ROW()-3)),"")&amp;CHAR(10)&amp;IF(INDEX(ADMIN!$M$6:$M$258,SMALL(IF($K$1=ADMIN!$G$6:$G$258,ROW(ADMIN!$M$6:$M$258)-MIN(ROW(ADMIN!$G$6:$G$258))+1,""),ROW()-3))="0|-",""," ("&amp;INDEX(ADMIN!$M$6:$M$258,SMALL(IF($K$1=ADMIN!$G$6:$G$258,ROW(ADMIN!$M$6:$M$258)-MIN(ROW(ADMIN!$G$6:$G$258))+1,""),ROW()-3))&amp;")"),"")</f>
        <v/>
      </c>
      <c r="C23" s="8">
        <v>20</v>
      </c>
      <c r="D23" s="19"/>
      <c r="E23" s="409">
        <f ca="1">IFERROR(HLOOKUP(C23,Rango_Admin_DailyClas,3,FALSE),"-")</f>
        <v>18</v>
      </c>
      <c r="F23" s="448" t="str">
        <f ca="1">IFERROR(HLOOKUP(C23,Rango_Admin_DailyClas,5,FALSE),"-")</f>
        <v>Niels Mulder</v>
      </c>
      <c r="G23" s="22">
        <f ca="1">IFERROR(HLOOKUP(C23,Rango_Admin_DailyClas,4,FALSE),"-")</f>
        <v>50</v>
      </c>
      <c r="H23" s="429">
        <f ca="1">IFERROR(VLOOKUP(H$2,Rango_Admin_DailyPred,MATCH($F23,Rango_Admin_DailyPred_Primera,0)+1,0),"-")</f>
        <v>0</v>
      </c>
      <c r="I23" s="429">
        <f ca="1">IFERROR(VLOOKUP(I$2,Rango_Admin_DailyPred,MATCH($F23,Rango_Admin_DailyPred_Primera,0)+1,0),"-")</f>
        <v>0</v>
      </c>
      <c r="J23" s="429">
        <f ca="1">IFERROR(VLOOKUP(J$2,Rango_Admin_DailyPred,MATCH($F23,Rango_Admin_DailyPred_Primera,0)+1,0),"-")</f>
        <v>50</v>
      </c>
      <c r="K23" s="429">
        <f ca="1">IFERROR(VLOOKUP(K$2,Rango_Admin_DailyPred,MATCH($F23,Rango_Admin_DailyPred_Primera,0)+1,0),"-")</f>
        <v>0</v>
      </c>
      <c r="L23" s="429">
        <f ca="1">IFERROR(VLOOKUP(L$2,Rango_Admin_DailyPred,MATCH($F23,Rango_Admin_DailyPred_Primera,0)+1,0),"-")</f>
        <v>0</v>
      </c>
      <c r="M23" s="429">
        <f ca="1">IFERROR(VLOOKUP(M$2,Rango_Admin_DailyPred,MATCH($F23,Rango_Admin_DailyPred_Primera,0)+1,0),"-")</f>
        <v>0</v>
      </c>
      <c r="N23" s="429">
        <f ca="1">IFERROR(VLOOKUP(N$2,Rango_Admin_DailyPred,MATCH($F23,Rango_Admin_DailyPred_Primera,0)+1,0),"-")</f>
        <v>0</v>
      </c>
      <c r="O23" s="429">
        <f ca="1">IFERROR(VLOOKUP(O$2,Rango_Admin_DailyPred,MATCH($F23,Rango_Admin_DailyPred_Primera,0)+1,0),"-")</f>
        <v>0</v>
      </c>
      <c r="P23" s="429">
        <f ca="1">IFERROR(VLOOKUP(P$2,Rango_Admin_DailyPred,MATCH($F23,Rango_Admin_DailyPred_Primera,0)+1,0),"-")</f>
        <v>0</v>
      </c>
      <c r="Q23" s="429">
        <f ca="1">IFERROR(VLOOKUP(Q$2,Rango_Admin_DailyPred,MATCH($F23,Rango_Admin_DailyPred_Primera,0)+1,0),"-")</f>
        <v>0</v>
      </c>
      <c r="R23" s="429">
        <f ca="1">IFERROR(VLOOKUP(R$2,Rango_Admin_DailyPred,MATCH($F23,Rango_Admin_DailyPred_Primera,0)+1,0),"-")</f>
        <v>0</v>
      </c>
      <c r="S23" s="429" t="str">
        <f ca="1">IFERROR(VLOOKUP(S$2,Rango_Admin_DailyPred,MATCH($F23,Rango_Admin_DailyPred_Primera,0)+1,0),"-")</f>
        <v>-</v>
      </c>
      <c r="T23" s="429" t="str">
        <f ca="1">IFERROR(VLOOKUP(T$2,Rango_Admin_DailyPred,MATCH($F23,Rango_Admin_DailyPred_Primera,0)+1,0),"-")</f>
        <v>-</v>
      </c>
      <c r="U23" s="429" t="str">
        <f ca="1">IFERROR(VLOOKUP(U$2,Rango_Admin_DailyPred,MATCH($F23,Rango_Admin_DailyPred_Primera,0)+1,0),"-")</f>
        <v>-</v>
      </c>
      <c r="V23" s="429" t="str">
        <f ca="1">IFERROR(VLOOKUP(V$2,Rango_Admin_DailyPred,MATCH($F23,Rango_Admin_DailyPred_Primera,0)+1,0),"-")</f>
        <v>-</v>
      </c>
      <c r="W23" s="429" t="str">
        <f ca="1">IFERROR(VLOOKUP(W$2,Rango_Admin_DailyPred,MATCH($F23,Rango_Admin_DailyPred_Primera,0)+1,0),"-")</f>
        <v>-</v>
      </c>
      <c r="X23" s="429" t="str">
        <f ca="1">IFERROR(VLOOKUP(X$2,Rango_Admin_DailyPred,MATCH($F23,Rango_Admin_DailyPred_Primera,0)+1,0),"-")</f>
        <v>-</v>
      </c>
      <c r="Y23" s="429" t="str">
        <f ca="1">IFERROR(VLOOKUP(Y$2,Rango_Admin_DailyPred,MATCH($F23,Rango_Admin_DailyPred_Primera,0)+1,0),"-")</f>
        <v>-</v>
      </c>
      <c r="Z23" s="429" t="str">
        <f ca="1">IFERROR(VLOOKUP(Z$2,Rango_Admin_DailyPred,MATCH($F23,Rango_Admin_DailyPred_Primera,0)+1,0),"-")</f>
        <v>-</v>
      </c>
      <c r="AA23" s="429" t="str">
        <f ca="1">IFERROR(VLOOKUP(AA$2,Rango_Admin_DailyPred,MATCH($F23,Rango_Admin_DailyPred_Primera,0)+1,0),"-")</f>
        <v>-</v>
      </c>
      <c r="AB23" s="429" t="str">
        <f ca="1">IFERROR(VLOOKUP(AB$2,Rango_Admin_DailyPred,MATCH($F23,Rango_Admin_DailyPred_Primera,0)+1,0),"-")</f>
        <v>-</v>
      </c>
      <c r="AC23" s="429" t="str">
        <f ca="1">IFERROR(VLOOKUP(AC$2,Rango_Admin_DailyPred,MATCH($F23,Rango_Admin_DailyPred_Primera,0)+1,0),"-")</f>
        <v>-</v>
      </c>
      <c r="AD23" s="429" t="str">
        <f ca="1">IFERROR(VLOOKUP(AD$2,Rango_Admin_DailyPred,MATCH($F23,Rango_Admin_DailyPred_Primera,0)+1,0),"-")</f>
        <v>-</v>
      </c>
      <c r="AE23" s="429" t="str">
        <f ca="1">IFERROR(VLOOKUP(AE$2,Rango_Admin_DailyPred,MATCH($F23,Rango_Admin_DailyPred_Primera,0)+1,0),"-")</f>
        <v>-</v>
      </c>
      <c r="AF23" s="429" t="str">
        <f ca="1">IFERROR(VLOOKUP(AF$2,Rango_Admin_DailyPred,MATCH($F23,Rango_Admin_DailyPred_Primera,0)+1,0),"-")</f>
        <v>-</v>
      </c>
      <c r="AG23" s="429" t="str">
        <f ca="1">IFERROR(VLOOKUP(AG$2,Rango_Admin_DailyPred,MATCH($F23,Rango_Admin_DailyPred_Primera,0)+1,0),"-")</f>
        <v>-</v>
      </c>
      <c r="AH23" s="429" t="str">
        <f ca="1">IFERROR(VLOOKUP(AH$2,Rango_Admin_DailyPred,MATCH($F23,Rango_Admin_DailyPred_Primera,0)+1,0),"-")</f>
        <v>-</v>
      </c>
      <c r="AI23" s="429" t="str">
        <f ca="1">IFERROR(VLOOKUP(AI$2,Rango_Admin_DailyPred,MATCH($F23,Rango_Admin_DailyPred_Primera,0)+1,0),"-")</f>
        <v>-</v>
      </c>
      <c r="AJ23" s="429" t="str">
        <f ca="1">IFERROR(VLOOKUP(AJ$2,Rango_Admin_DailyPred,MATCH($F23,Rango_Admin_DailyPred_Primera,0)+1,0),"-")</f>
        <v>-</v>
      </c>
      <c r="AK23" s="429" t="str">
        <f ca="1">IFERROR(VLOOKUP(AK$2,Rango_Admin_DailyPred,MATCH($F23,Rango_Admin_DailyPred_Primera,0)+1,0),"-")</f>
        <v>-</v>
      </c>
      <c r="AL23" s="429" t="str">
        <f ca="1">IFERROR(VLOOKUP(AL$2,Rango_Admin_DailyPred,MATCH($F23,Rango_Admin_DailyPred_Primera,0)+1,0),"-")</f>
        <v>-</v>
      </c>
      <c r="AM23" s="429" t="str">
        <f ca="1">IFERROR(VLOOKUP(AM$2,Rango_Admin_DailyPred,MATCH($F23,Rango_Admin_DailyPred_Primera,0)+1,0),"-")</f>
        <v>-</v>
      </c>
      <c r="AN23" s="297"/>
    </row>
    <row r="24" spans="1:40">
      <c r="A24" s="8" t="str" cm="1">
        <f t="array" aca="1" ref="A24" ca="1">IFERROR(INDEX(ADMIN!$K$6:$K$258,SMALL(IF(ADMIN!$G$6:$G$258=$K$1,ROW(ADMIN!$G$6:$G$258)-ROW(ADMIN!$G$6)+1),ROWS($A$1:A21))),"")</f>
        <v/>
      </c>
      <c r="B24" s="8" t="str" cm="1">
        <f t="array" aca="1" ref="B24" ca="1">IFERROR(IFERROR(INDEX(ADMIN!$K$6:$K$258,SMALL(IF($K$1=ADMIN!$G$6:$G$258,ROW(ADMIN!$K$6:$K$258)-MIN(ROW(ADMIN!$G$6:$G$258))+1,""),ROW()-3)),"")&amp;CHAR(10)&amp;IF(INDEX(ADMIN!$M$6:$M$258,SMALL(IF($K$1=ADMIN!$G$6:$G$258,ROW(ADMIN!$M$6:$M$258)-MIN(ROW(ADMIN!$G$6:$G$258))+1,""),ROW()-3))="0|-",""," ("&amp;INDEX(ADMIN!$M$6:$M$258,SMALL(IF($K$1=ADMIN!$G$6:$G$258,ROW(ADMIN!$M$6:$M$258)-MIN(ROW(ADMIN!$G$6:$G$258))+1,""),ROW()-3))&amp;")"),"")</f>
        <v/>
      </c>
      <c r="C24" s="8">
        <v>21</v>
      </c>
      <c r="D24" s="19"/>
      <c r="E24" s="409">
        <f ca="1">IFERROR(HLOOKUP(C24,Rango_Admin_DailyClas,3,FALSE),"-")</f>
        <v>18</v>
      </c>
      <c r="F24" s="448" t="str">
        <f ca="1">IFERROR(HLOOKUP(C24,Rango_Admin_DailyClas,5,FALSE),"-")</f>
        <v>Niek Oonk</v>
      </c>
      <c r="G24" s="22">
        <f ca="1">IFERROR(HLOOKUP(C24,Rango_Admin_DailyClas,4,FALSE),"-")</f>
        <v>50</v>
      </c>
      <c r="H24" s="429">
        <f ca="1">IFERROR(VLOOKUP(H$2,Rango_Admin_DailyPred,MATCH($F24,Rango_Admin_DailyPred_Primera,0)+1,0),"-")</f>
        <v>0</v>
      </c>
      <c r="I24" s="429">
        <f ca="1">IFERROR(VLOOKUP(I$2,Rango_Admin_DailyPred,MATCH($F24,Rango_Admin_DailyPred_Primera,0)+1,0),"-")</f>
        <v>0</v>
      </c>
      <c r="J24" s="429">
        <f ca="1">IFERROR(VLOOKUP(J$2,Rango_Admin_DailyPred,MATCH($F24,Rango_Admin_DailyPred_Primera,0)+1,0),"-")</f>
        <v>50</v>
      </c>
      <c r="K24" s="429">
        <f ca="1">IFERROR(VLOOKUP(K$2,Rango_Admin_DailyPred,MATCH($F24,Rango_Admin_DailyPred_Primera,0)+1,0),"-")</f>
        <v>0</v>
      </c>
      <c r="L24" s="429">
        <f ca="1">IFERROR(VLOOKUP(L$2,Rango_Admin_DailyPred,MATCH($F24,Rango_Admin_DailyPred_Primera,0)+1,0),"-")</f>
        <v>0</v>
      </c>
      <c r="M24" s="429">
        <f ca="1">IFERROR(VLOOKUP(M$2,Rango_Admin_DailyPred,MATCH($F24,Rango_Admin_DailyPred_Primera,0)+1,0),"-")</f>
        <v>0</v>
      </c>
      <c r="N24" s="429">
        <f ca="1">IFERROR(VLOOKUP(N$2,Rango_Admin_DailyPred,MATCH($F24,Rango_Admin_DailyPred_Primera,0)+1,0),"-")</f>
        <v>0</v>
      </c>
      <c r="O24" s="429">
        <f ca="1">IFERROR(VLOOKUP(O$2,Rango_Admin_DailyPred,MATCH($F24,Rango_Admin_DailyPred_Primera,0)+1,0),"-")</f>
        <v>0</v>
      </c>
      <c r="P24" s="429">
        <f ca="1">IFERROR(VLOOKUP(P$2,Rango_Admin_DailyPred,MATCH($F24,Rango_Admin_DailyPred_Primera,0)+1,0),"-")</f>
        <v>0</v>
      </c>
      <c r="Q24" s="429">
        <f ca="1">IFERROR(VLOOKUP(Q$2,Rango_Admin_DailyPred,MATCH($F24,Rango_Admin_DailyPred_Primera,0)+1,0),"-")</f>
        <v>0</v>
      </c>
      <c r="R24" s="429">
        <f ca="1">IFERROR(VLOOKUP(R$2,Rango_Admin_DailyPred,MATCH($F24,Rango_Admin_DailyPred_Primera,0)+1,0),"-")</f>
        <v>0</v>
      </c>
      <c r="S24" s="429" t="str">
        <f ca="1">IFERROR(VLOOKUP(S$2,Rango_Admin_DailyPred,MATCH($F24,Rango_Admin_DailyPred_Primera,0)+1,0),"-")</f>
        <v>-</v>
      </c>
      <c r="T24" s="429" t="str">
        <f ca="1">IFERROR(VLOOKUP(T$2,Rango_Admin_DailyPred,MATCH($F24,Rango_Admin_DailyPred_Primera,0)+1,0),"-")</f>
        <v>-</v>
      </c>
      <c r="U24" s="429" t="str">
        <f ca="1">IFERROR(VLOOKUP(U$2,Rango_Admin_DailyPred,MATCH($F24,Rango_Admin_DailyPred_Primera,0)+1,0),"-")</f>
        <v>-</v>
      </c>
      <c r="V24" s="429" t="str">
        <f ca="1">IFERROR(VLOOKUP(V$2,Rango_Admin_DailyPred,MATCH($F24,Rango_Admin_DailyPred_Primera,0)+1,0),"-")</f>
        <v>-</v>
      </c>
      <c r="W24" s="429" t="str">
        <f ca="1">IFERROR(VLOOKUP(W$2,Rango_Admin_DailyPred,MATCH($F24,Rango_Admin_DailyPred_Primera,0)+1,0),"-")</f>
        <v>-</v>
      </c>
      <c r="X24" s="429" t="str">
        <f ca="1">IFERROR(VLOOKUP(X$2,Rango_Admin_DailyPred,MATCH($F24,Rango_Admin_DailyPred_Primera,0)+1,0),"-")</f>
        <v>-</v>
      </c>
      <c r="Y24" s="429" t="str">
        <f ca="1">IFERROR(VLOOKUP(Y$2,Rango_Admin_DailyPred,MATCH($F24,Rango_Admin_DailyPred_Primera,0)+1,0),"-")</f>
        <v>-</v>
      </c>
      <c r="Z24" s="429" t="str">
        <f ca="1">IFERROR(VLOOKUP(Z$2,Rango_Admin_DailyPred,MATCH($F24,Rango_Admin_DailyPred_Primera,0)+1,0),"-")</f>
        <v>-</v>
      </c>
      <c r="AA24" s="429" t="str">
        <f ca="1">IFERROR(VLOOKUP(AA$2,Rango_Admin_DailyPred,MATCH($F24,Rango_Admin_DailyPred_Primera,0)+1,0),"-")</f>
        <v>-</v>
      </c>
      <c r="AB24" s="429" t="str">
        <f ca="1">IFERROR(VLOOKUP(AB$2,Rango_Admin_DailyPred,MATCH($F24,Rango_Admin_DailyPred_Primera,0)+1,0),"-")</f>
        <v>-</v>
      </c>
      <c r="AC24" s="429" t="str">
        <f ca="1">IFERROR(VLOOKUP(AC$2,Rango_Admin_DailyPred,MATCH($F24,Rango_Admin_DailyPred_Primera,0)+1,0),"-")</f>
        <v>-</v>
      </c>
      <c r="AD24" s="429" t="str">
        <f ca="1">IFERROR(VLOOKUP(AD$2,Rango_Admin_DailyPred,MATCH($F24,Rango_Admin_DailyPred_Primera,0)+1,0),"-")</f>
        <v>-</v>
      </c>
      <c r="AE24" s="429" t="str">
        <f ca="1">IFERROR(VLOOKUP(AE$2,Rango_Admin_DailyPred,MATCH($F24,Rango_Admin_DailyPred_Primera,0)+1,0),"-")</f>
        <v>-</v>
      </c>
      <c r="AF24" s="429" t="str">
        <f ca="1">IFERROR(VLOOKUP(AF$2,Rango_Admin_DailyPred,MATCH($F24,Rango_Admin_DailyPred_Primera,0)+1,0),"-")</f>
        <v>-</v>
      </c>
      <c r="AG24" s="429" t="str">
        <f ca="1">IFERROR(VLOOKUP(AG$2,Rango_Admin_DailyPred,MATCH($F24,Rango_Admin_DailyPred_Primera,0)+1,0),"-")</f>
        <v>-</v>
      </c>
      <c r="AH24" s="429" t="str">
        <f ca="1">IFERROR(VLOOKUP(AH$2,Rango_Admin_DailyPred,MATCH($F24,Rango_Admin_DailyPred_Primera,0)+1,0),"-")</f>
        <v>-</v>
      </c>
      <c r="AI24" s="429" t="str">
        <f ca="1">IFERROR(VLOOKUP(AI$2,Rango_Admin_DailyPred,MATCH($F24,Rango_Admin_DailyPred_Primera,0)+1,0),"-")</f>
        <v>-</v>
      </c>
      <c r="AJ24" s="429" t="str">
        <f ca="1">IFERROR(VLOOKUP(AJ$2,Rango_Admin_DailyPred,MATCH($F24,Rango_Admin_DailyPred_Primera,0)+1,0),"-")</f>
        <v>-</v>
      </c>
      <c r="AK24" s="429" t="str">
        <f ca="1">IFERROR(VLOOKUP(AK$2,Rango_Admin_DailyPred,MATCH($F24,Rango_Admin_DailyPred_Primera,0)+1,0),"-")</f>
        <v>-</v>
      </c>
      <c r="AL24" s="429" t="str">
        <f ca="1">IFERROR(VLOOKUP(AL$2,Rango_Admin_DailyPred,MATCH($F24,Rango_Admin_DailyPred_Primera,0)+1,0),"-")</f>
        <v>-</v>
      </c>
      <c r="AM24" s="429" t="str">
        <f ca="1">IFERROR(VLOOKUP(AM$2,Rango_Admin_DailyPred,MATCH($F24,Rango_Admin_DailyPred_Primera,0)+1,0),"-")</f>
        <v>-</v>
      </c>
      <c r="AN24" s="297"/>
    </row>
    <row r="25" spans="1:40">
      <c r="A25" s="8" t="str" cm="1">
        <f t="array" aca="1" ref="A25" ca="1">IFERROR(INDEX(ADMIN!$K$6:$K$258,SMALL(IF(ADMIN!$G$6:$G$258=$K$1,ROW(ADMIN!$G$6:$G$258)-ROW(ADMIN!$G$6)+1),ROWS($A$1:A22))),"")</f>
        <v/>
      </c>
      <c r="B25" s="8" t="str" cm="1">
        <f t="array" aca="1" ref="B25" ca="1">IFERROR(IFERROR(INDEX(ADMIN!$K$6:$K$258,SMALL(IF($K$1=ADMIN!$G$6:$G$258,ROW(ADMIN!$K$6:$K$258)-MIN(ROW(ADMIN!$G$6:$G$258))+1,""),ROW()-3)),"")&amp;CHAR(10)&amp;IF(INDEX(ADMIN!$M$6:$M$258,SMALL(IF($K$1=ADMIN!$G$6:$G$258,ROW(ADMIN!$M$6:$M$258)-MIN(ROW(ADMIN!$G$6:$G$258))+1,""),ROW()-3))="0|-",""," ("&amp;INDEX(ADMIN!$M$6:$M$258,SMALL(IF($K$1=ADMIN!$G$6:$G$258,ROW(ADMIN!$M$6:$M$258)-MIN(ROW(ADMIN!$G$6:$G$258))+1,""),ROW()-3))&amp;")"),"")</f>
        <v/>
      </c>
      <c r="C25" s="8">
        <v>22</v>
      </c>
      <c r="D25" s="19"/>
      <c r="E25" s="409">
        <f ca="1">IFERROR(HLOOKUP(C25,Rango_Admin_DailyClas,3,FALSE),"-")</f>
        <v>18</v>
      </c>
      <c r="F25" s="448" t="str">
        <f ca="1">IFERROR(HLOOKUP(C25,Rango_Admin_DailyClas,5,FALSE),"-")</f>
        <v>Luca Paloschi</v>
      </c>
      <c r="G25" s="22">
        <f ca="1">IFERROR(HLOOKUP(C25,Rango_Admin_DailyClas,4,FALSE),"-")</f>
        <v>50</v>
      </c>
      <c r="H25" s="429">
        <f ca="1">IFERROR(VLOOKUP(H$2,Rango_Admin_DailyPred,MATCH($F25,Rango_Admin_DailyPred_Primera,0)+1,0),"-")</f>
        <v>0</v>
      </c>
      <c r="I25" s="429">
        <f ca="1">IFERROR(VLOOKUP(I$2,Rango_Admin_DailyPred,MATCH($F25,Rango_Admin_DailyPred_Primera,0)+1,0),"-")</f>
        <v>0</v>
      </c>
      <c r="J25" s="429">
        <f ca="1">IFERROR(VLOOKUP(J$2,Rango_Admin_DailyPred,MATCH($F25,Rango_Admin_DailyPred_Primera,0)+1,0),"-")</f>
        <v>50</v>
      </c>
      <c r="K25" s="429">
        <f ca="1">IFERROR(VLOOKUP(K$2,Rango_Admin_DailyPred,MATCH($F25,Rango_Admin_DailyPred_Primera,0)+1,0),"-")</f>
        <v>0</v>
      </c>
      <c r="L25" s="429">
        <f ca="1">IFERROR(VLOOKUP(L$2,Rango_Admin_DailyPred,MATCH($F25,Rango_Admin_DailyPred_Primera,0)+1,0),"-")</f>
        <v>0</v>
      </c>
      <c r="M25" s="429">
        <f ca="1">IFERROR(VLOOKUP(M$2,Rango_Admin_DailyPred,MATCH($F25,Rango_Admin_DailyPred_Primera,0)+1,0),"-")</f>
        <v>0</v>
      </c>
      <c r="N25" s="429">
        <f ca="1">IFERROR(VLOOKUP(N$2,Rango_Admin_DailyPred,MATCH($F25,Rango_Admin_DailyPred_Primera,0)+1,0),"-")</f>
        <v>0</v>
      </c>
      <c r="O25" s="429">
        <f ca="1">IFERROR(VLOOKUP(O$2,Rango_Admin_DailyPred,MATCH($F25,Rango_Admin_DailyPred_Primera,0)+1,0),"-")</f>
        <v>0</v>
      </c>
      <c r="P25" s="429">
        <f ca="1">IFERROR(VLOOKUP(P$2,Rango_Admin_DailyPred,MATCH($F25,Rango_Admin_DailyPred_Primera,0)+1,0),"-")</f>
        <v>0</v>
      </c>
      <c r="Q25" s="429">
        <f ca="1">IFERROR(VLOOKUP(Q$2,Rango_Admin_DailyPred,MATCH($F25,Rango_Admin_DailyPred_Primera,0)+1,0),"-")</f>
        <v>0</v>
      </c>
      <c r="R25" s="429">
        <f ca="1">IFERROR(VLOOKUP(R$2,Rango_Admin_DailyPred,MATCH($F25,Rango_Admin_DailyPred_Primera,0)+1,0),"-")</f>
        <v>0</v>
      </c>
      <c r="S25" s="429" t="str">
        <f ca="1">IFERROR(VLOOKUP(S$2,Rango_Admin_DailyPred,MATCH($F25,Rango_Admin_DailyPred_Primera,0)+1,0),"-")</f>
        <v>-</v>
      </c>
      <c r="T25" s="429" t="str">
        <f ca="1">IFERROR(VLOOKUP(T$2,Rango_Admin_DailyPred,MATCH($F25,Rango_Admin_DailyPred_Primera,0)+1,0),"-")</f>
        <v>-</v>
      </c>
      <c r="U25" s="429" t="str">
        <f ca="1">IFERROR(VLOOKUP(U$2,Rango_Admin_DailyPred,MATCH($F25,Rango_Admin_DailyPred_Primera,0)+1,0),"-")</f>
        <v>-</v>
      </c>
      <c r="V25" s="429" t="str">
        <f ca="1">IFERROR(VLOOKUP(V$2,Rango_Admin_DailyPred,MATCH($F25,Rango_Admin_DailyPred_Primera,0)+1,0),"-")</f>
        <v>-</v>
      </c>
      <c r="W25" s="429" t="str">
        <f ca="1">IFERROR(VLOOKUP(W$2,Rango_Admin_DailyPred,MATCH($F25,Rango_Admin_DailyPred_Primera,0)+1,0),"-")</f>
        <v>-</v>
      </c>
      <c r="X25" s="429" t="str">
        <f ca="1">IFERROR(VLOOKUP(X$2,Rango_Admin_DailyPred,MATCH($F25,Rango_Admin_DailyPred_Primera,0)+1,0),"-")</f>
        <v>-</v>
      </c>
      <c r="Y25" s="429" t="str">
        <f ca="1">IFERROR(VLOOKUP(Y$2,Rango_Admin_DailyPred,MATCH($F25,Rango_Admin_DailyPred_Primera,0)+1,0),"-")</f>
        <v>-</v>
      </c>
      <c r="Z25" s="429" t="str">
        <f ca="1">IFERROR(VLOOKUP(Z$2,Rango_Admin_DailyPred,MATCH($F25,Rango_Admin_DailyPred_Primera,0)+1,0),"-")</f>
        <v>-</v>
      </c>
      <c r="AA25" s="429" t="str">
        <f ca="1">IFERROR(VLOOKUP(AA$2,Rango_Admin_DailyPred,MATCH($F25,Rango_Admin_DailyPred_Primera,0)+1,0),"-")</f>
        <v>-</v>
      </c>
      <c r="AB25" s="429" t="str">
        <f ca="1">IFERROR(VLOOKUP(AB$2,Rango_Admin_DailyPred,MATCH($F25,Rango_Admin_DailyPred_Primera,0)+1,0),"-")</f>
        <v>-</v>
      </c>
      <c r="AC25" s="429" t="str">
        <f ca="1">IFERROR(VLOOKUP(AC$2,Rango_Admin_DailyPred,MATCH($F25,Rango_Admin_DailyPred_Primera,0)+1,0),"-")</f>
        <v>-</v>
      </c>
      <c r="AD25" s="429" t="str">
        <f ca="1">IFERROR(VLOOKUP(AD$2,Rango_Admin_DailyPred,MATCH($F25,Rango_Admin_DailyPred_Primera,0)+1,0),"-")</f>
        <v>-</v>
      </c>
      <c r="AE25" s="429" t="str">
        <f ca="1">IFERROR(VLOOKUP(AE$2,Rango_Admin_DailyPred,MATCH($F25,Rango_Admin_DailyPred_Primera,0)+1,0),"-")</f>
        <v>-</v>
      </c>
      <c r="AF25" s="429" t="str">
        <f ca="1">IFERROR(VLOOKUP(AF$2,Rango_Admin_DailyPred,MATCH($F25,Rango_Admin_DailyPred_Primera,0)+1,0),"-")</f>
        <v>-</v>
      </c>
      <c r="AG25" s="429" t="str">
        <f ca="1">IFERROR(VLOOKUP(AG$2,Rango_Admin_DailyPred,MATCH($F25,Rango_Admin_DailyPred_Primera,0)+1,0),"-")</f>
        <v>-</v>
      </c>
      <c r="AH25" s="429" t="str">
        <f ca="1">IFERROR(VLOOKUP(AH$2,Rango_Admin_DailyPred,MATCH($F25,Rango_Admin_DailyPred_Primera,0)+1,0),"-")</f>
        <v>-</v>
      </c>
      <c r="AI25" s="429" t="str">
        <f ca="1">IFERROR(VLOOKUP(AI$2,Rango_Admin_DailyPred,MATCH($F25,Rango_Admin_DailyPred_Primera,0)+1,0),"-")</f>
        <v>-</v>
      </c>
      <c r="AJ25" s="429" t="str">
        <f ca="1">IFERROR(VLOOKUP(AJ$2,Rango_Admin_DailyPred,MATCH($F25,Rango_Admin_DailyPred_Primera,0)+1,0),"-")</f>
        <v>-</v>
      </c>
      <c r="AK25" s="429" t="str">
        <f ca="1">IFERROR(VLOOKUP(AK$2,Rango_Admin_DailyPred,MATCH($F25,Rango_Admin_DailyPred_Primera,0)+1,0),"-")</f>
        <v>-</v>
      </c>
      <c r="AL25" s="429" t="str">
        <f ca="1">IFERROR(VLOOKUP(AL$2,Rango_Admin_DailyPred,MATCH($F25,Rango_Admin_DailyPred_Primera,0)+1,0),"-")</f>
        <v>-</v>
      </c>
      <c r="AM25" s="429" t="str">
        <f ca="1">IFERROR(VLOOKUP(AM$2,Rango_Admin_DailyPred,MATCH($F25,Rango_Admin_DailyPred_Primera,0)+1,0),"-")</f>
        <v>-</v>
      </c>
      <c r="AN25" s="297"/>
    </row>
    <row r="26" spans="1:40">
      <c r="A26" s="8" t="str" cm="1">
        <f t="array" aca="1" ref="A26" ca="1">IFERROR(INDEX(ADMIN!$K$6:$K$258,SMALL(IF(ADMIN!$G$6:$G$258=$K$1,ROW(ADMIN!$G$6:$G$258)-ROW(ADMIN!$G$6)+1),ROWS($A$1:A23))),"")</f>
        <v/>
      </c>
      <c r="B26" s="8" t="str" cm="1">
        <f t="array" aca="1" ref="B26" ca="1">IFERROR(IFERROR(INDEX(ADMIN!$K$6:$K$258,SMALL(IF($K$1=ADMIN!$G$6:$G$258,ROW(ADMIN!$K$6:$K$258)-MIN(ROW(ADMIN!$G$6:$G$258))+1,""),ROW()-3)),"")&amp;CHAR(10)&amp;IF(INDEX(ADMIN!$M$6:$M$258,SMALL(IF($K$1=ADMIN!$G$6:$G$258,ROW(ADMIN!$M$6:$M$258)-MIN(ROW(ADMIN!$G$6:$G$258))+1,""),ROW()-3))="0|-",""," ("&amp;INDEX(ADMIN!$M$6:$M$258,SMALL(IF($K$1=ADMIN!$G$6:$G$258,ROW(ADMIN!$M$6:$M$258)-MIN(ROW(ADMIN!$G$6:$G$258))+1,""),ROW()-3))&amp;")"),"")</f>
        <v/>
      </c>
      <c r="C26" s="8">
        <v>23</v>
      </c>
      <c r="D26" s="19"/>
      <c r="E26" s="409">
        <f ca="1">IFERROR(HLOOKUP(C26,Rango_Admin_DailyClas,3,FALSE),"-")</f>
        <v>23</v>
      </c>
      <c r="F26" s="448" t="str">
        <f ca="1">IFERROR(HLOOKUP(C26,Rango_Admin_DailyClas,5,FALSE),"-")</f>
        <v>Wouter Schiphorst</v>
      </c>
      <c r="G26" s="22">
        <f ca="1">IFERROR(HLOOKUP(C26,Rango_Admin_DailyClas,4,FALSE),"-")</f>
        <v>44</v>
      </c>
      <c r="H26" s="429">
        <f ca="1">IFERROR(VLOOKUP(H$2,Rango_Admin_DailyPred,MATCH($F26,Rango_Admin_DailyPred_Primera,0)+1,0),"-")</f>
        <v>0</v>
      </c>
      <c r="I26" s="429">
        <f ca="1">IFERROR(VLOOKUP(I$2,Rango_Admin_DailyPred,MATCH($F26,Rango_Admin_DailyPred_Primera,0)+1,0),"-")</f>
        <v>0</v>
      </c>
      <c r="J26" s="429">
        <f ca="1">IFERROR(VLOOKUP(J$2,Rango_Admin_DailyPred,MATCH($F26,Rango_Admin_DailyPred_Primera,0)+1,0),"-")</f>
        <v>0</v>
      </c>
      <c r="K26" s="429">
        <f ca="1">IFERROR(VLOOKUP(K$2,Rango_Admin_DailyPred,MATCH($F26,Rango_Admin_DailyPred_Primera,0)+1,0),"-")</f>
        <v>30</v>
      </c>
      <c r="L26" s="429">
        <f ca="1">IFERROR(VLOOKUP(L$2,Rango_Admin_DailyPred,MATCH($F26,Rango_Admin_DailyPred_Primera,0)+1,0),"-")</f>
        <v>0</v>
      </c>
      <c r="M26" s="429">
        <f ca="1">IFERROR(VLOOKUP(M$2,Rango_Admin_DailyPred,MATCH($F26,Rango_Admin_DailyPred_Primera,0)+1,0),"-")</f>
        <v>0</v>
      </c>
      <c r="N26" s="429">
        <f ca="1">IFERROR(VLOOKUP(N$2,Rango_Admin_DailyPred,MATCH($F26,Rango_Admin_DailyPred_Primera,0)+1,0),"-")</f>
        <v>10</v>
      </c>
      <c r="O26" s="429">
        <f ca="1">IFERROR(VLOOKUP(O$2,Rango_Admin_DailyPred,MATCH($F26,Rango_Admin_DailyPred_Primera,0)+1,0),"-")</f>
        <v>0</v>
      </c>
      <c r="P26" s="429">
        <f ca="1">IFERROR(VLOOKUP(P$2,Rango_Admin_DailyPred,MATCH($F26,Rango_Admin_DailyPred_Primera,0)+1,0),"-")</f>
        <v>0</v>
      </c>
      <c r="Q26" s="429">
        <f ca="1">IFERROR(VLOOKUP(Q$2,Rango_Admin_DailyPred,MATCH($F26,Rango_Admin_DailyPred_Primera,0)+1,0),"-")</f>
        <v>0</v>
      </c>
      <c r="R26" s="429">
        <f ca="1">IFERROR(VLOOKUP(R$2,Rango_Admin_DailyPred,MATCH($F26,Rango_Admin_DailyPred_Primera,0)+1,0),"-")</f>
        <v>4</v>
      </c>
      <c r="S26" s="429" t="str">
        <f ca="1">IFERROR(VLOOKUP(S$2,Rango_Admin_DailyPred,MATCH($F26,Rango_Admin_DailyPred_Primera,0)+1,0),"-")</f>
        <v>-</v>
      </c>
      <c r="T26" s="429" t="str">
        <f ca="1">IFERROR(VLOOKUP(T$2,Rango_Admin_DailyPred,MATCH($F26,Rango_Admin_DailyPred_Primera,0)+1,0),"-")</f>
        <v>-</v>
      </c>
      <c r="U26" s="429" t="str">
        <f ca="1">IFERROR(VLOOKUP(U$2,Rango_Admin_DailyPred,MATCH($F26,Rango_Admin_DailyPred_Primera,0)+1,0),"-")</f>
        <v>-</v>
      </c>
      <c r="V26" s="429" t="str">
        <f ca="1">IFERROR(VLOOKUP(V$2,Rango_Admin_DailyPred,MATCH($F26,Rango_Admin_DailyPred_Primera,0)+1,0),"-")</f>
        <v>-</v>
      </c>
      <c r="W26" s="429" t="str">
        <f ca="1">IFERROR(VLOOKUP(W$2,Rango_Admin_DailyPred,MATCH($F26,Rango_Admin_DailyPred_Primera,0)+1,0),"-")</f>
        <v>-</v>
      </c>
      <c r="X26" s="429" t="str">
        <f ca="1">IFERROR(VLOOKUP(X$2,Rango_Admin_DailyPred,MATCH($F26,Rango_Admin_DailyPred_Primera,0)+1,0),"-")</f>
        <v>-</v>
      </c>
      <c r="Y26" s="429" t="str">
        <f ca="1">IFERROR(VLOOKUP(Y$2,Rango_Admin_DailyPred,MATCH($F26,Rango_Admin_DailyPred_Primera,0)+1,0),"-")</f>
        <v>-</v>
      </c>
      <c r="Z26" s="429" t="str">
        <f ca="1">IFERROR(VLOOKUP(Z$2,Rango_Admin_DailyPred,MATCH($F26,Rango_Admin_DailyPred_Primera,0)+1,0),"-")</f>
        <v>-</v>
      </c>
      <c r="AA26" s="429" t="str">
        <f ca="1">IFERROR(VLOOKUP(AA$2,Rango_Admin_DailyPred,MATCH($F26,Rango_Admin_DailyPred_Primera,0)+1,0),"-")</f>
        <v>-</v>
      </c>
      <c r="AB26" s="429" t="str">
        <f ca="1">IFERROR(VLOOKUP(AB$2,Rango_Admin_DailyPred,MATCH($F26,Rango_Admin_DailyPred_Primera,0)+1,0),"-")</f>
        <v>-</v>
      </c>
      <c r="AC26" s="429" t="str">
        <f ca="1">IFERROR(VLOOKUP(AC$2,Rango_Admin_DailyPred,MATCH($F26,Rango_Admin_DailyPred_Primera,0)+1,0),"-")</f>
        <v>-</v>
      </c>
      <c r="AD26" s="429" t="str">
        <f ca="1">IFERROR(VLOOKUP(AD$2,Rango_Admin_DailyPred,MATCH($F26,Rango_Admin_DailyPred_Primera,0)+1,0),"-")</f>
        <v>-</v>
      </c>
      <c r="AE26" s="429" t="str">
        <f ca="1">IFERROR(VLOOKUP(AE$2,Rango_Admin_DailyPred,MATCH($F26,Rango_Admin_DailyPred_Primera,0)+1,0),"-")</f>
        <v>-</v>
      </c>
      <c r="AF26" s="429" t="str">
        <f ca="1">IFERROR(VLOOKUP(AF$2,Rango_Admin_DailyPred,MATCH($F26,Rango_Admin_DailyPred_Primera,0)+1,0),"-")</f>
        <v>-</v>
      </c>
      <c r="AG26" s="429" t="str">
        <f ca="1">IFERROR(VLOOKUP(AG$2,Rango_Admin_DailyPred,MATCH($F26,Rango_Admin_DailyPred_Primera,0)+1,0),"-")</f>
        <v>-</v>
      </c>
      <c r="AH26" s="429" t="str">
        <f ca="1">IFERROR(VLOOKUP(AH$2,Rango_Admin_DailyPred,MATCH($F26,Rango_Admin_DailyPred_Primera,0)+1,0),"-")</f>
        <v>-</v>
      </c>
      <c r="AI26" s="429" t="str">
        <f ca="1">IFERROR(VLOOKUP(AI$2,Rango_Admin_DailyPred,MATCH($F26,Rango_Admin_DailyPred_Primera,0)+1,0),"-")</f>
        <v>-</v>
      </c>
      <c r="AJ26" s="429" t="str">
        <f ca="1">IFERROR(VLOOKUP(AJ$2,Rango_Admin_DailyPred,MATCH($F26,Rango_Admin_DailyPred_Primera,0)+1,0),"-")</f>
        <v>-</v>
      </c>
      <c r="AK26" s="429" t="str">
        <f ca="1">IFERROR(VLOOKUP(AK$2,Rango_Admin_DailyPred,MATCH($F26,Rango_Admin_DailyPred_Primera,0)+1,0),"-")</f>
        <v>-</v>
      </c>
      <c r="AL26" s="429" t="str">
        <f ca="1">IFERROR(VLOOKUP(AL$2,Rango_Admin_DailyPred,MATCH($F26,Rango_Admin_DailyPred_Primera,0)+1,0),"-")</f>
        <v>-</v>
      </c>
      <c r="AM26" s="429" t="str">
        <f ca="1">IFERROR(VLOOKUP(AM$2,Rango_Admin_DailyPred,MATCH($F26,Rango_Admin_DailyPred_Primera,0)+1,0),"-")</f>
        <v>-</v>
      </c>
      <c r="AN26" s="297"/>
    </row>
    <row r="27" spans="1:40">
      <c r="A27" s="8" t="str" cm="1">
        <f t="array" aca="1" ref="A27" ca="1">IFERROR(INDEX(ADMIN!$K$6:$K$258,SMALL(IF(ADMIN!$G$6:$G$258=$K$1,ROW(ADMIN!$G$6:$G$258)-ROW(ADMIN!$G$6)+1),ROWS($A$1:A24))),"")</f>
        <v/>
      </c>
      <c r="B27" s="8" t="str" cm="1">
        <f t="array" aca="1" ref="B27" ca="1">IFERROR(IFERROR(INDEX(ADMIN!$K$6:$K$258,SMALL(IF($K$1=ADMIN!$G$6:$G$258,ROW(ADMIN!$K$6:$K$258)-MIN(ROW(ADMIN!$G$6:$G$258))+1,""),ROW()-3)),"")&amp;CHAR(10)&amp;IF(INDEX(ADMIN!$M$6:$M$258,SMALL(IF($K$1=ADMIN!$G$6:$G$258,ROW(ADMIN!$M$6:$M$258)-MIN(ROW(ADMIN!$G$6:$G$258))+1,""),ROW()-3))="0|-",""," ("&amp;INDEX(ADMIN!$M$6:$M$258,SMALL(IF($K$1=ADMIN!$G$6:$G$258,ROW(ADMIN!$M$6:$M$258)-MIN(ROW(ADMIN!$G$6:$G$258))+1,""),ROW()-3))&amp;")"),"")</f>
        <v/>
      </c>
      <c r="C27" s="8">
        <v>24</v>
      </c>
      <c r="D27" s="19"/>
      <c r="E27" s="409">
        <f ca="1">IFERROR(HLOOKUP(C27,Rango_Admin_DailyClas,3,FALSE),"-")</f>
        <v>24</v>
      </c>
      <c r="F27" s="448" t="str">
        <f ca="1">IFERROR(HLOOKUP(C27,Rango_Admin_DailyClas,5,FALSE),"-")</f>
        <v>Albert Ros</v>
      </c>
      <c r="G27" s="22">
        <f ca="1">IFERROR(HLOOKUP(C27,Rango_Admin_DailyClas,4,FALSE),"-")</f>
        <v>40</v>
      </c>
      <c r="H27" s="429">
        <f ca="1">IFERROR(VLOOKUP(H$2,Rango_Admin_DailyPred,MATCH($F27,Rango_Admin_DailyPred_Primera,0)+1,0),"-")</f>
        <v>0</v>
      </c>
      <c r="I27" s="429">
        <f ca="1">IFERROR(VLOOKUP(I$2,Rango_Admin_DailyPred,MATCH($F27,Rango_Admin_DailyPred_Primera,0)+1,0),"-")</f>
        <v>0</v>
      </c>
      <c r="J27" s="429">
        <f ca="1">IFERROR(VLOOKUP(J$2,Rango_Admin_DailyPred,MATCH($F27,Rango_Admin_DailyPred_Primera,0)+1,0),"-")</f>
        <v>0</v>
      </c>
      <c r="K27" s="429">
        <f ca="1">IFERROR(VLOOKUP(K$2,Rango_Admin_DailyPred,MATCH($F27,Rango_Admin_DailyPred_Primera,0)+1,0),"-")</f>
        <v>30</v>
      </c>
      <c r="L27" s="429">
        <f ca="1">IFERROR(VLOOKUP(L$2,Rango_Admin_DailyPred,MATCH($F27,Rango_Admin_DailyPred_Primera,0)+1,0),"-")</f>
        <v>0</v>
      </c>
      <c r="M27" s="429">
        <f ca="1">IFERROR(VLOOKUP(M$2,Rango_Admin_DailyPred,MATCH($F27,Rango_Admin_DailyPred_Primera,0)+1,0),"-")</f>
        <v>0</v>
      </c>
      <c r="N27" s="429">
        <f ca="1">IFERROR(VLOOKUP(N$2,Rango_Admin_DailyPred,MATCH($F27,Rango_Admin_DailyPred_Primera,0)+1,0),"-")</f>
        <v>10</v>
      </c>
      <c r="O27" s="429">
        <f ca="1">IFERROR(VLOOKUP(O$2,Rango_Admin_DailyPred,MATCH($F27,Rango_Admin_DailyPred_Primera,0)+1,0),"-")</f>
        <v>0</v>
      </c>
      <c r="P27" s="429">
        <f ca="1">IFERROR(VLOOKUP(P$2,Rango_Admin_DailyPred,MATCH($F27,Rango_Admin_DailyPred_Primera,0)+1,0),"-")</f>
        <v>0</v>
      </c>
      <c r="Q27" s="429">
        <f ca="1">IFERROR(VLOOKUP(Q$2,Rango_Admin_DailyPred,MATCH($F27,Rango_Admin_DailyPred_Primera,0)+1,0),"-")</f>
        <v>0</v>
      </c>
      <c r="R27" s="429">
        <f ca="1">IFERROR(VLOOKUP(R$2,Rango_Admin_DailyPred,MATCH($F27,Rango_Admin_DailyPred_Primera,0)+1,0),"-")</f>
        <v>0</v>
      </c>
      <c r="S27" s="429" t="str">
        <f ca="1">IFERROR(VLOOKUP(S$2,Rango_Admin_DailyPred,MATCH($F27,Rango_Admin_DailyPred_Primera,0)+1,0),"-")</f>
        <v>-</v>
      </c>
      <c r="T27" s="429" t="str">
        <f ca="1">IFERROR(VLOOKUP(T$2,Rango_Admin_DailyPred,MATCH($F27,Rango_Admin_DailyPred_Primera,0)+1,0),"-")</f>
        <v>-</v>
      </c>
      <c r="U27" s="429" t="str">
        <f ca="1">IFERROR(VLOOKUP(U$2,Rango_Admin_DailyPred,MATCH($F27,Rango_Admin_DailyPred_Primera,0)+1,0),"-")</f>
        <v>-</v>
      </c>
      <c r="V27" s="429" t="str">
        <f ca="1">IFERROR(VLOOKUP(V$2,Rango_Admin_DailyPred,MATCH($F27,Rango_Admin_DailyPred_Primera,0)+1,0),"-")</f>
        <v>-</v>
      </c>
      <c r="W27" s="429" t="str">
        <f ca="1">IFERROR(VLOOKUP(W$2,Rango_Admin_DailyPred,MATCH($F27,Rango_Admin_DailyPred_Primera,0)+1,0),"-")</f>
        <v>-</v>
      </c>
      <c r="X27" s="429" t="str">
        <f ca="1">IFERROR(VLOOKUP(X$2,Rango_Admin_DailyPred,MATCH($F27,Rango_Admin_DailyPred_Primera,0)+1,0),"-")</f>
        <v>-</v>
      </c>
      <c r="Y27" s="429" t="str">
        <f ca="1">IFERROR(VLOOKUP(Y$2,Rango_Admin_DailyPred,MATCH($F27,Rango_Admin_DailyPred_Primera,0)+1,0),"-")</f>
        <v>-</v>
      </c>
      <c r="Z27" s="429" t="str">
        <f ca="1">IFERROR(VLOOKUP(Z$2,Rango_Admin_DailyPred,MATCH($F27,Rango_Admin_DailyPred_Primera,0)+1,0),"-")</f>
        <v>-</v>
      </c>
      <c r="AA27" s="429" t="str">
        <f ca="1">IFERROR(VLOOKUP(AA$2,Rango_Admin_DailyPred,MATCH($F27,Rango_Admin_DailyPred_Primera,0)+1,0),"-")</f>
        <v>-</v>
      </c>
      <c r="AB27" s="429" t="str">
        <f ca="1">IFERROR(VLOOKUP(AB$2,Rango_Admin_DailyPred,MATCH($F27,Rango_Admin_DailyPred_Primera,0)+1,0),"-")</f>
        <v>-</v>
      </c>
      <c r="AC27" s="429" t="str">
        <f ca="1">IFERROR(VLOOKUP(AC$2,Rango_Admin_DailyPred,MATCH($F27,Rango_Admin_DailyPred_Primera,0)+1,0),"-")</f>
        <v>-</v>
      </c>
      <c r="AD27" s="429" t="str">
        <f ca="1">IFERROR(VLOOKUP(AD$2,Rango_Admin_DailyPred,MATCH($F27,Rango_Admin_DailyPred_Primera,0)+1,0),"-")</f>
        <v>-</v>
      </c>
      <c r="AE27" s="429" t="str">
        <f ca="1">IFERROR(VLOOKUP(AE$2,Rango_Admin_DailyPred,MATCH($F27,Rango_Admin_DailyPred_Primera,0)+1,0),"-")</f>
        <v>-</v>
      </c>
      <c r="AF27" s="429" t="str">
        <f ca="1">IFERROR(VLOOKUP(AF$2,Rango_Admin_DailyPred,MATCH($F27,Rango_Admin_DailyPred_Primera,0)+1,0),"-")</f>
        <v>-</v>
      </c>
      <c r="AG27" s="429" t="str">
        <f ca="1">IFERROR(VLOOKUP(AG$2,Rango_Admin_DailyPred,MATCH($F27,Rango_Admin_DailyPred_Primera,0)+1,0),"-")</f>
        <v>-</v>
      </c>
      <c r="AH27" s="429" t="str">
        <f ca="1">IFERROR(VLOOKUP(AH$2,Rango_Admin_DailyPred,MATCH($F27,Rango_Admin_DailyPred_Primera,0)+1,0),"-")</f>
        <v>-</v>
      </c>
      <c r="AI27" s="429" t="str">
        <f ca="1">IFERROR(VLOOKUP(AI$2,Rango_Admin_DailyPred,MATCH($F27,Rango_Admin_DailyPred_Primera,0)+1,0),"-")</f>
        <v>-</v>
      </c>
      <c r="AJ27" s="429" t="str">
        <f ca="1">IFERROR(VLOOKUP(AJ$2,Rango_Admin_DailyPred,MATCH($F27,Rango_Admin_DailyPred_Primera,0)+1,0),"-")</f>
        <v>-</v>
      </c>
      <c r="AK27" s="429" t="str">
        <f ca="1">IFERROR(VLOOKUP(AK$2,Rango_Admin_DailyPred,MATCH($F27,Rango_Admin_DailyPred_Primera,0)+1,0),"-")</f>
        <v>-</v>
      </c>
      <c r="AL27" s="429" t="str">
        <f ca="1">IFERROR(VLOOKUP(AL$2,Rango_Admin_DailyPred,MATCH($F27,Rango_Admin_DailyPred_Primera,0)+1,0),"-")</f>
        <v>-</v>
      </c>
      <c r="AM27" s="429" t="str">
        <f ca="1">IFERROR(VLOOKUP(AM$2,Rango_Admin_DailyPred,MATCH($F27,Rango_Admin_DailyPred_Primera,0)+1,0),"-")</f>
        <v>-</v>
      </c>
      <c r="AN27" s="297"/>
    </row>
    <row r="28" spans="1:40">
      <c r="A28" s="8" t="str" cm="1">
        <f t="array" aca="1" ref="A28" ca="1">IFERROR(INDEX(ADMIN!$K$6:$K$258,SMALL(IF(ADMIN!$G$6:$G$258=$K$1,ROW(ADMIN!$G$6:$G$258)-ROW(ADMIN!$G$6)+1),ROWS($A$1:A25))),"")</f>
        <v/>
      </c>
      <c r="B28" s="8" t="str" cm="1">
        <f t="array" aca="1" ref="B28" ca="1">IFERROR(IFERROR(INDEX(ADMIN!$K$6:$K$258,SMALL(IF($K$1=ADMIN!$G$6:$G$258,ROW(ADMIN!$K$6:$K$258)-MIN(ROW(ADMIN!$G$6:$G$258))+1,""),ROW()-3)),"")&amp;CHAR(10)&amp;IF(INDEX(ADMIN!$M$6:$M$258,SMALL(IF($K$1=ADMIN!$G$6:$G$258,ROW(ADMIN!$M$6:$M$258)-MIN(ROW(ADMIN!$G$6:$G$258))+1,""),ROW()-3))="0|-",""," ("&amp;INDEX(ADMIN!$M$6:$M$258,SMALL(IF($K$1=ADMIN!$G$6:$G$258,ROW(ADMIN!$M$6:$M$258)-MIN(ROW(ADMIN!$G$6:$G$258))+1,""),ROW()-3))&amp;")"),"")</f>
        <v/>
      </c>
      <c r="C28" s="8">
        <v>25</v>
      </c>
      <c r="D28" s="19"/>
      <c r="E28" s="409">
        <f ca="1">IFERROR(HLOOKUP(C28,Rango_Admin_DailyClas,3,FALSE),"-")</f>
        <v>25</v>
      </c>
      <c r="F28" s="448" t="str">
        <f ca="1">IFERROR(HLOOKUP(C28,Rango_Admin_DailyClas,5,FALSE),"-")</f>
        <v>Kasper Braamskamp</v>
      </c>
      <c r="G28" s="22">
        <f ca="1">IFERROR(HLOOKUP(C28,Rango_Admin_DailyClas,4,FALSE),"-")</f>
        <v>30</v>
      </c>
      <c r="H28" s="429">
        <f ca="1">IFERROR(VLOOKUP(H$2,Rango_Admin_DailyPred,MATCH($F28,Rango_Admin_DailyPred_Primera,0)+1,0),"-")</f>
        <v>0</v>
      </c>
      <c r="I28" s="429">
        <f ca="1">IFERROR(VLOOKUP(I$2,Rango_Admin_DailyPred,MATCH($F28,Rango_Admin_DailyPred_Primera,0)+1,0),"-")</f>
        <v>0</v>
      </c>
      <c r="J28" s="429">
        <f ca="1">IFERROR(VLOOKUP(J$2,Rango_Admin_DailyPred,MATCH($F28,Rango_Admin_DailyPred_Primera,0)+1,0),"-")</f>
        <v>0</v>
      </c>
      <c r="K28" s="429">
        <f ca="1">IFERROR(VLOOKUP(K$2,Rango_Admin_DailyPred,MATCH($F28,Rango_Admin_DailyPred_Primera,0)+1,0),"-")</f>
        <v>30</v>
      </c>
      <c r="L28" s="429">
        <f ca="1">IFERROR(VLOOKUP(L$2,Rango_Admin_DailyPred,MATCH($F28,Rango_Admin_DailyPred_Primera,0)+1,0),"-")</f>
        <v>0</v>
      </c>
      <c r="M28" s="429">
        <f ca="1">IFERROR(VLOOKUP(M$2,Rango_Admin_DailyPred,MATCH($F28,Rango_Admin_DailyPred_Primera,0)+1,0),"-")</f>
        <v>0</v>
      </c>
      <c r="N28" s="429">
        <f ca="1">IFERROR(VLOOKUP(N$2,Rango_Admin_DailyPred,MATCH($F28,Rango_Admin_DailyPred_Primera,0)+1,0),"-")</f>
        <v>0</v>
      </c>
      <c r="O28" s="429">
        <f ca="1">IFERROR(VLOOKUP(O$2,Rango_Admin_DailyPred,MATCH($F28,Rango_Admin_DailyPred_Primera,0)+1,0),"-")</f>
        <v>0</v>
      </c>
      <c r="P28" s="429">
        <f ca="1">IFERROR(VLOOKUP(P$2,Rango_Admin_DailyPred,MATCH($F28,Rango_Admin_DailyPred_Primera,0)+1,0),"-")</f>
        <v>0</v>
      </c>
      <c r="Q28" s="429">
        <f ca="1">IFERROR(VLOOKUP(Q$2,Rango_Admin_DailyPred,MATCH($F28,Rango_Admin_DailyPred_Primera,0)+1,0),"-")</f>
        <v>0</v>
      </c>
      <c r="R28" s="429">
        <f ca="1">IFERROR(VLOOKUP(R$2,Rango_Admin_DailyPred,MATCH($F28,Rango_Admin_DailyPred_Primera,0)+1,0),"-")</f>
        <v>0</v>
      </c>
      <c r="S28" s="429" t="str">
        <f ca="1">IFERROR(VLOOKUP(S$2,Rango_Admin_DailyPred,MATCH($F28,Rango_Admin_DailyPred_Primera,0)+1,0),"-")</f>
        <v>-</v>
      </c>
      <c r="T28" s="429" t="str">
        <f ca="1">IFERROR(VLOOKUP(T$2,Rango_Admin_DailyPred,MATCH($F28,Rango_Admin_DailyPred_Primera,0)+1,0),"-")</f>
        <v>-</v>
      </c>
      <c r="U28" s="429" t="str">
        <f ca="1">IFERROR(VLOOKUP(U$2,Rango_Admin_DailyPred,MATCH($F28,Rango_Admin_DailyPred_Primera,0)+1,0),"-")</f>
        <v>-</v>
      </c>
      <c r="V28" s="429" t="str">
        <f ca="1">IFERROR(VLOOKUP(V$2,Rango_Admin_DailyPred,MATCH($F28,Rango_Admin_DailyPred_Primera,0)+1,0),"-")</f>
        <v>-</v>
      </c>
      <c r="W28" s="429" t="str">
        <f ca="1">IFERROR(VLOOKUP(W$2,Rango_Admin_DailyPred,MATCH($F28,Rango_Admin_DailyPred_Primera,0)+1,0),"-")</f>
        <v>-</v>
      </c>
      <c r="X28" s="429" t="str">
        <f ca="1">IFERROR(VLOOKUP(X$2,Rango_Admin_DailyPred,MATCH($F28,Rango_Admin_DailyPred_Primera,0)+1,0),"-")</f>
        <v>-</v>
      </c>
      <c r="Y28" s="429" t="str">
        <f ca="1">IFERROR(VLOOKUP(Y$2,Rango_Admin_DailyPred,MATCH($F28,Rango_Admin_DailyPred_Primera,0)+1,0),"-")</f>
        <v>-</v>
      </c>
      <c r="Z28" s="429" t="str">
        <f ca="1">IFERROR(VLOOKUP(Z$2,Rango_Admin_DailyPred,MATCH($F28,Rango_Admin_DailyPred_Primera,0)+1,0),"-")</f>
        <v>-</v>
      </c>
      <c r="AA28" s="429" t="str">
        <f ca="1">IFERROR(VLOOKUP(AA$2,Rango_Admin_DailyPred,MATCH($F28,Rango_Admin_DailyPred_Primera,0)+1,0),"-")</f>
        <v>-</v>
      </c>
      <c r="AB28" s="429" t="str">
        <f ca="1">IFERROR(VLOOKUP(AB$2,Rango_Admin_DailyPred,MATCH($F28,Rango_Admin_DailyPred_Primera,0)+1,0),"-")</f>
        <v>-</v>
      </c>
      <c r="AC28" s="429" t="str">
        <f ca="1">IFERROR(VLOOKUP(AC$2,Rango_Admin_DailyPred,MATCH($F28,Rango_Admin_DailyPred_Primera,0)+1,0),"-")</f>
        <v>-</v>
      </c>
      <c r="AD28" s="429" t="str">
        <f ca="1">IFERROR(VLOOKUP(AD$2,Rango_Admin_DailyPred,MATCH($F28,Rango_Admin_DailyPred_Primera,0)+1,0),"-")</f>
        <v>-</v>
      </c>
      <c r="AE28" s="429" t="str">
        <f ca="1">IFERROR(VLOOKUP(AE$2,Rango_Admin_DailyPred,MATCH($F28,Rango_Admin_DailyPred_Primera,0)+1,0),"-")</f>
        <v>-</v>
      </c>
      <c r="AF28" s="429" t="str">
        <f ca="1">IFERROR(VLOOKUP(AF$2,Rango_Admin_DailyPred,MATCH($F28,Rango_Admin_DailyPred_Primera,0)+1,0),"-")</f>
        <v>-</v>
      </c>
      <c r="AG28" s="429" t="str">
        <f ca="1">IFERROR(VLOOKUP(AG$2,Rango_Admin_DailyPred,MATCH($F28,Rango_Admin_DailyPred_Primera,0)+1,0),"-")</f>
        <v>-</v>
      </c>
      <c r="AH28" s="429" t="str">
        <f ca="1">IFERROR(VLOOKUP(AH$2,Rango_Admin_DailyPred,MATCH($F28,Rango_Admin_DailyPred_Primera,0)+1,0),"-")</f>
        <v>-</v>
      </c>
      <c r="AI28" s="429" t="str">
        <f ca="1">IFERROR(VLOOKUP(AI$2,Rango_Admin_DailyPred,MATCH($F28,Rango_Admin_DailyPred_Primera,0)+1,0),"-")</f>
        <v>-</v>
      </c>
      <c r="AJ28" s="429" t="str">
        <f ca="1">IFERROR(VLOOKUP(AJ$2,Rango_Admin_DailyPred,MATCH($F28,Rango_Admin_DailyPred_Primera,0)+1,0),"-")</f>
        <v>-</v>
      </c>
      <c r="AK28" s="429" t="str">
        <f ca="1">IFERROR(VLOOKUP(AK$2,Rango_Admin_DailyPred,MATCH($F28,Rango_Admin_DailyPred_Primera,0)+1,0),"-")</f>
        <v>-</v>
      </c>
      <c r="AL28" s="429" t="str">
        <f ca="1">IFERROR(VLOOKUP(AL$2,Rango_Admin_DailyPred,MATCH($F28,Rango_Admin_DailyPred_Primera,0)+1,0),"-")</f>
        <v>-</v>
      </c>
      <c r="AM28" s="429" t="str">
        <f ca="1">IFERROR(VLOOKUP(AM$2,Rango_Admin_DailyPred,MATCH($F28,Rango_Admin_DailyPred_Primera,0)+1,0),"-")</f>
        <v>-</v>
      </c>
      <c r="AN28" s="297"/>
    </row>
    <row r="29" spans="1:40">
      <c r="A29" s="8" t="str" cm="1">
        <f t="array" aca="1" ref="A29" ca="1">IFERROR(INDEX(ADMIN!$K$6:$K$258,SMALL(IF(ADMIN!$G$6:$G$258=$K$1,ROW(ADMIN!$G$6:$G$258)-ROW(ADMIN!$G$6)+1),ROWS($A$1:A26))),"")</f>
        <v/>
      </c>
      <c r="B29" s="8" t="str" cm="1">
        <f t="array" aca="1" ref="B29" ca="1">IFERROR(IFERROR(INDEX(ADMIN!$K$6:$K$258,SMALL(IF($K$1=ADMIN!$G$6:$G$258,ROW(ADMIN!$K$6:$K$258)-MIN(ROW(ADMIN!$G$6:$G$258))+1,""),ROW()-3)),"")&amp;CHAR(10)&amp;IF(INDEX(ADMIN!$M$6:$M$258,SMALL(IF($K$1=ADMIN!$G$6:$G$258,ROW(ADMIN!$M$6:$M$258)-MIN(ROW(ADMIN!$G$6:$G$258))+1,""),ROW()-3))="0|-",""," ("&amp;INDEX(ADMIN!$M$6:$M$258,SMALL(IF($K$1=ADMIN!$G$6:$G$258,ROW(ADMIN!$M$6:$M$258)-MIN(ROW(ADMIN!$G$6:$G$258))+1,""),ROW()-3))&amp;")"),"")</f>
        <v/>
      </c>
      <c r="C29" s="8">
        <v>26</v>
      </c>
      <c r="D29" s="19"/>
      <c r="E29" s="409">
        <f ca="1">IFERROR(HLOOKUP(C29,Rango_Admin_DailyClas,3,FALSE),"-")</f>
        <v>25</v>
      </c>
      <c r="F29" s="448" t="str">
        <f ca="1">IFERROR(HLOOKUP(C29,Rango_Admin_DailyClas,5,FALSE),"-")</f>
        <v>Sven Schlichter</v>
      </c>
      <c r="G29" s="22">
        <f ca="1">IFERROR(HLOOKUP(C29,Rango_Admin_DailyClas,4,FALSE),"-")</f>
        <v>30</v>
      </c>
      <c r="H29" s="429">
        <f ca="1">IFERROR(VLOOKUP(H$2,Rango_Admin_DailyPred,MATCH($F29,Rango_Admin_DailyPred_Primera,0)+1,0),"-")</f>
        <v>0</v>
      </c>
      <c r="I29" s="429">
        <f ca="1">IFERROR(VLOOKUP(I$2,Rango_Admin_DailyPred,MATCH($F29,Rango_Admin_DailyPred_Primera,0)+1,0),"-")</f>
        <v>0</v>
      </c>
      <c r="J29" s="429">
        <f ca="1">IFERROR(VLOOKUP(J$2,Rango_Admin_DailyPred,MATCH($F29,Rango_Admin_DailyPred_Primera,0)+1,0),"-")</f>
        <v>0</v>
      </c>
      <c r="K29" s="429">
        <f ca="1">IFERROR(VLOOKUP(K$2,Rango_Admin_DailyPred,MATCH($F29,Rango_Admin_DailyPred_Primera,0)+1,0),"-")</f>
        <v>30</v>
      </c>
      <c r="L29" s="429">
        <f ca="1">IFERROR(VLOOKUP(L$2,Rango_Admin_DailyPred,MATCH($F29,Rango_Admin_DailyPred_Primera,0)+1,0),"-")</f>
        <v>0</v>
      </c>
      <c r="M29" s="429">
        <f ca="1">IFERROR(VLOOKUP(M$2,Rango_Admin_DailyPred,MATCH($F29,Rango_Admin_DailyPred_Primera,0)+1,0),"-")</f>
        <v>0</v>
      </c>
      <c r="N29" s="429">
        <f ca="1">IFERROR(VLOOKUP(N$2,Rango_Admin_DailyPred,MATCH($F29,Rango_Admin_DailyPred_Primera,0)+1,0),"-")</f>
        <v>0</v>
      </c>
      <c r="O29" s="429">
        <f ca="1">IFERROR(VLOOKUP(O$2,Rango_Admin_DailyPred,MATCH($F29,Rango_Admin_DailyPred_Primera,0)+1,0),"-")</f>
        <v>0</v>
      </c>
      <c r="P29" s="429">
        <f ca="1">IFERROR(VLOOKUP(P$2,Rango_Admin_DailyPred,MATCH($F29,Rango_Admin_DailyPred_Primera,0)+1,0),"-")</f>
        <v>0</v>
      </c>
      <c r="Q29" s="429">
        <f ca="1">IFERROR(VLOOKUP(Q$2,Rango_Admin_DailyPred,MATCH($F29,Rango_Admin_DailyPred_Primera,0)+1,0),"-")</f>
        <v>0</v>
      </c>
      <c r="R29" s="429">
        <f ca="1">IFERROR(VLOOKUP(R$2,Rango_Admin_DailyPred,MATCH($F29,Rango_Admin_DailyPred_Primera,0)+1,0),"-")</f>
        <v>0</v>
      </c>
      <c r="S29" s="429" t="str">
        <f ca="1">IFERROR(VLOOKUP(S$2,Rango_Admin_DailyPred,MATCH($F29,Rango_Admin_DailyPred_Primera,0)+1,0),"-")</f>
        <v>-</v>
      </c>
      <c r="T29" s="429" t="str">
        <f ca="1">IFERROR(VLOOKUP(T$2,Rango_Admin_DailyPred,MATCH($F29,Rango_Admin_DailyPred_Primera,0)+1,0),"-")</f>
        <v>-</v>
      </c>
      <c r="U29" s="429" t="str">
        <f ca="1">IFERROR(VLOOKUP(U$2,Rango_Admin_DailyPred,MATCH($F29,Rango_Admin_DailyPred_Primera,0)+1,0),"-")</f>
        <v>-</v>
      </c>
      <c r="V29" s="429" t="str">
        <f ca="1">IFERROR(VLOOKUP(V$2,Rango_Admin_DailyPred,MATCH($F29,Rango_Admin_DailyPred_Primera,0)+1,0),"-")</f>
        <v>-</v>
      </c>
      <c r="W29" s="429" t="str">
        <f ca="1">IFERROR(VLOOKUP(W$2,Rango_Admin_DailyPred,MATCH($F29,Rango_Admin_DailyPred_Primera,0)+1,0),"-")</f>
        <v>-</v>
      </c>
      <c r="X29" s="429" t="str">
        <f ca="1">IFERROR(VLOOKUP(X$2,Rango_Admin_DailyPred,MATCH($F29,Rango_Admin_DailyPred_Primera,0)+1,0),"-")</f>
        <v>-</v>
      </c>
      <c r="Y29" s="429" t="str">
        <f ca="1">IFERROR(VLOOKUP(Y$2,Rango_Admin_DailyPred,MATCH($F29,Rango_Admin_DailyPred_Primera,0)+1,0),"-")</f>
        <v>-</v>
      </c>
      <c r="Z29" s="429" t="str">
        <f ca="1">IFERROR(VLOOKUP(Z$2,Rango_Admin_DailyPred,MATCH($F29,Rango_Admin_DailyPred_Primera,0)+1,0),"-")</f>
        <v>-</v>
      </c>
      <c r="AA29" s="429" t="str">
        <f ca="1">IFERROR(VLOOKUP(AA$2,Rango_Admin_DailyPred,MATCH($F29,Rango_Admin_DailyPred_Primera,0)+1,0),"-")</f>
        <v>-</v>
      </c>
      <c r="AB29" s="429" t="str">
        <f ca="1">IFERROR(VLOOKUP(AB$2,Rango_Admin_DailyPred,MATCH($F29,Rango_Admin_DailyPred_Primera,0)+1,0),"-")</f>
        <v>-</v>
      </c>
      <c r="AC29" s="429" t="str">
        <f ca="1">IFERROR(VLOOKUP(AC$2,Rango_Admin_DailyPred,MATCH($F29,Rango_Admin_DailyPred_Primera,0)+1,0),"-")</f>
        <v>-</v>
      </c>
      <c r="AD29" s="429" t="str">
        <f ca="1">IFERROR(VLOOKUP(AD$2,Rango_Admin_DailyPred,MATCH($F29,Rango_Admin_DailyPred_Primera,0)+1,0),"-")</f>
        <v>-</v>
      </c>
      <c r="AE29" s="429" t="str">
        <f ca="1">IFERROR(VLOOKUP(AE$2,Rango_Admin_DailyPred,MATCH($F29,Rango_Admin_DailyPred_Primera,0)+1,0),"-")</f>
        <v>-</v>
      </c>
      <c r="AF29" s="429" t="str">
        <f ca="1">IFERROR(VLOOKUP(AF$2,Rango_Admin_DailyPred,MATCH($F29,Rango_Admin_DailyPred_Primera,0)+1,0),"-")</f>
        <v>-</v>
      </c>
      <c r="AG29" s="429" t="str">
        <f ca="1">IFERROR(VLOOKUP(AG$2,Rango_Admin_DailyPred,MATCH($F29,Rango_Admin_DailyPred_Primera,0)+1,0),"-")</f>
        <v>-</v>
      </c>
      <c r="AH29" s="429" t="str">
        <f ca="1">IFERROR(VLOOKUP(AH$2,Rango_Admin_DailyPred,MATCH($F29,Rango_Admin_DailyPred_Primera,0)+1,0),"-")</f>
        <v>-</v>
      </c>
      <c r="AI29" s="429" t="str">
        <f ca="1">IFERROR(VLOOKUP(AI$2,Rango_Admin_DailyPred,MATCH($F29,Rango_Admin_DailyPred_Primera,0)+1,0),"-")</f>
        <v>-</v>
      </c>
      <c r="AJ29" s="429" t="str">
        <f ca="1">IFERROR(VLOOKUP(AJ$2,Rango_Admin_DailyPred,MATCH($F29,Rango_Admin_DailyPred_Primera,0)+1,0),"-")</f>
        <v>-</v>
      </c>
      <c r="AK29" s="429" t="str">
        <f ca="1">IFERROR(VLOOKUP(AK$2,Rango_Admin_DailyPred,MATCH($F29,Rango_Admin_DailyPred_Primera,0)+1,0),"-")</f>
        <v>-</v>
      </c>
      <c r="AL29" s="429" t="str">
        <f ca="1">IFERROR(VLOOKUP(AL$2,Rango_Admin_DailyPred,MATCH($F29,Rango_Admin_DailyPred_Primera,0)+1,0),"-")</f>
        <v>-</v>
      </c>
      <c r="AM29" s="429" t="str">
        <f ca="1">IFERROR(VLOOKUP(AM$2,Rango_Admin_DailyPred,MATCH($F29,Rango_Admin_DailyPred_Primera,0)+1,0),"-")</f>
        <v>-</v>
      </c>
      <c r="AN29" s="297"/>
    </row>
    <row r="30" spans="1:40">
      <c r="A30" s="8" t="str" cm="1">
        <f t="array" aca="1" ref="A30" ca="1">IFERROR(INDEX(ADMIN!$K$6:$K$258,SMALL(IF(ADMIN!$G$6:$G$258=$K$1,ROW(ADMIN!$G$6:$G$258)-ROW(ADMIN!$G$6)+1),ROWS($A$1:A27))),"")</f>
        <v/>
      </c>
      <c r="B30" s="8" t="str" cm="1">
        <f t="array" aca="1" ref="B30" ca="1">IFERROR(IFERROR(INDEX(ADMIN!$K$6:$K$258,SMALL(IF($K$1=ADMIN!$G$6:$G$258,ROW(ADMIN!$K$6:$K$258)-MIN(ROW(ADMIN!$G$6:$G$258))+1,""),ROW()-3)),"")&amp;CHAR(10)&amp;IF(INDEX(ADMIN!$M$6:$M$258,SMALL(IF($K$1=ADMIN!$G$6:$G$258,ROW(ADMIN!$M$6:$M$258)-MIN(ROW(ADMIN!$G$6:$G$258))+1,""),ROW()-3))="0|-",""," ("&amp;INDEX(ADMIN!$M$6:$M$258,SMALL(IF($K$1=ADMIN!$G$6:$G$258,ROW(ADMIN!$M$6:$M$258)-MIN(ROW(ADMIN!$G$6:$G$258))+1,""),ROW()-3))&amp;")"),"")</f>
        <v/>
      </c>
      <c r="C30" s="8">
        <v>27</v>
      </c>
      <c r="D30" s="19"/>
      <c r="E30" s="409">
        <f ca="1">IFERROR(HLOOKUP(C30,Rango_Admin_DailyClas,3,FALSE),"-")</f>
        <v>27</v>
      </c>
      <c r="F30" s="448" t="str">
        <f ca="1">IFERROR(HLOOKUP(C30,Rango_Admin_DailyClas,5,FALSE),"-")</f>
        <v>Niels Tomesen</v>
      </c>
      <c r="G30" s="22">
        <f ca="1">IFERROR(HLOOKUP(C30,Rango_Admin_DailyClas,4,FALSE),"-")</f>
        <v>29</v>
      </c>
      <c r="H30" s="429">
        <f ca="1">IFERROR(VLOOKUP(H$2,Rango_Admin_DailyPred,MATCH($F30,Rango_Admin_DailyPred_Primera,0)+1,0),"-")</f>
        <v>0</v>
      </c>
      <c r="I30" s="429">
        <f ca="1">IFERROR(VLOOKUP(I$2,Rango_Admin_DailyPred,MATCH($F30,Rango_Admin_DailyPred_Primera,0)+1,0),"-")</f>
        <v>0</v>
      </c>
      <c r="J30" s="429">
        <f ca="1">IFERROR(VLOOKUP(J$2,Rango_Admin_DailyPred,MATCH($F30,Rango_Admin_DailyPred_Primera,0)+1,0),"-")</f>
        <v>0</v>
      </c>
      <c r="K30" s="429">
        <f ca="1">IFERROR(VLOOKUP(K$2,Rango_Admin_DailyPred,MATCH($F30,Rango_Admin_DailyPred_Primera,0)+1,0),"-")</f>
        <v>0</v>
      </c>
      <c r="L30" s="429">
        <f ca="1">IFERROR(VLOOKUP(L$2,Rango_Admin_DailyPred,MATCH($F30,Rango_Admin_DailyPred_Primera,0)+1,0),"-")</f>
        <v>0</v>
      </c>
      <c r="M30" s="429">
        <f ca="1">IFERROR(VLOOKUP(M$2,Rango_Admin_DailyPred,MATCH($F30,Rango_Admin_DailyPred_Primera,0)+1,0),"-")</f>
        <v>20</v>
      </c>
      <c r="N30" s="429">
        <f ca="1">IFERROR(VLOOKUP(N$2,Rango_Admin_DailyPred,MATCH($F30,Rango_Admin_DailyPred_Primera,0)+1,0),"-")</f>
        <v>0</v>
      </c>
      <c r="O30" s="429">
        <f ca="1">IFERROR(VLOOKUP(O$2,Rango_Admin_DailyPred,MATCH($F30,Rango_Admin_DailyPred_Primera,0)+1,0),"-")</f>
        <v>5</v>
      </c>
      <c r="P30" s="429">
        <f ca="1">IFERROR(VLOOKUP(P$2,Rango_Admin_DailyPred,MATCH($F30,Rango_Admin_DailyPred_Primera,0)+1,0),"-")</f>
        <v>0</v>
      </c>
      <c r="Q30" s="429">
        <f ca="1">IFERROR(VLOOKUP(Q$2,Rango_Admin_DailyPred,MATCH($F30,Rango_Admin_DailyPred_Primera,0)+1,0),"-")</f>
        <v>0</v>
      </c>
      <c r="R30" s="429">
        <f ca="1">IFERROR(VLOOKUP(R$2,Rango_Admin_DailyPred,MATCH($F30,Rango_Admin_DailyPred_Primera,0)+1,0),"-")</f>
        <v>4</v>
      </c>
      <c r="S30" s="429" t="str">
        <f ca="1">IFERROR(VLOOKUP(S$2,Rango_Admin_DailyPred,MATCH($F30,Rango_Admin_DailyPred_Primera,0)+1,0),"-")</f>
        <v>-</v>
      </c>
      <c r="T30" s="429" t="str">
        <f ca="1">IFERROR(VLOOKUP(T$2,Rango_Admin_DailyPred,MATCH($F30,Rango_Admin_DailyPred_Primera,0)+1,0),"-")</f>
        <v>-</v>
      </c>
      <c r="U30" s="429" t="str">
        <f ca="1">IFERROR(VLOOKUP(U$2,Rango_Admin_DailyPred,MATCH($F30,Rango_Admin_DailyPred_Primera,0)+1,0),"-")</f>
        <v>-</v>
      </c>
      <c r="V30" s="429" t="str">
        <f ca="1">IFERROR(VLOOKUP(V$2,Rango_Admin_DailyPred,MATCH($F30,Rango_Admin_DailyPred_Primera,0)+1,0),"-")</f>
        <v>-</v>
      </c>
      <c r="W30" s="429" t="str">
        <f ca="1">IFERROR(VLOOKUP(W$2,Rango_Admin_DailyPred,MATCH($F30,Rango_Admin_DailyPred_Primera,0)+1,0),"-")</f>
        <v>-</v>
      </c>
      <c r="X30" s="429" t="str">
        <f ca="1">IFERROR(VLOOKUP(X$2,Rango_Admin_DailyPred,MATCH($F30,Rango_Admin_DailyPred_Primera,0)+1,0),"-")</f>
        <v>-</v>
      </c>
      <c r="Y30" s="429" t="str">
        <f ca="1">IFERROR(VLOOKUP(Y$2,Rango_Admin_DailyPred,MATCH($F30,Rango_Admin_DailyPred_Primera,0)+1,0),"-")</f>
        <v>-</v>
      </c>
      <c r="Z30" s="429" t="str">
        <f ca="1">IFERROR(VLOOKUP(Z$2,Rango_Admin_DailyPred,MATCH($F30,Rango_Admin_DailyPred_Primera,0)+1,0),"-")</f>
        <v>-</v>
      </c>
      <c r="AA30" s="429" t="str">
        <f ca="1">IFERROR(VLOOKUP(AA$2,Rango_Admin_DailyPred,MATCH($F30,Rango_Admin_DailyPred_Primera,0)+1,0),"-")</f>
        <v>-</v>
      </c>
      <c r="AB30" s="429" t="str">
        <f ca="1">IFERROR(VLOOKUP(AB$2,Rango_Admin_DailyPred,MATCH($F30,Rango_Admin_DailyPred_Primera,0)+1,0),"-")</f>
        <v>-</v>
      </c>
      <c r="AC30" s="429" t="str">
        <f ca="1">IFERROR(VLOOKUP(AC$2,Rango_Admin_DailyPred,MATCH($F30,Rango_Admin_DailyPred_Primera,0)+1,0),"-")</f>
        <v>-</v>
      </c>
      <c r="AD30" s="429" t="str">
        <f ca="1">IFERROR(VLOOKUP(AD$2,Rango_Admin_DailyPred,MATCH($F30,Rango_Admin_DailyPred_Primera,0)+1,0),"-")</f>
        <v>-</v>
      </c>
      <c r="AE30" s="429" t="str">
        <f ca="1">IFERROR(VLOOKUP(AE$2,Rango_Admin_DailyPred,MATCH($F30,Rango_Admin_DailyPred_Primera,0)+1,0),"-")</f>
        <v>-</v>
      </c>
      <c r="AF30" s="429" t="str">
        <f ca="1">IFERROR(VLOOKUP(AF$2,Rango_Admin_DailyPred,MATCH($F30,Rango_Admin_DailyPred_Primera,0)+1,0),"-")</f>
        <v>-</v>
      </c>
      <c r="AG30" s="429" t="str">
        <f ca="1">IFERROR(VLOOKUP(AG$2,Rango_Admin_DailyPred,MATCH($F30,Rango_Admin_DailyPred_Primera,0)+1,0),"-")</f>
        <v>-</v>
      </c>
      <c r="AH30" s="429" t="str">
        <f ca="1">IFERROR(VLOOKUP(AH$2,Rango_Admin_DailyPred,MATCH($F30,Rango_Admin_DailyPred_Primera,0)+1,0),"-")</f>
        <v>-</v>
      </c>
      <c r="AI30" s="429" t="str">
        <f ca="1">IFERROR(VLOOKUP(AI$2,Rango_Admin_DailyPred,MATCH($F30,Rango_Admin_DailyPred_Primera,0)+1,0),"-")</f>
        <v>-</v>
      </c>
      <c r="AJ30" s="429" t="str">
        <f ca="1">IFERROR(VLOOKUP(AJ$2,Rango_Admin_DailyPred,MATCH($F30,Rango_Admin_DailyPred_Primera,0)+1,0),"-")</f>
        <v>-</v>
      </c>
      <c r="AK30" s="429" t="str">
        <f ca="1">IFERROR(VLOOKUP(AK$2,Rango_Admin_DailyPred,MATCH($F30,Rango_Admin_DailyPred_Primera,0)+1,0),"-")</f>
        <v>-</v>
      </c>
      <c r="AL30" s="429" t="str">
        <f ca="1">IFERROR(VLOOKUP(AL$2,Rango_Admin_DailyPred,MATCH($F30,Rango_Admin_DailyPred_Primera,0)+1,0),"-")</f>
        <v>-</v>
      </c>
      <c r="AM30" s="429" t="str">
        <f ca="1">IFERROR(VLOOKUP(AM$2,Rango_Admin_DailyPred,MATCH($F30,Rango_Admin_DailyPred_Primera,0)+1,0),"-")</f>
        <v>-</v>
      </c>
      <c r="AN30" s="297"/>
    </row>
    <row r="31" spans="1:40">
      <c r="A31" s="8" t="str" cm="1">
        <f t="array" aca="1" ref="A31" ca="1">IFERROR(INDEX(ADMIN!$K$6:$K$258,SMALL(IF(ADMIN!$G$6:$G$258=$K$1,ROW(ADMIN!$G$6:$G$258)-ROW(ADMIN!$G$6)+1),ROWS($A$1:A28))),"")</f>
        <v/>
      </c>
      <c r="B31" s="8" t="str" cm="1">
        <f t="array" aca="1" ref="B31" ca="1">IFERROR(IFERROR(INDEX(ADMIN!$K$6:$K$258,SMALL(IF($K$1=ADMIN!$G$6:$G$258,ROW(ADMIN!$K$6:$K$258)-MIN(ROW(ADMIN!$G$6:$G$258))+1,""),ROW()-3)),"")&amp;CHAR(10)&amp;IF(INDEX(ADMIN!$M$6:$M$258,SMALL(IF($K$1=ADMIN!$G$6:$G$258,ROW(ADMIN!$M$6:$M$258)-MIN(ROW(ADMIN!$G$6:$G$258))+1,""),ROW()-3))="0|-",""," ("&amp;INDEX(ADMIN!$M$6:$M$258,SMALL(IF($K$1=ADMIN!$G$6:$G$258,ROW(ADMIN!$M$6:$M$258)-MIN(ROW(ADMIN!$G$6:$G$258))+1,""),ROW()-3))&amp;")"),"")</f>
        <v/>
      </c>
      <c r="C31" s="8">
        <v>28</v>
      </c>
      <c r="D31" s="19"/>
      <c r="E31" s="409">
        <f ca="1">IFERROR(HLOOKUP(C31,Rango_Admin_DailyClas,3,FALSE),"-")</f>
        <v>28</v>
      </c>
      <c r="F31" s="448" t="str">
        <f ca="1">IFERROR(HLOOKUP(C31,Rango_Admin_DailyClas,5,FALSE),"-")</f>
        <v>Henriko Bakkenes</v>
      </c>
      <c r="G31" s="22">
        <f ca="1">IFERROR(HLOOKUP(C31,Rango_Admin_DailyClas,4,FALSE),"-")</f>
        <v>25</v>
      </c>
      <c r="H31" s="429">
        <f ca="1">IFERROR(VLOOKUP(H$2,Rango_Admin_DailyPred,MATCH($F31,Rango_Admin_DailyPred_Primera,0)+1,0),"-")</f>
        <v>0</v>
      </c>
      <c r="I31" s="429">
        <f ca="1">IFERROR(VLOOKUP(I$2,Rango_Admin_DailyPred,MATCH($F31,Rango_Admin_DailyPred_Primera,0)+1,0),"-")</f>
        <v>0</v>
      </c>
      <c r="J31" s="429">
        <f ca="1">IFERROR(VLOOKUP(J$2,Rango_Admin_DailyPred,MATCH($F31,Rango_Admin_DailyPred_Primera,0)+1,0),"-")</f>
        <v>0</v>
      </c>
      <c r="K31" s="429">
        <f ca="1">IFERROR(VLOOKUP(K$2,Rango_Admin_DailyPred,MATCH($F31,Rango_Admin_DailyPred_Primera,0)+1,0),"-")</f>
        <v>0</v>
      </c>
      <c r="L31" s="429">
        <f ca="1">IFERROR(VLOOKUP(L$2,Rango_Admin_DailyPred,MATCH($F31,Rango_Admin_DailyPred_Primera,0)+1,0),"-")</f>
        <v>0</v>
      </c>
      <c r="M31" s="429">
        <f ca="1">IFERROR(VLOOKUP(M$2,Rango_Admin_DailyPred,MATCH($F31,Rango_Admin_DailyPred_Primera,0)+1,0),"-")</f>
        <v>20</v>
      </c>
      <c r="N31" s="429">
        <f ca="1">IFERROR(VLOOKUP(N$2,Rango_Admin_DailyPred,MATCH($F31,Rango_Admin_DailyPred_Primera,0)+1,0),"-")</f>
        <v>0</v>
      </c>
      <c r="O31" s="429">
        <f ca="1">IFERROR(VLOOKUP(O$2,Rango_Admin_DailyPred,MATCH($F31,Rango_Admin_DailyPred_Primera,0)+1,0),"-")</f>
        <v>5</v>
      </c>
      <c r="P31" s="429">
        <f ca="1">IFERROR(VLOOKUP(P$2,Rango_Admin_DailyPred,MATCH($F31,Rango_Admin_DailyPred_Primera,0)+1,0),"-")</f>
        <v>0</v>
      </c>
      <c r="Q31" s="429">
        <f ca="1">IFERROR(VLOOKUP(Q$2,Rango_Admin_DailyPred,MATCH($F31,Rango_Admin_DailyPred_Primera,0)+1,0),"-")</f>
        <v>0</v>
      </c>
      <c r="R31" s="429">
        <f ca="1">IFERROR(VLOOKUP(R$2,Rango_Admin_DailyPred,MATCH($F31,Rango_Admin_DailyPred_Primera,0)+1,0),"-")</f>
        <v>0</v>
      </c>
      <c r="S31" s="429" t="str">
        <f ca="1">IFERROR(VLOOKUP(S$2,Rango_Admin_DailyPred,MATCH($F31,Rango_Admin_DailyPred_Primera,0)+1,0),"-")</f>
        <v>-</v>
      </c>
      <c r="T31" s="429" t="str">
        <f ca="1">IFERROR(VLOOKUP(T$2,Rango_Admin_DailyPred,MATCH($F31,Rango_Admin_DailyPred_Primera,0)+1,0),"-")</f>
        <v>-</v>
      </c>
      <c r="U31" s="429" t="str">
        <f ca="1">IFERROR(VLOOKUP(U$2,Rango_Admin_DailyPred,MATCH($F31,Rango_Admin_DailyPred_Primera,0)+1,0),"-")</f>
        <v>-</v>
      </c>
      <c r="V31" s="429" t="str">
        <f ca="1">IFERROR(VLOOKUP(V$2,Rango_Admin_DailyPred,MATCH($F31,Rango_Admin_DailyPred_Primera,0)+1,0),"-")</f>
        <v>-</v>
      </c>
      <c r="W31" s="429" t="str">
        <f ca="1">IFERROR(VLOOKUP(W$2,Rango_Admin_DailyPred,MATCH($F31,Rango_Admin_DailyPred_Primera,0)+1,0),"-")</f>
        <v>-</v>
      </c>
      <c r="X31" s="429" t="str">
        <f ca="1">IFERROR(VLOOKUP(X$2,Rango_Admin_DailyPred,MATCH($F31,Rango_Admin_DailyPred_Primera,0)+1,0),"-")</f>
        <v>-</v>
      </c>
      <c r="Y31" s="429" t="str">
        <f ca="1">IFERROR(VLOOKUP(Y$2,Rango_Admin_DailyPred,MATCH($F31,Rango_Admin_DailyPred_Primera,0)+1,0),"-")</f>
        <v>-</v>
      </c>
      <c r="Z31" s="429" t="str">
        <f ca="1">IFERROR(VLOOKUP(Z$2,Rango_Admin_DailyPred,MATCH($F31,Rango_Admin_DailyPred_Primera,0)+1,0),"-")</f>
        <v>-</v>
      </c>
      <c r="AA31" s="429" t="str">
        <f ca="1">IFERROR(VLOOKUP(AA$2,Rango_Admin_DailyPred,MATCH($F31,Rango_Admin_DailyPred_Primera,0)+1,0),"-")</f>
        <v>-</v>
      </c>
      <c r="AB31" s="429" t="str">
        <f ca="1">IFERROR(VLOOKUP(AB$2,Rango_Admin_DailyPred,MATCH($F31,Rango_Admin_DailyPred_Primera,0)+1,0),"-")</f>
        <v>-</v>
      </c>
      <c r="AC31" s="429" t="str">
        <f ca="1">IFERROR(VLOOKUP(AC$2,Rango_Admin_DailyPred,MATCH($F31,Rango_Admin_DailyPred_Primera,0)+1,0),"-")</f>
        <v>-</v>
      </c>
      <c r="AD31" s="429" t="str">
        <f ca="1">IFERROR(VLOOKUP(AD$2,Rango_Admin_DailyPred,MATCH($F31,Rango_Admin_DailyPred_Primera,0)+1,0),"-")</f>
        <v>-</v>
      </c>
      <c r="AE31" s="429" t="str">
        <f ca="1">IFERROR(VLOOKUP(AE$2,Rango_Admin_DailyPred,MATCH($F31,Rango_Admin_DailyPred_Primera,0)+1,0),"-")</f>
        <v>-</v>
      </c>
      <c r="AF31" s="429" t="str">
        <f ca="1">IFERROR(VLOOKUP(AF$2,Rango_Admin_DailyPred,MATCH($F31,Rango_Admin_DailyPred_Primera,0)+1,0),"-")</f>
        <v>-</v>
      </c>
      <c r="AG31" s="429" t="str">
        <f ca="1">IFERROR(VLOOKUP(AG$2,Rango_Admin_DailyPred,MATCH($F31,Rango_Admin_DailyPred_Primera,0)+1,0),"-")</f>
        <v>-</v>
      </c>
      <c r="AH31" s="429" t="str">
        <f ca="1">IFERROR(VLOOKUP(AH$2,Rango_Admin_DailyPred,MATCH($F31,Rango_Admin_DailyPred_Primera,0)+1,0),"-")</f>
        <v>-</v>
      </c>
      <c r="AI31" s="429" t="str">
        <f ca="1">IFERROR(VLOOKUP(AI$2,Rango_Admin_DailyPred,MATCH($F31,Rango_Admin_DailyPred_Primera,0)+1,0),"-")</f>
        <v>-</v>
      </c>
      <c r="AJ31" s="429" t="str">
        <f ca="1">IFERROR(VLOOKUP(AJ$2,Rango_Admin_DailyPred,MATCH($F31,Rango_Admin_DailyPred_Primera,0)+1,0),"-")</f>
        <v>-</v>
      </c>
      <c r="AK31" s="429" t="str">
        <f ca="1">IFERROR(VLOOKUP(AK$2,Rango_Admin_DailyPred,MATCH($F31,Rango_Admin_DailyPred_Primera,0)+1,0),"-")</f>
        <v>-</v>
      </c>
      <c r="AL31" s="429" t="str">
        <f ca="1">IFERROR(VLOOKUP(AL$2,Rango_Admin_DailyPred,MATCH($F31,Rango_Admin_DailyPred_Primera,0)+1,0),"-")</f>
        <v>-</v>
      </c>
      <c r="AM31" s="429" t="str">
        <f ca="1">IFERROR(VLOOKUP(AM$2,Rango_Admin_DailyPred,MATCH($F31,Rango_Admin_DailyPred_Primera,0)+1,0),"-")</f>
        <v>-</v>
      </c>
      <c r="AN31" s="297"/>
    </row>
    <row r="32" spans="1:40">
      <c r="A32" s="8" t="str" cm="1">
        <f t="array" aca="1" ref="A32" ca="1">IFERROR(INDEX(ADMIN!$K$6:$K$258,SMALL(IF(ADMIN!$G$6:$G$258=$K$1,ROW(ADMIN!$G$6:$G$258)-ROW(ADMIN!$G$6)+1),ROWS($A$1:A29))),"")</f>
        <v/>
      </c>
      <c r="B32" s="8" t="str" cm="1">
        <f t="array" aca="1" ref="B32" ca="1">IFERROR(IFERROR(INDEX(ADMIN!$K$6:$K$258,SMALL(IF($K$1=ADMIN!$G$6:$G$258,ROW(ADMIN!$K$6:$K$258)-MIN(ROW(ADMIN!$G$6:$G$258))+1,""),ROW()-3)),"")&amp;CHAR(10)&amp;IF(INDEX(ADMIN!$M$6:$M$258,SMALL(IF($K$1=ADMIN!$G$6:$G$258,ROW(ADMIN!$M$6:$M$258)-MIN(ROW(ADMIN!$G$6:$G$258))+1,""),ROW()-3))="0|-",""," ("&amp;INDEX(ADMIN!$M$6:$M$258,SMALL(IF($K$1=ADMIN!$G$6:$G$258,ROW(ADMIN!$M$6:$M$258)-MIN(ROW(ADMIN!$G$6:$G$258))+1,""),ROW()-3))&amp;")"),"")</f>
        <v/>
      </c>
      <c r="C32" s="8">
        <v>29</v>
      </c>
      <c r="D32" s="19"/>
      <c r="E32" s="409">
        <f ca="1">IFERROR(HLOOKUP(C32,Rango_Admin_DailyClas,3,FALSE),"-")</f>
        <v>28</v>
      </c>
      <c r="F32" s="448" t="str">
        <f ca="1">IFERROR(HLOOKUP(C32,Rango_Admin_DailyClas,5,FALSE),"-")</f>
        <v>Bart Kok</v>
      </c>
      <c r="G32" s="22">
        <f ca="1">IFERROR(HLOOKUP(C32,Rango_Admin_DailyClas,4,FALSE),"-")</f>
        <v>25</v>
      </c>
      <c r="H32" s="429">
        <f ca="1">IFERROR(VLOOKUP(H$2,Rango_Admin_DailyPred,MATCH($F32,Rango_Admin_DailyPred_Primera,0)+1,0),"-")</f>
        <v>0</v>
      </c>
      <c r="I32" s="429">
        <f ca="1">IFERROR(VLOOKUP(I$2,Rango_Admin_DailyPred,MATCH($F32,Rango_Admin_DailyPred_Primera,0)+1,0),"-")</f>
        <v>0</v>
      </c>
      <c r="J32" s="429">
        <f ca="1">IFERROR(VLOOKUP(J$2,Rango_Admin_DailyPred,MATCH($F32,Rango_Admin_DailyPred_Primera,0)+1,0),"-")</f>
        <v>0</v>
      </c>
      <c r="K32" s="429">
        <f ca="1">IFERROR(VLOOKUP(K$2,Rango_Admin_DailyPred,MATCH($F32,Rango_Admin_DailyPred_Primera,0)+1,0),"-")</f>
        <v>0</v>
      </c>
      <c r="L32" s="429">
        <f ca="1">IFERROR(VLOOKUP(L$2,Rango_Admin_DailyPred,MATCH($F32,Rango_Admin_DailyPred_Primera,0)+1,0),"-")</f>
        <v>0</v>
      </c>
      <c r="M32" s="429">
        <f ca="1">IFERROR(VLOOKUP(M$2,Rango_Admin_DailyPred,MATCH($F32,Rango_Admin_DailyPred_Primera,0)+1,0),"-")</f>
        <v>20</v>
      </c>
      <c r="N32" s="429">
        <f ca="1">IFERROR(VLOOKUP(N$2,Rango_Admin_DailyPred,MATCH($F32,Rango_Admin_DailyPred_Primera,0)+1,0),"-")</f>
        <v>0</v>
      </c>
      <c r="O32" s="429">
        <f ca="1">IFERROR(VLOOKUP(O$2,Rango_Admin_DailyPred,MATCH($F32,Rango_Admin_DailyPred_Primera,0)+1,0),"-")</f>
        <v>5</v>
      </c>
      <c r="P32" s="429">
        <f ca="1">IFERROR(VLOOKUP(P$2,Rango_Admin_DailyPred,MATCH($F32,Rango_Admin_DailyPred_Primera,0)+1,0),"-")</f>
        <v>0</v>
      </c>
      <c r="Q32" s="429">
        <f ca="1">IFERROR(VLOOKUP(Q$2,Rango_Admin_DailyPred,MATCH($F32,Rango_Admin_DailyPred_Primera,0)+1,0),"-")</f>
        <v>0</v>
      </c>
      <c r="R32" s="429">
        <f ca="1">IFERROR(VLOOKUP(R$2,Rango_Admin_DailyPred,MATCH($F32,Rango_Admin_DailyPred_Primera,0)+1,0),"-")</f>
        <v>0</v>
      </c>
      <c r="S32" s="429" t="str">
        <f ca="1">IFERROR(VLOOKUP(S$2,Rango_Admin_DailyPred,MATCH($F32,Rango_Admin_DailyPred_Primera,0)+1,0),"-")</f>
        <v>-</v>
      </c>
      <c r="T32" s="429" t="str">
        <f ca="1">IFERROR(VLOOKUP(T$2,Rango_Admin_DailyPred,MATCH($F32,Rango_Admin_DailyPred_Primera,0)+1,0),"-")</f>
        <v>-</v>
      </c>
      <c r="U32" s="429" t="str">
        <f ca="1">IFERROR(VLOOKUP(U$2,Rango_Admin_DailyPred,MATCH($F32,Rango_Admin_DailyPred_Primera,0)+1,0),"-")</f>
        <v>-</v>
      </c>
      <c r="V32" s="429" t="str">
        <f ca="1">IFERROR(VLOOKUP(V$2,Rango_Admin_DailyPred,MATCH($F32,Rango_Admin_DailyPred_Primera,0)+1,0),"-")</f>
        <v>-</v>
      </c>
      <c r="W32" s="429" t="str">
        <f ca="1">IFERROR(VLOOKUP(W$2,Rango_Admin_DailyPred,MATCH($F32,Rango_Admin_DailyPred_Primera,0)+1,0),"-")</f>
        <v>-</v>
      </c>
      <c r="X32" s="429" t="str">
        <f ca="1">IFERROR(VLOOKUP(X$2,Rango_Admin_DailyPred,MATCH($F32,Rango_Admin_DailyPred_Primera,0)+1,0),"-")</f>
        <v>-</v>
      </c>
      <c r="Y32" s="429" t="str">
        <f ca="1">IFERROR(VLOOKUP(Y$2,Rango_Admin_DailyPred,MATCH($F32,Rango_Admin_DailyPred_Primera,0)+1,0),"-")</f>
        <v>-</v>
      </c>
      <c r="Z32" s="429" t="str">
        <f ca="1">IFERROR(VLOOKUP(Z$2,Rango_Admin_DailyPred,MATCH($F32,Rango_Admin_DailyPred_Primera,0)+1,0),"-")</f>
        <v>-</v>
      </c>
      <c r="AA32" s="429" t="str">
        <f ca="1">IFERROR(VLOOKUP(AA$2,Rango_Admin_DailyPred,MATCH($F32,Rango_Admin_DailyPred_Primera,0)+1,0),"-")</f>
        <v>-</v>
      </c>
      <c r="AB32" s="429" t="str">
        <f ca="1">IFERROR(VLOOKUP(AB$2,Rango_Admin_DailyPred,MATCH($F32,Rango_Admin_DailyPred_Primera,0)+1,0),"-")</f>
        <v>-</v>
      </c>
      <c r="AC32" s="429" t="str">
        <f ca="1">IFERROR(VLOOKUP(AC$2,Rango_Admin_DailyPred,MATCH($F32,Rango_Admin_DailyPred_Primera,0)+1,0),"-")</f>
        <v>-</v>
      </c>
      <c r="AD32" s="429" t="str">
        <f ca="1">IFERROR(VLOOKUP(AD$2,Rango_Admin_DailyPred,MATCH($F32,Rango_Admin_DailyPred_Primera,0)+1,0),"-")</f>
        <v>-</v>
      </c>
      <c r="AE32" s="429" t="str">
        <f ca="1">IFERROR(VLOOKUP(AE$2,Rango_Admin_DailyPred,MATCH($F32,Rango_Admin_DailyPred_Primera,0)+1,0),"-")</f>
        <v>-</v>
      </c>
      <c r="AF32" s="429" t="str">
        <f ca="1">IFERROR(VLOOKUP(AF$2,Rango_Admin_DailyPred,MATCH($F32,Rango_Admin_DailyPred_Primera,0)+1,0),"-")</f>
        <v>-</v>
      </c>
      <c r="AG32" s="429" t="str">
        <f ca="1">IFERROR(VLOOKUP(AG$2,Rango_Admin_DailyPred,MATCH($F32,Rango_Admin_DailyPred_Primera,0)+1,0),"-")</f>
        <v>-</v>
      </c>
      <c r="AH32" s="429" t="str">
        <f ca="1">IFERROR(VLOOKUP(AH$2,Rango_Admin_DailyPred,MATCH($F32,Rango_Admin_DailyPred_Primera,0)+1,0),"-")</f>
        <v>-</v>
      </c>
      <c r="AI32" s="429" t="str">
        <f ca="1">IFERROR(VLOOKUP(AI$2,Rango_Admin_DailyPred,MATCH($F32,Rango_Admin_DailyPred_Primera,0)+1,0),"-")</f>
        <v>-</v>
      </c>
      <c r="AJ32" s="429" t="str">
        <f ca="1">IFERROR(VLOOKUP(AJ$2,Rango_Admin_DailyPred,MATCH($F32,Rango_Admin_DailyPred_Primera,0)+1,0),"-")</f>
        <v>-</v>
      </c>
      <c r="AK32" s="429" t="str">
        <f ca="1">IFERROR(VLOOKUP(AK$2,Rango_Admin_DailyPred,MATCH($F32,Rango_Admin_DailyPred_Primera,0)+1,0),"-")</f>
        <v>-</v>
      </c>
      <c r="AL32" s="429" t="str">
        <f ca="1">IFERROR(VLOOKUP(AL$2,Rango_Admin_DailyPred,MATCH($F32,Rango_Admin_DailyPred_Primera,0)+1,0),"-")</f>
        <v>-</v>
      </c>
      <c r="AM32" s="429" t="str">
        <f ca="1">IFERROR(VLOOKUP(AM$2,Rango_Admin_DailyPred,MATCH($F32,Rango_Admin_DailyPred_Primera,0)+1,0),"-")</f>
        <v>-</v>
      </c>
      <c r="AN32" s="297"/>
    </row>
    <row r="33" spans="1:40">
      <c r="A33" s="8" t="str" cm="1">
        <f t="array" aca="1" ref="A33" ca="1">IFERROR(INDEX(ADMIN!$K$6:$K$258,SMALL(IF(ADMIN!$G$6:$G$258=$K$1,ROW(ADMIN!$G$6:$G$258)-ROW(ADMIN!$G$6)+1),ROWS($A$1:A30))),"")</f>
        <v/>
      </c>
      <c r="B33" s="8" t="str" cm="1">
        <f t="array" aca="1" ref="B33" ca="1">IFERROR(IFERROR(INDEX(ADMIN!$K$6:$K$258,SMALL(IF($K$1=ADMIN!$G$6:$G$258,ROW(ADMIN!$K$6:$K$258)-MIN(ROW(ADMIN!$G$6:$G$258))+1,""),ROW()-3)),"")&amp;CHAR(10)&amp;IF(INDEX(ADMIN!$M$6:$M$258,SMALL(IF($K$1=ADMIN!$G$6:$G$258,ROW(ADMIN!$M$6:$M$258)-MIN(ROW(ADMIN!$G$6:$G$258))+1,""),ROW()-3))="0|-",""," ("&amp;INDEX(ADMIN!$M$6:$M$258,SMALL(IF($K$1=ADMIN!$G$6:$G$258,ROW(ADMIN!$M$6:$M$258)-MIN(ROW(ADMIN!$G$6:$G$258))+1,""),ROW()-3))&amp;")"),"")</f>
        <v/>
      </c>
      <c r="C33" s="8">
        <v>30</v>
      </c>
      <c r="D33" s="19"/>
      <c r="E33" s="409">
        <f ca="1">IFERROR(HLOOKUP(C33,Rango_Admin_DailyClas,3,FALSE),"-")</f>
        <v>30</v>
      </c>
      <c r="F33" s="448" t="str">
        <f ca="1">IFERROR(HLOOKUP(C33,Rango_Admin_DailyClas,5,FALSE),"-")</f>
        <v>sebastiaan jansen</v>
      </c>
      <c r="G33" s="22">
        <f ca="1">IFERROR(HLOOKUP(C33,Rango_Admin_DailyClas,4,FALSE),"-")</f>
        <v>24</v>
      </c>
      <c r="H33" s="429">
        <f ca="1">IFERROR(VLOOKUP(H$2,Rango_Admin_DailyPred,MATCH($F33,Rango_Admin_DailyPred_Primera,0)+1,0),"-")</f>
        <v>0</v>
      </c>
      <c r="I33" s="429">
        <f ca="1">IFERROR(VLOOKUP(I$2,Rango_Admin_DailyPred,MATCH($F33,Rango_Admin_DailyPred_Primera,0)+1,0),"-")</f>
        <v>0</v>
      </c>
      <c r="J33" s="429">
        <f ca="1">IFERROR(VLOOKUP(J$2,Rango_Admin_DailyPred,MATCH($F33,Rango_Admin_DailyPred_Primera,0)+1,0),"-")</f>
        <v>0</v>
      </c>
      <c r="K33" s="429">
        <f ca="1">IFERROR(VLOOKUP(K$2,Rango_Admin_DailyPred,MATCH($F33,Rango_Admin_DailyPred_Primera,0)+1,0),"-")</f>
        <v>0</v>
      </c>
      <c r="L33" s="429">
        <f ca="1">IFERROR(VLOOKUP(L$2,Rango_Admin_DailyPred,MATCH($F33,Rango_Admin_DailyPred_Primera,0)+1,0),"-")</f>
        <v>0</v>
      </c>
      <c r="M33" s="429">
        <f ca="1">IFERROR(VLOOKUP(M$2,Rango_Admin_DailyPred,MATCH($F33,Rango_Admin_DailyPred_Primera,0)+1,0),"-")</f>
        <v>20</v>
      </c>
      <c r="N33" s="429">
        <f ca="1">IFERROR(VLOOKUP(N$2,Rango_Admin_DailyPred,MATCH($F33,Rango_Admin_DailyPred_Primera,0)+1,0),"-")</f>
        <v>0</v>
      </c>
      <c r="O33" s="429">
        <f ca="1">IFERROR(VLOOKUP(O$2,Rango_Admin_DailyPred,MATCH($F33,Rango_Admin_DailyPred_Primera,0)+1,0),"-")</f>
        <v>0</v>
      </c>
      <c r="P33" s="429">
        <f ca="1">IFERROR(VLOOKUP(P$2,Rango_Admin_DailyPred,MATCH($F33,Rango_Admin_DailyPred_Primera,0)+1,0),"-")</f>
        <v>0</v>
      </c>
      <c r="Q33" s="429">
        <f ca="1">IFERROR(VLOOKUP(Q$2,Rango_Admin_DailyPred,MATCH($F33,Rango_Admin_DailyPred_Primera,0)+1,0),"-")</f>
        <v>0</v>
      </c>
      <c r="R33" s="429">
        <f ca="1">IFERROR(VLOOKUP(R$2,Rango_Admin_DailyPred,MATCH($F33,Rango_Admin_DailyPred_Primera,0)+1,0),"-")</f>
        <v>4</v>
      </c>
      <c r="S33" s="429" t="str">
        <f ca="1">IFERROR(VLOOKUP(S$2,Rango_Admin_DailyPred,MATCH($F33,Rango_Admin_DailyPred_Primera,0)+1,0),"-")</f>
        <v>-</v>
      </c>
      <c r="T33" s="429" t="str">
        <f ca="1">IFERROR(VLOOKUP(T$2,Rango_Admin_DailyPred,MATCH($F33,Rango_Admin_DailyPred_Primera,0)+1,0),"-")</f>
        <v>-</v>
      </c>
      <c r="U33" s="429" t="str">
        <f ca="1">IFERROR(VLOOKUP(U$2,Rango_Admin_DailyPred,MATCH($F33,Rango_Admin_DailyPred_Primera,0)+1,0),"-")</f>
        <v>-</v>
      </c>
      <c r="V33" s="429" t="str">
        <f ca="1">IFERROR(VLOOKUP(V$2,Rango_Admin_DailyPred,MATCH($F33,Rango_Admin_DailyPred_Primera,0)+1,0),"-")</f>
        <v>-</v>
      </c>
      <c r="W33" s="429" t="str">
        <f ca="1">IFERROR(VLOOKUP(W$2,Rango_Admin_DailyPred,MATCH($F33,Rango_Admin_DailyPred_Primera,0)+1,0),"-")</f>
        <v>-</v>
      </c>
      <c r="X33" s="429" t="str">
        <f ca="1">IFERROR(VLOOKUP(X$2,Rango_Admin_DailyPred,MATCH($F33,Rango_Admin_DailyPred_Primera,0)+1,0),"-")</f>
        <v>-</v>
      </c>
      <c r="Y33" s="429" t="str">
        <f ca="1">IFERROR(VLOOKUP(Y$2,Rango_Admin_DailyPred,MATCH($F33,Rango_Admin_DailyPred_Primera,0)+1,0),"-")</f>
        <v>-</v>
      </c>
      <c r="Z33" s="429" t="str">
        <f ca="1">IFERROR(VLOOKUP(Z$2,Rango_Admin_DailyPred,MATCH($F33,Rango_Admin_DailyPred_Primera,0)+1,0),"-")</f>
        <v>-</v>
      </c>
      <c r="AA33" s="429" t="str">
        <f ca="1">IFERROR(VLOOKUP(AA$2,Rango_Admin_DailyPred,MATCH($F33,Rango_Admin_DailyPred_Primera,0)+1,0),"-")</f>
        <v>-</v>
      </c>
      <c r="AB33" s="429" t="str">
        <f ca="1">IFERROR(VLOOKUP(AB$2,Rango_Admin_DailyPred,MATCH($F33,Rango_Admin_DailyPred_Primera,0)+1,0),"-")</f>
        <v>-</v>
      </c>
      <c r="AC33" s="429" t="str">
        <f ca="1">IFERROR(VLOOKUP(AC$2,Rango_Admin_DailyPred,MATCH($F33,Rango_Admin_DailyPred_Primera,0)+1,0),"-")</f>
        <v>-</v>
      </c>
      <c r="AD33" s="429" t="str">
        <f ca="1">IFERROR(VLOOKUP(AD$2,Rango_Admin_DailyPred,MATCH($F33,Rango_Admin_DailyPred_Primera,0)+1,0),"-")</f>
        <v>-</v>
      </c>
      <c r="AE33" s="429" t="str">
        <f ca="1">IFERROR(VLOOKUP(AE$2,Rango_Admin_DailyPred,MATCH($F33,Rango_Admin_DailyPred_Primera,0)+1,0),"-")</f>
        <v>-</v>
      </c>
      <c r="AF33" s="429" t="str">
        <f ca="1">IFERROR(VLOOKUP(AF$2,Rango_Admin_DailyPred,MATCH($F33,Rango_Admin_DailyPred_Primera,0)+1,0),"-")</f>
        <v>-</v>
      </c>
      <c r="AG33" s="429" t="str">
        <f ca="1">IFERROR(VLOOKUP(AG$2,Rango_Admin_DailyPred,MATCH($F33,Rango_Admin_DailyPred_Primera,0)+1,0),"-")</f>
        <v>-</v>
      </c>
      <c r="AH33" s="429" t="str">
        <f ca="1">IFERROR(VLOOKUP(AH$2,Rango_Admin_DailyPred,MATCH($F33,Rango_Admin_DailyPred_Primera,0)+1,0),"-")</f>
        <v>-</v>
      </c>
      <c r="AI33" s="429" t="str">
        <f ca="1">IFERROR(VLOOKUP(AI$2,Rango_Admin_DailyPred,MATCH($F33,Rango_Admin_DailyPred_Primera,0)+1,0),"-")</f>
        <v>-</v>
      </c>
      <c r="AJ33" s="429" t="str">
        <f ca="1">IFERROR(VLOOKUP(AJ$2,Rango_Admin_DailyPred,MATCH($F33,Rango_Admin_DailyPred_Primera,0)+1,0),"-")</f>
        <v>-</v>
      </c>
      <c r="AK33" s="429" t="str">
        <f ca="1">IFERROR(VLOOKUP(AK$2,Rango_Admin_DailyPred,MATCH($F33,Rango_Admin_DailyPred_Primera,0)+1,0),"-")</f>
        <v>-</v>
      </c>
      <c r="AL33" s="429" t="str">
        <f ca="1">IFERROR(VLOOKUP(AL$2,Rango_Admin_DailyPred,MATCH($F33,Rango_Admin_DailyPred_Primera,0)+1,0),"-")</f>
        <v>-</v>
      </c>
      <c r="AM33" s="429" t="str">
        <f ca="1">IFERROR(VLOOKUP(AM$2,Rango_Admin_DailyPred,MATCH($F33,Rango_Admin_DailyPred_Primera,0)+1,0),"-")</f>
        <v>-</v>
      </c>
      <c r="AN33" s="297"/>
    </row>
    <row r="34" spans="1:40">
      <c r="A34" s="8" t="str" cm="1">
        <f t="array" aca="1" ref="A34" ca="1">IFERROR(INDEX(ADMIN!$K$6:$K$258,SMALL(IF(ADMIN!$G$6:$G$258=$K$1,ROW(ADMIN!$G$6:$G$258)-ROW(ADMIN!$G$6)+1),ROWS($A$1:A31))),"")</f>
        <v/>
      </c>
      <c r="B34" s="8" t="str" cm="1">
        <f t="array" aca="1" ref="B34" ca="1">IFERROR(IFERROR(INDEX(ADMIN!$K$6:$K$258,SMALL(IF($K$1=ADMIN!$G$6:$G$258,ROW(ADMIN!$K$6:$K$258)-MIN(ROW(ADMIN!$G$6:$G$258))+1,""),ROW()-3)),"")&amp;CHAR(10)&amp;IF(INDEX(ADMIN!$M$6:$M$258,SMALL(IF($K$1=ADMIN!$G$6:$G$258,ROW(ADMIN!$M$6:$M$258)-MIN(ROW(ADMIN!$G$6:$G$258))+1,""),ROW()-3))="0|-",""," ("&amp;INDEX(ADMIN!$M$6:$M$258,SMALL(IF($K$1=ADMIN!$G$6:$G$258,ROW(ADMIN!$M$6:$M$258)-MIN(ROW(ADMIN!$G$6:$G$258))+1,""),ROW()-3))&amp;")"),"")</f>
        <v/>
      </c>
      <c r="C34" s="8">
        <v>31</v>
      </c>
      <c r="D34" s="19"/>
      <c r="E34" s="409">
        <f ca="1">IFERROR(HLOOKUP(C34,Rango_Admin_DailyClas,3,FALSE),"-")</f>
        <v>31</v>
      </c>
      <c r="F34" s="448" t="str">
        <f ca="1">IFERROR(HLOOKUP(C34,Rango_Admin_DailyClas,5,FALSE),"-")</f>
        <v>Stefan Kempers</v>
      </c>
      <c r="G34" s="22">
        <f ca="1">IFERROR(HLOOKUP(C34,Rango_Admin_DailyClas,4,FALSE),"-")</f>
        <v>20</v>
      </c>
      <c r="H34" s="429">
        <f ca="1">IFERROR(VLOOKUP(H$2,Rango_Admin_DailyPred,MATCH($F34,Rango_Admin_DailyPred_Primera,0)+1,0),"-")</f>
        <v>0</v>
      </c>
      <c r="I34" s="429">
        <f ca="1">IFERROR(VLOOKUP(I$2,Rango_Admin_DailyPred,MATCH($F34,Rango_Admin_DailyPred_Primera,0)+1,0),"-")</f>
        <v>0</v>
      </c>
      <c r="J34" s="429">
        <f ca="1">IFERROR(VLOOKUP(J$2,Rango_Admin_DailyPred,MATCH($F34,Rango_Admin_DailyPred_Primera,0)+1,0),"-")</f>
        <v>0</v>
      </c>
      <c r="K34" s="429">
        <f ca="1">IFERROR(VLOOKUP(K$2,Rango_Admin_DailyPred,MATCH($F34,Rango_Admin_DailyPred_Primera,0)+1,0),"-")</f>
        <v>0</v>
      </c>
      <c r="L34" s="429">
        <f ca="1">IFERROR(VLOOKUP(L$2,Rango_Admin_DailyPred,MATCH($F34,Rango_Admin_DailyPred_Primera,0)+1,0),"-")</f>
        <v>0</v>
      </c>
      <c r="M34" s="429">
        <f ca="1">IFERROR(VLOOKUP(M$2,Rango_Admin_DailyPred,MATCH($F34,Rango_Admin_DailyPred_Primera,0)+1,0),"-")</f>
        <v>20</v>
      </c>
      <c r="N34" s="429">
        <f ca="1">IFERROR(VLOOKUP(N$2,Rango_Admin_DailyPred,MATCH($F34,Rango_Admin_DailyPred_Primera,0)+1,0),"-")</f>
        <v>0</v>
      </c>
      <c r="O34" s="429">
        <f ca="1">IFERROR(VLOOKUP(O$2,Rango_Admin_DailyPred,MATCH($F34,Rango_Admin_DailyPred_Primera,0)+1,0),"-")</f>
        <v>0</v>
      </c>
      <c r="P34" s="429">
        <f ca="1">IFERROR(VLOOKUP(P$2,Rango_Admin_DailyPred,MATCH($F34,Rango_Admin_DailyPred_Primera,0)+1,0),"-")</f>
        <v>0</v>
      </c>
      <c r="Q34" s="429">
        <f ca="1">IFERROR(VLOOKUP(Q$2,Rango_Admin_DailyPred,MATCH($F34,Rango_Admin_DailyPred_Primera,0)+1,0),"-")</f>
        <v>0</v>
      </c>
      <c r="R34" s="429">
        <f ca="1">IFERROR(VLOOKUP(R$2,Rango_Admin_DailyPred,MATCH($F34,Rango_Admin_DailyPred_Primera,0)+1,0),"-")</f>
        <v>0</v>
      </c>
      <c r="S34" s="429" t="str">
        <f ca="1">IFERROR(VLOOKUP(S$2,Rango_Admin_DailyPred,MATCH($F34,Rango_Admin_DailyPred_Primera,0)+1,0),"-")</f>
        <v>-</v>
      </c>
      <c r="T34" s="429" t="str">
        <f ca="1">IFERROR(VLOOKUP(T$2,Rango_Admin_DailyPred,MATCH($F34,Rango_Admin_DailyPred_Primera,0)+1,0),"-")</f>
        <v>-</v>
      </c>
      <c r="U34" s="429" t="str">
        <f ca="1">IFERROR(VLOOKUP(U$2,Rango_Admin_DailyPred,MATCH($F34,Rango_Admin_DailyPred_Primera,0)+1,0),"-")</f>
        <v>-</v>
      </c>
      <c r="V34" s="429" t="str">
        <f ca="1">IFERROR(VLOOKUP(V$2,Rango_Admin_DailyPred,MATCH($F34,Rango_Admin_DailyPred_Primera,0)+1,0),"-")</f>
        <v>-</v>
      </c>
      <c r="W34" s="429" t="str">
        <f ca="1">IFERROR(VLOOKUP(W$2,Rango_Admin_DailyPred,MATCH($F34,Rango_Admin_DailyPred_Primera,0)+1,0),"-")</f>
        <v>-</v>
      </c>
      <c r="X34" s="429" t="str">
        <f ca="1">IFERROR(VLOOKUP(X$2,Rango_Admin_DailyPred,MATCH($F34,Rango_Admin_DailyPred_Primera,0)+1,0),"-")</f>
        <v>-</v>
      </c>
      <c r="Y34" s="429" t="str">
        <f ca="1">IFERROR(VLOOKUP(Y$2,Rango_Admin_DailyPred,MATCH($F34,Rango_Admin_DailyPred_Primera,0)+1,0),"-")</f>
        <v>-</v>
      </c>
      <c r="Z34" s="429" t="str">
        <f ca="1">IFERROR(VLOOKUP(Z$2,Rango_Admin_DailyPred,MATCH($F34,Rango_Admin_DailyPred_Primera,0)+1,0),"-")</f>
        <v>-</v>
      </c>
      <c r="AA34" s="429" t="str">
        <f ca="1">IFERROR(VLOOKUP(AA$2,Rango_Admin_DailyPred,MATCH($F34,Rango_Admin_DailyPred_Primera,0)+1,0),"-")</f>
        <v>-</v>
      </c>
      <c r="AB34" s="429" t="str">
        <f ca="1">IFERROR(VLOOKUP(AB$2,Rango_Admin_DailyPred,MATCH($F34,Rango_Admin_DailyPred_Primera,0)+1,0),"-")</f>
        <v>-</v>
      </c>
      <c r="AC34" s="429" t="str">
        <f ca="1">IFERROR(VLOOKUP(AC$2,Rango_Admin_DailyPred,MATCH($F34,Rango_Admin_DailyPred_Primera,0)+1,0),"-")</f>
        <v>-</v>
      </c>
      <c r="AD34" s="429" t="str">
        <f ca="1">IFERROR(VLOOKUP(AD$2,Rango_Admin_DailyPred,MATCH($F34,Rango_Admin_DailyPred_Primera,0)+1,0),"-")</f>
        <v>-</v>
      </c>
      <c r="AE34" s="429" t="str">
        <f ca="1">IFERROR(VLOOKUP(AE$2,Rango_Admin_DailyPred,MATCH($F34,Rango_Admin_DailyPred_Primera,0)+1,0),"-")</f>
        <v>-</v>
      </c>
      <c r="AF34" s="429" t="str">
        <f ca="1">IFERROR(VLOOKUP(AF$2,Rango_Admin_DailyPred,MATCH($F34,Rango_Admin_DailyPred_Primera,0)+1,0),"-")</f>
        <v>-</v>
      </c>
      <c r="AG34" s="429" t="str">
        <f ca="1">IFERROR(VLOOKUP(AG$2,Rango_Admin_DailyPred,MATCH($F34,Rango_Admin_DailyPred_Primera,0)+1,0),"-")</f>
        <v>-</v>
      </c>
      <c r="AH34" s="429" t="str">
        <f ca="1">IFERROR(VLOOKUP(AH$2,Rango_Admin_DailyPred,MATCH($F34,Rango_Admin_DailyPred_Primera,0)+1,0),"-")</f>
        <v>-</v>
      </c>
      <c r="AI34" s="429" t="str">
        <f ca="1">IFERROR(VLOOKUP(AI$2,Rango_Admin_DailyPred,MATCH($F34,Rango_Admin_DailyPred_Primera,0)+1,0),"-")</f>
        <v>-</v>
      </c>
      <c r="AJ34" s="429" t="str">
        <f ca="1">IFERROR(VLOOKUP(AJ$2,Rango_Admin_DailyPred,MATCH($F34,Rango_Admin_DailyPred_Primera,0)+1,0),"-")</f>
        <v>-</v>
      </c>
      <c r="AK34" s="429" t="str">
        <f ca="1">IFERROR(VLOOKUP(AK$2,Rango_Admin_DailyPred,MATCH($F34,Rango_Admin_DailyPred_Primera,0)+1,0),"-")</f>
        <v>-</v>
      </c>
      <c r="AL34" s="429" t="str">
        <f ca="1">IFERROR(VLOOKUP(AL$2,Rango_Admin_DailyPred,MATCH($F34,Rango_Admin_DailyPred_Primera,0)+1,0),"-")</f>
        <v>-</v>
      </c>
      <c r="AM34" s="429" t="str">
        <f ca="1">IFERROR(VLOOKUP(AM$2,Rango_Admin_DailyPred,MATCH($F34,Rango_Admin_DailyPred_Primera,0)+1,0),"-")</f>
        <v>-</v>
      </c>
      <c r="AN34" s="297"/>
    </row>
    <row r="35" spans="1:40">
      <c r="A35" s="8" t="str" cm="1">
        <f t="array" aca="1" ref="A35" ca="1">IFERROR(INDEX(ADMIN!$K$6:$K$258,SMALL(IF(ADMIN!$G$6:$G$258=$K$1,ROW(ADMIN!$G$6:$G$258)-ROW(ADMIN!$G$6)+1),ROWS($A$1:A32))),"")</f>
        <v/>
      </c>
      <c r="B35" s="8" t="str" cm="1">
        <f t="array" aca="1" ref="B35" ca="1">IFERROR(IFERROR(INDEX(ADMIN!$K$6:$K$258,SMALL(IF($K$1=ADMIN!$G$6:$G$258,ROW(ADMIN!$K$6:$K$258)-MIN(ROW(ADMIN!$G$6:$G$258))+1,""),ROW()-3)),"")&amp;CHAR(10)&amp;IF(INDEX(ADMIN!$M$6:$M$258,SMALL(IF($K$1=ADMIN!$G$6:$G$258,ROW(ADMIN!$M$6:$M$258)-MIN(ROW(ADMIN!$G$6:$G$258))+1,""),ROW()-3))="0|-",""," ("&amp;INDEX(ADMIN!$M$6:$M$258,SMALL(IF($K$1=ADMIN!$G$6:$G$258,ROW(ADMIN!$M$6:$M$258)-MIN(ROW(ADMIN!$G$6:$G$258))+1,""),ROW()-3))&amp;")"),"")</f>
        <v/>
      </c>
      <c r="C35" s="8">
        <v>32</v>
      </c>
      <c r="D35" s="19"/>
      <c r="E35" s="409">
        <f ca="1">IFERROR(HLOOKUP(C35,Rango_Admin_DailyClas,3,FALSE),"-")</f>
        <v>31</v>
      </c>
      <c r="F35" s="448" t="str">
        <f ca="1">IFERROR(HLOOKUP(C35,Rango_Admin_DailyClas,5,FALSE),"-")</f>
        <v>Niels Besselink</v>
      </c>
      <c r="G35" s="22">
        <f ca="1">IFERROR(HLOOKUP(C35,Rango_Admin_DailyClas,4,FALSE),"-")</f>
        <v>20</v>
      </c>
      <c r="H35" s="429">
        <f ca="1">IFERROR(VLOOKUP(H$2,Rango_Admin_DailyPred,MATCH($F35,Rango_Admin_DailyPred_Primera,0)+1,0),"-")</f>
        <v>0</v>
      </c>
      <c r="I35" s="429">
        <f ca="1">IFERROR(VLOOKUP(I$2,Rango_Admin_DailyPred,MATCH($F35,Rango_Admin_DailyPred_Primera,0)+1,0),"-")</f>
        <v>0</v>
      </c>
      <c r="J35" s="429">
        <f ca="1">IFERROR(VLOOKUP(J$2,Rango_Admin_DailyPred,MATCH($F35,Rango_Admin_DailyPred_Primera,0)+1,0),"-")</f>
        <v>0</v>
      </c>
      <c r="K35" s="429">
        <f ca="1">IFERROR(VLOOKUP(K$2,Rango_Admin_DailyPred,MATCH($F35,Rango_Admin_DailyPred_Primera,0)+1,0),"-")</f>
        <v>0</v>
      </c>
      <c r="L35" s="429">
        <f ca="1">IFERROR(VLOOKUP(L$2,Rango_Admin_DailyPred,MATCH($F35,Rango_Admin_DailyPred_Primera,0)+1,0),"-")</f>
        <v>0</v>
      </c>
      <c r="M35" s="429">
        <f ca="1">IFERROR(VLOOKUP(M$2,Rango_Admin_DailyPred,MATCH($F35,Rango_Admin_DailyPred_Primera,0)+1,0),"-")</f>
        <v>20</v>
      </c>
      <c r="N35" s="429">
        <f ca="1">IFERROR(VLOOKUP(N$2,Rango_Admin_DailyPred,MATCH($F35,Rango_Admin_DailyPred_Primera,0)+1,0),"-")</f>
        <v>0</v>
      </c>
      <c r="O35" s="429">
        <f ca="1">IFERROR(VLOOKUP(O$2,Rango_Admin_DailyPred,MATCH($F35,Rango_Admin_DailyPred_Primera,0)+1,0),"-")</f>
        <v>0</v>
      </c>
      <c r="P35" s="429">
        <f ca="1">IFERROR(VLOOKUP(P$2,Rango_Admin_DailyPred,MATCH($F35,Rango_Admin_DailyPred_Primera,0)+1,0),"-")</f>
        <v>0</v>
      </c>
      <c r="Q35" s="429">
        <f ca="1">IFERROR(VLOOKUP(Q$2,Rango_Admin_DailyPred,MATCH($F35,Rango_Admin_DailyPred_Primera,0)+1,0),"-")</f>
        <v>0</v>
      </c>
      <c r="R35" s="429">
        <f ca="1">IFERROR(VLOOKUP(R$2,Rango_Admin_DailyPred,MATCH($F35,Rango_Admin_DailyPred_Primera,0)+1,0),"-")</f>
        <v>0</v>
      </c>
      <c r="S35" s="429" t="str">
        <f ca="1">IFERROR(VLOOKUP(S$2,Rango_Admin_DailyPred,MATCH($F35,Rango_Admin_DailyPred_Primera,0)+1,0),"-")</f>
        <v>-</v>
      </c>
      <c r="T35" s="429" t="str">
        <f ca="1">IFERROR(VLOOKUP(T$2,Rango_Admin_DailyPred,MATCH($F35,Rango_Admin_DailyPred_Primera,0)+1,0),"-")</f>
        <v>-</v>
      </c>
      <c r="U35" s="429" t="str">
        <f ca="1">IFERROR(VLOOKUP(U$2,Rango_Admin_DailyPred,MATCH($F35,Rango_Admin_DailyPred_Primera,0)+1,0),"-")</f>
        <v>-</v>
      </c>
      <c r="V35" s="429" t="str">
        <f ca="1">IFERROR(VLOOKUP(V$2,Rango_Admin_DailyPred,MATCH($F35,Rango_Admin_DailyPred_Primera,0)+1,0),"-")</f>
        <v>-</v>
      </c>
      <c r="W35" s="429" t="str">
        <f ca="1">IFERROR(VLOOKUP(W$2,Rango_Admin_DailyPred,MATCH($F35,Rango_Admin_DailyPred_Primera,0)+1,0),"-")</f>
        <v>-</v>
      </c>
      <c r="X35" s="429" t="str">
        <f ca="1">IFERROR(VLOOKUP(X$2,Rango_Admin_DailyPred,MATCH($F35,Rango_Admin_DailyPred_Primera,0)+1,0),"-")</f>
        <v>-</v>
      </c>
      <c r="Y35" s="429" t="str">
        <f ca="1">IFERROR(VLOOKUP(Y$2,Rango_Admin_DailyPred,MATCH($F35,Rango_Admin_DailyPred_Primera,0)+1,0),"-")</f>
        <v>-</v>
      </c>
      <c r="Z35" s="429" t="str">
        <f ca="1">IFERROR(VLOOKUP(Z$2,Rango_Admin_DailyPred,MATCH($F35,Rango_Admin_DailyPred_Primera,0)+1,0),"-")</f>
        <v>-</v>
      </c>
      <c r="AA35" s="429" t="str">
        <f ca="1">IFERROR(VLOOKUP(AA$2,Rango_Admin_DailyPred,MATCH($F35,Rango_Admin_DailyPred_Primera,0)+1,0),"-")</f>
        <v>-</v>
      </c>
      <c r="AB35" s="429" t="str">
        <f ca="1">IFERROR(VLOOKUP(AB$2,Rango_Admin_DailyPred,MATCH($F35,Rango_Admin_DailyPred_Primera,0)+1,0),"-")</f>
        <v>-</v>
      </c>
      <c r="AC35" s="429" t="str">
        <f ca="1">IFERROR(VLOOKUP(AC$2,Rango_Admin_DailyPred,MATCH($F35,Rango_Admin_DailyPred_Primera,0)+1,0),"-")</f>
        <v>-</v>
      </c>
      <c r="AD35" s="429" t="str">
        <f ca="1">IFERROR(VLOOKUP(AD$2,Rango_Admin_DailyPred,MATCH($F35,Rango_Admin_DailyPred_Primera,0)+1,0),"-")</f>
        <v>-</v>
      </c>
      <c r="AE35" s="429" t="str">
        <f ca="1">IFERROR(VLOOKUP(AE$2,Rango_Admin_DailyPred,MATCH($F35,Rango_Admin_DailyPred_Primera,0)+1,0),"-")</f>
        <v>-</v>
      </c>
      <c r="AF35" s="429" t="str">
        <f ca="1">IFERROR(VLOOKUP(AF$2,Rango_Admin_DailyPred,MATCH($F35,Rango_Admin_DailyPred_Primera,0)+1,0),"-")</f>
        <v>-</v>
      </c>
      <c r="AG35" s="429" t="str">
        <f ca="1">IFERROR(VLOOKUP(AG$2,Rango_Admin_DailyPred,MATCH($F35,Rango_Admin_DailyPred_Primera,0)+1,0),"-")</f>
        <v>-</v>
      </c>
      <c r="AH35" s="429" t="str">
        <f ca="1">IFERROR(VLOOKUP(AH$2,Rango_Admin_DailyPred,MATCH($F35,Rango_Admin_DailyPred_Primera,0)+1,0),"-")</f>
        <v>-</v>
      </c>
      <c r="AI35" s="429" t="str">
        <f ca="1">IFERROR(VLOOKUP(AI$2,Rango_Admin_DailyPred,MATCH($F35,Rango_Admin_DailyPred_Primera,0)+1,0),"-")</f>
        <v>-</v>
      </c>
      <c r="AJ35" s="429" t="str">
        <f ca="1">IFERROR(VLOOKUP(AJ$2,Rango_Admin_DailyPred,MATCH($F35,Rango_Admin_DailyPred_Primera,0)+1,0),"-")</f>
        <v>-</v>
      </c>
      <c r="AK35" s="429" t="str">
        <f ca="1">IFERROR(VLOOKUP(AK$2,Rango_Admin_DailyPred,MATCH($F35,Rango_Admin_DailyPred_Primera,0)+1,0),"-")</f>
        <v>-</v>
      </c>
      <c r="AL35" s="429" t="str">
        <f ca="1">IFERROR(VLOOKUP(AL$2,Rango_Admin_DailyPred,MATCH($F35,Rango_Admin_DailyPred_Primera,0)+1,0),"-")</f>
        <v>-</v>
      </c>
      <c r="AM35" s="429" t="str">
        <f ca="1">IFERROR(VLOOKUP(AM$2,Rango_Admin_DailyPred,MATCH($F35,Rango_Admin_DailyPred_Primera,0)+1,0),"-")</f>
        <v>-</v>
      </c>
      <c r="AN35" s="297"/>
    </row>
    <row r="36" spans="1:40">
      <c r="A36" s="8"/>
      <c r="B36" s="8"/>
      <c r="C36" s="8">
        <v>33</v>
      </c>
      <c r="D36" s="19"/>
      <c r="E36" s="409">
        <f ca="1">IFERROR(HLOOKUP(C36,Rango_Admin_DailyClas,3,FALSE),"-")</f>
        <v>31</v>
      </c>
      <c r="F36" s="448" t="str">
        <f ca="1">IFERROR(HLOOKUP(C36,Rango_Admin_DailyClas,5,FALSE),"-")</f>
        <v>Bart Olde Keizer</v>
      </c>
      <c r="G36" s="22">
        <f ca="1">IFERROR(HLOOKUP(C36,Rango_Admin_DailyClas,4,FALSE),"-")</f>
        <v>20</v>
      </c>
      <c r="H36" s="429">
        <f ca="1">IFERROR(VLOOKUP(H$2,Rango_Admin_DailyPred,MATCH($F36,Rango_Admin_DailyPred_Primera,0)+1,0),"-")</f>
        <v>0</v>
      </c>
      <c r="I36" s="429">
        <f ca="1">IFERROR(VLOOKUP(I$2,Rango_Admin_DailyPred,MATCH($F36,Rango_Admin_DailyPred_Primera,0)+1,0),"-")</f>
        <v>0</v>
      </c>
      <c r="J36" s="429">
        <f ca="1">IFERROR(VLOOKUP(J$2,Rango_Admin_DailyPred,MATCH($F36,Rango_Admin_DailyPred_Primera,0)+1,0),"-")</f>
        <v>0</v>
      </c>
      <c r="K36" s="429">
        <f ca="1">IFERROR(VLOOKUP(K$2,Rango_Admin_DailyPred,MATCH($F36,Rango_Admin_DailyPred_Primera,0)+1,0),"-")</f>
        <v>0</v>
      </c>
      <c r="L36" s="429">
        <f ca="1">IFERROR(VLOOKUP(L$2,Rango_Admin_DailyPred,MATCH($F36,Rango_Admin_DailyPred_Primera,0)+1,0),"-")</f>
        <v>20</v>
      </c>
      <c r="M36" s="429">
        <f ca="1">IFERROR(VLOOKUP(M$2,Rango_Admin_DailyPred,MATCH($F36,Rango_Admin_DailyPred_Primera,0)+1,0),"-")</f>
        <v>0</v>
      </c>
      <c r="N36" s="429">
        <f ca="1">IFERROR(VLOOKUP(N$2,Rango_Admin_DailyPred,MATCH($F36,Rango_Admin_DailyPred_Primera,0)+1,0),"-")</f>
        <v>0</v>
      </c>
      <c r="O36" s="429">
        <f ca="1">IFERROR(VLOOKUP(O$2,Rango_Admin_DailyPred,MATCH($F36,Rango_Admin_DailyPred_Primera,0)+1,0),"-")</f>
        <v>0</v>
      </c>
      <c r="P36" s="429">
        <f ca="1">IFERROR(VLOOKUP(P$2,Rango_Admin_DailyPred,MATCH($F36,Rango_Admin_DailyPred_Primera,0)+1,0),"-")</f>
        <v>0</v>
      </c>
      <c r="Q36" s="429">
        <f ca="1">IFERROR(VLOOKUP(Q$2,Rango_Admin_DailyPred,MATCH($F36,Rango_Admin_DailyPred_Primera,0)+1,0),"-")</f>
        <v>0</v>
      </c>
      <c r="R36" s="429">
        <f ca="1">IFERROR(VLOOKUP(R$2,Rango_Admin_DailyPred,MATCH($F36,Rango_Admin_DailyPred_Primera,0)+1,0),"-")</f>
        <v>0</v>
      </c>
      <c r="S36" s="429" t="str">
        <f ca="1">IFERROR(VLOOKUP(S$2,Rango_Admin_DailyPred,MATCH($F36,Rango_Admin_DailyPred_Primera,0)+1,0),"-")</f>
        <v>-</v>
      </c>
      <c r="T36" s="429" t="str">
        <f ca="1">IFERROR(VLOOKUP(T$2,Rango_Admin_DailyPred,MATCH($F36,Rango_Admin_DailyPred_Primera,0)+1,0),"-")</f>
        <v>-</v>
      </c>
      <c r="U36" s="429" t="str">
        <f ca="1">IFERROR(VLOOKUP(U$2,Rango_Admin_DailyPred,MATCH($F36,Rango_Admin_DailyPred_Primera,0)+1,0),"-")</f>
        <v>-</v>
      </c>
      <c r="V36" s="429" t="str">
        <f ca="1">IFERROR(VLOOKUP(V$2,Rango_Admin_DailyPred,MATCH($F36,Rango_Admin_DailyPred_Primera,0)+1,0),"-")</f>
        <v>-</v>
      </c>
      <c r="W36" s="429" t="str">
        <f ca="1">IFERROR(VLOOKUP(W$2,Rango_Admin_DailyPred,MATCH($F36,Rango_Admin_DailyPred_Primera,0)+1,0),"-")</f>
        <v>-</v>
      </c>
      <c r="X36" s="429" t="str">
        <f ca="1">IFERROR(VLOOKUP(X$2,Rango_Admin_DailyPred,MATCH($F36,Rango_Admin_DailyPred_Primera,0)+1,0),"-")</f>
        <v>-</v>
      </c>
      <c r="Y36" s="429" t="str">
        <f ca="1">IFERROR(VLOOKUP(Y$2,Rango_Admin_DailyPred,MATCH($F36,Rango_Admin_DailyPred_Primera,0)+1,0),"-")</f>
        <v>-</v>
      </c>
      <c r="Z36" s="429" t="str">
        <f ca="1">IFERROR(VLOOKUP(Z$2,Rango_Admin_DailyPred,MATCH($F36,Rango_Admin_DailyPred_Primera,0)+1,0),"-")</f>
        <v>-</v>
      </c>
      <c r="AA36" s="429" t="str">
        <f ca="1">IFERROR(VLOOKUP(AA$2,Rango_Admin_DailyPred,MATCH($F36,Rango_Admin_DailyPred_Primera,0)+1,0),"-")</f>
        <v>-</v>
      </c>
      <c r="AB36" s="429" t="str">
        <f ca="1">IFERROR(VLOOKUP(AB$2,Rango_Admin_DailyPred,MATCH($F36,Rango_Admin_DailyPred_Primera,0)+1,0),"-")</f>
        <v>-</v>
      </c>
      <c r="AC36" s="429" t="str">
        <f ca="1">IFERROR(VLOOKUP(AC$2,Rango_Admin_DailyPred,MATCH($F36,Rango_Admin_DailyPred_Primera,0)+1,0),"-")</f>
        <v>-</v>
      </c>
      <c r="AD36" s="429" t="str">
        <f ca="1">IFERROR(VLOOKUP(AD$2,Rango_Admin_DailyPred,MATCH($F36,Rango_Admin_DailyPred_Primera,0)+1,0),"-")</f>
        <v>-</v>
      </c>
      <c r="AE36" s="429" t="str">
        <f ca="1">IFERROR(VLOOKUP(AE$2,Rango_Admin_DailyPred,MATCH($F36,Rango_Admin_DailyPred_Primera,0)+1,0),"-")</f>
        <v>-</v>
      </c>
      <c r="AF36" s="429" t="str">
        <f ca="1">IFERROR(VLOOKUP(AF$2,Rango_Admin_DailyPred,MATCH($F36,Rango_Admin_DailyPred_Primera,0)+1,0),"-")</f>
        <v>-</v>
      </c>
      <c r="AG36" s="429" t="str">
        <f ca="1">IFERROR(VLOOKUP(AG$2,Rango_Admin_DailyPred,MATCH($F36,Rango_Admin_DailyPred_Primera,0)+1,0),"-")</f>
        <v>-</v>
      </c>
      <c r="AH36" s="429" t="str">
        <f ca="1">IFERROR(VLOOKUP(AH$2,Rango_Admin_DailyPred,MATCH($F36,Rango_Admin_DailyPred_Primera,0)+1,0),"-")</f>
        <v>-</v>
      </c>
      <c r="AI36" s="429" t="str">
        <f ca="1">IFERROR(VLOOKUP(AI$2,Rango_Admin_DailyPred,MATCH($F36,Rango_Admin_DailyPred_Primera,0)+1,0),"-")</f>
        <v>-</v>
      </c>
      <c r="AJ36" s="429" t="str">
        <f ca="1">IFERROR(VLOOKUP(AJ$2,Rango_Admin_DailyPred,MATCH($F36,Rango_Admin_DailyPred_Primera,0)+1,0),"-")</f>
        <v>-</v>
      </c>
      <c r="AK36" s="429" t="str">
        <f ca="1">IFERROR(VLOOKUP(AK$2,Rango_Admin_DailyPred,MATCH($F36,Rango_Admin_DailyPred_Primera,0)+1,0),"-")</f>
        <v>-</v>
      </c>
      <c r="AL36" s="429" t="str">
        <f ca="1">IFERROR(VLOOKUP(AL$2,Rango_Admin_DailyPred,MATCH($F36,Rango_Admin_DailyPred_Primera,0)+1,0),"-")</f>
        <v>-</v>
      </c>
      <c r="AM36" s="429" t="str">
        <f ca="1">IFERROR(VLOOKUP(AM$2,Rango_Admin_DailyPred,MATCH($F36,Rango_Admin_DailyPred_Primera,0)+1,0),"-")</f>
        <v>-</v>
      </c>
      <c r="AN36" s="297"/>
    </row>
    <row r="37" spans="1:40">
      <c r="A37" s="8"/>
      <c r="B37" s="8"/>
      <c r="C37" s="8">
        <v>34</v>
      </c>
      <c r="D37" s="19"/>
      <c r="E37" s="409">
        <f ca="1">IFERROR(HLOOKUP(C37,Rango_Admin_DailyClas,3,FALSE),"-")</f>
        <v>31</v>
      </c>
      <c r="F37" s="448" t="str">
        <f ca="1">IFERROR(HLOOKUP(C37,Rango_Admin_DailyClas,5,FALSE),"-")</f>
        <v>Bart van Moorsel</v>
      </c>
      <c r="G37" s="22">
        <f ca="1">IFERROR(HLOOKUP(C37,Rango_Admin_DailyClas,4,FALSE),"-")</f>
        <v>20</v>
      </c>
      <c r="H37" s="429">
        <f ca="1">IFERROR(VLOOKUP(H$2,Rango_Admin_DailyPred,MATCH($F37,Rango_Admin_DailyPred_Primera,0)+1,0),"-")</f>
        <v>0</v>
      </c>
      <c r="I37" s="429">
        <f ca="1">IFERROR(VLOOKUP(I$2,Rango_Admin_DailyPred,MATCH($F37,Rango_Admin_DailyPred_Primera,0)+1,0),"-")</f>
        <v>0</v>
      </c>
      <c r="J37" s="429">
        <f ca="1">IFERROR(VLOOKUP(J$2,Rango_Admin_DailyPred,MATCH($F37,Rango_Admin_DailyPred_Primera,0)+1,0),"-")</f>
        <v>0</v>
      </c>
      <c r="K37" s="429">
        <f ca="1">IFERROR(VLOOKUP(K$2,Rango_Admin_DailyPred,MATCH($F37,Rango_Admin_DailyPred_Primera,0)+1,0),"-")</f>
        <v>0</v>
      </c>
      <c r="L37" s="429">
        <f ca="1">IFERROR(VLOOKUP(L$2,Rango_Admin_DailyPred,MATCH($F37,Rango_Admin_DailyPred_Primera,0)+1,0),"-")</f>
        <v>0</v>
      </c>
      <c r="M37" s="429">
        <f ca="1">IFERROR(VLOOKUP(M$2,Rango_Admin_DailyPred,MATCH($F37,Rango_Admin_DailyPred_Primera,0)+1,0),"-")</f>
        <v>20</v>
      </c>
      <c r="N37" s="429">
        <f ca="1">IFERROR(VLOOKUP(N$2,Rango_Admin_DailyPred,MATCH($F37,Rango_Admin_DailyPred_Primera,0)+1,0),"-")</f>
        <v>0</v>
      </c>
      <c r="O37" s="429">
        <f ca="1">IFERROR(VLOOKUP(O$2,Rango_Admin_DailyPred,MATCH($F37,Rango_Admin_DailyPred_Primera,0)+1,0),"-")</f>
        <v>0</v>
      </c>
      <c r="P37" s="429">
        <f ca="1">IFERROR(VLOOKUP(P$2,Rango_Admin_DailyPred,MATCH($F37,Rango_Admin_DailyPred_Primera,0)+1,0),"-")</f>
        <v>0</v>
      </c>
      <c r="Q37" s="429">
        <f ca="1">IFERROR(VLOOKUP(Q$2,Rango_Admin_DailyPred,MATCH($F37,Rango_Admin_DailyPred_Primera,0)+1,0),"-")</f>
        <v>0</v>
      </c>
      <c r="R37" s="429">
        <f ca="1">IFERROR(VLOOKUP(R$2,Rango_Admin_DailyPred,MATCH($F37,Rango_Admin_DailyPred_Primera,0)+1,0),"-")</f>
        <v>0</v>
      </c>
      <c r="S37" s="429" t="str">
        <f ca="1">IFERROR(VLOOKUP(S$2,Rango_Admin_DailyPred,MATCH($F37,Rango_Admin_DailyPred_Primera,0)+1,0),"-")</f>
        <v>-</v>
      </c>
      <c r="T37" s="429" t="str">
        <f ca="1">IFERROR(VLOOKUP(T$2,Rango_Admin_DailyPred,MATCH($F37,Rango_Admin_DailyPred_Primera,0)+1,0),"-")</f>
        <v>-</v>
      </c>
      <c r="U37" s="429" t="str">
        <f ca="1">IFERROR(VLOOKUP(U$2,Rango_Admin_DailyPred,MATCH($F37,Rango_Admin_DailyPred_Primera,0)+1,0),"-")</f>
        <v>-</v>
      </c>
      <c r="V37" s="429" t="str">
        <f ca="1">IFERROR(VLOOKUP(V$2,Rango_Admin_DailyPred,MATCH($F37,Rango_Admin_DailyPred_Primera,0)+1,0),"-")</f>
        <v>-</v>
      </c>
      <c r="W37" s="429" t="str">
        <f ca="1">IFERROR(VLOOKUP(W$2,Rango_Admin_DailyPred,MATCH($F37,Rango_Admin_DailyPred_Primera,0)+1,0),"-")</f>
        <v>-</v>
      </c>
      <c r="X37" s="429" t="str">
        <f ca="1">IFERROR(VLOOKUP(X$2,Rango_Admin_DailyPred,MATCH($F37,Rango_Admin_DailyPred_Primera,0)+1,0),"-")</f>
        <v>-</v>
      </c>
      <c r="Y37" s="429" t="str">
        <f ca="1">IFERROR(VLOOKUP(Y$2,Rango_Admin_DailyPred,MATCH($F37,Rango_Admin_DailyPred_Primera,0)+1,0),"-")</f>
        <v>-</v>
      </c>
      <c r="Z37" s="429" t="str">
        <f ca="1">IFERROR(VLOOKUP(Z$2,Rango_Admin_DailyPred,MATCH($F37,Rango_Admin_DailyPred_Primera,0)+1,0),"-")</f>
        <v>-</v>
      </c>
      <c r="AA37" s="429" t="str">
        <f ca="1">IFERROR(VLOOKUP(AA$2,Rango_Admin_DailyPred,MATCH($F37,Rango_Admin_DailyPred_Primera,0)+1,0),"-")</f>
        <v>-</v>
      </c>
      <c r="AB37" s="429" t="str">
        <f ca="1">IFERROR(VLOOKUP(AB$2,Rango_Admin_DailyPred,MATCH($F37,Rango_Admin_DailyPred_Primera,0)+1,0),"-")</f>
        <v>-</v>
      </c>
      <c r="AC37" s="429" t="str">
        <f ca="1">IFERROR(VLOOKUP(AC$2,Rango_Admin_DailyPred,MATCH($F37,Rango_Admin_DailyPred_Primera,0)+1,0),"-")</f>
        <v>-</v>
      </c>
      <c r="AD37" s="429" t="str">
        <f ca="1">IFERROR(VLOOKUP(AD$2,Rango_Admin_DailyPred,MATCH($F37,Rango_Admin_DailyPred_Primera,0)+1,0),"-")</f>
        <v>-</v>
      </c>
      <c r="AE37" s="429" t="str">
        <f ca="1">IFERROR(VLOOKUP(AE$2,Rango_Admin_DailyPred,MATCH($F37,Rango_Admin_DailyPred_Primera,0)+1,0),"-")</f>
        <v>-</v>
      </c>
      <c r="AF37" s="429" t="str">
        <f ca="1">IFERROR(VLOOKUP(AF$2,Rango_Admin_DailyPred,MATCH($F37,Rango_Admin_DailyPred_Primera,0)+1,0),"-")</f>
        <v>-</v>
      </c>
      <c r="AG37" s="429" t="str">
        <f ca="1">IFERROR(VLOOKUP(AG$2,Rango_Admin_DailyPred,MATCH($F37,Rango_Admin_DailyPred_Primera,0)+1,0),"-")</f>
        <v>-</v>
      </c>
      <c r="AH37" s="429" t="str">
        <f ca="1">IFERROR(VLOOKUP(AH$2,Rango_Admin_DailyPred,MATCH($F37,Rango_Admin_DailyPred_Primera,0)+1,0),"-")</f>
        <v>-</v>
      </c>
      <c r="AI37" s="429" t="str">
        <f ca="1">IFERROR(VLOOKUP(AI$2,Rango_Admin_DailyPred,MATCH($F37,Rango_Admin_DailyPred_Primera,0)+1,0),"-")</f>
        <v>-</v>
      </c>
      <c r="AJ37" s="429" t="str">
        <f ca="1">IFERROR(VLOOKUP(AJ$2,Rango_Admin_DailyPred,MATCH($F37,Rango_Admin_DailyPred_Primera,0)+1,0),"-")</f>
        <v>-</v>
      </c>
      <c r="AK37" s="429" t="str">
        <f ca="1">IFERROR(VLOOKUP(AK$2,Rango_Admin_DailyPred,MATCH($F37,Rango_Admin_DailyPred_Primera,0)+1,0),"-")</f>
        <v>-</v>
      </c>
      <c r="AL37" s="429" t="str">
        <f ca="1">IFERROR(VLOOKUP(AL$2,Rango_Admin_DailyPred,MATCH($F37,Rango_Admin_DailyPred_Primera,0)+1,0),"-")</f>
        <v>-</v>
      </c>
      <c r="AM37" s="429" t="str">
        <f ca="1">IFERROR(VLOOKUP(AM$2,Rango_Admin_DailyPred,MATCH($F37,Rango_Admin_DailyPred_Primera,0)+1,0),"-")</f>
        <v>-</v>
      </c>
      <c r="AN37" s="297"/>
    </row>
    <row r="38" spans="1:40">
      <c r="A38" s="8"/>
      <c r="B38" s="8"/>
      <c r="C38" s="8">
        <v>35</v>
      </c>
      <c r="D38" s="19"/>
      <c r="E38" s="409">
        <f ca="1">IFERROR(HLOOKUP(C38,Rango_Admin_DailyClas,3,FALSE),"-")</f>
        <v>31</v>
      </c>
      <c r="F38" s="448" t="str">
        <f ca="1">IFERROR(HLOOKUP(C38,Rango_Admin_DailyClas,5,FALSE),"-")</f>
        <v>Niels Klein Gebbink</v>
      </c>
      <c r="G38" s="22">
        <f ca="1">IFERROR(HLOOKUP(C38,Rango_Admin_DailyClas,4,FALSE),"-")</f>
        <v>20</v>
      </c>
      <c r="H38" s="429">
        <f ca="1">IFERROR(VLOOKUP(H$2,Rango_Admin_DailyPred,MATCH($F38,Rango_Admin_DailyPred_Primera,0)+1,0),"-")</f>
        <v>0</v>
      </c>
      <c r="I38" s="429">
        <f ca="1">IFERROR(VLOOKUP(I$2,Rango_Admin_DailyPred,MATCH($F38,Rango_Admin_DailyPred_Primera,0)+1,0),"-")</f>
        <v>0</v>
      </c>
      <c r="J38" s="429">
        <f ca="1">IFERROR(VLOOKUP(J$2,Rango_Admin_DailyPred,MATCH($F38,Rango_Admin_DailyPred_Primera,0)+1,0),"-")</f>
        <v>0</v>
      </c>
      <c r="K38" s="429">
        <f ca="1">IFERROR(VLOOKUP(K$2,Rango_Admin_DailyPred,MATCH($F38,Rango_Admin_DailyPred_Primera,0)+1,0),"-")</f>
        <v>0</v>
      </c>
      <c r="L38" s="429">
        <f ca="1">IFERROR(VLOOKUP(L$2,Rango_Admin_DailyPred,MATCH($F38,Rango_Admin_DailyPred_Primera,0)+1,0),"-")</f>
        <v>0</v>
      </c>
      <c r="M38" s="429">
        <f ca="1">IFERROR(VLOOKUP(M$2,Rango_Admin_DailyPred,MATCH($F38,Rango_Admin_DailyPred_Primera,0)+1,0),"-")</f>
        <v>20</v>
      </c>
      <c r="N38" s="429">
        <f ca="1">IFERROR(VLOOKUP(N$2,Rango_Admin_DailyPred,MATCH($F38,Rango_Admin_DailyPred_Primera,0)+1,0),"-")</f>
        <v>0</v>
      </c>
      <c r="O38" s="429">
        <f ca="1">IFERROR(VLOOKUP(O$2,Rango_Admin_DailyPred,MATCH($F38,Rango_Admin_DailyPred_Primera,0)+1,0),"-")</f>
        <v>0</v>
      </c>
      <c r="P38" s="429">
        <f ca="1">IFERROR(VLOOKUP(P$2,Rango_Admin_DailyPred,MATCH($F38,Rango_Admin_DailyPred_Primera,0)+1,0),"-")</f>
        <v>0</v>
      </c>
      <c r="Q38" s="429">
        <f ca="1">IFERROR(VLOOKUP(Q$2,Rango_Admin_DailyPred,MATCH($F38,Rango_Admin_DailyPred_Primera,0)+1,0),"-")</f>
        <v>0</v>
      </c>
      <c r="R38" s="429">
        <f ca="1">IFERROR(VLOOKUP(R$2,Rango_Admin_DailyPred,MATCH($F38,Rango_Admin_DailyPred_Primera,0)+1,0),"-")</f>
        <v>0</v>
      </c>
      <c r="S38" s="429" t="str">
        <f ca="1">IFERROR(VLOOKUP(S$2,Rango_Admin_DailyPred,MATCH($F38,Rango_Admin_DailyPred_Primera,0)+1,0),"-")</f>
        <v>-</v>
      </c>
      <c r="T38" s="429" t="str">
        <f ca="1">IFERROR(VLOOKUP(T$2,Rango_Admin_DailyPred,MATCH($F38,Rango_Admin_DailyPred_Primera,0)+1,0),"-")</f>
        <v>-</v>
      </c>
      <c r="U38" s="429" t="str">
        <f ca="1">IFERROR(VLOOKUP(U$2,Rango_Admin_DailyPred,MATCH($F38,Rango_Admin_DailyPred_Primera,0)+1,0),"-")</f>
        <v>-</v>
      </c>
      <c r="V38" s="429" t="str">
        <f ca="1">IFERROR(VLOOKUP(V$2,Rango_Admin_DailyPred,MATCH($F38,Rango_Admin_DailyPred_Primera,0)+1,0),"-")</f>
        <v>-</v>
      </c>
      <c r="W38" s="429" t="str">
        <f ca="1">IFERROR(VLOOKUP(W$2,Rango_Admin_DailyPred,MATCH($F38,Rango_Admin_DailyPred_Primera,0)+1,0),"-")</f>
        <v>-</v>
      </c>
      <c r="X38" s="429" t="str">
        <f ca="1">IFERROR(VLOOKUP(X$2,Rango_Admin_DailyPred,MATCH($F38,Rango_Admin_DailyPred_Primera,0)+1,0),"-")</f>
        <v>-</v>
      </c>
      <c r="Y38" s="429" t="str">
        <f ca="1">IFERROR(VLOOKUP(Y$2,Rango_Admin_DailyPred,MATCH($F38,Rango_Admin_DailyPred_Primera,0)+1,0),"-")</f>
        <v>-</v>
      </c>
      <c r="Z38" s="429" t="str">
        <f ca="1">IFERROR(VLOOKUP(Z$2,Rango_Admin_DailyPred,MATCH($F38,Rango_Admin_DailyPred_Primera,0)+1,0),"-")</f>
        <v>-</v>
      </c>
      <c r="AA38" s="429" t="str">
        <f ca="1">IFERROR(VLOOKUP(AA$2,Rango_Admin_DailyPred,MATCH($F38,Rango_Admin_DailyPred_Primera,0)+1,0),"-")</f>
        <v>-</v>
      </c>
      <c r="AB38" s="429" t="str">
        <f ca="1">IFERROR(VLOOKUP(AB$2,Rango_Admin_DailyPred,MATCH($F38,Rango_Admin_DailyPred_Primera,0)+1,0),"-")</f>
        <v>-</v>
      </c>
      <c r="AC38" s="429" t="str">
        <f ca="1">IFERROR(VLOOKUP(AC$2,Rango_Admin_DailyPred,MATCH($F38,Rango_Admin_DailyPred_Primera,0)+1,0),"-")</f>
        <v>-</v>
      </c>
      <c r="AD38" s="429" t="str">
        <f ca="1">IFERROR(VLOOKUP(AD$2,Rango_Admin_DailyPred,MATCH($F38,Rango_Admin_DailyPred_Primera,0)+1,0),"-")</f>
        <v>-</v>
      </c>
      <c r="AE38" s="429" t="str">
        <f ca="1">IFERROR(VLOOKUP(AE$2,Rango_Admin_DailyPred,MATCH($F38,Rango_Admin_DailyPred_Primera,0)+1,0),"-")</f>
        <v>-</v>
      </c>
      <c r="AF38" s="429" t="str">
        <f ca="1">IFERROR(VLOOKUP(AF$2,Rango_Admin_DailyPred,MATCH($F38,Rango_Admin_DailyPred_Primera,0)+1,0),"-")</f>
        <v>-</v>
      </c>
      <c r="AG38" s="429" t="str">
        <f ca="1">IFERROR(VLOOKUP(AG$2,Rango_Admin_DailyPred,MATCH($F38,Rango_Admin_DailyPred_Primera,0)+1,0),"-")</f>
        <v>-</v>
      </c>
      <c r="AH38" s="429" t="str">
        <f ca="1">IFERROR(VLOOKUP(AH$2,Rango_Admin_DailyPred,MATCH($F38,Rango_Admin_DailyPred_Primera,0)+1,0),"-")</f>
        <v>-</v>
      </c>
      <c r="AI38" s="429" t="str">
        <f ca="1">IFERROR(VLOOKUP(AI$2,Rango_Admin_DailyPred,MATCH($F38,Rango_Admin_DailyPred_Primera,0)+1,0),"-")</f>
        <v>-</v>
      </c>
      <c r="AJ38" s="429" t="str">
        <f ca="1">IFERROR(VLOOKUP(AJ$2,Rango_Admin_DailyPred,MATCH($F38,Rango_Admin_DailyPred_Primera,0)+1,0),"-")</f>
        <v>-</v>
      </c>
      <c r="AK38" s="429" t="str">
        <f ca="1">IFERROR(VLOOKUP(AK$2,Rango_Admin_DailyPred,MATCH($F38,Rango_Admin_DailyPred_Primera,0)+1,0),"-")</f>
        <v>-</v>
      </c>
      <c r="AL38" s="429" t="str">
        <f ca="1">IFERROR(VLOOKUP(AL$2,Rango_Admin_DailyPred,MATCH($F38,Rango_Admin_DailyPred_Primera,0)+1,0),"-")</f>
        <v>-</v>
      </c>
      <c r="AM38" s="429" t="str">
        <f ca="1">IFERROR(VLOOKUP(AM$2,Rango_Admin_DailyPred,MATCH($F38,Rango_Admin_DailyPred_Primera,0)+1,0),"-")</f>
        <v>-</v>
      </c>
      <c r="AN38" s="297"/>
    </row>
    <row r="39" spans="1:40">
      <c r="A39" s="8"/>
      <c r="B39" s="8"/>
      <c r="C39" s="8">
        <v>36</v>
      </c>
      <c r="D39" s="19"/>
      <c r="E39" s="409">
        <f ca="1">IFERROR(HLOOKUP(C39,Rango_Admin_DailyClas,3,FALSE),"-")</f>
        <v>31</v>
      </c>
      <c r="F39" s="448" t="str">
        <f ca="1">IFERROR(HLOOKUP(C39,Rango_Admin_DailyClas,5,FALSE),"-")</f>
        <v>Bart Veltmann</v>
      </c>
      <c r="G39" s="22">
        <f ca="1">IFERROR(HLOOKUP(C39,Rango_Admin_DailyClas,4,FALSE),"-")</f>
        <v>20</v>
      </c>
      <c r="H39" s="429">
        <f ca="1">IFERROR(VLOOKUP(H$2,Rango_Admin_DailyPred,MATCH($F39,Rango_Admin_DailyPred_Primera,0)+1,0),"-")</f>
        <v>0</v>
      </c>
      <c r="I39" s="429">
        <f ca="1">IFERROR(VLOOKUP(I$2,Rango_Admin_DailyPred,MATCH($F39,Rango_Admin_DailyPred_Primera,0)+1,0),"-")</f>
        <v>0</v>
      </c>
      <c r="J39" s="429">
        <f ca="1">IFERROR(VLOOKUP(J$2,Rango_Admin_DailyPred,MATCH($F39,Rango_Admin_DailyPred_Primera,0)+1,0),"-")</f>
        <v>0</v>
      </c>
      <c r="K39" s="429">
        <f ca="1">IFERROR(VLOOKUP(K$2,Rango_Admin_DailyPred,MATCH($F39,Rango_Admin_DailyPred_Primera,0)+1,0),"-")</f>
        <v>0</v>
      </c>
      <c r="L39" s="429">
        <f ca="1">IFERROR(VLOOKUP(L$2,Rango_Admin_DailyPred,MATCH($F39,Rango_Admin_DailyPred_Primera,0)+1,0),"-")</f>
        <v>20</v>
      </c>
      <c r="M39" s="429">
        <f ca="1">IFERROR(VLOOKUP(M$2,Rango_Admin_DailyPred,MATCH($F39,Rango_Admin_DailyPred_Primera,0)+1,0),"-")</f>
        <v>0</v>
      </c>
      <c r="N39" s="429">
        <f ca="1">IFERROR(VLOOKUP(N$2,Rango_Admin_DailyPred,MATCH($F39,Rango_Admin_DailyPred_Primera,0)+1,0),"-")</f>
        <v>0</v>
      </c>
      <c r="O39" s="429">
        <f ca="1">IFERROR(VLOOKUP(O$2,Rango_Admin_DailyPred,MATCH($F39,Rango_Admin_DailyPred_Primera,0)+1,0),"-")</f>
        <v>0</v>
      </c>
      <c r="P39" s="429">
        <f ca="1">IFERROR(VLOOKUP(P$2,Rango_Admin_DailyPred,MATCH($F39,Rango_Admin_DailyPred_Primera,0)+1,0),"-")</f>
        <v>0</v>
      </c>
      <c r="Q39" s="429">
        <f ca="1">IFERROR(VLOOKUP(Q$2,Rango_Admin_DailyPred,MATCH($F39,Rango_Admin_DailyPred_Primera,0)+1,0),"-")</f>
        <v>0</v>
      </c>
      <c r="R39" s="429">
        <f ca="1">IFERROR(VLOOKUP(R$2,Rango_Admin_DailyPred,MATCH($F39,Rango_Admin_DailyPred_Primera,0)+1,0),"-")</f>
        <v>0</v>
      </c>
      <c r="S39" s="429" t="str">
        <f ca="1">IFERROR(VLOOKUP(S$2,Rango_Admin_DailyPred,MATCH($F39,Rango_Admin_DailyPred_Primera,0)+1,0),"-")</f>
        <v>-</v>
      </c>
      <c r="T39" s="429" t="str">
        <f ca="1">IFERROR(VLOOKUP(T$2,Rango_Admin_DailyPred,MATCH($F39,Rango_Admin_DailyPred_Primera,0)+1,0),"-")</f>
        <v>-</v>
      </c>
      <c r="U39" s="429" t="str">
        <f ca="1">IFERROR(VLOOKUP(U$2,Rango_Admin_DailyPred,MATCH($F39,Rango_Admin_DailyPred_Primera,0)+1,0),"-")</f>
        <v>-</v>
      </c>
      <c r="V39" s="429" t="str">
        <f ca="1">IFERROR(VLOOKUP(V$2,Rango_Admin_DailyPred,MATCH($F39,Rango_Admin_DailyPred_Primera,0)+1,0),"-")</f>
        <v>-</v>
      </c>
      <c r="W39" s="429" t="str">
        <f ca="1">IFERROR(VLOOKUP(W$2,Rango_Admin_DailyPred,MATCH($F39,Rango_Admin_DailyPred_Primera,0)+1,0),"-")</f>
        <v>-</v>
      </c>
      <c r="X39" s="429" t="str">
        <f ca="1">IFERROR(VLOOKUP(X$2,Rango_Admin_DailyPred,MATCH($F39,Rango_Admin_DailyPred_Primera,0)+1,0),"-")</f>
        <v>-</v>
      </c>
      <c r="Y39" s="429" t="str">
        <f ca="1">IFERROR(VLOOKUP(Y$2,Rango_Admin_DailyPred,MATCH($F39,Rango_Admin_DailyPred_Primera,0)+1,0),"-")</f>
        <v>-</v>
      </c>
      <c r="Z39" s="429" t="str">
        <f ca="1">IFERROR(VLOOKUP(Z$2,Rango_Admin_DailyPred,MATCH($F39,Rango_Admin_DailyPred_Primera,0)+1,0),"-")</f>
        <v>-</v>
      </c>
      <c r="AA39" s="429" t="str">
        <f ca="1">IFERROR(VLOOKUP(AA$2,Rango_Admin_DailyPred,MATCH($F39,Rango_Admin_DailyPred_Primera,0)+1,0),"-")</f>
        <v>-</v>
      </c>
      <c r="AB39" s="429" t="str">
        <f ca="1">IFERROR(VLOOKUP(AB$2,Rango_Admin_DailyPred,MATCH($F39,Rango_Admin_DailyPred_Primera,0)+1,0),"-")</f>
        <v>-</v>
      </c>
      <c r="AC39" s="429" t="str">
        <f ca="1">IFERROR(VLOOKUP(AC$2,Rango_Admin_DailyPred,MATCH($F39,Rango_Admin_DailyPred_Primera,0)+1,0),"-")</f>
        <v>-</v>
      </c>
      <c r="AD39" s="429" t="str">
        <f ca="1">IFERROR(VLOOKUP(AD$2,Rango_Admin_DailyPred,MATCH($F39,Rango_Admin_DailyPred_Primera,0)+1,0),"-")</f>
        <v>-</v>
      </c>
      <c r="AE39" s="429" t="str">
        <f ca="1">IFERROR(VLOOKUP(AE$2,Rango_Admin_DailyPred,MATCH($F39,Rango_Admin_DailyPred_Primera,0)+1,0),"-")</f>
        <v>-</v>
      </c>
      <c r="AF39" s="429" t="str">
        <f ca="1">IFERROR(VLOOKUP(AF$2,Rango_Admin_DailyPred,MATCH($F39,Rango_Admin_DailyPred_Primera,0)+1,0),"-")</f>
        <v>-</v>
      </c>
      <c r="AG39" s="429" t="str">
        <f ca="1">IFERROR(VLOOKUP(AG$2,Rango_Admin_DailyPred,MATCH($F39,Rango_Admin_DailyPred_Primera,0)+1,0),"-")</f>
        <v>-</v>
      </c>
      <c r="AH39" s="429" t="str">
        <f ca="1">IFERROR(VLOOKUP(AH$2,Rango_Admin_DailyPred,MATCH($F39,Rango_Admin_DailyPred_Primera,0)+1,0),"-")</f>
        <v>-</v>
      </c>
      <c r="AI39" s="429" t="str">
        <f ca="1">IFERROR(VLOOKUP(AI$2,Rango_Admin_DailyPred,MATCH($F39,Rango_Admin_DailyPred_Primera,0)+1,0),"-")</f>
        <v>-</v>
      </c>
      <c r="AJ39" s="429" t="str">
        <f ca="1">IFERROR(VLOOKUP(AJ$2,Rango_Admin_DailyPred,MATCH($F39,Rango_Admin_DailyPred_Primera,0)+1,0),"-")</f>
        <v>-</v>
      </c>
      <c r="AK39" s="429" t="str">
        <f ca="1">IFERROR(VLOOKUP(AK$2,Rango_Admin_DailyPred,MATCH($F39,Rango_Admin_DailyPred_Primera,0)+1,0),"-")</f>
        <v>-</v>
      </c>
      <c r="AL39" s="429" t="str">
        <f ca="1">IFERROR(VLOOKUP(AL$2,Rango_Admin_DailyPred,MATCH($F39,Rango_Admin_DailyPred_Primera,0)+1,0),"-")</f>
        <v>-</v>
      </c>
      <c r="AM39" s="429" t="str">
        <f ca="1">IFERROR(VLOOKUP(AM$2,Rango_Admin_DailyPred,MATCH($F39,Rango_Admin_DailyPred_Primera,0)+1,0),"-")</f>
        <v>-</v>
      </c>
      <c r="AN39" s="297"/>
    </row>
    <row r="40" spans="1:40">
      <c r="A40" s="8"/>
      <c r="B40" s="8"/>
      <c r="C40" s="8">
        <v>37</v>
      </c>
      <c r="D40" s="19"/>
      <c r="E40" s="409">
        <f ca="1">IFERROR(HLOOKUP(C40,Rango_Admin_DailyClas,3,FALSE),"-")</f>
        <v>31</v>
      </c>
      <c r="F40" s="448" t="str">
        <f ca="1">IFERROR(HLOOKUP(C40,Rango_Admin_DailyClas,5,FALSE),"-")</f>
        <v>Hobie Duijn</v>
      </c>
      <c r="G40" s="22">
        <f ca="1">IFERROR(HLOOKUP(C40,Rango_Admin_DailyClas,4,FALSE),"-")</f>
        <v>20</v>
      </c>
      <c r="H40" s="429">
        <f ca="1">IFERROR(VLOOKUP(H$2,Rango_Admin_DailyPred,MATCH($F40,Rango_Admin_DailyPred_Primera,0)+1,0),"-")</f>
        <v>0</v>
      </c>
      <c r="I40" s="429">
        <f ca="1">IFERROR(VLOOKUP(I$2,Rango_Admin_DailyPred,MATCH($F40,Rango_Admin_DailyPred_Primera,0)+1,0),"-")</f>
        <v>0</v>
      </c>
      <c r="J40" s="429">
        <f ca="1">IFERROR(VLOOKUP(J$2,Rango_Admin_DailyPred,MATCH($F40,Rango_Admin_DailyPred_Primera,0)+1,0),"-")</f>
        <v>0</v>
      </c>
      <c r="K40" s="429">
        <f ca="1">IFERROR(VLOOKUP(K$2,Rango_Admin_DailyPred,MATCH($F40,Rango_Admin_DailyPred_Primera,0)+1,0),"-")</f>
        <v>0</v>
      </c>
      <c r="L40" s="429">
        <f ca="1">IFERROR(VLOOKUP(L$2,Rango_Admin_DailyPred,MATCH($F40,Rango_Admin_DailyPred_Primera,0)+1,0),"-")</f>
        <v>0</v>
      </c>
      <c r="M40" s="429">
        <f ca="1">IFERROR(VLOOKUP(M$2,Rango_Admin_DailyPred,MATCH($F40,Rango_Admin_DailyPred_Primera,0)+1,0),"-")</f>
        <v>20</v>
      </c>
      <c r="N40" s="429">
        <f ca="1">IFERROR(VLOOKUP(N$2,Rango_Admin_DailyPred,MATCH($F40,Rango_Admin_DailyPred_Primera,0)+1,0),"-")</f>
        <v>0</v>
      </c>
      <c r="O40" s="429">
        <f ca="1">IFERROR(VLOOKUP(O$2,Rango_Admin_DailyPred,MATCH($F40,Rango_Admin_DailyPred_Primera,0)+1,0),"-")</f>
        <v>0</v>
      </c>
      <c r="P40" s="429">
        <f ca="1">IFERROR(VLOOKUP(P$2,Rango_Admin_DailyPred,MATCH($F40,Rango_Admin_DailyPred_Primera,0)+1,0),"-")</f>
        <v>0</v>
      </c>
      <c r="Q40" s="429">
        <f ca="1">IFERROR(VLOOKUP(Q$2,Rango_Admin_DailyPred,MATCH($F40,Rango_Admin_DailyPred_Primera,0)+1,0),"-")</f>
        <v>0</v>
      </c>
      <c r="R40" s="429">
        <f ca="1">IFERROR(VLOOKUP(R$2,Rango_Admin_DailyPred,MATCH($F40,Rango_Admin_DailyPred_Primera,0)+1,0),"-")</f>
        <v>0</v>
      </c>
      <c r="S40" s="429" t="str">
        <f ca="1">IFERROR(VLOOKUP(S$2,Rango_Admin_DailyPred,MATCH($F40,Rango_Admin_DailyPred_Primera,0)+1,0),"-")</f>
        <v>-</v>
      </c>
      <c r="T40" s="429" t="str">
        <f ca="1">IFERROR(VLOOKUP(T$2,Rango_Admin_DailyPred,MATCH($F40,Rango_Admin_DailyPred_Primera,0)+1,0),"-")</f>
        <v>-</v>
      </c>
      <c r="U40" s="429" t="str">
        <f ca="1">IFERROR(VLOOKUP(U$2,Rango_Admin_DailyPred,MATCH($F40,Rango_Admin_DailyPred_Primera,0)+1,0),"-")</f>
        <v>-</v>
      </c>
      <c r="V40" s="429" t="str">
        <f ca="1">IFERROR(VLOOKUP(V$2,Rango_Admin_DailyPred,MATCH($F40,Rango_Admin_DailyPred_Primera,0)+1,0),"-")</f>
        <v>-</v>
      </c>
      <c r="W40" s="429" t="str">
        <f ca="1">IFERROR(VLOOKUP(W$2,Rango_Admin_DailyPred,MATCH($F40,Rango_Admin_DailyPred_Primera,0)+1,0),"-")</f>
        <v>-</v>
      </c>
      <c r="X40" s="429" t="str">
        <f ca="1">IFERROR(VLOOKUP(X$2,Rango_Admin_DailyPred,MATCH($F40,Rango_Admin_DailyPred_Primera,0)+1,0),"-")</f>
        <v>-</v>
      </c>
      <c r="Y40" s="429" t="str">
        <f ca="1">IFERROR(VLOOKUP(Y$2,Rango_Admin_DailyPred,MATCH($F40,Rango_Admin_DailyPred_Primera,0)+1,0),"-")</f>
        <v>-</v>
      </c>
      <c r="Z40" s="429" t="str">
        <f ca="1">IFERROR(VLOOKUP(Z$2,Rango_Admin_DailyPred,MATCH($F40,Rango_Admin_DailyPred_Primera,0)+1,0),"-")</f>
        <v>-</v>
      </c>
      <c r="AA40" s="429" t="str">
        <f ca="1">IFERROR(VLOOKUP(AA$2,Rango_Admin_DailyPred,MATCH($F40,Rango_Admin_DailyPred_Primera,0)+1,0),"-")</f>
        <v>-</v>
      </c>
      <c r="AB40" s="429" t="str">
        <f ca="1">IFERROR(VLOOKUP(AB$2,Rango_Admin_DailyPred,MATCH($F40,Rango_Admin_DailyPred_Primera,0)+1,0),"-")</f>
        <v>-</v>
      </c>
      <c r="AC40" s="429" t="str">
        <f ca="1">IFERROR(VLOOKUP(AC$2,Rango_Admin_DailyPred,MATCH($F40,Rango_Admin_DailyPred_Primera,0)+1,0),"-")</f>
        <v>-</v>
      </c>
      <c r="AD40" s="429" t="str">
        <f ca="1">IFERROR(VLOOKUP(AD$2,Rango_Admin_DailyPred,MATCH($F40,Rango_Admin_DailyPred_Primera,0)+1,0),"-")</f>
        <v>-</v>
      </c>
      <c r="AE40" s="429" t="str">
        <f ca="1">IFERROR(VLOOKUP(AE$2,Rango_Admin_DailyPred,MATCH($F40,Rango_Admin_DailyPred_Primera,0)+1,0),"-")</f>
        <v>-</v>
      </c>
      <c r="AF40" s="429" t="str">
        <f ca="1">IFERROR(VLOOKUP(AF$2,Rango_Admin_DailyPred,MATCH($F40,Rango_Admin_DailyPred_Primera,0)+1,0),"-")</f>
        <v>-</v>
      </c>
      <c r="AG40" s="429" t="str">
        <f ca="1">IFERROR(VLOOKUP(AG$2,Rango_Admin_DailyPred,MATCH($F40,Rango_Admin_DailyPred_Primera,0)+1,0),"-")</f>
        <v>-</v>
      </c>
      <c r="AH40" s="429" t="str">
        <f ca="1">IFERROR(VLOOKUP(AH$2,Rango_Admin_DailyPred,MATCH($F40,Rango_Admin_DailyPred_Primera,0)+1,0),"-")</f>
        <v>-</v>
      </c>
      <c r="AI40" s="429" t="str">
        <f ca="1">IFERROR(VLOOKUP(AI$2,Rango_Admin_DailyPred,MATCH($F40,Rango_Admin_DailyPred_Primera,0)+1,0),"-")</f>
        <v>-</v>
      </c>
      <c r="AJ40" s="429" t="str">
        <f ca="1">IFERROR(VLOOKUP(AJ$2,Rango_Admin_DailyPred,MATCH($F40,Rango_Admin_DailyPred_Primera,0)+1,0),"-")</f>
        <v>-</v>
      </c>
      <c r="AK40" s="429" t="str">
        <f ca="1">IFERROR(VLOOKUP(AK$2,Rango_Admin_DailyPred,MATCH($F40,Rango_Admin_DailyPred_Primera,0)+1,0),"-")</f>
        <v>-</v>
      </c>
      <c r="AL40" s="429" t="str">
        <f ca="1">IFERROR(VLOOKUP(AL$2,Rango_Admin_DailyPred,MATCH($F40,Rango_Admin_DailyPred_Primera,0)+1,0),"-")</f>
        <v>-</v>
      </c>
      <c r="AM40" s="429" t="str">
        <f ca="1">IFERROR(VLOOKUP(AM$2,Rango_Admin_DailyPred,MATCH($F40,Rango_Admin_DailyPred_Primera,0)+1,0),"-")</f>
        <v>-</v>
      </c>
      <c r="AN40" s="297"/>
    </row>
    <row r="41" spans="1:40">
      <c r="A41" s="8"/>
      <c r="B41" s="8"/>
      <c r="C41" s="8">
        <v>38</v>
      </c>
      <c r="D41" s="19"/>
      <c r="E41" s="409">
        <f ca="1">IFERROR(HLOOKUP(C41,Rango_Admin_DailyClas,3,FALSE),"-")</f>
        <v>31</v>
      </c>
      <c r="F41" s="448" t="str">
        <f ca="1">IFERROR(HLOOKUP(C41,Rango_Admin_DailyClas,5,FALSE),"-")</f>
        <v>Luuk Walhof</v>
      </c>
      <c r="G41" s="22">
        <f ca="1">IFERROR(HLOOKUP(C41,Rango_Admin_DailyClas,4,FALSE),"-")</f>
        <v>20</v>
      </c>
      <c r="H41" s="429">
        <f ca="1">IFERROR(VLOOKUP(H$2,Rango_Admin_DailyPred,MATCH($F41,Rango_Admin_DailyPred_Primera,0)+1,0),"-")</f>
        <v>0</v>
      </c>
      <c r="I41" s="429">
        <f ca="1">IFERROR(VLOOKUP(I$2,Rango_Admin_DailyPred,MATCH($F41,Rango_Admin_DailyPred_Primera,0)+1,0),"-")</f>
        <v>0</v>
      </c>
      <c r="J41" s="429">
        <f ca="1">IFERROR(VLOOKUP(J$2,Rango_Admin_DailyPred,MATCH($F41,Rango_Admin_DailyPred_Primera,0)+1,0),"-")</f>
        <v>0</v>
      </c>
      <c r="K41" s="429">
        <f ca="1">IFERROR(VLOOKUP(K$2,Rango_Admin_DailyPred,MATCH($F41,Rango_Admin_DailyPred_Primera,0)+1,0),"-")</f>
        <v>0</v>
      </c>
      <c r="L41" s="429">
        <f ca="1">IFERROR(VLOOKUP(L$2,Rango_Admin_DailyPred,MATCH($F41,Rango_Admin_DailyPred_Primera,0)+1,0),"-")</f>
        <v>0</v>
      </c>
      <c r="M41" s="429">
        <f ca="1">IFERROR(VLOOKUP(M$2,Rango_Admin_DailyPred,MATCH($F41,Rango_Admin_DailyPred_Primera,0)+1,0),"-")</f>
        <v>20</v>
      </c>
      <c r="N41" s="429">
        <f ca="1">IFERROR(VLOOKUP(N$2,Rango_Admin_DailyPred,MATCH($F41,Rango_Admin_DailyPred_Primera,0)+1,0),"-")</f>
        <v>0</v>
      </c>
      <c r="O41" s="429">
        <f ca="1">IFERROR(VLOOKUP(O$2,Rango_Admin_DailyPred,MATCH($F41,Rango_Admin_DailyPred_Primera,0)+1,0),"-")</f>
        <v>0</v>
      </c>
      <c r="P41" s="429">
        <f ca="1">IFERROR(VLOOKUP(P$2,Rango_Admin_DailyPred,MATCH($F41,Rango_Admin_DailyPred_Primera,0)+1,0),"-")</f>
        <v>0</v>
      </c>
      <c r="Q41" s="429">
        <f ca="1">IFERROR(VLOOKUP(Q$2,Rango_Admin_DailyPred,MATCH($F41,Rango_Admin_DailyPred_Primera,0)+1,0),"-")</f>
        <v>0</v>
      </c>
      <c r="R41" s="429">
        <f ca="1">IFERROR(VLOOKUP(R$2,Rango_Admin_DailyPred,MATCH($F41,Rango_Admin_DailyPred_Primera,0)+1,0),"-")</f>
        <v>0</v>
      </c>
      <c r="S41" s="429" t="str">
        <f ca="1">IFERROR(VLOOKUP(S$2,Rango_Admin_DailyPred,MATCH($F41,Rango_Admin_DailyPred_Primera,0)+1,0),"-")</f>
        <v>-</v>
      </c>
      <c r="T41" s="429" t="str">
        <f ca="1">IFERROR(VLOOKUP(T$2,Rango_Admin_DailyPred,MATCH($F41,Rango_Admin_DailyPred_Primera,0)+1,0),"-")</f>
        <v>-</v>
      </c>
      <c r="U41" s="429" t="str">
        <f ca="1">IFERROR(VLOOKUP(U$2,Rango_Admin_DailyPred,MATCH($F41,Rango_Admin_DailyPred_Primera,0)+1,0),"-")</f>
        <v>-</v>
      </c>
      <c r="V41" s="429" t="str">
        <f ca="1">IFERROR(VLOOKUP(V$2,Rango_Admin_DailyPred,MATCH($F41,Rango_Admin_DailyPred_Primera,0)+1,0),"-")</f>
        <v>-</v>
      </c>
      <c r="W41" s="429" t="str">
        <f ca="1">IFERROR(VLOOKUP(W$2,Rango_Admin_DailyPred,MATCH($F41,Rango_Admin_DailyPred_Primera,0)+1,0),"-")</f>
        <v>-</v>
      </c>
      <c r="X41" s="429" t="str">
        <f ca="1">IFERROR(VLOOKUP(X$2,Rango_Admin_DailyPred,MATCH($F41,Rango_Admin_DailyPred_Primera,0)+1,0),"-")</f>
        <v>-</v>
      </c>
      <c r="Y41" s="429" t="str">
        <f ca="1">IFERROR(VLOOKUP(Y$2,Rango_Admin_DailyPred,MATCH($F41,Rango_Admin_DailyPred_Primera,0)+1,0),"-")</f>
        <v>-</v>
      </c>
      <c r="Z41" s="429" t="str">
        <f ca="1">IFERROR(VLOOKUP(Z$2,Rango_Admin_DailyPred,MATCH($F41,Rango_Admin_DailyPred_Primera,0)+1,0),"-")</f>
        <v>-</v>
      </c>
      <c r="AA41" s="429" t="str">
        <f ca="1">IFERROR(VLOOKUP(AA$2,Rango_Admin_DailyPred,MATCH($F41,Rango_Admin_DailyPred_Primera,0)+1,0),"-")</f>
        <v>-</v>
      </c>
      <c r="AB41" s="429" t="str">
        <f ca="1">IFERROR(VLOOKUP(AB$2,Rango_Admin_DailyPred,MATCH($F41,Rango_Admin_DailyPred_Primera,0)+1,0),"-")</f>
        <v>-</v>
      </c>
      <c r="AC41" s="429" t="str">
        <f ca="1">IFERROR(VLOOKUP(AC$2,Rango_Admin_DailyPred,MATCH($F41,Rango_Admin_DailyPred_Primera,0)+1,0),"-")</f>
        <v>-</v>
      </c>
      <c r="AD41" s="429" t="str">
        <f ca="1">IFERROR(VLOOKUP(AD$2,Rango_Admin_DailyPred,MATCH($F41,Rango_Admin_DailyPred_Primera,0)+1,0),"-")</f>
        <v>-</v>
      </c>
      <c r="AE41" s="429" t="str">
        <f ca="1">IFERROR(VLOOKUP(AE$2,Rango_Admin_DailyPred,MATCH($F41,Rango_Admin_DailyPred_Primera,0)+1,0),"-")</f>
        <v>-</v>
      </c>
      <c r="AF41" s="429" t="str">
        <f ca="1">IFERROR(VLOOKUP(AF$2,Rango_Admin_DailyPred,MATCH($F41,Rango_Admin_DailyPred_Primera,0)+1,0),"-")</f>
        <v>-</v>
      </c>
      <c r="AG41" s="429" t="str">
        <f ca="1">IFERROR(VLOOKUP(AG$2,Rango_Admin_DailyPred,MATCH($F41,Rango_Admin_DailyPred_Primera,0)+1,0),"-")</f>
        <v>-</v>
      </c>
      <c r="AH41" s="429" t="str">
        <f ca="1">IFERROR(VLOOKUP(AH$2,Rango_Admin_DailyPred,MATCH($F41,Rango_Admin_DailyPred_Primera,0)+1,0),"-")</f>
        <v>-</v>
      </c>
      <c r="AI41" s="429" t="str">
        <f ca="1">IFERROR(VLOOKUP(AI$2,Rango_Admin_DailyPred,MATCH($F41,Rango_Admin_DailyPred_Primera,0)+1,0),"-")</f>
        <v>-</v>
      </c>
      <c r="AJ41" s="429" t="str">
        <f ca="1">IFERROR(VLOOKUP(AJ$2,Rango_Admin_DailyPred,MATCH($F41,Rango_Admin_DailyPred_Primera,0)+1,0),"-")</f>
        <v>-</v>
      </c>
      <c r="AK41" s="429" t="str">
        <f ca="1">IFERROR(VLOOKUP(AK$2,Rango_Admin_DailyPred,MATCH($F41,Rango_Admin_DailyPred_Primera,0)+1,0),"-")</f>
        <v>-</v>
      </c>
      <c r="AL41" s="429" t="str">
        <f ca="1">IFERROR(VLOOKUP(AL$2,Rango_Admin_DailyPred,MATCH($F41,Rango_Admin_DailyPred_Primera,0)+1,0),"-")</f>
        <v>-</v>
      </c>
      <c r="AM41" s="429" t="str">
        <f ca="1">IFERROR(VLOOKUP(AM$2,Rango_Admin_DailyPred,MATCH($F41,Rango_Admin_DailyPred_Primera,0)+1,0),"-")</f>
        <v>-</v>
      </c>
      <c r="AN41" s="297"/>
    </row>
    <row r="42" spans="1:40">
      <c r="A42" s="8"/>
      <c r="B42" s="8"/>
      <c r="C42" s="8">
        <v>39</v>
      </c>
      <c r="D42" s="19"/>
      <c r="E42" s="409">
        <f ca="1">IFERROR(HLOOKUP(C42,Rango_Admin_DailyClas,3,FALSE),"-")</f>
        <v>31</v>
      </c>
      <c r="F42" s="448" t="str">
        <f ca="1">IFERROR(HLOOKUP(C42,Rango_Admin_DailyClas,5,FALSE),"-")</f>
        <v>Marnix van der Molen</v>
      </c>
      <c r="G42" s="22">
        <f ca="1">IFERROR(HLOOKUP(C42,Rango_Admin_DailyClas,4,FALSE),"-")</f>
        <v>20</v>
      </c>
      <c r="H42" s="429">
        <f ca="1">IFERROR(VLOOKUP(H$2,Rango_Admin_DailyPred,MATCH($F42,Rango_Admin_DailyPred_Primera,0)+1,0),"-")</f>
        <v>0</v>
      </c>
      <c r="I42" s="429">
        <f ca="1">IFERROR(VLOOKUP(I$2,Rango_Admin_DailyPred,MATCH($F42,Rango_Admin_DailyPred_Primera,0)+1,0),"-")</f>
        <v>0</v>
      </c>
      <c r="J42" s="429">
        <f ca="1">IFERROR(VLOOKUP(J$2,Rango_Admin_DailyPred,MATCH($F42,Rango_Admin_DailyPred_Primera,0)+1,0),"-")</f>
        <v>0</v>
      </c>
      <c r="K42" s="429">
        <f ca="1">IFERROR(VLOOKUP(K$2,Rango_Admin_DailyPred,MATCH($F42,Rango_Admin_DailyPred_Primera,0)+1,0),"-")</f>
        <v>0</v>
      </c>
      <c r="L42" s="429">
        <f ca="1">IFERROR(VLOOKUP(L$2,Rango_Admin_DailyPred,MATCH($F42,Rango_Admin_DailyPred_Primera,0)+1,0),"-")</f>
        <v>0</v>
      </c>
      <c r="M42" s="429">
        <f ca="1">IFERROR(VLOOKUP(M$2,Rango_Admin_DailyPred,MATCH($F42,Rango_Admin_DailyPred_Primera,0)+1,0),"-")</f>
        <v>20</v>
      </c>
      <c r="N42" s="429">
        <f ca="1">IFERROR(VLOOKUP(N$2,Rango_Admin_DailyPred,MATCH($F42,Rango_Admin_DailyPred_Primera,0)+1,0),"-")</f>
        <v>0</v>
      </c>
      <c r="O42" s="429">
        <f ca="1">IFERROR(VLOOKUP(O$2,Rango_Admin_DailyPred,MATCH($F42,Rango_Admin_DailyPred_Primera,0)+1,0),"-")</f>
        <v>0</v>
      </c>
      <c r="P42" s="429">
        <f ca="1">IFERROR(VLOOKUP(P$2,Rango_Admin_DailyPred,MATCH($F42,Rango_Admin_DailyPred_Primera,0)+1,0),"-")</f>
        <v>0</v>
      </c>
      <c r="Q42" s="429">
        <f ca="1">IFERROR(VLOOKUP(Q$2,Rango_Admin_DailyPred,MATCH($F42,Rango_Admin_DailyPred_Primera,0)+1,0),"-")</f>
        <v>0</v>
      </c>
      <c r="R42" s="429">
        <f ca="1">IFERROR(VLOOKUP(R$2,Rango_Admin_DailyPred,MATCH($F42,Rango_Admin_DailyPred_Primera,0)+1,0),"-")</f>
        <v>0</v>
      </c>
      <c r="S42" s="429" t="str">
        <f ca="1">IFERROR(VLOOKUP(S$2,Rango_Admin_DailyPred,MATCH($F42,Rango_Admin_DailyPred_Primera,0)+1,0),"-")</f>
        <v>-</v>
      </c>
      <c r="T42" s="429" t="str">
        <f ca="1">IFERROR(VLOOKUP(T$2,Rango_Admin_DailyPred,MATCH($F42,Rango_Admin_DailyPred_Primera,0)+1,0),"-")</f>
        <v>-</v>
      </c>
      <c r="U42" s="429" t="str">
        <f ca="1">IFERROR(VLOOKUP(U$2,Rango_Admin_DailyPred,MATCH($F42,Rango_Admin_DailyPred_Primera,0)+1,0),"-")</f>
        <v>-</v>
      </c>
      <c r="V42" s="429" t="str">
        <f ca="1">IFERROR(VLOOKUP(V$2,Rango_Admin_DailyPred,MATCH($F42,Rango_Admin_DailyPred_Primera,0)+1,0),"-")</f>
        <v>-</v>
      </c>
      <c r="W42" s="429" t="str">
        <f ca="1">IFERROR(VLOOKUP(W$2,Rango_Admin_DailyPred,MATCH($F42,Rango_Admin_DailyPred_Primera,0)+1,0),"-")</f>
        <v>-</v>
      </c>
      <c r="X42" s="429" t="str">
        <f ca="1">IFERROR(VLOOKUP(X$2,Rango_Admin_DailyPred,MATCH($F42,Rango_Admin_DailyPred_Primera,0)+1,0),"-")</f>
        <v>-</v>
      </c>
      <c r="Y42" s="429" t="str">
        <f ca="1">IFERROR(VLOOKUP(Y$2,Rango_Admin_DailyPred,MATCH($F42,Rango_Admin_DailyPred_Primera,0)+1,0),"-")</f>
        <v>-</v>
      </c>
      <c r="Z42" s="429" t="str">
        <f ca="1">IFERROR(VLOOKUP(Z$2,Rango_Admin_DailyPred,MATCH($F42,Rango_Admin_DailyPred_Primera,0)+1,0),"-")</f>
        <v>-</v>
      </c>
      <c r="AA42" s="429" t="str">
        <f ca="1">IFERROR(VLOOKUP(AA$2,Rango_Admin_DailyPred,MATCH($F42,Rango_Admin_DailyPred_Primera,0)+1,0),"-")</f>
        <v>-</v>
      </c>
      <c r="AB42" s="429" t="str">
        <f ca="1">IFERROR(VLOOKUP(AB$2,Rango_Admin_DailyPred,MATCH($F42,Rango_Admin_DailyPred_Primera,0)+1,0),"-")</f>
        <v>-</v>
      </c>
      <c r="AC42" s="429" t="str">
        <f ca="1">IFERROR(VLOOKUP(AC$2,Rango_Admin_DailyPred,MATCH($F42,Rango_Admin_DailyPred_Primera,0)+1,0),"-")</f>
        <v>-</v>
      </c>
      <c r="AD42" s="429" t="str">
        <f ca="1">IFERROR(VLOOKUP(AD$2,Rango_Admin_DailyPred,MATCH($F42,Rango_Admin_DailyPred_Primera,0)+1,0),"-")</f>
        <v>-</v>
      </c>
      <c r="AE42" s="429" t="str">
        <f ca="1">IFERROR(VLOOKUP(AE$2,Rango_Admin_DailyPred,MATCH($F42,Rango_Admin_DailyPred_Primera,0)+1,0),"-")</f>
        <v>-</v>
      </c>
      <c r="AF42" s="429" t="str">
        <f ca="1">IFERROR(VLOOKUP(AF$2,Rango_Admin_DailyPred,MATCH($F42,Rango_Admin_DailyPred_Primera,0)+1,0),"-")</f>
        <v>-</v>
      </c>
      <c r="AG42" s="429" t="str">
        <f ca="1">IFERROR(VLOOKUP(AG$2,Rango_Admin_DailyPred,MATCH($F42,Rango_Admin_DailyPred_Primera,0)+1,0),"-")</f>
        <v>-</v>
      </c>
      <c r="AH42" s="429" t="str">
        <f ca="1">IFERROR(VLOOKUP(AH$2,Rango_Admin_DailyPred,MATCH($F42,Rango_Admin_DailyPred_Primera,0)+1,0),"-")</f>
        <v>-</v>
      </c>
      <c r="AI42" s="429" t="str">
        <f ca="1">IFERROR(VLOOKUP(AI$2,Rango_Admin_DailyPred,MATCH($F42,Rango_Admin_DailyPred_Primera,0)+1,0),"-")</f>
        <v>-</v>
      </c>
      <c r="AJ42" s="429" t="str">
        <f ca="1">IFERROR(VLOOKUP(AJ$2,Rango_Admin_DailyPred,MATCH($F42,Rango_Admin_DailyPred_Primera,0)+1,0),"-")</f>
        <v>-</v>
      </c>
      <c r="AK42" s="429" t="str">
        <f ca="1">IFERROR(VLOOKUP(AK$2,Rango_Admin_DailyPred,MATCH($F42,Rango_Admin_DailyPred_Primera,0)+1,0),"-")</f>
        <v>-</v>
      </c>
      <c r="AL42" s="429" t="str">
        <f ca="1">IFERROR(VLOOKUP(AL$2,Rango_Admin_DailyPred,MATCH($F42,Rango_Admin_DailyPred_Primera,0)+1,0),"-")</f>
        <v>-</v>
      </c>
      <c r="AM42" s="429" t="str">
        <f ca="1">IFERROR(VLOOKUP(AM$2,Rango_Admin_DailyPred,MATCH($F42,Rango_Admin_DailyPred_Primera,0)+1,0),"-")</f>
        <v>-</v>
      </c>
      <c r="AN42" s="297"/>
    </row>
    <row r="43" spans="1:40">
      <c r="A43" s="8"/>
      <c r="B43" s="8"/>
      <c r="C43" s="8">
        <v>40</v>
      </c>
      <c r="D43" s="19"/>
      <c r="E43" s="409">
        <f ca="1">IFERROR(HLOOKUP(C43,Rango_Admin_DailyClas,3,FALSE),"-")</f>
        <v>31</v>
      </c>
      <c r="F43" s="448" t="str">
        <f ca="1">IFERROR(HLOOKUP(C43,Rango_Admin_DailyClas,5,FALSE),"-")</f>
        <v>Mandy Reijntjes</v>
      </c>
      <c r="G43" s="22">
        <f ca="1">IFERROR(HLOOKUP(C43,Rango_Admin_DailyClas,4,FALSE),"-")</f>
        <v>20</v>
      </c>
      <c r="H43" s="429">
        <f ca="1">IFERROR(VLOOKUP(H$2,Rango_Admin_DailyPred,MATCH($F43,Rango_Admin_DailyPred_Primera,0)+1,0),"-")</f>
        <v>0</v>
      </c>
      <c r="I43" s="429">
        <f ca="1">IFERROR(VLOOKUP(I$2,Rango_Admin_DailyPred,MATCH($F43,Rango_Admin_DailyPred_Primera,0)+1,0),"-")</f>
        <v>0</v>
      </c>
      <c r="J43" s="429">
        <f ca="1">IFERROR(VLOOKUP(J$2,Rango_Admin_DailyPred,MATCH($F43,Rango_Admin_DailyPred_Primera,0)+1,0),"-")</f>
        <v>0</v>
      </c>
      <c r="K43" s="429">
        <f ca="1">IFERROR(VLOOKUP(K$2,Rango_Admin_DailyPred,MATCH($F43,Rango_Admin_DailyPred_Primera,0)+1,0),"-")</f>
        <v>0</v>
      </c>
      <c r="L43" s="429">
        <f ca="1">IFERROR(VLOOKUP(L$2,Rango_Admin_DailyPred,MATCH($F43,Rango_Admin_DailyPred_Primera,0)+1,0),"-")</f>
        <v>0</v>
      </c>
      <c r="M43" s="429">
        <f ca="1">IFERROR(VLOOKUP(M$2,Rango_Admin_DailyPred,MATCH($F43,Rango_Admin_DailyPred_Primera,0)+1,0),"-")</f>
        <v>20</v>
      </c>
      <c r="N43" s="429">
        <f ca="1">IFERROR(VLOOKUP(N$2,Rango_Admin_DailyPred,MATCH($F43,Rango_Admin_DailyPred_Primera,0)+1,0),"-")</f>
        <v>0</v>
      </c>
      <c r="O43" s="429">
        <f ca="1">IFERROR(VLOOKUP(O$2,Rango_Admin_DailyPred,MATCH($F43,Rango_Admin_DailyPred_Primera,0)+1,0),"-")</f>
        <v>0</v>
      </c>
      <c r="P43" s="429">
        <f ca="1">IFERROR(VLOOKUP(P$2,Rango_Admin_DailyPred,MATCH($F43,Rango_Admin_DailyPred_Primera,0)+1,0),"-")</f>
        <v>0</v>
      </c>
      <c r="Q43" s="429">
        <f ca="1">IFERROR(VLOOKUP(Q$2,Rango_Admin_DailyPred,MATCH($F43,Rango_Admin_DailyPred_Primera,0)+1,0),"-")</f>
        <v>0</v>
      </c>
      <c r="R43" s="429">
        <f ca="1">IFERROR(VLOOKUP(R$2,Rango_Admin_DailyPred,MATCH($F43,Rango_Admin_DailyPred_Primera,0)+1,0),"-")</f>
        <v>0</v>
      </c>
      <c r="S43" s="429" t="str">
        <f ca="1">IFERROR(VLOOKUP(S$2,Rango_Admin_DailyPred,MATCH($F43,Rango_Admin_DailyPred_Primera,0)+1,0),"-")</f>
        <v>-</v>
      </c>
      <c r="T43" s="429" t="str">
        <f ca="1">IFERROR(VLOOKUP(T$2,Rango_Admin_DailyPred,MATCH($F43,Rango_Admin_DailyPred_Primera,0)+1,0),"-")</f>
        <v>-</v>
      </c>
      <c r="U43" s="429" t="str">
        <f ca="1">IFERROR(VLOOKUP(U$2,Rango_Admin_DailyPred,MATCH($F43,Rango_Admin_DailyPred_Primera,0)+1,0),"-")</f>
        <v>-</v>
      </c>
      <c r="V43" s="429" t="str">
        <f ca="1">IFERROR(VLOOKUP(V$2,Rango_Admin_DailyPred,MATCH($F43,Rango_Admin_DailyPred_Primera,0)+1,0),"-")</f>
        <v>-</v>
      </c>
      <c r="W43" s="429" t="str">
        <f ca="1">IFERROR(VLOOKUP(W$2,Rango_Admin_DailyPred,MATCH($F43,Rango_Admin_DailyPred_Primera,0)+1,0),"-")</f>
        <v>-</v>
      </c>
      <c r="X43" s="429" t="str">
        <f ca="1">IFERROR(VLOOKUP(X$2,Rango_Admin_DailyPred,MATCH($F43,Rango_Admin_DailyPred_Primera,0)+1,0),"-")</f>
        <v>-</v>
      </c>
      <c r="Y43" s="429" t="str">
        <f ca="1">IFERROR(VLOOKUP(Y$2,Rango_Admin_DailyPred,MATCH($F43,Rango_Admin_DailyPred_Primera,0)+1,0),"-")</f>
        <v>-</v>
      </c>
      <c r="Z43" s="429" t="str">
        <f ca="1">IFERROR(VLOOKUP(Z$2,Rango_Admin_DailyPred,MATCH($F43,Rango_Admin_DailyPred_Primera,0)+1,0),"-")</f>
        <v>-</v>
      </c>
      <c r="AA43" s="429" t="str">
        <f ca="1">IFERROR(VLOOKUP(AA$2,Rango_Admin_DailyPred,MATCH($F43,Rango_Admin_DailyPred_Primera,0)+1,0),"-")</f>
        <v>-</v>
      </c>
      <c r="AB43" s="429" t="str">
        <f ca="1">IFERROR(VLOOKUP(AB$2,Rango_Admin_DailyPred,MATCH($F43,Rango_Admin_DailyPred_Primera,0)+1,0),"-")</f>
        <v>-</v>
      </c>
      <c r="AC43" s="429" t="str">
        <f ca="1">IFERROR(VLOOKUP(AC$2,Rango_Admin_DailyPred,MATCH($F43,Rango_Admin_DailyPred_Primera,0)+1,0),"-")</f>
        <v>-</v>
      </c>
      <c r="AD43" s="429" t="str">
        <f ca="1">IFERROR(VLOOKUP(AD$2,Rango_Admin_DailyPred,MATCH($F43,Rango_Admin_DailyPred_Primera,0)+1,0),"-")</f>
        <v>-</v>
      </c>
      <c r="AE43" s="429" t="str">
        <f ca="1">IFERROR(VLOOKUP(AE$2,Rango_Admin_DailyPred,MATCH($F43,Rango_Admin_DailyPred_Primera,0)+1,0),"-")</f>
        <v>-</v>
      </c>
      <c r="AF43" s="429" t="str">
        <f ca="1">IFERROR(VLOOKUP(AF$2,Rango_Admin_DailyPred,MATCH($F43,Rango_Admin_DailyPred_Primera,0)+1,0),"-")</f>
        <v>-</v>
      </c>
      <c r="AG43" s="429" t="str">
        <f ca="1">IFERROR(VLOOKUP(AG$2,Rango_Admin_DailyPred,MATCH($F43,Rango_Admin_DailyPred_Primera,0)+1,0),"-")</f>
        <v>-</v>
      </c>
      <c r="AH43" s="429" t="str">
        <f ca="1">IFERROR(VLOOKUP(AH$2,Rango_Admin_DailyPred,MATCH($F43,Rango_Admin_DailyPred_Primera,0)+1,0),"-")</f>
        <v>-</v>
      </c>
      <c r="AI43" s="429" t="str">
        <f ca="1">IFERROR(VLOOKUP(AI$2,Rango_Admin_DailyPred,MATCH($F43,Rango_Admin_DailyPred_Primera,0)+1,0),"-")</f>
        <v>-</v>
      </c>
      <c r="AJ43" s="429" t="str">
        <f ca="1">IFERROR(VLOOKUP(AJ$2,Rango_Admin_DailyPred,MATCH($F43,Rango_Admin_DailyPred_Primera,0)+1,0),"-")</f>
        <v>-</v>
      </c>
      <c r="AK43" s="429" t="str">
        <f ca="1">IFERROR(VLOOKUP(AK$2,Rango_Admin_DailyPred,MATCH($F43,Rango_Admin_DailyPred_Primera,0)+1,0),"-")</f>
        <v>-</v>
      </c>
      <c r="AL43" s="429" t="str">
        <f ca="1">IFERROR(VLOOKUP(AL$2,Rango_Admin_DailyPred,MATCH($F43,Rango_Admin_DailyPred_Primera,0)+1,0),"-")</f>
        <v>-</v>
      </c>
      <c r="AM43" s="429" t="str">
        <f ca="1">IFERROR(VLOOKUP(AM$2,Rango_Admin_DailyPred,MATCH($F43,Rango_Admin_DailyPred_Primera,0)+1,0),"-")</f>
        <v>-</v>
      </c>
      <c r="AN43" s="297"/>
    </row>
    <row r="44" spans="1:40">
      <c r="A44" s="8"/>
      <c r="B44" s="8"/>
      <c r="C44" s="8">
        <v>41</v>
      </c>
      <c r="D44" s="19"/>
      <c r="E44" s="409">
        <f ca="1">IFERROR(HLOOKUP(C44,Rango_Admin_DailyClas,3,FALSE),"-")</f>
        <v>31</v>
      </c>
      <c r="F44" s="448" t="str">
        <f ca="1">IFERROR(HLOOKUP(C44,Rango_Admin_DailyClas,5,FALSE),"-")</f>
        <v>Jose van Wijk</v>
      </c>
      <c r="G44" s="22">
        <f ca="1">IFERROR(HLOOKUP(C44,Rango_Admin_DailyClas,4,FALSE),"-")</f>
        <v>20</v>
      </c>
      <c r="H44" s="429">
        <f ca="1">IFERROR(VLOOKUP(H$2,Rango_Admin_DailyPred,MATCH($F44,Rango_Admin_DailyPred_Primera,0)+1,0),"-")</f>
        <v>0</v>
      </c>
      <c r="I44" s="429">
        <f ca="1">IFERROR(VLOOKUP(I$2,Rango_Admin_DailyPred,MATCH($F44,Rango_Admin_DailyPred_Primera,0)+1,0),"-")</f>
        <v>0</v>
      </c>
      <c r="J44" s="429">
        <f ca="1">IFERROR(VLOOKUP(J$2,Rango_Admin_DailyPred,MATCH($F44,Rango_Admin_DailyPred_Primera,0)+1,0),"-")</f>
        <v>0</v>
      </c>
      <c r="K44" s="429">
        <f ca="1">IFERROR(VLOOKUP(K$2,Rango_Admin_DailyPred,MATCH($F44,Rango_Admin_DailyPred_Primera,0)+1,0),"-")</f>
        <v>0</v>
      </c>
      <c r="L44" s="429">
        <f ca="1">IFERROR(VLOOKUP(L$2,Rango_Admin_DailyPred,MATCH($F44,Rango_Admin_DailyPred_Primera,0)+1,0),"-")</f>
        <v>0</v>
      </c>
      <c r="M44" s="429">
        <f ca="1">IFERROR(VLOOKUP(M$2,Rango_Admin_DailyPred,MATCH($F44,Rango_Admin_DailyPred_Primera,0)+1,0),"-")</f>
        <v>20</v>
      </c>
      <c r="N44" s="429">
        <f ca="1">IFERROR(VLOOKUP(N$2,Rango_Admin_DailyPred,MATCH($F44,Rango_Admin_DailyPred_Primera,0)+1,0),"-")</f>
        <v>0</v>
      </c>
      <c r="O44" s="429">
        <f ca="1">IFERROR(VLOOKUP(O$2,Rango_Admin_DailyPred,MATCH($F44,Rango_Admin_DailyPred_Primera,0)+1,0),"-")</f>
        <v>0</v>
      </c>
      <c r="P44" s="429">
        <f ca="1">IFERROR(VLOOKUP(P$2,Rango_Admin_DailyPred,MATCH($F44,Rango_Admin_DailyPred_Primera,0)+1,0),"-")</f>
        <v>0</v>
      </c>
      <c r="Q44" s="429">
        <f ca="1">IFERROR(VLOOKUP(Q$2,Rango_Admin_DailyPred,MATCH($F44,Rango_Admin_DailyPred_Primera,0)+1,0),"-")</f>
        <v>0</v>
      </c>
      <c r="R44" s="429">
        <f ca="1">IFERROR(VLOOKUP(R$2,Rango_Admin_DailyPred,MATCH($F44,Rango_Admin_DailyPred_Primera,0)+1,0),"-")</f>
        <v>0</v>
      </c>
      <c r="S44" s="429" t="str">
        <f ca="1">IFERROR(VLOOKUP(S$2,Rango_Admin_DailyPred,MATCH($F44,Rango_Admin_DailyPred_Primera,0)+1,0),"-")</f>
        <v>-</v>
      </c>
      <c r="T44" s="429" t="str">
        <f ca="1">IFERROR(VLOOKUP(T$2,Rango_Admin_DailyPred,MATCH($F44,Rango_Admin_DailyPred_Primera,0)+1,0),"-")</f>
        <v>-</v>
      </c>
      <c r="U44" s="429" t="str">
        <f ca="1">IFERROR(VLOOKUP(U$2,Rango_Admin_DailyPred,MATCH($F44,Rango_Admin_DailyPred_Primera,0)+1,0),"-")</f>
        <v>-</v>
      </c>
      <c r="V44" s="429" t="str">
        <f ca="1">IFERROR(VLOOKUP(V$2,Rango_Admin_DailyPred,MATCH($F44,Rango_Admin_DailyPred_Primera,0)+1,0),"-")</f>
        <v>-</v>
      </c>
      <c r="W44" s="429" t="str">
        <f ca="1">IFERROR(VLOOKUP(W$2,Rango_Admin_DailyPred,MATCH($F44,Rango_Admin_DailyPred_Primera,0)+1,0),"-")</f>
        <v>-</v>
      </c>
      <c r="X44" s="429" t="str">
        <f ca="1">IFERROR(VLOOKUP(X$2,Rango_Admin_DailyPred,MATCH($F44,Rango_Admin_DailyPred_Primera,0)+1,0),"-")</f>
        <v>-</v>
      </c>
      <c r="Y44" s="429" t="str">
        <f ca="1">IFERROR(VLOOKUP(Y$2,Rango_Admin_DailyPred,MATCH($F44,Rango_Admin_DailyPred_Primera,0)+1,0),"-")</f>
        <v>-</v>
      </c>
      <c r="Z44" s="429" t="str">
        <f ca="1">IFERROR(VLOOKUP(Z$2,Rango_Admin_DailyPred,MATCH($F44,Rango_Admin_DailyPred_Primera,0)+1,0),"-")</f>
        <v>-</v>
      </c>
      <c r="AA44" s="429" t="str">
        <f ca="1">IFERROR(VLOOKUP(AA$2,Rango_Admin_DailyPred,MATCH($F44,Rango_Admin_DailyPred_Primera,0)+1,0),"-")</f>
        <v>-</v>
      </c>
      <c r="AB44" s="429" t="str">
        <f ca="1">IFERROR(VLOOKUP(AB$2,Rango_Admin_DailyPred,MATCH($F44,Rango_Admin_DailyPred_Primera,0)+1,0),"-")</f>
        <v>-</v>
      </c>
      <c r="AC44" s="429" t="str">
        <f ca="1">IFERROR(VLOOKUP(AC$2,Rango_Admin_DailyPred,MATCH($F44,Rango_Admin_DailyPred_Primera,0)+1,0),"-")</f>
        <v>-</v>
      </c>
      <c r="AD44" s="429" t="str">
        <f ca="1">IFERROR(VLOOKUP(AD$2,Rango_Admin_DailyPred,MATCH($F44,Rango_Admin_DailyPred_Primera,0)+1,0),"-")</f>
        <v>-</v>
      </c>
      <c r="AE44" s="429" t="str">
        <f ca="1">IFERROR(VLOOKUP(AE$2,Rango_Admin_DailyPred,MATCH($F44,Rango_Admin_DailyPred_Primera,0)+1,0),"-")</f>
        <v>-</v>
      </c>
      <c r="AF44" s="429" t="str">
        <f ca="1">IFERROR(VLOOKUP(AF$2,Rango_Admin_DailyPred,MATCH($F44,Rango_Admin_DailyPred_Primera,0)+1,0),"-")</f>
        <v>-</v>
      </c>
      <c r="AG44" s="429" t="str">
        <f ca="1">IFERROR(VLOOKUP(AG$2,Rango_Admin_DailyPred,MATCH($F44,Rango_Admin_DailyPred_Primera,0)+1,0),"-")</f>
        <v>-</v>
      </c>
      <c r="AH44" s="429" t="str">
        <f ca="1">IFERROR(VLOOKUP(AH$2,Rango_Admin_DailyPred,MATCH($F44,Rango_Admin_DailyPred_Primera,0)+1,0),"-")</f>
        <v>-</v>
      </c>
      <c r="AI44" s="429" t="str">
        <f ca="1">IFERROR(VLOOKUP(AI$2,Rango_Admin_DailyPred,MATCH($F44,Rango_Admin_DailyPred_Primera,0)+1,0),"-")</f>
        <v>-</v>
      </c>
      <c r="AJ44" s="429" t="str">
        <f ca="1">IFERROR(VLOOKUP(AJ$2,Rango_Admin_DailyPred,MATCH($F44,Rango_Admin_DailyPred_Primera,0)+1,0),"-")</f>
        <v>-</v>
      </c>
      <c r="AK44" s="429" t="str">
        <f ca="1">IFERROR(VLOOKUP(AK$2,Rango_Admin_DailyPred,MATCH($F44,Rango_Admin_DailyPred_Primera,0)+1,0),"-")</f>
        <v>-</v>
      </c>
      <c r="AL44" s="429" t="str">
        <f ca="1">IFERROR(VLOOKUP(AL$2,Rango_Admin_DailyPred,MATCH($F44,Rango_Admin_DailyPred_Primera,0)+1,0),"-")</f>
        <v>-</v>
      </c>
      <c r="AM44" s="429" t="str">
        <f ca="1">IFERROR(VLOOKUP(AM$2,Rango_Admin_DailyPred,MATCH($F44,Rango_Admin_DailyPred_Primera,0)+1,0),"-")</f>
        <v>-</v>
      </c>
      <c r="AN44" s="297"/>
    </row>
    <row r="45" spans="1:40">
      <c r="A45" s="8"/>
      <c r="B45" s="8"/>
      <c r="C45" s="8">
        <v>42</v>
      </c>
      <c r="D45" s="19"/>
      <c r="E45" s="409">
        <f ca="1">IFERROR(HLOOKUP(C45,Rango_Admin_DailyClas,3,FALSE),"-")</f>
        <v>31</v>
      </c>
      <c r="F45" s="448" t="str">
        <f ca="1">IFERROR(HLOOKUP(C45,Rango_Admin_DailyClas,5,FALSE),"-")</f>
        <v>Ilker Esmer</v>
      </c>
      <c r="G45" s="22">
        <f ca="1">IFERROR(HLOOKUP(C45,Rango_Admin_DailyClas,4,FALSE),"-")</f>
        <v>20</v>
      </c>
      <c r="H45" s="429">
        <f ca="1">IFERROR(VLOOKUP(H$2,Rango_Admin_DailyPred,MATCH($F45,Rango_Admin_DailyPred_Primera,0)+1,0),"-")</f>
        <v>0</v>
      </c>
      <c r="I45" s="429">
        <f ca="1">IFERROR(VLOOKUP(I$2,Rango_Admin_DailyPred,MATCH($F45,Rango_Admin_DailyPred_Primera,0)+1,0),"-")</f>
        <v>0</v>
      </c>
      <c r="J45" s="429">
        <f ca="1">IFERROR(VLOOKUP(J$2,Rango_Admin_DailyPred,MATCH($F45,Rango_Admin_DailyPred_Primera,0)+1,0),"-")</f>
        <v>0</v>
      </c>
      <c r="K45" s="429">
        <f ca="1">IFERROR(VLOOKUP(K$2,Rango_Admin_DailyPred,MATCH($F45,Rango_Admin_DailyPred_Primera,0)+1,0),"-")</f>
        <v>0</v>
      </c>
      <c r="L45" s="429">
        <f ca="1">IFERROR(VLOOKUP(L$2,Rango_Admin_DailyPred,MATCH($F45,Rango_Admin_DailyPred_Primera,0)+1,0),"-")</f>
        <v>0</v>
      </c>
      <c r="M45" s="429">
        <f ca="1">IFERROR(VLOOKUP(M$2,Rango_Admin_DailyPred,MATCH($F45,Rango_Admin_DailyPred_Primera,0)+1,0),"-")</f>
        <v>20</v>
      </c>
      <c r="N45" s="429">
        <f ca="1">IFERROR(VLOOKUP(N$2,Rango_Admin_DailyPred,MATCH($F45,Rango_Admin_DailyPred_Primera,0)+1,0),"-")</f>
        <v>0</v>
      </c>
      <c r="O45" s="429">
        <f ca="1">IFERROR(VLOOKUP(O$2,Rango_Admin_DailyPred,MATCH($F45,Rango_Admin_DailyPred_Primera,0)+1,0),"-")</f>
        <v>0</v>
      </c>
      <c r="P45" s="429">
        <f ca="1">IFERROR(VLOOKUP(P$2,Rango_Admin_DailyPred,MATCH($F45,Rango_Admin_DailyPred_Primera,0)+1,0),"-")</f>
        <v>0</v>
      </c>
      <c r="Q45" s="429">
        <f ca="1">IFERROR(VLOOKUP(Q$2,Rango_Admin_DailyPred,MATCH($F45,Rango_Admin_DailyPred_Primera,0)+1,0),"-")</f>
        <v>0</v>
      </c>
      <c r="R45" s="429">
        <f ca="1">IFERROR(VLOOKUP(R$2,Rango_Admin_DailyPred,MATCH($F45,Rango_Admin_DailyPred_Primera,0)+1,0),"-")</f>
        <v>0</v>
      </c>
      <c r="S45" s="429" t="str">
        <f ca="1">IFERROR(VLOOKUP(S$2,Rango_Admin_DailyPred,MATCH($F45,Rango_Admin_DailyPred_Primera,0)+1,0),"-")</f>
        <v>-</v>
      </c>
      <c r="T45" s="429" t="str">
        <f ca="1">IFERROR(VLOOKUP(T$2,Rango_Admin_DailyPred,MATCH($F45,Rango_Admin_DailyPred_Primera,0)+1,0),"-")</f>
        <v>-</v>
      </c>
      <c r="U45" s="429" t="str">
        <f ca="1">IFERROR(VLOOKUP(U$2,Rango_Admin_DailyPred,MATCH($F45,Rango_Admin_DailyPred_Primera,0)+1,0),"-")</f>
        <v>-</v>
      </c>
      <c r="V45" s="429" t="str">
        <f ca="1">IFERROR(VLOOKUP(V$2,Rango_Admin_DailyPred,MATCH($F45,Rango_Admin_DailyPred_Primera,0)+1,0),"-")</f>
        <v>-</v>
      </c>
      <c r="W45" s="429" t="str">
        <f ca="1">IFERROR(VLOOKUP(W$2,Rango_Admin_DailyPred,MATCH($F45,Rango_Admin_DailyPred_Primera,0)+1,0),"-")</f>
        <v>-</v>
      </c>
      <c r="X45" s="429" t="str">
        <f ca="1">IFERROR(VLOOKUP(X$2,Rango_Admin_DailyPred,MATCH($F45,Rango_Admin_DailyPred_Primera,0)+1,0),"-")</f>
        <v>-</v>
      </c>
      <c r="Y45" s="429" t="str">
        <f ca="1">IFERROR(VLOOKUP(Y$2,Rango_Admin_DailyPred,MATCH($F45,Rango_Admin_DailyPred_Primera,0)+1,0),"-")</f>
        <v>-</v>
      </c>
      <c r="Z45" s="429" t="str">
        <f ca="1">IFERROR(VLOOKUP(Z$2,Rango_Admin_DailyPred,MATCH($F45,Rango_Admin_DailyPred_Primera,0)+1,0),"-")</f>
        <v>-</v>
      </c>
      <c r="AA45" s="429" t="str">
        <f ca="1">IFERROR(VLOOKUP(AA$2,Rango_Admin_DailyPred,MATCH($F45,Rango_Admin_DailyPred_Primera,0)+1,0),"-")</f>
        <v>-</v>
      </c>
      <c r="AB45" s="429" t="str">
        <f ca="1">IFERROR(VLOOKUP(AB$2,Rango_Admin_DailyPred,MATCH($F45,Rango_Admin_DailyPred_Primera,0)+1,0),"-")</f>
        <v>-</v>
      </c>
      <c r="AC45" s="429" t="str">
        <f ca="1">IFERROR(VLOOKUP(AC$2,Rango_Admin_DailyPred,MATCH($F45,Rango_Admin_DailyPred_Primera,0)+1,0),"-")</f>
        <v>-</v>
      </c>
      <c r="AD45" s="429" t="str">
        <f ca="1">IFERROR(VLOOKUP(AD$2,Rango_Admin_DailyPred,MATCH($F45,Rango_Admin_DailyPred_Primera,0)+1,0),"-")</f>
        <v>-</v>
      </c>
      <c r="AE45" s="429" t="str">
        <f ca="1">IFERROR(VLOOKUP(AE$2,Rango_Admin_DailyPred,MATCH($F45,Rango_Admin_DailyPred_Primera,0)+1,0),"-")</f>
        <v>-</v>
      </c>
      <c r="AF45" s="429" t="str">
        <f ca="1">IFERROR(VLOOKUP(AF$2,Rango_Admin_DailyPred,MATCH($F45,Rango_Admin_DailyPred_Primera,0)+1,0),"-")</f>
        <v>-</v>
      </c>
      <c r="AG45" s="429" t="str">
        <f ca="1">IFERROR(VLOOKUP(AG$2,Rango_Admin_DailyPred,MATCH($F45,Rango_Admin_DailyPred_Primera,0)+1,0),"-")</f>
        <v>-</v>
      </c>
      <c r="AH45" s="429" t="str">
        <f ca="1">IFERROR(VLOOKUP(AH$2,Rango_Admin_DailyPred,MATCH($F45,Rango_Admin_DailyPred_Primera,0)+1,0),"-")</f>
        <v>-</v>
      </c>
      <c r="AI45" s="429" t="str">
        <f ca="1">IFERROR(VLOOKUP(AI$2,Rango_Admin_DailyPred,MATCH($F45,Rango_Admin_DailyPred_Primera,0)+1,0),"-")</f>
        <v>-</v>
      </c>
      <c r="AJ45" s="429" t="str">
        <f ca="1">IFERROR(VLOOKUP(AJ$2,Rango_Admin_DailyPred,MATCH($F45,Rango_Admin_DailyPred_Primera,0)+1,0),"-")</f>
        <v>-</v>
      </c>
      <c r="AK45" s="429" t="str">
        <f ca="1">IFERROR(VLOOKUP(AK$2,Rango_Admin_DailyPred,MATCH($F45,Rango_Admin_DailyPred_Primera,0)+1,0),"-")</f>
        <v>-</v>
      </c>
      <c r="AL45" s="429" t="str">
        <f ca="1">IFERROR(VLOOKUP(AL$2,Rango_Admin_DailyPred,MATCH($F45,Rango_Admin_DailyPred_Primera,0)+1,0),"-")</f>
        <v>-</v>
      </c>
      <c r="AM45" s="429" t="str">
        <f ca="1">IFERROR(VLOOKUP(AM$2,Rango_Admin_DailyPred,MATCH($F45,Rango_Admin_DailyPred_Primera,0)+1,0),"-")</f>
        <v>-</v>
      </c>
      <c r="AN45" s="297"/>
    </row>
    <row r="46" spans="1:40">
      <c r="A46" s="8"/>
      <c r="B46" s="8"/>
      <c r="C46" s="8">
        <v>43</v>
      </c>
      <c r="D46" s="19"/>
      <c r="E46" s="409">
        <f ca="1">IFERROR(HLOOKUP(C46,Rango_Admin_DailyClas,3,FALSE),"-")</f>
        <v>31</v>
      </c>
      <c r="F46" s="448" t="str">
        <f ca="1">IFERROR(HLOOKUP(C46,Rango_Admin_DailyClas,5,FALSE),"-")</f>
        <v>Nick van Soest</v>
      </c>
      <c r="G46" s="22">
        <f ca="1">IFERROR(HLOOKUP(C46,Rango_Admin_DailyClas,4,FALSE),"-")</f>
        <v>20</v>
      </c>
      <c r="H46" s="429">
        <f ca="1">IFERROR(VLOOKUP(H$2,Rango_Admin_DailyPred,MATCH($F46,Rango_Admin_DailyPred_Primera,0)+1,0),"-")</f>
        <v>0</v>
      </c>
      <c r="I46" s="429">
        <f ca="1">IFERROR(VLOOKUP(I$2,Rango_Admin_DailyPred,MATCH($F46,Rango_Admin_DailyPred_Primera,0)+1,0),"-")</f>
        <v>0</v>
      </c>
      <c r="J46" s="429">
        <f ca="1">IFERROR(VLOOKUP(J$2,Rango_Admin_DailyPred,MATCH($F46,Rango_Admin_DailyPred_Primera,0)+1,0),"-")</f>
        <v>0</v>
      </c>
      <c r="K46" s="429">
        <f ca="1">IFERROR(VLOOKUP(K$2,Rango_Admin_DailyPred,MATCH($F46,Rango_Admin_DailyPred_Primera,0)+1,0),"-")</f>
        <v>0</v>
      </c>
      <c r="L46" s="429">
        <f ca="1">IFERROR(VLOOKUP(L$2,Rango_Admin_DailyPred,MATCH($F46,Rango_Admin_DailyPred_Primera,0)+1,0),"-")</f>
        <v>0</v>
      </c>
      <c r="M46" s="429">
        <f ca="1">IFERROR(VLOOKUP(M$2,Rango_Admin_DailyPred,MATCH($F46,Rango_Admin_DailyPred_Primera,0)+1,0),"-")</f>
        <v>20</v>
      </c>
      <c r="N46" s="429">
        <f ca="1">IFERROR(VLOOKUP(N$2,Rango_Admin_DailyPred,MATCH($F46,Rango_Admin_DailyPred_Primera,0)+1,0),"-")</f>
        <v>0</v>
      </c>
      <c r="O46" s="429">
        <f ca="1">IFERROR(VLOOKUP(O$2,Rango_Admin_DailyPred,MATCH($F46,Rango_Admin_DailyPred_Primera,0)+1,0),"-")</f>
        <v>0</v>
      </c>
      <c r="P46" s="429">
        <f ca="1">IFERROR(VLOOKUP(P$2,Rango_Admin_DailyPred,MATCH($F46,Rango_Admin_DailyPred_Primera,0)+1,0),"-")</f>
        <v>0</v>
      </c>
      <c r="Q46" s="429">
        <f ca="1">IFERROR(VLOOKUP(Q$2,Rango_Admin_DailyPred,MATCH($F46,Rango_Admin_DailyPred_Primera,0)+1,0),"-")</f>
        <v>0</v>
      </c>
      <c r="R46" s="429">
        <f ca="1">IFERROR(VLOOKUP(R$2,Rango_Admin_DailyPred,MATCH($F46,Rango_Admin_DailyPred_Primera,0)+1,0),"-")</f>
        <v>0</v>
      </c>
      <c r="S46" s="429" t="str">
        <f ca="1">IFERROR(VLOOKUP(S$2,Rango_Admin_DailyPred,MATCH($F46,Rango_Admin_DailyPred_Primera,0)+1,0),"-")</f>
        <v>-</v>
      </c>
      <c r="T46" s="429" t="str">
        <f ca="1">IFERROR(VLOOKUP(T$2,Rango_Admin_DailyPred,MATCH($F46,Rango_Admin_DailyPred_Primera,0)+1,0),"-")</f>
        <v>-</v>
      </c>
      <c r="U46" s="429" t="str">
        <f ca="1">IFERROR(VLOOKUP(U$2,Rango_Admin_DailyPred,MATCH($F46,Rango_Admin_DailyPred_Primera,0)+1,0),"-")</f>
        <v>-</v>
      </c>
      <c r="V46" s="429" t="str">
        <f ca="1">IFERROR(VLOOKUP(V$2,Rango_Admin_DailyPred,MATCH($F46,Rango_Admin_DailyPred_Primera,0)+1,0),"-")</f>
        <v>-</v>
      </c>
      <c r="W46" s="429" t="str">
        <f ca="1">IFERROR(VLOOKUP(W$2,Rango_Admin_DailyPred,MATCH($F46,Rango_Admin_DailyPred_Primera,0)+1,0),"-")</f>
        <v>-</v>
      </c>
      <c r="X46" s="429" t="str">
        <f ca="1">IFERROR(VLOOKUP(X$2,Rango_Admin_DailyPred,MATCH($F46,Rango_Admin_DailyPred_Primera,0)+1,0),"-")</f>
        <v>-</v>
      </c>
      <c r="Y46" s="429" t="str">
        <f ca="1">IFERROR(VLOOKUP(Y$2,Rango_Admin_DailyPred,MATCH($F46,Rango_Admin_DailyPred_Primera,0)+1,0),"-")</f>
        <v>-</v>
      </c>
      <c r="Z46" s="429" t="str">
        <f ca="1">IFERROR(VLOOKUP(Z$2,Rango_Admin_DailyPred,MATCH($F46,Rango_Admin_DailyPred_Primera,0)+1,0),"-")</f>
        <v>-</v>
      </c>
      <c r="AA46" s="429" t="str">
        <f ca="1">IFERROR(VLOOKUP(AA$2,Rango_Admin_DailyPred,MATCH($F46,Rango_Admin_DailyPred_Primera,0)+1,0),"-")</f>
        <v>-</v>
      </c>
      <c r="AB46" s="429" t="str">
        <f ca="1">IFERROR(VLOOKUP(AB$2,Rango_Admin_DailyPred,MATCH($F46,Rango_Admin_DailyPred_Primera,0)+1,0),"-")</f>
        <v>-</v>
      </c>
      <c r="AC46" s="429" t="str">
        <f ca="1">IFERROR(VLOOKUP(AC$2,Rango_Admin_DailyPred,MATCH($F46,Rango_Admin_DailyPred_Primera,0)+1,0),"-")</f>
        <v>-</v>
      </c>
      <c r="AD46" s="429" t="str">
        <f ca="1">IFERROR(VLOOKUP(AD$2,Rango_Admin_DailyPred,MATCH($F46,Rango_Admin_DailyPred_Primera,0)+1,0),"-")</f>
        <v>-</v>
      </c>
      <c r="AE46" s="429" t="str">
        <f ca="1">IFERROR(VLOOKUP(AE$2,Rango_Admin_DailyPred,MATCH($F46,Rango_Admin_DailyPred_Primera,0)+1,0),"-")</f>
        <v>-</v>
      </c>
      <c r="AF46" s="429" t="str">
        <f ca="1">IFERROR(VLOOKUP(AF$2,Rango_Admin_DailyPred,MATCH($F46,Rango_Admin_DailyPred_Primera,0)+1,0),"-")</f>
        <v>-</v>
      </c>
      <c r="AG46" s="429" t="str">
        <f ca="1">IFERROR(VLOOKUP(AG$2,Rango_Admin_DailyPred,MATCH($F46,Rango_Admin_DailyPred_Primera,0)+1,0),"-")</f>
        <v>-</v>
      </c>
      <c r="AH46" s="429" t="str">
        <f ca="1">IFERROR(VLOOKUP(AH$2,Rango_Admin_DailyPred,MATCH($F46,Rango_Admin_DailyPred_Primera,0)+1,0),"-")</f>
        <v>-</v>
      </c>
      <c r="AI46" s="429" t="str">
        <f ca="1">IFERROR(VLOOKUP(AI$2,Rango_Admin_DailyPred,MATCH($F46,Rango_Admin_DailyPred_Primera,0)+1,0),"-")</f>
        <v>-</v>
      </c>
      <c r="AJ46" s="429" t="str">
        <f ca="1">IFERROR(VLOOKUP(AJ$2,Rango_Admin_DailyPred,MATCH($F46,Rango_Admin_DailyPred_Primera,0)+1,0),"-")</f>
        <v>-</v>
      </c>
      <c r="AK46" s="429" t="str">
        <f ca="1">IFERROR(VLOOKUP(AK$2,Rango_Admin_DailyPred,MATCH($F46,Rango_Admin_DailyPred_Primera,0)+1,0),"-")</f>
        <v>-</v>
      </c>
      <c r="AL46" s="429" t="str">
        <f ca="1">IFERROR(VLOOKUP(AL$2,Rango_Admin_DailyPred,MATCH($F46,Rango_Admin_DailyPred_Primera,0)+1,0),"-")</f>
        <v>-</v>
      </c>
      <c r="AM46" s="429" t="str">
        <f ca="1">IFERROR(VLOOKUP(AM$2,Rango_Admin_DailyPred,MATCH($F46,Rango_Admin_DailyPred_Primera,0)+1,0),"-")</f>
        <v>-</v>
      </c>
      <c r="AN46" s="297"/>
    </row>
    <row r="47" spans="1:40">
      <c r="A47" s="8"/>
      <c r="B47" s="8"/>
      <c r="C47" s="8">
        <v>44</v>
      </c>
      <c r="D47" s="19"/>
      <c r="E47" s="409">
        <f ca="1">IFERROR(HLOOKUP(C47,Rango_Admin_DailyClas,3,FALSE),"-")</f>
        <v>44</v>
      </c>
      <c r="F47" s="448" t="str">
        <f ca="1">IFERROR(HLOOKUP(C47,Rango_Admin_DailyClas,5,FALSE),"-")</f>
        <v>Herald Hessing</v>
      </c>
      <c r="G47" s="22">
        <f ca="1">IFERROR(HLOOKUP(C47,Rango_Admin_DailyClas,4,FALSE),"-")</f>
        <v>5</v>
      </c>
      <c r="H47" s="429">
        <f ca="1">IFERROR(VLOOKUP(H$2,Rango_Admin_DailyPred,MATCH($F47,Rango_Admin_DailyPred_Primera,0)+1,0),"-")</f>
        <v>0</v>
      </c>
      <c r="I47" s="429">
        <f ca="1">IFERROR(VLOOKUP(I$2,Rango_Admin_DailyPred,MATCH($F47,Rango_Admin_DailyPred_Primera,0)+1,0),"-")</f>
        <v>0</v>
      </c>
      <c r="J47" s="429">
        <f ca="1">IFERROR(VLOOKUP(J$2,Rango_Admin_DailyPred,MATCH($F47,Rango_Admin_DailyPred_Primera,0)+1,0),"-")</f>
        <v>0</v>
      </c>
      <c r="K47" s="429">
        <f ca="1">IFERROR(VLOOKUP(K$2,Rango_Admin_DailyPred,MATCH($F47,Rango_Admin_DailyPred_Primera,0)+1,0),"-")</f>
        <v>0</v>
      </c>
      <c r="L47" s="429">
        <f ca="1">IFERROR(VLOOKUP(L$2,Rango_Admin_DailyPred,MATCH($F47,Rango_Admin_DailyPred_Primera,0)+1,0),"-")</f>
        <v>0</v>
      </c>
      <c r="M47" s="429">
        <f ca="1">IFERROR(VLOOKUP(M$2,Rango_Admin_DailyPred,MATCH($F47,Rango_Admin_DailyPred_Primera,0)+1,0),"-")</f>
        <v>0</v>
      </c>
      <c r="N47" s="429">
        <f ca="1">IFERROR(VLOOKUP(N$2,Rango_Admin_DailyPred,MATCH($F47,Rango_Admin_DailyPred_Primera,0)+1,0),"-")</f>
        <v>0</v>
      </c>
      <c r="O47" s="429">
        <f ca="1">IFERROR(VLOOKUP(O$2,Rango_Admin_DailyPred,MATCH($F47,Rango_Admin_DailyPred_Primera,0)+1,0),"-")</f>
        <v>5</v>
      </c>
      <c r="P47" s="429">
        <f ca="1">IFERROR(VLOOKUP(P$2,Rango_Admin_DailyPred,MATCH($F47,Rango_Admin_DailyPred_Primera,0)+1,0),"-")</f>
        <v>0</v>
      </c>
      <c r="Q47" s="429">
        <f ca="1">IFERROR(VLOOKUP(Q$2,Rango_Admin_DailyPred,MATCH($F47,Rango_Admin_DailyPred_Primera,0)+1,0),"-")</f>
        <v>0</v>
      </c>
      <c r="R47" s="429">
        <f ca="1">IFERROR(VLOOKUP(R$2,Rango_Admin_DailyPred,MATCH($F47,Rango_Admin_DailyPred_Primera,0)+1,0),"-")</f>
        <v>0</v>
      </c>
      <c r="S47" s="429" t="str">
        <f ca="1">IFERROR(VLOOKUP(S$2,Rango_Admin_DailyPred,MATCH($F47,Rango_Admin_DailyPred_Primera,0)+1,0),"-")</f>
        <v>-</v>
      </c>
      <c r="T47" s="429" t="str">
        <f ca="1">IFERROR(VLOOKUP(T$2,Rango_Admin_DailyPred,MATCH($F47,Rango_Admin_DailyPred_Primera,0)+1,0),"-")</f>
        <v>-</v>
      </c>
      <c r="U47" s="429" t="str">
        <f ca="1">IFERROR(VLOOKUP(U$2,Rango_Admin_DailyPred,MATCH($F47,Rango_Admin_DailyPred_Primera,0)+1,0),"-")</f>
        <v>-</v>
      </c>
      <c r="V47" s="429" t="str">
        <f ca="1">IFERROR(VLOOKUP(V$2,Rango_Admin_DailyPred,MATCH($F47,Rango_Admin_DailyPred_Primera,0)+1,0),"-")</f>
        <v>-</v>
      </c>
      <c r="W47" s="429" t="str">
        <f ca="1">IFERROR(VLOOKUP(W$2,Rango_Admin_DailyPred,MATCH($F47,Rango_Admin_DailyPred_Primera,0)+1,0),"-")</f>
        <v>-</v>
      </c>
      <c r="X47" s="429" t="str">
        <f ca="1">IFERROR(VLOOKUP(X$2,Rango_Admin_DailyPred,MATCH($F47,Rango_Admin_DailyPred_Primera,0)+1,0),"-")</f>
        <v>-</v>
      </c>
      <c r="Y47" s="429" t="str">
        <f ca="1">IFERROR(VLOOKUP(Y$2,Rango_Admin_DailyPred,MATCH($F47,Rango_Admin_DailyPred_Primera,0)+1,0),"-")</f>
        <v>-</v>
      </c>
      <c r="Z47" s="429" t="str">
        <f ca="1">IFERROR(VLOOKUP(Z$2,Rango_Admin_DailyPred,MATCH($F47,Rango_Admin_DailyPred_Primera,0)+1,0),"-")</f>
        <v>-</v>
      </c>
      <c r="AA47" s="429" t="str">
        <f ca="1">IFERROR(VLOOKUP(AA$2,Rango_Admin_DailyPred,MATCH($F47,Rango_Admin_DailyPred_Primera,0)+1,0),"-")</f>
        <v>-</v>
      </c>
      <c r="AB47" s="429" t="str">
        <f ca="1">IFERROR(VLOOKUP(AB$2,Rango_Admin_DailyPred,MATCH($F47,Rango_Admin_DailyPred_Primera,0)+1,0),"-")</f>
        <v>-</v>
      </c>
      <c r="AC47" s="429" t="str">
        <f ca="1">IFERROR(VLOOKUP(AC$2,Rango_Admin_DailyPred,MATCH($F47,Rango_Admin_DailyPred_Primera,0)+1,0),"-")</f>
        <v>-</v>
      </c>
      <c r="AD47" s="429" t="str">
        <f ca="1">IFERROR(VLOOKUP(AD$2,Rango_Admin_DailyPred,MATCH($F47,Rango_Admin_DailyPred_Primera,0)+1,0),"-")</f>
        <v>-</v>
      </c>
      <c r="AE47" s="429" t="str">
        <f ca="1">IFERROR(VLOOKUP(AE$2,Rango_Admin_DailyPred,MATCH($F47,Rango_Admin_DailyPred_Primera,0)+1,0),"-")</f>
        <v>-</v>
      </c>
      <c r="AF47" s="429" t="str">
        <f ca="1">IFERROR(VLOOKUP(AF$2,Rango_Admin_DailyPred,MATCH($F47,Rango_Admin_DailyPred_Primera,0)+1,0),"-")</f>
        <v>-</v>
      </c>
      <c r="AG47" s="429" t="str">
        <f ca="1">IFERROR(VLOOKUP(AG$2,Rango_Admin_DailyPred,MATCH($F47,Rango_Admin_DailyPred_Primera,0)+1,0),"-")</f>
        <v>-</v>
      </c>
      <c r="AH47" s="429" t="str">
        <f ca="1">IFERROR(VLOOKUP(AH$2,Rango_Admin_DailyPred,MATCH($F47,Rango_Admin_DailyPred_Primera,0)+1,0),"-")</f>
        <v>-</v>
      </c>
      <c r="AI47" s="429" t="str">
        <f ca="1">IFERROR(VLOOKUP(AI$2,Rango_Admin_DailyPred,MATCH($F47,Rango_Admin_DailyPred_Primera,0)+1,0),"-")</f>
        <v>-</v>
      </c>
      <c r="AJ47" s="429" t="str">
        <f ca="1">IFERROR(VLOOKUP(AJ$2,Rango_Admin_DailyPred,MATCH($F47,Rango_Admin_DailyPred_Primera,0)+1,0),"-")</f>
        <v>-</v>
      </c>
      <c r="AK47" s="429" t="str">
        <f ca="1">IFERROR(VLOOKUP(AK$2,Rango_Admin_DailyPred,MATCH($F47,Rango_Admin_DailyPred_Primera,0)+1,0),"-")</f>
        <v>-</v>
      </c>
      <c r="AL47" s="429" t="str">
        <f ca="1">IFERROR(VLOOKUP(AL$2,Rango_Admin_DailyPred,MATCH($F47,Rango_Admin_DailyPred_Primera,0)+1,0),"-")</f>
        <v>-</v>
      </c>
      <c r="AM47" s="429" t="str">
        <f ca="1">IFERROR(VLOOKUP(AM$2,Rango_Admin_DailyPred,MATCH($F47,Rango_Admin_DailyPred_Primera,0)+1,0),"-")</f>
        <v>-</v>
      </c>
      <c r="AN47" s="297"/>
    </row>
    <row r="48" spans="1:40">
      <c r="A48" s="8"/>
      <c r="B48" s="8"/>
      <c r="C48" s="8">
        <v>45</v>
      </c>
      <c r="D48" s="19"/>
      <c r="E48" s="409">
        <f ca="1">IFERROR(HLOOKUP(C48,Rango_Admin_DailyClas,3,FALSE),"-")</f>
        <v>44</v>
      </c>
      <c r="F48" s="448" t="str">
        <f ca="1">IFERROR(HLOOKUP(C48,Rango_Admin_DailyClas,5,FALSE),"-")</f>
        <v>Leon de Bok</v>
      </c>
      <c r="G48" s="22">
        <f ca="1">IFERROR(HLOOKUP(C48,Rango_Admin_DailyClas,4,FALSE),"-")</f>
        <v>5</v>
      </c>
      <c r="H48" s="429">
        <f ca="1">IFERROR(VLOOKUP(H$2,Rango_Admin_DailyPred,MATCH($F48,Rango_Admin_DailyPred_Primera,0)+1,0),"-")</f>
        <v>0</v>
      </c>
      <c r="I48" s="429">
        <f ca="1">IFERROR(VLOOKUP(I$2,Rango_Admin_DailyPred,MATCH($F48,Rango_Admin_DailyPred_Primera,0)+1,0),"-")</f>
        <v>0</v>
      </c>
      <c r="J48" s="429">
        <f ca="1">IFERROR(VLOOKUP(J$2,Rango_Admin_DailyPred,MATCH($F48,Rango_Admin_DailyPred_Primera,0)+1,0),"-")</f>
        <v>0</v>
      </c>
      <c r="K48" s="429">
        <f ca="1">IFERROR(VLOOKUP(K$2,Rango_Admin_DailyPred,MATCH($F48,Rango_Admin_DailyPred_Primera,0)+1,0),"-")</f>
        <v>0</v>
      </c>
      <c r="L48" s="429">
        <f ca="1">IFERROR(VLOOKUP(L$2,Rango_Admin_DailyPred,MATCH($F48,Rango_Admin_DailyPred_Primera,0)+1,0),"-")</f>
        <v>0</v>
      </c>
      <c r="M48" s="429">
        <f ca="1">IFERROR(VLOOKUP(M$2,Rango_Admin_DailyPred,MATCH($F48,Rango_Admin_DailyPred_Primera,0)+1,0),"-")</f>
        <v>0</v>
      </c>
      <c r="N48" s="429">
        <f ca="1">IFERROR(VLOOKUP(N$2,Rango_Admin_DailyPred,MATCH($F48,Rango_Admin_DailyPred_Primera,0)+1,0),"-")</f>
        <v>0</v>
      </c>
      <c r="O48" s="429">
        <f ca="1">IFERROR(VLOOKUP(O$2,Rango_Admin_DailyPred,MATCH($F48,Rango_Admin_DailyPred_Primera,0)+1,0),"-")</f>
        <v>5</v>
      </c>
      <c r="P48" s="429">
        <f ca="1">IFERROR(VLOOKUP(P$2,Rango_Admin_DailyPred,MATCH($F48,Rango_Admin_DailyPred_Primera,0)+1,0),"-")</f>
        <v>0</v>
      </c>
      <c r="Q48" s="429">
        <f ca="1">IFERROR(VLOOKUP(Q$2,Rango_Admin_DailyPred,MATCH($F48,Rango_Admin_DailyPred_Primera,0)+1,0),"-")</f>
        <v>0</v>
      </c>
      <c r="R48" s="429">
        <f ca="1">IFERROR(VLOOKUP(R$2,Rango_Admin_DailyPred,MATCH($F48,Rango_Admin_DailyPred_Primera,0)+1,0),"-")</f>
        <v>0</v>
      </c>
      <c r="S48" s="429" t="str">
        <f ca="1">IFERROR(VLOOKUP(S$2,Rango_Admin_DailyPred,MATCH($F48,Rango_Admin_DailyPred_Primera,0)+1,0),"-")</f>
        <v>-</v>
      </c>
      <c r="T48" s="429" t="str">
        <f ca="1">IFERROR(VLOOKUP(T$2,Rango_Admin_DailyPred,MATCH($F48,Rango_Admin_DailyPred_Primera,0)+1,0),"-")</f>
        <v>-</v>
      </c>
      <c r="U48" s="429" t="str">
        <f ca="1">IFERROR(VLOOKUP(U$2,Rango_Admin_DailyPred,MATCH($F48,Rango_Admin_DailyPred_Primera,0)+1,0),"-")</f>
        <v>-</v>
      </c>
      <c r="V48" s="429" t="str">
        <f ca="1">IFERROR(VLOOKUP(V$2,Rango_Admin_DailyPred,MATCH($F48,Rango_Admin_DailyPred_Primera,0)+1,0),"-")</f>
        <v>-</v>
      </c>
      <c r="W48" s="429" t="str">
        <f ca="1">IFERROR(VLOOKUP(W$2,Rango_Admin_DailyPred,MATCH($F48,Rango_Admin_DailyPred_Primera,0)+1,0),"-")</f>
        <v>-</v>
      </c>
      <c r="X48" s="429" t="str">
        <f ca="1">IFERROR(VLOOKUP(X$2,Rango_Admin_DailyPred,MATCH($F48,Rango_Admin_DailyPred_Primera,0)+1,0),"-")</f>
        <v>-</v>
      </c>
      <c r="Y48" s="429" t="str">
        <f ca="1">IFERROR(VLOOKUP(Y$2,Rango_Admin_DailyPred,MATCH($F48,Rango_Admin_DailyPred_Primera,0)+1,0),"-")</f>
        <v>-</v>
      </c>
      <c r="Z48" s="429" t="str">
        <f ca="1">IFERROR(VLOOKUP(Z$2,Rango_Admin_DailyPred,MATCH($F48,Rango_Admin_DailyPred_Primera,0)+1,0),"-")</f>
        <v>-</v>
      </c>
      <c r="AA48" s="429" t="str">
        <f ca="1">IFERROR(VLOOKUP(AA$2,Rango_Admin_DailyPred,MATCH($F48,Rango_Admin_DailyPred_Primera,0)+1,0),"-")</f>
        <v>-</v>
      </c>
      <c r="AB48" s="429" t="str">
        <f ca="1">IFERROR(VLOOKUP(AB$2,Rango_Admin_DailyPred,MATCH($F48,Rango_Admin_DailyPred_Primera,0)+1,0),"-")</f>
        <v>-</v>
      </c>
      <c r="AC48" s="429" t="str">
        <f ca="1">IFERROR(VLOOKUP(AC$2,Rango_Admin_DailyPred,MATCH($F48,Rango_Admin_DailyPred_Primera,0)+1,0),"-")</f>
        <v>-</v>
      </c>
      <c r="AD48" s="429" t="str">
        <f ca="1">IFERROR(VLOOKUP(AD$2,Rango_Admin_DailyPred,MATCH($F48,Rango_Admin_DailyPred_Primera,0)+1,0),"-")</f>
        <v>-</v>
      </c>
      <c r="AE48" s="429" t="str">
        <f ca="1">IFERROR(VLOOKUP(AE$2,Rango_Admin_DailyPred,MATCH($F48,Rango_Admin_DailyPred_Primera,0)+1,0),"-")</f>
        <v>-</v>
      </c>
      <c r="AF48" s="429" t="str">
        <f ca="1">IFERROR(VLOOKUP(AF$2,Rango_Admin_DailyPred,MATCH($F48,Rango_Admin_DailyPred_Primera,0)+1,0),"-")</f>
        <v>-</v>
      </c>
      <c r="AG48" s="429" t="str">
        <f ca="1">IFERROR(VLOOKUP(AG$2,Rango_Admin_DailyPred,MATCH($F48,Rango_Admin_DailyPred_Primera,0)+1,0),"-")</f>
        <v>-</v>
      </c>
      <c r="AH48" s="429" t="str">
        <f ca="1">IFERROR(VLOOKUP(AH$2,Rango_Admin_DailyPred,MATCH($F48,Rango_Admin_DailyPred_Primera,0)+1,0),"-")</f>
        <v>-</v>
      </c>
      <c r="AI48" s="429" t="str">
        <f ca="1">IFERROR(VLOOKUP(AI$2,Rango_Admin_DailyPred,MATCH($F48,Rango_Admin_DailyPred_Primera,0)+1,0),"-")</f>
        <v>-</v>
      </c>
      <c r="AJ48" s="429" t="str">
        <f ca="1">IFERROR(VLOOKUP(AJ$2,Rango_Admin_DailyPred,MATCH($F48,Rango_Admin_DailyPred_Primera,0)+1,0),"-")</f>
        <v>-</v>
      </c>
      <c r="AK48" s="429" t="str">
        <f ca="1">IFERROR(VLOOKUP(AK$2,Rango_Admin_DailyPred,MATCH($F48,Rango_Admin_DailyPred_Primera,0)+1,0),"-")</f>
        <v>-</v>
      </c>
      <c r="AL48" s="429" t="str">
        <f ca="1">IFERROR(VLOOKUP(AL$2,Rango_Admin_DailyPred,MATCH($F48,Rango_Admin_DailyPred_Primera,0)+1,0),"-")</f>
        <v>-</v>
      </c>
      <c r="AM48" s="429" t="str">
        <f ca="1">IFERROR(VLOOKUP(AM$2,Rango_Admin_DailyPred,MATCH($F48,Rango_Admin_DailyPred_Primera,0)+1,0),"-")</f>
        <v>-</v>
      </c>
      <c r="AN48" s="297"/>
    </row>
    <row r="49" spans="1:40">
      <c r="A49" s="8"/>
      <c r="B49" s="8"/>
      <c r="C49" s="8">
        <v>46</v>
      </c>
      <c r="D49" s="19"/>
      <c r="E49" s="409">
        <f ca="1">IFERROR(HLOOKUP(C49,Rango_Admin_DailyClas,3,FALSE),"-")</f>
        <v>44</v>
      </c>
      <c r="F49" s="448" t="str">
        <f ca="1">IFERROR(HLOOKUP(C49,Rango_Admin_DailyClas,5,FALSE),"-")</f>
        <v>Dennis Molendijk</v>
      </c>
      <c r="G49" s="22">
        <f ca="1">IFERROR(HLOOKUP(C49,Rango_Admin_DailyClas,4,FALSE),"-")</f>
        <v>5</v>
      </c>
      <c r="H49" s="429">
        <f ca="1">IFERROR(VLOOKUP(H$2,Rango_Admin_DailyPred,MATCH($F49,Rango_Admin_DailyPred_Primera,0)+1,0),"-")</f>
        <v>0</v>
      </c>
      <c r="I49" s="429">
        <f ca="1">IFERROR(VLOOKUP(I$2,Rango_Admin_DailyPred,MATCH($F49,Rango_Admin_DailyPred_Primera,0)+1,0),"-")</f>
        <v>0</v>
      </c>
      <c r="J49" s="429">
        <f ca="1">IFERROR(VLOOKUP(J$2,Rango_Admin_DailyPred,MATCH($F49,Rango_Admin_DailyPred_Primera,0)+1,0),"-")</f>
        <v>0</v>
      </c>
      <c r="K49" s="429">
        <f ca="1">IFERROR(VLOOKUP(K$2,Rango_Admin_DailyPred,MATCH($F49,Rango_Admin_DailyPred_Primera,0)+1,0),"-")</f>
        <v>0</v>
      </c>
      <c r="L49" s="429">
        <f ca="1">IFERROR(VLOOKUP(L$2,Rango_Admin_DailyPred,MATCH($F49,Rango_Admin_DailyPred_Primera,0)+1,0),"-")</f>
        <v>0</v>
      </c>
      <c r="M49" s="429">
        <f ca="1">IFERROR(VLOOKUP(M$2,Rango_Admin_DailyPred,MATCH($F49,Rango_Admin_DailyPred_Primera,0)+1,0),"-")</f>
        <v>0</v>
      </c>
      <c r="N49" s="429">
        <f ca="1">IFERROR(VLOOKUP(N$2,Rango_Admin_DailyPred,MATCH($F49,Rango_Admin_DailyPred_Primera,0)+1,0),"-")</f>
        <v>0</v>
      </c>
      <c r="O49" s="429">
        <f ca="1">IFERROR(VLOOKUP(O$2,Rango_Admin_DailyPred,MATCH($F49,Rango_Admin_DailyPred_Primera,0)+1,0),"-")</f>
        <v>5</v>
      </c>
      <c r="P49" s="429">
        <f ca="1">IFERROR(VLOOKUP(P$2,Rango_Admin_DailyPred,MATCH($F49,Rango_Admin_DailyPred_Primera,0)+1,0),"-")</f>
        <v>0</v>
      </c>
      <c r="Q49" s="429">
        <f ca="1">IFERROR(VLOOKUP(Q$2,Rango_Admin_DailyPred,MATCH($F49,Rango_Admin_DailyPred_Primera,0)+1,0),"-")</f>
        <v>0</v>
      </c>
      <c r="R49" s="429">
        <f ca="1">IFERROR(VLOOKUP(R$2,Rango_Admin_DailyPred,MATCH($F49,Rango_Admin_DailyPred_Primera,0)+1,0),"-")</f>
        <v>0</v>
      </c>
      <c r="S49" s="429" t="str">
        <f ca="1">IFERROR(VLOOKUP(S$2,Rango_Admin_DailyPred,MATCH($F49,Rango_Admin_DailyPred_Primera,0)+1,0),"-")</f>
        <v>-</v>
      </c>
      <c r="T49" s="429" t="str">
        <f ca="1">IFERROR(VLOOKUP(T$2,Rango_Admin_DailyPred,MATCH($F49,Rango_Admin_DailyPred_Primera,0)+1,0),"-")</f>
        <v>-</v>
      </c>
      <c r="U49" s="429" t="str">
        <f ca="1">IFERROR(VLOOKUP(U$2,Rango_Admin_DailyPred,MATCH($F49,Rango_Admin_DailyPred_Primera,0)+1,0),"-")</f>
        <v>-</v>
      </c>
      <c r="V49" s="429" t="str">
        <f ca="1">IFERROR(VLOOKUP(V$2,Rango_Admin_DailyPred,MATCH($F49,Rango_Admin_DailyPred_Primera,0)+1,0),"-")</f>
        <v>-</v>
      </c>
      <c r="W49" s="429" t="str">
        <f ca="1">IFERROR(VLOOKUP(W$2,Rango_Admin_DailyPred,MATCH($F49,Rango_Admin_DailyPred_Primera,0)+1,0),"-")</f>
        <v>-</v>
      </c>
      <c r="X49" s="429" t="str">
        <f ca="1">IFERROR(VLOOKUP(X$2,Rango_Admin_DailyPred,MATCH($F49,Rango_Admin_DailyPred_Primera,0)+1,0),"-")</f>
        <v>-</v>
      </c>
      <c r="Y49" s="429" t="str">
        <f ca="1">IFERROR(VLOOKUP(Y$2,Rango_Admin_DailyPred,MATCH($F49,Rango_Admin_DailyPred_Primera,0)+1,0),"-")</f>
        <v>-</v>
      </c>
      <c r="Z49" s="429" t="str">
        <f ca="1">IFERROR(VLOOKUP(Z$2,Rango_Admin_DailyPred,MATCH($F49,Rango_Admin_DailyPred_Primera,0)+1,0),"-")</f>
        <v>-</v>
      </c>
      <c r="AA49" s="429" t="str">
        <f ca="1">IFERROR(VLOOKUP(AA$2,Rango_Admin_DailyPred,MATCH($F49,Rango_Admin_DailyPred_Primera,0)+1,0),"-")</f>
        <v>-</v>
      </c>
      <c r="AB49" s="429" t="str">
        <f ca="1">IFERROR(VLOOKUP(AB$2,Rango_Admin_DailyPred,MATCH($F49,Rango_Admin_DailyPred_Primera,0)+1,0),"-")</f>
        <v>-</v>
      </c>
      <c r="AC49" s="429" t="str">
        <f ca="1">IFERROR(VLOOKUP(AC$2,Rango_Admin_DailyPred,MATCH($F49,Rango_Admin_DailyPred_Primera,0)+1,0),"-")</f>
        <v>-</v>
      </c>
      <c r="AD49" s="429" t="str">
        <f ca="1">IFERROR(VLOOKUP(AD$2,Rango_Admin_DailyPred,MATCH($F49,Rango_Admin_DailyPred_Primera,0)+1,0),"-")</f>
        <v>-</v>
      </c>
      <c r="AE49" s="429" t="str">
        <f ca="1">IFERROR(VLOOKUP(AE$2,Rango_Admin_DailyPred,MATCH($F49,Rango_Admin_DailyPred_Primera,0)+1,0),"-")</f>
        <v>-</v>
      </c>
      <c r="AF49" s="429" t="str">
        <f ca="1">IFERROR(VLOOKUP(AF$2,Rango_Admin_DailyPred,MATCH($F49,Rango_Admin_DailyPred_Primera,0)+1,0),"-")</f>
        <v>-</v>
      </c>
      <c r="AG49" s="429" t="str">
        <f ca="1">IFERROR(VLOOKUP(AG$2,Rango_Admin_DailyPred,MATCH($F49,Rango_Admin_DailyPred_Primera,0)+1,0),"-")</f>
        <v>-</v>
      </c>
      <c r="AH49" s="429" t="str">
        <f ca="1">IFERROR(VLOOKUP(AH$2,Rango_Admin_DailyPred,MATCH($F49,Rango_Admin_DailyPred_Primera,0)+1,0),"-")</f>
        <v>-</v>
      </c>
      <c r="AI49" s="429" t="str">
        <f ca="1">IFERROR(VLOOKUP(AI$2,Rango_Admin_DailyPred,MATCH($F49,Rango_Admin_DailyPred_Primera,0)+1,0),"-")</f>
        <v>-</v>
      </c>
      <c r="AJ49" s="429" t="str">
        <f ca="1">IFERROR(VLOOKUP(AJ$2,Rango_Admin_DailyPred,MATCH($F49,Rango_Admin_DailyPred_Primera,0)+1,0),"-")</f>
        <v>-</v>
      </c>
      <c r="AK49" s="429" t="str">
        <f ca="1">IFERROR(VLOOKUP(AK$2,Rango_Admin_DailyPred,MATCH($F49,Rango_Admin_DailyPred_Primera,0)+1,0),"-")</f>
        <v>-</v>
      </c>
      <c r="AL49" s="429" t="str">
        <f ca="1">IFERROR(VLOOKUP(AL$2,Rango_Admin_DailyPred,MATCH($F49,Rango_Admin_DailyPred_Primera,0)+1,0),"-")</f>
        <v>-</v>
      </c>
      <c r="AM49" s="429" t="str">
        <f ca="1">IFERROR(VLOOKUP(AM$2,Rango_Admin_DailyPred,MATCH($F49,Rango_Admin_DailyPred_Primera,0)+1,0),"-")</f>
        <v>-</v>
      </c>
      <c r="AN49" s="297"/>
    </row>
    <row r="50" spans="1:40">
      <c r="A50" s="8"/>
      <c r="B50" s="8"/>
      <c r="C50" s="8">
        <v>47</v>
      </c>
      <c r="D50" s="19"/>
      <c r="E50" s="409">
        <f ca="1">IFERROR(HLOOKUP(C50,Rango_Admin_DailyClas,3,FALSE),"-")</f>
        <v>47</v>
      </c>
      <c r="F50" s="448" t="str">
        <f ca="1">IFERROR(HLOOKUP(C50,Rango_Admin_DailyClas,5,FALSE),"-")</f>
        <v>Jordy Brouwer</v>
      </c>
      <c r="G50" s="22">
        <f ca="1">IFERROR(HLOOKUP(C50,Rango_Admin_DailyClas,4,FALSE),"-")</f>
        <v>4</v>
      </c>
      <c r="H50" s="429">
        <f ca="1">IFERROR(VLOOKUP(H$2,Rango_Admin_DailyPred,MATCH($F50,Rango_Admin_DailyPred_Primera,0)+1,0),"-")</f>
        <v>0</v>
      </c>
      <c r="I50" s="429">
        <f ca="1">IFERROR(VLOOKUP(I$2,Rango_Admin_DailyPred,MATCH($F50,Rango_Admin_DailyPred_Primera,0)+1,0),"-")</f>
        <v>0</v>
      </c>
      <c r="J50" s="429">
        <f ca="1">IFERROR(VLOOKUP(J$2,Rango_Admin_DailyPred,MATCH($F50,Rango_Admin_DailyPred_Primera,0)+1,0),"-")</f>
        <v>0</v>
      </c>
      <c r="K50" s="429">
        <f ca="1">IFERROR(VLOOKUP(K$2,Rango_Admin_DailyPred,MATCH($F50,Rango_Admin_DailyPred_Primera,0)+1,0),"-")</f>
        <v>0</v>
      </c>
      <c r="L50" s="429">
        <f ca="1">IFERROR(VLOOKUP(L$2,Rango_Admin_DailyPred,MATCH($F50,Rango_Admin_DailyPred_Primera,0)+1,0),"-")</f>
        <v>0</v>
      </c>
      <c r="M50" s="429">
        <f ca="1">IFERROR(VLOOKUP(M$2,Rango_Admin_DailyPred,MATCH($F50,Rango_Admin_DailyPred_Primera,0)+1,0),"-")</f>
        <v>0</v>
      </c>
      <c r="N50" s="429">
        <f ca="1">IFERROR(VLOOKUP(N$2,Rango_Admin_DailyPred,MATCH($F50,Rango_Admin_DailyPred_Primera,0)+1,0),"-")</f>
        <v>0</v>
      </c>
      <c r="O50" s="429">
        <f ca="1">IFERROR(VLOOKUP(O$2,Rango_Admin_DailyPred,MATCH($F50,Rango_Admin_DailyPred_Primera,0)+1,0),"-")</f>
        <v>0</v>
      </c>
      <c r="P50" s="429">
        <f ca="1">IFERROR(VLOOKUP(P$2,Rango_Admin_DailyPred,MATCH($F50,Rango_Admin_DailyPred_Primera,0)+1,0),"-")</f>
        <v>0</v>
      </c>
      <c r="Q50" s="429">
        <f ca="1">IFERROR(VLOOKUP(Q$2,Rango_Admin_DailyPred,MATCH($F50,Rango_Admin_DailyPred_Primera,0)+1,0),"-")</f>
        <v>0</v>
      </c>
      <c r="R50" s="429">
        <f ca="1">IFERROR(VLOOKUP(R$2,Rango_Admin_DailyPred,MATCH($F50,Rango_Admin_DailyPred_Primera,0)+1,0),"-")</f>
        <v>4</v>
      </c>
      <c r="S50" s="429" t="str">
        <f ca="1">IFERROR(VLOOKUP(S$2,Rango_Admin_DailyPred,MATCH($F50,Rango_Admin_DailyPred_Primera,0)+1,0),"-")</f>
        <v>-</v>
      </c>
      <c r="T50" s="429" t="str">
        <f ca="1">IFERROR(VLOOKUP(T$2,Rango_Admin_DailyPred,MATCH($F50,Rango_Admin_DailyPred_Primera,0)+1,0),"-")</f>
        <v>-</v>
      </c>
      <c r="U50" s="429" t="str">
        <f ca="1">IFERROR(VLOOKUP(U$2,Rango_Admin_DailyPred,MATCH($F50,Rango_Admin_DailyPred_Primera,0)+1,0),"-")</f>
        <v>-</v>
      </c>
      <c r="V50" s="429" t="str">
        <f ca="1">IFERROR(VLOOKUP(V$2,Rango_Admin_DailyPred,MATCH($F50,Rango_Admin_DailyPred_Primera,0)+1,0),"-")</f>
        <v>-</v>
      </c>
      <c r="W50" s="429" t="str">
        <f ca="1">IFERROR(VLOOKUP(W$2,Rango_Admin_DailyPred,MATCH($F50,Rango_Admin_DailyPred_Primera,0)+1,0),"-")</f>
        <v>-</v>
      </c>
      <c r="X50" s="429" t="str">
        <f ca="1">IFERROR(VLOOKUP(X$2,Rango_Admin_DailyPred,MATCH($F50,Rango_Admin_DailyPred_Primera,0)+1,0),"-")</f>
        <v>-</v>
      </c>
      <c r="Y50" s="429" t="str">
        <f ca="1">IFERROR(VLOOKUP(Y$2,Rango_Admin_DailyPred,MATCH($F50,Rango_Admin_DailyPred_Primera,0)+1,0),"-")</f>
        <v>-</v>
      </c>
      <c r="Z50" s="429" t="str">
        <f ca="1">IFERROR(VLOOKUP(Z$2,Rango_Admin_DailyPred,MATCH($F50,Rango_Admin_DailyPred_Primera,0)+1,0),"-")</f>
        <v>-</v>
      </c>
      <c r="AA50" s="429" t="str">
        <f ca="1">IFERROR(VLOOKUP(AA$2,Rango_Admin_DailyPred,MATCH($F50,Rango_Admin_DailyPred_Primera,0)+1,0),"-")</f>
        <v>-</v>
      </c>
      <c r="AB50" s="429" t="str">
        <f ca="1">IFERROR(VLOOKUP(AB$2,Rango_Admin_DailyPred,MATCH($F50,Rango_Admin_DailyPred_Primera,0)+1,0),"-")</f>
        <v>-</v>
      </c>
      <c r="AC50" s="429" t="str">
        <f ca="1">IFERROR(VLOOKUP(AC$2,Rango_Admin_DailyPred,MATCH($F50,Rango_Admin_DailyPred_Primera,0)+1,0),"-")</f>
        <v>-</v>
      </c>
      <c r="AD50" s="429" t="str">
        <f ca="1">IFERROR(VLOOKUP(AD$2,Rango_Admin_DailyPred,MATCH($F50,Rango_Admin_DailyPred_Primera,0)+1,0),"-")</f>
        <v>-</v>
      </c>
      <c r="AE50" s="429" t="str">
        <f ca="1">IFERROR(VLOOKUP(AE$2,Rango_Admin_DailyPred,MATCH($F50,Rango_Admin_DailyPred_Primera,0)+1,0),"-")</f>
        <v>-</v>
      </c>
      <c r="AF50" s="429" t="str">
        <f ca="1">IFERROR(VLOOKUP(AF$2,Rango_Admin_DailyPred,MATCH($F50,Rango_Admin_DailyPred_Primera,0)+1,0),"-")</f>
        <v>-</v>
      </c>
      <c r="AG50" s="429" t="str">
        <f ca="1">IFERROR(VLOOKUP(AG$2,Rango_Admin_DailyPred,MATCH($F50,Rango_Admin_DailyPred_Primera,0)+1,0),"-")</f>
        <v>-</v>
      </c>
      <c r="AH50" s="429" t="str">
        <f ca="1">IFERROR(VLOOKUP(AH$2,Rango_Admin_DailyPred,MATCH($F50,Rango_Admin_DailyPred_Primera,0)+1,0),"-")</f>
        <v>-</v>
      </c>
      <c r="AI50" s="429" t="str">
        <f ca="1">IFERROR(VLOOKUP(AI$2,Rango_Admin_DailyPred,MATCH($F50,Rango_Admin_DailyPred_Primera,0)+1,0),"-")</f>
        <v>-</v>
      </c>
      <c r="AJ50" s="429" t="str">
        <f ca="1">IFERROR(VLOOKUP(AJ$2,Rango_Admin_DailyPred,MATCH($F50,Rango_Admin_DailyPred_Primera,0)+1,0),"-")</f>
        <v>-</v>
      </c>
      <c r="AK50" s="429" t="str">
        <f ca="1">IFERROR(VLOOKUP(AK$2,Rango_Admin_DailyPred,MATCH($F50,Rango_Admin_DailyPred_Primera,0)+1,0),"-")</f>
        <v>-</v>
      </c>
      <c r="AL50" s="429" t="str">
        <f ca="1">IFERROR(VLOOKUP(AL$2,Rango_Admin_DailyPred,MATCH($F50,Rango_Admin_DailyPred_Primera,0)+1,0),"-")</f>
        <v>-</v>
      </c>
      <c r="AM50" s="429" t="str">
        <f ca="1">IFERROR(VLOOKUP(AM$2,Rango_Admin_DailyPred,MATCH($F50,Rango_Admin_DailyPred_Primera,0)+1,0),"-")</f>
        <v>-</v>
      </c>
      <c r="AN50" s="297"/>
    </row>
    <row r="51" spans="1:40">
      <c r="A51" s="8"/>
      <c r="B51" s="8"/>
      <c r="C51" s="8">
        <v>48</v>
      </c>
      <c r="D51" s="19"/>
      <c r="E51" s="409">
        <f ca="1">IFERROR(HLOOKUP(C51,Rango_Admin_DailyClas,3,FALSE),"-")</f>
        <v>48</v>
      </c>
      <c r="F51" s="448" t="str">
        <f ca="1">IFERROR(HLOOKUP(C51,Rango_Admin_DailyClas,5,FALSE),"-")</f>
        <v>Julian Roes</v>
      </c>
      <c r="G51" s="22">
        <f ca="1">IFERROR(HLOOKUP(C51,Rango_Admin_DailyClas,4,FALSE),"-")</f>
        <v>0</v>
      </c>
      <c r="H51" s="429">
        <f ca="1">IFERROR(VLOOKUP(H$2,Rango_Admin_DailyPred,MATCH($F51,Rango_Admin_DailyPred_Primera,0)+1,0),"-")</f>
        <v>0</v>
      </c>
      <c r="I51" s="429">
        <f ca="1">IFERROR(VLOOKUP(I$2,Rango_Admin_DailyPred,MATCH($F51,Rango_Admin_DailyPred_Primera,0)+1,0),"-")</f>
        <v>0</v>
      </c>
      <c r="J51" s="429">
        <f ca="1">IFERROR(VLOOKUP(J$2,Rango_Admin_DailyPred,MATCH($F51,Rango_Admin_DailyPred_Primera,0)+1,0),"-")</f>
        <v>0</v>
      </c>
      <c r="K51" s="429">
        <f ca="1">IFERROR(VLOOKUP(K$2,Rango_Admin_DailyPred,MATCH($F51,Rango_Admin_DailyPred_Primera,0)+1,0),"-")</f>
        <v>0</v>
      </c>
      <c r="L51" s="429">
        <f ca="1">IFERROR(VLOOKUP(L$2,Rango_Admin_DailyPred,MATCH($F51,Rango_Admin_DailyPred_Primera,0)+1,0),"-")</f>
        <v>0</v>
      </c>
      <c r="M51" s="429">
        <f ca="1">IFERROR(VLOOKUP(M$2,Rango_Admin_DailyPred,MATCH($F51,Rango_Admin_DailyPred_Primera,0)+1,0),"-")</f>
        <v>0</v>
      </c>
      <c r="N51" s="429">
        <f ca="1">IFERROR(VLOOKUP(N$2,Rango_Admin_DailyPred,MATCH($F51,Rango_Admin_DailyPred_Primera,0)+1,0),"-")</f>
        <v>0</v>
      </c>
      <c r="O51" s="429">
        <f ca="1">IFERROR(VLOOKUP(O$2,Rango_Admin_DailyPred,MATCH($F51,Rango_Admin_DailyPred_Primera,0)+1,0),"-")</f>
        <v>0</v>
      </c>
      <c r="P51" s="429">
        <f ca="1">IFERROR(VLOOKUP(P$2,Rango_Admin_DailyPred,MATCH($F51,Rango_Admin_DailyPred_Primera,0)+1,0),"-")</f>
        <v>0</v>
      </c>
      <c r="Q51" s="429">
        <f ca="1">IFERROR(VLOOKUP(Q$2,Rango_Admin_DailyPred,MATCH($F51,Rango_Admin_DailyPred_Primera,0)+1,0),"-")</f>
        <v>0</v>
      </c>
      <c r="R51" s="429">
        <f ca="1">IFERROR(VLOOKUP(R$2,Rango_Admin_DailyPred,MATCH($F51,Rango_Admin_DailyPred_Primera,0)+1,0),"-")</f>
        <v>0</v>
      </c>
      <c r="S51" s="429" t="str">
        <f ca="1">IFERROR(VLOOKUP(S$2,Rango_Admin_DailyPred,MATCH($F51,Rango_Admin_DailyPred_Primera,0)+1,0),"-")</f>
        <v>-</v>
      </c>
      <c r="T51" s="429" t="str">
        <f ca="1">IFERROR(VLOOKUP(T$2,Rango_Admin_DailyPred,MATCH($F51,Rango_Admin_DailyPred_Primera,0)+1,0),"-")</f>
        <v>-</v>
      </c>
      <c r="U51" s="429" t="str">
        <f ca="1">IFERROR(VLOOKUP(U$2,Rango_Admin_DailyPred,MATCH($F51,Rango_Admin_DailyPred_Primera,0)+1,0),"-")</f>
        <v>-</v>
      </c>
      <c r="V51" s="429" t="str">
        <f ca="1">IFERROR(VLOOKUP(V$2,Rango_Admin_DailyPred,MATCH($F51,Rango_Admin_DailyPred_Primera,0)+1,0),"-")</f>
        <v>-</v>
      </c>
      <c r="W51" s="429" t="str">
        <f ca="1">IFERROR(VLOOKUP(W$2,Rango_Admin_DailyPred,MATCH($F51,Rango_Admin_DailyPred_Primera,0)+1,0),"-")</f>
        <v>-</v>
      </c>
      <c r="X51" s="429" t="str">
        <f ca="1">IFERROR(VLOOKUP(X$2,Rango_Admin_DailyPred,MATCH($F51,Rango_Admin_DailyPred_Primera,0)+1,0),"-")</f>
        <v>-</v>
      </c>
      <c r="Y51" s="429" t="str">
        <f ca="1">IFERROR(VLOOKUP(Y$2,Rango_Admin_DailyPred,MATCH($F51,Rango_Admin_DailyPred_Primera,0)+1,0),"-")</f>
        <v>-</v>
      </c>
      <c r="Z51" s="429" t="str">
        <f ca="1">IFERROR(VLOOKUP(Z$2,Rango_Admin_DailyPred,MATCH($F51,Rango_Admin_DailyPred_Primera,0)+1,0),"-")</f>
        <v>-</v>
      </c>
      <c r="AA51" s="429" t="str">
        <f ca="1">IFERROR(VLOOKUP(AA$2,Rango_Admin_DailyPred,MATCH($F51,Rango_Admin_DailyPred_Primera,0)+1,0),"-")</f>
        <v>-</v>
      </c>
      <c r="AB51" s="429" t="str">
        <f ca="1">IFERROR(VLOOKUP(AB$2,Rango_Admin_DailyPred,MATCH($F51,Rango_Admin_DailyPred_Primera,0)+1,0),"-")</f>
        <v>-</v>
      </c>
      <c r="AC51" s="429" t="str">
        <f ca="1">IFERROR(VLOOKUP(AC$2,Rango_Admin_DailyPred,MATCH($F51,Rango_Admin_DailyPred_Primera,0)+1,0),"-")</f>
        <v>-</v>
      </c>
      <c r="AD51" s="429" t="str">
        <f ca="1">IFERROR(VLOOKUP(AD$2,Rango_Admin_DailyPred,MATCH($F51,Rango_Admin_DailyPred_Primera,0)+1,0),"-")</f>
        <v>-</v>
      </c>
      <c r="AE51" s="429" t="str">
        <f ca="1">IFERROR(VLOOKUP(AE$2,Rango_Admin_DailyPred,MATCH($F51,Rango_Admin_DailyPred_Primera,0)+1,0),"-")</f>
        <v>-</v>
      </c>
      <c r="AF51" s="429" t="str">
        <f ca="1">IFERROR(VLOOKUP(AF$2,Rango_Admin_DailyPred,MATCH($F51,Rango_Admin_DailyPred_Primera,0)+1,0),"-")</f>
        <v>-</v>
      </c>
      <c r="AG51" s="429" t="str">
        <f ca="1">IFERROR(VLOOKUP(AG$2,Rango_Admin_DailyPred,MATCH($F51,Rango_Admin_DailyPred_Primera,0)+1,0),"-")</f>
        <v>-</v>
      </c>
      <c r="AH51" s="429" t="str">
        <f ca="1">IFERROR(VLOOKUP(AH$2,Rango_Admin_DailyPred,MATCH($F51,Rango_Admin_DailyPred_Primera,0)+1,0),"-")</f>
        <v>-</v>
      </c>
      <c r="AI51" s="429" t="str">
        <f ca="1">IFERROR(VLOOKUP(AI$2,Rango_Admin_DailyPred,MATCH($F51,Rango_Admin_DailyPred_Primera,0)+1,0),"-")</f>
        <v>-</v>
      </c>
      <c r="AJ51" s="429" t="str">
        <f ca="1">IFERROR(VLOOKUP(AJ$2,Rango_Admin_DailyPred,MATCH($F51,Rango_Admin_DailyPred_Primera,0)+1,0),"-")</f>
        <v>-</v>
      </c>
      <c r="AK51" s="429" t="str">
        <f ca="1">IFERROR(VLOOKUP(AK$2,Rango_Admin_DailyPred,MATCH($F51,Rango_Admin_DailyPred_Primera,0)+1,0),"-")</f>
        <v>-</v>
      </c>
      <c r="AL51" s="429" t="str">
        <f ca="1">IFERROR(VLOOKUP(AL$2,Rango_Admin_DailyPred,MATCH($F51,Rango_Admin_DailyPred_Primera,0)+1,0),"-")</f>
        <v>-</v>
      </c>
      <c r="AM51" s="429" t="str">
        <f ca="1">IFERROR(VLOOKUP(AM$2,Rango_Admin_DailyPred,MATCH($F51,Rango_Admin_DailyPred_Primera,0)+1,0),"-")</f>
        <v>-</v>
      </c>
      <c r="AN51" s="297"/>
    </row>
    <row r="52" spans="1:40">
      <c r="A52" s="8"/>
      <c r="B52" s="8"/>
      <c r="C52" s="8">
        <v>49</v>
      </c>
      <c r="D52" s="19"/>
      <c r="E52" s="409">
        <f ca="1">IFERROR(HLOOKUP(C52,Rango_Admin_DailyClas,3,FALSE),"-")</f>
        <v>48</v>
      </c>
      <c r="F52" s="448" t="str">
        <f ca="1">IFERROR(HLOOKUP(C52,Rango_Admin_DailyClas,5,FALSE),"-")</f>
        <v>Floris Boel</v>
      </c>
      <c r="G52" s="22">
        <f ca="1">IFERROR(HLOOKUP(C52,Rango_Admin_DailyClas,4,FALSE),"-")</f>
        <v>0</v>
      </c>
      <c r="H52" s="429">
        <f ca="1">IFERROR(VLOOKUP(H$2,Rango_Admin_DailyPred,MATCH($F52,Rango_Admin_DailyPred_Primera,0)+1,0),"-")</f>
        <v>0</v>
      </c>
      <c r="I52" s="429">
        <f ca="1">IFERROR(VLOOKUP(I$2,Rango_Admin_DailyPred,MATCH($F52,Rango_Admin_DailyPred_Primera,0)+1,0),"-")</f>
        <v>0</v>
      </c>
      <c r="J52" s="429">
        <f ca="1">IFERROR(VLOOKUP(J$2,Rango_Admin_DailyPred,MATCH($F52,Rango_Admin_DailyPred_Primera,0)+1,0),"-")</f>
        <v>0</v>
      </c>
      <c r="K52" s="429">
        <f ca="1">IFERROR(VLOOKUP(K$2,Rango_Admin_DailyPred,MATCH($F52,Rango_Admin_DailyPred_Primera,0)+1,0),"-")</f>
        <v>0</v>
      </c>
      <c r="L52" s="429">
        <f ca="1">IFERROR(VLOOKUP(L$2,Rango_Admin_DailyPred,MATCH($F52,Rango_Admin_DailyPred_Primera,0)+1,0),"-")</f>
        <v>0</v>
      </c>
      <c r="M52" s="429">
        <f ca="1">IFERROR(VLOOKUP(M$2,Rango_Admin_DailyPred,MATCH($F52,Rango_Admin_DailyPred_Primera,0)+1,0),"-")</f>
        <v>0</v>
      </c>
      <c r="N52" s="429">
        <f ca="1">IFERROR(VLOOKUP(N$2,Rango_Admin_DailyPred,MATCH($F52,Rango_Admin_DailyPred_Primera,0)+1,0),"-")</f>
        <v>0</v>
      </c>
      <c r="O52" s="429">
        <f ca="1">IFERROR(VLOOKUP(O$2,Rango_Admin_DailyPred,MATCH($F52,Rango_Admin_DailyPred_Primera,0)+1,0),"-")</f>
        <v>0</v>
      </c>
      <c r="P52" s="429">
        <f ca="1">IFERROR(VLOOKUP(P$2,Rango_Admin_DailyPred,MATCH($F52,Rango_Admin_DailyPred_Primera,0)+1,0),"-")</f>
        <v>0</v>
      </c>
      <c r="Q52" s="429">
        <f ca="1">IFERROR(VLOOKUP(Q$2,Rango_Admin_DailyPred,MATCH($F52,Rango_Admin_DailyPred_Primera,0)+1,0),"-")</f>
        <v>0</v>
      </c>
      <c r="R52" s="429">
        <f ca="1">IFERROR(VLOOKUP(R$2,Rango_Admin_DailyPred,MATCH($F52,Rango_Admin_DailyPred_Primera,0)+1,0),"-")</f>
        <v>0</v>
      </c>
      <c r="S52" s="429" t="str">
        <f ca="1">IFERROR(VLOOKUP(S$2,Rango_Admin_DailyPred,MATCH($F52,Rango_Admin_DailyPred_Primera,0)+1,0),"-")</f>
        <v>-</v>
      </c>
      <c r="T52" s="429" t="str">
        <f ca="1">IFERROR(VLOOKUP(T$2,Rango_Admin_DailyPred,MATCH($F52,Rango_Admin_DailyPred_Primera,0)+1,0),"-")</f>
        <v>-</v>
      </c>
      <c r="U52" s="429" t="str">
        <f ca="1">IFERROR(VLOOKUP(U$2,Rango_Admin_DailyPred,MATCH($F52,Rango_Admin_DailyPred_Primera,0)+1,0),"-")</f>
        <v>-</v>
      </c>
      <c r="V52" s="429" t="str">
        <f ca="1">IFERROR(VLOOKUP(V$2,Rango_Admin_DailyPred,MATCH($F52,Rango_Admin_DailyPred_Primera,0)+1,0),"-")</f>
        <v>-</v>
      </c>
      <c r="W52" s="429" t="str">
        <f ca="1">IFERROR(VLOOKUP(W$2,Rango_Admin_DailyPred,MATCH($F52,Rango_Admin_DailyPred_Primera,0)+1,0),"-")</f>
        <v>-</v>
      </c>
      <c r="X52" s="429" t="str">
        <f ca="1">IFERROR(VLOOKUP(X$2,Rango_Admin_DailyPred,MATCH($F52,Rango_Admin_DailyPred_Primera,0)+1,0),"-")</f>
        <v>-</v>
      </c>
      <c r="Y52" s="429" t="str">
        <f ca="1">IFERROR(VLOOKUP(Y$2,Rango_Admin_DailyPred,MATCH($F52,Rango_Admin_DailyPred_Primera,0)+1,0),"-")</f>
        <v>-</v>
      </c>
      <c r="Z52" s="429" t="str">
        <f ca="1">IFERROR(VLOOKUP(Z$2,Rango_Admin_DailyPred,MATCH($F52,Rango_Admin_DailyPred_Primera,0)+1,0),"-")</f>
        <v>-</v>
      </c>
      <c r="AA52" s="429" t="str">
        <f ca="1">IFERROR(VLOOKUP(AA$2,Rango_Admin_DailyPred,MATCH($F52,Rango_Admin_DailyPred_Primera,0)+1,0),"-")</f>
        <v>-</v>
      </c>
      <c r="AB52" s="429" t="str">
        <f ca="1">IFERROR(VLOOKUP(AB$2,Rango_Admin_DailyPred,MATCH($F52,Rango_Admin_DailyPred_Primera,0)+1,0),"-")</f>
        <v>-</v>
      </c>
      <c r="AC52" s="429" t="str">
        <f ca="1">IFERROR(VLOOKUP(AC$2,Rango_Admin_DailyPred,MATCH($F52,Rango_Admin_DailyPred_Primera,0)+1,0),"-")</f>
        <v>-</v>
      </c>
      <c r="AD52" s="429" t="str">
        <f ca="1">IFERROR(VLOOKUP(AD$2,Rango_Admin_DailyPred,MATCH($F52,Rango_Admin_DailyPred_Primera,0)+1,0),"-")</f>
        <v>-</v>
      </c>
      <c r="AE52" s="429" t="str">
        <f ca="1">IFERROR(VLOOKUP(AE$2,Rango_Admin_DailyPred,MATCH($F52,Rango_Admin_DailyPred_Primera,0)+1,0),"-")</f>
        <v>-</v>
      </c>
      <c r="AF52" s="429" t="str">
        <f ca="1">IFERROR(VLOOKUP(AF$2,Rango_Admin_DailyPred,MATCH($F52,Rango_Admin_DailyPred_Primera,0)+1,0),"-")</f>
        <v>-</v>
      </c>
      <c r="AG52" s="429" t="str">
        <f ca="1">IFERROR(VLOOKUP(AG$2,Rango_Admin_DailyPred,MATCH($F52,Rango_Admin_DailyPred_Primera,0)+1,0),"-")</f>
        <v>-</v>
      </c>
      <c r="AH52" s="429" t="str">
        <f ca="1">IFERROR(VLOOKUP(AH$2,Rango_Admin_DailyPred,MATCH($F52,Rango_Admin_DailyPred_Primera,0)+1,0),"-")</f>
        <v>-</v>
      </c>
      <c r="AI52" s="429" t="str">
        <f ca="1">IFERROR(VLOOKUP(AI$2,Rango_Admin_DailyPred,MATCH($F52,Rango_Admin_DailyPred_Primera,0)+1,0),"-")</f>
        <v>-</v>
      </c>
      <c r="AJ52" s="429" t="str">
        <f ca="1">IFERROR(VLOOKUP(AJ$2,Rango_Admin_DailyPred,MATCH($F52,Rango_Admin_DailyPred_Primera,0)+1,0),"-")</f>
        <v>-</v>
      </c>
      <c r="AK52" s="429" t="str">
        <f ca="1">IFERROR(VLOOKUP(AK$2,Rango_Admin_DailyPred,MATCH($F52,Rango_Admin_DailyPred_Primera,0)+1,0),"-")</f>
        <v>-</v>
      </c>
      <c r="AL52" s="429" t="str">
        <f ca="1">IFERROR(VLOOKUP(AL$2,Rango_Admin_DailyPred,MATCH($F52,Rango_Admin_DailyPred_Primera,0)+1,0),"-")</f>
        <v>-</v>
      </c>
      <c r="AM52" s="429" t="str">
        <f ca="1">IFERROR(VLOOKUP(AM$2,Rango_Admin_DailyPred,MATCH($F52,Rango_Admin_DailyPred_Primera,0)+1,0),"-")</f>
        <v>-</v>
      </c>
      <c r="AN52" s="297"/>
    </row>
    <row r="53" spans="1:40">
      <c r="A53" s="8"/>
      <c r="B53" s="8"/>
      <c r="C53" s="8">
        <v>50</v>
      </c>
      <c r="D53" s="19"/>
      <c r="E53" s="409">
        <f ca="1">IFERROR(HLOOKUP(C53,Rango_Admin_DailyClas,3,FALSE),"-")</f>
        <v>48</v>
      </c>
      <c r="F53" s="448" t="str">
        <f ca="1">IFERROR(HLOOKUP(C53,Rango_Admin_DailyClas,5,FALSE),"-")</f>
        <v>Michael de Graaf</v>
      </c>
      <c r="G53" s="22">
        <f ca="1">IFERROR(HLOOKUP(C53,Rango_Admin_DailyClas,4,FALSE),"-")</f>
        <v>0</v>
      </c>
      <c r="H53" s="429">
        <f ca="1">IFERROR(VLOOKUP(H$2,Rango_Admin_DailyPred,MATCH($F53,Rango_Admin_DailyPred_Primera,0)+1,0),"-")</f>
        <v>0</v>
      </c>
      <c r="I53" s="429">
        <f ca="1">IFERROR(VLOOKUP(I$2,Rango_Admin_DailyPred,MATCH($F53,Rango_Admin_DailyPred_Primera,0)+1,0),"-")</f>
        <v>0</v>
      </c>
      <c r="J53" s="429">
        <f ca="1">IFERROR(VLOOKUP(J$2,Rango_Admin_DailyPred,MATCH($F53,Rango_Admin_DailyPred_Primera,0)+1,0),"-")</f>
        <v>0</v>
      </c>
      <c r="K53" s="429">
        <f ca="1">IFERROR(VLOOKUP(K$2,Rango_Admin_DailyPred,MATCH($F53,Rango_Admin_DailyPred_Primera,0)+1,0),"-")</f>
        <v>0</v>
      </c>
      <c r="L53" s="429">
        <f ca="1">IFERROR(VLOOKUP(L$2,Rango_Admin_DailyPred,MATCH($F53,Rango_Admin_DailyPred_Primera,0)+1,0),"-")</f>
        <v>0</v>
      </c>
      <c r="M53" s="429">
        <f ca="1">IFERROR(VLOOKUP(M$2,Rango_Admin_DailyPred,MATCH($F53,Rango_Admin_DailyPred_Primera,0)+1,0),"-")</f>
        <v>0</v>
      </c>
      <c r="N53" s="429">
        <f ca="1">IFERROR(VLOOKUP(N$2,Rango_Admin_DailyPred,MATCH($F53,Rango_Admin_DailyPred_Primera,0)+1,0),"-")</f>
        <v>0</v>
      </c>
      <c r="O53" s="429">
        <f ca="1">IFERROR(VLOOKUP(O$2,Rango_Admin_DailyPred,MATCH($F53,Rango_Admin_DailyPred_Primera,0)+1,0),"-")</f>
        <v>0</v>
      </c>
      <c r="P53" s="429">
        <f ca="1">IFERROR(VLOOKUP(P$2,Rango_Admin_DailyPred,MATCH($F53,Rango_Admin_DailyPred_Primera,0)+1,0),"-")</f>
        <v>0</v>
      </c>
      <c r="Q53" s="429">
        <f ca="1">IFERROR(VLOOKUP(Q$2,Rango_Admin_DailyPred,MATCH($F53,Rango_Admin_DailyPred_Primera,0)+1,0),"-")</f>
        <v>0</v>
      </c>
      <c r="R53" s="429">
        <f ca="1">IFERROR(VLOOKUP(R$2,Rango_Admin_DailyPred,MATCH($F53,Rango_Admin_DailyPred_Primera,0)+1,0),"-")</f>
        <v>0</v>
      </c>
      <c r="S53" s="429" t="str">
        <f ca="1">IFERROR(VLOOKUP(S$2,Rango_Admin_DailyPred,MATCH($F53,Rango_Admin_DailyPred_Primera,0)+1,0),"-")</f>
        <v>-</v>
      </c>
      <c r="T53" s="429" t="str">
        <f ca="1">IFERROR(VLOOKUP(T$2,Rango_Admin_DailyPred,MATCH($F53,Rango_Admin_DailyPred_Primera,0)+1,0),"-")</f>
        <v>-</v>
      </c>
      <c r="U53" s="429" t="str">
        <f ca="1">IFERROR(VLOOKUP(U$2,Rango_Admin_DailyPred,MATCH($F53,Rango_Admin_DailyPred_Primera,0)+1,0),"-")</f>
        <v>-</v>
      </c>
      <c r="V53" s="429" t="str">
        <f ca="1">IFERROR(VLOOKUP(V$2,Rango_Admin_DailyPred,MATCH($F53,Rango_Admin_DailyPred_Primera,0)+1,0),"-")</f>
        <v>-</v>
      </c>
      <c r="W53" s="429" t="str">
        <f ca="1">IFERROR(VLOOKUP(W$2,Rango_Admin_DailyPred,MATCH($F53,Rango_Admin_DailyPred_Primera,0)+1,0),"-")</f>
        <v>-</v>
      </c>
      <c r="X53" s="429" t="str">
        <f ca="1">IFERROR(VLOOKUP(X$2,Rango_Admin_DailyPred,MATCH($F53,Rango_Admin_DailyPred_Primera,0)+1,0),"-")</f>
        <v>-</v>
      </c>
      <c r="Y53" s="429" t="str">
        <f ca="1">IFERROR(VLOOKUP(Y$2,Rango_Admin_DailyPred,MATCH($F53,Rango_Admin_DailyPred_Primera,0)+1,0),"-")</f>
        <v>-</v>
      </c>
      <c r="Z53" s="429" t="str">
        <f ca="1">IFERROR(VLOOKUP(Z$2,Rango_Admin_DailyPred,MATCH($F53,Rango_Admin_DailyPred_Primera,0)+1,0),"-")</f>
        <v>-</v>
      </c>
      <c r="AA53" s="429" t="str">
        <f ca="1">IFERROR(VLOOKUP(AA$2,Rango_Admin_DailyPred,MATCH($F53,Rango_Admin_DailyPred_Primera,0)+1,0),"-")</f>
        <v>-</v>
      </c>
      <c r="AB53" s="429" t="str">
        <f ca="1">IFERROR(VLOOKUP(AB$2,Rango_Admin_DailyPred,MATCH($F53,Rango_Admin_DailyPred_Primera,0)+1,0),"-")</f>
        <v>-</v>
      </c>
      <c r="AC53" s="429" t="str">
        <f ca="1">IFERROR(VLOOKUP(AC$2,Rango_Admin_DailyPred,MATCH($F53,Rango_Admin_DailyPred_Primera,0)+1,0),"-")</f>
        <v>-</v>
      </c>
      <c r="AD53" s="429" t="str">
        <f ca="1">IFERROR(VLOOKUP(AD$2,Rango_Admin_DailyPred,MATCH($F53,Rango_Admin_DailyPred_Primera,0)+1,0),"-")</f>
        <v>-</v>
      </c>
      <c r="AE53" s="429" t="str">
        <f ca="1">IFERROR(VLOOKUP(AE$2,Rango_Admin_DailyPred,MATCH($F53,Rango_Admin_DailyPred_Primera,0)+1,0),"-")</f>
        <v>-</v>
      </c>
      <c r="AF53" s="429" t="str">
        <f ca="1">IFERROR(VLOOKUP(AF$2,Rango_Admin_DailyPred,MATCH($F53,Rango_Admin_DailyPred_Primera,0)+1,0),"-")</f>
        <v>-</v>
      </c>
      <c r="AG53" s="429" t="str">
        <f ca="1">IFERROR(VLOOKUP(AG$2,Rango_Admin_DailyPred,MATCH($F53,Rango_Admin_DailyPred_Primera,0)+1,0),"-")</f>
        <v>-</v>
      </c>
      <c r="AH53" s="429" t="str">
        <f ca="1">IFERROR(VLOOKUP(AH$2,Rango_Admin_DailyPred,MATCH($F53,Rango_Admin_DailyPred_Primera,0)+1,0),"-")</f>
        <v>-</v>
      </c>
      <c r="AI53" s="429" t="str">
        <f ca="1">IFERROR(VLOOKUP(AI$2,Rango_Admin_DailyPred,MATCH($F53,Rango_Admin_DailyPred_Primera,0)+1,0),"-")</f>
        <v>-</v>
      </c>
      <c r="AJ53" s="429" t="str">
        <f ca="1">IFERROR(VLOOKUP(AJ$2,Rango_Admin_DailyPred,MATCH($F53,Rango_Admin_DailyPred_Primera,0)+1,0),"-")</f>
        <v>-</v>
      </c>
      <c r="AK53" s="429" t="str">
        <f ca="1">IFERROR(VLOOKUP(AK$2,Rango_Admin_DailyPred,MATCH($F53,Rango_Admin_DailyPred_Primera,0)+1,0),"-")</f>
        <v>-</v>
      </c>
      <c r="AL53" s="429" t="str">
        <f ca="1">IFERROR(VLOOKUP(AL$2,Rango_Admin_DailyPred,MATCH($F53,Rango_Admin_DailyPred_Primera,0)+1,0),"-")</f>
        <v>-</v>
      </c>
      <c r="AM53" s="429" t="str">
        <f ca="1">IFERROR(VLOOKUP(AM$2,Rango_Admin_DailyPred,MATCH($F53,Rango_Admin_DailyPred_Primera,0)+1,0),"-")</f>
        <v>-</v>
      </c>
      <c r="AN53" s="297"/>
    </row>
    <row r="54" spans="1:40">
      <c r="A54" s="8"/>
      <c r="B54" s="8"/>
      <c r="C54" s="8">
        <v>51</v>
      </c>
      <c r="D54" s="19"/>
      <c r="E54" s="409">
        <f ca="1">IFERROR(HLOOKUP(C54,Rango_Admin_DailyClas,3,FALSE),"-")</f>
        <v>48</v>
      </c>
      <c r="F54" s="448" t="str">
        <f ca="1">IFERROR(HLOOKUP(C54,Rango_Admin_DailyClas,5,FALSE),"-")</f>
        <v>Timo Konniger</v>
      </c>
      <c r="G54" s="22">
        <f ca="1">IFERROR(HLOOKUP(C54,Rango_Admin_DailyClas,4,FALSE),"-")</f>
        <v>0</v>
      </c>
      <c r="H54" s="429">
        <f ca="1">IFERROR(VLOOKUP(H$2,Rango_Admin_DailyPred,MATCH($F54,Rango_Admin_DailyPred_Primera,0)+1,0),"-")</f>
        <v>0</v>
      </c>
      <c r="I54" s="429">
        <f ca="1">IFERROR(VLOOKUP(I$2,Rango_Admin_DailyPred,MATCH($F54,Rango_Admin_DailyPred_Primera,0)+1,0),"-")</f>
        <v>0</v>
      </c>
      <c r="J54" s="429">
        <f ca="1">IFERROR(VLOOKUP(J$2,Rango_Admin_DailyPred,MATCH($F54,Rango_Admin_DailyPred_Primera,0)+1,0),"-")</f>
        <v>0</v>
      </c>
      <c r="K54" s="429">
        <f ca="1">IFERROR(VLOOKUP(K$2,Rango_Admin_DailyPred,MATCH($F54,Rango_Admin_DailyPred_Primera,0)+1,0),"-")</f>
        <v>0</v>
      </c>
      <c r="L54" s="429">
        <f ca="1">IFERROR(VLOOKUP(L$2,Rango_Admin_DailyPred,MATCH($F54,Rango_Admin_DailyPred_Primera,0)+1,0),"-")</f>
        <v>0</v>
      </c>
      <c r="M54" s="429">
        <f ca="1">IFERROR(VLOOKUP(M$2,Rango_Admin_DailyPred,MATCH($F54,Rango_Admin_DailyPred_Primera,0)+1,0),"-")</f>
        <v>0</v>
      </c>
      <c r="N54" s="429">
        <f ca="1">IFERROR(VLOOKUP(N$2,Rango_Admin_DailyPred,MATCH($F54,Rango_Admin_DailyPred_Primera,0)+1,0),"-")</f>
        <v>0</v>
      </c>
      <c r="O54" s="429">
        <f ca="1">IFERROR(VLOOKUP(O$2,Rango_Admin_DailyPred,MATCH($F54,Rango_Admin_DailyPred_Primera,0)+1,0),"-")</f>
        <v>0</v>
      </c>
      <c r="P54" s="429">
        <f ca="1">IFERROR(VLOOKUP(P$2,Rango_Admin_DailyPred,MATCH($F54,Rango_Admin_DailyPred_Primera,0)+1,0),"-")</f>
        <v>0</v>
      </c>
      <c r="Q54" s="429">
        <f ca="1">IFERROR(VLOOKUP(Q$2,Rango_Admin_DailyPred,MATCH($F54,Rango_Admin_DailyPred_Primera,0)+1,0),"-")</f>
        <v>0</v>
      </c>
      <c r="R54" s="429">
        <f ca="1">IFERROR(VLOOKUP(R$2,Rango_Admin_DailyPred,MATCH($F54,Rango_Admin_DailyPred_Primera,0)+1,0),"-")</f>
        <v>0</v>
      </c>
      <c r="S54" s="429" t="str">
        <f ca="1">IFERROR(VLOOKUP(S$2,Rango_Admin_DailyPred,MATCH($F54,Rango_Admin_DailyPred_Primera,0)+1,0),"-")</f>
        <v>-</v>
      </c>
      <c r="T54" s="429" t="str">
        <f ca="1">IFERROR(VLOOKUP(T$2,Rango_Admin_DailyPred,MATCH($F54,Rango_Admin_DailyPred_Primera,0)+1,0),"-")</f>
        <v>-</v>
      </c>
      <c r="U54" s="429" t="str">
        <f ca="1">IFERROR(VLOOKUP(U$2,Rango_Admin_DailyPred,MATCH($F54,Rango_Admin_DailyPred_Primera,0)+1,0),"-")</f>
        <v>-</v>
      </c>
      <c r="V54" s="429" t="str">
        <f ca="1">IFERROR(VLOOKUP(V$2,Rango_Admin_DailyPred,MATCH($F54,Rango_Admin_DailyPred_Primera,0)+1,0),"-")</f>
        <v>-</v>
      </c>
      <c r="W54" s="429" t="str">
        <f ca="1">IFERROR(VLOOKUP(W$2,Rango_Admin_DailyPred,MATCH($F54,Rango_Admin_DailyPred_Primera,0)+1,0),"-")</f>
        <v>-</v>
      </c>
      <c r="X54" s="429" t="str">
        <f ca="1">IFERROR(VLOOKUP(X$2,Rango_Admin_DailyPred,MATCH($F54,Rango_Admin_DailyPred_Primera,0)+1,0),"-")</f>
        <v>-</v>
      </c>
      <c r="Y54" s="429" t="str">
        <f ca="1">IFERROR(VLOOKUP(Y$2,Rango_Admin_DailyPred,MATCH($F54,Rango_Admin_DailyPred_Primera,0)+1,0),"-")</f>
        <v>-</v>
      </c>
      <c r="Z54" s="429" t="str">
        <f ca="1">IFERROR(VLOOKUP(Z$2,Rango_Admin_DailyPred,MATCH($F54,Rango_Admin_DailyPred_Primera,0)+1,0),"-")</f>
        <v>-</v>
      </c>
      <c r="AA54" s="429" t="str">
        <f ca="1">IFERROR(VLOOKUP(AA$2,Rango_Admin_DailyPred,MATCH($F54,Rango_Admin_DailyPred_Primera,0)+1,0),"-")</f>
        <v>-</v>
      </c>
      <c r="AB54" s="429" t="str">
        <f ca="1">IFERROR(VLOOKUP(AB$2,Rango_Admin_DailyPred,MATCH($F54,Rango_Admin_DailyPred_Primera,0)+1,0),"-")</f>
        <v>-</v>
      </c>
      <c r="AC54" s="429" t="str">
        <f ca="1">IFERROR(VLOOKUP(AC$2,Rango_Admin_DailyPred,MATCH($F54,Rango_Admin_DailyPred_Primera,0)+1,0),"-")</f>
        <v>-</v>
      </c>
      <c r="AD54" s="429" t="str">
        <f ca="1">IFERROR(VLOOKUP(AD$2,Rango_Admin_DailyPred,MATCH($F54,Rango_Admin_DailyPred_Primera,0)+1,0),"-")</f>
        <v>-</v>
      </c>
      <c r="AE54" s="429" t="str">
        <f ca="1">IFERROR(VLOOKUP(AE$2,Rango_Admin_DailyPred,MATCH($F54,Rango_Admin_DailyPred_Primera,0)+1,0),"-")</f>
        <v>-</v>
      </c>
      <c r="AF54" s="429" t="str">
        <f ca="1">IFERROR(VLOOKUP(AF$2,Rango_Admin_DailyPred,MATCH($F54,Rango_Admin_DailyPred_Primera,0)+1,0),"-")</f>
        <v>-</v>
      </c>
      <c r="AG54" s="429" t="str">
        <f ca="1">IFERROR(VLOOKUP(AG$2,Rango_Admin_DailyPred,MATCH($F54,Rango_Admin_DailyPred_Primera,0)+1,0),"-")</f>
        <v>-</v>
      </c>
      <c r="AH54" s="429" t="str">
        <f ca="1">IFERROR(VLOOKUP(AH$2,Rango_Admin_DailyPred,MATCH($F54,Rango_Admin_DailyPred_Primera,0)+1,0),"-")</f>
        <v>-</v>
      </c>
      <c r="AI54" s="429" t="str">
        <f ca="1">IFERROR(VLOOKUP(AI$2,Rango_Admin_DailyPred,MATCH($F54,Rango_Admin_DailyPred_Primera,0)+1,0),"-")</f>
        <v>-</v>
      </c>
      <c r="AJ54" s="429" t="str">
        <f ca="1">IFERROR(VLOOKUP(AJ$2,Rango_Admin_DailyPred,MATCH($F54,Rango_Admin_DailyPred_Primera,0)+1,0),"-")</f>
        <v>-</v>
      </c>
      <c r="AK54" s="429" t="str">
        <f ca="1">IFERROR(VLOOKUP(AK$2,Rango_Admin_DailyPred,MATCH($F54,Rango_Admin_DailyPred_Primera,0)+1,0),"-")</f>
        <v>-</v>
      </c>
      <c r="AL54" s="429" t="str">
        <f ca="1">IFERROR(VLOOKUP(AL$2,Rango_Admin_DailyPred,MATCH($F54,Rango_Admin_DailyPred_Primera,0)+1,0),"-")</f>
        <v>-</v>
      </c>
      <c r="AM54" s="429" t="str">
        <f ca="1">IFERROR(VLOOKUP(AM$2,Rango_Admin_DailyPred,MATCH($F54,Rango_Admin_DailyPred_Primera,0)+1,0),"-")</f>
        <v>-</v>
      </c>
      <c r="AN54" s="297"/>
    </row>
    <row r="55" spans="1:40">
      <c r="A55" s="8"/>
      <c r="B55" s="8"/>
      <c r="C55" s="8">
        <v>52</v>
      </c>
      <c r="D55" s="19"/>
      <c r="E55" s="409">
        <f ca="1">IFERROR(HLOOKUP(C55,Rango_Admin_DailyClas,3,FALSE),"-")</f>
        <v>48</v>
      </c>
      <c r="F55" s="448" t="str">
        <f ca="1">IFERROR(HLOOKUP(C55,Rango_Admin_DailyClas,5,FALSE),"-")</f>
        <v>Tjarco van Loon</v>
      </c>
      <c r="G55" s="22">
        <f ca="1">IFERROR(HLOOKUP(C55,Rango_Admin_DailyClas,4,FALSE),"-")</f>
        <v>0</v>
      </c>
      <c r="H55" s="429">
        <f ca="1">IFERROR(VLOOKUP(H$2,Rango_Admin_DailyPred,MATCH($F55,Rango_Admin_DailyPred_Primera,0)+1,0),"-")</f>
        <v>0</v>
      </c>
      <c r="I55" s="429">
        <f ca="1">IFERROR(VLOOKUP(I$2,Rango_Admin_DailyPred,MATCH($F55,Rango_Admin_DailyPred_Primera,0)+1,0),"-")</f>
        <v>0</v>
      </c>
      <c r="J55" s="429">
        <f ca="1">IFERROR(VLOOKUP(J$2,Rango_Admin_DailyPred,MATCH($F55,Rango_Admin_DailyPred_Primera,0)+1,0),"-")</f>
        <v>0</v>
      </c>
      <c r="K55" s="429">
        <f ca="1">IFERROR(VLOOKUP(K$2,Rango_Admin_DailyPred,MATCH($F55,Rango_Admin_DailyPred_Primera,0)+1,0),"-")</f>
        <v>0</v>
      </c>
      <c r="L55" s="429">
        <f ca="1">IFERROR(VLOOKUP(L$2,Rango_Admin_DailyPred,MATCH($F55,Rango_Admin_DailyPred_Primera,0)+1,0),"-")</f>
        <v>0</v>
      </c>
      <c r="M55" s="429">
        <f ca="1">IFERROR(VLOOKUP(M$2,Rango_Admin_DailyPred,MATCH($F55,Rango_Admin_DailyPred_Primera,0)+1,0),"-")</f>
        <v>0</v>
      </c>
      <c r="N55" s="429">
        <f ca="1">IFERROR(VLOOKUP(N$2,Rango_Admin_DailyPred,MATCH($F55,Rango_Admin_DailyPred_Primera,0)+1,0),"-")</f>
        <v>0</v>
      </c>
      <c r="O55" s="429">
        <f ca="1">IFERROR(VLOOKUP(O$2,Rango_Admin_DailyPred,MATCH($F55,Rango_Admin_DailyPred_Primera,0)+1,0),"-")</f>
        <v>0</v>
      </c>
      <c r="P55" s="429">
        <f ca="1">IFERROR(VLOOKUP(P$2,Rango_Admin_DailyPred,MATCH($F55,Rango_Admin_DailyPred_Primera,0)+1,0),"-")</f>
        <v>0</v>
      </c>
      <c r="Q55" s="429">
        <f ca="1">IFERROR(VLOOKUP(Q$2,Rango_Admin_DailyPred,MATCH($F55,Rango_Admin_DailyPred_Primera,0)+1,0),"-")</f>
        <v>0</v>
      </c>
      <c r="R55" s="429">
        <f ca="1">IFERROR(VLOOKUP(R$2,Rango_Admin_DailyPred,MATCH($F55,Rango_Admin_DailyPred_Primera,0)+1,0),"-")</f>
        <v>0</v>
      </c>
      <c r="S55" s="429" t="str">
        <f ca="1">IFERROR(VLOOKUP(S$2,Rango_Admin_DailyPred,MATCH($F55,Rango_Admin_DailyPred_Primera,0)+1,0),"-")</f>
        <v>-</v>
      </c>
      <c r="T55" s="429" t="str">
        <f ca="1">IFERROR(VLOOKUP(T$2,Rango_Admin_DailyPred,MATCH($F55,Rango_Admin_DailyPred_Primera,0)+1,0),"-")</f>
        <v>-</v>
      </c>
      <c r="U55" s="429" t="str">
        <f ca="1">IFERROR(VLOOKUP(U$2,Rango_Admin_DailyPred,MATCH($F55,Rango_Admin_DailyPred_Primera,0)+1,0),"-")</f>
        <v>-</v>
      </c>
      <c r="V55" s="429" t="str">
        <f ca="1">IFERROR(VLOOKUP(V$2,Rango_Admin_DailyPred,MATCH($F55,Rango_Admin_DailyPred_Primera,0)+1,0),"-")</f>
        <v>-</v>
      </c>
      <c r="W55" s="429" t="str">
        <f ca="1">IFERROR(VLOOKUP(W$2,Rango_Admin_DailyPred,MATCH($F55,Rango_Admin_DailyPred_Primera,0)+1,0),"-")</f>
        <v>-</v>
      </c>
      <c r="X55" s="429" t="str">
        <f ca="1">IFERROR(VLOOKUP(X$2,Rango_Admin_DailyPred,MATCH($F55,Rango_Admin_DailyPred_Primera,0)+1,0),"-")</f>
        <v>-</v>
      </c>
      <c r="Y55" s="429" t="str">
        <f ca="1">IFERROR(VLOOKUP(Y$2,Rango_Admin_DailyPred,MATCH($F55,Rango_Admin_DailyPred_Primera,0)+1,0),"-")</f>
        <v>-</v>
      </c>
      <c r="Z55" s="429" t="str">
        <f ca="1">IFERROR(VLOOKUP(Z$2,Rango_Admin_DailyPred,MATCH($F55,Rango_Admin_DailyPred_Primera,0)+1,0),"-")</f>
        <v>-</v>
      </c>
      <c r="AA55" s="429" t="str">
        <f ca="1">IFERROR(VLOOKUP(AA$2,Rango_Admin_DailyPred,MATCH($F55,Rango_Admin_DailyPred_Primera,0)+1,0),"-")</f>
        <v>-</v>
      </c>
      <c r="AB55" s="429" t="str">
        <f ca="1">IFERROR(VLOOKUP(AB$2,Rango_Admin_DailyPred,MATCH($F55,Rango_Admin_DailyPred_Primera,0)+1,0),"-")</f>
        <v>-</v>
      </c>
      <c r="AC55" s="429" t="str">
        <f ca="1">IFERROR(VLOOKUP(AC$2,Rango_Admin_DailyPred,MATCH($F55,Rango_Admin_DailyPred_Primera,0)+1,0),"-")</f>
        <v>-</v>
      </c>
      <c r="AD55" s="429" t="str">
        <f ca="1">IFERROR(VLOOKUP(AD$2,Rango_Admin_DailyPred,MATCH($F55,Rango_Admin_DailyPred_Primera,0)+1,0),"-")</f>
        <v>-</v>
      </c>
      <c r="AE55" s="429" t="str">
        <f ca="1">IFERROR(VLOOKUP(AE$2,Rango_Admin_DailyPred,MATCH($F55,Rango_Admin_DailyPred_Primera,0)+1,0),"-")</f>
        <v>-</v>
      </c>
      <c r="AF55" s="429" t="str">
        <f ca="1">IFERROR(VLOOKUP(AF$2,Rango_Admin_DailyPred,MATCH($F55,Rango_Admin_DailyPred_Primera,0)+1,0),"-")</f>
        <v>-</v>
      </c>
      <c r="AG55" s="429" t="str">
        <f ca="1">IFERROR(VLOOKUP(AG$2,Rango_Admin_DailyPred,MATCH($F55,Rango_Admin_DailyPred_Primera,0)+1,0),"-")</f>
        <v>-</v>
      </c>
      <c r="AH55" s="429" t="str">
        <f ca="1">IFERROR(VLOOKUP(AH$2,Rango_Admin_DailyPred,MATCH($F55,Rango_Admin_DailyPred_Primera,0)+1,0),"-")</f>
        <v>-</v>
      </c>
      <c r="AI55" s="429" t="str">
        <f ca="1">IFERROR(VLOOKUP(AI$2,Rango_Admin_DailyPred,MATCH($F55,Rango_Admin_DailyPred_Primera,0)+1,0),"-")</f>
        <v>-</v>
      </c>
      <c r="AJ55" s="429" t="str">
        <f ca="1">IFERROR(VLOOKUP(AJ$2,Rango_Admin_DailyPred,MATCH($F55,Rango_Admin_DailyPred_Primera,0)+1,0),"-")</f>
        <v>-</v>
      </c>
      <c r="AK55" s="429" t="str">
        <f ca="1">IFERROR(VLOOKUP(AK$2,Rango_Admin_DailyPred,MATCH($F55,Rango_Admin_DailyPred_Primera,0)+1,0),"-")</f>
        <v>-</v>
      </c>
      <c r="AL55" s="429" t="str">
        <f ca="1">IFERROR(VLOOKUP(AL$2,Rango_Admin_DailyPred,MATCH($F55,Rango_Admin_DailyPred_Primera,0)+1,0),"-")</f>
        <v>-</v>
      </c>
      <c r="AM55" s="429" t="str">
        <f ca="1">IFERROR(VLOOKUP(AM$2,Rango_Admin_DailyPred,MATCH($F55,Rango_Admin_DailyPred_Primera,0)+1,0),"-")</f>
        <v>-</v>
      </c>
      <c r="AN55" s="297"/>
    </row>
    <row r="56" spans="1:40">
      <c r="A56" s="8"/>
      <c r="B56" s="8"/>
      <c r="C56" s="8">
        <v>53</v>
      </c>
      <c r="D56" s="19"/>
      <c r="E56" s="409">
        <f ca="1">IFERROR(HLOOKUP(C56,Rango_Admin_DailyClas,3,FALSE),"-")</f>
        <v>48</v>
      </c>
      <c r="F56" s="448" t="str">
        <f ca="1">IFERROR(HLOOKUP(C56,Rango_Admin_DailyClas,5,FALSE),"-")</f>
        <v>Patrick Bielderman</v>
      </c>
      <c r="G56" s="22">
        <f ca="1">IFERROR(HLOOKUP(C56,Rango_Admin_DailyClas,4,FALSE),"-")</f>
        <v>0</v>
      </c>
      <c r="H56" s="429">
        <f ca="1">IFERROR(VLOOKUP(H$2,Rango_Admin_DailyPred,MATCH($F56,Rango_Admin_DailyPred_Primera,0)+1,0),"-")</f>
        <v>0</v>
      </c>
      <c r="I56" s="429">
        <f ca="1">IFERROR(VLOOKUP(I$2,Rango_Admin_DailyPred,MATCH($F56,Rango_Admin_DailyPred_Primera,0)+1,0),"-")</f>
        <v>0</v>
      </c>
      <c r="J56" s="429">
        <f ca="1">IFERROR(VLOOKUP(J$2,Rango_Admin_DailyPred,MATCH($F56,Rango_Admin_DailyPred_Primera,0)+1,0),"-")</f>
        <v>0</v>
      </c>
      <c r="K56" s="429">
        <f ca="1">IFERROR(VLOOKUP(K$2,Rango_Admin_DailyPred,MATCH($F56,Rango_Admin_DailyPred_Primera,0)+1,0),"-")</f>
        <v>0</v>
      </c>
      <c r="L56" s="429">
        <f ca="1">IFERROR(VLOOKUP(L$2,Rango_Admin_DailyPred,MATCH($F56,Rango_Admin_DailyPred_Primera,0)+1,0),"-")</f>
        <v>0</v>
      </c>
      <c r="M56" s="429">
        <f ca="1">IFERROR(VLOOKUP(M$2,Rango_Admin_DailyPred,MATCH($F56,Rango_Admin_DailyPred_Primera,0)+1,0),"-")</f>
        <v>0</v>
      </c>
      <c r="N56" s="429">
        <f ca="1">IFERROR(VLOOKUP(N$2,Rango_Admin_DailyPred,MATCH($F56,Rango_Admin_DailyPred_Primera,0)+1,0),"-")</f>
        <v>0</v>
      </c>
      <c r="O56" s="429">
        <f ca="1">IFERROR(VLOOKUP(O$2,Rango_Admin_DailyPred,MATCH($F56,Rango_Admin_DailyPred_Primera,0)+1,0),"-")</f>
        <v>0</v>
      </c>
      <c r="P56" s="429">
        <f ca="1">IFERROR(VLOOKUP(P$2,Rango_Admin_DailyPred,MATCH($F56,Rango_Admin_DailyPred_Primera,0)+1,0),"-")</f>
        <v>0</v>
      </c>
      <c r="Q56" s="429">
        <f ca="1">IFERROR(VLOOKUP(Q$2,Rango_Admin_DailyPred,MATCH($F56,Rango_Admin_DailyPred_Primera,0)+1,0),"-")</f>
        <v>0</v>
      </c>
      <c r="R56" s="429">
        <f ca="1">IFERROR(VLOOKUP(R$2,Rango_Admin_DailyPred,MATCH($F56,Rango_Admin_DailyPred_Primera,0)+1,0),"-")</f>
        <v>0</v>
      </c>
      <c r="S56" s="429" t="str">
        <f ca="1">IFERROR(VLOOKUP(S$2,Rango_Admin_DailyPred,MATCH($F56,Rango_Admin_DailyPred_Primera,0)+1,0),"-")</f>
        <v>-</v>
      </c>
      <c r="T56" s="429" t="str">
        <f ca="1">IFERROR(VLOOKUP(T$2,Rango_Admin_DailyPred,MATCH($F56,Rango_Admin_DailyPred_Primera,0)+1,0),"-")</f>
        <v>-</v>
      </c>
      <c r="U56" s="429" t="str">
        <f ca="1">IFERROR(VLOOKUP(U$2,Rango_Admin_DailyPred,MATCH($F56,Rango_Admin_DailyPred_Primera,0)+1,0),"-")</f>
        <v>-</v>
      </c>
      <c r="V56" s="429" t="str">
        <f ca="1">IFERROR(VLOOKUP(V$2,Rango_Admin_DailyPred,MATCH($F56,Rango_Admin_DailyPred_Primera,0)+1,0),"-")</f>
        <v>-</v>
      </c>
      <c r="W56" s="429" t="str">
        <f ca="1">IFERROR(VLOOKUP(W$2,Rango_Admin_DailyPred,MATCH($F56,Rango_Admin_DailyPred_Primera,0)+1,0),"-")</f>
        <v>-</v>
      </c>
      <c r="X56" s="429" t="str">
        <f ca="1">IFERROR(VLOOKUP(X$2,Rango_Admin_DailyPred,MATCH($F56,Rango_Admin_DailyPred_Primera,0)+1,0),"-")</f>
        <v>-</v>
      </c>
      <c r="Y56" s="429" t="str">
        <f ca="1">IFERROR(VLOOKUP(Y$2,Rango_Admin_DailyPred,MATCH($F56,Rango_Admin_DailyPred_Primera,0)+1,0),"-")</f>
        <v>-</v>
      </c>
      <c r="Z56" s="429" t="str">
        <f ca="1">IFERROR(VLOOKUP(Z$2,Rango_Admin_DailyPred,MATCH($F56,Rango_Admin_DailyPred_Primera,0)+1,0),"-")</f>
        <v>-</v>
      </c>
      <c r="AA56" s="429" t="str">
        <f ca="1">IFERROR(VLOOKUP(AA$2,Rango_Admin_DailyPred,MATCH($F56,Rango_Admin_DailyPred_Primera,0)+1,0),"-")</f>
        <v>-</v>
      </c>
      <c r="AB56" s="429" t="str">
        <f ca="1">IFERROR(VLOOKUP(AB$2,Rango_Admin_DailyPred,MATCH($F56,Rango_Admin_DailyPred_Primera,0)+1,0),"-")</f>
        <v>-</v>
      </c>
      <c r="AC56" s="429" t="str">
        <f ca="1">IFERROR(VLOOKUP(AC$2,Rango_Admin_DailyPred,MATCH($F56,Rango_Admin_DailyPred_Primera,0)+1,0),"-")</f>
        <v>-</v>
      </c>
      <c r="AD56" s="429" t="str">
        <f ca="1">IFERROR(VLOOKUP(AD$2,Rango_Admin_DailyPred,MATCH($F56,Rango_Admin_DailyPred_Primera,0)+1,0),"-")</f>
        <v>-</v>
      </c>
      <c r="AE56" s="429" t="str">
        <f ca="1">IFERROR(VLOOKUP(AE$2,Rango_Admin_DailyPred,MATCH($F56,Rango_Admin_DailyPred_Primera,0)+1,0),"-")</f>
        <v>-</v>
      </c>
      <c r="AF56" s="429" t="str">
        <f ca="1">IFERROR(VLOOKUP(AF$2,Rango_Admin_DailyPred,MATCH($F56,Rango_Admin_DailyPred_Primera,0)+1,0),"-")</f>
        <v>-</v>
      </c>
      <c r="AG56" s="429" t="str">
        <f ca="1">IFERROR(VLOOKUP(AG$2,Rango_Admin_DailyPred,MATCH($F56,Rango_Admin_DailyPred_Primera,0)+1,0),"-")</f>
        <v>-</v>
      </c>
      <c r="AH56" s="429" t="str">
        <f ca="1">IFERROR(VLOOKUP(AH$2,Rango_Admin_DailyPred,MATCH($F56,Rango_Admin_DailyPred_Primera,0)+1,0),"-")</f>
        <v>-</v>
      </c>
      <c r="AI56" s="429" t="str">
        <f ca="1">IFERROR(VLOOKUP(AI$2,Rango_Admin_DailyPred,MATCH($F56,Rango_Admin_DailyPred_Primera,0)+1,0),"-")</f>
        <v>-</v>
      </c>
      <c r="AJ56" s="429" t="str">
        <f ca="1">IFERROR(VLOOKUP(AJ$2,Rango_Admin_DailyPred,MATCH($F56,Rango_Admin_DailyPred_Primera,0)+1,0),"-")</f>
        <v>-</v>
      </c>
      <c r="AK56" s="429" t="str">
        <f ca="1">IFERROR(VLOOKUP(AK$2,Rango_Admin_DailyPred,MATCH($F56,Rango_Admin_DailyPred_Primera,0)+1,0),"-")</f>
        <v>-</v>
      </c>
      <c r="AL56" s="429" t="str">
        <f ca="1">IFERROR(VLOOKUP(AL$2,Rango_Admin_DailyPred,MATCH($F56,Rango_Admin_DailyPred_Primera,0)+1,0),"-")</f>
        <v>-</v>
      </c>
      <c r="AM56" s="429" t="str">
        <f ca="1">IFERROR(VLOOKUP(AM$2,Rango_Admin_DailyPred,MATCH($F56,Rango_Admin_DailyPred_Primera,0)+1,0),"-")</f>
        <v>-</v>
      </c>
      <c r="AN56" s="297"/>
    </row>
    <row r="57" spans="1:40">
      <c r="A57" s="8"/>
      <c r="B57" s="8"/>
      <c r="C57" s="8">
        <v>54</v>
      </c>
      <c r="D57" s="19"/>
      <c r="E57" s="409">
        <f ca="1">IFERROR(HLOOKUP(C57,Rango_Admin_DailyClas,3,FALSE),"-")</f>
        <v>48</v>
      </c>
      <c r="F57" s="448" t="str">
        <f ca="1">IFERROR(HLOOKUP(C57,Rango_Admin_DailyClas,5,FALSE),"-")</f>
        <v>Tom Westendorp</v>
      </c>
      <c r="G57" s="22">
        <f ca="1">IFERROR(HLOOKUP(C57,Rango_Admin_DailyClas,4,FALSE),"-")</f>
        <v>0</v>
      </c>
      <c r="H57" s="429">
        <f ca="1">IFERROR(VLOOKUP(H$2,Rango_Admin_DailyPred,MATCH($F57,Rango_Admin_DailyPred_Primera,0)+1,0),"-")</f>
        <v>0</v>
      </c>
      <c r="I57" s="429">
        <f ca="1">IFERROR(VLOOKUP(I$2,Rango_Admin_DailyPred,MATCH($F57,Rango_Admin_DailyPred_Primera,0)+1,0),"-")</f>
        <v>0</v>
      </c>
      <c r="J57" s="429">
        <f ca="1">IFERROR(VLOOKUP(J$2,Rango_Admin_DailyPred,MATCH($F57,Rango_Admin_DailyPred_Primera,0)+1,0),"-")</f>
        <v>0</v>
      </c>
      <c r="K57" s="429">
        <f ca="1">IFERROR(VLOOKUP(K$2,Rango_Admin_DailyPred,MATCH($F57,Rango_Admin_DailyPred_Primera,0)+1,0),"-")</f>
        <v>0</v>
      </c>
      <c r="L57" s="429">
        <f ca="1">IFERROR(VLOOKUP(L$2,Rango_Admin_DailyPred,MATCH($F57,Rango_Admin_DailyPred_Primera,0)+1,0),"-")</f>
        <v>0</v>
      </c>
      <c r="M57" s="429">
        <f ca="1">IFERROR(VLOOKUP(M$2,Rango_Admin_DailyPred,MATCH($F57,Rango_Admin_DailyPred_Primera,0)+1,0),"-")</f>
        <v>0</v>
      </c>
      <c r="N57" s="429">
        <f ca="1">IFERROR(VLOOKUP(N$2,Rango_Admin_DailyPred,MATCH($F57,Rango_Admin_DailyPred_Primera,0)+1,0),"-")</f>
        <v>0</v>
      </c>
      <c r="O57" s="429">
        <f ca="1">IFERROR(VLOOKUP(O$2,Rango_Admin_DailyPred,MATCH($F57,Rango_Admin_DailyPred_Primera,0)+1,0),"-")</f>
        <v>0</v>
      </c>
      <c r="P57" s="429">
        <f ca="1">IFERROR(VLOOKUP(P$2,Rango_Admin_DailyPred,MATCH($F57,Rango_Admin_DailyPred_Primera,0)+1,0),"-")</f>
        <v>0</v>
      </c>
      <c r="Q57" s="429">
        <f ca="1">IFERROR(VLOOKUP(Q$2,Rango_Admin_DailyPred,MATCH($F57,Rango_Admin_DailyPred_Primera,0)+1,0),"-")</f>
        <v>0</v>
      </c>
      <c r="R57" s="429">
        <f ca="1">IFERROR(VLOOKUP(R$2,Rango_Admin_DailyPred,MATCH($F57,Rango_Admin_DailyPred_Primera,0)+1,0),"-")</f>
        <v>0</v>
      </c>
      <c r="S57" s="429" t="str">
        <f ca="1">IFERROR(VLOOKUP(S$2,Rango_Admin_DailyPred,MATCH($F57,Rango_Admin_DailyPred_Primera,0)+1,0),"-")</f>
        <v>-</v>
      </c>
      <c r="T57" s="429" t="str">
        <f ca="1">IFERROR(VLOOKUP(T$2,Rango_Admin_DailyPred,MATCH($F57,Rango_Admin_DailyPred_Primera,0)+1,0),"-")</f>
        <v>-</v>
      </c>
      <c r="U57" s="429" t="str">
        <f ca="1">IFERROR(VLOOKUP(U$2,Rango_Admin_DailyPred,MATCH($F57,Rango_Admin_DailyPred_Primera,0)+1,0),"-")</f>
        <v>-</v>
      </c>
      <c r="V57" s="429" t="str">
        <f ca="1">IFERROR(VLOOKUP(V$2,Rango_Admin_DailyPred,MATCH($F57,Rango_Admin_DailyPred_Primera,0)+1,0),"-")</f>
        <v>-</v>
      </c>
      <c r="W57" s="429" t="str">
        <f ca="1">IFERROR(VLOOKUP(W$2,Rango_Admin_DailyPred,MATCH($F57,Rango_Admin_DailyPred_Primera,0)+1,0),"-")</f>
        <v>-</v>
      </c>
      <c r="X57" s="429" t="str">
        <f ca="1">IFERROR(VLOOKUP(X$2,Rango_Admin_DailyPred,MATCH($F57,Rango_Admin_DailyPred_Primera,0)+1,0),"-")</f>
        <v>-</v>
      </c>
      <c r="Y57" s="429" t="str">
        <f ca="1">IFERROR(VLOOKUP(Y$2,Rango_Admin_DailyPred,MATCH($F57,Rango_Admin_DailyPred_Primera,0)+1,0),"-")</f>
        <v>-</v>
      </c>
      <c r="Z57" s="429" t="str">
        <f ca="1">IFERROR(VLOOKUP(Z$2,Rango_Admin_DailyPred,MATCH($F57,Rango_Admin_DailyPred_Primera,0)+1,0),"-")</f>
        <v>-</v>
      </c>
      <c r="AA57" s="429" t="str">
        <f ca="1">IFERROR(VLOOKUP(AA$2,Rango_Admin_DailyPred,MATCH($F57,Rango_Admin_DailyPred_Primera,0)+1,0),"-")</f>
        <v>-</v>
      </c>
      <c r="AB57" s="429" t="str">
        <f ca="1">IFERROR(VLOOKUP(AB$2,Rango_Admin_DailyPred,MATCH($F57,Rango_Admin_DailyPred_Primera,0)+1,0),"-")</f>
        <v>-</v>
      </c>
      <c r="AC57" s="429" t="str">
        <f ca="1">IFERROR(VLOOKUP(AC$2,Rango_Admin_DailyPred,MATCH($F57,Rango_Admin_DailyPred_Primera,0)+1,0),"-")</f>
        <v>-</v>
      </c>
      <c r="AD57" s="429" t="str">
        <f ca="1">IFERROR(VLOOKUP(AD$2,Rango_Admin_DailyPred,MATCH($F57,Rango_Admin_DailyPred_Primera,0)+1,0),"-")</f>
        <v>-</v>
      </c>
      <c r="AE57" s="429" t="str">
        <f ca="1">IFERROR(VLOOKUP(AE$2,Rango_Admin_DailyPred,MATCH($F57,Rango_Admin_DailyPred_Primera,0)+1,0),"-")</f>
        <v>-</v>
      </c>
      <c r="AF57" s="429" t="str">
        <f ca="1">IFERROR(VLOOKUP(AF$2,Rango_Admin_DailyPred,MATCH($F57,Rango_Admin_DailyPred_Primera,0)+1,0),"-")</f>
        <v>-</v>
      </c>
      <c r="AG57" s="429" t="str">
        <f ca="1">IFERROR(VLOOKUP(AG$2,Rango_Admin_DailyPred,MATCH($F57,Rango_Admin_DailyPred_Primera,0)+1,0),"-")</f>
        <v>-</v>
      </c>
      <c r="AH57" s="429" t="str">
        <f ca="1">IFERROR(VLOOKUP(AH$2,Rango_Admin_DailyPred,MATCH($F57,Rango_Admin_DailyPred_Primera,0)+1,0),"-")</f>
        <v>-</v>
      </c>
      <c r="AI57" s="429" t="str">
        <f ca="1">IFERROR(VLOOKUP(AI$2,Rango_Admin_DailyPred,MATCH($F57,Rango_Admin_DailyPred_Primera,0)+1,0),"-")</f>
        <v>-</v>
      </c>
      <c r="AJ57" s="429" t="str">
        <f ca="1">IFERROR(VLOOKUP(AJ$2,Rango_Admin_DailyPred,MATCH($F57,Rango_Admin_DailyPred_Primera,0)+1,0),"-")</f>
        <v>-</v>
      </c>
      <c r="AK57" s="429" t="str">
        <f ca="1">IFERROR(VLOOKUP(AK$2,Rango_Admin_DailyPred,MATCH($F57,Rango_Admin_DailyPred_Primera,0)+1,0),"-")</f>
        <v>-</v>
      </c>
      <c r="AL57" s="429" t="str">
        <f ca="1">IFERROR(VLOOKUP(AL$2,Rango_Admin_DailyPred,MATCH($F57,Rango_Admin_DailyPred_Primera,0)+1,0),"-")</f>
        <v>-</v>
      </c>
      <c r="AM57" s="429" t="str">
        <f ca="1">IFERROR(VLOOKUP(AM$2,Rango_Admin_DailyPred,MATCH($F57,Rango_Admin_DailyPred_Primera,0)+1,0),"-")</f>
        <v>-</v>
      </c>
      <c r="AN57" s="297"/>
    </row>
    <row r="58" spans="1:40">
      <c r="A58" s="8"/>
      <c r="B58" s="8"/>
      <c r="C58" s="8">
        <v>55</v>
      </c>
      <c r="D58" s="19"/>
      <c r="E58" s="409">
        <f ca="1">IFERROR(HLOOKUP(C58,Rango_Admin_DailyClas,3,FALSE),"-")</f>
        <v>48</v>
      </c>
      <c r="F58" s="448" t="str">
        <f ca="1">IFERROR(HLOOKUP(C58,Rango_Admin_DailyClas,5,FALSE),"-")</f>
        <v>Rita Vermeer</v>
      </c>
      <c r="G58" s="22">
        <f ca="1">IFERROR(HLOOKUP(C58,Rango_Admin_DailyClas,4,FALSE),"-")</f>
        <v>0</v>
      </c>
      <c r="H58" s="429">
        <f ca="1">IFERROR(VLOOKUP(H$2,Rango_Admin_DailyPred,MATCH($F58,Rango_Admin_DailyPred_Primera,0)+1,0),"-")</f>
        <v>0</v>
      </c>
      <c r="I58" s="429">
        <f ca="1">IFERROR(VLOOKUP(I$2,Rango_Admin_DailyPred,MATCH($F58,Rango_Admin_DailyPred_Primera,0)+1,0),"-")</f>
        <v>0</v>
      </c>
      <c r="J58" s="429">
        <f ca="1">IFERROR(VLOOKUP(J$2,Rango_Admin_DailyPred,MATCH($F58,Rango_Admin_DailyPred_Primera,0)+1,0),"-")</f>
        <v>0</v>
      </c>
      <c r="K58" s="429">
        <f ca="1">IFERROR(VLOOKUP(K$2,Rango_Admin_DailyPred,MATCH($F58,Rango_Admin_DailyPred_Primera,0)+1,0),"-")</f>
        <v>0</v>
      </c>
      <c r="L58" s="429">
        <f ca="1">IFERROR(VLOOKUP(L$2,Rango_Admin_DailyPred,MATCH($F58,Rango_Admin_DailyPred_Primera,0)+1,0),"-")</f>
        <v>0</v>
      </c>
      <c r="M58" s="429">
        <f ca="1">IFERROR(VLOOKUP(M$2,Rango_Admin_DailyPred,MATCH($F58,Rango_Admin_DailyPred_Primera,0)+1,0),"-")</f>
        <v>0</v>
      </c>
      <c r="N58" s="429">
        <f ca="1">IFERROR(VLOOKUP(N$2,Rango_Admin_DailyPred,MATCH($F58,Rango_Admin_DailyPred_Primera,0)+1,0),"-")</f>
        <v>0</v>
      </c>
      <c r="O58" s="429">
        <f ca="1">IFERROR(VLOOKUP(O$2,Rango_Admin_DailyPred,MATCH($F58,Rango_Admin_DailyPred_Primera,0)+1,0),"-")</f>
        <v>0</v>
      </c>
      <c r="P58" s="429">
        <f ca="1">IFERROR(VLOOKUP(P$2,Rango_Admin_DailyPred,MATCH($F58,Rango_Admin_DailyPred_Primera,0)+1,0),"-")</f>
        <v>0</v>
      </c>
      <c r="Q58" s="429">
        <f ca="1">IFERROR(VLOOKUP(Q$2,Rango_Admin_DailyPred,MATCH($F58,Rango_Admin_DailyPred_Primera,0)+1,0),"-")</f>
        <v>0</v>
      </c>
      <c r="R58" s="429">
        <f ca="1">IFERROR(VLOOKUP(R$2,Rango_Admin_DailyPred,MATCH($F58,Rango_Admin_DailyPred_Primera,0)+1,0),"-")</f>
        <v>0</v>
      </c>
      <c r="S58" s="429" t="str">
        <f ca="1">IFERROR(VLOOKUP(S$2,Rango_Admin_DailyPred,MATCH($F58,Rango_Admin_DailyPred_Primera,0)+1,0),"-")</f>
        <v>-</v>
      </c>
      <c r="T58" s="429" t="str">
        <f ca="1">IFERROR(VLOOKUP(T$2,Rango_Admin_DailyPred,MATCH($F58,Rango_Admin_DailyPred_Primera,0)+1,0),"-")</f>
        <v>-</v>
      </c>
      <c r="U58" s="429" t="str">
        <f ca="1">IFERROR(VLOOKUP(U$2,Rango_Admin_DailyPred,MATCH($F58,Rango_Admin_DailyPred_Primera,0)+1,0),"-")</f>
        <v>-</v>
      </c>
      <c r="V58" s="429" t="str">
        <f ca="1">IFERROR(VLOOKUP(V$2,Rango_Admin_DailyPred,MATCH($F58,Rango_Admin_DailyPred_Primera,0)+1,0),"-")</f>
        <v>-</v>
      </c>
      <c r="W58" s="429" t="str">
        <f ca="1">IFERROR(VLOOKUP(W$2,Rango_Admin_DailyPred,MATCH($F58,Rango_Admin_DailyPred_Primera,0)+1,0),"-")</f>
        <v>-</v>
      </c>
      <c r="X58" s="429" t="str">
        <f ca="1">IFERROR(VLOOKUP(X$2,Rango_Admin_DailyPred,MATCH($F58,Rango_Admin_DailyPred_Primera,0)+1,0),"-")</f>
        <v>-</v>
      </c>
      <c r="Y58" s="429" t="str">
        <f ca="1">IFERROR(VLOOKUP(Y$2,Rango_Admin_DailyPred,MATCH($F58,Rango_Admin_DailyPred_Primera,0)+1,0),"-")</f>
        <v>-</v>
      </c>
      <c r="Z58" s="429" t="str">
        <f ca="1">IFERROR(VLOOKUP(Z$2,Rango_Admin_DailyPred,MATCH($F58,Rango_Admin_DailyPred_Primera,0)+1,0),"-")</f>
        <v>-</v>
      </c>
      <c r="AA58" s="429" t="str">
        <f ca="1">IFERROR(VLOOKUP(AA$2,Rango_Admin_DailyPred,MATCH($F58,Rango_Admin_DailyPred_Primera,0)+1,0),"-")</f>
        <v>-</v>
      </c>
      <c r="AB58" s="429" t="str">
        <f ca="1">IFERROR(VLOOKUP(AB$2,Rango_Admin_DailyPred,MATCH($F58,Rango_Admin_DailyPred_Primera,0)+1,0),"-")</f>
        <v>-</v>
      </c>
      <c r="AC58" s="429" t="str">
        <f ca="1">IFERROR(VLOOKUP(AC$2,Rango_Admin_DailyPred,MATCH($F58,Rango_Admin_DailyPred_Primera,0)+1,0),"-")</f>
        <v>-</v>
      </c>
      <c r="AD58" s="429" t="str">
        <f ca="1">IFERROR(VLOOKUP(AD$2,Rango_Admin_DailyPred,MATCH($F58,Rango_Admin_DailyPred_Primera,0)+1,0),"-")</f>
        <v>-</v>
      </c>
      <c r="AE58" s="429" t="str">
        <f ca="1">IFERROR(VLOOKUP(AE$2,Rango_Admin_DailyPred,MATCH($F58,Rango_Admin_DailyPred_Primera,0)+1,0),"-")</f>
        <v>-</v>
      </c>
      <c r="AF58" s="429" t="str">
        <f ca="1">IFERROR(VLOOKUP(AF$2,Rango_Admin_DailyPred,MATCH($F58,Rango_Admin_DailyPred_Primera,0)+1,0),"-")</f>
        <v>-</v>
      </c>
      <c r="AG58" s="429" t="str">
        <f ca="1">IFERROR(VLOOKUP(AG$2,Rango_Admin_DailyPred,MATCH($F58,Rango_Admin_DailyPred_Primera,0)+1,0),"-")</f>
        <v>-</v>
      </c>
      <c r="AH58" s="429" t="str">
        <f ca="1">IFERROR(VLOOKUP(AH$2,Rango_Admin_DailyPred,MATCH($F58,Rango_Admin_DailyPred_Primera,0)+1,0),"-")</f>
        <v>-</v>
      </c>
      <c r="AI58" s="429" t="str">
        <f ca="1">IFERROR(VLOOKUP(AI$2,Rango_Admin_DailyPred,MATCH($F58,Rango_Admin_DailyPred_Primera,0)+1,0),"-")</f>
        <v>-</v>
      </c>
      <c r="AJ58" s="429" t="str">
        <f ca="1">IFERROR(VLOOKUP(AJ$2,Rango_Admin_DailyPred,MATCH($F58,Rango_Admin_DailyPred_Primera,0)+1,0),"-")</f>
        <v>-</v>
      </c>
      <c r="AK58" s="429" t="str">
        <f ca="1">IFERROR(VLOOKUP(AK$2,Rango_Admin_DailyPred,MATCH($F58,Rango_Admin_DailyPred_Primera,0)+1,0),"-")</f>
        <v>-</v>
      </c>
      <c r="AL58" s="429" t="str">
        <f ca="1">IFERROR(VLOOKUP(AL$2,Rango_Admin_DailyPred,MATCH($F58,Rango_Admin_DailyPred_Primera,0)+1,0),"-")</f>
        <v>-</v>
      </c>
      <c r="AM58" s="429" t="str">
        <f ca="1">IFERROR(VLOOKUP(AM$2,Rango_Admin_DailyPred,MATCH($F58,Rango_Admin_DailyPred_Primera,0)+1,0),"-")</f>
        <v>-</v>
      </c>
      <c r="AN58" s="297"/>
    </row>
    <row r="59" spans="1:40">
      <c r="A59" s="8"/>
      <c r="B59" s="8"/>
      <c r="C59" s="8">
        <v>56</v>
      </c>
      <c r="D59" s="19"/>
      <c r="E59" s="409">
        <f ca="1">IFERROR(HLOOKUP(C59,Rango_Admin_DailyClas,3,FALSE),"-")</f>
        <v>48</v>
      </c>
      <c r="F59" s="448" t="str">
        <f ca="1">IFERROR(HLOOKUP(C59,Rango_Admin_DailyClas,5,FALSE),"-")</f>
        <v>Niek Slots</v>
      </c>
      <c r="G59" s="22">
        <f ca="1">IFERROR(HLOOKUP(C59,Rango_Admin_DailyClas,4,FALSE),"-")</f>
        <v>0</v>
      </c>
      <c r="H59" s="429">
        <f ca="1">IFERROR(VLOOKUP(H$2,Rango_Admin_DailyPred,MATCH($F59,Rango_Admin_DailyPred_Primera,0)+1,0),"-")</f>
        <v>0</v>
      </c>
      <c r="I59" s="429">
        <f ca="1">IFERROR(VLOOKUP(I$2,Rango_Admin_DailyPred,MATCH($F59,Rango_Admin_DailyPred_Primera,0)+1,0),"-")</f>
        <v>0</v>
      </c>
      <c r="J59" s="429">
        <f ca="1">IFERROR(VLOOKUP(J$2,Rango_Admin_DailyPred,MATCH($F59,Rango_Admin_DailyPred_Primera,0)+1,0),"-")</f>
        <v>0</v>
      </c>
      <c r="K59" s="429">
        <f ca="1">IFERROR(VLOOKUP(K$2,Rango_Admin_DailyPred,MATCH($F59,Rango_Admin_DailyPred_Primera,0)+1,0),"-")</f>
        <v>0</v>
      </c>
      <c r="L59" s="429">
        <f ca="1">IFERROR(VLOOKUP(L$2,Rango_Admin_DailyPred,MATCH($F59,Rango_Admin_DailyPred_Primera,0)+1,0),"-")</f>
        <v>0</v>
      </c>
      <c r="M59" s="429">
        <f ca="1">IFERROR(VLOOKUP(M$2,Rango_Admin_DailyPred,MATCH($F59,Rango_Admin_DailyPred_Primera,0)+1,0),"-")</f>
        <v>0</v>
      </c>
      <c r="N59" s="429">
        <f ca="1">IFERROR(VLOOKUP(N$2,Rango_Admin_DailyPred,MATCH($F59,Rango_Admin_DailyPred_Primera,0)+1,0),"-")</f>
        <v>0</v>
      </c>
      <c r="O59" s="429">
        <f ca="1">IFERROR(VLOOKUP(O$2,Rango_Admin_DailyPred,MATCH($F59,Rango_Admin_DailyPred_Primera,0)+1,0),"-")</f>
        <v>0</v>
      </c>
      <c r="P59" s="429">
        <f ca="1">IFERROR(VLOOKUP(P$2,Rango_Admin_DailyPred,MATCH($F59,Rango_Admin_DailyPred_Primera,0)+1,0),"-")</f>
        <v>0</v>
      </c>
      <c r="Q59" s="429">
        <f ca="1">IFERROR(VLOOKUP(Q$2,Rango_Admin_DailyPred,MATCH($F59,Rango_Admin_DailyPred_Primera,0)+1,0),"-")</f>
        <v>0</v>
      </c>
      <c r="R59" s="429">
        <f ca="1">IFERROR(VLOOKUP(R$2,Rango_Admin_DailyPred,MATCH($F59,Rango_Admin_DailyPred_Primera,0)+1,0),"-")</f>
        <v>0</v>
      </c>
      <c r="S59" s="429" t="str">
        <f ca="1">IFERROR(VLOOKUP(S$2,Rango_Admin_DailyPred,MATCH($F59,Rango_Admin_DailyPred_Primera,0)+1,0),"-")</f>
        <v>-</v>
      </c>
      <c r="T59" s="429" t="str">
        <f ca="1">IFERROR(VLOOKUP(T$2,Rango_Admin_DailyPred,MATCH($F59,Rango_Admin_DailyPred_Primera,0)+1,0),"-")</f>
        <v>-</v>
      </c>
      <c r="U59" s="429" t="str">
        <f ca="1">IFERROR(VLOOKUP(U$2,Rango_Admin_DailyPred,MATCH($F59,Rango_Admin_DailyPred_Primera,0)+1,0),"-")</f>
        <v>-</v>
      </c>
      <c r="V59" s="429" t="str">
        <f ca="1">IFERROR(VLOOKUP(V$2,Rango_Admin_DailyPred,MATCH($F59,Rango_Admin_DailyPred_Primera,0)+1,0),"-")</f>
        <v>-</v>
      </c>
      <c r="W59" s="429" t="str">
        <f ca="1">IFERROR(VLOOKUP(W$2,Rango_Admin_DailyPred,MATCH($F59,Rango_Admin_DailyPred_Primera,0)+1,0),"-")</f>
        <v>-</v>
      </c>
      <c r="X59" s="429" t="str">
        <f ca="1">IFERROR(VLOOKUP(X$2,Rango_Admin_DailyPred,MATCH($F59,Rango_Admin_DailyPred_Primera,0)+1,0),"-")</f>
        <v>-</v>
      </c>
      <c r="Y59" s="429" t="str">
        <f ca="1">IFERROR(VLOOKUP(Y$2,Rango_Admin_DailyPred,MATCH($F59,Rango_Admin_DailyPred_Primera,0)+1,0),"-")</f>
        <v>-</v>
      </c>
      <c r="Z59" s="429" t="str">
        <f ca="1">IFERROR(VLOOKUP(Z$2,Rango_Admin_DailyPred,MATCH($F59,Rango_Admin_DailyPred_Primera,0)+1,0),"-")</f>
        <v>-</v>
      </c>
      <c r="AA59" s="429" t="str">
        <f ca="1">IFERROR(VLOOKUP(AA$2,Rango_Admin_DailyPred,MATCH($F59,Rango_Admin_DailyPred_Primera,0)+1,0),"-")</f>
        <v>-</v>
      </c>
      <c r="AB59" s="429" t="str">
        <f ca="1">IFERROR(VLOOKUP(AB$2,Rango_Admin_DailyPred,MATCH($F59,Rango_Admin_DailyPred_Primera,0)+1,0),"-")</f>
        <v>-</v>
      </c>
      <c r="AC59" s="429" t="str">
        <f ca="1">IFERROR(VLOOKUP(AC$2,Rango_Admin_DailyPred,MATCH($F59,Rango_Admin_DailyPred_Primera,0)+1,0),"-")</f>
        <v>-</v>
      </c>
      <c r="AD59" s="429" t="str">
        <f ca="1">IFERROR(VLOOKUP(AD$2,Rango_Admin_DailyPred,MATCH($F59,Rango_Admin_DailyPred_Primera,0)+1,0),"-")</f>
        <v>-</v>
      </c>
      <c r="AE59" s="429" t="str">
        <f ca="1">IFERROR(VLOOKUP(AE$2,Rango_Admin_DailyPred,MATCH($F59,Rango_Admin_DailyPred_Primera,0)+1,0),"-")</f>
        <v>-</v>
      </c>
      <c r="AF59" s="429" t="str">
        <f ca="1">IFERROR(VLOOKUP(AF$2,Rango_Admin_DailyPred,MATCH($F59,Rango_Admin_DailyPred_Primera,0)+1,0),"-")</f>
        <v>-</v>
      </c>
      <c r="AG59" s="429" t="str">
        <f ca="1">IFERROR(VLOOKUP(AG$2,Rango_Admin_DailyPred,MATCH($F59,Rango_Admin_DailyPred_Primera,0)+1,0),"-")</f>
        <v>-</v>
      </c>
      <c r="AH59" s="429" t="str">
        <f ca="1">IFERROR(VLOOKUP(AH$2,Rango_Admin_DailyPred,MATCH($F59,Rango_Admin_DailyPred_Primera,0)+1,0),"-")</f>
        <v>-</v>
      </c>
      <c r="AI59" s="429" t="str">
        <f ca="1">IFERROR(VLOOKUP(AI$2,Rango_Admin_DailyPred,MATCH($F59,Rango_Admin_DailyPred_Primera,0)+1,0),"-")</f>
        <v>-</v>
      </c>
      <c r="AJ59" s="429" t="str">
        <f ca="1">IFERROR(VLOOKUP(AJ$2,Rango_Admin_DailyPred,MATCH($F59,Rango_Admin_DailyPred_Primera,0)+1,0),"-")</f>
        <v>-</v>
      </c>
      <c r="AK59" s="429" t="str">
        <f ca="1">IFERROR(VLOOKUP(AK$2,Rango_Admin_DailyPred,MATCH($F59,Rango_Admin_DailyPred_Primera,0)+1,0),"-")</f>
        <v>-</v>
      </c>
      <c r="AL59" s="429" t="str">
        <f ca="1">IFERROR(VLOOKUP(AL$2,Rango_Admin_DailyPred,MATCH($F59,Rango_Admin_DailyPred_Primera,0)+1,0),"-")</f>
        <v>-</v>
      </c>
      <c r="AM59" s="429" t="str">
        <f ca="1">IFERROR(VLOOKUP(AM$2,Rango_Admin_DailyPred,MATCH($F59,Rango_Admin_DailyPred_Primera,0)+1,0),"-")</f>
        <v>-</v>
      </c>
      <c r="AN59" s="297"/>
    </row>
    <row r="60" spans="1:40">
      <c r="A60" s="8"/>
      <c r="B60" s="8"/>
      <c r="C60" s="8">
        <v>57</v>
      </c>
      <c r="D60" s="19"/>
      <c r="E60" s="409">
        <f ca="1">IFERROR(HLOOKUP(C60,Rango_Admin_DailyClas,3,FALSE),"-")</f>
        <v>48</v>
      </c>
      <c r="F60" s="448" t="str">
        <f ca="1">IFERROR(HLOOKUP(C60,Rango_Admin_DailyClas,5,FALSE),"-")</f>
        <v>Ilonka Zwienenberg</v>
      </c>
      <c r="G60" s="22">
        <f ca="1">IFERROR(HLOOKUP(C60,Rango_Admin_DailyClas,4,FALSE),"-")</f>
        <v>0</v>
      </c>
      <c r="H60" s="429">
        <f ca="1">IFERROR(VLOOKUP(H$2,Rango_Admin_DailyPred,MATCH($F60,Rango_Admin_DailyPred_Primera,0)+1,0),"-")</f>
        <v>0</v>
      </c>
      <c r="I60" s="429">
        <f ca="1">IFERROR(VLOOKUP(I$2,Rango_Admin_DailyPred,MATCH($F60,Rango_Admin_DailyPred_Primera,0)+1,0),"-")</f>
        <v>0</v>
      </c>
      <c r="J60" s="429">
        <f ca="1">IFERROR(VLOOKUP(J$2,Rango_Admin_DailyPred,MATCH($F60,Rango_Admin_DailyPred_Primera,0)+1,0),"-")</f>
        <v>0</v>
      </c>
      <c r="K60" s="429">
        <f ca="1">IFERROR(VLOOKUP(K$2,Rango_Admin_DailyPred,MATCH($F60,Rango_Admin_DailyPred_Primera,0)+1,0),"-")</f>
        <v>0</v>
      </c>
      <c r="L60" s="429">
        <f ca="1">IFERROR(VLOOKUP(L$2,Rango_Admin_DailyPred,MATCH($F60,Rango_Admin_DailyPred_Primera,0)+1,0),"-")</f>
        <v>0</v>
      </c>
      <c r="M60" s="429">
        <f ca="1">IFERROR(VLOOKUP(M$2,Rango_Admin_DailyPred,MATCH($F60,Rango_Admin_DailyPred_Primera,0)+1,0),"-")</f>
        <v>0</v>
      </c>
      <c r="N60" s="429">
        <f ca="1">IFERROR(VLOOKUP(N$2,Rango_Admin_DailyPred,MATCH($F60,Rango_Admin_DailyPred_Primera,0)+1,0),"-")</f>
        <v>0</v>
      </c>
      <c r="O60" s="429">
        <f ca="1">IFERROR(VLOOKUP(O$2,Rango_Admin_DailyPred,MATCH($F60,Rango_Admin_DailyPred_Primera,0)+1,0),"-")</f>
        <v>0</v>
      </c>
      <c r="P60" s="429">
        <f ca="1">IFERROR(VLOOKUP(P$2,Rango_Admin_DailyPred,MATCH($F60,Rango_Admin_DailyPred_Primera,0)+1,0),"-")</f>
        <v>0</v>
      </c>
      <c r="Q60" s="429">
        <f ca="1">IFERROR(VLOOKUP(Q$2,Rango_Admin_DailyPred,MATCH($F60,Rango_Admin_DailyPred_Primera,0)+1,0),"-")</f>
        <v>0</v>
      </c>
      <c r="R60" s="429">
        <f ca="1">IFERROR(VLOOKUP(R$2,Rango_Admin_DailyPred,MATCH($F60,Rango_Admin_DailyPred_Primera,0)+1,0),"-")</f>
        <v>0</v>
      </c>
      <c r="S60" s="429" t="str">
        <f ca="1">IFERROR(VLOOKUP(S$2,Rango_Admin_DailyPred,MATCH($F60,Rango_Admin_DailyPred_Primera,0)+1,0),"-")</f>
        <v>-</v>
      </c>
      <c r="T60" s="429" t="str">
        <f ca="1">IFERROR(VLOOKUP(T$2,Rango_Admin_DailyPred,MATCH($F60,Rango_Admin_DailyPred_Primera,0)+1,0),"-")</f>
        <v>-</v>
      </c>
      <c r="U60" s="429" t="str">
        <f ca="1">IFERROR(VLOOKUP(U$2,Rango_Admin_DailyPred,MATCH($F60,Rango_Admin_DailyPred_Primera,0)+1,0),"-")</f>
        <v>-</v>
      </c>
      <c r="V60" s="429" t="str">
        <f ca="1">IFERROR(VLOOKUP(V$2,Rango_Admin_DailyPred,MATCH($F60,Rango_Admin_DailyPred_Primera,0)+1,0),"-")</f>
        <v>-</v>
      </c>
      <c r="W60" s="429" t="str">
        <f ca="1">IFERROR(VLOOKUP(W$2,Rango_Admin_DailyPred,MATCH($F60,Rango_Admin_DailyPred_Primera,0)+1,0),"-")</f>
        <v>-</v>
      </c>
      <c r="X60" s="429" t="str">
        <f ca="1">IFERROR(VLOOKUP(X$2,Rango_Admin_DailyPred,MATCH($F60,Rango_Admin_DailyPred_Primera,0)+1,0),"-")</f>
        <v>-</v>
      </c>
      <c r="Y60" s="429" t="str">
        <f ca="1">IFERROR(VLOOKUP(Y$2,Rango_Admin_DailyPred,MATCH($F60,Rango_Admin_DailyPred_Primera,0)+1,0),"-")</f>
        <v>-</v>
      </c>
      <c r="Z60" s="429" t="str">
        <f ca="1">IFERROR(VLOOKUP(Z$2,Rango_Admin_DailyPred,MATCH($F60,Rango_Admin_DailyPred_Primera,0)+1,0),"-")</f>
        <v>-</v>
      </c>
      <c r="AA60" s="429" t="str">
        <f ca="1">IFERROR(VLOOKUP(AA$2,Rango_Admin_DailyPred,MATCH($F60,Rango_Admin_DailyPred_Primera,0)+1,0),"-")</f>
        <v>-</v>
      </c>
      <c r="AB60" s="429" t="str">
        <f ca="1">IFERROR(VLOOKUP(AB$2,Rango_Admin_DailyPred,MATCH($F60,Rango_Admin_DailyPred_Primera,0)+1,0),"-")</f>
        <v>-</v>
      </c>
      <c r="AC60" s="429" t="str">
        <f ca="1">IFERROR(VLOOKUP(AC$2,Rango_Admin_DailyPred,MATCH($F60,Rango_Admin_DailyPred_Primera,0)+1,0),"-")</f>
        <v>-</v>
      </c>
      <c r="AD60" s="429" t="str">
        <f ca="1">IFERROR(VLOOKUP(AD$2,Rango_Admin_DailyPred,MATCH($F60,Rango_Admin_DailyPred_Primera,0)+1,0),"-")</f>
        <v>-</v>
      </c>
      <c r="AE60" s="429" t="str">
        <f ca="1">IFERROR(VLOOKUP(AE$2,Rango_Admin_DailyPred,MATCH($F60,Rango_Admin_DailyPred_Primera,0)+1,0),"-")</f>
        <v>-</v>
      </c>
      <c r="AF60" s="429" t="str">
        <f ca="1">IFERROR(VLOOKUP(AF$2,Rango_Admin_DailyPred,MATCH($F60,Rango_Admin_DailyPred_Primera,0)+1,0),"-")</f>
        <v>-</v>
      </c>
      <c r="AG60" s="429" t="str">
        <f ca="1">IFERROR(VLOOKUP(AG$2,Rango_Admin_DailyPred,MATCH($F60,Rango_Admin_DailyPred_Primera,0)+1,0),"-")</f>
        <v>-</v>
      </c>
      <c r="AH60" s="429" t="str">
        <f ca="1">IFERROR(VLOOKUP(AH$2,Rango_Admin_DailyPred,MATCH($F60,Rango_Admin_DailyPred_Primera,0)+1,0),"-")</f>
        <v>-</v>
      </c>
      <c r="AI60" s="429" t="str">
        <f ca="1">IFERROR(VLOOKUP(AI$2,Rango_Admin_DailyPred,MATCH($F60,Rango_Admin_DailyPred_Primera,0)+1,0),"-")</f>
        <v>-</v>
      </c>
      <c r="AJ60" s="429" t="str">
        <f ca="1">IFERROR(VLOOKUP(AJ$2,Rango_Admin_DailyPred,MATCH($F60,Rango_Admin_DailyPred_Primera,0)+1,0),"-")</f>
        <v>-</v>
      </c>
      <c r="AK60" s="429" t="str">
        <f ca="1">IFERROR(VLOOKUP(AK$2,Rango_Admin_DailyPred,MATCH($F60,Rango_Admin_DailyPred_Primera,0)+1,0),"-")</f>
        <v>-</v>
      </c>
      <c r="AL60" s="429" t="str">
        <f ca="1">IFERROR(VLOOKUP(AL$2,Rango_Admin_DailyPred,MATCH($F60,Rango_Admin_DailyPred_Primera,0)+1,0),"-")</f>
        <v>-</v>
      </c>
      <c r="AM60" s="429" t="str">
        <f ca="1">IFERROR(VLOOKUP(AM$2,Rango_Admin_DailyPred,MATCH($F60,Rango_Admin_DailyPred_Primera,0)+1,0),"-")</f>
        <v>-</v>
      </c>
      <c r="AN60" s="297"/>
    </row>
    <row r="61" spans="1:40">
      <c r="A61" s="8"/>
      <c r="B61" s="8"/>
      <c r="C61" s="8">
        <v>58</v>
      </c>
      <c r="D61" s="19"/>
      <c r="E61" s="409">
        <f ca="1">IFERROR(HLOOKUP(C61,Rango_Admin_DailyClas,3,FALSE),"-")</f>
        <v>48</v>
      </c>
      <c r="F61" s="448" t="str">
        <f ca="1">IFERROR(HLOOKUP(C61,Rango_Admin_DailyClas,5,FALSE),"-")</f>
        <v>Marco Aaltink</v>
      </c>
      <c r="G61" s="22">
        <f ca="1">IFERROR(HLOOKUP(C61,Rango_Admin_DailyClas,4,FALSE),"-")</f>
        <v>0</v>
      </c>
      <c r="H61" s="429">
        <f ca="1">IFERROR(VLOOKUP(H$2,Rango_Admin_DailyPred,MATCH($F61,Rango_Admin_DailyPred_Primera,0)+1,0),"-")</f>
        <v>0</v>
      </c>
      <c r="I61" s="429">
        <f ca="1">IFERROR(VLOOKUP(I$2,Rango_Admin_DailyPred,MATCH($F61,Rango_Admin_DailyPred_Primera,0)+1,0),"-")</f>
        <v>0</v>
      </c>
      <c r="J61" s="429">
        <f ca="1">IFERROR(VLOOKUP(J$2,Rango_Admin_DailyPred,MATCH($F61,Rango_Admin_DailyPred_Primera,0)+1,0),"-")</f>
        <v>0</v>
      </c>
      <c r="K61" s="429">
        <f ca="1">IFERROR(VLOOKUP(K$2,Rango_Admin_DailyPred,MATCH($F61,Rango_Admin_DailyPred_Primera,0)+1,0),"-")</f>
        <v>0</v>
      </c>
      <c r="L61" s="429">
        <f ca="1">IFERROR(VLOOKUP(L$2,Rango_Admin_DailyPred,MATCH($F61,Rango_Admin_DailyPred_Primera,0)+1,0),"-")</f>
        <v>0</v>
      </c>
      <c r="M61" s="429">
        <f ca="1">IFERROR(VLOOKUP(M$2,Rango_Admin_DailyPred,MATCH($F61,Rango_Admin_DailyPred_Primera,0)+1,0),"-")</f>
        <v>0</v>
      </c>
      <c r="N61" s="429">
        <f ca="1">IFERROR(VLOOKUP(N$2,Rango_Admin_DailyPred,MATCH($F61,Rango_Admin_DailyPred_Primera,0)+1,0),"-")</f>
        <v>0</v>
      </c>
      <c r="O61" s="429">
        <f ca="1">IFERROR(VLOOKUP(O$2,Rango_Admin_DailyPred,MATCH($F61,Rango_Admin_DailyPred_Primera,0)+1,0),"-")</f>
        <v>0</v>
      </c>
      <c r="P61" s="429">
        <f ca="1">IFERROR(VLOOKUP(P$2,Rango_Admin_DailyPred,MATCH($F61,Rango_Admin_DailyPred_Primera,0)+1,0),"-")</f>
        <v>0</v>
      </c>
      <c r="Q61" s="429">
        <f ca="1">IFERROR(VLOOKUP(Q$2,Rango_Admin_DailyPred,MATCH($F61,Rango_Admin_DailyPred_Primera,0)+1,0),"-")</f>
        <v>0</v>
      </c>
      <c r="R61" s="429">
        <f ca="1">IFERROR(VLOOKUP(R$2,Rango_Admin_DailyPred,MATCH($F61,Rango_Admin_DailyPred_Primera,0)+1,0),"-")</f>
        <v>0</v>
      </c>
      <c r="S61" s="429" t="str">
        <f ca="1">IFERROR(VLOOKUP(S$2,Rango_Admin_DailyPred,MATCH($F61,Rango_Admin_DailyPred_Primera,0)+1,0),"-")</f>
        <v>-</v>
      </c>
      <c r="T61" s="429" t="str">
        <f ca="1">IFERROR(VLOOKUP(T$2,Rango_Admin_DailyPred,MATCH($F61,Rango_Admin_DailyPred_Primera,0)+1,0),"-")</f>
        <v>-</v>
      </c>
      <c r="U61" s="429" t="str">
        <f ca="1">IFERROR(VLOOKUP(U$2,Rango_Admin_DailyPred,MATCH($F61,Rango_Admin_DailyPred_Primera,0)+1,0),"-")</f>
        <v>-</v>
      </c>
      <c r="V61" s="429" t="str">
        <f ca="1">IFERROR(VLOOKUP(V$2,Rango_Admin_DailyPred,MATCH($F61,Rango_Admin_DailyPred_Primera,0)+1,0),"-")</f>
        <v>-</v>
      </c>
      <c r="W61" s="429" t="str">
        <f ca="1">IFERROR(VLOOKUP(W$2,Rango_Admin_DailyPred,MATCH($F61,Rango_Admin_DailyPred_Primera,0)+1,0),"-")</f>
        <v>-</v>
      </c>
      <c r="X61" s="429" t="str">
        <f ca="1">IFERROR(VLOOKUP(X$2,Rango_Admin_DailyPred,MATCH($F61,Rango_Admin_DailyPred_Primera,0)+1,0),"-")</f>
        <v>-</v>
      </c>
      <c r="Y61" s="429" t="str">
        <f ca="1">IFERROR(VLOOKUP(Y$2,Rango_Admin_DailyPred,MATCH($F61,Rango_Admin_DailyPred_Primera,0)+1,0),"-")</f>
        <v>-</v>
      </c>
      <c r="Z61" s="429" t="str">
        <f ca="1">IFERROR(VLOOKUP(Z$2,Rango_Admin_DailyPred,MATCH($F61,Rango_Admin_DailyPred_Primera,0)+1,0),"-")</f>
        <v>-</v>
      </c>
      <c r="AA61" s="429" t="str">
        <f ca="1">IFERROR(VLOOKUP(AA$2,Rango_Admin_DailyPred,MATCH($F61,Rango_Admin_DailyPred_Primera,0)+1,0),"-")</f>
        <v>-</v>
      </c>
      <c r="AB61" s="429" t="str">
        <f ca="1">IFERROR(VLOOKUP(AB$2,Rango_Admin_DailyPred,MATCH($F61,Rango_Admin_DailyPred_Primera,0)+1,0),"-")</f>
        <v>-</v>
      </c>
      <c r="AC61" s="429" t="str">
        <f ca="1">IFERROR(VLOOKUP(AC$2,Rango_Admin_DailyPred,MATCH($F61,Rango_Admin_DailyPred_Primera,0)+1,0),"-")</f>
        <v>-</v>
      </c>
      <c r="AD61" s="429" t="str">
        <f ca="1">IFERROR(VLOOKUP(AD$2,Rango_Admin_DailyPred,MATCH($F61,Rango_Admin_DailyPred_Primera,0)+1,0),"-")</f>
        <v>-</v>
      </c>
      <c r="AE61" s="429" t="str">
        <f ca="1">IFERROR(VLOOKUP(AE$2,Rango_Admin_DailyPred,MATCH($F61,Rango_Admin_DailyPred_Primera,0)+1,0),"-")</f>
        <v>-</v>
      </c>
      <c r="AF61" s="429" t="str">
        <f ca="1">IFERROR(VLOOKUP(AF$2,Rango_Admin_DailyPred,MATCH($F61,Rango_Admin_DailyPred_Primera,0)+1,0),"-")</f>
        <v>-</v>
      </c>
      <c r="AG61" s="429" t="str">
        <f ca="1">IFERROR(VLOOKUP(AG$2,Rango_Admin_DailyPred,MATCH($F61,Rango_Admin_DailyPred_Primera,0)+1,0),"-")</f>
        <v>-</v>
      </c>
      <c r="AH61" s="429" t="str">
        <f ca="1">IFERROR(VLOOKUP(AH$2,Rango_Admin_DailyPred,MATCH($F61,Rango_Admin_DailyPred_Primera,0)+1,0),"-")</f>
        <v>-</v>
      </c>
      <c r="AI61" s="429" t="str">
        <f ca="1">IFERROR(VLOOKUP(AI$2,Rango_Admin_DailyPred,MATCH($F61,Rango_Admin_DailyPred_Primera,0)+1,0),"-")</f>
        <v>-</v>
      </c>
      <c r="AJ61" s="429" t="str">
        <f ca="1">IFERROR(VLOOKUP(AJ$2,Rango_Admin_DailyPred,MATCH($F61,Rango_Admin_DailyPred_Primera,0)+1,0),"-")</f>
        <v>-</v>
      </c>
      <c r="AK61" s="429" t="str">
        <f ca="1">IFERROR(VLOOKUP(AK$2,Rango_Admin_DailyPred,MATCH($F61,Rango_Admin_DailyPred_Primera,0)+1,0),"-")</f>
        <v>-</v>
      </c>
      <c r="AL61" s="429" t="str">
        <f ca="1">IFERROR(VLOOKUP(AL$2,Rango_Admin_DailyPred,MATCH($F61,Rango_Admin_DailyPred_Primera,0)+1,0),"-")</f>
        <v>-</v>
      </c>
      <c r="AM61" s="429" t="str">
        <f ca="1">IFERROR(VLOOKUP(AM$2,Rango_Admin_DailyPred,MATCH($F61,Rango_Admin_DailyPred_Primera,0)+1,0),"-")</f>
        <v>-</v>
      </c>
      <c r="AN61" s="297"/>
    </row>
    <row r="62" spans="1:40">
      <c r="A62" s="8"/>
      <c r="B62" s="8"/>
      <c r="C62" s="8">
        <v>59</v>
      </c>
      <c r="D62" s="19"/>
      <c r="E62" s="409">
        <f ca="1">IFERROR(HLOOKUP(C62,Rango_Admin_DailyClas,3,FALSE),"-")</f>
        <v>48</v>
      </c>
      <c r="F62" s="448" t="str">
        <f ca="1">IFERROR(HLOOKUP(C62,Rango_Admin_DailyClas,5,FALSE),"-")</f>
        <v>Niek Pampiermole</v>
      </c>
      <c r="G62" s="22">
        <f ca="1">IFERROR(HLOOKUP(C62,Rango_Admin_DailyClas,4,FALSE),"-")</f>
        <v>0</v>
      </c>
      <c r="H62" s="429">
        <f ca="1">IFERROR(VLOOKUP(H$2,Rango_Admin_DailyPred,MATCH($F62,Rango_Admin_DailyPred_Primera,0)+1,0),"-")</f>
        <v>0</v>
      </c>
      <c r="I62" s="429">
        <f ca="1">IFERROR(VLOOKUP(I$2,Rango_Admin_DailyPred,MATCH($F62,Rango_Admin_DailyPred_Primera,0)+1,0),"-")</f>
        <v>0</v>
      </c>
      <c r="J62" s="429">
        <f ca="1">IFERROR(VLOOKUP(J$2,Rango_Admin_DailyPred,MATCH($F62,Rango_Admin_DailyPred_Primera,0)+1,0),"-")</f>
        <v>0</v>
      </c>
      <c r="K62" s="429">
        <f ca="1">IFERROR(VLOOKUP(K$2,Rango_Admin_DailyPred,MATCH($F62,Rango_Admin_DailyPred_Primera,0)+1,0),"-")</f>
        <v>0</v>
      </c>
      <c r="L62" s="429">
        <f ca="1">IFERROR(VLOOKUP(L$2,Rango_Admin_DailyPred,MATCH($F62,Rango_Admin_DailyPred_Primera,0)+1,0),"-")</f>
        <v>0</v>
      </c>
      <c r="M62" s="429">
        <f ca="1">IFERROR(VLOOKUP(M$2,Rango_Admin_DailyPred,MATCH($F62,Rango_Admin_DailyPred_Primera,0)+1,0),"-")</f>
        <v>0</v>
      </c>
      <c r="N62" s="429">
        <f ca="1">IFERROR(VLOOKUP(N$2,Rango_Admin_DailyPred,MATCH($F62,Rango_Admin_DailyPred_Primera,0)+1,0),"-")</f>
        <v>0</v>
      </c>
      <c r="O62" s="429">
        <f ca="1">IFERROR(VLOOKUP(O$2,Rango_Admin_DailyPred,MATCH($F62,Rango_Admin_DailyPred_Primera,0)+1,0),"-")</f>
        <v>0</v>
      </c>
      <c r="P62" s="429">
        <f ca="1">IFERROR(VLOOKUP(P$2,Rango_Admin_DailyPred,MATCH($F62,Rango_Admin_DailyPred_Primera,0)+1,0),"-")</f>
        <v>0</v>
      </c>
      <c r="Q62" s="429">
        <f ca="1">IFERROR(VLOOKUP(Q$2,Rango_Admin_DailyPred,MATCH($F62,Rango_Admin_DailyPred_Primera,0)+1,0),"-")</f>
        <v>0</v>
      </c>
      <c r="R62" s="429">
        <f ca="1">IFERROR(VLOOKUP(R$2,Rango_Admin_DailyPred,MATCH($F62,Rango_Admin_DailyPred_Primera,0)+1,0),"-")</f>
        <v>0</v>
      </c>
      <c r="S62" s="429" t="str">
        <f ca="1">IFERROR(VLOOKUP(S$2,Rango_Admin_DailyPred,MATCH($F62,Rango_Admin_DailyPred_Primera,0)+1,0),"-")</f>
        <v>-</v>
      </c>
      <c r="T62" s="429" t="str">
        <f ca="1">IFERROR(VLOOKUP(T$2,Rango_Admin_DailyPred,MATCH($F62,Rango_Admin_DailyPred_Primera,0)+1,0),"-")</f>
        <v>-</v>
      </c>
      <c r="U62" s="429" t="str">
        <f ca="1">IFERROR(VLOOKUP(U$2,Rango_Admin_DailyPred,MATCH($F62,Rango_Admin_DailyPred_Primera,0)+1,0),"-")</f>
        <v>-</v>
      </c>
      <c r="V62" s="429" t="str">
        <f ca="1">IFERROR(VLOOKUP(V$2,Rango_Admin_DailyPred,MATCH($F62,Rango_Admin_DailyPred_Primera,0)+1,0),"-")</f>
        <v>-</v>
      </c>
      <c r="W62" s="429" t="str">
        <f ca="1">IFERROR(VLOOKUP(W$2,Rango_Admin_DailyPred,MATCH($F62,Rango_Admin_DailyPred_Primera,0)+1,0),"-")</f>
        <v>-</v>
      </c>
      <c r="X62" s="429" t="str">
        <f ca="1">IFERROR(VLOOKUP(X$2,Rango_Admin_DailyPred,MATCH($F62,Rango_Admin_DailyPred_Primera,0)+1,0),"-")</f>
        <v>-</v>
      </c>
      <c r="Y62" s="429" t="str">
        <f ca="1">IFERROR(VLOOKUP(Y$2,Rango_Admin_DailyPred,MATCH($F62,Rango_Admin_DailyPred_Primera,0)+1,0),"-")</f>
        <v>-</v>
      </c>
      <c r="Z62" s="429" t="str">
        <f ca="1">IFERROR(VLOOKUP(Z$2,Rango_Admin_DailyPred,MATCH($F62,Rango_Admin_DailyPred_Primera,0)+1,0),"-")</f>
        <v>-</v>
      </c>
      <c r="AA62" s="429" t="str">
        <f ca="1">IFERROR(VLOOKUP(AA$2,Rango_Admin_DailyPred,MATCH($F62,Rango_Admin_DailyPred_Primera,0)+1,0),"-")</f>
        <v>-</v>
      </c>
      <c r="AB62" s="429" t="str">
        <f ca="1">IFERROR(VLOOKUP(AB$2,Rango_Admin_DailyPred,MATCH($F62,Rango_Admin_DailyPred_Primera,0)+1,0),"-")</f>
        <v>-</v>
      </c>
      <c r="AC62" s="429" t="str">
        <f ca="1">IFERROR(VLOOKUP(AC$2,Rango_Admin_DailyPred,MATCH($F62,Rango_Admin_DailyPred_Primera,0)+1,0),"-")</f>
        <v>-</v>
      </c>
      <c r="AD62" s="429" t="str">
        <f ca="1">IFERROR(VLOOKUP(AD$2,Rango_Admin_DailyPred,MATCH($F62,Rango_Admin_DailyPred_Primera,0)+1,0),"-")</f>
        <v>-</v>
      </c>
      <c r="AE62" s="429" t="str">
        <f ca="1">IFERROR(VLOOKUP(AE$2,Rango_Admin_DailyPred,MATCH($F62,Rango_Admin_DailyPred_Primera,0)+1,0),"-")</f>
        <v>-</v>
      </c>
      <c r="AF62" s="429" t="str">
        <f ca="1">IFERROR(VLOOKUP(AF$2,Rango_Admin_DailyPred,MATCH($F62,Rango_Admin_DailyPred_Primera,0)+1,0),"-")</f>
        <v>-</v>
      </c>
      <c r="AG62" s="429" t="str">
        <f ca="1">IFERROR(VLOOKUP(AG$2,Rango_Admin_DailyPred,MATCH($F62,Rango_Admin_DailyPred_Primera,0)+1,0),"-")</f>
        <v>-</v>
      </c>
      <c r="AH62" s="429" t="str">
        <f ca="1">IFERROR(VLOOKUP(AH$2,Rango_Admin_DailyPred,MATCH($F62,Rango_Admin_DailyPred_Primera,0)+1,0),"-")</f>
        <v>-</v>
      </c>
      <c r="AI62" s="429" t="str">
        <f ca="1">IFERROR(VLOOKUP(AI$2,Rango_Admin_DailyPred,MATCH($F62,Rango_Admin_DailyPred_Primera,0)+1,0),"-")</f>
        <v>-</v>
      </c>
      <c r="AJ62" s="429" t="str">
        <f ca="1">IFERROR(VLOOKUP(AJ$2,Rango_Admin_DailyPred,MATCH($F62,Rango_Admin_DailyPred_Primera,0)+1,0),"-")</f>
        <v>-</v>
      </c>
      <c r="AK62" s="429" t="str">
        <f ca="1">IFERROR(VLOOKUP(AK$2,Rango_Admin_DailyPred,MATCH($F62,Rango_Admin_DailyPred_Primera,0)+1,0),"-")</f>
        <v>-</v>
      </c>
      <c r="AL62" s="429" t="str">
        <f ca="1">IFERROR(VLOOKUP(AL$2,Rango_Admin_DailyPred,MATCH($F62,Rango_Admin_DailyPred_Primera,0)+1,0),"-")</f>
        <v>-</v>
      </c>
      <c r="AM62" s="429" t="str">
        <f ca="1">IFERROR(VLOOKUP(AM$2,Rango_Admin_DailyPred,MATCH($F62,Rango_Admin_DailyPred_Primera,0)+1,0),"-")</f>
        <v>-</v>
      </c>
      <c r="AN62" s="297"/>
    </row>
    <row r="63" spans="1:40">
      <c r="A63" s="8"/>
      <c r="B63" s="8"/>
      <c r="C63" s="8">
        <v>60</v>
      </c>
      <c r="D63" s="19"/>
      <c r="E63" s="409" t="str">
        <f ca="1">IFERROR(HLOOKUP(C63,Rango_Admin_DailyClas,3,FALSE),"-")</f>
        <v>-</v>
      </c>
      <c r="F63" s="448" t="str">
        <f ca="1">IFERROR(HLOOKUP(C63,Rango_Admin_DailyClas,5,FALSE),"-")</f>
        <v>-</v>
      </c>
      <c r="G63" s="22" t="str">
        <f ca="1">IFERROR(HLOOKUP(C63,Rango_Admin_DailyClas,4,FALSE),"-")</f>
        <v>-</v>
      </c>
      <c r="H63" s="429" t="str">
        <f ca="1">IFERROR(VLOOKUP(H$2,Rango_Admin_DailyPred,MATCH($F63,Rango_Admin_DailyPred_Primera,0)+1,0),"-")</f>
        <v>-</v>
      </c>
      <c r="I63" s="429" t="str">
        <f ca="1">IFERROR(VLOOKUP(I$2,Rango_Admin_DailyPred,MATCH($F63,Rango_Admin_DailyPred_Primera,0)+1,0),"-")</f>
        <v>-</v>
      </c>
      <c r="J63" s="429" t="str">
        <f ca="1">IFERROR(VLOOKUP(J$2,Rango_Admin_DailyPred,MATCH($F63,Rango_Admin_DailyPred_Primera,0)+1,0),"-")</f>
        <v>-</v>
      </c>
      <c r="K63" s="429" t="str">
        <f ca="1">IFERROR(VLOOKUP(K$2,Rango_Admin_DailyPred,MATCH($F63,Rango_Admin_DailyPred_Primera,0)+1,0),"-")</f>
        <v>-</v>
      </c>
      <c r="L63" s="429" t="str">
        <f ca="1">IFERROR(VLOOKUP(L$2,Rango_Admin_DailyPred,MATCH($F63,Rango_Admin_DailyPred_Primera,0)+1,0),"-")</f>
        <v>-</v>
      </c>
      <c r="M63" s="429" t="str">
        <f ca="1">IFERROR(VLOOKUP(M$2,Rango_Admin_DailyPred,MATCH($F63,Rango_Admin_DailyPred_Primera,0)+1,0),"-")</f>
        <v>-</v>
      </c>
      <c r="N63" s="429" t="str">
        <f ca="1">IFERROR(VLOOKUP(N$2,Rango_Admin_DailyPred,MATCH($F63,Rango_Admin_DailyPred_Primera,0)+1,0),"-")</f>
        <v>-</v>
      </c>
      <c r="O63" s="429" t="str">
        <f ca="1">IFERROR(VLOOKUP(O$2,Rango_Admin_DailyPred,MATCH($F63,Rango_Admin_DailyPred_Primera,0)+1,0),"-")</f>
        <v>-</v>
      </c>
      <c r="P63" s="429" t="str">
        <f ca="1">IFERROR(VLOOKUP(P$2,Rango_Admin_DailyPred,MATCH($F63,Rango_Admin_DailyPred_Primera,0)+1,0),"-")</f>
        <v>-</v>
      </c>
      <c r="Q63" s="429" t="str">
        <f ca="1">IFERROR(VLOOKUP(Q$2,Rango_Admin_DailyPred,MATCH($F63,Rango_Admin_DailyPred_Primera,0)+1,0),"-")</f>
        <v>-</v>
      </c>
      <c r="R63" s="429" t="str">
        <f ca="1">IFERROR(VLOOKUP(R$2,Rango_Admin_DailyPred,MATCH($F63,Rango_Admin_DailyPred_Primera,0)+1,0),"-")</f>
        <v>-</v>
      </c>
      <c r="S63" s="429" t="str">
        <f ca="1">IFERROR(VLOOKUP(S$2,Rango_Admin_DailyPred,MATCH($F63,Rango_Admin_DailyPred_Primera,0)+1,0),"-")</f>
        <v>-</v>
      </c>
      <c r="T63" s="429" t="str">
        <f ca="1">IFERROR(VLOOKUP(T$2,Rango_Admin_DailyPred,MATCH($F63,Rango_Admin_DailyPred_Primera,0)+1,0),"-")</f>
        <v>-</v>
      </c>
      <c r="U63" s="429" t="str">
        <f ca="1">IFERROR(VLOOKUP(U$2,Rango_Admin_DailyPred,MATCH($F63,Rango_Admin_DailyPred_Primera,0)+1,0),"-")</f>
        <v>-</v>
      </c>
      <c r="V63" s="429" t="str">
        <f ca="1">IFERROR(VLOOKUP(V$2,Rango_Admin_DailyPred,MATCH($F63,Rango_Admin_DailyPred_Primera,0)+1,0),"-")</f>
        <v>-</v>
      </c>
      <c r="W63" s="429" t="str">
        <f ca="1">IFERROR(VLOOKUP(W$2,Rango_Admin_DailyPred,MATCH($F63,Rango_Admin_DailyPred_Primera,0)+1,0),"-")</f>
        <v>-</v>
      </c>
      <c r="X63" s="429" t="str">
        <f ca="1">IFERROR(VLOOKUP(X$2,Rango_Admin_DailyPred,MATCH($F63,Rango_Admin_DailyPred_Primera,0)+1,0),"-")</f>
        <v>-</v>
      </c>
      <c r="Y63" s="429" t="str">
        <f ca="1">IFERROR(VLOOKUP(Y$2,Rango_Admin_DailyPred,MATCH($F63,Rango_Admin_DailyPred_Primera,0)+1,0),"-")</f>
        <v>-</v>
      </c>
      <c r="Z63" s="429" t="str">
        <f ca="1">IFERROR(VLOOKUP(Z$2,Rango_Admin_DailyPred,MATCH($F63,Rango_Admin_DailyPred_Primera,0)+1,0),"-")</f>
        <v>-</v>
      </c>
      <c r="AA63" s="429" t="str">
        <f ca="1">IFERROR(VLOOKUP(AA$2,Rango_Admin_DailyPred,MATCH($F63,Rango_Admin_DailyPred_Primera,0)+1,0),"-")</f>
        <v>-</v>
      </c>
      <c r="AB63" s="429" t="str">
        <f ca="1">IFERROR(VLOOKUP(AB$2,Rango_Admin_DailyPred,MATCH($F63,Rango_Admin_DailyPred_Primera,0)+1,0),"-")</f>
        <v>-</v>
      </c>
      <c r="AC63" s="429" t="str">
        <f ca="1">IFERROR(VLOOKUP(AC$2,Rango_Admin_DailyPred,MATCH($F63,Rango_Admin_DailyPred_Primera,0)+1,0),"-")</f>
        <v>-</v>
      </c>
      <c r="AD63" s="429" t="str">
        <f ca="1">IFERROR(VLOOKUP(AD$2,Rango_Admin_DailyPred,MATCH($F63,Rango_Admin_DailyPred_Primera,0)+1,0),"-")</f>
        <v>-</v>
      </c>
      <c r="AE63" s="429" t="str">
        <f ca="1">IFERROR(VLOOKUP(AE$2,Rango_Admin_DailyPred,MATCH($F63,Rango_Admin_DailyPred_Primera,0)+1,0),"-")</f>
        <v>-</v>
      </c>
      <c r="AF63" s="429" t="str">
        <f ca="1">IFERROR(VLOOKUP(AF$2,Rango_Admin_DailyPred,MATCH($F63,Rango_Admin_DailyPred_Primera,0)+1,0),"-")</f>
        <v>-</v>
      </c>
      <c r="AG63" s="429" t="str">
        <f ca="1">IFERROR(VLOOKUP(AG$2,Rango_Admin_DailyPred,MATCH($F63,Rango_Admin_DailyPred_Primera,0)+1,0),"-")</f>
        <v>-</v>
      </c>
      <c r="AH63" s="429" t="str">
        <f ca="1">IFERROR(VLOOKUP(AH$2,Rango_Admin_DailyPred,MATCH($F63,Rango_Admin_DailyPred_Primera,0)+1,0),"-")</f>
        <v>-</v>
      </c>
      <c r="AI63" s="429" t="str">
        <f ca="1">IFERROR(VLOOKUP(AI$2,Rango_Admin_DailyPred,MATCH($F63,Rango_Admin_DailyPred_Primera,0)+1,0),"-")</f>
        <v>-</v>
      </c>
      <c r="AJ63" s="429" t="str">
        <f ca="1">IFERROR(VLOOKUP(AJ$2,Rango_Admin_DailyPred,MATCH($F63,Rango_Admin_DailyPred_Primera,0)+1,0),"-")</f>
        <v>-</v>
      </c>
      <c r="AK63" s="429" t="str">
        <f ca="1">IFERROR(VLOOKUP(AK$2,Rango_Admin_DailyPred,MATCH($F63,Rango_Admin_DailyPred_Primera,0)+1,0),"-")</f>
        <v>-</v>
      </c>
      <c r="AL63" s="429" t="str">
        <f ca="1">IFERROR(VLOOKUP(AL$2,Rango_Admin_DailyPred,MATCH($F63,Rango_Admin_DailyPred_Primera,0)+1,0),"-")</f>
        <v>-</v>
      </c>
      <c r="AM63" s="429" t="str">
        <f ca="1">IFERROR(VLOOKUP(AM$2,Rango_Admin_DailyPred,MATCH($F63,Rango_Admin_DailyPred_Primera,0)+1,0),"-")</f>
        <v>-</v>
      </c>
      <c r="AN63" s="297"/>
    </row>
    <row r="64" spans="1:40">
      <c r="A64" s="8"/>
      <c r="B64" s="8"/>
      <c r="C64" s="8">
        <v>61</v>
      </c>
      <c r="D64" s="19"/>
      <c r="E64" s="409" t="str">
        <f ca="1">IFERROR(HLOOKUP(C64,Rango_Admin_DailyClas,3,FALSE),"-")</f>
        <v>-</v>
      </c>
      <c r="F64" s="448" t="str">
        <f ca="1">IFERROR(HLOOKUP(C64,Rango_Admin_DailyClas,5,FALSE),"-")</f>
        <v>-</v>
      </c>
      <c r="G64" s="22" t="str">
        <f ca="1">IFERROR(HLOOKUP(C64,Rango_Admin_DailyClas,4,FALSE),"-")</f>
        <v>-</v>
      </c>
      <c r="H64" s="429" t="str">
        <f ca="1">IFERROR(VLOOKUP(H$2,Rango_Admin_DailyPred,MATCH($F64,Rango_Admin_DailyPred_Primera,0)+1,0),"-")</f>
        <v>-</v>
      </c>
      <c r="I64" s="429" t="str">
        <f ca="1">IFERROR(VLOOKUP(I$2,Rango_Admin_DailyPred,MATCH($F64,Rango_Admin_DailyPred_Primera,0)+1,0),"-")</f>
        <v>-</v>
      </c>
      <c r="J64" s="429" t="str">
        <f ca="1">IFERROR(VLOOKUP(J$2,Rango_Admin_DailyPred,MATCH($F64,Rango_Admin_DailyPred_Primera,0)+1,0),"-")</f>
        <v>-</v>
      </c>
      <c r="K64" s="429" t="str">
        <f ca="1">IFERROR(VLOOKUP(K$2,Rango_Admin_DailyPred,MATCH($F64,Rango_Admin_DailyPred_Primera,0)+1,0),"-")</f>
        <v>-</v>
      </c>
      <c r="L64" s="429" t="str">
        <f ca="1">IFERROR(VLOOKUP(L$2,Rango_Admin_DailyPred,MATCH($F64,Rango_Admin_DailyPred_Primera,0)+1,0),"-")</f>
        <v>-</v>
      </c>
      <c r="M64" s="429" t="str">
        <f ca="1">IFERROR(VLOOKUP(M$2,Rango_Admin_DailyPred,MATCH($F64,Rango_Admin_DailyPred_Primera,0)+1,0),"-")</f>
        <v>-</v>
      </c>
      <c r="N64" s="429" t="str">
        <f ca="1">IFERROR(VLOOKUP(N$2,Rango_Admin_DailyPred,MATCH($F64,Rango_Admin_DailyPred_Primera,0)+1,0),"-")</f>
        <v>-</v>
      </c>
      <c r="O64" s="429" t="str">
        <f ca="1">IFERROR(VLOOKUP(O$2,Rango_Admin_DailyPred,MATCH($F64,Rango_Admin_DailyPred_Primera,0)+1,0),"-")</f>
        <v>-</v>
      </c>
      <c r="P64" s="429" t="str">
        <f ca="1">IFERROR(VLOOKUP(P$2,Rango_Admin_DailyPred,MATCH($F64,Rango_Admin_DailyPred_Primera,0)+1,0),"-")</f>
        <v>-</v>
      </c>
      <c r="Q64" s="429" t="str">
        <f ca="1">IFERROR(VLOOKUP(Q$2,Rango_Admin_DailyPred,MATCH($F64,Rango_Admin_DailyPred_Primera,0)+1,0),"-")</f>
        <v>-</v>
      </c>
      <c r="R64" s="429" t="str">
        <f ca="1">IFERROR(VLOOKUP(R$2,Rango_Admin_DailyPred,MATCH($F64,Rango_Admin_DailyPred_Primera,0)+1,0),"-")</f>
        <v>-</v>
      </c>
      <c r="S64" s="429" t="str">
        <f ca="1">IFERROR(VLOOKUP(S$2,Rango_Admin_DailyPred,MATCH($F64,Rango_Admin_DailyPred_Primera,0)+1,0),"-")</f>
        <v>-</v>
      </c>
      <c r="T64" s="429" t="str">
        <f ca="1">IFERROR(VLOOKUP(T$2,Rango_Admin_DailyPred,MATCH($F64,Rango_Admin_DailyPred_Primera,0)+1,0),"-")</f>
        <v>-</v>
      </c>
      <c r="U64" s="429" t="str">
        <f ca="1">IFERROR(VLOOKUP(U$2,Rango_Admin_DailyPred,MATCH($F64,Rango_Admin_DailyPred_Primera,0)+1,0),"-")</f>
        <v>-</v>
      </c>
      <c r="V64" s="429" t="str">
        <f ca="1">IFERROR(VLOOKUP(V$2,Rango_Admin_DailyPred,MATCH($F64,Rango_Admin_DailyPred_Primera,0)+1,0),"-")</f>
        <v>-</v>
      </c>
      <c r="W64" s="429" t="str">
        <f ca="1">IFERROR(VLOOKUP(W$2,Rango_Admin_DailyPred,MATCH($F64,Rango_Admin_DailyPred_Primera,0)+1,0),"-")</f>
        <v>-</v>
      </c>
      <c r="X64" s="429" t="str">
        <f ca="1">IFERROR(VLOOKUP(X$2,Rango_Admin_DailyPred,MATCH($F64,Rango_Admin_DailyPred_Primera,0)+1,0),"-")</f>
        <v>-</v>
      </c>
      <c r="Y64" s="429" t="str">
        <f ca="1">IFERROR(VLOOKUP(Y$2,Rango_Admin_DailyPred,MATCH($F64,Rango_Admin_DailyPred_Primera,0)+1,0),"-")</f>
        <v>-</v>
      </c>
      <c r="Z64" s="429" t="str">
        <f ca="1">IFERROR(VLOOKUP(Z$2,Rango_Admin_DailyPred,MATCH($F64,Rango_Admin_DailyPred_Primera,0)+1,0),"-")</f>
        <v>-</v>
      </c>
      <c r="AA64" s="429" t="str">
        <f ca="1">IFERROR(VLOOKUP(AA$2,Rango_Admin_DailyPred,MATCH($F64,Rango_Admin_DailyPred_Primera,0)+1,0),"-")</f>
        <v>-</v>
      </c>
      <c r="AB64" s="429" t="str">
        <f ca="1">IFERROR(VLOOKUP(AB$2,Rango_Admin_DailyPred,MATCH($F64,Rango_Admin_DailyPred_Primera,0)+1,0),"-")</f>
        <v>-</v>
      </c>
      <c r="AC64" s="429" t="str">
        <f ca="1">IFERROR(VLOOKUP(AC$2,Rango_Admin_DailyPred,MATCH($F64,Rango_Admin_DailyPred_Primera,0)+1,0),"-")</f>
        <v>-</v>
      </c>
      <c r="AD64" s="429" t="str">
        <f ca="1">IFERROR(VLOOKUP(AD$2,Rango_Admin_DailyPred,MATCH($F64,Rango_Admin_DailyPred_Primera,0)+1,0),"-")</f>
        <v>-</v>
      </c>
      <c r="AE64" s="429" t="str">
        <f ca="1">IFERROR(VLOOKUP(AE$2,Rango_Admin_DailyPred,MATCH($F64,Rango_Admin_DailyPred_Primera,0)+1,0),"-")</f>
        <v>-</v>
      </c>
      <c r="AF64" s="429" t="str">
        <f ca="1">IFERROR(VLOOKUP(AF$2,Rango_Admin_DailyPred,MATCH($F64,Rango_Admin_DailyPred_Primera,0)+1,0),"-")</f>
        <v>-</v>
      </c>
      <c r="AG64" s="429" t="str">
        <f ca="1">IFERROR(VLOOKUP(AG$2,Rango_Admin_DailyPred,MATCH($F64,Rango_Admin_DailyPred_Primera,0)+1,0),"-")</f>
        <v>-</v>
      </c>
      <c r="AH64" s="429" t="str">
        <f ca="1">IFERROR(VLOOKUP(AH$2,Rango_Admin_DailyPred,MATCH($F64,Rango_Admin_DailyPred_Primera,0)+1,0),"-")</f>
        <v>-</v>
      </c>
      <c r="AI64" s="429" t="str">
        <f ca="1">IFERROR(VLOOKUP(AI$2,Rango_Admin_DailyPred,MATCH($F64,Rango_Admin_DailyPred_Primera,0)+1,0),"-")</f>
        <v>-</v>
      </c>
      <c r="AJ64" s="429" t="str">
        <f ca="1">IFERROR(VLOOKUP(AJ$2,Rango_Admin_DailyPred,MATCH($F64,Rango_Admin_DailyPred_Primera,0)+1,0),"-")</f>
        <v>-</v>
      </c>
      <c r="AK64" s="429" t="str">
        <f ca="1">IFERROR(VLOOKUP(AK$2,Rango_Admin_DailyPred,MATCH($F64,Rango_Admin_DailyPred_Primera,0)+1,0),"-")</f>
        <v>-</v>
      </c>
      <c r="AL64" s="429" t="str">
        <f ca="1">IFERROR(VLOOKUP(AL$2,Rango_Admin_DailyPred,MATCH($F64,Rango_Admin_DailyPred_Primera,0)+1,0),"-")</f>
        <v>-</v>
      </c>
      <c r="AM64" s="429" t="str">
        <f ca="1">IFERROR(VLOOKUP(AM$2,Rango_Admin_DailyPred,MATCH($F64,Rango_Admin_DailyPred_Primera,0)+1,0),"-")</f>
        <v>-</v>
      </c>
      <c r="AN64" s="297"/>
    </row>
    <row r="65" spans="1:40">
      <c r="A65" s="8"/>
      <c r="B65" s="8"/>
      <c r="C65" s="8">
        <v>62</v>
      </c>
      <c r="D65" s="19"/>
      <c r="E65" s="409" t="str">
        <f ca="1">IFERROR(HLOOKUP(C65,Rango_Admin_DailyClas,3,FALSE),"-")</f>
        <v>-</v>
      </c>
      <c r="F65" s="448" t="str">
        <f ca="1">IFERROR(HLOOKUP(C65,Rango_Admin_DailyClas,5,FALSE),"-")</f>
        <v>-</v>
      </c>
      <c r="G65" s="22" t="str">
        <f ca="1">IFERROR(HLOOKUP(C65,Rango_Admin_DailyClas,4,FALSE),"-")</f>
        <v>-</v>
      </c>
      <c r="H65" s="429" t="str">
        <f ca="1">IFERROR(VLOOKUP(H$2,Rango_Admin_DailyPred,MATCH($F65,Rango_Admin_DailyPred_Primera,0)+1,0),"-")</f>
        <v>-</v>
      </c>
      <c r="I65" s="429" t="str">
        <f ca="1">IFERROR(VLOOKUP(I$2,Rango_Admin_DailyPred,MATCH($F65,Rango_Admin_DailyPred_Primera,0)+1,0),"-")</f>
        <v>-</v>
      </c>
      <c r="J65" s="429" t="str">
        <f ca="1">IFERROR(VLOOKUP(J$2,Rango_Admin_DailyPred,MATCH($F65,Rango_Admin_DailyPred_Primera,0)+1,0),"-")</f>
        <v>-</v>
      </c>
      <c r="K65" s="429" t="str">
        <f ca="1">IFERROR(VLOOKUP(K$2,Rango_Admin_DailyPred,MATCH($F65,Rango_Admin_DailyPred_Primera,0)+1,0),"-")</f>
        <v>-</v>
      </c>
      <c r="L65" s="429" t="str">
        <f ca="1">IFERROR(VLOOKUP(L$2,Rango_Admin_DailyPred,MATCH($F65,Rango_Admin_DailyPred_Primera,0)+1,0),"-")</f>
        <v>-</v>
      </c>
      <c r="M65" s="429" t="str">
        <f ca="1">IFERROR(VLOOKUP(M$2,Rango_Admin_DailyPred,MATCH($F65,Rango_Admin_DailyPred_Primera,0)+1,0),"-")</f>
        <v>-</v>
      </c>
      <c r="N65" s="429" t="str">
        <f ca="1">IFERROR(VLOOKUP(N$2,Rango_Admin_DailyPred,MATCH($F65,Rango_Admin_DailyPred_Primera,0)+1,0),"-")</f>
        <v>-</v>
      </c>
      <c r="O65" s="429" t="str">
        <f ca="1">IFERROR(VLOOKUP(O$2,Rango_Admin_DailyPred,MATCH($F65,Rango_Admin_DailyPred_Primera,0)+1,0),"-")</f>
        <v>-</v>
      </c>
      <c r="P65" s="429" t="str">
        <f ca="1">IFERROR(VLOOKUP(P$2,Rango_Admin_DailyPred,MATCH($F65,Rango_Admin_DailyPred_Primera,0)+1,0),"-")</f>
        <v>-</v>
      </c>
      <c r="Q65" s="429" t="str">
        <f ca="1">IFERROR(VLOOKUP(Q$2,Rango_Admin_DailyPred,MATCH($F65,Rango_Admin_DailyPred_Primera,0)+1,0),"-")</f>
        <v>-</v>
      </c>
      <c r="R65" s="429" t="str">
        <f ca="1">IFERROR(VLOOKUP(R$2,Rango_Admin_DailyPred,MATCH($F65,Rango_Admin_DailyPred_Primera,0)+1,0),"-")</f>
        <v>-</v>
      </c>
      <c r="S65" s="429" t="str">
        <f ca="1">IFERROR(VLOOKUP(S$2,Rango_Admin_DailyPred,MATCH($F65,Rango_Admin_DailyPred_Primera,0)+1,0),"-")</f>
        <v>-</v>
      </c>
      <c r="T65" s="429" t="str">
        <f ca="1">IFERROR(VLOOKUP(T$2,Rango_Admin_DailyPred,MATCH($F65,Rango_Admin_DailyPred_Primera,0)+1,0),"-")</f>
        <v>-</v>
      </c>
      <c r="U65" s="429" t="str">
        <f ca="1">IFERROR(VLOOKUP(U$2,Rango_Admin_DailyPred,MATCH($F65,Rango_Admin_DailyPred_Primera,0)+1,0),"-")</f>
        <v>-</v>
      </c>
      <c r="V65" s="429" t="str">
        <f ca="1">IFERROR(VLOOKUP(V$2,Rango_Admin_DailyPred,MATCH($F65,Rango_Admin_DailyPred_Primera,0)+1,0),"-")</f>
        <v>-</v>
      </c>
      <c r="W65" s="429" t="str">
        <f ca="1">IFERROR(VLOOKUP(W$2,Rango_Admin_DailyPred,MATCH($F65,Rango_Admin_DailyPred_Primera,0)+1,0),"-")</f>
        <v>-</v>
      </c>
      <c r="X65" s="429" t="str">
        <f ca="1">IFERROR(VLOOKUP(X$2,Rango_Admin_DailyPred,MATCH($F65,Rango_Admin_DailyPred_Primera,0)+1,0),"-")</f>
        <v>-</v>
      </c>
      <c r="Y65" s="429" t="str">
        <f ca="1">IFERROR(VLOOKUP(Y$2,Rango_Admin_DailyPred,MATCH($F65,Rango_Admin_DailyPred_Primera,0)+1,0),"-")</f>
        <v>-</v>
      </c>
      <c r="Z65" s="429" t="str">
        <f ca="1">IFERROR(VLOOKUP(Z$2,Rango_Admin_DailyPred,MATCH($F65,Rango_Admin_DailyPred_Primera,0)+1,0),"-")</f>
        <v>-</v>
      </c>
      <c r="AA65" s="429" t="str">
        <f ca="1">IFERROR(VLOOKUP(AA$2,Rango_Admin_DailyPred,MATCH($F65,Rango_Admin_DailyPred_Primera,0)+1,0),"-")</f>
        <v>-</v>
      </c>
      <c r="AB65" s="429" t="str">
        <f ca="1">IFERROR(VLOOKUP(AB$2,Rango_Admin_DailyPred,MATCH($F65,Rango_Admin_DailyPred_Primera,0)+1,0),"-")</f>
        <v>-</v>
      </c>
      <c r="AC65" s="429" t="str">
        <f ca="1">IFERROR(VLOOKUP(AC$2,Rango_Admin_DailyPred,MATCH($F65,Rango_Admin_DailyPred_Primera,0)+1,0),"-")</f>
        <v>-</v>
      </c>
      <c r="AD65" s="429" t="str">
        <f ca="1">IFERROR(VLOOKUP(AD$2,Rango_Admin_DailyPred,MATCH($F65,Rango_Admin_DailyPred_Primera,0)+1,0),"-")</f>
        <v>-</v>
      </c>
      <c r="AE65" s="429" t="str">
        <f ca="1">IFERROR(VLOOKUP(AE$2,Rango_Admin_DailyPred,MATCH($F65,Rango_Admin_DailyPred_Primera,0)+1,0),"-")</f>
        <v>-</v>
      </c>
      <c r="AF65" s="429" t="str">
        <f ca="1">IFERROR(VLOOKUP(AF$2,Rango_Admin_DailyPred,MATCH($F65,Rango_Admin_DailyPred_Primera,0)+1,0),"-")</f>
        <v>-</v>
      </c>
      <c r="AG65" s="429" t="str">
        <f ca="1">IFERROR(VLOOKUP(AG$2,Rango_Admin_DailyPred,MATCH($F65,Rango_Admin_DailyPred_Primera,0)+1,0),"-")</f>
        <v>-</v>
      </c>
      <c r="AH65" s="429" t="str">
        <f ca="1">IFERROR(VLOOKUP(AH$2,Rango_Admin_DailyPred,MATCH($F65,Rango_Admin_DailyPred_Primera,0)+1,0),"-")</f>
        <v>-</v>
      </c>
      <c r="AI65" s="429" t="str">
        <f ca="1">IFERROR(VLOOKUP(AI$2,Rango_Admin_DailyPred,MATCH($F65,Rango_Admin_DailyPred_Primera,0)+1,0),"-")</f>
        <v>-</v>
      </c>
      <c r="AJ65" s="429" t="str">
        <f ca="1">IFERROR(VLOOKUP(AJ$2,Rango_Admin_DailyPred,MATCH($F65,Rango_Admin_DailyPred_Primera,0)+1,0),"-")</f>
        <v>-</v>
      </c>
      <c r="AK65" s="429" t="str">
        <f ca="1">IFERROR(VLOOKUP(AK$2,Rango_Admin_DailyPred,MATCH($F65,Rango_Admin_DailyPred_Primera,0)+1,0),"-")</f>
        <v>-</v>
      </c>
      <c r="AL65" s="429" t="str">
        <f ca="1">IFERROR(VLOOKUP(AL$2,Rango_Admin_DailyPred,MATCH($F65,Rango_Admin_DailyPred_Primera,0)+1,0),"-")</f>
        <v>-</v>
      </c>
      <c r="AM65" s="429" t="str">
        <f ca="1">IFERROR(VLOOKUP(AM$2,Rango_Admin_DailyPred,MATCH($F65,Rango_Admin_DailyPred_Primera,0)+1,0),"-")</f>
        <v>-</v>
      </c>
      <c r="AN65" s="297"/>
    </row>
    <row r="66" spans="1:40">
      <c r="A66" s="8"/>
      <c r="B66" s="8"/>
      <c r="C66" s="8">
        <v>63</v>
      </c>
      <c r="D66" s="19"/>
      <c r="E66" s="409" t="str">
        <f ca="1">IFERROR(HLOOKUP(C66,Rango_Admin_DailyClas,3,FALSE),"-")</f>
        <v>-</v>
      </c>
      <c r="F66" s="448" t="str">
        <f ca="1">IFERROR(HLOOKUP(C66,Rango_Admin_DailyClas,5,FALSE),"-")</f>
        <v>-</v>
      </c>
      <c r="G66" s="22" t="str">
        <f ca="1">IFERROR(HLOOKUP(C66,Rango_Admin_DailyClas,4,FALSE),"-")</f>
        <v>-</v>
      </c>
      <c r="H66" s="429" t="str">
        <f ca="1">IFERROR(VLOOKUP(H$2,Rango_Admin_DailyPred,MATCH($F66,Rango_Admin_DailyPred_Primera,0)+1,0),"-")</f>
        <v>-</v>
      </c>
      <c r="I66" s="429" t="str">
        <f ca="1">IFERROR(VLOOKUP(I$2,Rango_Admin_DailyPred,MATCH($F66,Rango_Admin_DailyPred_Primera,0)+1,0),"-")</f>
        <v>-</v>
      </c>
      <c r="J66" s="429" t="str">
        <f ca="1">IFERROR(VLOOKUP(J$2,Rango_Admin_DailyPred,MATCH($F66,Rango_Admin_DailyPred_Primera,0)+1,0),"-")</f>
        <v>-</v>
      </c>
      <c r="K66" s="429" t="str">
        <f ca="1">IFERROR(VLOOKUP(K$2,Rango_Admin_DailyPred,MATCH($F66,Rango_Admin_DailyPred_Primera,0)+1,0),"-")</f>
        <v>-</v>
      </c>
      <c r="L66" s="429" t="str">
        <f ca="1">IFERROR(VLOOKUP(L$2,Rango_Admin_DailyPred,MATCH($F66,Rango_Admin_DailyPred_Primera,0)+1,0),"-")</f>
        <v>-</v>
      </c>
      <c r="M66" s="429" t="str">
        <f ca="1">IFERROR(VLOOKUP(M$2,Rango_Admin_DailyPred,MATCH($F66,Rango_Admin_DailyPred_Primera,0)+1,0),"-")</f>
        <v>-</v>
      </c>
      <c r="N66" s="429" t="str">
        <f ca="1">IFERROR(VLOOKUP(N$2,Rango_Admin_DailyPred,MATCH($F66,Rango_Admin_DailyPred_Primera,0)+1,0),"-")</f>
        <v>-</v>
      </c>
      <c r="O66" s="429" t="str">
        <f ca="1">IFERROR(VLOOKUP(O$2,Rango_Admin_DailyPred,MATCH($F66,Rango_Admin_DailyPred_Primera,0)+1,0),"-")</f>
        <v>-</v>
      </c>
      <c r="P66" s="429" t="str">
        <f ca="1">IFERROR(VLOOKUP(P$2,Rango_Admin_DailyPred,MATCH($F66,Rango_Admin_DailyPred_Primera,0)+1,0),"-")</f>
        <v>-</v>
      </c>
      <c r="Q66" s="429" t="str">
        <f ca="1">IFERROR(VLOOKUP(Q$2,Rango_Admin_DailyPred,MATCH($F66,Rango_Admin_DailyPred_Primera,0)+1,0),"-")</f>
        <v>-</v>
      </c>
      <c r="R66" s="429" t="str">
        <f ca="1">IFERROR(VLOOKUP(R$2,Rango_Admin_DailyPred,MATCH($F66,Rango_Admin_DailyPred_Primera,0)+1,0),"-")</f>
        <v>-</v>
      </c>
      <c r="S66" s="429" t="str">
        <f ca="1">IFERROR(VLOOKUP(S$2,Rango_Admin_DailyPred,MATCH($F66,Rango_Admin_DailyPred_Primera,0)+1,0),"-")</f>
        <v>-</v>
      </c>
      <c r="T66" s="429" t="str">
        <f ca="1">IFERROR(VLOOKUP(T$2,Rango_Admin_DailyPred,MATCH($F66,Rango_Admin_DailyPred_Primera,0)+1,0),"-")</f>
        <v>-</v>
      </c>
      <c r="U66" s="429" t="str">
        <f ca="1">IFERROR(VLOOKUP(U$2,Rango_Admin_DailyPred,MATCH($F66,Rango_Admin_DailyPred_Primera,0)+1,0),"-")</f>
        <v>-</v>
      </c>
      <c r="V66" s="429" t="str">
        <f ca="1">IFERROR(VLOOKUP(V$2,Rango_Admin_DailyPred,MATCH($F66,Rango_Admin_DailyPred_Primera,0)+1,0),"-")</f>
        <v>-</v>
      </c>
      <c r="W66" s="429" t="str">
        <f ca="1">IFERROR(VLOOKUP(W$2,Rango_Admin_DailyPred,MATCH($F66,Rango_Admin_DailyPred_Primera,0)+1,0),"-")</f>
        <v>-</v>
      </c>
      <c r="X66" s="429" t="str">
        <f ca="1">IFERROR(VLOOKUP(X$2,Rango_Admin_DailyPred,MATCH($F66,Rango_Admin_DailyPred_Primera,0)+1,0),"-")</f>
        <v>-</v>
      </c>
      <c r="Y66" s="429" t="str">
        <f ca="1">IFERROR(VLOOKUP(Y$2,Rango_Admin_DailyPred,MATCH($F66,Rango_Admin_DailyPred_Primera,0)+1,0),"-")</f>
        <v>-</v>
      </c>
      <c r="Z66" s="429" t="str">
        <f ca="1">IFERROR(VLOOKUP(Z$2,Rango_Admin_DailyPred,MATCH($F66,Rango_Admin_DailyPred_Primera,0)+1,0),"-")</f>
        <v>-</v>
      </c>
      <c r="AA66" s="429" t="str">
        <f ca="1">IFERROR(VLOOKUP(AA$2,Rango_Admin_DailyPred,MATCH($F66,Rango_Admin_DailyPred_Primera,0)+1,0),"-")</f>
        <v>-</v>
      </c>
      <c r="AB66" s="429" t="str">
        <f ca="1">IFERROR(VLOOKUP(AB$2,Rango_Admin_DailyPred,MATCH($F66,Rango_Admin_DailyPred_Primera,0)+1,0),"-")</f>
        <v>-</v>
      </c>
      <c r="AC66" s="429" t="str">
        <f ca="1">IFERROR(VLOOKUP(AC$2,Rango_Admin_DailyPred,MATCH($F66,Rango_Admin_DailyPred_Primera,0)+1,0),"-")</f>
        <v>-</v>
      </c>
      <c r="AD66" s="429" t="str">
        <f ca="1">IFERROR(VLOOKUP(AD$2,Rango_Admin_DailyPred,MATCH($F66,Rango_Admin_DailyPred_Primera,0)+1,0),"-")</f>
        <v>-</v>
      </c>
      <c r="AE66" s="429" t="str">
        <f ca="1">IFERROR(VLOOKUP(AE$2,Rango_Admin_DailyPred,MATCH($F66,Rango_Admin_DailyPred_Primera,0)+1,0),"-")</f>
        <v>-</v>
      </c>
      <c r="AF66" s="429" t="str">
        <f ca="1">IFERROR(VLOOKUP(AF$2,Rango_Admin_DailyPred,MATCH($F66,Rango_Admin_DailyPred_Primera,0)+1,0),"-")</f>
        <v>-</v>
      </c>
      <c r="AG66" s="429" t="str">
        <f ca="1">IFERROR(VLOOKUP(AG$2,Rango_Admin_DailyPred,MATCH($F66,Rango_Admin_DailyPred_Primera,0)+1,0),"-")</f>
        <v>-</v>
      </c>
      <c r="AH66" s="429" t="str">
        <f ca="1">IFERROR(VLOOKUP(AH$2,Rango_Admin_DailyPred,MATCH($F66,Rango_Admin_DailyPred_Primera,0)+1,0),"-")</f>
        <v>-</v>
      </c>
      <c r="AI66" s="429" t="str">
        <f ca="1">IFERROR(VLOOKUP(AI$2,Rango_Admin_DailyPred,MATCH($F66,Rango_Admin_DailyPred_Primera,0)+1,0),"-")</f>
        <v>-</v>
      </c>
      <c r="AJ66" s="429" t="str">
        <f ca="1">IFERROR(VLOOKUP(AJ$2,Rango_Admin_DailyPred,MATCH($F66,Rango_Admin_DailyPred_Primera,0)+1,0),"-")</f>
        <v>-</v>
      </c>
      <c r="AK66" s="429" t="str">
        <f ca="1">IFERROR(VLOOKUP(AK$2,Rango_Admin_DailyPred,MATCH($F66,Rango_Admin_DailyPred_Primera,0)+1,0),"-")</f>
        <v>-</v>
      </c>
      <c r="AL66" s="429" t="str">
        <f ca="1">IFERROR(VLOOKUP(AL$2,Rango_Admin_DailyPred,MATCH($F66,Rango_Admin_DailyPred_Primera,0)+1,0),"-")</f>
        <v>-</v>
      </c>
      <c r="AM66" s="429" t="str">
        <f ca="1">IFERROR(VLOOKUP(AM$2,Rango_Admin_DailyPred,MATCH($F66,Rango_Admin_DailyPred_Primera,0)+1,0),"-")</f>
        <v>-</v>
      </c>
      <c r="AN66" s="297"/>
    </row>
    <row r="67" spans="1:40">
      <c r="A67" s="8"/>
      <c r="B67" s="8"/>
      <c r="C67" s="8">
        <v>64</v>
      </c>
      <c r="D67" s="19"/>
      <c r="E67" s="409" t="str">
        <f ca="1">IFERROR(HLOOKUP(C67,Rango_Admin_DailyClas,3,FALSE),"-")</f>
        <v>-</v>
      </c>
      <c r="F67" s="448" t="str">
        <f ca="1">IFERROR(HLOOKUP(C67,Rango_Admin_DailyClas,5,FALSE),"-")</f>
        <v>-</v>
      </c>
      <c r="G67" s="22" t="str">
        <f ca="1">IFERROR(HLOOKUP(C67,Rango_Admin_DailyClas,4,FALSE),"-")</f>
        <v>-</v>
      </c>
      <c r="H67" s="429" t="str">
        <f ca="1">IFERROR(VLOOKUP(H$2,Rango_Admin_DailyPred,MATCH($F67,Rango_Admin_DailyPred_Primera,0)+1,0),"-")</f>
        <v>-</v>
      </c>
      <c r="I67" s="429" t="str">
        <f ca="1">IFERROR(VLOOKUP(I$2,Rango_Admin_DailyPred,MATCH($F67,Rango_Admin_DailyPred_Primera,0)+1,0),"-")</f>
        <v>-</v>
      </c>
      <c r="J67" s="429" t="str">
        <f ca="1">IFERROR(VLOOKUP(J$2,Rango_Admin_DailyPred,MATCH($F67,Rango_Admin_DailyPred_Primera,0)+1,0),"-")</f>
        <v>-</v>
      </c>
      <c r="K67" s="429" t="str">
        <f ca="1">IFERROR(VLOOKUP(K$2,Rango_Admin_DailyPred,MATCH($F67,Rango_Admin_DailyPred_Primera,0)+1,0),"-")</f>
        <v>-</v>
      </c>
      <c r="L67" s="429" t="str">
        <f ca="1">IFERROR(VLOOKUP(L$2,Rango_Admin_DailyPred,MATCH($F67,Rango_Admin_DailyPred_Primera,0)+1,0),"-")</f>
        <v>-</v>
      </c>
      <c r="M67" s="429" t="str">
        <f ca="1">IFERROR(VLOOKUP(M$2,Rango_Admin_DailyPred,MATCH($F67,Rango_Admin_DailyPred_Primera,0)+1,0),"-")</f>
        <v>-</v>
      </c>
      <c r="N67" s="429" t="str">
        <f ca="1">IFERROR(VLOOKUP(N$2,Rango_Admin_DailyPred,MATCH($F67,Rango_Admin_DailyPred_Primera,0)+1,0),"-")</f>
        <v>-</v>
      </c>
      <c r="O67" s="429" t="str">
        <f ca="1">IFERROR(VLOOKUP(O$2,Rango_Admin_DailyPred,MATCH($F67,Rango_Admin_DailyPred_Primera,0)+1,0),"-")</f>
        <v>-</v>
      </c>
      <c r="P67" s="429" t="str">
        <f ca="1">IFERROR(VLOOKUP(P$2,Rango_Admin_DailyPred,MATCH($F67,Rango_Admin_DailyPred_Primera,0)+1,0),"-")</f>
        <v>-</v>
      </c>
      <c r="Q67" s="429" t="str">
        <f ca="1">IFERROR(VLOOKUP(Q$2,Rango_Admin_DailyPred,MATCH($F67,Rango_Admin_DailyPred_Primera,0)+1,0),"-")</f>
        <v>-</v>
      </c>
      <c r="R67" s="429" t="str">
        <f ca="1">IFERROR(VLOOKUP(R$2,Rango_Admin_DailyPred,MATCH($F67,Rango_Admin_DailyPred_Primera,0)+1,0),"-")</f>
        <v>-</v>
      </c>
      <c r="S67" s="429" t="str">
        <f ca="1">IFERROR(VLOOKUP(S$2,Rango_Admin_DailyPred,MATCH($F67,Rango_Admin_DailyPred_Primera,0)+1,0),"-")</f>
        <v>-</v>
      </c>
      <c r="T67" s="429" t="str">
        <f ca="1">IFERROR(VLOOKUP(T$2,Rango_Admin_DailyPred,MATCH($F67,Rango_Admin_DailyPred_Primera,0)+1,0),"-")</f>
        <v>-</v>
      </c>
      <c r="U67" s="429" t="str">
        <f ca="1">IFERROR(VLOOKUP(U$2,Rango_Admin_DailyPred,MATCH($F67,Rango_Admin_DailyPred_Primera,0)+1,0),"-")</f>
        <v>-</v>
      </c>
      <c r="V67" s="429" t="str">
        <f ca="1">IFERROR(VLOOKUP(V$2,Rango_Admin_DailyPred,MATCH($F67,Rango_Admin_DailyPred_Primera,0)+1,0),"-")</f>
        <v>-</v>
      </c>
      <c r="W67" s="429" t="str">
        <f ca="1">IFERROR(VLOOKUP(W$2,Rango_Admin_DailyPred,MATCH($F67,Rango_Admin_DailyPred_Primera,0)+1,0),"-")</f>
        <v>-</v>
      </c>
      <c r="X67" s="429" t="str">
        <f ca="1">IFERROR(VLOOKUP(X$2,Rango_Admin_DailyPred,MATCH($F67,Rango_Admin_DailyPred_Primera,0)+1,0),"-")</f>
        <v>-</v>
      </c>
      <c r="Y67" s="429" t="str">
        <f ca="1">IFERROR(VLOOKUP(Y$2,Rango_Admin_DailyPred,MATCH($F67,Rango_Admin_DailyPred_Primera,0)+1,0),"-")</f>
        <v>-</v>
      </c>
      <c r="Z67" s="429" t="str">
        <f ca="1">IFERROR(VLOOKUP(Z$2,Rango_Admin_DailyPred,MATCH($F67,Rango_Admin_DailyPred_Primera,0)+1,0),"-")</f>
        <v>-</v>
      </c>
      <c r="AA67" s="429" t="str">
        <f ca="1">IFERROR(VLOOKUP(AA$2,Rango_Admin_DailyPred,MATCH($F67,Rango_Admin_DailyPred_Primera,0)+1,0),"-")</f>
        <v>-</v>
      </c>
      <c r="AB67" s="429" t="str">
        <f ca="1">IFERROR(VLOOKUP(AB$2,Rango_Admin_DailyPred,MATCH($F67,Rango_Admin_DailyPred_Primera,0)+1,0),"-")</f>
        <v>-</v>
      </c>
      <c r="AC67" s="429" t="str">
        <f ca="1">IFERROR(VLOOKUP(AC$2,Rango_Admin_DailyPred,MATCH($F67,Rango_Admin_DailyPred_Primera,0)+1,0),"-")</f>
        <v>-</v>
      </c>
      <c r="AD67" s="429" t="str">
        <f ca="1">IFERROR(VLOOKUP(AD$2,Rango_Admin_DailyPred,MATCH($F67,Rango_Admin_DailyPred_Primera,0)+1,0),"-")</f>
        <v>-</v>
      </c>
      <c r="AE67" s="429" t="str">
        <f ca="1">IFERROR(VLOOKUP(AE$2,Rango_Admin_DailyPred,MATCH($F67,Rango_Admin_DailyPred_Primera,0)+1,0),"-")</f>
        <v>-</v>
      </c>
      <c r="AF67" s="429" t="str">
        <f ca="1">IFERROR(VLOOKUP(AF$2,Rango_Admin_DailyPred,MATCH($F67,Rango_Admin_DailyPred_Primera,0)+1,0),"-")</f>
        <v>-</v>
      </c>
      <c r="AG67" s="429" t="str">
        <f ca="1">IFERROR(VLOOKUP(AG$2,Rango_Admin_DailyPred,MATCH($F67,Rango_Admin_DailyPred_Primera,0)+1,0),"-")</f>
        <v>-</v>
      </c>
      <c r="AH67" s="429" t="str">
        <f ca="1">IFERROR(VLOOKUP(AH$2,Rango_Admin_DailyPred,MATCH($F67,Rango_Admin_DailyPred_Primera,0)+1,0),"-")</f>
        <v>-</v>
      </c>
      <c r="AI67" s="429" t="str">
        <f ca="1">IFERROR(VLOOKUP(AI$2,Rango_Admin_DailyPred,MATCH($F67,Rango_Admin_DailyPred_Primera,0)+1,0),"-")</f>
        <v>-</v>
      </c>
      <c r="AJ67" s="429" t="str">
        <f ca="1">IFERROR(VLOOKUP(AJ$2,Rango_Admin_DailyPred,MATCH($F67,Rango_Admin_DailyPred_Primera,0)+1,0),"-")</f>
        <v>-</v>
      </c>
      <c r="AK67" s="429" t="str">
        <f ca="1">IFERROR(VLOOKUP(AK$2,Rango_Admin_DailyPred,MATCH($F67,Rango_Admin_DailyPred_Primera,0)+1,0),"-")</f>
        <v>-</v>
      </c>
      <c r="AL67" s="429" t="str">
        <f ca="1">IFERROR(VLOOKUP(AL$2,Rango_Admin_DailyPred,MATCH($F67,Rango_Admin_DailyPred_Primera,0)+1,0),"-")</f>
        <v>-</v>
      </c>
      <c r="AM67" s="429" t="str">
        <f ca="1">IFERROR(VLOOKUP(AM$2,Rango_Admin_DailyPred,MATCH($F67,Rango_Admin_DailyPred_Primera,0)+1,0),"-")</f>
        <v>-</v>
      </c>
      <c r="AN67" s="297"/>
    </row>
    <row r="68" spans="1:40">
      <c r="A68" s="8"/>
      <c r="B68" s="8"/>
      <c r="C68" s="8">
        <v>65</v>
      </c>
      <c r="D68" s="19"/>
      <c r="E68" s="409" t="str">
        <f ca="1">IFERROR(HLOOKUP(C68,Rango_Admin_DailyClas,3,FALSE),"-")</f>
        <v>-</v>
      </c>
      <c r="F68" s="448" t="str">
        <f ca="1">IFERROR(HLOOKUP(C68,Rango_Admin_DailyClas,5,FALSE),"-")</f>
        <v>-</v>
      </c>
      <c r="G68" s="22" t="str">
        <f ca="1">IFERROR(HLOOKUP(C68,Rango_Admin_DailyClas,4,FALSE),"-")</f>
        <v>-</v>
      </c>
      <c r="H68" s="429" t="str">
        <f ca="1">IFERROR(VLOOKUP(H$2,Rango_Admin_DailyPred,MATCH($F68,Rango_Admin_DailyPred_Primera,0)+1,0),"-")</f>
        <v>-</v>
      </c>
      <c r="I68" s="429" t="str">
        <f ca="1">IFERROR(VLOOKUP(I$2,Rango_Admin_DailyPred,MATCH($F68,Rango_Admin_DailyPred_Primera,0)+1,0),"-")</f>
        <v>-</v>
      </c>
      <c r="J68" s="429" t="str">
        <f ca="1">IFERROR(VLOOKUP(J$2,Rango_Admin_DailyPred,MATCH($F68,Rango_Admin_DailyPred_Primera,0)+1,0),"-")</f>
        <v>-</v>
      </c>
      <c r="K68" s="429" t="str">
        <f ca="1">IFERROR(VLOOKUP(K$2,Rango_Admin_DailyPred,MATCH($F68,Rango_Admin_DailyPred_Primera,0)+1,0),"-")</f>
        <v>-</v>
      </c>
      <c r="L68" s="429" t="str">
        <f ca="1">IFERROR(VLOOKUP(L$2,Rango_Admin_DailyPred,MATCH($F68,Rango_Admin_DailyPred_Primera,0)+1,0),"-")</f>
        <v>-</v>
      </c>
      <c r="M68" s="429" t="str">
        <f ca="1">IFERROR(VLOOKUP(M$2,Rango_Admin_DailyPred,MATCH($F68,Rango_Admin_DailyPred_Primera,0)+1,0),"-")</f>
        <v>-</v>
      </c>
      <c r="N68" s="429" t="str">
        <f ca="1">IFERROR(VLOOKUP(N$2,Rango_Admin_DailyPred,MATCH($F68,Rango_Admin_DailyPred_Primera,0)+1,0),"-")</f>
        <v>-</v>
      </c>
      <c r="O68" s="429" t="str">
        <f ca="1">IFERROR(VLOOKUP(O$2,Rango_Admin_DailyPred,MATCH($F68,Rango_Admin_DailyPred_Primera,0)+1,0),"-")</f>
        <v>-</v>
      </c>
      <c r="P68" s="429" t="str">
        <f ca="1">IFERROR(VLOOKUP(P$2,Rango_Admin_DailyPred,MATCH($F68,Rango_Admin_DailyPred_Primera,0)+1,0),"-")</f>
        <v>-</v>
      </c>
      <c r="Q68" s="429" t="str">
        <f ca="1">IFERROR(VLOOKUP(Q$2,Rango_Admin_DailyPred,MATCH($F68,Rango_Admin_DailyPred_Primera,0)+1,0),"-")</f>
        <v>-</v>
      </c>
      <c r="R68" s="429" t="str">
        <f ca="1">IFERROR(VLOOKUP(R$2,Rango_Admin_DailyPred,MATCH($F68,Rango_Admin_DailyPred_Primera,0)+1,0),"-")</f>
        <v>-</v>
      </c>
      <c r="S68" s="429" t="str">
        <f ca="1">IFERROR(VLOOKUP(S$2,Rango_Admin_DailyPred,MATCH($F68,Rango_Admin_DailyPred_Primera,0)+1,0),"-")</f>
        <v>-</v>
      </c>
      <c r="T68" s="429" t="str">
        <f ca="1">IFERROR(VLOOKUP(T$2,Rango_Admin_DailyPred,MATCH($F68,Rango_Admin_DailyPred_Primera,0)+1,0),"-")</f>
        <v>-</v>
      </c>
      <c r="U68" s="429" t="str">
        <f ca="1">IFERROR(VLOOKUP(U$2,Rango_Admin_DailyPred,MATCH($F68,Rango_Admin_DailyPred_Primera,0)+1,0),"-")</f>
        <v>-</v>
      </c>
      <c r="V68" s="429" t="str">
        <f ca="1">IFERROR(VLOOKUP(V$2,Rango_Admin_DailyPred,MATCH($F68,Rango_Admin_DailyPred_Primera,0)+1,0),"-")</f>
        <v>-</v>
      </c>
      <c r="W68" s="429" t="str">
        <f ca="1">IFERROR(VLOOKUP(W$2,Rango_Admin_DailyPred,MATCH($F68,Rango_Admin_DailyPred_Primera,0)+1,0),"-")</f>
        <v>-</v>
      </c>
      <c r="X68" s="429" t="str">
        <f ca="1">IFERROR(VLOOKUP(X$2,Rango_Admin_DailyPred,MATCH($F68,Rango_Admin_DailyPred_Primera,0)+1,0),"-")</f>
        <v>-</v>
      </c>
      <c r="Y68" s="429" t="str">
        <f ca="1">IFERROR(VLOOKUP(Y$2,Rango_Admin_DailyPred,MATCH($F68,Rango_Admin_DailyPred_Primera,0)+1,0),"-")</f>
        <v>-</v>
      </c>
      <c r="Z68" s="429" t="str">
        <f ca="1">IFERROR(VLOOKUP(Z$2,Rango_Admin_DailyPred,MATCH($F68,Rango_Admin_DailyPred_Primera,0)+1,0),"-")</f>
        <v>-</v>
      </c>
      <c r="AA68" s="429" t="str">
        <f ca="1">IFERROR(VLOOKUP(AA$2,Rango_Admin_DailyPred,MATCH($F68,Rango_Admin_DailyPred_Primera,0)+1,0),"-")</f>
        <v>-</v>
      </c>
      <c r="AB68" s="429" t="str">
        <f ca="1">IFERROR(VLOOKUP(AB$2,Rango_Admin_DailyPred,MATCH($F68,Rango_Admin_DailyPred_Primera,0)+1,0),"-")</f>
        <v>-</v>
      </c>
      <c r="AC68" s="429" t="str">
        <f ca="1">IFERROR(VLOOKUP(AC$2,Rango_Admin_DailyPred,MATCH($F68,Rango_Admin_DailyPred_Primera,0)+1,0),"-")</f>
        <v>-</v>
      </c>
      <c r="AD68" s="429" t="str">
        <f ca="1">IFERROR(VLOOKUP(AD$2,Rango_Admin_DailyPred,MATCH($F68,Rango_Admin_DailyPred_Primera,0)+1,0),"-")</f>
        <v>-</v>
      </c>
      <c r="AE68" s="429" t="str">
        <f ca="1">IFERROR(VLOOKUP(AE$2,Rango_Admin_DailyPred,MATCH($F68,Rango_Admin_DailyPred_Primera,0)+1,0),"-")</f>
        <v>-</v>
      </c>
      <c r="AF68" s="429" t="str">
        <f ca="1">IFERROR(VLOOKUP(AF$2,Rango_Admin_DailyPred,MATCH($F68,Rango_Admin_DailyPred_Primera,0)+1,0),"-")</f>
        <v>-</v>
      </c>
      <c r="AG68" s="429" t="str">
        <f ca="1">IFERROR(VLOOKUP(AG$2,Rango_Admin_DailyPred,MATCH($F68,Rango_Admin_DailyPred_Primera,0)+1,0),"-")</f>
        <v>-</v>
      </c>
      <c r="AH68" s="429" t="str">
        <f ca="1">IFERROR(VLOOKUP(AH$2,Rango_Admin_DailyPred,MATCH($F68,Rango_Admin_DailyPred_Primera,0)+1,0),"-")</f>
        <v>-</v>
      </c>
      <c r="AI68" s="429" t="str">
        <f ca="1">IFERROR(VLOOKUP(AI$2,Rango_Admin_DailyPred,MATCH($F68,Rango_Admin_DailyPred_Primera,0)+1,0),"-")</f>
        <v>-</v>
      </c>
      <c r="AJ68" s="429" t="str">
        <f ca="1">IFERROR(VLOOKUP(AJ$2,Rango_Admin_DailyPred,MATCH($F68,Rango_Admin_DailyPred_Primera,0)+1,0),"-")</f>
        <v>-</v>
      </c>
      <c r="AK68" s="429" t="str">
        <f ca="1">IFERROR(VLOOKUP(AK$2,Rango_Admin_DailyPred,MATCH($F68,Rango_Admin_DailyPred_Primera,0)+1,0),"-")</f>
        <v>-</v>
      </c>
      <c r="AL68" s="429" t="str">
        <f ca="1">IFERROR(VLOOKUP(AL$2,Rango_Admin_DailyPred,MATCH($F68,Rango_Admin_DailyPred_Primera,0)+1,0),"-")</f>
        <v>-</v>
      </c>
      <c r="AM68" s="429" t="str">
        <f ca="1">IFERROR(VLOOKUP(AM$2,Rango_Admin_DailyPred,MATCH($F68,Rango_Admin_DailyPred_Primera,0)+1,0),"-")</f>
        <v>-</v>
      </c>
      <c r="AN68" s="297"/>
    </row>
    <row r="69" spans="1:40">
      <c r="A69" s="8"/>
      <c r="B69" s="8"/>
      <c r="C69" s="8">
        <v>66</v>
      </c>
      <c r="D69" s="19"/>
      <c r="E69" s="409" t="str">
        <f ca="1">IFERROR(HLOOKUP(C69,Rango_Admin_DailyClas,3,FALSE),"-")</f>
        <v>-</v>
      </c>
      <c r="F69" s="448" t="str">
        <f ca="1">IFERROR(HLOOKUP(C69,Rango_Admin_DailyClas,5,FALSE),"-")</f>
        <v>-</v>
      </c>
      <c r="G69" s="22" t="str">
        <f ca="1">IFERROR(HLOOKUP(C69,Rango_Admin_DailyClas,4,FALSE),"-")</f>
        <v>-</v>
      </c>
      <c r="H69" s="429" t="str">
        <f ca="1">IFERROR(VLOOKUP(H$2,Rango_Admin_DailyPred,MATCH($F69,Rango_Admin_DailyPred_Primera,0)+1,0),"-")</f>
        <v>-</v>
      </c>
      <c r="I69" s="429" t="str">
        <f ca="1">IFERROR(VLOOKUP(I$2,Rango_Admin_DailyPred,MATCH($F69,Rango_Admin_DailyPred_Primera,0)+1,0),"-")</f>
        <v>-</v>
      </c>
      <c r="J69" s="429" t="str">
        <f ca="1">IFERROR(VLOOKUP(J$2,Rango_Admin_DailyPred,MATCH($F69,Rango_Admin_DailyPred_Primera,0)+1,0),"-")</f>
        <v>-</v>
      </c>
      <c r="K69" s="429" t="str">
        <f ca="1">IFERROR(VLOOKUP(K$2,Rango_Admin_DailyPred,MATCH($F69,Rango_Admin_DailyPred_Primera,0)+1,0),"-")</f>
        <v>-</v>
      </c>
      <c r="L69" s="429" t="str">
        <f ca="1">IFERROR(VLOOKUP(L$2,Rango_Admin_DailyPred,MATCH($F69,Rango_Admin_DailyPred_Primera,0)+1,0),"-")</f>
        <v>-</v>
      </c>
      <c r="M69" s="429" t="str">
        <f ca="1">IFERROR(VLOOKUP(M$2,Rango_Admin_DailyPred,MATCH($F69,Rango_Admin_DailyPred_Primera,0)+1,0),"-")</f>
        <v>-</v>
      </c>
      <c r="N69" s="429" t="str">
        <f ca="1">IFERROR(VLOOKUP(N$2,Rango_Admin_DailyPred,MATCH($F69,Rango_Admin_DailyPred_Primera,0)+1,0),"-")</f>
        <v>-</v>
      </c>
      <c r="O69" s="429" t="str">
        <f ca="1">IFERROR(VLOOKUP(O$2,Rango_Admin_DailyPred,MATCH($F69,Rango_Admin_DailyPred_Primera,0)+1,0),"-")</f>
        <v>-</v>
      </c>
      <c r="P69" s="429" t="str">
        <f ca="1">IFERROR(VLOOKUP(P$2,Rango_Admin_DailyPred,MATCH($F69,Rango_Admin_DailyPred_Primera,0)+1,0),"-")</f>
        <v>-</v>
      </c>
      <c r="Q69" s="429" t="str">
        <f ca="1">IFERROR(VLOOKUP(Q$2,Rango_Admin_DailyPred,MATCH($F69,Rango_Admin_DailyPred_Primera,0)+1,0),"-")</f>
        <v>-</v>
      </c>
      <c r="R69" s="429" t="str">
        <f ca="1">IFERROR(VLOOKUP(R$2,Rango_Admin_DailyPred,MATCH($F69,Rango_Admin_DailyPred_Primera,0)+1,0),"-")</f>
        <v>-</v>
      </c>
      <c r="S69" s="429" t="str">
        <f ca="1">IFERROR(VLOOKUP(S$2,Rango_Admin_DailyPred,MATCH($F69,Rango_Admin_DailyPred_Primera,0)+1,0),"-")</f>
        <v>-</v>
      </c>
      <c r="T69" s="429" t="str">
        <f ca="1">IFERROR(VLOOKUP(T$2,Rango_Admin_DailyPred,MATCH($F69,Rango_Admin_DailyPred_Primera,0)+1,0),"-")</f>
        <v>-</v>
      </c>
      <c r="U69" s="429" t="str">
        <f ca="1">IFERROR(VLOOKUP(U$2,Rango_Admin_DailyPred,MATCH($F69,Rango_Admin_DailyPred_Primera,0)+1,0),"-")</f>
        <v>-</v>
      </c>
      <c r="V69" s="429" t="str">
        <f ca="1">IFERROR(VLOOKUP(V$2,Rango_Admin_DailyPred,MATCH($F69,Rango_Admin_DailyPred_Primera,0)+1,0),"-")</f>
        <v>-</v>
      </c>
      <c r="W69" s="429" t="str">
        <f ca="1">IFERROR(VLOOKUP(W$2,Rango_Admin_DailyPred,MATCH($F69,Rango_Admin_DailyPred_Primera,0)+1,0),"-")</f>
        <v>-</v>
      </c>
      <c r="X69" s="429" t="str">
        <f ca="1">IFERROR(VLOOKUP(X$2,Rango_Admin_DailyPred,MATCH($F69,Rango_Admin_DailyPred_Primera,0)+1,0),"-")</f>
        <v>-</v>
      </c>
      <c r="Y69" s="429" t="str">
        <f ca="1">IFERROR(VLOOKUP(Y$2,Rango_Admin_DailyPred,MATCH($F69,Rango_Admin_DailyPred_Primera,0)+1,0),"-")</f>
        <v>-</v>
      </c>
      <c r="Z69" s="429" t="str">
        <f ca="1">IFERROR(VLOOKUP(Z$2,Rango_Admin_DailyPred,MATCH($F69,Rango_Admin_DailyPred_Primera,0)+1,0),"-")</f>
        <v>-</v>
      </c>
      <c r="AA69" s="429" t="str">
        <f ca="1">IFERROR(VLOOKUP(AA$2,Rango_Admin_DailyPred,MATCH($F69,Rango_Admin_DailyPred_Primera,0)+1,0),"-")</f>
        <v>-</v>
      </c>
      <c r="AB69" s="429" t="str">
        <f ca="1">IFERROR(VLOOKUP(AB$2,Rango_Admin_DailyPred,MATCH($F69,Rango_Admin_DailyPred_Primera,0)+1,0),"-")</f>
        <v>-</v>
      </c>
      <c r="AC69" s="429" t="str">
        <f ca="1">IFERROR(VLOOKUP(AC$2,Rango_Admin_DailyPred,MATCH($F69,Rango_Admin_DailyPred_Primera,0)+1,0),"-")</f>
        <v>-</v>
      </c>
      <c r="AD69" s="429" t="str">
        <f ca="1">IFERROR(VLOOKUP(AD$2,Rango_Admin_DailyPred,MATCH($F69,Rango_Admin_DailyPred_Primera,0)+1,0),"-")</f>
        <v>-</v>
      </c>
      <c r="AE69" s="429" t="str">
        <f ca="1">IFERROR(VLOOKUP(AE$2,Rango_Admin_DailyPred,MATCH($F69,Rango_Admin_DailyPred_Primera,0)+1,0),"-")</f>
        <v>-</v>
      </c>
      <c r="AF69" s="429" t="str">
        <f ca="1">IFERROR(VLOOKUP(AF$2,Rango_Admin_DailyPred,MATCH($F69,Rango_Admin_DailyPred_Primera,0)+1,0),"-")</f>
        <v>-</v>
      </c>
      <c r="AG69" s="429" t="str">
        <f ca="1">IFERROR(VLOOKUP(AG$2,Rango_Admin_DailyPred,MATCH($F69,Rango_Admin_DailyPred_Primera,0)+1,0),"-")</f>
        <v>-</v>
      </c>
      <c r="AH69" s="429" t="str">
        <f ca="1">IFERROR(VLOOKUP(AH$2,Rango_Admin_DailyPred,MATCH($F69,Rango_Admin_DailyPred_Primera,0)+1,0),"-")</f>
        <v>-</v>
      </c>
      <c r="AI69" s="429" t="str">
        <f ca="1">IFERROR(VLOOKUP(AI$2,Rango_Admin_DailyPred,MATCH($F69,Rango_Admin_DailyPred_Primera,0)+1,0),"-")</f>
        <v>-</v>
      </c>
      <c r="AJ69" s="429" t="str">
        <f ca="1">IFERROR(VLOOKUP(AJ$2,Rango_Admin_DailyPred,MATCH($F69,Rango_Admin_DailyPred_Primera,0)+1,0),"-")</f>
        <v>-</v>
      </c>
      <c r="AK69" s="429" t="str">
        <f ca="1">IFERROR(VLOOKUP(AK$2,Rango_Admin_DailyPred,MATCH($F69,Rango_Admin_DailyPred_Primera,0)+1,0),"-")</f>
        <v>-</v>
      </c>
      <c r="AL69" s="429" t="str">
        <f ca="1">IFERROR(VLOOKUP(AL$2,Rango_Admin_DailyPred,MATCH($F69,Rango_Admin_DailyPred_Primera,0)+1,0),"-")</f>
        <v>-</v>
      </c>
      <c r="AM69" s="429" t="str">
        <f ca="1">IFERROR(VLOOKUP(AM$2,Rango_Admin_DailyPred,MATCH($F69,Rango_Admin_DailyPred_Primera,0)+1,0),"-")</f>
        <v>-</v>
      </c>
      <c r="AN69" s="297"/>
    </row>
    <row r="70" spans="1:40">
      <c r="A70" s="8"/>
      <c r="B70" s="8"/>
      <c r="C70" s="8">
        <v>67</v>
      </c>
      <c r="D70" s="19"/>
      <c r="E70" s="409" t="str">
        <f ca="1">IFERROR(HLOOKUP(C70,Rango_Admin_DailyClas,3,FALSE),"-")</f>
        <v>-</v>
      </c>
      <c r="F70" s="448" t="str">
        <f ca="1">IFERROR(HLOOKUP(C70,Rango_Admin_DailyClas,5,FALSE),"-")</f>
        <v>-</v>
      </c>
      <c r="G70" s="22" t="str">
        <f ca="1">IFERROR(HLOOKUP(C70,Rango_Admin_DailyClas,4,FALSE),"-")</f>
        <v>-</v>
      </c>
      <c r="H70" s="429" t="str">
        <f ca="1">IFERROR(VLOOKUP(H$2,Rango_Admin_DailyPred,MATCH($F70,Rango_Admin_DailyPred_Primera,0)+1,0),"-")</f>
        <v>-</v>
      </c>
      <c r="I70" s="429" t="str">
        <f ca="1">IFERROR(VLOOKUP(I$2,Rango_Admin_DailyPred,MATCH($F70,Rango_Admin_DailyPred_Primera,0)+1,0),"-")</f>
        <v>-</v>
      </c>
      <c r="J70" s="429" t="str">
        <f ca="1">IFERROR(VLOOKUP(J$2,Rango_Admin_DailyPred,MATCH($F70,Rango_Admin_DailyPred_Primera,0)+1,0),"-")</f>
        <v>-</v>
      </c>
      <c r="K70" s="429" t="str">
        <f ca="1">IFERROR(VLOOKUP(K$2,Rango_Admin_DailyPred,MATCH($F70,Rango_Admin_DailyPred_Primera,0)+1,0),"-")</f>
        <v>-</v>
      </c>
      <c r="L70" s="429" t="str">
        <f ca="1">IFERROR(VLOOKUP(L$2,Rango_Admin_DailyPred,MATCH($F70,Rango_Admin_DailyPred_Primera,0)+1,0),"-")</f>
        <v>-</v>
      </c>
      <c r="M70" s="429" t="str">
        <f ca="1">IFERROR(VLOOKUP(M$2,Rango_Admin_DailyPred,MATCH($F70,Rango_Admin_DailyPred_Primera,0)+1,0),"-")</f>
        <v>-</v>
      </c>
      <c r="N70" s="429" t="str">
        <f ca="1">IFERROR(VLOOKUP(N$2,Rango_Admin_DailyPred,MATCH($F70,Rango_Admin_DailyPred_Primera,0)+1,0),"-")</f>
        <v>-</v>
      </c>
      <c r="O70" s="429" t="str">
        <f ca="1">IFERROR(VLOOKUP(O$2,Rango_Admin_DailyPred,MATCH($F70,Rango_Admin_DailyPred_Primera,0)+1,0),"-")</f>
        <v>-</v>
      </c>
      <c r="P70" s="429" t="str">
        <f ca="1">IFERROR(VLOOKUP(P$2,Rango_Admin_DailyPred,MATCH($F70,Rango_Admin_DailyPred_Primera,0)+1,0),"-")</f>
        <v>-</v>
      </c>
      <c r="Q70" s="429" t="str">
        <f ca="1">IFERROR(VLOOKUP(Q$2,Rango_Admin_DailyPred,MATCH($F70,Rango_Admin_DailyPred_Primera,0)+1,0),"-")</f>
        <v>-</v>
      </c>
      <c r="R70" s="429" t="str">
        <f ca="1">IFERROR(VLOOKUP(R$2,Rango_Admin_DailyPred,MATCH($F70,Rango_Admin_DailyPred_Primera,0)+1,0),"-")</f>
        <v>-</v>
      </c>
      <c r="S70" s="429" t="str">
        <f ca="1">IFERROR(VLOOKUP(S$2,Rango_Admin_DailyPred,MATCH($F70,Rango_Admin_DailyPred_Primera,0)+1,0),"-")</f>
        <v>-</v>
      </c>
      <c r="T70" s="429" t="str">
        <f ca="1">IFERROR(VLOOKUP(T$2,Rango_Admin_DailyPred,MATCH($F70,Rango_Admin_DailyPred_Primera,0)+1,0),"-")</f>
        <v>-</v>
      </c>
      <c r="U70" s="429" t="str">
        <f ca="1">IFERROR(VLOOKUP(U$2,Rango_Admin_DailyPred,MATCH($F70,Rango_Admin_DailyPred_Primera,0)+1,0),"-")</f>
        <v>-</v>
      </c>
      <c r="V70" s="429" t="str">
        <f ca="1">IFERROR(VLOOKUP(V$2,Rango_Admin_DailyPred,MATCH($F70,Rango_Admin_DailyPred_Primera,0)+1,0),"-")</f>
        <v>-</v>
      </c>
      <c r="W70" s="429" t="str">
        <f ca="1">IFERROR(VLOOKUP(W$2,Rango_Admin_DailyPred,MATCH($F70,Rango_Admin_DailyPred_Primera,0)+1,0),"-")</f>
        <v>-</v>
      </c>
      <c r="X70" s="429" t="str">
        <f ca="1">IFERROR(VLOOKUP(X$2,Rango_Admin_DailyPred,MATCH($F70,Rango_Admin_DailyPred_Primera,0)+1,0),"-")</f>
        <v>-</v>
      </c>
      <c r="Y70" s="429" t="str">
        <f ca="1">IFERROR(VLOOKUP(Y$2,Rango_Admin_DailyPred,MATCH($F70,Rango_Admin_DailyPred_Primera,0)+1,0),"-")</f>
        <v>-</v>
      </c>
      <c r="Z70" s="429" t="str">
        <f ca="1">IFERROR(VLOOKUP(Z$2,Rango_Admin_DailyPred,MATCH($F70,Rango_Admin_DailyPred_Primera,0)+1,0),"-")</f>
        <v>-</v>
      </c>
      <c r="AA70" s="429" t="str">
        <f ca="1">IFERROR(VLOOKUP(AA$2,Rango_Admin_DailyPred,MATCH($F70,Rango_Admin_DailyPred_Primera,0)+1,0),"-")</f>
        <v>-</v>
      </c>
      <c r="AB70" s="429" t="str">
        <f ca="1">IFERROR(VLOOKUP(AB$2,Rango_Admin_DailyPred,MATCH($F70,Rango_Admin_DailyPred_Primera,0)+1,0),"-")</f>
        <v>-</v>
      </c>
      <c r="AC70" s="429" t="str">
        <f ca="1">IFERROR(VLOOKUP(AC$2,Rango_Admin_DailyPred,MATCH($F70,Rango_Admin_DailyPred_Primera,0)+1,0),"-")</f>
        <v>-</v>
      </c>
      <c r="AD70" s="429" t="str">
        <f ca="1">IFERROR(VLOOKUP(AD$2,Rango_Admin_DailyPred,MATCH($F70,Rango_Admin_DailyPred_Primera,0)+1,0),"-")</f>
        <v>-</v>
      </c>
      <c r="AE70" s="429" t="str">
        <f ca="1">IFERROR(VLOOKUP(AE$2,Rango_Admin_DailyPred,MATCH($F70,Rango_Admin_DailyPred_Primera,0)+1,0),"-")</f>
        <v>-</v>
      </c>
      <c r="AF70" s="429" t="str">
        <f ca="1">IFERROR(VLOOKUP(AF$2,Rango_Admin_DailyPred,MATCH($F70,Rango_Admin_DailyPred_Primera,0)+1,0),"-")</f>
        <v>-</v>
      </c>
      <c r="AG70" s="429" t="str">
        <f ca="1">IFERROR(VLOOKUP(AG$2,Rango_Admin_DailyPred,MATCH($F70,Rango_Admin_DailyPred_Primera,0)+1,0),"-")</f>
        <v>-</v>
      </c>
      <c r="AH70" s="429" t="str">
        <f ca="1">IFERROR(VLOOKUP(AH$2,Rango_Admin_DailyPred,MATCH($F70,Rango_Admin_DailyPred_Primera,0)+1,0),"-")</f>
        <v>-</v>
      </c>
      <c r="AI70" s="429" t="str">
        <f ca="1">IFERROR(VLOOKUP(AI$2,Rango_Admin_DailyPred,MATCH($F70,Rango_Admin_DailyPred_Primera,0)+1,0),"-")</f>
        <v>-</v>
      </c>
      <c r="AJ70" s="429" t="str">
        <f ca="1">IFERROR(VLOOKUP(AJ$2,Rango_Admin_DailyPred,MATCH($F70,Rango_Admin_DailyPred_Primera,0)+1,0),"-")</f>
        <v>-</v>
      </c>
      <c r="AK70" s="429" t="str">
        <f ca="1">IFERROR(VLOOKUP(AK$2,Rango_Admin_DailyPred,MATCH($F70,Rango_Admin_DailyPred_Primera,0)+1,0),"-")</f>
        <v>-</v>
      </c>
      <c r="AL70" s="429" t="str">
        <f ca="1">IFERROR(VLOOKUP(AL$2,Rango_Admin_DailyPred,MATCH($F70,Rango_Admin_DailyPred_Primera,0)+1,0),"-")</f>
        <v>-</v>
      </c>
      <c r="AM70" s="429" t="str">
        <f ca="1">IFERROR(VLOOKUP(AM$2,Rango_Admin_DailyPred,MATCH($F70,Rango_Admin_DailyPred_Primera,0)+1,0),"-")</f>
        <v>-</v>
      </c>
      <c r="AN70" s="297"/>
    </row>
    <row r="71" spans="1:40">
      <c r="A71" s="8"/>
      <c r="B71" s="8"/>
      <c r="C71" s="8">
        <v>68</v>
      </c>
      <c r="D71" s="19"/>
      <c r="E71" s="409" t="str">
        <f ca="1">IFERROR(HLOOKUP(C71,Rango_Admin_DailyClas,3,FALSE),"-")</f>
        <v>-</v>
      </c>
      <c r="F71" s="448" t="str">
        <f ca="1">IFERROR(HLOOKUP(C71,Rango_Admin_DailyClas,5,FALSE),"-")</f>
        <v>-</v>
      </c>
      <c r="G71" s="22" t="str">
        <f ca="1">IFERROR(HLOOKUP(C71,Rango_Admin_DailyClas,4,FALSE),"-")</f>
        <v>-</v>
      </c>
      <c r="H71" s="429" t="str">
        <f ca="1">IFERROR(VLOOKUP(H$2,Rango_Admin_DailyPred,MATCH($F71,Rango_Admin_DailyPred_Primera,0)+1,0),"-")</f>
        <v>-</v>
      </c>
      <c r="I71" s="429" t="str">
        <f ca="1">IFERROR(VLOOKUP(I$2,Rango_Admin_DailyPred,MATCH($F71,Rango_Admin_DailyPred_Primera,0)+1,0),"-")</f>
        <v>-</v>
      </c>
      <c r="J71" s="429" t="str">
        <f ca="1">IFERROR(VLOOKUP(J$2,Rango_Admin_DailyPred,MATCH($F71,Rango_Admin_DailyPred_Primera,0)+1,0),"-")</f>
        <v>-</v>
      </c>
      <c r="K71" s="429" t="str">
        <f ca="1">IFERROR(VLOOKUP(K$2,Rango_Admin_DailyPred,MATCH($F71,Rango_Admin_DailyPred_Primera,0)+1,0),"-")</f>
        <v>-</v>
      </c>
      <c r="L71" s="429" t="str">
        <f ca="1">IFERROR(VLOOKUP(L$2,Rango_Admin_DailyPred,MATCH($F71,Rango_Admin_DailyPred_Primera,0)+1,0),"-")</f>
        <v>-</v>
      </c>
      <c r="M71" s="429" t="str">
        <f ca="1">IFERROR(VLOOKUP(M$2,Rango_Admin_DailyPred,MATCH($F71,Rango_Admin_DailyPred_Primera,0)+1,0),"-")</f>
        <v>-</v>
      </c>
      <c r="N71" s="429" t="str">
        <f ca="1">IFERROR(VLOOKUP(N$2,Rango_Admin_DailyPred,MATCH($F71,Rango_Admin_DailyPred_Primera,0)+1,0),"-")</f>
        <v>-</v>
      </c>
      <c r="O71" s="429" t="str">
        <f ca="1">IFERROR(VLOOKUP(O$2,Rango_Admin_DailyPred,MATCH($F71,Rango_Admin_DailyPred_Primera,0)+1,0),"-")</f>
        <v>-</v>
      </c>
      <c r="P71" s="429" t="str">
        <f ca="1">IFERROR(VLOOKUP(P$2,Rango_Admin_DailyPred,MATCH($F71,Rango_Admin_DailyPred_Primera,0)+1,0),"-")</f>
        <v>-</v>
      </c>
      <c r="Q71" s="429" t="str">
        <f ca="1">IFERROR(VLOOKUP(Q$2,Rango_Admin_DailyPred,MATCH($F71,Rango_Admin_DailyPred_Primera,0)+1,0),"-")</f>
        <v>-</v>
      </c>
      <c r="R71" s="429" t="str">
        <f ca="1">IFERROR(VLOOKUP(R$2,Rango_Admin_DailyPred,MATCH($F71,Rango_Admin_DailyPred_Primera,0)+1,0),"-")</f>
        <v>-</v>
      </c>
      <c r="S71" s="429" t="str">
        <f ca="1">IFERROR(VLOOKUP(S$2,Rango_Admin_DailyPred,MATCH($F71,Rango_Admin_DailyPred_Primera,0)+1,0),"-")</f>
        <v>-</v>
      </c>
      <c r="T71" s="429" t="str">
        <f ca="1">IFERROR(VLOOKUP(T$2,Rango_Admin_DailyPred,MATCH($F71,Rango_Admin_DailyPred_Primera,0)+1,0),"-")</f>
        <v>-</v>
      </c>
      <c r="U71" s="429" t="str">
        <f ca="1">IFERROR(VLOOKUP(U$2,Rango_Admin_DailyPred,MATCH($F71,Rango_Admin_DailyPred_Primera,0)+1,0),"-")</f>
        <v>-</v>
      </c>
      <c r="V71" s="429" t="str">
        <f ca="1">IFERROR(VLOOKUP(V$2,Rango_Admin_DailyPred,MATCH($F71,Rango_Admin_DailyPred_Primera,0)+1,0),"-")</f>
        <v>-</v>
      </c>
      <c r="W71" s="429" t="str">
        <f ca="1">IFERROR(VLOOKUP(W$2,Rango_Admin_DailyPred,MATCH($F71,Rango_Admin_DailyPred_Primera,0)+1,0),"-")</f>
        <v>-</v>
      </c>
      <c r="X71" s="429" t="str">
        <f ca="1">IFERROR(VLOOKUP(X$2,Rango_Admin_DailyPred,MATCH($F71,Rango_Admin_DailyPred_Primera,0)+1,0),"-")</f>
        <v>-</v>
      </c>
      <c r="Y71" s="429" t="str">
        <f ca="1">IFERROR(VLOOKUP(Y$2,Rango_Admin_DailyPred,MATCH($F71,Rango_Admin_DailyPred_Primera,0)+1,0),"-")</f>
        <v>-</v>
      </c>
      <c r="Z71" s="429" t="str">
        <f ca="1">IFERROR(VLOOKUP(Z$2,Rango_Admin_DailyPred,MATCH($F71,Rango_Admin_DailyPred_Primera,0)+1,0),"-")</f>
        <v>-</v>
      </c>
      <c r="AA71" s="429" t="str">
        <f ca="1">IFERROR(VLOOKUP(AA$2,Rango_Admin_DailyPred,MATCH($F71,Rango_Admin_DailyPred_Primera,0)+1,0),"-")</f>
        <v>-</v>
      </c>
      <c r="AB71" s="429" t="str">
        <f ca="1">IFERROR(VLOOKUP(AB$2,Rango_Admin_DailyPred,MATCH($F71,Rango_Admin_DailyPred_Primera,0)+1,0),"-")</f>
        <v>-</v>
      </c>
      <c r="AC71" s="429" t="str">
        <f ca="1">IFERROR(VLOOKUP(AC$2,Rango_Admin_DailyPred,MATCH($F71,Rango_Admin_DailyPred_Primera,0)+1,0),"-")</f>
        <v>-</v>
      </c>
      <c r="AD71" s="429" t="str">
        <f ca="1">IFERROR(VLOOKUP(AD$2,Rango_Admin_DailyPred,MATCH($F71,Rango_Admin_DailyPred_Primera,0)+1,0),"-")</f>
        <v>-</v>
      </c>
      <c r="AE71" s="429" t="str">
        <f ca="1">IFERROR(VLOOKUP(AE$2,Rango_Admin_DailyPred,MATCH($F71,Rango_Admin_DailyPred_Primera,0)+1,0),"-")</f>
        <v>-</v>
      </c>
      <c r="AF71" s="429" t="str">
        <f ca="1">IFERROR(VLOOKUP(AF$2,Rango_Admin_DailyPred,MATCH($F71,Rango_Admin_DailyPred_Primera,0)+1,0),"-")</f>
        <v>-</v>
      </c>
      <c r="AG71" s="429" t="str">
        <f ca="1">IFERROR(VLOOKUP(AG$2,Rango_Admin_DailyPred,MATCH($F71,Rango_Admin_DailyPred_Primera,0)+1,0),"-")</f>
        <v>-</v>
      </c>
      <c r="AH71" s="429" t="str">
        <f ca="1">IFERROR(VLOOKUP(AH$2,Rango_Admin_DailyPred,MATCH($F71,Rango_Admin_DailyPred_Primera,0)+1,0),"-")</f>
        <v>-</v>
      </c>
      <c r="AI71" s="429" t="str">
        <f ca="1">IFERROR(VLOOKUP(AI$2,Rango_Admin_DailyPred,MATCH($F71,Rango_Admin_DailyPred_Primera,0)+1,0),"-")</f>
        <v>-</v>
      </c>
      <c r="AJ71" s="429" t="str">
        <f ca="1">IFERROR(VLOOKUP(AJ$2,Rango_Admin_DailyPred,MATCH($F71,Rango_Admin_DailyPred_Primera,0)+1,0),"-")</f>
        <v>-</v>
      </c>
      <c r="AK71" s="429" t="str">
        <f ca="1">IFERROR(VLOOKUP(AK$2,Rango_Admin_DailyPred,MATCH($F71,Rango_Admin_DailyPred_Primera,0)+1,0),"-")</f>
        <v>-</v>
      </c>
      <c r="AL71" s="429" t="str">
        <f ca="1">IFERROR(VLOOKUP(AL$2,Rango_Admin_DailyPred,MATCH($F71,Rango_Admin_DailyPred_Primera,0)+1,0),"-")</f>
        <v>-</v>
      </c>
      <c r="AM71" s="429" t="str">
        <f ca="1">IFERROR(VLOOKUP(AM$2,Rango_Admin_DailyPred,MATCH($F71,Rango_Admin_DailyPred_Primera,0)+1,0),"-")</f>
        <v>-</v>
      </c>
      <c r="AN71" s="297"/>
    </row>
    <row r="72" spans="1:40">
      <c r="A72" s="8"/>
      <c r="B72" s="8"/>
      <c r="C72" s="8">
        <v>69</v>
      </c>
      <c r="D72" s="19"/>
      <c r="E72" s="409" t="str">
        <f ca="1">IFERROR(HLOOKUP(C72,Rango_Admin_DailyClas,3,FALSE),"-")</f>
        <v>-</v>
      </c>
      <c r="F72" s="448" t="str">
        <f ca="1">IFERROR(HLOOKUP(C72,Rango_Admin_DailyClas,5,FALSE),"-")</f>
        <v>-</v>
      </c>
      <c r="G72" s="22" t="str">
        <f ca="1">IFERROR(HLOOKUP(C72,Rango_Admin_DailyClas,4,FALSE),"-")</f>
        <v>-</v>
      </c>
      <c r="H72" s="429" t="str">
        <f ca="1">IFERROR(VLOOKUP(H$2,Rango_Admin_DailyPred,MATCH($F72,Rango_Admin_DailyPred_Primera,0)+1,0),"-")</f>
        <v>-</v>
      </c>
      <c r="I72" s="429" t="str">
        <f ca="1">IFERROR(VLOOKUP(I$2,Rango_Admin_DailyPred,MATCH($F72,Rango_Admin_DailyPred_Primera,0)+1,0),"-")</f>
        <v>-</v>
      </c>
      <c r="J72" s="429" t="str">
        <f ca="1">IFERROR(VLOOKUP(J$2,Rango_Admin_DailyPred,MATCH($F72,Rango_Admin_DailyPred_Primera,0)+1,0),"-")</f>
        <v>-</v>
      </c>
      <c r="K72" s="429" t="str">
        <f ca="1">IFERROR(VLOOKUP(K$2,Rango_Admin_DailyPred,MATCH($F72,Rango_Admin_DailyPred_Primera,0)+1,0),"-")</f>
        <v>-</v>
      </c>
      <c r="L72" s="429" t="str">
        <f ca="1">IFERROR(VLOOKUP(L$2,Rango_Admin_DailyPred,MATCH($F72,Rango_Admin_DailyPred_Primera,0)+1,0),"-")</f>
        <v>-</v>
      </c>
      <c r="M72" s="429" t="str">
        <f ca="1">IFERROR(VLOOKUP(M$2,Rango_Admin_DailyPred,MATCH($F72,Rango_Admin_DailyPred_Primera,0)+1,0),"-")</f>
        <v>-</v>
      </c>
      <c r="N72" s="429" t="str">
        <f ca="1">IFERROR(VLOOKUP(N$2,Rango_Admin_DailyPred,MATCH($F72,Rango_Admin_DailyPred_Primera,0)+1,0),"-")</f>
        <v>-</v>
      </c>
      <c r="O72" s="429" t="str">
        <f ca="1">IFERROR(VLOOKUP(O$2,Rango_Admin_DailyPred,MATCH($F72,Rango_Admin_DailyPred_Primera,0)+1,0),"-")</f>
        <v>-</v>
      </c>
      <c r="P72" s="429" t="str">
        <f ca="1">IFERROR(VLOOKUP(P$2,Rango_Admin_DailyPred,MATCH($F72,Rango_Admin_DailyPred_Primera,0)+1,0),"-")</f>
        <v>-</v>
      </c>
      <c r="Q72" s="429" t="str">
        <f ca="1">IFERROR(VLOOKUP(Q$2,Rango_Admin_DailyPred,MATCH($F72,Rango_Admin_DailyPred_Primera,0)+1,0),"-")</f>
        <v>-</v>
      </c>
      <c r="R72" s="429" t="str">
        <f ca="1">IFERROR(VLOOKUP(R$2,Rango_Admin_DailyPred,MATCH($F72,Rango_Admin_DailyPred_Primera,0)+1,0),"-")</f>
        <v>-</v>
      </c>
      <c r="S72" s="429" t="str">
        <f ca="1">IFERROR(VLOOKUP(S$2,Rango_Admin_DailyPred,MATCH($F72,Rango_Admin_DailyPred_Primera,0)+1,0),"-")</f>
        <v>-</v>
      </c>
      <c r="T72" s="429" t="str">
        <f ca="1">IFERROR(VLOOKUP(T$2,Rango_Admin_DailyPred,MATCH($F72,Rango_Admin_DailyPred_Primera,0)+1,0),"-")</f>
        <v>-</v>
      </c>
      <c r="U72" s="429" t="str">
        <f ca="1">IFERROR(VLOOKUP(U$2,Rango_Admin_DailyPred,MATCH($F72,Rango_Admin_DailyPred_Primera,0)+1,0),"-")</f>
        <v>-</v>
      </c>
      <c r="V72" s="429" t="str">
        <f ca="1">IFERROR(VLOOKUP(V$2,Rango_Admin_DailyPred,MATCH($F72,Rango_Admin_DailyPred_Primera,0)+1,0),"-")</f>
        <v>-</v>
      </c>
      <c r="W72" s="429" t="str">
        <f ca="1">IFERROR(VLOOKUP(W$2,Rango_Admin_DailyPred,MATCH($F72,Rango_Admin_DailyPred_Primera,0)+1,0),"-")</f>
        <v>-</v>
      </c>
      <c r="X72" s="429" t="str">
        <f ca="1">IFERROR(VLOOKUP(X$2,Rango_Admin_DailyPred,MATCH($F72,Rango_Admin_DailyPred_Primera,0)+1,0),"-")</f>
        <v>-</v>
      </c>
      <c r="Y72" s="429" t="str">
        <f ca="1">IFERROR(VLOOKUP(Y$2,Rango_Admin_DailyPred,MATCH($F72,Rango_Admin_DailyPred_Primera,0)+1,0),"-")</f>
        <v>-</v>
      </c>
      <c r="Z72" s="429" t="str">
        <f ca="1">IFERROR(VLOOKUP(Z$2,Rango_Admin_DailyPred,MATCH($F72,Rango_Admin_DailyPred_Primera,0)+1,0),"-")</f>
        <v>-</v>
      </c>
      <c r="AA72" s="429" t="str">
        <f ca="1">IFERROR(VLOOKUP(AA$2,Rango_Admin_DailyPred,MATCH($F72,Rango_Admin_DailyPred_Primera,0)+1,0),"-")</f>
        <v>-</v>
      </c>
      <c r="AB72" s="429" t="str">
        <f ca="1">IFERROR(VLOOKUP(AB$2,Rango_Admin_DailyPred,MATCH($F72,Rango_Admin_DailyPred_Primera,0)+1,0),"-")</f>
        <v>-</v>
      </c>
      <c r="AC72" s="429" t="str">
        <f ca="1">IFERROR(VLOOKUP(AC$2,Rango_Admin_DailyPred,MATCH($F72,Rango_Admin_DailyPred_Primera,0)+1,0),"-")</f>
        <v>-</v>
      </c>
      <c r="AD72" s="429" t="str">
        <f ca="1">IFERROR(VLOOKUP(AD$2,Rango_Admin_DailyPred,MATCH($F72,Rango_Admin_DailyPred_Primera,0)+1,0),"-")</f>
        <v>-</v>
      </c>
      <c r="AE72" s="429" t="str">
        <f ca="1">IFERROR(VLOOKUP(AE$2,Rango_Admin_DailyPred,MATCH($F72,Rango_Admin_DailyPred_Primera,0)+1,0),"-")</f>
        <v>-</v>
      </c>
      <c r="AF72" s="429" t="str">
        <f ca="1">IFERROR(VLOOKUP(AF$2,Rango_Admin_DailyPred,MATCH($F72,Rango_Admin_DailyPred_Primera,0)+1,0),"-")</f>
        <v>-</v>
      </c>
      <c r="AG72" s="429" t="str">
        <f ca="1">IFERROR(VLOOKUP(AG$2,Rango_Admin_DailyPred,MATCH($F72,Rango_Admin_DailyPred_Primera,0)+1,0),"-")</f>
        <v>-</v>
      </c>
      <c r="AH72" s="429" t="str">
        <f ca="1">IFERROR(VLOOKUP(AH$2,Rango_Admin_DailyPred,MATCH($F72,Rango_Admin_DailyPred_Primera,0)+1,0),"-")</f>
        <v>-</v>
      </c>
      <c r="AI72" s="429" t="str">
        <f ca="1">IFERROR(VLOOKUP(AI$2,Rango_Admin_DailyPred,MATCH($F72,Rango_Admin_DailyPred_Primera,0)+1,0),"-")</f>
        <v>-</v>
      </c>
      <c r="AJ72" s="429" t="str">
        <f ca="1">IFERROR(VLOOKUP(AJ$2,Rango_Admin_DailyPred,MATCH($F72,Rango_Admin_DailyPred_Primera,0)+1,0),"-")</f>
        <v>-</v>
      </c>
      <c r="AK72" s="429" t="str">
        <f ca="1">IFERROR(VLOOKUP(AK$2,Rango_Admin_DailyPred,MATCH($F72,Rango_Admin_DailyPred_Primera,0)+1,0),"-")</f>
        <v>-</v>
      </c>
      <c r="AL72" s="429" t="str">
        <f ca="1">IFERROR(VLOOKUP(AL$2,Rango_Admin_DailyPred,MATCH($F72,Rango_Admin_DailyPred_Primera,0)+1,0),"-")</f>
        <v>-</v>
      </c>
      <c r="AM72" s="429" t="str">
        <f ca="1">IFERROR(VLOOKUP(AM$2,Rango_Admin_DailyPred,MATCH($F72,Rango_Admin_DailyPred_Primera,0)+1,0),"-")</f>
        <v>-</v>
      </c>
      <c r="AN72" s="297"/>
    </row>
    <row r="73" spans="1:40">
      <c r="A73" s="8"/>
      <c r="B73" s="8"/>
      <c r="C73" s="8">
        <v>70</v>
      </c>
      <c r="D73" s="19"/>
      <c r="E73" s="409" t="str">
        <f ca="1">IFERROR(HLOOKUP(C73,Rango_Admin_DailyClas,3,FALSE),"-")</f>
        <v>-</v>
      </c>
      <c r="F73" s="448" t="str">
        <f ca="1">IFERROR(HLOOKUP(C73,Rango_Admin_DailyClas,5,FALSE),"-")</f>
        <v>-</v>
      </c>
      <c r="G73" s="22" t="str">
        <f ca="1">IFERROR(HLOOKUP(C73,Rango_Admin_DailyClas,4,FALSE),"-")</f>
        <v>-</v>
      </c>
      <c r="H73" s="429" t="str">
        <f ca="1">IFERROR(VLOOKUP(H$2,Rango_Admin_DailyPred,MATCH($F73,Rango_Admin_DailyPred_Primera,0)+1,0),"-")</f>
        <v>-</v>
      </c>
      <c r="I73" s="429" t="str">
        <f ca="1">IFERROR(VLOOKUP(I$2,Rango_Admin_DailyPred,MATCH($F73,Rango_Admin_DailyPred_Primera,0)+1,0),"-")</f>
        <v>-</v>
      </c>
      <c r="J73" s="429" t="str">
        <f ca="1">IFERROR(VLOOKUP(J$2,Rango_Admin_DailyPred,MATCH($F73,Rango_Admin_DailyPred_Primera,0)+1,0),"-")</f>
        <v>-</v>
      </c>
      <c r="K73" s="429" t="str">
        <f ca="1">IFERROR(VLOOKUP(K$2,Rango_Admin_DailyPred,MATCH($F73,Rango_Admin_DailyPred_Primera,0)+1,0),"-")</f>
        <v>-</v>
      </c>
      <c r="L73" s="429" t="str">
        <f ca="1">IFERROR(VLOOKUP(L$2,Rango_Admin_DailyPred,MATCH($F73,Rango_Admin_DailyPred_Primera,0)+1,0),"-")</f>
        <v>-</v>
      </c>
      <c r="M73" s="429" t="str">
        <f ca="1">IFERROR(VLOOKUP(M$2,Rango_Admin_DailyPred,MATCH($F73,Rango_Admin_DailyPred_Primera,0)+1,0),"-")</f>
        <v>-</v>
      </c>
      <c r="N73" s="429" t="str">
        <f ca="1">IFERROR(VLOOKUP(N$2,Rango_Admin_DailyPred,MATCH($F73,Rango_Admin_DailyPred_Primera,0)+1,0),"-")</f>
        <v>-</v>
      </c>
      <c r="O73" s="429" t="str">
        <f ca="1">IFERROR(VLOOKUP(O$2,Rango_Admin_DailyPred,MATCH($F73,Rango_Admin_DailyPred_Primera,0)+1,0),"-")</f>
        <v>-</v>
      </c>
      <c r="P73" s="429" t="str">
        <f ca="1">IFERROR(VLOOKUP(P$2,Rango_Admin_DailyPred,MATCH($F73,Rango_Admin_DailyPred_Primera,0)+1,0),"-")</f>
        <v>-</v>
      </c>
      <c r="Q73" s="429" t="str">
        <f ca="1">IFERROR(VLOOKUP(Q$2,Rango_Admin_DailyPred,MATCH($F73,Rango_Admin_DailyPred_Primera,0)+1,0),"-")</f>
        <v>-</v>
      </c>
      <c r="R73" s="429" t="str">
        <f ca="1">IFERROR(VLOOKUP(R$2,Rango_Admin_DailyPred,MATCH($F73,Rango_Admin_DailyPred_Primera,0)+1,0),"-")</f>
        <v>-</v>
      </c>
      <c r="S73" s="429" t="str">
        <f ca="1">IFERROR(VLOOKUP(S$2,Rango_Admin_DailyPred,MATCH($F73,Rango_Admin_DailyPred_Primera,0)+1,0),"-")</f>
        <v>-</v>
      </c>
      <c r="T73" s="429" t="str">
        <f ca="1">IFERROR(VLOOKUP(T$2,Rango_Admin_DailyPred,MATCH($F73,Rango_Admin_DailyPred_Primera,0)+1,0),"-")</f>
        <v>-</v>
      </c>
      <c r="U73" s="429" t="str">
        <f ca="1">IFERROR(VLOOKUP(U$2,Rango_Admin_DailyPred,MATCH($F73,Rango_Admin_DailyPred_Primera,0)+1,0),"-")</f>
        <v>-</v>
      </c>
      <c r="V73" s="429" t="str">
        <f ca="1">IFERROR(VLOOKUP(V$2,Rango_Admin_DailyPred,MATCH($F73,Rango_Admin_DailyPred_Primera,0)+1,0),"-")</f>
        <v>-</v>
      </c>
      <c r="W73" s="429" t="str">
        <f ca="1">IFERROR(VLOOKUP(W$2,Rango_Admin_DailyPred,MATCH($F73,Rango_Admin_DailyPred_Primera,0)+1,0),"-")</f>
        <v>-</v>
      </c>
      <c r="X73" s="429" t="str">
        <f ca="1">IFERROR(VLOOKUP(X$2,Rango_Admin_DailyPred,MATCH($F73,Rango_Admin_DailyPred_Primera,0)+1,0),"-")</f>
        <v>-</v>
      </c>
      <c r="Y73" s="429" t="str">
        <f ca="1">IFERROR(VLOOKUP(Y$2,Rango_Admin_DailyPred,MATCH($F73,Rango_Admin_DailyPred_Primera,0)+1,0),"-")</f>
        <v>-</v>
      </c>
      <c r="Z73" s="429" t="str">
        <f ca="1">IFERROR(VLOOKUP(Z$2,Rango_Admin_DailyPred,MATCH($F73,Rango_Admin_DailyPred_Primera,0)+1,0),"-")</f>
        <v>-</v>
      </c>
      <c r="AA73" s="429" t="str">
        <f ca="1">IFERROR(VLOOKUP(AA$2,Rango_Admin_DailyPred,MATCH($F73,Rango_Admin_DailyPred_Primera,0)+1,0),"-")</f>
        <v>-</v>
      </c>
      <c r="AB73" s="429" t="str">
        <f ca="1">IFERROR(VLOOKUP(AB$2,Rango_Admin_DailyPred,MATCH($F73,Rango_Admin_DailyPred_Primera,0)+1,0),"-")</f>
        <v>-</v>
      </c>
      <c r="AC73" s="429" t="str">
        <f ca="1">IFERROR(VLOOKUP(AC$2,Rango_Admin_DailyPred,MATCH($F73,Rango_Admin_DailyPred_Primera,0)+1,0),"-")</f>
        <v>-</v>
      </c>
      <c r="AD73" s="429" t="str">
        <f ca="1">IFERROR(VLOOKUP(AD$2,Rango_Admin_DailyPred,MATCH($F73,Rango_Admin_DailyPred_Primera,0)+1,0),"-")</f>
        <v>-</v>
      </c>
      <c r="AE73" s="429" t="str">
        <f ca="1">IFERROR(VLOOKUP(AE$2,Rango_Admin_DailyPred,MATCH($F73,Rango_Admin_DailyPred_Primera,0)+1,0),"-")</f>
        <v>-</v>
      </c>
      <c r="AF73" s="429" t="str">
        <f ca="1">IFERROR(VLOOKUP(AF$2,Rango_Admin_DailyPred,MATCH($F73,Rango_Admin_DailyPred_Primera,0)+1,0),"-")</f>
        <v>-</v>
      </c>
      <c r="AG73" s="429" t="str">
        <f ca="1">IFERROR(VLOOKUP(AG$2,Rango_Admin_DailyPred,MATCH($F73,Rango_Admin_DailyPred_Primera,0)+1,0),"-")</f>
        <v>-</v>
      </c>
      <c r="AH73" s="429" t="str">
        <f ca="1">IFERROR(VLOOKUP(AH$2,Rango_Admin_DailyPred,MATCH($F73,Rango_Admin_DailyPred_Primera,0)+1,0),"-")</f>
        <v>-</v>
      </c>
      <c r="AI73" s="429" t="str">
        <f ca="1">IFERROR(VLOOKUP(AI$2,Rango_Admin_DailyPred,MATCH($F73,Rango_Admin_DailyPred_Primera,0)+1,0),"-")</f>
        <v>-</v>
      </c>
      <c r="AJ73" s="429" t="str">
        <f ca="1">IFERROR(VLOOKUP(AJ$2,Rango_Admin_DailyPred,MATCH($F73,Rango_Admin_DailyPred_Primera,0)+1,0),"-")</f>
        <v>-</v>
      </c>
      <c r="AK73" s="429" t="str">
        <f ca="1">IFERROR(VLOOKUP(AK$2,Rango_Admin_DailyPred,MATCH($F73,Rango_Admin_DailyPred_Primera,0)+1,0),"-")</f>
        <v>-</v>
      </c>
      <c r="AL73" s="429" t="str">
        <f ca="1">IFERROR(VLOOKUP(AL$2,Rango_Admin_DailyPred,MATCH($F73,Rango_Admin_DailyPred_Primera,0)+1,0),"-")</f>
        <v>-</v>
      </c>
      <c r="AM73" s="429" t="str">
        <f ca="1">IFERROR(VLOOKUP(AM$2,Rango_Admin_DailyPred,MATCH($F73,Rango_Admin_DailyPred_Primera,0)+1,0),"-")</f>
        <v>-</v>
      </c>
      <c r="AN73" s="297"/>
    </row>
    <row r="74" spans="1:40">
      <c r="A74" s="8"/>
      <c r="B74" s="8"/>
      <c r="C74" s="8">
        <v>71</v>
      </c>
      <c r="D74" s="19"/>
      <c r="E74" s="409" t="str">
        <f ca="1">IFERROR(HLOOKUP(C74,Rango_Admin_DailyClas,3,FALSE),"-")</f>
        <v>-</v>
      </c>
      <c r="F74" s="448" t="str">
        <f ca="1">IFERROR(HLOOKUP(C74,Rango_Admin_DailyClas,5,FALSE),"-")</f>
        <v>-</v>
      </c>
      <c r="G74" s="22" t="str">
        <f ca="1">IFERROR(HLOOKUP(C74,Rango_Admin_DailyClas,4,FALSE),"-")</f>
        <v>-</v>
      </c>
      <c r="H74" s="429" t="str">
        <f ca="1">IFERROR(VLOOKUP(H$2,Rango_Admin_DailyPred,MATCH($F74,Rango_Admin_DailyPred_Primera,0)+1,0),"-")</f>
        <v>-</v>
      </c>
      <c r="I74" s="429" t="str">
        <f ca="1">IFERROR(VLOOKUP(I$2,Rango_Admin_DailyPred,MATCH($F74,Rango_Admin_DailyPred_Primera,0)+1,0),"-")</f>
        <v>-</v>
      </c>
      <c r="J74" s="429" t="str">
        <f ca="1">IFERROR(VLOOKUP(J$2,Rango_Admin_DailyPred,MATCH($F74,Rango_Admin_DailyPred_Primera,0)+1,0),"-")</f>
        <v>-</v>
      </c>
      <c r="K74" s="429" t="str">
        <f ca="1">IFERROR(VLOOKUP(K$2,Rango_Admin_DailyPred,MATCH($F74,Rango_Admin_DailyPred_Primera,0)+1,0),"-")</f>
        <v>-</v>
      </c>
      <c r="L74" s="429" t="str">
        <f ca="1">IFERROR(VLOOKUP(L$2,Rango_Admin_DailyPred,MATCH($F74,Rango_Admin_DailyPred_Primera,0)+1,0),"-")</f>
        <v>-</v>
      </c>
      <c r="M74" s="429" t="str">
        <f ca="1">IFERROR(VLOOKUP(M$2,Rango_Admin_DailyPred,MATCH($F74,Rango_Admin_DailyPred_Primera,0)+1,0),"-")</f>
        <v>-</v>
      </c>
      <c r="N74" s="429" t="str">
        <f ca="1">IFERROR(VLOOKUP(N$2,Rango_Admin_DailyPred,MATCH($F74,Rango_Admin_DailyPred_Primera,0)+1,0),"-")</f>
        <v>-</v>
      </c>
      <c r="O74" s="429" t="str">
        <f ca="1">IFERROR(VLOOKUP(O$2,Rango_Admin_DailyPred,MATCH($F74,Rango_Admin_DailyPred_Primera,0)+1,0),"-")</f>
        <v>-</v>
      </c>
      <c r="P74" s="429" t="str">
        <f ca="1">IFERROR(VLOOKUP(P$2,Rango_Admin_DailyPred,MATCH($F74,Rango_Admin_DailyPred_Primera,0)+1,0),"-")</f>
        <v>-</v>
      </c>
      <c r="Q74" s="429" t="str">
        <f ca="1">IFERROR(VLOOKUP(Q$2,Rango_Admin_DailyPred,MATCH($F74,Rango_Admin_DailyPred_Primera,0)+1,0),"-")</f>
        <v>-</v>
      </c>
      <c r="R74" s="429" t="str">
        <f ca="1">IFERROR(VLOOKUP(R$2,Rango_Admin_DailyPred,MATCH($F74,Rango_Admin_DailyPred_Primera,0)+1,0),"-")</f>
        <v>-</v>
      </c>
      <c r="S74" s="429" t="str">
        <f ca="1">IFERROR(VLOOKUP(S$2,Rango_Admin_DailyPred,MATCH($F74,Rango_Admin_DailyPred_Primera,0)+1,0),"-")</f>
        <v>-</v>
      </c>
      <c r="T74" s="429" t="str">
        <f ca="1">IFERROR(VLOOKUP(T$2,Rango_Admin_DailyPred,MATCH($F74,Rango_Admin_DailyPred_Primera,0)+1,0),"-")</f>
        <v>-</v>
      </c>
      <c r="U74" s="429" t="str">
        <f ca="1">IFERROR(VLOOKUP(U$2,Rango_Admin_DailyPred,MATCH($F74,Rango_Admin_DailyPred_Primera,0)+1,0),"-")</f>
        <v>-</v>
      </c>
      <c r="V74" s="429" t="str">
        <f ca="1">IFERROR(VLOOKUP(V$2,Rango_Admin_DailyPred,MATCH($F74,Rango_Admin_DailyPred_Primera,0)+1,0),"-")</f>
        <v>-</v>
      </c>
      <c r="W74" s="429" t="str">
        <f ca="1">IFERROR(VLOOKUP(W$2,Rango_Admin_DailyPred,MATCH($F74,Rango_Admin_DailyPred_Primera,0)+1,0),"-")</f>
        <v>-</v>
      </c>
      <c r="X74" s="429" t="str">
        <f ca="1">IFERROR(VLOOKUP(X$2,Rango_Admin_DailyPred,MATCH($F74,Rango_Admin_DailyPred_Primera,0)+1,0),"-")</f>
        <v>-</v>
      </c>
      <c r="Y74" s="429" t="str">
        <f ca="1">IFERROR(VLOOKUP(Y$2,Rango_Admin_DailyPred,MATCH($F74,Rango_Admin_DailyPred_Primera,0)+1,0),"-")</f>
        <v>-</v>
      </c>
      <c r="Z74" s="429" t="str">
        <f ca="1">IFERROR(VLOOKUP(Z$2,Rango_Admin_DailyPred,MATCH($F74,Rango_Admin_DailyPred_Primera,0)+1,0),"-")</f>
        <v>-</v>
      </c>
      <c r="AA74" s="429" t="str">
        <f ca="1">IFERROR(VLOOKUP(AA$2,Rango_Admin_DailyPred,MATCH($F74,Rango_Admin_DailyPred_Primera,0)+1,0),"-")</f>
        <v>-</v>
      </c>
      <c r="AB74" s="429" t="str">
        <f ca="1">IFERROR(VLOOKUP(AB$2,Rango_Admin_DailyPred,MATCH($F74,Rango_Admin_DailyPred_Primera,0)+1,0),"-")</f>
        <v>-</v>
      </c>
      <c r="AC74" s="429" t="str">
        <f ca="1">IFERROR(VLOOKUP(AC$2,Rango_Admin_DailyPred,MATCH($F74,Rango_Admin_DailyPred_Primera,0)+1,0),"-")</f>
        <v>-</v>
      </c>
      <c r="AD74" s="429" t="str">
        <f ca="1">IFERROR(VLOOKUP(AD$2,Rango_Admin_DailyPred,MATCH($F74,Rango_Admin_DailyPred_Primera,0)+1,0),"-")</f>
        <v>-</v>
      </c>
      <c r="AE74" s="429" t="str">
        <f ca="1">IFERROR(VLOOKUP(AE$2,Rango_Admin_DailyPred,MATCH($F74,Rango_Admin_DailyPred_Primera,0)+1,0),"-")</f>
        <v>-</v>
      </c>
      <c r="AF74" s="429" t="str">
        <f ca="1">IFERROR(VLOOKUP(AF$2,Rango_Admin_DailyPred,MATCH($F74,Rango_Admin_DailyPred_Primera,0)+1,0),"-")</f>
        <v>-</v>
      </c>
      <c r="AG74" s="429" t="str">
        <f ca="1">IFERROR(VLOOKUP(AG$2,Rango_Admin_DailyPred,MATCH($F74,Rango_Admin_DailyPred_Primera,0)+1,0),"-")</f>
        <v>-</v>
      </c>
      <c r="AH74" s="429" t="str">
        <f ca="1">IFERROR(VLOOKUP(AH$2,Rango_Admin_DailyPred,MATCH($F74,Rango_Admin_DailyPred_Primera,0)+1,0),"-")</f>
        <v>-</v>
      </c>
      <c r="AI74" s="429" t="str">
        <f ca="1">IFERROR(VLOOKUP(AI$2,Rango_Admin_DailyPred,MATCH($F74,Rango_Admin_DailyPred_Primera,0)+1,0),"-")</f>
        <v>-</v>
      </c>
      <c r="AJ74" s="429" t="str">
        <f ca="1">IFERROR(VLOOKUP(AJ$2,Rango_Admin_DailyPred,MATCH($F74,Rango_Admin_DailyPred_Primera,0)+1,0),"-")</f>
        <v>-</v>
      </c>
      <c r="AK74" s="429" t="str">
        <f ca="1">IFERROR(VLOOKUP(AK$2,Rango_Admin_DailyPred,MATCH($F74,Rango_Admin_DailyPred_Primera,0)+1,0),"-")</f>
        <v>-</v>
      </c>
      <c r="AL74" s="429" t="str">
        <f ca="1">IFERROR(VLOOKUP(AL$2,Rango_Admin_DailyPred,MATCH($F74,Rango_Admin_DailyPred_Primera,0)+1,0),"-")</f>
        <v>-</v>
      </c>
      <c r="AM74" s="429" t="str">
        <f ca="1">IFERROR(VLOOKUP(AM$2,Rango_Admin_DailyPred,MATCH($F74,Rango_Admin_DailyPred_Primera,0)+1,0),"-")</f>
        <v>-</v>
      </c>
      <c r="AN74" s="297"/>
    </row>
    <row r="75" spans="1:40">
      <c r="A75" s="8"/>
      <c r="B75" s="8"/>
      <c r="C75" s="8">
        <v>72</v>
      </c>
      <c r="D75" s="19"/>
      <c r="E75" s="409" t="str">
        <f ca="1">IFERROR(HLOOKUP(C75,Rango_Admin_DailyClas,3,FALSE),"-")</f>
        <v>-</v>
      </c>
      <c r="F75" s="448" t="str">
        <f ca="1">IFERROR(HLOOKUP(C75,Rango_Admin_DailyClas,5,FALSE),"-")</f>
        <v>-</v>
      </c>
      <c r="G75" s="22" t="str">
        <f ca="1">IFERROR(HLOOKUP(C75,Rango_Admin_DailyClas,4,FALSE),"-")</f>
        <v>-</v>
      </c>
      <c r="H75" s="429" t="str">
        <f ca="1">IFERROR(VLOOKUP(H$2,Rango_Admin_DailyPred,MATCH($F75,Rango_Admin_DailyPred_Primera,0)+1,0),"-")</f>
        <v>-</v>
      </c>
      <c r="I75" s="429" t="str">
        <f ca="1">IFERROR(VLOOKUP(I$2,Rango_Admin_DailyPred,MATCH($F75,Rango_Admin_DailyPred_Primera,0)+1,0),"-")</f>
        <v>-</v>
      </c>
      <c r="J75" s="429" t="str">
        <f ca="1">IFERROR(VLOOKUP(J$2,Rango_Admin_DailyPred,MATCH($F75,Rango_Admin_DailyPred_Primera,0)+1,0),"-")</f>
        <v>-</v>
      </c>
      <c r="K75" s="429" t="str">
        <f ca="1">IFERROR(VLOOKUP(K$2,Rango_Admin_DailyPred,MATCH($F75,Rango_Admin_DailyPred_Primera,0)+1,0),"-")</f>
        <v>-</v>
      </c>
      <c r="L75" s="429" t="str">
        <f ca="1">IFERROR(VLOOKUP(L$2,Rango_Admin_DailyPred,MATCH($F75,Rango_Admin_DailyPred_Primera,0)+1,0),"-")</f>
        <v>-</v>
      </c>
      <c r="M75" s="429" t="str">
        <f ca="1">IFERROR(VLOOKUP(M$2,Rango_Admin_DailyPred,MATCH($F75,Rango_Admin_DailyPred_Primera,0)+1,0),"-")</f>
        <v>-</v>
      </c>
      <c r="N75" s="429" t="str">
        <f ca="1">IFERROR(VLOOKUP(N$2,Rango_Admin_DailyPred,MATCH($F75,Rango_Admin_DailyPred_Primera,0)+1,0),"-")</f>
        <v>-</v>
      </c>
      <c r="O75" s="429" t="str">
        <f ca="1">IFERROR(VLOOKUP(O$2,Rango_Admin_DailyPred,MATCH($F75,Rango_Admin_DailyPred_Primera,0)+1,0),"-")</f>
        <v>-</v>
      </c>
      <c r="P75" s="429" t="str">
        <f ca="1">IFERROR(VLOOKUP(P$2,Rango_Admin_DailyPred,MATCH($F75,Rango_Admin_DailyPred_Primera,0)+1,0),"-")</f>
        <v>-</v>
      </c>
      <c r="Q75" s="429" t="str">
        <f ca="1">IFERROR(VLOOKUP(Q$2,Rango_Admin_DailyPred,MATCH($F75,Rango_Admin_DailyPred_Primera,0)+1,0),"-")</f>
        <v>-</v>
      </c>
      <c r="R75" s="429" t="str">
        <f ca="1">IFERROR(VLOOKUP(R$2,Rango_Admin_DailyPred,MATCH($F75,Rango_Admin_DailyPred_Primera,0)+1,0),"-")</f>
        <v>-</v>
      </c>
      <c r="S75" s="429" t="str">
        <f ca="1">IFERROR(VLOOKUP(S$2,Rango_Admin_DailyPred,MATCH($F75,Rango_Admin_DailyPred_Primera,0)+1,0),"-")</f>
        <v>-</v>
      </c>
      <c r="T75" s="429" t="str">
        <f ca="1">IFERROR(VLOOKUP(T$2,Rango_Admin_DailyPred,MATCH($F75,Rango_Admin_DailyPred_Primera,0)+1,0),"-")</f>
        <v>-</v>
      </c>
      <c r="U75" s="429" t="str">
        <f ca="1">IFERROR(VLOOKUP(U$2,Rango_Admin_DailyPred,MATCH($F75,Rango_Admin_DailyPred_Primera,0)+1,0),"-")</f>
        <v>-</v>
      </c>
      <c r="V75" s="429" t="str">
        <f ca="1">IFERROR(VLOOKUP(V$2,Rango_Admin_DailyPred,MATCH($F75,Rango_Admin_DailyPred_Primera,0)+1,0),"-")</f>
        <v>-</v>
      </c>
      <c r="W75" s="429" t="str">
        <f ca="1">IFERROR(VLOOKUP(W$2,Rango_Admin_DailyPred,MATCH($F75,Rango_Admin_DailyPred_Primera,0)+1,0),"-")</f>
        <v>-</v>
      </c>
      <c r="X75" s="429" t="str">
        <f ca="1">IFERROR(VLOOKUP(X$2,Rango_Admin_DailyPred,MATCH($F75,Rango_Admin_DailyPred_Primera,0)+1,0),"-")</f>
        <v>-</v>
      </c>
      <c r="Y75" s="429" t="str">
        <f ca="1">IFERROR(VLOOKUP(Y$2,Rango_Admin_DailyPred,MATCH($F75,Rango_Admin_DailyPred_Primera,0)+1,0),"-")</f>
        <v>-</v>
      </c>
      <c r="Z75" s="429" t="str">
        <f ca="1">IFERROR(VLOOKUP(Z$2,Rango_Admin_DailyPred,MATCH($F75,Rango_Admin_DailyPred_Primera,0)+1,0),"-")</f>
        <v>-</v>
      </c>
      <c r="AA75" s="429" t="str">
        <f ca="1">IFERROR(VLOOKUP(AA$2,Rango_Admin_DailyPred,MATCH($F75,Rango_Admin_DailyPred_Primera,0)+1,0),"-")</f>
        <v>-</v>
      </c>
      <c r="AB75" s="429" t="str">
        <f ca="1">IFERROR(VLOOKUP(AB$2,Rango_Admin_DailyPred,MATCH($F75,Rango_Admin_DailyPred_Primera,0)+1,0),"-")</f>
        <v>-</v>
      </c>
      <c r="AC75" s="429" t="str">
        <f ca="1">IFERROR(VLOOKUP(AC$2,Rango_Admin_DailyPred,MATCH($F75,Rango_Admin_DailyPred_Primera,0)+1,0),"-")</f>
        <v>-</v>
      </c>
      <c r="AD75" s="429" t="str">
        <f ca="1">IFERROR(VLOOKUP(AD$2,Rango_Admin_DailyPred,MATCH($F75,Rango_Admin_DailyPred_Primera,0)+1,0),"-")</f>
        <v>-</v>
      </c>
      <c r="AE75" s="429" t="str">
        <f ca="1">IFERROR(VLOOKUP(AE$2,Rango_Admin_DailyPred,MATCH($F75,Rango_Admin_DailyPred_Primera,0)+1,0),"-")</f>
        <v>-</v>
      </c>
      <c r="AF75" s="429" t="str">
        <f ca="1">IFERROR(VLOOKUP(AF$2,Rango_Admin_DailyPred,MATCH($F75,Rango_Admin_DailyPred_Primera,0)+1,0),"-")</f>
        <v>-</v>
      </c>
      <c r="AG75" s="429" t="str">
        <f ca="1">IFERROR(VLOOKUP(AG$2,Rango_Admin_DailyPred,MATCH($F75,Rango_Admin_DailyPred_Primera,0)+1,0),"-")</f>
        <v>-</v>
      </c>
      <c r="AH75" s="429" t="str">
        <f ca="1">IFERROR(VLOOKUP(AH$2,Rango_Admin_DailyPred,MATCH($F75,Rango_Admin_DailyPred_Primera,0)+1,0),"-")</f>
        <v>-</v>
      </c>
      <c r="AI75" s="429" t="str">
        <f ca="1">IFERROR(VLOOKUP(AI$2,Rango_Admin_DailyPred,MATCH($F75,Rango_Admin_DailyPred_Primera,0)+1,0),"-")</f>
        <v>-</v>
      </c>
      <c r="AJ75" s="429" t="str">
        <f ca="1">IFERROR(VLOOKUP(AJ$2,Rango_Admin_DailyPred,MATCH($F75,Rango_Admin_DailyPred_Primera,0)+1,0),"-")</f>
        <v>-</v>
      </c>
      <c r="AK75" s="429" t="str">
        <f ca="1">IFERROR(VLOOKUP(AK$2,Rango_Admin_DailyPred,MATCH($F75,Rango_Admin_DailyPred_Primera,0)+1,0),"-")</f>
        <v>-</v>
      </c>
      <c r="AL75" s="429" t="str">
        <f ca="1">IFERROR(VLOOKUP(AL$2,Rango_Admin_DailyPred,MATCH($F75,Rango_Admin_DailyPred_Primera,0)+1,0),"-")</f>
        <v>-</v>
      </c>
      <c r="AM75" s="429" t="str">
        <f ca="1">IFERROR(VLOOKUP(AM$2,Rango_Admin_DailyPred,MATCH($F75,Rango_Admin_DailyPred_Primera,0)+1,0),"-")</f>
        <v>-</v>
      </c>
      <c r="AN75" s="297"/>
    </row>
    <row r="76" spans="1:40">
      <c r="A76" s="8"/>
      <c r="B76" s="8"/>
      <c r="C76" s="8">
        <v>73</v>
      </c>
      <c r="D76" s="19"/>
      <c r="E76" s="409" t="str">
        <f ca="1">IFERROR(HLOOKUP(C76,Rango_Admin_DailyClas,3,FALSE),"-")</f>
        <v>-</v>
      </c>
      <c r="F76" s="448" t="str">
        <f ca="1">IFERROR(HLOOKUP(C76,Rango_Admin_DailyClas,5,FALSE),"-")</f>
        <v>-</v>
      </c>
      <c r="G76" s="22" t="str">
        <f ca="1">IFERROR(HLOOKUP(C76,Rango_Admin_DailyClas,4,FALSE),"-")</f>
        <v>-</v>
      </c>
      <c r="H76" s="429" t="str">
        <f ca="1">IFERROR(VLOOKUP(H$2,Rango_Admin_DailyPred,MATCH($F76,Rango_Admin_DailyPred_Primera,0)+1,0),"-")</f>
        <v>-</v>
      </c>
      <c r="I76" s="429" t="str">
        <f ca="1">IFERROR(VLOOKUP(I$2,Rango_Admin_DailyPred,MATCH($F76,Rango_Admin_DailyPred_Primera,0)+1,0),"-")</f>
        <v>-</v>
      </c>
      <c r="J76" s="429" t="str">
        <f ca="1">IFERROR(VLOOKUP(J$2,Rango_Admin_DailyPred,MATCH($F76,Rango_Admin_DailyPred_Primera,0)+1,0),"-")</f>
        <v>-</v>
      </c>
      <c r="K76" s="429" t="str">
        <f ca="1">IFERROR(VLOOKUP(K$2,Rango_Admin_DailyPred,MATCH($F76,Rango_Admin_DailyPred_Primera,0)+1,0),"-")</f>
        <v>-</v>
      </c>
      <c r="L76" s="429" t="str">
        <f ca="1">IFERROR(VLOOKUP(L$2,Rango_Admin_DailyPred,MATCH($F76,Rango_Admin_DailyPred_Primera,0)+1,0),"-")</f>
        <v>-</v>
      </c>
      <c r="M76" s="429" t="str">
        <f ca="1">IFERROR(VLOOKUP(M$2,Rango_Admin_DailyPred,MATCH($F76,Rango_Admin_DailyPred_Primera,0)+1,0),"-")</f>
        <v>-</v>
      </c>
      <c r="N76" s="429" t="str">
        <f ca="1">IFERROR(VLOOKUP(N$2,Rango_Admin_DailyPred,MATCH($F76,Rango_Admin_DailyPred_Primera,0)+1,0),"-")</f>
        <v>-</v>
      </c>
      <c r="O76" s="429" t="str">
        <f ca="1">IFERROR(VLOOKUP(O$2,Rango_Admin_DailyPred,MATCH($F76,Rango_Admin_DailyPred_Primera,0)+1,0),"-")</f>
        <v>-</v>
      </c>
      <c r="P76" s="429" t="str">
        <f ca="1">IFERROR(VLOOKUP(P$2,Rango_Admin_DailyPred,MATCH($F76,Rango_Admin_DailyPred_Primera,0)+1,0),"-")</f>
        <v>-</v>
      </c>
      <c r="Q76" s="429" t="str">
        <f ca="1">IFERROR(VLOOKUP(Q$2,Rango_Admin_DailyPred,MATCH($F76,Rango_Admin_DailyPred_Primera,0)+1,0),"-")</f>
        <v>-</v>
      </c>
      <c r="R76" s="429" t="str">
        <f ca="1">IFERROR(VLOOKUP(R$2,Rango_Admin_DailyPred,MATCH($F76,Rango_Admin_DailyPred_Primera,0)+1,0),"-")</f>
        <v>-</v>
      </c>
      <c r="S76" s="429" t="str">
        <f ca="1">IFERROR(VLOOKUP(S$2,Rango_Admin_DailyPred,MATCH($F76,Rango_Admin_DailyPred_Primera,0)+1,0),"-")</f>
        <v>-</v>
      </c>
      <c r="T76" s="429" t="str">
        <f ca="1">IFERROR(VLOOKUP(T$2,Rango_Admin_DailyPred,MATCH($F76,Rango_Admin_DailyPred_Primera,0)+1,0),"-")</f>
        <v>-</v>
      </c>
      <c r="U76" s="429" t="str">
        <f ca="1">IFERROR(VLOOKUP(U$2,Rango_Admin_DailyPred,MATCH($F76,Rango_Admin_DailyPred_Primera,0)+1,0),"-")</f>
        <v>-</v>
      </c>
      <c r="V76" s="429" t="str">
        <f ca="1">IFERROR(VLOOKUP(V$2,Rango_Admin_DailyPred,MATCH($F76,Rango_Admin_DailyPred_Primera,0)+1,0),"-")</f>
        <v>-</v>
      </c>
      <c r="W76" s="429" t="str">
        <f ca="1">IFERROR(VLOOKUP(W$2,Rango_Admin_DailyPred,MATCH($F76,Rango_Admin_DailyPred_Primera,0)+1,0),"-")</f>
        <v>-</v>
      </c>
      <c r="X76" s="429" t="str">
        <f ca="1">IFERROR(VLOOKUP(X$2,Rango_Admin_DailyPred,MATCH($F76,Rango_Admin_DailyPred_Primera,0)+1,0),"-")</f>
        <v>-</v>
      </c>
      <c r="Y76" s="429" t="str">
        <f ca="1">IFERROR(VLOOKUP(Y$2,Rango_Admin_DailyPred,MATCH($F76,Rango_Admin_DailyPred_Primera,0)+1,0),"-")</f>
        <v>-</v>
      </c>
      <c r="Z76" s="429" t="str">
        <f ca="1">IFERROR(VLOOKUP(Z$2,Rango_Admin_DailyPred,MATCH($F76,Rango_Admin_DailyPred_Primera,0)+1,0),"-")</f>
        <v>-</v>
      </c>
      <c r="AA76" s="429" t="str">
        <f ca="1">IFERROR(VLOOKUP(AA$2,Rango_Admin_DailyPred,MATCH($F76,Rango_Admin_DailyPred_Primera,0)+1,0),"-")</f>
        <v>-</v>
      </c>
      <c r="AB76" s="429" t="str">
        <f ca="1">IFERROR(VLOOKUP(AB$2,Rango_Admin_DailyPred,MATCH($F76,Rango_Admin_DailyPred_Primera,0)+1,0),"-")</f>
        <v>-</v>
      </c>
      <c r="AC76" s="429" t="str">
        <f ca="1">IFERROR(VLOOKUP(AC$2,Rango_Admin_DailyPred,MATCH($F76,Rango_Admin_DailyPred_Primera,0)+1,0),"-")</f>
        <v>-</v>
      </c>
      <c r="AD76" s="429" t="str">
        <f ca="1">IFERROR(VLOOKUP(AD$2,Rango_Admin_DailyPred,MATCH($F76,Rango_Admin_DailyPred_Primera,0)+1,0),"-")</f>
        <v>-</v>
      </c>
      <c r="AE76" s="429" t="str">
        <f ca="1">IFERROR(VLOOKUP(AE$2,Rango_Admin_DailyPred,MATCH($F76,Rango_Admin_DailyPred_Primera,0)+1,0),"-")</f>
        <v>-</v>
      </c>
      <c r="AF76" s="429" t="str">
        <f ca="1">IFERROR(VLOOKUP(AF$2,Rango_Admin_DailyPred,MATCH($F76,Rango_Admin_DailyPred_Primera,0)+1,0),"-")</f>
        <v>-</v>
      </c>
      <c r="AG76" s="429" t="str">
        <f ca="1">IFERROR(VLOOKUP(AG$2,Rango_Admin_DailyPred,MATCH($F76,Rango_Admin_DailyPred_Primera,0)+1,0),"-")</f>
        <v>-</v>
      </c>
      <c r="AH76" s="429" t="str">
        <f ca="1">IFERROR(VLOOKUP(AH$2,Rango_Admin_DailyPred,MATCH($F76,Rango_Admin_DailyPred_Primera,0)+1,0),"-")</f>
        <v>-</v>
      </c>
      <c r="AI76" s="429" t="str">
        <f ca="1">IFERROR(VLOOKUP(AI$2,Rango_Admin_DailyPred,MATCH($F76,Rango_Admin_DailyPred_Primera,0)+1,0),"-")</f>
        <v>-</v>
      </c>
      <c r="AJ76" s="429" t="str">
        <f ca="1">IFERROR(VLOOKUP(AJ$2,Rango_Admin_DailyPred,MATCH($F76,Rango_Admin_DailyPred_Primera,0)+1,0),"-")</f>
        <v>-</v>
      </c>
      <c r="AK76" s="429" t="str">
        <f ca="1">IFERROR(VLOOKUP(AK$2,Rango_Admin_DailyPred,MATCH($F76,Rango_Admin_DailyPred_Primera,0)+1,0),"-")</f>
        <v>-</v>
      </c>
      <c r="AL76" s="429" t="str">
        <f ca="1">IFERROR(VLOOKUP(AL$2,Rango_Admin_DailyPred,MATCH($F76,Rango_Admin_DailyPred_Primera,0)+1,0),"-")</f>
        <v>-</v>
      </c>
      <c r="AM76" s="429" t="str">
        <f ca="1">IFERROR(VLOOKUP(AM$2,Rango_Admin_DailyPred,MATCH($F76,Rango_Admin_DailyPred_Primera,0)+1,0),"-")</f>
        <v>-</v>
      </c>
      <c r="AN76" s="297"/>
    </row>
    <row r="77" spans="1:40">
      <c r="A77" s="8"/>
      <c r="B77" s="8"/>
      <c r="C77" s="8">
        <v>74</v>
      </c>
      <c r="D77" s="19"/>
      <c r="E77" s="409" t="str">
        <f ca="1">IFERROR(HLOOKUP(C77,Rango_Admin_DailyClas,3,FALSE),"-")</f>
        <v>-</v>
      </c>
      <c r="F77" s="448" t="str">
        <f ca="1">IFERROR(HLOOKUP(C77,Rango_Admin_DailyClas,5,FALSE),"-")</f>
        <v>-</v>
      </c>
      <c r="G77" s="22" t="str">
        <f ca="1">IFERROR(HLOOKUP(C77,Rango_Admin_DailyClas,4,FALSE),"-")</f>
        <v>-</v>
      </c>
      <c r="H77" s="429" t="str">
        <f ca="1">IFERROR(VLOOKUP(H$2,Rango_Admin_DailyPred,MATCH($F77,Rango_Admin_DailyPred_Primera,0)+1,0),"-")</f>
        <v>-</v>
      </c>
      <c r="I77" s="429" t="str">
        <f ca="1">IFERROR(VLOOKUP(I$2,Rango_Admin_DailyPred,MATCH($F77,Rango_Admin_DailyPred_Primera,0)+1,0),"-")</f>
        <v>-</v>
      </c>
      <c r="J77" s="429" t="str">
        <f ca="1">IFERROR(VLOOKUP(J$2,Rango_Admin_DailyPred,MATCH($F77,Rango_Admin_DailyPred_Primera,0)+1,0),"-")</f>
        <v>-</v>
      </c>
      <c r="K77" s="429" t="str">
        <f ca="1">IFERROR(VLOOKUP(K$2,Rango_Admin_DailyPred,MATCH($F77,Rango_Admin_DailyPred_Primera,0)+1,0),"-")</f>
        <v>-</v>
      </c>
      <c r="L77" s="429" t="str">
        <f ca="1">IFERROR(VLOOKUP(L$2,Rango_Admin_DailyPred,MATCH($F77,Rango_Admin_DailyPred_Primera,0)+1,0),"-")</f>
        <v>-</v>
      </c>
      <c r="M77" s="429" t="str">
        <f ca="1">IFERROR(VLOOKUP(M$2,Rango_Admin_DailyPred,MATCH($F77,Rango_Admin_DailyPred_Primera,0)+1,0),"-")</f>
        <v>-</v>
      </c>
      <c r="N77" s="429" t="str">
        <f ca="1">IFERROR(VLOOKUP(N$2,Rango_Admin_DailyPred,MATCH($F77,Rango_Admin_DailyPred_Primera,0)+1,0),"-")</f>
        <v>-</v>
      </c>
      <c r="O77" s="429" t="str">
        <f ca="1">IFERROR(VLOOKUP(O$2,Rango_Admin_DailyPred,MATCH($F77,Rango_Admin_DailyPred_Primera,0)+1,0),"-")</f>
        <v>-</v>
      </c>
      <c r="P77" s="429" t="str">
        <f ca="1">IFERROR(VLOOKUP(P$2,Rango_Admin_DailyPred,MATCH($F77,Rango_Admin_DailyPred_Primera,0)+1,0),"-")</f>
        <v>-</v>
      </c>
      <c r="Q77" s="429" t="str">
        <f ca="1">IFERROR(VLOOKUP(Q$2,Rango_Admin_DailyPred,MATCH($F77,Rango_Admin_DailyPred_Primera,0)+1,0),"-")</f>
        <v>-</v>
      </c>
      <c r="R77" s="429" t="str">
        <f ca="1">IFERROR(VLOOKUP(R$2,Rango_Admin_DailyPred,MATCH($F77,Rango_Admin_DailyPred_Primera,0)+1,0),"-")</f>
        <v>-</v>
      </c>
      <c r="S77" s="429" t="str">
        <f ca="1">IFERROR(VLOOKUP(S$2,Rango_Admin_DailyPred,MATCH($F77,Rango_Admin_DailyPred_Primera,0)+1,0),"-")</f>
        <v>-</v>
      </c>
      <c r="T77" s="429" t="str">
        <f ca="1">IFERROR(VLOOKUP(T$2,Rango_Admin_DailyPred,MATCH($F77,Rango_Admin_DailyPred_Primera,0)+1,0),"-")</f>
        <v>-</v>
      </c>
      <c r="U77" s="429" t="str">
        <f ca="1">IFERROR(VLOOKUP(U$2,Rango_Admin_DailyPred,MATCH($F77,Rango_Admin_DailyPred_Primera,0)+1,0),"-")</f>
        <v>-</v>
      </c>
      <c r="V77" s="429" t="str">
        <f ca="1">IFERROR(VLOOKUP(V$2,Rango_Admin_DailyPred,MATCH($F77,Rango_Admin_DailyPred_Primera,0)+1,0),"-")</f>
        <v>-</v>
      </c>
      <c r="W77" s="429" t="str">
        <f ca="1">IFERROR(VLOOKUP(W$2,Rango_Admin_DailyPred,MATCH($F77,Rango_Admin_DailyPred_Primera,0)+1,0),"-")</f>
        <v>-</v>
      </c>
      <c r="X77" s="429" t="str">
        <f ca="1">IFERROR(VLOOKUP(X$2,Rango_Admin_DailyPred,MATCH($F77,Rango_Admin_DailyPred_Primera,0)+1,0),"-")</f>
        <v>-</v>
      </c>
      <c r="Y77" s="429" t="str">
        <f ca="1">IFERROR(VLOOKUP(Y$2,Rango_Admin_DailyPred,MATCH($F77,Rango_Admin_DailyPred_Primera,0)+1,0),"-")</f>
        <v>-</v>
      </c>
      <c r="Z77" s="429" t="str">
        <f ca="1">IFERROR(VLOOKUP(Z$2,Rango_Admin_DailyPred,MATCH($F77,Rango_Admin_DailyPred_Primera,0)+1,0),"-")</f>
        <v>-</v>
      </c>
      <c r="AA77" s="429" t="str">
        <f ca="1">IFERROR(VLOOKUP(AA$2,Rango_Admin_DailyPred,MATCH($F77,Rango_Admin_DailyPred_Primera,0)+1,0),"-")</f>
        <v>-</v>
      </c>
      <c r="AB77" s="429" t="str">
        <f ca="1">IFERROR(VLOOKUP(AB$2,Rango_Admin_DailyPred,MATCH($F77,Rango_Admin_DailyPred_Primera,0)+1,0),"-")</f>
        <v>-</v>
      </c>
      <c r="AC77" s="429" t="str">
        <f ca="1">IFERROR(VLOOKUP(AC$2,Rango_Admin_DailyPred,MATCH($F77,Rango_Admin_DailyPred_Primera,0)+1,0),"-")</f>
        <v>-</v>
      </c>
      <c r="AD77" s="429" t="str">
        <f ca="1">IFERROR(VLOOKUP(AD$2,Rango_Admin_DailyPred,MATCH($F77,Rango_Admin_DailyPred_Primera,0)+1,0),"-")</f>
        <v>-</v>
      </c>
      <c r="AE77" s="429" t="str">
        <f ca="1">IFERROR(VLOOKUP(AE$2,Rango_Admin_DailyPred,MATCH($F77,Rango_Admin_DailyPred_Primera,0)+1,0),"-")</f>
        <v>-</v>
      </c>
      <c r="AF77" s="429" t="str">
        <f ca="1">IFERROR(VLOOKUP(AF$2,Rango_Admin_DailyPred,MATCH($F77,Rango_Admin_DailyPred_Primera,0)+1,0),"-")</f>
        <v>-</v>
      </c>
      <c r="AG77" s="429" t="str">
        <f ca="1">IFERROR(VLOOKUP(AG$2,Rango_Admin_DailyPred,MATCH($F77,Rango_Admin_DailyPred_Primera,0)+1,0),"-")</f>
        <v>-</v>
      </c>
      <c r="AH77" s="429" t="str">
        <f ca="1">IFERROR(VLOOKUP(AH$2,Rango_Admin_DailyPred,MATCH($F77,Rango_Admin_DailyPred_Primera,0)+1,0),"-")</f>
        <v>-</v>
      </c>
      <c r="AI77" s="429" t="str">
        <f ca="1">IFERROR(VLOOKUP(AI$2,Rango_Admin_DailyPred,MATCH($F77,Rango_Admin_DailyPred_Primera,0)+1,0),"-")</f>
        <v>-</v>
      </c>
      <c r="AJ77" s="429" t="str">
        <f ca="1">IFERROR(VLOOKUP(AJ$2,Rango_Admin_DailyPred,MATCH($F77,Rango_Admin_DailyPred_Primera,0)+1,0),"-")</f>
        <v>-</v>
      </c>
      <c r="AK77" s="429" t="str">
        <f ca="1">IFERROR(VLOOKUP(AK$2,Rango_Admin_DailyPred,MATCH($F77,Rango_Admin_DailyPred_Primera,0)+1,0),"-")</f>
        <v>-</v>
      </c>
      <c r="AL77" s="429" t="str">
        <f ca="1">IFERROR(VLOOKUP(AL$2,Rango_Admin_DailyPred,MATCH($F77,Rango_Admin_DailyPred_Primera,0)+1,0),"-")</f>
        <v>-</v>
      </c>
      <c r="AM77" s="429" t="str">
        <f ca="1">IFERROR(VLOOKUP(AM$2,Rango_Admin_DailyPred,MATCH($F77,Rango_Admin_DailyPred_Primera,0)+1,0),"-")</f>
        <v>-</v>
      </c>
      <c r="AN77" s="297"/>
    </row>
    <row r="78" spans="1:40">
      <c r="A78" s="8"/>
      <c r="B78" s="8"/>
      <c r="C78" s="8">
        <v>75</v>
      </c>
      <c r="D78" s="19"/>
      <c r="E78" s="409" t="str">
        <f ca="1">IFERROR(HLOOKUP(C78,Rango_Admin_DailyClas,3,FALSE),"-")</f>
        <v>-</v>
      </c>
      <c r="F78" s="448" t="str">
        <f ca="1">IFERROR(HLOOKUP(C78,Rango_Admin_DailyClas,5,FALSE),"-")</f>
        <v>-</v>
      </c>
      <c r="G78" s="22" t="str">
        <f ca="1">IFERROR(HLOOKUP(C78,Rango_Admin_DailyClas,4,FALSE),"-")</f>
        <v>-</v>
      </c>
      <c r="H78" s="429" t="str">
        <f ca="1">IFERROR(VLOOKUP(H$2,Rango_Admin_DailyPred,MATCH($F78,Rango_Admin_DailyPred_Primera,0)+1,0),"-")</f>
        <v>-</v>
      </c>
      <c r="I78" s="429" t="str">
        <f ca="1">IFERROR(VLOOKUP(I$2,Rango_Admin_DailyPred,MATCH($F78,Rango_Admin_DailyPred_Primera,0)+1,0),"-")</f>
        <v>-</v>
      </c>
      <c r="J78" s="429" t="str">
        <f ca="1">IFERROR(VLOOKUP(J$2,Rango_Admin_DailyPred,MATCH($F78,Rango_Admin_DailyPred_Primera,0)+1,0),"-")</f>
        <v>-</v>
      </c>
      <c r="K78" s="429" t="str">
        <f ca="1">IFERROR(VLOOKUP(K$2,Rango_Admin_DailyPred,MATCH($F78,Rango_Admin_DailyPred_Primera,0)+1,0),"-")</f>
        <v>-</v>
      </c>
      <c r="L78" s="429" t="str">
        <f ca="1">IFERROR(VLOOKUP(L$2,Rango_Admin_DailyPred,MATCH($F78,Rango_Admin_DailyPred_Primera,0)+1,0),"-")</f>
        <v>-</v>
      </c>
      <c r="M78" s="429" t="str">
        <f ca="1">IFERROR(VLOOKUP(M$2,Rango_Admin_DailyPred,MATCH($F78,Rango_Admin_DailyPred_Primera,0)+1,0),"-")</f>
        <v>-</v>
      </c>
      <c r="N78" s="429" t="str">
        <f ca="1">IFERROR(VLOOKUP(N$2,Rango_Admin_DailyPred,MATCH($F78,Rango_Admin_DailyPred_Primera,0)+1,0),"-")</f>
        <v>-</v>
      </c>
      <c r="O78" s="429" t="str">
        <f ca="1">IFERROR(VLOOKUP(O$2,Rango_Admin_DailyPred,MATCH($F78,Rango_Admin_DailyPred_Primera,0)+1,0),"-")</f>
        <v>-</v>
      </c>
      <c r="P78" s="429" t="str">
        <f ca="1">IFERROR(VLOOKUP(P$2,Rango_Admin_DailyPred,MATCH($F78,Rango_Admin_DailyPred_Primera,0)+1,0),"-")</f>
        <v>-</v>
      </c>
      <c r="Q78" s="429" t="str">
        <f ca="1">IFERROR(VLOOKUP(Q$2,Rango_Admin_DailyPred,MATCH($F78,Rango_Admin_DailyPred_Primera,0)+1,0),"-")</f>
        <v>-</v>
      </c>
      <c r="R78" s="429" t="str">
        <f ca="1">IFERROR(VLOOKUP(R$2,Rango_Admin_DailyPred,MATCH($F78,Rango_Admin_DailyPred_Primera,0)+1,0),"-")</f>
        <v>-</v>
      </c>
      <c r="S78" s="429" t="str">
        <f ca="1">IFERROR(VLOOKUP(S$2,Rango_Admin_DailyPred,MATCH($F78,Rango_Admin_DailyPred_Primera,0)+1,0),"-")</f>
        <v>-</v>
      </c>
      <c r="T78" s="429" t="str">
        <f ca="1">IFERROR(VLOOKUP(T$2,Rango_Admin_DailyPred,MATCH($F78,Rango_Admin_DailyPred_Primera,0)+1,0),"-")</f>
        <v>-</v>
      </c>
      <c r="U78" s="429" t="str">
        <f ca="1">IFERROR(VLOOKUP(U$2,Rango_Admin_DailyPred,MATCH($F78,Rango_Admin_DailyPred_Primera,0)+1,0),"-")</f>
        <v>-</v>
      </c>
      <c r="V78" s="429" t="str">
        <f ca="1">IFERROR(VLOOKUP(V$2,Rango_Admin_DailyPred,MATCH($F78,Rango_Admin_DailyPred_Primera,0)+1,0),"-")</f>
        <v>-</v>
      </c>
      <c r="W78" s="429" t="str">
        <f ca="1">IFERROR(VLOOKUP(W$2,Rango_Admin_DailyPred,MATCH($F78,Rango_Admin_DailyPred_Primera,0)+1,0),"-")</f>
        <v>-</v>
      </c>
      <c r="X78" s="429" t="str">
        <f ca="1">IFERROR(VLOOKUP(X$2,Rango_Admin_DailyPred,MATCH($F78,Rango_Admin_DailyPred_Primera,0)+1,0),"-")</f>
        <v>-</v>
      </c>
      <c r="Y78" s="429" t="str">
        <f ca="1">IFERROR(VLOOKUP(Y$2,Rango_Admin_DailyPred,MATCH($F78,Rango_Admin_DailyPred_Primera,0)+1,0),"-")</f>
        <v>-</v>
      </c>
      <c r="Z78" s="429" t="str">
        <f ca="1">IFERROR(VLOOKUP(Z$2,Rango_Admin_DailyPred,MATCH($F78,Rango_Admin_DailyPred_Primera,0)+1,0),"-")</f>
        <v>-</v>
      </c>
      <c r="AA78" s="429" t="str">
        <f ca="1">IFERROR(VLOOKUP(AA$2,Rango_Admin_DailyPred,MATCH($F78,Rango_Admin_DailyPred_Primera,0)+1,0),"-")</f>
        <v>-</v>
      </c>
      <c r="AB78" s="429" t="str">
        <f ca="1">IFERROR(VLOOKUP(AB$2,Rango_Admin_DailyPred,MATCH($F78,Rango_Admin_DailyPred_Primera,0)+1,0),"-")</f>
        <v>-</v>
      </c>
      <c r="AC78" s="429" t="str">
        <f ca="1">IFERROR(VLOOKUP(AC$2,Rango_Admin_DailyPred,MATCH($F78,Rango_Admin_DailyPred_Primera,0)+1,0),"-")</f>
        <v>-</v>
      </c>
      <c r="AD78" s="429" t="str">
        <f ca="1">IFERROR(VLOOKUP(AD$2,Rango_Admin_DailyPred,MATCH($F78,Rango_Admin_DailyPred_Primera,0)+1,0),"-")</f>
        <v>-</v>
      </c>
      <c r="AE78" s="429" t="str">
        <f ca="1">IFERROR(VLOOKUP(AE$2,Rango_Admin_DailyPred,MATCH($F78,Rango_Admin_DailyPred_Primera,0)+1,0),"-")</f>
        <v>-</v>
      </c>
      <c r="AF78" s="429" t="str">
        <f ca="1">IFERROR(VLOOKUP(AF$2,Rango_Admin_DailyPred,MATCH($F78,Rango_Admin_DailyPred_Primera,0)+1,0),"-")</f>
        <v>-</v>
      </c>
      <c r="AG78" s="429" t="str">
        <f ca="1">IFERROR(VLOOKUP(AG$2,Rango_Admin_DailyPred,MATCH($F78,Rango_Admin_DailyPred_Primera,0)+1,0),"-")</f>
        <v>-</v>
      </c>
      <c r="AH78" s="429" t="str">
        <f ca="1">IFERROR(VLOOKUP(AH$2,Rango_Admin_DailyPred,MATCH($F78,Rango_Admin_DailyPred_Primera,0)+1,0),"-")</f>
        <v>-</v>
      </c>
      <c r="AI78" s="429" t="str">
        <f ca="1">IFERROR(VLOOKUP(AI$2,Rango_Admin_DailyPred,MATCH($F78,Rango_Admin_DailyPred_Primera,0)+1,0),"-")</f>
        <v>-</v>
      </c>
      <c r="AJ78" s="429" t="str">
        <f ca="1">IFERROR(VLOOKUP(AJ$2,Rango_Admin_DailyPred,MATCH($F78,Rango_Admin_DailyPred_Primera,0)+1,0),"-")</f>
        <v>-</v>
      </c>
      <c r="AK78" s="429" t="str">
        <f ca="1">IFERROR(VLOOKUP(AK$2,Rango_Admin_DailyPred,MATCH($F78,Rango_Admin_DailyPred_Primera,0)+1,0),"-")</f>
        <v>-</v>
      </c>
      <c r="AL78" s="429" t="str">
        <f ca="1">IFERROR(VLOOKUP(AL$2,Rango_Admin_DailyPred,MATCH($F78,Rango_Admin_DailyPred_Primera,0)+1,0),"-")</f>
        <v>-</v>
      </c>
      <c r="AM78" s="429" t="str">
        <f ca="1">IFERROR(VLOOKUP(AM$2,Rango_Admin_DailyPred,MATCH($F78,Rango_Admin_DailyPred_Primera,0)+1,0),"-")</f>
        <v>-</v>
      </c>
      <c r="AN78" s="297"/>
    </row>
    <row r="79" spans="1:40">
      <c r="A79" s="8"/>
      <c r="B79" s="8"/>
      <c r="C79" s="8">
        <v>76</v>
      </c>
      <c r="D79" s="19"/>
      <c r="E79" s="409" t="str">
        <f ca="1">IFERROR(HLOOKUP(C79,Rango_Admin_DailyClas,3,FALSE),"-")</f>
        <v>-</v>
      </c>
      <c r="F79" s="448" t="str">
        <f ca="1">IFERROR(HLOOKUP(C79,Rango_Admin_DailyClas,5,FALSE),"-")</f>
        <v>-</v>
      </c>
      <c r="G79" s="22" t="str">
        <f ca="1">IFERROR(HLOOKUP(C79,Rango_Admin_DailyClas,4,FALSE),"-")</f>
        <v>-</v>
      </c>
      <c r="H79" s="429" t="str">
        <f ca="1">IFERROR(VLOOKUP(H$2,Rango_Admin_DailyPred,MATCH($F79,Rango_Admin_DailyPred_Primera,0)+1,0),"-")</f>
        <v>-</v>
      </c>
      <c r="I79" s="429" t="str">
        <f ca="1">IFERROR(VLOOKUP(I$2,Rango_Admin_DailyPred,MATCH($F79,Rango_Admin_DailyPred_Primera,0)+1,0),"-")</f>
        <v>-</v>
      </c>
      <c r="J79" s="429" t="str">
        <f ca="1">IFERROR(VLOOKUP(J$2,Rango_Admin_DailyPred,MATCH($F79,Rango_Admin_DailyPred_Primera,0)+1,0),"-")</f>
        <v>-</v>
      </c>
      <c r="K79" s="429" t="str">
        <f ca="1">IFERROR(VLOOKUP(K$2,Rango_Admin_DailyPred,MATCH($F79,Rango_Admin_DailyPred_Primera,0)+1,0),"-")</f>
        <v>-</v>
      </c>
      <c r="L79" s="429" t="str">
        <f ca="1">IFERROR(VLOOKUP(L$2,Rango_Admin_DailyPred,MATCH($F79,Rango_Admin_DailyPred_Primera,0)+1,0),"-")</f>
        <v>-</v>
      </c>
      <c r="M79" s="429" t="str">
        <f ca="1">IFERROR(VLOOKUP(M$2,Rango_Admin_DailyPred,MATCH($F79,Rango_Admin_DailyPred_Primera,0)+1,0),"-")</f>
        <v>-</v>
      </c>
      <c r="N79" s="429" t="str">
        <f ca="1">IFERROR(VLOOKUP(N$2,Rango_Admin_DailyPred,MATCH($F79,Rango_Admin_DailyPred_Primera,0)+1,0),"-")</f>
        <v>-</v>
      </c>
      <c r="O79" s="429" t="str">
        <f ca="1">IFERROR(VLOOKUP(O$2,Rango_Admin_DailyPred,MATCH($F79,Rango_Admin_DailyPred_Primera,0)+1,0),"-")</f>
        <v>-</v>
      </c>
      <c r="P79" s="429" t="str">
        <f ca="1">IFERROR(VLOOKUP(P$2,Rango_Admin_DailyPred,MATCH($F79,Rango_Admin_DailyPred_Primera,0)+1,0),"-")</f>
        <v>-</v>
      </c>
      <c r="Q79" s="429" t="str">
        <f ca="1">IFERROR(VLOOKUP(Q$2,Rango_Admin_DailyPred,MATCH($F79,Rango_Admin_DailyPred_Primera,0)+1,0),"-")</f>
        <v>-</v>
      </c>
      <c r="R79" s="429" t="str">
        <f ca="1">IFERROR(VLOOKUP(R$2,Rango_Admin_DailyPred,MATCH($F79,Rango_Admin_DailyPred_Primera,0)+1,0),"-")</f>
        <v>-</v>
      </c>
      <c r="S79" s="429" t="str">
        <f ca="1">IFERROR(VLOOKUP(S$2,Rango_Admin_DailyPred,MATCH($F79,Rango_Admin_DailyPred_Primera,0)+1,0),"-")</f>
        <v>-</v>
      </c>
      <c r="T79" s="429" t="str">
        <f ca="1">IFERROR(VLOOKUP(T$2,Rango_Admin_DailyPred,MATCH($F79,Rango_Admin_DailyPred_Primera,0)+1,0),"-")</f>
        <v>-</v>
      </c>
      <c r="U79" s="429" t="str">
        <f ca="1">IFERROR(VLOOKUP(U$2,Rango_Admin_DailyPred,MATCH($F79,Rango_Admin_DailyPred_Primera,0)+1,0),"-")</f>
        <v>-</v>
      </c>
      <c r="V79" s="429" t="str">
        <f ca="1">IFERROR(VLOOKUP(V$2,Rango_Admin_DailyPred,MATCH($F79,Rango_Admin_DailyPred_Primera,0)+1,0),"-")</f>
        <v>-</v>
      </c>
      <c r="W79" s="429" t="str">
        <f ca="1">IFERROR(VLOOKUP(W$2,Rango_Admin_DailyPred,MATCH($F79,Rango_Admin_DailyPred_Primera,0)+1,0),"-")</f>
        <v>-</v>
      </c>
      <c r="X79" s="429" t="str">
        <f ca="1">IFERROR(VLOOKUP(X$2,Rango_Admin_DailyPred,MATCH($F79,Rango_Admin_DailyPred_Primera,0)+1,0),"-")</f>
        <v>-</v>
      </c>
      <c r="Y79" s="429" t="str">
        <f ca="1">IFERROR(VLOOKUP(Y$2,Rango_Admin_DailyPred,MATCH($F79,Rango_Admin_DailyPred_Primera,0)+1,0),"-")</f>
        <v>-</v>
      </c>
      <c r="Z79" s="429" t="str">
        <f ca="1">IFERROR(VLOOKUP(Z$2,Rango_Admin_DailyPred,MATCH($F79,Rango_Admin_DailyPred_Primera,0)+1,0),"-")</f>
        <v>-</v>
      </c>
      <c r="AA79" s="429" t="str">
        <f ca="1">IFERROR(VLOOKUP(AA$2,Rango_Admin_DailyPred,MATCH($F79,Rango_Admin_DailyPred_Primera,0)+1,0),"-")</f>
        <v>-</v>
      </c>
      <c r="AB79" s="429" t="str">
        <f ca="1">IFERROR(VLOOKUP(AB$2,Rango_Admin_DailyPred,MATCH($F79,Rango_Admin_DailyPred_Primera,0)+1,0),"-")</f>
        <v>-</v>
      </c>
      <c r="AC79" s="429" t="str">
        <f ca="1">IFERROR(VLOOKUP(AC$2,Rango_Admin_DailyPred,MATCH($F79,Rango_Admin_DailyPred_Primera,0)+1,0),"-")</f>
        <v>-</v>
      </c>
      <c r="AD79" s="429" t="str">
        <f ca="1">IFERROR(VLOOKUP(AD$2,Rango_Admin_DailyPred,MATCH($F79,Rango_Admin_DailyPred_Primera,0)+1,0),"-")</f>
        <v>-</v>
      </c>
      <c r="AE79" s="429" t="str">
        <f ca="1">IFERROR(VLOOKUP(AE$2,Rango_Admin_DailyPred,MATCH($F79,Rango_Admin_DailyPred_Primera,0)+1,0),"-")</f>
        <v>-</v>
      </c>
      <c r="AF79" s="429" t="str">
        <f ca="1">IFERROR(VLOOKUP(AF$2,Rango_Admin_DailyPred,MATCH($F79,Rango_Admin_DailyPred_Primera,0)+1,0),"-")</f>
        <v>-</v>
      </c>
      <c r="AG79" s="429" t="str">
        <f ca="1">IFERROR(VLOOKUP(AG$2,Rango_Admin_DailyPred,MATCH($F79,Rango_Admin_DailyPred_Primera,0)+1,0),"-")</f>
        <v>-</v>
      </c>
      <c r="AH79" s="429" t="str">
        <f ca="1">IFERROR(VLOOKUP(AH$2,Rango_Admin_DailyPred,MATCH($F79,Rango_Admin_DailyPred_Primera,0)+1,0),"-")</f>
        <v>-</v>
      </c>
      <c r="AI79" s="429" t="str">
        <f ca="1">IFERROR(VLOOKUP(AI$2,Rango_Admin_DailyPred,MATCH($F79,Rango_Admin_DailyPred_Primera,0)+1,0),"-")</f>
        <v>-</v>
      </c>
      <c r="AJ79" s="429" t="str">
        <f ca="1">IFERROR(VLOOKUP(AJ$2,Rango_Admin_DailyPred,MATCH($F79,Rango_Admin_DailyPred_Primera,0)+1,0),"-")</f>
        <v>-</v>
      </c>
      <c r="AK79" s="429" t="str">
        <f ca="1">IFERROR(VLOOKUP(AK$2,Rango_Admin_DailyPred,MATCH($F79,Rango_Admin_DailyPred_Primera,0)+1,0),"-")</f>
        <v>-</v>
      </c>
      <c r="AL79" s="429" t="str">
        <f ca="1">IFERROR(VLOOKUP(AL$2,Rango_Admin_DailyPred,MATCH($F79,Rango_Admin_DailyPred_Primera,0)+1,0),"-")</f>
        <v>-</v>
      </c>
      <c r="AM79" s="429" t="str">
        <f ca="1">IFERROR(VLOOKUP(AM$2,Rango_Admin_DailyPred,MATCH($F79,Rango_Admin_DailyPred_Primera,0)+1,0),"-")</f>
        <v>-</v>
      </c>
      <c r="AN79" s="297"/>
    </row>
    <row r="80" spans="1:40">
      <c r="A80" s="8"/>
      <c r="B80" s="8"/>
      <c r="C80" s="8">
        <v>77</v>
      </c>
      <c r="D80" s="19"/>
      <c r="E80" s="409" t="str">
        <f ca="1">IFERROR(HLOOKUP(C80,Rango_Admin_DailyClas,3,FALSE),"-")</f>
        <v>-</v>
      </c>
      <c r="F80" s="448" t="str">
        <f ca="1">IFERROR(HLOOKUP(C80,Rango_Admin_DailyClas,5,FALSE),"-")</f>
        <v>-</v>
      </c>
      <c r="G80" s="22" t="str">
        <f ca="1">IFERROR(HLOOKUP(C80,Rango_Admin_DailyClas,4,FALSE),"-")</f>
        <v>-</v>
      </c>
      <c r="H80" s="429" t="str">
        <f ca="1">IFERROR(VLOOKUP(H$2,Rango_Admin_DailyPred,MATCH($F80,Rango_Admin_DailyPred_Primera,0)+1,0),"-")</f>
        <v>-</v>
      </c>
      <c r="I80" s="429" t="str">
        <f ca="1">IFERROR(VLOOKUP(I$2,Rango_Admin_DailyPred,MATCH($F80,Rango_Admin_DailyPred_Primera,0)+1,0),"-")</f>
        <v>-</v>
      </c>
      <c r="J80" s="429" t="str">
        <f ca="1">IFERROR(VLOOKUP(J$2,Rango_Admin_DailyPred,MATCH($F80,Rango_Admin_DailyPred_Primera,0)+1,0),"-")</f>
        <v>-</v>
      </c>
      <c r="K80" s="429" t="str">
        <f ca="1">IFERROR(VLOOKUP(K$2,Rango_Admin_DailyPred,MATCH($F80,Rango_Admin_DailyPred_Primera,0)+1,0),"-")</f>
        <v>-</v>
      </c>
      <c r="L80" s="429" t="str">
        <f ca="1">IFERROR(VLOOKUP(L$2,Rango_Admin_DailyPred,MATCH($F80,Rango_Admin_DailyPred_Primera,0)+1,0),"-")</f>
        <v>-</v>
      </c>
      <c r="M80" s="429" t="str">
        <f ca="1">IFERROR(VLOOKUP(M$2,Rango_Admin_DailyPred,MATCH($F80,Rango_Admin_DailyPred_Primera,0)+1,0),"-")</f>
        <v>-</v>
      </c>
      <c r="N80" s="429" t="str">
        <f ca="1">IFERROR(VLOOKUP(N$2,Rango_Admin_DailyPred,MATCH($F80,Rango_Admin_DailyPred_Primera,0)+1,0),"-")</f>
        <v>-</v>
      </c>
      <c r="O80" s="429" t="str">
        <f ca="1">IFERROR(VLOOKUP(O$2,Rango_Admin_DailyPred,MATCH($F80,Rango_Admin_DailyPred_Primera,0)+1,0),"-")</f>
        <v>-</v>
      </c>
      <c r="P80" s="429" t="str">
        <f ca="1">IFERROR(VLOOKUP(P$2,Rango_Admin_DailyPred,MATCH($F80,Rango_Admin_DailyPred_Primera,0)+1,0),"-")</f>
        <v>-</v>
      </c>
      <c r="Q80" s="429" t="str">
        <f ca="1">IFERROR(VLOOKUP(Q$2,Rango_Admin_DailyPred,MATCH($F80,Rango_Admin_DailyPred_Primera,0)+1,0),"-")</f>
        <v>-</v>
      </c>
      <c r="R80" s="429" t="str">
        <f ca="1">IFERROR(VLOOKUP(R$2,Rango_Admin_DailyPred,MATCH($F80,Rango_Admin_DailyPred_Primera,0)+1,0),"-")</f>
        <v>-</v>
      </c>
      <c r="S80" s="429" t="str">
        <f ca="1">IFERROR(VLOOKUP(S$2,Rango_Admin_DailyPred,MATCH($F80,Rango_Admin_DailyPred_Primera,0)+1,0),"-")</f>
        <v>-</v>
      </c>
      <c r="T80" s="429" t="str">
        <f ca="1">IFERROR(VLOOKUP(T$2,Rango_Admin_DailyPred,MATCH($F80,Rango_Admin_DailyPred_Primera,0)+1,0),"-")</f>
        <v>-</v>
      </c>
      <c r="U80" s="429" t="str">
        <f ca="1">IFERROR(VLOOKUP(U$2,Rango_Admin_DailyPred,MATCH($F80,Rango_Admin_DailyPred_Primera,0)+1,0),"-")</f>
        <v>-</v>
      </c>
      <c r="V80" s="429" t="str">
        <f ca="1">IFERROR(VLOOKUP(V$2,Rango_Admin_DailyPred,MATCH($F80,Rango_Admin_DailyPred_Primera,0)+1,0),"-")</f>
        <v>-</v>
      </c>
      <c r="W80" s="429" t="str">
        <f ca="1">IFERROR(VLOOKUP(W$2,Rango_Admin_DailyPred,MATCH($F80,Rango_Admin_DailyPred_Primera,0)+1,0),"-")</f>
        <v>-</v>
      </c>
      <c r="X80" s="429" t="str">
        <f ca="1">IFERROR(VLOOKUP(X$2,Rango_Admin_DailyPred,MATCH($F80,Rango_Admin_DailyPred_Primera,0)+1,0),"-")</f>
        <v>-</v>
      </c>
      <c r="Y80" s="429" t="str">
        <f ca="1">IFERROR(VLOOKUP(Y$2,Rango_Admin_DailyPred,MATCH($F80,Rango_Admin_DailyPred_Primera,0)+1,0),"-")</f>
        <v>-</v>
      </c>
      <c r="Z80" s="429" t="str">
        <f ca="1">IFERROR(VLOOKUP(Z$2,Rango_Admin_DailyPred,MATCH($F80,Rango_Admin_DailyPred_Primera,0)+1,0),"-")</f>
        <v>-</v>
      </c>
      <c r="AA80" s="429" t="str">
        <f ca="1">IFERROR(VLOOKUP(AA$2,Rango_Admin_DailyPred,MATCH($F80,Rango_Admin_DailyPred_Primera,0)+1,0),"-")</f>
        <v>-</v>
      </c>
      <c r="AB80" s="429" t="str">
        <f ca="1">IFERROR(VLOOKUP(AB$2,Rango_Admin_DailyPred,MATCH($F80,Rango_Admin_DailyPred_Primera,0)+1,0),"-")</f>
        <v>-</v>
      </c>
      <c r="AC80" s="429" t="str">
        <f ca="1">IFERROR(VLOOKUP(AC$2,Rango_Admin_DailyPred,MATCH($F80,Rango_Admin_DailyPred_Primera,0)+1,0),"-")</f>
        <v>-</v>
      </c>
      <c r="AD80" s="429" t="str">
        <f ca="1">IFERROR(VLOOKUP(AD$2,Rango_Admin_DailyPred,MATCH($F80,Rango_Admin_DailyPred_Primera,0)+1,0),"-")</f>
        <v>-</v>
      </c>
      <c r="AE80" s="429" t="str">
        <f ca="1">IFERROR(VLOOKUP(AE$2,Rango_Admin_DailyPred,MATCH($F80,Rango_Admin_DailyPred_Primera,0)+1,0),"-")</f>
        <v>-</v>
      </c>
      <c r="AF80" s="429" t="str">
        <f ca="1">IFERROR(VLOOKUP(AF$2,Rango_Admin_DailyPred,MATCH($F80,Rango_Admin_DailyPred_Primera,0)+1,0),"-")</f>
        <v>-</v>
      </c>
      <c r="AG80" s="429" t="str">
        <f ca="1">IFERROR(VLOOKUP(AG$2,Rango_Admin_DailyPred,MATCH($F80,Rango_Admin_DailyPred_Primera,0)+1,0),"-")</f>
        <v>-</v>
      </c>
      <c r="AH80" s="429" t="str">
        <f ca="1">IFERROR(VLOOKUP(AH$2,Rango_Admin_DailyPred,MATCH($F80,Rango_Admin_DailyPred_Primera,0)+1,0),"-")</f>
        <v>-</v>
      </c>
      <c r="AI80" s="429" t="str">
        <f ca="1">IFERROR(VLOOKUP(AI$2,Rango_Admin_DailyPred,MATCH($F80,Rango_Admin_DailyPred_Primera,0)+1,0),"-")</f>
        <v>-</v>
      </c>
      <c r="AJ80" s="429" t="str">
        <f ca="1">IFERROR(VLOOKUP(AJ$2,Rango_Admin_DailyPred,MATCH($F80,Rango_Admin_DailyPred_Primera,0)+1,0),"-")</f>
        <v>-</v>
      </c>
      <c r="AK80" s="429" t="str">
        <f ca="1">IFERROR(VLOOKUP(AK$2,Rango_Admin_DailyPred,MATCH($F80,Rango_Admin_DailyPred_Primera,0)+1,0),"-")</f>
        <v>-</v>
      </c>
      <c r="AL80" s="429" t="str">
        <f ca="1">IFERROR(VLOOKUP(AL$2,Rango_Admin_DailyPred,MATCH($F80,Rango_Admin_DailyPred_Primera,0)+1,0),"-")</f>
        <v>-</v>
      </c>
      <c r="AM80" s="429" t="str">
        <f ca="1">IFERROR(VLOOKUP(AM$2,Rango_Admin_DailyPred,MATCH($F80,Rango_Admin_DailyPred_Primera,0)+1,0),"-")</f>
        <v>-</v>
      </c>
      <c r="AN80" s="297"/>
    </row>
    <row r="81" spans="1:40">
      <c r="A81" s="8"/>
      <c r="B81" s="8"/>
      <c r="C81" s="8">
        <v>78</v>
      </c>
      <c r="D81" s="19"/>
      <c r="E81" s="409" t="str">
        <f ca="1">IFERROR(HLOOKUP(C81,Rango_Admin_DailyClas,3,FALSE),"-")</f>
        <v>-</v>
      </c>
      <c r="F81" s="448" t="str">
        <f ca="1">IFERROR(HLOOKUP(C81,Rango_Admin_DailyClas,5,FALSE),"-")</f>
        <v>-</v>
      </c>
      <c r="G81" s="22" t="str">
        <f ca="1">IFERROR(HLOOKUP(C81,Rango_Admin_DailyClas,4,FALSE),"-")</f>
        <v>-</v>
      </c>
      <c r="H81" s="429" t="str">
        <f ca="1">IFERROR(VLOOKUP(H$2,Rango_Admin_DailyPred,MATCH($F81,Rango_Admin_DailyPred_Primera,0)+1,0),"-")</f>
        <v>-</v>
      </c>
      <c r="I81" s="429" t="str">
        <f ca="1">IFERROR(VLOOKUP(I$2,Rango_Admin_DailyPred,MATCH($F81,Rango_Admin_DailyPred_Primera,0)+1,0),"-")</f>
        <v>-</v>
      </c>
      <c r="J81" s="429" t="str">
        <f ca="1">IFERROR(VLOOKUP(J$2,Rango_Admin_DailyPred,MATCH($F81,Rango_Admin_DailyPred_Primera,0)+1,0),"-")</f>
        <v>-</v>
      </c>
      <c r="K81" s="429" t="str">
        <f ca="1">IFERROR(VLOOKUP(K$2,Rango_Admin_DailyPred,MATCH($F81,Rango_Admin_DailyPred_Primera,0)+1,0),"-")</f>
        <v>-</v>
      </c>
      <c r="L81" s="429" t="str">
        <f ca="1">IFERROR(VLOOKUP(L$2,Rango_Admin_DailyPred,MATCH($F81,Rango_Admin_DailyPred_Primera,0)+1,0),"-")</f>
        <v>-</v>
      </c>
      <c r="M81" s="429" t="str">
        <f ca="1">IFERROR(VLOOKUP(M$2,Rango_Admin_DailyPred,MATCH($F81,Rango_Admin_DailyPred_Primera,0)+1,0),"-")</f>
        <v>-</v>
      </c>
      <c r="N81" s="429" t="str">
        <f ca="1">IFERROR(VLOOKUP(N$2,Rango_Admin_DailyPred,MATCH($F81,Rango_Admin_DailyPred_Primera,0)+1,0),"-")</f>
        <v>-</v>
      </c>
      <c r="O81" s="429" t="str">
        <f ca="1">IFERROR(VLOOKUP(O$2,Rango_Admin_DailyPred,MATCH($F81,Rango_Admin_DailyPred_Primera,0)+1,0),"-")</f>
        <v>-</v>
      </c>
      <c r="P81" s="429" t="str">
        <f ca="1">IFERROR(VLOOKUP(P$2,Rango_Admin_DailyPred,MATCH($F81,Rango_Admin_DailyPred_Primera,0)+1,0),"-")</f>
        <v>-</v>
      </c>
      <c r="Q81" s="429" t="str">
        <f ca="1">IFERROR(VLOOKUP(Q$2,Rango_Admin_DailyPred,MATCH($F81,Rango_Admin_DailyPred_Primera,0)+1,0),"-")</f>
        <v>-</v>
      </c>
      <c r="R81" s="429" t="str">
        <f ca="1">IFERROR(VLOOKUP(R$2,Rango_Admin_DailyPred,MATCH($F81,Rango_Admin_DailyPred_Primera,0)+1,0),"-")</f>
        <v>-</v>
      </c>
      <c r="S81" s="429" t="str">
        <f ca="1">IFERROR(VLOOKUP(S$2,Rango_Admin_DailyPred,MATCH($F81,Rango_Admin_DailyPred_Primera,0)+1,0),"-")</f>
        <v>-</v>
      </c>
      <c r="T81" s="429" t="str">
        <f ca="1">IFERROR(VLOOKUP(T$2,Rango_Admin_DailyPred,MATCH($F81,Rango_Admin_DailyPred_Primera,0)+1,0),"-")</f>
        <v>-</v>
      </c>
      <c r="U81" s="429" t="str">
        <f ca="1">IFERROR(VLOOKUP(U$2,Rango_Admin_DailyPred,MATCH($F81,Rango_Admin_DailyPred_Primera,0)+1,0),"-")</f>
        <v>-</v>
      </c>
      <c r="V81" s="429" t="str">
        <f ca="1">IFERROR(VLOOKUP(V$2,Rango_Admin_DailyPred,MATCH($F81,Rango_Admin_DailyPred_Primera,0)+1,0),"-")</f>
        <v>-</v>
      </c>
      <c r="W81" s="429" t="str">
        <f ca="1">IFERROR(VLOOKUP(W$2,Rango_Admin_DailyPred,MATCH($F81,Rango_Admin_DailyPred_Primera,0)+1,0),"-")</f>
        <v>-</v>
      </c>
      <c r="X81" s="429" t="str">
        <f ca="1">IFERROR(VLOOKUP(X$2,Rango_Admin_DailyPred,MATCH($F81,Rango_Admin_DailyPred_Primera,0)+1,0),"-")</f>
        <v>-</v>
      </c>
      <c r="Y81" s="429" t="str">
        <f ca="1">IFERROR(VLOOKUP(Y$2,Rango_Admin_DailyPred,MATCH($F81,Rango_Admin_DailyPred_Primera,0)+1,0),"-")</f>
        <v>-</v>
      </c>
      <c r="Z81" s="429" t="str">
        <f ca="1">IFERROR(VLOOKUP(Z$2,Rango_Admin_DailyPred,MATCH($F81,Rango_Admin_DailyPred_Primera,0)+1,0),"-")</f>
        <v>-</v>
      </c>
      <c r="AA81" s="429" t="str">
        <f ca="1">IFERROR(VLOOKUP(AA$2,Rango_Admin_DailyPred,MATCH($F81,Rango_Admin_DailyPred_Primera,0)+1,0),"-")</f>
        <v>-</v>
      </c>
      <c r="AB81" s="429" t="str">
        <f ca="1">IFERROR(VLOOKUP(AB$2,Rango_Admin_DailyPred,MATCH($F81,Rango_Admin_DailyPred_Primera,0)+1,0),"-")</f>
        <v>-</v>
      </c>
      <c r="AC81" s="429" t="str">
        <f ca="1">IFERROR(VLOOKUP(AC$2,Rango_Admin_DailyPred,MATCH($F81,Rango_Admin_DailyPred_Primera,0)+1,0),"-")</f>
        <v>-</v>
      </c>
      <c r="AD81" s="429" t="str">
        <f ca="1">IFERROR(VLOOKUP(AD$2,Rango_Admin_DailyPred,MATCH($F81,Rango_Admin_DailyPred_Primera,0)+1,0),"-")</f>
        <v>-</v>
      </c>
      <c r="AE81" s="429" t="str">
        <f ca="1">IFERROR(VLOOKUP(AE$2,Rango_Admin_DailyPred,MATCH($F81,Rango_Admin_DailyPred_Primera,0)+1,0),"-")</f>
        <v>-</v>
      </c>
      <c r="AF81" s="429" t="str">
        <f ca="1">IFERROR(VLOOKUP(AF$2,Rango_Admin_DailyPred,MATCH($F81,Rango_Admin_DailyPred_Primera,0)+1,0),"-")</f>
        <v>-</v>
      </c>
      <c r="AG81" s="429" t="str">
        <f ca="1">IFERROR(VLOOKUP(AG$2,Rango_Admin_DailyPred,MATCH($F81,Rango_Admin_DailyPred_Primera,0)+1,0),"-")</f>
        <v>-</v>
      </c>
      <c r="AH81" s="429" t="str">
        <f ca="1">IFERROR(VLOOKUP(AH$2,Rango_Admin_DailyPred,MATCH($F81,Rango_Admin_DailyPred_Primera,0)+1,0),"-")</f>
        <v>-</v>
      </c>
      <c r="AI81" s="429" t="str">
        <f ca="1">IFERROR(VLOOKUP(AI$2,Rango_Admin_DailyPred,MATCH($F81,Rango_Admin_DailyPred_Primera,0)+1,0),"-")</f>
        <v>-</v>
      </c>
      <c r="AJ81" s="429" t="str">
        <f ca="1">IFERROR(VLOOKUP(AJ$2,Rango_Admin_DailyPred,MATCH($F81,Rango_Admin_DailyPred_Primera,0)+1,0),"-")</f>
        <v>-</v>
      </c>
      <c r="AK81" s="429" t="str">
        <f ca="1">IFERROR(VLOOKUP(AK$2,Rango_Admin_DailyPred,MATCH($F81,Rango_Admin_DailyPred_Primera,0)+1,0),"-")</f>
        <v>-</v>
      </c>
      <c r="AL81" s="429" t="str">
        <f ca="1">IFERROR(VLOOKUP(AL$2,Rango_Admin_DailyPred,MATCH($F81,Rango_Admin_DailyPred_Primera,0)+1,0),"-")</f>
        <v>-</v>
      </c>
      <c r="AM81" s="429" t="str">
        <f ca="1">IFERROR(VLOOKUP(AM$2,Rango_Admin_DailyPred,MATCH($F81,Rango_Admin_DailyPred_Primera,0)+1,0),"-")</f>
        <v>-</v>
      </c>
      <c r="AN81" s="297"/>
    </row>
    <row r="82" spans="1:40">
      <c r="A82" s="8"/>
      <c r="B82" s="8"/>
      <c r="C82" s="8">
        <v>79</v>
      </c>
      <c r="D82" s="19"/>
      <c r="E82" s="409" t="str">
        <f ca="1">IFERROR(HLOOKUP(C82,Rango_Admin_DailyClas,3,FALSE),"-")</f>
        <v>-</v>
      </c>
      <c r="F82" s="448" t="str">
        <f ca="1">IFERROR(HLOOKUP(C82,Rango_Admin_DailyClas,5,FALSE),"-")</f>
        <v>-</v>
      </c>
      <c r="G82" s="22" t="str">
        <f ca="1">IFERROR(HLOOKUP(C82,Rango_Admin_DailyClas,4,FALSE),"-")</f>
        <v>-</v>
      </c>
      <c r="H82" s="429" t="str">
        <f ca="1">IFERROR(VLOOKUP(H$2,Rango_Admin_DailyPred,MATCH($F82,Rango_Admin_DailyPred_Primera,0)+1,0),"-")</f>
        <v>-</v>
      </c>
      <c r="I82" s="429" t="str">
        <f ca="1">IFERROR(VLOOKUP(I$2,Rango_Admin_DailyPred,MATCH($F82,Rango_Admin_DailyPred_Primera,0)+1,0),"-")</f>
        <v>-</v>
      </c>
      <c r="J82" s="429" t="str">
        <f ca="1">IFERROR(VLOOKUP(J$2,Rango_Admin_DailyPred,MATCH($F82,Rango_Admin_DailyPred_Primera,0)+1,0),"-")</f>
        <v>-</v>
      </c>
      <c r="K82" s="429" t="str">
        <f ca="1">IFERROR(VLOOKUP(K$2,Rango_Admin_DailyPred,MATCH($F82,Rango_Admin_DailyPred_Primera,0)+1,0),"-")</f>
        <v>-</v>
      </c>
      <c r="L82" s="429" t="str">
        <f ca="1">IFERROR(VLOOKUP(L$2,Rango_Admin_DailyPred,MATCH($F82,Rango_Admin_DailyPred_Primera,0)+1,0),"-")</f>
        <v>-</v>
      </c>
      <c r="M82" s="429" t="str">
        <f ca="1">IFERROR(VLOOKUP(M$2,Rango_Admin_DailyPred,MATCH($F82,Rango_Admin_DailyPred_Primera,0)+1,0),"-")</f>
        <v>-</v>
      </c>
      <c r="N82" s="429" t="str">
        <f ca="1">IFERROR(VLOOKUP(N$2,Rango_Admin_DailyPred,MATCH($F82,Rango_Admin_DailyPred_Primera,0)+1,0),"-")</f>
        <v>-</v>
      </c>
      <c r="O82" s="429" t="str">
        <f ca="1">IFERROR(VLOOKUP(O$2,Rango_Admin_DailyPred,MATCH($F82,Rango_Admin_DailyPred_Primera,0)+1,0),"-")</f>
        <v>-</v>
      </c>
      <c r="P82" s="429" t="str">
        <f ca="1">IFERROR(VLOOKUP(P$2,Rango_Admin_DailyPred,MATCH($F82,Rango_Admin_DailyPred_Primera,0)+1,0),"-")</f>
        <v>-</v>
      </c>
      <c r="Q82" s="429" t="str">
        <f ca="1">IFERROR(VLOOKUP(Q$2,Rango_Admin_DailyPred,MATCH($F82,Rango_Admin_DailyPred_Primera,0)+1,0),"-")</f>
        <v>-</v>
      </c>
      <c r="R82" s="429" t="str">
        <f ca="1">IFERROR(VLOOKUP(R$2,Rango_Admin_DailyPred,MATCH($F82,Rango_Admin_DailyPred_Primera,0)+1,0),"-")</f>
        <v>-</v>
      </c>
      <c r="S82" s="429" t="str">
        <f ca="1">IFERROR(VLOOKUP(S$2,Rango_Admin_DailyPred,MATCH($F82,Rango_Admin_DailyPred_Primera,0)+1,0),"-")</f>
        <v>-</v>
      </c>
      <c r="T82" s="429" t="str">
        <f ca="1">IFERROR(VLOOKUP(T$2,Rango_Admin_DailyPred,MATCH($F82,Rango_Admin_DailyPred_Primera,0)+1,0),"-")</f>
        <v>-</v>
      </c>
      <c r="U82" s="429" t="str">
        <f ca="1">IFERROR(VLOOKUP(U$2,Rango_Admin_DailyPred,MATCH($F82,Rango_Admin_DailyPred_Primera,0)+1,0),"-")</f>
        <v>-</v>
      </c>
      <c r="V82" s="429" t="str">
        <f ca="1">IFERROR(VLOOKUP(V$2,Rango_Admin_DailyPred,MATCH($F82,Rango_Admin_DailyPred_Primera,0)+1,0),"-")</f>
        <v>-</v>
      </c>
      <c r="W82" s="429" t="str">
        <f ca="1">IFERROR(VLOOKUP(W$2,Rango_Admin_DailyPred,MATCH($F82,Rango_Admin_DailyPred_Primera,0)+1,0),"-")</f>
        <v>-</v>
      </c>
      <c r="X82" s="429" t="str">
        <f ca="1">IFERROR(VLOOKUP(X$2,Rango_Admin_DailyPred,MATCH($F82,Rango_Admin_DailyPred_Primera,0)+1,0),"-")</f>
        <v>-</v>
      </c>
      <c r="Y82" s="429" t="str">
        <f ca="1">IFERROR(VLOOKUP(Y$2,Rango_Admin_DailyPred,MATCH($F82,Rango_Admin_DailyPred_Primera,0)+1,0),"-")</f>
        <v>-</v>
      </c>
      <c r="Z82" s="429" t="str">
        <f ca="1">IFERROR(VLOOKUP(Z$2,Rango_Admin_DailyPred,MATCH($F82,Rango_Admin_DailyPred_Primera,0)+1,0),"-")</f>
        <v>-</v>
      </c>
      <c r="AA82" s="429" t="str">
        <f ca="1">IFERROR(VLOOKUP(AA$2,Rango_Admin_DailyPred,MATCH($F82,Rango_Admin_DailyPred_Primera,0)+1,0),"-")</f>
        <v>-</v>
      </c>
      <c r="AB82" s="429" t="str">
        <f ca="1">IFERROR(VLOOKUP(AB$2,Rango_Admin_DailyPred,MATCH($F82,Rango_Admin_DailyPred_Primera,0)+1,0),"-")</f>
        <v>-</v>
      </c>
      <c r="AC82" s="429" t="str">
        <f ca="1">IFERROR(VLOOKUP(AC$2,Rango_Admin_DailyPred,MATCH($F82,Rango_Admin_DailyPred_Primera,0)+1,0),"-")</f>
        <v>-</v>
      </c>
      <c r="AD82" s="429" t="str">
        <f ca="1">IFERROR(VLOOKUP(AD$2,Rango_Admin_DailyPred,MATCH($F82,Rango_Admin_DailyPred_Primera,0)+1,0),"-")</f>
        <v>-</v>
      </c>
      <c r="AE82" s="429" t="str">
        <f ca="1">IFERROR(VLOOKUP(AE$2,Rango_Admin_DailyPred,MATCH($F82,Rango_Admin_DailyPred_Primera,0)+1,0),"-")</f>
        <v>-</v>
      </c>
      <c r="AF82" s="429" t="str">
        <f ca="1">IFERROR(VLOOKUP(AF$2,Rango_Admin_DailyPred,MATCH($F82,Rango_Admin_DailyPred_Primera,0)+1,0),"-")</f>
        <v>-</v>
      </c>
      <c r="AG82" s="429" t="str">
        <f ca="1">IFERROR(VLOOKUP(AG$2,Rango_Admin_DailyPred,MATCH($F82,Rango_Admin_DailyPred_Primera,0)+1,0),"-")</f>
        <v>-</v>
      </c>
      <c r="AH82" s="429" t="str">
        <f ca="1">IFERROR(VLOOKUP(AH$2,Rango_Admin_DailyPred,MATCH($F82,Rango_Admin_DailyPred_Primera,0)+1,0),"-")</f>
        <v>-</v>
      </c>
      <c r="AI82" s="429" t="str">
        <f ca="1">IFERROR(VLOOKUP(AI$2,Rango_Admin_DailyPred,MATCH($F82,Rango_Admin_DailyPred_Primera,0)+1,0),"-")</f>
        <v>-</v>
      </c>
      <c r="AJ82" s="429" t="str">
        <f ca="1">IFERROR(VLOOKUP(AJ$2,Rango_Admin_DailyPred,MATCH($F82,Rango_Admin_DailyPred_Primera,0)+1,0),"-")</f>
        <v>-</v>
      </c>
      <c r="AK82" s="429" t="str">
        <f ca="1">IFERROR(VLOOKUP(AK$2,Rango_Admin_DailyPred,MATCH($F82,Rango_Admin_DailyPred_Primera,0)+1,0),"-")</f>
        <v>-</v>
      </c>
      <c r="AL82" s="429" t="str">
        <f ca="1">IFERROR(VLOOKUP(AL$2,Rango_Admin_DailyPred,MATCH($F82,Rango_Admin_DailyPred_Primera,0)+1,0),"-")</f>
        <v>-</v>
      </c>
      <c r="AM82" s="429" t="str">
        <f ca="1">IFERROR(VLOOKUP(AM$2,Rango_Admin_DailyPred,MATCH($F82,Rango_Admin_DailyPred_Primera,0)+1,0),"-")</f>
        <v>-</v>
      </c>
      <c r="AN82" s="297"/>
    </row>
    <row r="83" spans="1:40">
      <c r="A83" s="8"/>
      <c r="B83" s="8"/>
      <c r="C83" s="8">
        <v>80</v>
      </c>
      <c r="D83" s="19"/>
      <c r="E83" s="409" t="str">
        <f ca="1">IFERROR(HLOOKUP(C83,Rango_Admin_DailyClas,3,FALSE),"-")</f>
        <v>-</v>
      </c>
      <c r="F83" s="448" t="str">
        <f ca="1">IFERROR(HLOOKUP(C83,Rango_Admin_DailyClas,5,FALSE),"-")</f>
        <v>-</v>
      </c>
      <c r="G83" s="22" t="str">
        <f ca="1">IFERROR(HLOOKUP(C83,Rango_Admin_DailyClas,4,FALSE),"-")</f>
        <v>-</v>
      </c>
      <c r="H83" s="429" t="str">
        <f ca="1">IFERROR(VLOOKUP(H$2,Rango_Admin_DailyPred,MATCH($F83,Rango_Admin_DailyPred_Primera,0)+1,0),"-")</f>
        <v>-</v>
      </c>
      <c r="I83" s="429" t="str">
        <f ca="1">IFERROR(VLOOKUP(I$2,Rango_Admin_DailyPred,MATCH($F83,Rango_Admin_DailyPred_Primera,0)+1,0),"-")</f>
        <v>-</v>
      </c>
      <c r="J83" s="429" t="str">
        <f ca="1">IFERROR(VLOOKUP(J$2,Rango_Admin_DailyPred,MATCH($F83,Rango_Admin_DailyPred_Primera,0)+1,0),"-")</f>
        <v>-</v>
      </c>
      <c r="K83" s="429" t="str">
        <f ca="1">IFERROR(VLOOKUP(K$2,Rango_Admin_DailyPred,MATCH($F83,Rango_Admin_DailyPred_Primera,0)+1,0),"-")</f>
        <v>-</v>
      </c>
      <c r="L83" s="429" t="str">
        <f ca="1">IFERROR(VLOOKUP(L$2,Rango_Admin_DailyPred,MATCH($F83,Rango_Admin_DailyPred_Primera,0)+1,0),"-")</f>
        <v>-</v>
      </c>
      <c r="M83" s="429" t="str">
        <f ca="1">IFERROR(VLOOKUP(M$2,Rango_Admin_DailyPred,MATCH($F83,Rango_Admin_DailyPred_Primera,0)+1,0),"-")</f>
        <v>-</v>
      </c>
      <c r="N83" s="429" t="str">
        <f ca="1">IFERROR(VLOOKUP(N$2,Rango_Admin_DailyPred,MATCH($F83,Rango_Admin_DailyPred_Primera,0)+1,0),"-")</f>
        <v>-</v>
      </c>
      <c r="O83" s="429" t="str">
        <f ca="1">IFERROR(VLOOKUP(O$2,Rango_Admin_DailyPred,MATCH($F83,Rango_Admin_DailyPred_Primera,0)+1,0),"-")</f>
        <v>-</v>
      </c>
      <c r="P83" s="429" t="str">
        <f ca="1">IFERROR(VLOOKUP(P$2,Rango_Admin_DailyPred,MATCH($F83,Rango_Admin_DailyPred_Primera,0)+1,0),"-")</f>
        <v>-</v>
      </c>
      <c r="Q83" s="429" t="str">
        <f ca="1">IFERROR(VLOOKUP(Q$2,Rango_Admin_DailyPred,MATCH($F83,Rango_Admin_DailyPred_Primera,0)+1,0),"-")</f>
        <v>-</v>
      </c>
      <c r="R83" s="429" t="str">
        <f ca="1">IFERROR(VLOOKUP(R$2,Rango_Admin_DailyPred,MATCH($F83,Rango_Admin_DailyPred_Primera,0)+1,0),"-")</f>
        <v>-</v>
      </c>
      <c r="S83" s="429" t="str">
        <f ca="1">IFERROR(VLOOKUP(S$2,Rango_Admin_DailyPred,MATCH($F83,Rango_Admin_DailyPred_Primera,0)+1,0),"-")</f>
        <v>-</v>
      </c>
      <c r="T83" s="429" t="str">
        <f ca="1">IFERROR(VLOOKUP(T$2,Rango_Admin_DailyPred,MATCH($F83,Rango_Admin_DailyPred_Primera,0)+1,0),"-")</f>
        <v>-</v>
      </c>
      <c r="U83" s="429" t="str">
        <f ca="1">IFERROR(VLOOKUP(U$2,Rango_Admin_DailyPred,MATCH($F83,Rango_Admin_DailyPred_Primera,0)+1,0),"-")</f>
        <v>-</v>
      </c>
      <c r="V83" s="429" t="str">
        <f ca="1">IFERROR(VLOOKUP(V$2,Rango_Admin_DailyPred,MATCH($F83,Rango_Admin_DailyPred_Primera,0)+1,0),"-")</f>
        <v>-</v>
      </c>
      <c r="W83" s="429" t="str">
        <f ca="1">IFERROR(VLOOKUP(W$2,Rango_Admin_DailyPred,MATCH($F83,Rango_Admin_DailyPred_Primera,0)+1,0),"-")</f>
        <v>-</v>
      </c>
      <c r="X83" s="429" t="str">
        <f ca="1">IFERROR(VLOOKUP(X$2,Rango_Admin_DailyPred,MATCH($F83,Rango_Admin_DailyPred_Primera,0)+1,0),"-")</f>
        <v>-</v>
      </c>
      <c r="Y83" s="429" t="str">
        <f ca="1">IFERROR(VLOOKUP(Y$2,Rango_Admin_DailyPred,MATCH($F83,Rango_Admin_DailyPred_Primera,0)+1,0),"-")</f>
        <v>-</v>
      </c>
      <c r="Z83" s="429" t="str">
        <f ca="1">IFERROR(VLOOKUP(Z$2,Rango_Admin_DailyPred,MATCH($F83,Rango_Admin_DailyPred_Primera,0)+1,0),"-")</f>
        <v>-</v>
      </c>
      <c r="AA83" s="429" t="str">
        <f ca="1">IFERROR(VLOOKUP(AA$2,Rango_Admin_DailyPred,MATCH($F83,Rango_Admin_DailyPred_Primera,0)+1,0),"-")</f>
        <v>-</v>
      </c>
      <c r="AB83" s="429" t="str">
        <f ca="1">IFERROR(VLOOKUP(AB$2,Rango_Admin_DailyPred,MATCH($F83,Rango_Admin_DailyPred_Primera,0)+1,0),"-")</f>
        <v>-</v>
      </c>
      <c r="AC83" s="429" t="str">
        <f ca="1">IFERROR(VLOOKUP(AC$2,Rango_Admin_DailyPred,MATCH($F83,Rango_Admin_DailyPred_Primera,0)+1,0),"-")</f>
        <v>-</v>
      </c>
      <c r="AD83" s="429" t="str">
        <f ca="1">IFERROR(VLOOKUP(AD$2,Rango_Admin_DailyPred,MATCH($F83,Rango_Admin_DailyPred_Primera,0)+1,0),"-")</f>
        <v>-</v>
      </c>
      <c r="AE83" s="429" t="str">
        <f ca="1">IFERROR(VLOOKUP(AE$2,Rango_Admin_DailyPred,MATCH($F83,Rango_Admin_DailyPred_Primera,0)+1,0),"-")</f>
        <v>-</v>
      </c>
      <c r="AF83" s="429" t="str">
        <f ca="1">IFERROR(VLOOKUP(AF$2,Rango_Admin_DailyPred,MATCH($F83,Rango_Admin_DailyPred_Primera,0)+1,0),"-")</f>
        <v>-</v>
      </c>
      <c r="AG83" s="429" t="str">
        <f ca="1">IFERROR(VLOOKUP(AG$2,Rango_Admin_DailyPred,MATCH($F83,Rango_Admin_DailyPred_Primera,0)+1,0),"-")</f>
        <v>-</v>
      </c>
      <c r="AH83" s="429" t="str">
        <f ca="1">IFERROR(VLOOKUP(AH$2,Rango_Admin_DailyPred,MATCH($F83,Rango_Admin_DailyPred_Primera,0)+1,0),"-")</f>
        <v>-</v>
      </c>
      <c r="AI83" s="429" t="str">
        <f ca="1">IFERROR(VLOOKUP(AI$2,Rango_Admin_DailyPred,MATCH($F83,Rango_Admin_DailyPred_Primera,0)+1,0),"-")</f>
        <v>-</v>
      </c>
      <c r="AJ83" s="429" t="str">
        <f ca="1">IFERROR(VLOOKUP(AJ$2,Rango_Admin_DailyPred,MATCH($F83,Rango_Admin_DailyPred_Primera,0)+1,0),"-")</f>
        <v>-</v>
      </c>
      <c r="AK83" s="429" t="str">
        <f ca="1">IFERROR(VLOOKUP(AK$2,Rango_Admin_DailyPred,MATCH($F83,Rango_Admin_DailyPred_Primera,0)+1,0),"-")</f>
        <v>-</v>
      </c>
      <c r="AL83" s="429" t="str">
        <f ca="1">IFERROR(VLOOKUP(AL$2,Rango_Admin_DailyPred,MATCH($F83,Rango_Admin_DailyPred_Primera,0)+1,0),"-")</f>
        <v>-</v>
      </c>
      <c r="AM83" s="429" t="str">
        <f ca="1">IFERROR(VLOOKUP(AM$2,Rango_Admin_DailyPred,MATCH($F83,Rango_Admin_DailyPred_Primera,0)+1,0),"-")</f>
        <v>-</v>
      </c>
      <c r="AN83" s="297"/>
    </row>
    <row r="84" spans="1:40">
      <c r="A84" s="8"/>
      <c r="B84" s="8"/>
      <c r="C84" s="8">
        <v>81</v>
      </c>
      <c r="D84" s="19"/>
      <c r="E84" s="409" t="str">
        <f ca="1">IFERROR(HLOOKUP(C84,Rango_Admin_DailyClas,3,FALSE),"-")</f>
        <v>-</v>
      </c>
      <c r="F84" s="448" t="str">
        <f ca="1">IFERROR(HLOOKUP(C84,Rango_Admin_DailyClas,5,FALSE),"-")</f>
        <v>-</v>
      </c>
      <c r="G84" s="22" t="str">
        <f ca="1">IFERROR(HLOOKUP(C84,Rango_Admin_DailyClas,4,FALSE),"-")</f>
        <v>-</v>
      </c>
      <c r="H84" s="429" t="str">
        <f ca="1">IFERROR(VLOOKUP(H$2,Rango_Admin_DailyPred,MATCH($F84,Rango_Admin_DailyPred_Primera,0)+1,0),"-")</f>
        <v>-</v>
      </c>
      <c r="I84" s="429" t="str">
        <f ca="1">IFERROR(VLOOKUP(I$2,Rango_Admin_DailyPred,MATCH($F84,Rango_Admin_DailyPred_Primera,0)+1,0),"-")</f>
        <v>-</v>
      </c>
      <c r="J84" s="429" t="str">
        <f ca="1">IFERROR(VLOOKUP(J$2,Rango_Admin_DailyPred,MATCH($F84,Rango_Admin_DailyPred_Primera,0)+1,0),"-")</f>
        <v>-</v>
      </c>
      <c r="K84" s="429" t="str">
        <f ca="1">IFERROR(VLOOKUP(K$2,Rango_Admin_DailyPred,MATCH($F84,Rango_Admin_DailyPred_Primera,0)+1,0),"-")</f>
        <v>-</v>
      </c>
      <c r="L84" s="429" t="str">
        <f ca="1">IFERROR(VLOOKUP(L$2,Rango_Admin_DailyPred,MATCH($F84,Rango_Admin_DailyPred_Primera,0)+1,0),"-")</f>
        <v>-</v>
      </c>
      <c r="M84" s="429" t="str">
        <f ca="1">IFERROR(VLOOKUP(M$2,Rango_Admin_DailyPred,MATCH($F84,Rango_Admin_DailyPred_Primera,0)+1,0),"-")</f>
        <v>-</v>
      </c>
      <c r="N84" s="429" t="str">
        <f ca="1">IFERROR(VLOOKUP(N$2,Rango_Admin_DailyPred,MATCH($F84,Rango_Admin_DailyPred_Primera,0)+1,0),"-")</f>
        <v>-</v>
      </c>
      <c r="O84" s="429" t="str">
        <f ca="1">IFERROR(VLOOKUP(O$2,Rango_Admin_DailyPred,MATCH($F84,Rango_Admin_DailyPred_Primera,0)+1,0),"-")</f>
        <v>-</v>
      </c>
      <c r="P84" s="429" t="str">
        <f ca="1">IFERROR(VLOOKUP(P$2,Rango_Admin_DailyPred,MATCH($F84,Rango_Admin_DailyPred_Primera,0)+1,0),"-")</f>
        <v>-</v>
      </c>
      <c r="Q84" s="429" t="str">
        <f ca="1">IFERROR(VLOOKUP(Q$2,Rango_Admin_DailyPred,MATCH($F84,Rango_Admin_DailyPred_Primera,0)+1,0),"-")</f>
        <v>-</v>
      </c>
      <c r="R84" s="429" t="str">
        <f ca="1">IFERROR(VLOOKUP(R$2,Rango_Admin_DailyPred,MATCH($F84,Rango_Admin_DailyPred_Primera,0)+1,0),"-")</f>
        <v>-</v>
      </c>
      <c r="S84" s="429" t="str">
        <f ca="1">IFERROR(VLOOKUP(S$2,Rango_Admin_DailyPred,MATCH($F84,Rango_Admin_DailyPred_Primera,0)+1,0),"-")</f>
        <v>-</v>
      </c>
      <c r="T84" s="429" t="str">
        <f ca="1">IFERROR(VLOOKUP(T$2,Rango_Admin_DailyPred,MATCH($F84,Rango_Admin_DailyPred_Primera,0)+1,0),"-")</f>
        <v>-</v>
      </c>
      <c r="U84" s="429" t="str">
        <f ca="1">IFERROR(VLOOKUP(U$2,Rango_Admin_DailyPred,MATCH($F84,Rango_Admin_DailyPred_Primera,0)+1,0),"-")</f>
        <v>-</v>
      </c>
      <c r="V84" s="429" t="str">
        <f ca="1">IFERROR(VLOOKUP(V$2,Rango_Admin_DailyPred,MATCH($F84,Rango_Admin_DailyPred_Primera,0)+1,0),"-")</f>
        <v>-</v>
      </c>
      <c r="W84" s="429" t="str">
        <f ca="1">IFERROR(VLOOKUP(W$2,Rango_Admin_DailyPred,MATCH($F84,Rango_Admin_DailyPred_Primera,0)+1,0),"-")</f>
        <v>-</v>
      </c>
      <c r="X84" s="429" t="str">
        <f ca="1">IFERROR(VLOOKUP(X$2,Rango_Admin_DailyPred,MATCH($F84,Rango_Admin_DailyPred_Primera,0)+1,0),"-")</f>
        <v>-</v>
      </c>
      <c r="Y84" s="429" t="str">
        <f ca="1">IFERROR(VLOOKUP(Y$2,Rango_Admin_DailyPred,MATCH($F84,Rango_Admin_DailyPred_Primera,0)+1,0),"-")</f>
        <v>-</v>
      </c>
      <c r="Z84" s="429" t="str">
        <f ca="1">IFERROR(VLOOKUP(Z$2,Rango_Admin_DailyPred,MATCH($F84,Rango_Admin_DailyPred_Primera,0)+1,0),"-")</f>
        <v>-</v>
      </c>
      <c r="AA84" s="429" t="str">
        <f ca="1">IFERROR(VLOOKUP(AA$2,Rango_Admin_DailyPred,MATCH($F84,Rango_Admin_DailyPred_Primera,0)+1,0),"-")</f>
        <v>-</v>
      </c>
      <c r="AB84" s="429" t="str">
        <f ca="1">IFERROR(VLOOKUP(AB$2,Rango_Admin_DailyPred,MATCH($F84,Rango_Admin_DailyPred_Primera,0)+1,0),"-")</f>
        <v>-</v>
      </c>
      <c r="AC84" s="429" t="str">
        <f ca="1">IFERROR(VLOOKUP(AC$2,Rango_Admin_DailyPred,MATCH($F84,Rango_Admin_DailyPred_Primera,0)+1,0),"-")</f>
        <v>-</v>
      </c>
      <c r="AD84" s="429" t="str">
        <f ca="1">IFERROR(VLOOKUP(AD$2,Rango_Admin_DailyPred,MATCH($F84,Rango_Admin_DailyPred_Primera,0)+1,0),"-")</f>
        <v>-</v>
      </c>
      <c r="AE84" s="429" t="str">
        <f ca="1">IFERROR(VLOOKUP(AE$2,Rango_Admin_DailyPred,MATCH($F84,Rango_Admin_DailyPred_Primera,0)+1,0),"-")</f>
        <v>-</v>
      </c>
      <c r="AF84" s="429" t="str">
        <f ca="1">IFERROR(VLOOKUP(AF$2,Rango_Admin_DailyPred,MATCH($F84,Rango_Admin_DailyPred_Primera,0)+1,0),"-")</f>
        <v>-</v>
      </c>
      <c r="AG84" s="429" t="str">
        <f ca="1">IFERROR(VLOOKUP(AG$2,Rango_Admin_DailyPred,MATCH($F84,Rango_Admin_DailyPred_Primera,0)+1,0),"-")</f>
        <v>-</v>
      </c>
      <c r="AH84" s="429" t="str">
        <f ca="1">IFERROR(VLOOKUP(AH$2,Rango_Admin_DailyPred,MATCH($F84,Rango_Admin_DailyPred_Primera,0)+1,0),"-")</f>
        <v>-</v>
      </c>
      <c r="AI84" s="429" t="str">
        <f ca="1">IFERROR(VLOOKUP(AI$2,Rango_Admin_DailyPred,MATCH($F84,Rango_Admin_DailyPred_Primera,0)+1,0),"-")</f>
        <v>-</v>
      </c>
      <c r="AJ84" s="429" t="str">
        <f ca="1">IFERROR(VLOOKUP(AJ$2,Rango_Admin_DailyPred,MATCH($F84,Rango_Admin_DailyPred_Primera,0)+1,0),"-")</f>
        <v>-</v>
      </c>
      <c r="AK84" s="429" t="str">
        <f ca="1">IFERROR(VLOOKUP(AK$2,Rango_Admin_DailyPred,MATCH($F84,Rango_Admin_DailyPred_Primera,0)+1,0),"-")</f>
        <v>-</v>
      </c>
      <c r="AL84" s="429" t="str">
        <f ca="1">IFERROR(VLOOKUP(AL$2,Rango_Admin_DailyPred,MATCH($F84,Rango_Admin_DailyPred_Primera,0)+1,0),"-")</f>
        <v>-</v>
      </c>
      <c r="AM84" s="429" t="str">
        <f ca="1">IFERROR(VLOOKUP(AM$2,Rango_Admin_DailyPred,MATCH($F84,Rango_Admin_DailyPred_Primera,0)+1,0),"-")</f>
        <v>-</v>
      </c>
      <c r="AN84" s="297"/>
    </row>
    <row r="85" spans="1:40">
      <c r="A85" s="8"/>
      <c r="B85" s="8"/>
      <c r="C85" s="8">
        <v>82</v>
      </c>
      <c r="D85" s="19"/>
      <c r="E85" s="409" t="str">
        <f ca="1">IFERROR(HLOOKUP(C85,Rango_Admin_DailyClas,3,FALSE),"-")</f>
        <v>-</v>
      </c>
      <c r="F85" s="448" t="str">
        <f ca="1">IFERROR(HLOOKUP(C85,Rango_Admin_DailyClas,5,FALSE),"-")</f>
        <v>-</v>
      </c>
      <c r="G85" s="22" t="str">
        <f ca="1">IFERROR(HLOOKUP(C85,Rango_Admin_DailyClas,4,FALSE),"-")</f>
        <v>-</v>
      </c>
      <c r="H85" s="429" t="str">
        <f ca="1">IFERROR(VLOOKUP(H$2,Rango_Admin_DailyPred,MATCH($F85,Rango_Admin_DailyPred_Primera,0)+1,0),"-")</f>
        <v>-</v>
      </c>
      <c r="I85" s="429" t="str">
        <f ca="1">IFERROR(VLOOKUP(I$2,Rango_Admin_DailyPred,MATCH($F85,Rango_Admin_DailyPred_Primera,0)+1,0),"-")</f>
        <v>-</v>
      </c>
      <c r="J85" s="429" t="str">
        <f ca="1">IFERROR(VLOOKUP(J$2,Rango_Admin_DailyPred,MATCH($F85,Rango_Admin_DailyPred_Primera,0)+1,0),"-")</f>
        <v>-</v>
      </c>
      <c r="K85" s="429" t="str">
        <f ca="1">IFERROR(VLOOKUP(K$2,Rango_Admin_DailyPred,MATCH($F85,Rango_Admin_DailyPred_Primera,0)+1,0),"-")</f>
        <v>-</v>
      </c>
      <c r="L85" s="429" t="str">
        <f ca="1">IFERROR(VLOOKUP(L$2,Rango_Admin_DailyPred,MATCH($F85,Rango_Admin_DailyPred_Primera,0)+1,0),"-")</f>
        <v>-</v>
      </c>
      <c r="M85" s="429" t="str">
        <f ca="1">IFERROR(VLOOKUP(M$2,Rango_Admin_DailyPred,MATCH($F85,Rango_Admin_DailyPred_Primera,0)+1,0),"-")</f>
        <v>-</v>
      </c>
      <c r="N85" s="429" t="str">
        <f ca="1">IFERROR(VLOOKUP(N$2,Rango_Admin_DailyPred,MATCH($F85,Rango_Admin_DailyPred_Primera,0)+1,0),"-")</f>
        <v>-</v>
      </c>
      <c r="O85" s="429" t="str">
        <f ca="1">IFERROR(VLOOKUP(O$2,Rango_Admin_DailyPred,MATCH($F85,Rango_Admin_DailyPred_Primera,0)+1,0),"-")</f>
        <v>-</v>
      </c>
      <c r="P85" s="429" t="str">
        <f ca="1">IFERROR(VLOOKUP(P$2,Rango_Admin_DailyPred,MATCH($F85,Rango_Admin_DailyPred_Primera,0)+1,0),"-")</f>
        <v>-</v>
      </c>
      <c r="Q85" s="429" t="str">
        <f ca="1">IFERROR(VLOOKUP(Q$2,Rango_Admin_DailyPred,MATCH($F85,Rango_Admin_DailyPred_Primera,0)+1,0),"-")</f>
        <v>-</v>
      </c>
      <c r="R85" s="429" t="str">
        <f ca="1">IFERROR(VLOOKUP(R$2,Rango_Admin_DailyPred,MATCH($F85,Rango_Admin_DailyPred_Primera,0)+1,0),"-")</f>
        <v>-</v>
      </c>
      <c r="S85" s="429" t="str">
        <f ca="1">IFERROR(VLOOKUP(S$2,Rango_Admin_DailyPred,MATCH($F85,Rango_Admin_DailyPred_Primera,0)+1,0),"-")</f>
        <v>-</v>
      </c>
      <c r="T85" s="429" t="str">
        <f ca="1">IFERROR(VLOOKUP(T$2,Rango_Admin_DailyPred,MATCH($F85,Rango_Admin_DailyPred_Primera,0)+1,0),"-")</f>
        <v>-</v>
      </c>
      <c r="U85" s="429" t="str">
        <f ca="1">IFERROR(VLOOKUP(U$2,Rango_Admin_DailyPred,MATCH($F85,Rango_Admin_DailyPred_Primera,0)+1,0),"-")</f>
        <v>-</v>
      </c>
      <c r="V85" s="429" t="str">
        <f ca="1">IFERROR(VLOOKUP(V$2,Rango_Admin_DailyPred,MATCH($F85,Rango_Admin_DailyPred_Primera,0)+1,0),"-")</f>
        <v>-</v>
      </c>
      <c r="W85" s="429" t="str">
        <f ca="1">IFERROR(VLOOKUP(W$2,Rango_Admin_DailyPred,MATCH($F85,Rango_Admin_DailyPred_Primera,0)+1,0),"-")</f>
        <v>-</v>
      </c>
      <c r="X85" s="429" t="str">
        <f ca="1">IFERROR(VLOOKUP(X$2,Rango_Admin_DailyPred,MATCH($F85,Rango_Admin_DailyPred_Primera,0)+1,0),"-")</f>
        <v>-</v>
      </c>
      <c r="Y85" s="429" t="str">
        <f ca="1">IFERROR(VLOOKUP(Y$2,Rango_Admin_DailyPred,MATCH($F85,Rango_Admin_DailyPred_Primera,0)+1,0),"-")</f>
        <v>-</v>
      </c>
      <c r="Z85" s="429" t="str">
        <f ca="1">IFERROR(VLOOKUP(Z$2,Rango_Admin_DailyPred,MATCH($F85,Rango_Admin_DailyPred_Primera,0)+1,0),"-")</f>
        <v>-</v>
      </c>
      <c r="AA85" s="429" t="str">
        <f ca="1">IFERROR(VLOOKUP(AA$2,Rango_Admin_DailyPred,MATCH($F85,Rango_Admin_DailyPred_Primera,0)+1,0),"-")</f>
        <v>-</v>
      </c>
      <c r="AB85" s="429" t="str">
        <f ca="1">IFERROR(VLOOKUP(AB$2,Rango_Admin_DailyPred,MATCH($F85,Rango_Admin_DailyPred_Primera,0)+1,0),"-")</f>
        <v>-</v>
      </c>
      <c r="AC85" s="429" t="str">
        <f ca="1">IFERROR(VLOOKUP(AC$2,Rango_Admin_DailyPred,MATCH($F85,Rango_Admin_DailyPred_Primera,0)+1,0),"-")</f>
        <v>-</v>
      </c>
      <c r="AD85" s="429" t="str">
        <f ca="1">IFERROR(VLOOKUP(AD$2,Rango_Admin_DailyPred,MATCH($F85,Rango_Admin_DailyPred_Primera,0)+1,0),"-")</f>
        <v>-</v>
      </c>
      <c r="AE85" s="429" t="str">
        <f ca="1">IFERROR(VLOOKUP(AE$2,Rango_Admin_DailyPred,MATCH($F85,Rango_Admin_DailyPred_Primera,0)+1,0),"-")</f>
        <v>-</v>
      </c>
      <c r="AF85" s="429" t="str">
        <f ca="1">IFERROR(VLOOKUP(AF$2,Rango_Admin_DailyPred,MATCH($F85,Rango_Admin_DailyPred_Primera,0)+1,0),"-")</f>
        <v>-</v>
      </c>
      <c r="AG85" s="429" t="str">
        <f ca="1">IFERROR(VLOOKUP(AG$2,Rango_Admin_DailyPred,MATCH($F85,Rango_Admin_DailyPred_Primera,0)+1,0),"-")</f>
        <v>-</v>
      </c>
      <c r="AH85" s="429" t="str">
        <f ca="1">IFERROR(VLOOKUP(AH$2,Rango_Admin_DailyPred,MATCH($F85,Rango_Admin_DailyPred_Primera,0)+1,0),"-")</f>
        <v>-</v>
      </c>
      <c r="AI85" s="429" t="str">
        <f ca="1">IFERROR(VLOOKUP(AI$2,Rango_Admin_DailyPred,MATCH($F85,Rango_Admin_DailyPred_Primera,0)+1,0),"-")</f>
        <v>-</v>
      </c>
      <c r="AJ85" s="429" t="str">
        <f ca="1">IFERROR(VLOOKUP(AJ$2,Rango_Admin_DailyPred,MATCH($F85,Rango_Admin_DailyPred_Primera,0)+1,0),"-")</f>
        <v>-</v>
      </c>
      <c r="AK85" s="429" t="str">
        <f ca="1">IFERROR(VLOOKUP(AK$2,Rango_Admin_DailyPred,MATCH($F85,Rango_Admin_DailyPred_Primera,0)+1,0),"-")</f>
        <v>-</v>
      </c>
      <c r="AL85" s="429" t="str">
        <f ca="1">IFERROR(VLOOKUP(AL$2,Rango_Admin_DailyPred,MATCH($F85,Rango_Admin_DailyPred_Primera,0)+1,0),"-")</f>
        <v>-</v>
      </c>
      <c r="AM85" s="429" t="str">
        <f ca="1">IFERROR(VLOOKUP(AM$2,Rango_Admin_DailyPred,MATCH($F85,Rango_Admin_DailyPred_Primera,0)+1,0),"-")</f>
        <v>-</v>
      </c>
      <c r="AN85" s="297"/>
    </row>
    <row r="86" spans="1:40">
      <c r="A86" s="8"/>
      <c r="B86" s="8"/>
      <c r="C86" s="8">
        <v>83</v>
      </c>
      <c r="D86" s="19"/>
      <c r="E86" s="409" t="str">
        <f ca="1">IFERROR(HLOOKUP(C86,Rango_Admin_DailyClas,3,FALSE),"-")</f>
        <v>-</v>
      </c>
      <c r="F86" s="448" t="str">
        <f ca="1">IFERROR(HLOOKUP(C86,Rango_Admin_DailyClas,5,FALSE),"-")</f>
        <v>-</v>
      </c>
      <c r="G86" s="22" t="str">
        <f ca="1">IFERROR(HLOOKUP(C86,Rango_Admin_DailyClas,4,FALSE),"-")</f>
        <v>-</v>
      </c>
      <c r="H86" s="429" t="str">
        <f ca="1">IFERROR(VLOOKUP(H$2,Rango_Admin_DailyPred,MATCH($F86,Rango_Admin_DailyPred_Primera,0)+1,0),"-")</f>
        <v>-</v>
      </c>
      <c r="I86" s="429" t="str">
        <f ca="1">IFERROR(VLOOKUP(I$2,Rango_Admin_DailyPred,MATCH($F86,Rango_Admin_DailyPred_Primera,0)+1,0),"-")</f>
        <v>-</v>
      </c>
      <c r="J86" s="429" t="str">
        <f ca="1">IFERROR(VLOOKUP(J$2,Rango_Admin_DailyPred,MATCH($F86,Rango_Admin_DailyPred_Primera,0)+1,0),"-")</f>
        <v>-</v>
      </c>
      <c r="K86" s="429" t="str">
        <f ca="1">IFERROR(VLOOKUP(K$2,Rango_Admin_DailyPred,MATCH($F86,Rango_Admin_DailyPred_Primera,0)+1,0),"-")</f>
        <v>-</v>
      </c>
      <c r="L86" s="429" t="str">
        <f ca="1">IFERROR(VLOOKUP(L$2,Rango_Admin_DailyPred,MATCH($F86,Rango_Admin_DailyPred_Primera,0)+1,0),"-")</f>
        <v>-</v>
      </c>
      <c r="M86" s="429" t="str">
        <f ca="1">IFERROR(VLOOKUP(M$2,Rango_Admin_DailyPred,MATCH($F86,Rango_Admin_DailyPred_Primera,0)+1,0),"-")</f>
        <v>-</v>
      </c>
      <c r="N86" s="429" t="str">
        <f ca="1">IFERROR(VLOOKUP(N$2,Rango_Admin_DailyPred,MATCH($F86,Rango_Admin_DailyPred_Primera,0)+1,0),"-")</f>
        <v>-</v>
      </c>
      <c r="O86" s="429" t="str">
        <f ca="1">IFERROR(VLOOKUP(O$2,Rango_Admin_DailyPred,MATCH($F86,Rango_Admin_DailyPred_Primera,0)+1,0),"-")</f>
        <v>-</v>
      </c>
      <c r="P86" s="429" t="str">
        <f ca="1">IFERROR(VLOOKUP(P$2,Rango_Admin_DailyPred,MATCH($F86,Rango_Admin_DailyPred_Primera,0)+1,0),"-")</f>
        <v>-</v>
      </c>
      <c r="Q86" s="429" t="str">
        <f ca="1">IFERROR(VLOOKUP(Q$2,Rango_Admin_DailyPred,MATCH($F86,Rango_Admin_DailyPred_Primera,0)+1,0),"-")</f>
        <v>-</v>
      </c>
      <c r="R86" s="429" t="str">
        <f ca="1">IFERROR(VLOOKUP(R$2,Rango_Admin_DailyPred,MATCH($F86,Rango_Admin_DailyPred_Primera,0)+1,0),"-")</f>
        <v>-</v>
      </c>
      <c r="S86" s="429" t="str">
        <f ca="1">IFERROR(VLOOKUP(S$2,Rango_Admin_DailyPred,MATCH($F86,Rango_Admin_DailyPred_Primera,0)+1,0),"-")</f>
        <v>-</v>
      </c>
      <c r="T86" s="429" t="str">
        <f ca="1">IFERROR(VLOOKUP(T$2,Rango_Admin_DailyPred,MATCH($F86,Rango_Admin_DailyPred_Primera,0)+1,0),"-")</f>
        <v>-</v>
      </c>
      <c r="U86" s="429" t="str">
        <f ca="1">IFERROR(VLOOKUP(U$2,Rango_Admin_DailyPred,MATCH($F86,Rango_Admin_DailyPred_Primera,0)+1,0),"-")</f>
        <v>-</v>
      </c>
      <c r="V86" s="429" t="str">
        <f ca="1">IFERROR(VLOOKUP(V$2,Rango_Admin_DailyPred,MATCH($F86,Rango_Admin_DailyPred_Primera,0)+1,0),"-")</f>
        <v>-</v>
      </c>
      <c r="W86" s="429" t="str">
        <f ca="1">IFERROR(VLOOKUP(W$2,Rango_Admin_DailyPred,MATCH($F86,Rango_Admin_DailyPred_Primera,0)+1,0),"-")</f>
        <v>-</v>
      </c>
      <c r="X86" s="429" t="str">
        <f ca="1">IFERROR(VLOOKUP(X$2,Rango_Admin_DailyPred,MATCH($F86,Rango_Admin_DailyPred_Primera,0)+1,0),"-")</f>
        <v>-</v>
      </c>
      <c r="Y86" s="429" t="str">
        <f ca="1">IFERROR(VLOOKUP(Y$2,Rango_Admin_DailyPred,MATCH($F86,Rango_Admin_DailyPred_Primera,0)+1,0),"-")</f>
        <v>-</v>
      </c>
      <c r="Z86" s="429" t="str">
        <f ca="1">IFERROR(VLOOKUP(Z$2,Rango_Admin_DailyPred,MATCH($F86,Rango_Admin_DailyPred_Primera,0)+1,0),"-")</f>
        <v>-</v>
      </c>
      <c r="AA86" s="429" t="str">
        <f ca="1">IFERROR(VLOOKUP(AA$2,Rango_Admin_DailyPred,MATCH($F86,Rango_Admin_DailyPred_Primera,0)+1,0),"-")</f>
        <v>-</v>
      </c>
      <c r="AB86" s="429" t="str">
        <f ca="1">IFERROR(VLOOKUP(AB$2,Rango_Admin_DailyPred,MATCH($F86,Rango_Admin_DailyPred_Primera,0)+1,0),"-")</f>
        <v>-</v>
      </c>
      <c r="AC86" s="429" t="str">
        <f ca="1">IFERROR(VLOOKUP(AC$2,Rango_Admin_DailyPred,MATCH($F86,Rango_Admin_DailyPred_Primera,0)+1,0),"-")</f>
        <v>-</v>
      </c>
      <c r="AD86" s="429" t="str">
        <f ca="1">IFERROR(VLOOKUP(AD$2,Rango_Admin_DailyPred,MATCH($F86,Rango_Admin_DailyPred_Primera,0)+1,0),"-")</f>
        <v>-</v>
      </c>
      <c r="AE86" s="429" t="str">
        <f ca="1">IFERROR(VLOOKUP(AE$2,Rango_Admin_DailyPred,MATCH($F86,Rango_Admin_DailyPred_Primera,0)+1,0),"-")</f>
        <v>-</v>
      </c>
      <c r="AF86" s="429" t="str">
        <f ca="1">IFERROR(VLOOKUP(AF$2,Rango_Admin_DailyPred,MATCH($F86,Rango_Admin_DailyPred_Primera,0)+1,0),"-")</f>
        <v>-</v>
      </c>
      <c r="AG86" s="429" t="str">
        <f ca="1">IFERROR(VLOOKUP(AG$2,Rango_Admin_DailyPred,MATCH($F86,Rango_Admin_DailyPred_Primera,0)+1,0),"-")</f>
        <v>-</v>
      </c>
      <c r="AH86" s="429" t="str">
        <f ca="1">IFERROR(VLOOKUP(AH$2,Rango_Admin_DailyPred,MATCH($F86,Rango_Admin_DailyPred_Primera,0)+1,0),"-")</f>
        <v>-</v>
      </c>
      <c r="AI86" s="429" t="str">
        <f ca="1">IFERROR(VLOOKUP(AI$2,Rango_Admin_DailyPred,MATCH($F86,Rango_Admin_DailyPred_Primera,0)+1,0),"-")</f>
        <v>-</v>
      </c>
      <c r="AJ86" s="429" t="str">
        <f ca="1">IFERROR(VLOOKUP(AJ$2,Rango_Admin_DailyPred,MATCH($F86,Rango_Admin_DailyPred_Primera,0)+1,0),"-")</f>
        <v>-</v>
      </c>
      <c r="AK86" s="429" t="str">
        <f ca="1">IFERROR(VLOOKUP(AK$2,Rango_Admin_DailyPred,MATCH($F86,Rango_Admin_DailyPred_Primera,0)+1,0),"-")</f>
        <v>-</v>
      </c>
      <c r="AL86" s="429" t="str">
        <f ca="1">IFERROR(VLOOKUP(AL$2,Rango_Admin_DailyPred,MATCH($F86,Rango_Admin_DailyPred_Primera,0)+1,0),"-")</f>
        <v>-</v>
      </c>
      <c r="AM86" s="429" t="str">
        <f ca="1">IFERROR(VLOOKUP(AM$2,Rango_Admin_DailyPred,MATCH($F86,Rango_Admin_DailyPred_Primera,0)+1,0),"-")</f>
        <v>-</v>
      </c>
      <c r="AN86" s="297"/>
    </row>
    <row r="87" spans="1:40">
      <c r="A87" s="8"/>
      <c r="B87" s="8"/>
      <c r="C87" s="8">
        <v>84</v>
      </c>
      <c r="D87" s="19"/>
      <c r="E87" s="409" t="str">
        <f ca="1">IFERROR(HLOOKUP(C87,Rango_Admin_DailyClas,3,FALSE),"-")</f>
        <v>-</v>
      </c>
      <c r="F87" s="448" t="str">
        <f ca="1">IFERROR(HLOOKUP(C87,Rango_Admin_DailyClas,5,FALSE),"-")</f>
        <v>-</v>
      </c>
      <c r="G87" s="22" t="str">
        <f ca="1">IFERROR(HLOOKUP(C87,Rango_Admin_DailyClas,4,FALSE),"-")</f>
        <v>-</v>
      </c>
      <c r="H87" s="429" t="str">
        <f ca="1">IFERROR(VLOOKUP(H$2,Rango_Admin_DailyPred,MATCH($F87,Rango_Admin_DailyPred_Primera,0)+1,0),"-")</f>
        <v>-</v>
      </c>
      <c r="I87" s="429" t="str">
        <f ca="1">IFERROR(VLOOKUP(I$2,Rango_Admin_DailyPred,MATCH($F87,Rango_Admin_DailyPred_Primera,0)+1,0),"-")</f>
        <v>-</v>
      </c>
      <c r="J87" s="429" t="str">
        <f ca="1">IFERROR(VLOOKUP(J$2,Rango_Admin_DailyPred,MATCH($F87,Rango_Admin_DailyPred_Primera,0)+1,0),"-")</f>
        <v>-</v>
      </c>
      <c r="K87" s="429" t="str">
        <f ca="1">IFERROR(VLOOKUP(K$2,Rango_Admin_DailyPred,MATCH($F87,Rango_Admin_DailyPred_Primera,0)+1,0),"-")</f>
        <v>-</v>
      </c>
      <c r="L87" s="429" t="str">
        <f ca="1">IFERROR(VLOOKUP(L$2,Rango_Admin_DailyPred,MATCH($F87,Rango_Admin_DailyPred_Primera,0)+1,0),"-")</f>
        <v>-</v>
      </c>
      <c r="M87" s="429" t="str">
        <f ca="1">IFERROR(VLOOKUP(M$2,Rango_Admin_DailyPred,MATCH($F87,Rango_Admin_DailyPred_Primera,0)+1,0),"-")</f>
        <v>-</v>
      </c>
      <c r="N87" s="429" t="str">
        <f ca="1">IFERROR(VLOOKUP(N$2,Rango_Admin_DailyPred,MATCH($F87,Rango_Admin_DailyPred_Primera,0)+1,0),"-")</f>
        <v>-</v>
      </c>
      <c r="O87" s="429" t="str">
        <f ca="1">IFERROR(VLOOKUP(O$2,Rango_Admin_DailyPred,MATCH($F87,Rango_Admin_DailyPred_Primera,0)+1,0),"-")</f>
        <v>-</v>
      </c>
      <c r="P87" s="429" t="str">
        <f ca="1">IFERROR(VLOOKUP(P$2,Rango_Admin_DailyPred,MATCH($F87,Rango_Admin_DailyPred_Primera,0)+1,0),"-")</f>
        <v>-</v>
      </c>
      <c r="Q87" s="429" t="str">
        <f ca="1">IFERROR(VLOOKUP(Q$2,Rango_Admin_DailyPred,MATCH($F87,Rango_Admin_DailyPred_Primera,0)+1,0),"-")</f>
        <v>-</v>
      </c>
      <c r="R87" s="429" t="str">
        <f ca="1">IFERROR(VLOOKUP(R$2,Rango_Admin_DailyPred,MATCH($F87,Rango_Admin_DailyPred_Primera,0)+1,0),"-")</f>
        <v>-</v>
      </c>
      <c r="S87" s="429" t="str">
        <f ca="1">IFERROR(VLOOKUP(S$2,Rango_Admin_DailyPred,MATCH($F87,Rango_Admin_DailyPred_Primera,0)+1,0),"-")</f>
        <v>-</v>
      </c>
      <c r="T87" s="429" t="str">
        <f ca="1">IFERROR(VLOOKUP(T$2,Rango_Admin_DailyPred,MATCH($F87,Rango_Admin_DailyPred_Primera,0)+1,0),"-")</f>
        <v>-</v>
      </c>
      <c r="U87" s="429" t="str">
        <f ca="1">IFERROR(VLOOKUP(U$2,Rango_Admin_DailyPred,MATCH($F87,Rango_Admin_DailyPred_Primera,0)+1,0),"-")</f>
        <v>-</v>
      </c>
      <c r="V87" s="429" t="str">
        <f ca="1">IFERROR(VLOOKUP(V$2,Rango_Admin_DailyPred,MATCH($F87,Rango_Admin_DailyPred_Primera,0)+1,0),"-")</f>
        <v>-</v>
      </c>
      <c r="W87" s="429" t="str">
        <f ca="1">IFERROR(VLOOKUP(W$2,Rango_Admin_DailyPred,MATCH($F87,Rango_Admin_DailyPred_Primera,0)+1,0),"-")</f>
        <v>-</v>
      </c>
      <c r="X87" s="429" t="str">
        <f ca="1">IFERROR(VLOOKUP(X$2,Rango_Admin_DailyPred,MATCH($F87,Rango_Admin_DailyPred_Primera,0)+1,0),"-")</f>
        <v>-</v>
      </c>
      <c r="Y87" s="429" t="str">
        <f ca="1">IFERROR(VLOOKUP(Y$2,Rango_Admin_DailyPred,MATCH($F87,Rango_Admin_DailyPred_Primera,0)+1,0),"-")</f>
        <v>-</v>
      </c>
      <c r="Z87" s="429" t="str">
        <f ca="1">IFERROR(VLOOKUP(Z$2,Rango_Admin_DailyPred,MATCH($F87,Rango_Admin_DailyPred_Primera,0)+1,0),"-")</f>
        <v>-</v>
      </c>
      <c r="AA87" s="429" t="str">
        <f ca="1">IFERROR(VLOOKUP(AA$2,Rango_Admin_DailyPred,MATCH($F87,Rango_Admin_DailyPred_Primera,0)+1,0),"-")</f>
        <v>-</v>
      </c>
      <c r="AB87" s="429" t="str">
        <f ca="1">IFERROR(VLOOKUP(AB$2,Rango_Admin_DailyPred,MATCH($F87,Rango_Admin_DailyPred_Primera,0)+1,0),"-")</f>
        <v>-</v>
      </c>
      <c r="AC87" s="429" t="str">
        <f ca="1">IFERROR(VLOOKUP(AC$2,Rango_Admin_DailyPred,MATCH($F87,Rango_Admin_DailyPred_Primera,0)+1,0),"-")</f>
        <v>-</v>
      </c>
      <c r="AD87" s="429" t="str">
        <f ca="1">IFERROR(VLOOKUP(AD$2,Rango_Admin_DailyPred,MATCH($F87,Rango_Admin_DailyPred_Primera,0)+1,0),"-")</f>
        <v>-</v>
      </c>
      <c r="AE87" s="429" t="str">
        <f ca="1">IFERROR(VLOOKUP(AE$2,Rango_Admin_DailyPred,MATCH($F87,Rango_Admin_DailyPred_Primera,0)+1,0),"-")</f>
        <v>-</v>
      </c>
      <c r="AF87" s="429" t="str">
        <f ca="1">IFERROR(VLOOKUP(AF$2,Rango_Admin_DailyPred,MATCH($F87,Rango_Admin_DailyPred_Primera,0)+1,0),"-")</f>
        <v>-</v>
      </c>
      <c r="AG87" s="429" t="str">
        <f ca="1">IFERROR(VLOOKUP(AG$2,Rango_Admin_DailyPred,MATCH($F87,Rango_Admin_DailyPred_Primera,0)+1,0),"-")</f>
        <v>-</v>
      </c>
      <c r="AH87" s="429" t="str">
        <f ca="1">IFERROR(VLOOKUP(AH$2,Rango_Admin_DailyPred,MATCH($F87,Rango_Admin_DailyPred_Primera,0)+1,0),"-")</f>
        <v>-</v>
      </c>
      <c r="AI87" s="429" t="str">
        <f ca="1">IFERROR(VLOOKUP(AI$2,Rango_Admin_DailyPred,MATCH($F87,Rango_Admin_DailyPred_Primera,0)+1,0),"-")</f>
        <v>-</v>
      </c>
      <c r="AJ87" s="429" t="str">
        <f ca="1">IFERROR(VLOOKUP(AJ$2,Rango_Admin_DailyPred,MATCH($F87,Rango_Admin_DailyPred_Primera,0)+1,0),"-")</f>
        <v>-</v>
      </c>
      <c r="AK87" s="429" t="str">
        <f ca="1">IFERROR(VLOOKUP(AK$2,Rango_Admin_DailyPred,MATCH($F87,Rango_Admin_DailyPred_Primera,0)+1,0),"-")</f>
        <v>-</v>
      </c>
      <c r="AL87" s="429" t="str">
        <f ca="1">IFERROR(VLOOKUP(AL$2,Rango_Admin_DailyPred,MATCH($F87,Rango_Admin_DailyPred_Primera,0)+1,0),"-")</f>
        <v>-</v>
      </c>
      <c r="AM87" s="429" t="str">
        <f ca="1">IFERROR(VLOOKUP(AM$2,Rango_Admin_DailyPred,MATCH($F87,Rango_Admin_DailyPred_Primera,0)+1,0),"-")</f>
        <v>-</v>
      </c>
      <c r="AN87" s="297"/>
    </row>
    <row r="88" spans="1:40">
      <c r="A88" s="8"/>
      <c r="B88" s="8"/>
      <c r="C88" s="8">
        <v>85</v>
      </c>
      <c r="D88" s="19"/>
      <c r="E88" s="409" t="str">
        <f ca="1">IFERROR(HLOOKUP(C88,Rango_Admin_DailyClas,3,FALSE),"-")</f>
        <v>-</v>
      </c>
      <c r="F88" s="448" t="str">
        <f ca="1">IFERROR(HLOOKUP(C88,Rango_Admin_DailyClas,5,FALSE),"-")</f>
        <v>-</v>
      </c>
      <c r="G88" s="22" t="str">
        <f ca="1">IFERROR(HLOOKUP(C88,Rango_Admin_DailyClas,4,FALSE),"-")</f>
        <v>-</v>
      </c>
      <c r="H88" s="429" t="str">
        <f ca="1">IFERROR(VLOOKUP(H$2,Rango_Admin_DailyPred,MATCH($F88,Rango_Admin_DailyPred_Primera,0)+1,0),"-")</f>
        <v>-</v>
      </c>
      <c r="I88" s="429" t="str">
        <f ca="1">IFERROR(VLOOKUP(I$2,Rango_Admin_DailyPred,MATCH($F88,Rango_Admin_DailyPred_Primera,0)+1,0),"-")</f>
        <v>-</v>
      </c>
      <c r="J88" s="429" t="str">
        <f ca="1">IFERROR(VLOOKUP(J$2,Rango_Admin_DailyPred,MATCH($F88,Rango_Admin_DailyPred_Primera,0)+1,0),"-")</f>
        <v>-</v>
      </c>
      <c r="K88" s="429" t="str">
        <f ca="1">IFERROR(VLOOKUP(K$2,Rango_Admin_DailyPred,MATCH($F88,Rango_Admin_DailyPred_Primera,0)+1,0),"-")</f>
        <v>-</v>
      </c>
      <c r="L88" s="429" t="str">
        <f ca="1">IFERROR(VLOOKUP(L$2,Rango_Admin_DailyPred,MATCH($F88,Rango_Admin_DailyPred_Primera,0)+1,0),"-")</f>
        <v>-</v>
      </c>
      <c r="M88" s="429" t="str">
        <f ca="1">IFERROR(VLOOKUP(M$2,Rango_Admin_DailyPred,MATCH($F88,Rango_Admin_DailyPred_Primera,0)+1,0),"-")</f>
        <v>-</v>
      </c>
      <c r="N88" s="429" t="str">
        <f ca="1">IFERROR(VLOOKUP(N$2,Rango_Admin_DailyPred,MATCH($F88,Rango_Admin_DailyPred_Primera,0)+1,0),"-")</f>
        <v>-</v>
      </c>
      <c r="O88" s="429" t="str">
        <f ca="1">IFERROR(VLOOKUP(O$2,Rango_Admin_DailyPred,MATCH($F88,Rango_Admin_DailyPred_Primera,0)+1,0),"-")</f>
        <v>-</v>
      </c>
      <c r="P88" s="429" t="str">
        <f ca="1">IFERROR(VLOOKUP(P$2,Rango_Admin_DailyPred,MATCH($F88,Rango_Admin_DailyPred_Primera,0)+1,0),"-")</f>
        <v>-</v>
      </c>
      <c r="Q88" s="429" t="str">
        <f ca="1">IFERROR(VLOOKUP(Q$2,Rango_Admin_DailyPred,MATCH($F88,Rango_Admin_DailyPred_Primera,0)+1,0),"-")</f>
        <v>-</v>
      </c>
      <c r="R88" s="429" t="str">
        <f ca="1">IFERROR(VLOOKUP(R$2,Rango_Admin_DailyPred,MATCH($F88,Rango_Admin_DailyPred_Primera,0)+1,0),"-")</f>
        <v>-</v>
      </c>
      <c r="S88" s="429" t="str">
        <f ca="1">IFERROR(VLOOKUP(S$2,Rango_Admin_DailyPred,MATCH($F88,Rango_Admin_DailyPred_Primera,0)+1,0),"-")</f>
        <v>-</v>
      </c>
      <c r="T88" s="429" t="str">
        <f ca="1">IFERROR(VLOOKUP(T$2,Rango_Admin_DailyPred,MATCH($F88,Rango_Admin_DailyPred_Primera,0)+1,0),"-")</f>
        <v>-</v>
      </c>
      <c r="U88" s="429" t="str">
        <f ca="1">IFERROR(VLOOKUP(U$2,Rango_Admin_DailyPred,MATCH($F88,Rango_Admin_DailyPred_Primera,0)+1,0),"-")</f>
        <v>-</v>
      </c>
      <c r="V88" s="429" t="str">
        <f ca="1">IFERROR(VLOOKUP(V$2,Rango_Admin_DailyPred,MATCH($F88,Rango_Admin_DailyPred_Primera,0)+1,0),"-")</f>
        <v>-</v>
      </c>
      <c r="W88" s="429" t="str">
        <f ca="1">IFERROR(VLOOKUP(W$2,Rango_Admin_DailyPred,MATCH($F88,Rango_Admin_DailyPred_Primera,0)+1,0),"-")</f>
        <v>-</v>
      </c>
      <c r="X88" s="429" t="str">
        <f ca="1">IFERROR(VLOOKUP(X$2,Rango_Admin_DailyPred,MATCH($F88,Rango_Admin_DailyPred_Primera,0)+1,0),"-")</f>
        <v>-</v>
      </c>
      <c r="Y88" s="429" t="str">
        <f ca="1">IFERROR(VLOOKUP(Y$2,Rango_Admin_DailyPred,MATCH($F88,Rango_Admin_DailyPred_Primera,0)+1,0),"-")</f>
        <v>-</v>
      </c>
      <c r="Z88" s="429" t="str">
        <f ca="1">IFERROR(VLOOKUP(Z$2,Rango_Admin_DailyPred,MATCH($F88,Rango_Admin_DailyPred_Primera,0)+1,0),"-")</f>
        <v>-</v>
      </c>
      <c r="AA88" s="429" t="str">
        <f ca="1">IFERROR(VLOOKUP(AA$2,Rango_Admin_DailyPred,MATCH($F88,Rango_Admin_DailyPred_Primera,0)+1,0),"-")</f>
        <v>-</v>
      </c>
      <c r="AB88" s="429" t="str">
        <f ca="1">IFERROR(VLOOKUP(AB$2,Rango_Admin_DailyPred,MATCH($F88,Rango_Admin_DailyPred_Primera,0)+1,0),"-")</f>
        <v>-</v>
      </c>
      <c r="AC88" s="429" t="str">
        <f ca="1">IFERROR(VLOOKUP(AC$2,Rango_Admin_DailyPred,MATCH($F88,Rango_Admin_DailyPred_Primera,0)+1,0),"-")</f>
        <v>-</v>
      </c>
      <c r="AD88" s="429" t="str">
        <f ca="1">IFERROR(VLOOKUP(AD$2,Rango_Admin_DailyPred,MATCH($F88,Rango_Admin_DailyPred_Primera,0)+1,0),"-")</f>
        <v>-</v>
      </c>
      <c r="AE88" s="429" t="str">
        <f ca="1">IFERROR(VLOOKUP(AE$2,Rango_Admin_DailyPred,MATCH($F88,Rango_Admin_DailyPred_Primera,0)+1,0),"-")</f>
        <v>-</v>
      </c>
      <c r="AF88" s="429" t="str">
        <f ca="1">IFERROR(VLOOKUP(AF$2,Rango_Admin_DailyPred,MATCH($F88,Rango_Admin_DailyPred_Primera,0)+1,0),"-")</f>
        <v>-</v>
      </c>
      <c r="AG88" s="429" t="str">
        <f ca="1">IFERROR(VLOOKUP(AG$2,Rango_Admin_DailyPred,MATCH($F88,Rango_Admin_DailyPred_Primera,0)+1,0),"-")</f>
        <v>-</v>
      </c>
      <c r="AH88" s="429" t="str">
        <f ca="1">IFERROR(VLOOKUP(AH$2,Rango_Admin_DailyPred,MATCH($F88,Rango_Admin_DailyPred_Primera,0)+1,0),"-")</f>
        <v>-</v>
      </c>
      <c r="AI88" s="429" t="str">
        <f ca="1">IFERROR(VLOOKUP(AI$2,Rango_Admin_DailyPred,MATCH($F88,Rango_Admin_DailyPred_Primera,0)+1,0),"-")</f>
        <v>-</v>
      </c>
      <c r="AJ88" s="429" t="str">
        <f ca="1">IFERROR(VLOOKUP(AJ$2,Rango_Admin_DailyPred,MATCH($F88,Rango_Admin_DailyPred_Primera,0)+1,0),"-")</f>
        <v>-</v>
      </c>
      <c r="AK88" s="429" t="str">
        <f ca="1">IFERROR(VLOOKUP(AK$2,Rango_Admin_DailyPred,MATCH($F88,Rango_Admin_DailyPred_Primera,0)+1,0),"-")</f>
        <v>-</v>
      </c>
      <c r="AL88" s="429" t="str">
        <f ca="1">IFERROR(VLOOKUP(AL$2,Rango_Admin_DailyPred,MATCH($F88,Rango_Admin_DailyPred_Primera,0)+1,0),"-")</f>
        <v>-</v>
      </c>
      <c r="AM88" s="429" t="str">
        <f ca="1">IFERROR(VLOOKUP(AM$2,Rango_Admin_DailyPred,MATCH($F88,Rango_Admin_DailyPred_Primera,0)+1,0),"-")</f>
        <v>-</v>
      </c>
      <c r="AN88" s="297"/>
    </row>
    <row r="89" spans="1:40">
      <c r="A89" s="8"/>
      <c r="B89" s="8"/>
      <c r="C89" s="8">
        <v>86</v>
      </c>
      <c r="D89" s="19"/>
      <c r="E89" s="409" t="str">
        <f ca="1">IFERROR(HLOOKUP(C89,Rango_Admin_DailyClas,3,FALSE),"-")</f>
        <v>-</v>
      </c>
      <c r="F89" s="448" t="str">
        <f ca="1">IFERROR(HLOOKUP(C89,Rango_Admin_DailyClas,5,FALSE),"-")</f>
        <v>-</v>
      </c>
      <c r="G89" s="22" t="str">
        <f ca="1">IFERROR(HLOOKUP(C89,Rango_Admin_DailyClas,4,FALSE),"-")</f>
        <v>-</v>
      </c>
      <c r="H89" s="429" t="str">
        <f ca="1">IFERROR(VLOOKUP(H$2,Rango_Admin_DailyPred,MATCH($F89,Rango_Admin_DailyPred_Primera,0)+1,0),"-")</f>
        <v>-</v>
      </c>
      <c r="I89" s="429" t="str">
        <f ca="1">IFERROR(VLOOKUP(I$2,Rango_Admin_DailyPred,MATCH($F89,Rango_Admin_DailyPred_Primera,0)+1,0),"-")</f>
        <v>-</v>
      </c>
      <c r="J89" s="429" t="str">
        <f ca="1">IFERROR(VLOOKUP(J$2,Rango_Admin_DailyPred,MATCH($F89,Rango_Admin_DailyPred_Primera,0)+1,0),"-")</f>
        <v>-</v>
      </c>
      <c r="K89" s="429" t="str">
        <f ca="1">IFERROR(VLOOKUP(K$2,Rango_Admin_DailyPred,MATCH($F89,Rango_Admin_DailyPred_Primera,0)+1,0),"-")</f>
        <v>-</v>
      </c>
      <c r="L89" s="429" t="str">
        <f ca="1">IFERROR(VLOOKUP(L$2,Rango_Admin_DailyPred,MATCH($F89,Rango_Admin_DailyPred_Primera,0)+1,0),"-")</f>
        <v>-</v>
      </c>
      <c r="M89" s="429" t="str">
        <f ca="1">IFERROR(VLOOKUP(M$2,Rango_Admin_DailyPred,MATCH($F89,Rango_Admin_DailyPred_Primera,0)+1,0),"-")</f>
        <v>-</v>
      </c>
      <c r="N89" s="429" t="str">
        <f ca="1">IFERROR(VLOOKUP(N$2,Rango_Admin_DailyPred,MATCH($F89,Rango_Admin_DailyPred_Primera,0)+1,0),"-")</f>
        <v>-</v>
      </c>
      <c r="O89" s="429" t="str">
        <f ca="1">IFERROR(VLOOKUP(O$2,Rango_Admin_DailyPred,MATCH($F89,Rango_Admin_DailyPred_Primera,0)+1,0),"-")</f>
        <v>-</v>
      </c>
      <c r="P89" s="429" t="str">
        <f ca="1">IFERROR(VLOOKUP(P$2,Rango_Admin_DailyPred,MATCH($F89,Rango_Admin_DailyPred_Primera,0)+1,0),"-")</f>
        <v>-</v>
      </c>
      <c r="Q89" s="429" t="str">
        <f ca="1">IFERROR(VLOOKUP(Q$2,Rango_Admin_DailyPred,MATCH($F89,Rango_Admin_DailyPred_Primera,0)+1,0),"-")</f>
        <v>-</v>
      </c>
      <c r="R89" s="429" t="str">
        <f ca="1">IFERROR(VLOOKUP(R$2,Rango_Admin_DailyPred,MATCH($F89,Rango_Admin_DailyPred_Primera,0)+1,0),"-")</f>
        <v>-</v>
      </c>
      <c r="S89" s="429" t="str">
        <f ca="1">IFERROR(VLOOKUP(S$2,Rango_Admin_DailyPred,MATCH($F89,Rango_Admin_DailyPred_Primera,0)+1,0),"-")</f>
        <v>-</v>
      </c>
      <c r="T89" s="429" t="str">
        <f ca="1">IFERROR(VLOOKUP(T$2,Rango_Admin_DailyPred,MATCH($F89,Rango_Admin_DailyPred_Primera,0)+1,0),"-")</f>
        <v>-</v>
      </c>
      <c r="U89" s="429" t="str">
        <f ca="1">IFERROR(VLOOKUP(U$2,Rango_Admin_DailyPred,MATCH($F89,Rango_Admin_DailyPred_Primera,0)+1,0),"-")</f>
        <v>-</v>
      </c>
      <c r="V89" s="429" t="str">
        <f ca="1">IFERROR(VLOOKUP(V$2,Rango_Admin_DailyPred,MATCH($F89,Rango_Admin_DailyPred_Primera,0)+1,0),"-")</f>
        <v>-</v>
      </c>
      <c r="W89" s="429" t="str">
        <f ca="1">IFERROR(VLOOKUP(W$2,Rango_Admin_DailyPred,MATCH($F89,Rango_Admin_DailyPred_Primera,0)+1,0),"-")</f>
        <v>-</v>
      </c>
      <c r="X89" s="429" t="str">
        <f ca="1">IFERROR(VLOOKUP(X$2,Rango_Admin_DailyPred,MATCH($F89,Rango_Admin_DailyPred_Primera,0)+1,0),"-")</f>
        <v>-</v>
      </c>
      <c r="Y89" s="429" t="str">
        <f ca="1">IFERROR(VLOOKUP(Y$2,Rango_Admin_DailyPred,MATCH($F89,Rango_Admin_DailyPred_Primera,0)+1,0),"-")</f>
        <v>-</v>
      </c>
      <c r="Z89" s="429" t="str">
        <f ca="1">IFERROR(VLOOKUP(Z$2,Rango_Admin_DailyPred,MATCH($F89,Rango_Admin_DailyPred_Primera,0)+1,0),"-")</f>
        <v>-</v>
      </c>
      <c r="AA89" s="429" t="str">
        <f ca="1">IFERROR(VLOOKUP(AA$2,Rango_Admin_DailyPred,MATCH($F89,Rango_Admin_DailyPred_Primera,0)+1,0),"-")</f>
        <v>-</v>
      </c>
      <c r="AB89" s="429" t="str">
        <f ca="1">IFERROR(VLOOKUP(AB$2,Rango_Admin_DailyPred,MATCH($F89,Rango_Admin_DailyPred_Primera,0)+1,0),"-")</f>
        <v>-</v>
      </c>
      <c r="AC89" s="429" t="str">
        <f ca="1">IFERROR(VLOOKUP(AC$2,Rango_Admin_DailyPred,MATCH($F89,Rango_Admin_DailyPred_Primera,0)+1,0),"-")</f>
        <v>-</v>
      </c>
      <c r="AD89" s="429" t="str">
        <f ca="1">IFERROR(VLOOKUP(AD$2,Rango_Admin_DailyPred,MATCH($F89,Rango_Admin_DailyPred_Primera,0)+1,0),"-")</f>
        <v>-</v>
      </c>
      <c r="AE89" s="429" t="str">
        <f ca="1">IFERROR(VLOOKUP(AE$2,Rango_Admin_DailyPred,MATCH($F89,Rango_Admin_DailyPred_Primera,0)+1,0),"-")</f>
        <v>-</v>
      </c>
      <c r="AF89" s="429" t="str">
        <f ca="1">IFERROR(VLOOKUP(AF$2,Rango_Admin_DailyPred,MATCH($F89,Rango_Admin_DailyPred_Primera,0)+1,0),"-")</f>
        <v>-</v>
      </c>
      <c r="AG89" s="429" t="str">
        <f ca="1">IFERROR(VLOOKUP(AG$2,Rango_Admin_DailyPred,MATCH($F89,Rango_Admin_DailyPred_Primera,0)+1,0),"-")</f>
        <v>-</v>
      </c>
      <c r="AH89" s="429" t="str">
        <f ca="1">IFERROR(VLOOKUP(AH$2,Rango_Admin_DailyPred,MATCH($F89,Rango_Admin_DailyPred_Primera,0)+1,0),"-")</f>
        <v>-</v>
      </c>
      <c r="AI89" s="429" t="str">
        <f ca="1">IFERROR(VLOOKUP(AI$2,Rango_Admin_DailyPred,MATCH($F89,Rango_Admin_DailyPred_Primera,0)+1,0),"-")</f>
        <v>-</v>
      </c>
      <c r="AJ89" s="429" t="str">
        <f ca="1">IFERROR(VLOOKUP(AJ$2,Rango_Admin_DailyPred,MATCH($F89,Rango_Admin_DailyPred_Primera,0)+1,0),"-")</f>
        <v>-</v>
      </c>
      <c r="AK89" s="429" t="str">
        <f ca="1">IFERROR(VLOOKUP(AK$2,Rango_Admin_DailyPred,MATCH($F89,Rango_Admin_DailyPred_Primera,0)+1,0),"-")</f>
        <v>-</v>
      </c>
      <c r="AL89" s="429" t="str">
        <f ca="1">IFERROR(VLOOKUP(AL$2,Rango_Admin_DailyPred,MATCH($F89,Rango_Admin_DailyPred_Primera,0)+1,0),"-")</f>
        <v>-</v>
      </c>
      <c r="AM89" s="429" t="str">
        <f ca="1">IFERROR(VLOOKUP(AM$2,Rango_Admin_DailyPred,MATCH($F89,Rango_Admin_DailyPred_Primera,0)+1,0),"-")</f>
        <v>-</v>
      </c>
      <c r="AN89" s="297"/>
    </row>
    <row r="90" spans="1:40">
      <c r="A90" s="8"/>
      <c r="B90" s="8"/>
      <c r="C90" s="8">
        <v>87</v>
      </c>
      <c r="D90" s="19"/>
      <c r="E90" s="409" t="str">
        <f ca="1">IFERROR(HLOOKUP(C90,Rango_Admin_DailyClas,3,FALSE),"-")</f>
        <v>-</v>
      </c>
      <c r="F90" s="448" t="str">
        <f ca="1">IFERROR(HLOOKUP(C90,Rango_Admin_DailyClas,5,FALSE),"-")</f>
        <v>-</v>
      </c>
      <c r="G90" s="22" t="str">
        <f ca="1">IFERROR(HLOOKUP(C90,Rango_Admin_DailyClas,4,FALSE),"-")</f>
        <v>-</v>
      </c>
      <c r="H90" s="429" t="str">
        <f ca="1">IFERROR(VLOOKUP(H$2,Rango_Admin_DailyPred,MATCH($F90,Rango_Admin_DailyPred_Primera,0)+1,0),"-")</f>
        <v>-</v>
      </c>
      <c r="I90" s="429" t="str">
        <f ca="1">IFERROR(VLOOKUP(I$2,Rango_Admin_DailyPred,MATCH($F90,Rango_Admin_DailyPred_Primera,0)+1,0),"-")</f>
        <v>-</v>
      </c>
      <c r="J90" s="429" t="str">
        <f ca="1">IFERROR(VLOOKUP(J$2,Rango_Admin_DailyPred,MATCH($F90,Rango_Admin_DailyPred_Primera,0)+1,0),"-")</f>
        <v>-</v>
      </c>
      <c r="K90" s="429" t="str">
        <f ca="1">IFERROR(VLOOKUP(K$2,Rango_Admin_DailyPred,MATCH($F90,Rango_Admin_DailyPred_Primera,0)+1,0),"-")</f>
        <v>-</v>
      </c>
      <c r="L90" s="429" t="str">
        <f ca="1">IFERROR(VLOOKUP(L$2,Rango_Admin_DailyPred,MATCH($F90,Rango_Admin_DailyPred_Primera,0)+1,0),"-")</f>
        <v>-</v>
      </c>
      <c r="M90" s="429" t="str">
        <f ca="1">IFERROR(VLOOKUP(M$2,Rango_Admin_DailyPred,MATCH($F90,Rango_Admin_DailyPred_Primera,0)+1,0),"-")</f>
        <v>-</v>
      </c>
      <c r="N90" s="429" t="str">
        <f ca="1">IFERROR(VLOOKUP(N$2,Rango_Admin_DailyPred,MATCH($F90,Rango_Admin_DailyPred_Primera,0)+1,0),"-")</f>
        <v>-</v>
      </c>
      <c r="O90" s="429" t="str">
        <f ca="1">IFERROR(VLOOKUP(O$2,Rango_Admin_DailyPred,MATCH($F90,Rango_Admin_DailyPred_Primera,0)+1,0),"-")</f>
        <v>-</v>
      </c>
      <c r="P90" s="429" t="str">
        <f ca="1">IFERROR(VLOOKUP(P$2,Rango_Admin_DailyPred,MATCH($F90,Rango_Admin_DailyPred_Primera,0)+1,0),"-")</f>
        <v>-</v>
      </c>
      <c r="Q90" s="429" t="str">
        <f ca="1">IFERROR(VLOOKUP(Q$2,Rango_Admin_DailyPred,MATCH($F90,Rango_Admin_DailyPred_Primera,0)+1,0),"-")</f>
        <v>-</v>
      </c>
      <c r="R90" s="429" t="str">
        <f ca="1">IFERROR(VLOOKUP(R$2,Rango_Admin_DailyPred,MATCH($F90,Rango_Admin_DailyPred_Primera,0)+1,0),"-")</f>
        <v>-</v>
      </c>
      <c r="S90" s="429" t="str">
        <f ca="1">IFERROR(VLOOKUP(S$2,Rango_Admin_DailyPred,MATCH($F90,Rango_Admin_DailyPred_Primera,0)+1,0),"-")</f>
        <v>-</v>
      </c>
      <c r="T90" s="429" t="str">
        <f ca="1">IFERROR(VLOOKUP(T$2,Rango_Admin_DailyPred,MATCH($F90,Rango_Admin_DailyPred_Primera,0)+1,0),"-")</f>
        <v>-</v>
      </c>
      <c r="U90" s="429" t="str">
        <f ca="1">IFERROR(VLOOKUP(U$2,Rango_Admin_DailyPred,MATCH($F90,Rango_Admin_DailyPred_Primera,0)+1,0),"-")</f>
        <v>-</v>
      </c>
      <c r="V90" s="429" t="str">
        <f ca="1">IFERROR(VLOOKUP(V$2,Rango_Admin_DailyPred,MATCH($F90,Rango_Admin_DailyPred_Primera,0)+1,0),"-")</f>
        <v>-</v>
      </c>
      <c r="W90" s="429" t="str">
        <f ca="1">IFERROR(VLOOKUP(W$2,Rango_Admin_DailyPred,MATCH($F90,Rango_Admin_DailyPred_Primera,0)+1,0),"-")</f>
        <v>-</v>
      </c>
      <c r="X90" s="429" t="str">
        <f ca="1">IFERROR(VLOOKUP(X$2,Rango_Admin_DailyPred,MATCH($F90,Rango_Admin_DailyPred_Primera,0)+1,0),"-")</f>
        <v>-</v>
      </c>
      <c r="Y90" s="429" t="str">
        <f ca="1">IFERROR(VLOOKUP(Y$2,Rango_Admin_DailyPred,MATCH($F90,Rango_Admin_DailyPred_Primera,0)+1,0),"-")</f>
        <v>-</v>
      </c>
      <c r="Z90" s="429" t="str">
        <f ca="1">IFERROR(VLOOKUP(Z$2,Rango_Admin_DailyPred,MATCH($F90,Rango_Admin_DailyPred_Primera,0)+1,0),"-")</f>
        <v>-</v>
      </c>
      <c r="AA90" s="429" t="str">
        <f ca="1">IFERROR(VLOOKUP(AA$2,Rango_Admin_DailyPred,MATCH($F90,Rango_Admin_DailyPred_Primera,0)+1,0),"-")</f>
        <v>-</v>
      </c>
      <c r="AB90" s="429" t="str">
        <f ca="1">IFERROR(VLOOKUP(AB$2,Rango_Admin_DailyPred,MATCH($F90,Rango_Admin_DailyPred_Primera,0)+1,0),"-")</f>
        <v>-</v>
      </c>
      <c r="AC90" s="429" t="str">
        <f ca="1">IFERROR(VLOOKUP(AC$2,Rango_Admin_DailyPred,MATCH($F90,Rango_Admin_DailyPred_Primera,0)+1,0),"-")</f>
        <v>-</v>
      </c>
      <c r="AD90" s="429" t="str">
        <f ca="1">IFERROR(VLOOKUP(AD$2,Rango_Admin_DailyPred,MATCH($F90,Rango_Admin_DailyPred_Primera,0)+1,0),"-")</f>
        <v>-</v>
      </c>
      <c r="AE90" s="429" t="str">
        <f ca="1">IFERROR(VLOOKUP(AE$2,Rango_Admin_DailyPred,MATCH($F90,Rango_Admin_DailyPred_Primera,0)+1,0),"-")</f>
        <v>-</v>
      </c>
      <c r="AF90" s="429" t="str">
        <f ca="1">IFERROR(VLOOKUP(AF$2,Rango_Admin_DailyPred,MATCH($F90,Rango_Admin_DailyPred_Primera,0)+1,0),"-")</f>
        <v>-</v>
      </c>
      <c r="AG90" s="429" t="str">
        <f ca="1">IFERROR(VLOOKUP(AG$2,Rango_Admin_DailyPred,MATCH($F90,Rango_Admin_DailyPred_Primera,0)+1,0),"-")</f>
        <v>-</v>
      </c>
      <c r="AH90" s="429" t="str">
        <f ca="1">IFERROR(VLOOKUP(AH$2,Rango_Admin_DailyPred,MATCH($F90,Rango_Admin_DailyPred_Primera,0)+1,0),"-")</f>
        <v>-</v>
      </c>
      <c r="AI90" s="429" t="str">
        <f ca="1">IFERROR(VLOOKUP(AI$2,Rango_Admin_DailyPred,MATCH($F90,Rango_Admin_DailyPred_Primera,0)+1,0),"-")</f>
        <v>-</v>
      </c>
      <c r="AJ90" s="429" t="str">
        <f ca="1">IFERROR(VLOOKUP(AJ$2,Rango_Admin_DailyPred,MATCH($F90,Rango_Admin_DailyPred_Primera,0)+1,0),"-")</f>
        <v>-</v>
      </c>
      <c r="AK90" s="429" t="str">
        <f ca="1">IFERROR(VLOOKUP(AK$2,Rango_Admin_DailyPred,MATCH($F90,Rango_Admin_DailyPred_Primera,0)+1,0),"-")</f>
        <v>-</v>
      </c>
      <c r="AL90" s="429" t="str">
        <f ca="1">IFERROR(VLOOKUP(AL$2,Rango_Admin_DailyPred,MATCH($F90,Rango_Admin_DailyPred_Primera,0)+1,0),"-")</f>
        <v>-</v>
      </c>
      <c r="AM90" s="429" t="str">
        <f ca="1">IFERROR(VLOOKUP(AM$2,Rango_Admin_DailyPred,MATCH($F90,Rango_Admin_DailyPred_Primera,0)+1,0),"-")</f>
        <v>-</v>
      </c>
      <c r="AN90" s="297"/>
    </row>
    <row r="91" spans="1:40">
      <c r="A91" s="8"/>
      <c r="B91" s="8"/>
      <c r="C91" s="8">
        <v>88</v>
      </c>
      <c r="D91" s="19"/>
      <c r="E91" s="409" t="str">
        <f ca="1">IFERROR(HLOOKUP(C91,Rango_Admin_DailyClas,3,FALSE),"-")</f>
        <v>-</v>
      </c>
      <c r="F91" s="448" t="str">
        <f ca="1">IFERROR(HLOOKUP(C91,Rango_Admin_DailyClas,5,FALSE),"-")</f>
        <v>-</v>
      </c>
      <c r="G91" s="22" t="str">
        <f ca="1">IFERROR(HLOOKUP(C91,Rango_Admin_DailyClas,4,FALSE),"-")</f>
        <v>-</v>
      </c>
      <c r="H91" s="429" t="str">
        <f ca="1">IFERROR(VLOOKUP(H$2,Rango_Admin_DailyPred,MATCH($F91,Rango_Admin_DailyPred_Primera,0)+1,0),"-")</f>
        <v>-</v>
      </c>
      <c r="I91" s="429" t="str">
        <f ca="1">IFERROR(VLOOKUP(I$2,Rango_Admin_DailyPred,MATCH($F91,Rango_Admin_DailyPred_Primera,0)+1,0),"-")</f>
        <v>-</v>
      </c>
      <c r="J91" s="429" t="str">
        <f ca="1">IFERROR(VLOOKUP(J$2,Rango_Admin_DailyPred,MATCH($F91,Rango_Admin_DailyPred_Primera,0)+1,0),"-")</f>
        <v>-</v>
      </c>
      <c r="K91" s="429" t="str">
        <f ca="1">IFERROR(VLOOKUP(K$2,Rango_Admin_DailyPred,MATCH($F91,Rango_Admin_DailyPred_Primera,0)+1,0),"-")</f>
        <v>-</v>
      </c>
      <c r="L91" s="429" t="str">
        <f ca="1">IFERROR(VLOOKUP(L$2,Rango_Admin_DailyPred,MATCH($F91,Rango_Admin_DailyPred_Primera,0)+1,0),"-")</f>
        <v>-</v>
      </c>
      <c r="M91" s="429" t="str">
        <f ca="1">IFERROR(VLOOKUP(M$2,Rango_Admin_DailyPred,MATCH($F91,Rango_Admin_DailyPred_Primera,0)+1,0),"-")</f>
        <v>-</v>
      </c>
      <c r="N91" s="429" t="str">
        <f ca="1">IFERROR(VLOOKUP(N$2,Rango_Admin_DailyPred,MATCH($F91,Rango_Admin_DailyPred_Primera,0)+1,0),"-")</f>
        <v>-</v>
      </c>
      <c r="O91" s="429" t="str">
        <f ca="1">IFERROR(VLOOKUP(O$2,Rango_Admin_DailyPred,MATCH($F91,Rango_Admin_DailyPred_Primera,0)+1,0),"-")</f>
        <v>-</v>
      </c>
      <c r="P91" s="429" t="str">
        <f ca="1">IFERROR(VLOOKUP(P$2,Rango_Admin_DailyPred,MATCH($F91,Rango_Admin_DailyPred_Primera,0)+1,0),"-")</f>
        <v>-</v>
      </c>
      <c r="Q91" s="429" t="str">
        <f ca="1">IFERROR(VLOOKUP(Q$2,Rango_Admin_DailyPred,MATCH($F91,Rango_Admin_DailyPred_Primera,0)+1,0),"-")</f>
        <v>-</v>
      </c>
      <c r="R91" s="429" t="str">
        <f ca="1">IFERROR(VLOOKUP(R$2,Rango_Admin_DailyPred,MATCH($F91,Rango_Admin_DailyPred_Primera,0)+1,0),"-")</f>
        <v>-</v>
      </c>
      <c r="S91" s="429" t="str">
        <f ca="1">IFERROR(VLOOKUP(S$2,Rango_Admin_DailyPred,MATCH($F91,Rango_Admin_DailyPred_Primera,0)+1,0),"-")</f>
        <v>-</v>
      </c>
      <c r="T91" s="429" t="str">
        <f ca="1">IFERROR(VLOOKUP(T$2,Rango_Admin_DailyPred,MATCH($F91,Rango_Admin_DailyPred_Primera,0)+1,0),"-")</f>
        <v>-</v>
      </c>
      <c r="U91" s="429" t="str">
        <f ca="1">IFERROR(VLOOKUP(U$2,Rango_Admin_DailyPred,MATCH($F91,Rango_Admin_DailyPred_Primera,0)+1,0),"-")</f>
        <v>-</v>
      </c>
      <c r="V91" s="429" t="str">
        <f ca="1">IFERROR(VLOOKUP(V$2,Rango_Admin_DailyPred,MATCH($F91,Rango_Admin_DailyPred_Primera,0)+1,0),"-")</f>
        <v>-</v>
      </c>
      <c r="W91" s="429" t="str">
        <f ca="1">IFERROR(VLOOKUP(W$2,Rango_Admin_DailyPred,MATCH($F91,Rango_Admin_DailyPred_Primera,0)+1,0),"-")</f>
        <v>-</v>
      </c>
      <c r="X91" s="429" t="str">
        <f ca="1">IFERROR(VLOOKUP(X$2,Rango_Admin_DailyPred,MATCH($F91,Rango_Admin_DailyPred_Primera,0)+1,0),"-")</f>
        <v>-</v>
      </c>
      <c r="Y91" s="429" t="str">
        <f ca="1">IFERROR(VLOOKUP(Y$2,Rango_Admin_DailyPred,MATCH($F91,Rango_Admin_DailyPred_Primera,0)+1,0),"-")</f>
        <v>-</v>
      </c>
      <c r="Z91" s="429" t="str">
        <f ca="1">IFERROR(VLOOKUP(Z$2,Rango_Admin_DailyPred,MATCH($F91,Rango_Admin_DailyPred_Primera,0)+1,0),"-")</f>
        <v>-</v>
      </c>
      <c r="AA91" s="429" t="str">
        <f ca="1">IFERROR(VLOOKUP(AA$2,Rango_Admin_DailyPred,MATCH($F91,Rango_Admin_DailyPred_Primera,0)+1,0),"-")</f>
        <v>-</v>
      </c>
      <c r="AB91" s="429" t="str">
        <f ca="1">IFERROR(VLOOKUP(AB$2,Rango_Admin_DailyPred,MATCH($F91,Rango_Admin_DailyPred_Primera,0)+1,0),"-")</f>
        <v>-</v>
      </c>
      <c r="AC91" s="429" t="str">
        <f ca="1">IFERROR(VLOOKUP(AC$2,Rango_Admin_DailyPred,MATCH($F91,Rango_Admin_DailyPred_Primera,0)+1,0),"-")</f>
        <v>-</v>
      </c>
      <c r="AD91" s="429" t="str">
        <f ca="1">IFERROR(VLOOKUP(AD$2,Rango_Admin_DailyPred,MATCH($F91,Rango_Admin_DailyPred_Primera,0)+1,0),"-")</f>
        <v>-</v>
      </c>
      <c r="AE91" s="429" t="str">
        <f ca="1">IFERROR(VLOOKUP(AE$2,Rango_Admin_DailyPred,MATCH($F91,Rango_Admin_DailyPred_Primera,0)+1,0),"-")</f>
        <v>-</v>
      </c>
      <c r="AF91" s="429" t="str">
        <f ca="1">IFERROR(VLOOKUP(AF$2,Rango_Admin_DailyPred,MATCH($F91,Rango_Admin_DailyPred_Primera,0)+1,0),"-")</f>
        <v>-</v>
      </c>
      <c r="AG91" s="429" t="str">
        <f ca="1">IFERROR(VLOOKUP(AG$2,Rango_Admin_DailyPred,MATCH($F91,Rango_Admin_DailyPred_Primera,0)+1,0),"-")</f>
        <v>-</v>
      </c>
      <c r="AH91" s="429" t="str">
        <f ca="1">IFERROR(VLOOKUP(AH$2,Rango_Admin_DailyPred,MATCH($F91,Rango_Admin_DailyPred_Primera,0)+1,0),"-")</f>
        <v>-</v>
      </c>
      <c r="AI91" s="429" t="str">
        <f ca="1">IFERROR(VLOOKUP(AI$2,Rango_Admin_DailyPred,MATCH($F91,Rango_Admin_DailyPred_Primera,0)+1,0),"-")</f>
        <v>-</v>
      </c>
      <c r="AJ91" s="429" t="str">
        <f ca="1">IFERROR(VLOOKUP(AJ$2,Rango_Admin_DailyPred,MATCH($F91,Rango_Admin_DailyPred_Primera,0)+1,0),"-")</f>
        <v>-</v>
      </c>
      <c r="AK91" s="429" t="str">
        <f ca="1">IFERROR(VLOOKUP(AK$2,Rango_Admin_DailyPred,MATCH($F91,Rango_Admin_DailyPred_Primera,0)+1,0),"-")</f>
        <v>-</v>
      </c>
      <c r="AL91" s="429" t="str">
        <f ca="1">IFERROR(VLOOKUP(AL$2,Rango_Admin_DailyPred,MATCH($F91,Rango_Admin_DailyPred_Primera,0)+1,0),"-")</f>
        <v>-</v>
      </c>
      <c r="AM91" s="429" t="str">
        <f ca="1">IFERROR(VLOOKUP(AM$2,Rango_Admin_DailyPred,MATCH($F91,Rango_Admin_DailyPred_Primera,0)+1,0),"-")</f>
        <v>-</v>
      </c>
      <c r="AN91" s="297"/>
    </row>
    <row r="92" spans="1:40">
      <c r="A92" s="8"/>
      <c r="B92" s="8"/>
      <c r="C92" s="8">
        <v>89</v>
      </c>
      <c r="D92" s="19"/>
      <c r="E92" s="409" t="str">
        <f ca="1">IFERROR(HLOOKUP(C92,Rango_Admin_DailyClas,3,FALSE),"-")</f>
        <v>-</v>
      </c>
      <c r="F92" s="448" t="str">
        <f ca="1">IFERROR(HLOOKUP(C92,Rango_Admin_DailyClas,5,FALSE),"-")</f>
        <v>-</v>
      </c>
      <c r="G92" s="22" t="str">
        <f ca="1">IFERROR(HLOOKUP(C92,Rango_Admin_DailyClas,4,FALSE),"-")</f>
        <v>-</v>
      </c>
      <c r="H92" s="429" t="str">
        <f ca="1">IFERROR(VLOOKUP(H$2,Rango_Admin_DailyPred,MATCH($F92,Rango_Admin_DailyPred_Primera,0)+1,0),"-")</f>
        <v>-</v>
      </c>
      <c r="I92" s="429" t="str">
        <f ca="1">IFERROR(VLOOKUP(I$2,Rango_Admin_DailyPred,MATCH($F92,Rango_Admin_DailyPred_Primera,0)+1,0),"-")</f>
        <v>-</v>
      </c>
      <c r="J92" s="429" t="str">
        <f ca="1">IFERROR(VLOOKUP(J$2,Rango_Admin_DailyPred,MATCH($F92,Rango_Admin_DailyPred_Primera,0)+1,0),"-")</f>
        <v>-</v>
      </c>
      <c r="K92" s="429" t="str">
        <f ca="1">IFERROR(VLOOKUP(K$2,Rango_Admin_DailyPred,MATCH($F92,Rango_Admin_DailyPred_Primera,0)+1,0),"-")</f>
        <v>-</v>
      </c>
      <c r="L92" s="429" t="str">
        <f ca="1">IFERROR(VLOOKUP(L$2,Rango_Admin_DailyPred,MATCH($F92,Rango_Admin_DailyPred_Primera,0)+1,0),"-")</f>
        <v>-</v>
      </c>
      <c r="M92" s="429" t="str">
        <f ca="1">IFERROR(VLOOKUP(M$2,Rango_Admin_DailyPred,MATCH($F92,Rango_Admin_DailyPred_Primera,0)+1,0),"-")</f>
        <v>-</v>
      </c>
      <c r="N92" s="429" t="str">
        <f ca="1">IFERROR(VLOOKUP(N$2,Rango_Admin_DailyPred,MATCH($F92,Rango_Admin_DailyPred_Primera,0)+1,0),"-")</f>
        <v>-</v>
      </c>
      <c r="O92" s="429" t="str">
        <f ca="1">IFERROR(VLOOKUP(O$2,Rango_Admin_DailyPred,MATCH($F92,Rango_Admin_DailyPred_Primera,0)+1,0),"-")</f>
        <v>-</v>
      </c>
      <c r="P92" s="429" t="str">
        <f ca="1">IFERROR(VLOOKUP(P$2,Rango_Admin_DailyPred,MATCH($F92,Rango_Admin_DailyPred_Primera,0)+1,0),"-")</f>
        <v>-</v>
      </c>
      <c r="Q92" s="429" t="str">
        <f ca="1">IFERROR(VLOOKUP(Q$2,Rango_Admin_DailyPred,MATCH($F92,Rango_Admin_DailyPred_Primera,0)+1,0),"-")</f>
        <v>-</v>
      </c>
      <c r="R92" s="429" t="str">
        <f ca="1">IFERROR(VLOOKUP(R$2,Rango_Admin_DailyPred,MATCH($F92,Rango_Admin_DailyPred_Primera,0)+1,0),"-")</f>
        <v>-</v>
      </c>
      <c r="S92" s="429" t="str">
        <f ca="1">IFERROR(VLOOKUP(S$2,Rango_Admin_DailyPred,MATCH($F92,Rango_Admin_DailyPred_Primera,0)+1,0),"-")</f>
        <v>-</v>
      </c>
      <c r="T92" s="429" t="str">
        <f ca="1">IFERROR(VLOOKUP(T$2,Rango_Admin_DailyPred,MATCH($F92,Rango_Admin_DailyPred_Primera,0)+1,0),"-")</f>
        <v>-</v>
      </c>
      <c r="U92" s="429" t="str">
        <f ca="1">IFERROR(VLOOKUP(U$2,Rango_Admin_DailyPred,MATCH($F92,Rango_Admin_DailyPred_Primera,0)+1,0),"-")</f>
        <v>-</v>
      </c>
      <c r="V92" s="429" t="str">
        <f ca="1">IFERROR(VLOOKUP(V$2,Rango_Admin_DailyPred,MATCH($F92,Rango_Admin_DailyPred_Primera,0)+1,0),"-")</f>
        <v>-</v>
      </c>
      <c r="W92" s="429" t="str">
        <f ca="1">IFERROR(VLOOKUP(W$2,Rango_Admin_DailyPred,MATCH($F92,Rango_Admin_DailyPred_Primera,0)+1,0),"-")</f>
        <v>-</v>
      </c>
      <c r="X92" s="429" t="str">
        <f ca="1">IFERROR(VLOOKUP(X$2,Rango_Admin_DailyPred,MATCH($F92,Rango_Admin_DailyPred_Primera,0)+1,0),"-")</f>
        <v>-</v>
      </c>
      <c r="Y92" s="429" t="str">
        <f ca="1">IFERROR(VLOOKUP(Y$2,Rango_Admin_DailyPred,MATCH($F92,Rango_Admin_DailyPred_Primera,0)+1,0),"-")</f>
        <v>-</v>
      </c>
      <c r="Z92" s="429" t="str">
        <f ca="1">IFERROR(VLOOKUP(Z$2,Rango_Admin_DailyPred,MATCH($F92,Rango_Admin_DailyPred_Primera,0)+1,0),"-")</f>
        <v>-</v>
      </c>
      <c r="AA92" s="429" t="str">
        <f ca="1">IFERROR(VLOOKUP(AA$2,Rango_Admin_DailyPred,MATCH($F92,Rango_Admin_DailyPred_Primera,0)+1,0),"-")</f>
        <v>-</v>
      </c>
      <c r="AB92" s="429" t="str">
        <f ca="1">IFERROR(VLOOKUP(AB$2,Rango_Admin_DailyPred,MATCH($F92,Rango_Admin_DailyPred_Primera,0)+1,0),"-")</f>
        <v>-</v>
      </c>
      <c r="AC92" s="429" t="str">
        <f ca="1">IFERROR(VLOOKUP(AC$2,Rango_Admin_DailyPred,MATCH($F92,Rango_Admin_DailyPred_Primera,0)+1,0),"-")</f>
        <v>-</v>
      </c>
      <c r="AD92" s="429" t="str">
        <f ca="1">IFERROR(VLOOKUP(AD$2,Rango_Admin_DailyPred,MATCH($F92,Rango_Admin_DailyPred_Primera,0)+1,0),"-")</f>
        <v>-</v>
      </c>
      <c r="AE92" s="429" t="str">
        <f ca="1">IFERROR(VLOOKUP(AE$2,Rango_Admin_DailyPred,MATCH($F92,Rango_Admin_DailyPred_Primera,0)+1,0),"-")</f>
        <v>-</v>
      </c>
      <c r="AF92" s="429" t="str">
        <f ca="1">IFERROR(VLOOKUP(AF$2,Rango_Admin_DailyPred,MATCH($F92,Rango_Admin_DailyPred_Primera,0)+1,0),"-")</f>
        <v>-</v>
      </c>
      <c r="AG92" s="429" t="str">
        <f ca="1">IFERROR(VLOOKUP(AG$2,Rango_Admin_DailyPred,MATCH($F92,Rango_Admin_DailyPred_Primera,0)+1,0),"-")</f>
        <v>-</v>
      </c>
      <c r="AH92" s="429" t="str">
        <f ca="1">IFERROR(VLOOKUP(AH$2,Rango_Admin_DailyPred,MATCH($F92,Rango_Admin_DailyPred_Primera,0)+1,0),"-")</f>
        <v>-</v>
      </c>
      <c r="AI92" s="429" t="str">
        <f ca="1">IFERROR(VLOOKUP(AI$2,Rango_Admin_DailyPred,MATCH($F92,Rango_Admin_DailyPred_Primera,0)+1,0),"-")</f>
        <v>-</v>
      </c>
      <c r="AJ92" s="429" t="str">
        <f ca="1">IFERROR(VLOOKUP(AJ$2,Rango_Admin_DailyPred,MATCH($F92,Rango_Admin_DailyPred_Primera,0)+1,0),"-")</f>
        <v>-</v>
      </c>
      <c r="AK92" s="429" t="str">
        <f ca="1">IFERROR(VLOOKUP(AK$2,Rango_Admin_DailyPred,MATCH($F92,Rango_Admin_DailyPred_Primera,0)+1,0),"-")</f>
        <v>-</v>
      </c>
      <c r="AL92" s="429" t="str">
        <f ca="1">IFERROR(VLOOKUP(AL$2,Rango_Admin_DailyPred,MATCH($F92,Rango_Admin_DailyPred_Primera,0)+1,0),"-")</f>
        <v>-</v>
      </c>
      <c r="AM92" s="429" t="str">
        <f ca="1">IFERROR(VLOOKUP(AM$2,Rango_Admin_DailyPred,MATCH($F92,Rango_Admin_DailyPred_Primera,0)+1,0),"-")</f>
        <v>-</v>
      </c>
      <c r="AN92" s="297"/>
    </row>
    <row r="93" spans="1:40">
      <c r="A93" s="8"/>
      <c r="B93" s="8"/>
      <c r="C93" s="8">
        <v>90</v>
      </c>
      <c r="D93" s="19"/>
      <c r="E93" s="409" t="str">
        <f ca="1">IFERROR(HLOOKUP(C93,Rango_Admin_DailyClas,3,FALSE),"-")</f>
        <v>-</v>
      </c>
      <c r="F93" s="448" t="str">
        <f ca="1">IFERROR(HLOOKUP(C93,Rango_Admin_DailyClas,5,FALSE),"-")</f>
        <v>-</v>
      </c>
      <c r="G93" s="22" t="str">
        <f ca="1">IFERROR(HLOOKUP(C93,Rango_Admin_DailyClas,4,FALSE),"-")</f>
        <v>-</v>
      </c>
      <c r="H93" s="429" t="str">
        <f ca="1">IFERROR(VLOOKUP(H$2,Rango_Admin_DailyPred,MATCH($F93,Rango_Admin_DailyPred_Primera,0)+1,0),"-")</f>
        <v>-</v>
      </c>
      <c r="I93" s="429" t="str">
        <f ca="1">IFERROR(VLOOKUP(I$2,Rango_Admin_DailyPred,MATCH($F93,Rango_Admin_DailyPred_Primera,0)+1,0),"-")</f>
        <v>-</v>
      </c>
      <c r="J93" s="429" t="str">
        <f ca="1">IFERROR(VLOOKUP(J$2,Rango_Admin_DailyPred,MATCH($F93,Rango_Admin_DailyPred_Primera,0)+1,0),"-")</f>
        <v>-</v>
      </c>
      <c r="K93" s="429" t="str">
        <f ca="1">IFERROR(VLOOKUP(K$2,Rango_Admin_DailyPred,MATCH($F93,Rango_Admin_DailyPred_Primera,0)+1,0),"-")</f>
        <v>-</v>
      </c>
      <c r="L93" s="429" t="str">
        <f ca="1">IFERROR(VLOOKUP(L$2,Rango_Admin_DailyPred,MATCH($F93,Rango_Admin_DailyPred_Primera,0)+1,0),"-")</f>
        <v>-</v>
      </c>
      <c r="M93" s="429" t="str">
        <f ca="1">IFERROR(VLOOKUP(M$2,Rango_Admin_DailyPred,MATCH($F93,Rango_Admin_DailyPred_Primera,0)+1,0),"-")</f>
        <v>-</v>
      </c>
      <c r="N93" s="429" t="str">
        <f ca="1">IFERROR(VLOOKUP(N$2,Rango_Admin_DailyPred,MATCH($F93,Rango_Admin_DailyPred_Primera,0)+1,0),"-")</f>
        <v>-</v>
      </c>
      <c r="O93" s="429" t="str">
        <f ca="1">IFERROR(VLOOKUP(O$2,Rango_Admin_DailyPred,MATCH($F93,Rango_Admin_DailyPred_Primera,0)+1,0),"-")</f>
        <v>-</v>
      </c>
      <c r="P93" s="429" t="str">
        <f ca="1">IFERROR(VLOOKUP(P$2,Rango_Admin_DailyPred,MATCH($F93,Rango_Admin_DailyPred_Primera,0)+1,0),"-")</f>
        <v>-</v>
      </c>
      <c r="Q93" s="429" t="str">
        <f ca="1">IFERROR(VLOOKUP(Q$2,Rango_Admin_DailyPred,MATCH($F93,Rango_Admin_DailyPred_Primera,0)+1,0),"-")</f>
        <v>-</v>
      </c>
      <c r="R93" s="429" t="str">
        <f ca="1">IFERROR(VLOOKUP(R$2,Rango_Admin_DailyPred,MATCH($F93,Rango_Admin_DailyPred_Primera,0)+1,0),"-")</f>
        <v>-</v>
      </c>
      <c r="S93" s="429" t="str">
        <f ca="1">IFERROR(VLOOKUP(S$2,Rango_Admin_DailyPred,MATCH($F93,Rango_Admin_DailyPred_Primera,0)+1,0),"-")</f>
        <v>-</v>
      </c>
      <c r="T93" s="429" t="str">
        <f ca="1">IFERROR(VLOOKUP(T$2,Rango_Admin_DailyPred,MATCH($F93,Rango_Admin_DailyPred_Primera,0)+1,0),"-")</f>
        <v>-</v>
      </c>
      <c r="U93" s="429" t="str">
        <f ca="1">IFERROR(VLOOKUP(U$2,Rango_Admin_DailyPred,MATCH($F93,Rango_Admin_DailyPred_Primera,0)+1,0),"-")</f>
        <v>-</v>
      </c>
      <c r="V93" s="429" t="str">
        <f ca="1">IFERROR(VLOOKUP(V$2,Rango_Admin_DailyPred,MATCH($F93,Rango_Admin_DailyPred_Primera,0)+1,0),"-")</f>
        <v>-</v>
      </c>
      <c r="W93" s="429" t="str">
        <f ca="1">IFERROR(VLOOKUP(W$2,Rango_Admin_DailyPred,MATCH($F93,Rango_Admin_DailyPred_Primera,0)+1,0),"-")</f>
        <v>-</v>
      </c>
      <c r="X93" s="429" t="str">
        <f ca="1">IFERROR(VLOOKUP(X$2,Rango_Admin_DailyPred,MATCH($F93,Rango_Admin_DailyPred_Primera,0)+1,0),"-")</f>
        <v>-</v>
      </c>
      <c r="Y93" s="429" t="str">
        <f ca="1">IFERROR(VLOOKUP(Y$2,Rango_Admin_DailyPred,MATCH($F93,Rango_Admin_DailyPred_Primera,0)+1,0),"-")</f>
        <v>-</v>
      </c>
      <c r="Z93" s="429" t="str">
        <f ca="1">IFERROR(VLOOKUP(Z$2,Rango_Admin_DailyPred,MATCH($F93,Rango_Admin_DailyPred_Primera,0)+1,0),"-")</f>
        <v>-</v>
      </c>
      <c r="AA93" s="429" t="str">
        <f ca="1">IFERROR(VLOOKUP(AA$2,Rango_Admin_DailyPred,MATCH($F93,Rango_Admin_DailyPred_Primera,0)+1,0),"-")</f>
        <v>-</v>
      </c>
      <c r="AB93" s="429" t="str">
        <f ca="1">IFERROR(VLOOKUP(AB$2,Rango_Admin_DailyPred,MATCH($F93,Rango_Admin_DailyPred_Primera,0)+1,0),"-")</f>
        <v>-</v>
      </c>
      <c r="AC93" s="429" t="str">
        <f ca="1">IFERROR(VLOOKUP(AC$2,Rango_Admin_DailyPred,MATCH($F93,Rango_Admin_DailyPred_Primera,0)+1,0),"-")</f>
        <v>-</v>
      </c>
      <c r="AD93" s="429" t="str">
        <f ca="1">IFERROR(VLOOKUP(AD$2,Rango_Admin_DailyPred,MATCH($F93,Rango_Admin_DailyPred_Primera,0)+1,0),"-")</f>
        <v>-</v>
      </c>
      <c r="AE93" s="429" t="str">
        <f ca="1">IFERROR(VLOOKUP(AE$2,Rango_Admin_DailyPred,MATCH($F93,Rango_Admin_DailyPred_Primera,0)+1,0),"-")</f>
        <v>-</v>
      </c>
      <c r="AF93" s="429" t="str">
        <f ca="1">IFERROR(VLOOKUP(AF$2,Rango_Admin_DailyPred,MATCH($F93,Rango_Admin_DailyPred_Primera,0)+1,0),"-")</f>
        <v>-</v>
      </c>
      <c r="AG93" s="429" t="str">
        <f ca="1">IFERROR(VLOOKUP(AG$2,Rango_Admin_DailyPred,MATCH($F93,Rango_Admin_DailyPred_Primera,0)+1,0),"-")</f>
        <v>-</v>
      </c>
      <c r="AH93" s="429" t="str">
        <f ca="1">IFERROR(VLOOKUP(AH$2,Rango_Admin_DailyPred,MATCH($F93,Rango_Admin_DailyPred_Primera,0)+1,0),"-")</f>
        <v>-</v>
      </c>
      <c r="AI93" s="429" t="str">
        <f ca="1">IFERROR(VLOOKUP(AI$2,Rango_Admin_DailyPred,MATCH($F93,Rango_Admin_DailyPred_Primera,0)+1,0),"-")</f>
        <v>-</v>
      </c>
      <c r="AJ93" s="429" t="str">
        <f ca="1">IFERROR(VLOOKUP(AJ$2,Rango_Admin_DailyPred,MATCH($F93,Rango_Admin_DailyPred_Primera,0)+1,0),"-")</f>
        <v>-</v>
      </c>
      <c r="AK93" s="429" t="str">
        <f ca="1">IFERROR(VLOOKUP(AK$2,Rango_Admin_DailyPred,MATCH($F93,Rango_Admin_DailyPred_Primera,0)+1,0),"-")</f>
        <v>-</v>
      </c>
      <c r="AL93" s="429" t="str">
        <f ca="1">IFERROR(VLOOKUP(AL$2,Rango_Admin_DailyPred,MATCH($F93,Rango_Admin_DailyPred_Primera,0)+1,0),"-")</f>
        <v>-</v>
      </c>
      <c r="AM93" s="429" t="str">
        <f ca="1">IFERROR(VLOOKUP(AM$2,Rango_Admin_DailyPred,MATCH($F93,Rango_Admin_DailyPred_Primera,0)+1,0),"-")</f>
        <v>-</v>
      </c>
      <c r="AN93" s="297"/>
    </row>
    <row r="94" spans="1:40">
      <c r="A94" s="8"/>
      <c r="B94" s="8"/>
      <c r="C94" s="8">
        <v>91</v>
      </c>
      <c r="D94" s="19"/>
      <c r="E94" s="409" t="str">
        <f ca="1">IFERROR(HLOOKUP(C94,Rango_Admin_DailyClas,3,FALSE),"-")</f>
        <v>-</v>
      </c>
      <c r="F94" s="448" t="str">
        <f ca="1">IFERROR(HLOOKUP(C94,Rango_Admin_DailyClas,5,FALSE),"-")</f>
        <v>-</v>
      </c>
      <c r="G94" s="22" t="str">
        <f ca="1">IFERROR(HLOOKUP(C94,Rango_Admin_DailyClas,4,FALSE),"-")</f>
        <v>-</v>
      </c>
      <c r="H94" s="429" t="str">
        <f ca="1">IFERROR(VLOOKUP(H$2,Rango_Admin_DailyPred,MATCH($F94,Rango_Admin_DailyPred_Primera,0)+1,0),"-")</f>
        <v>-</v>
      </c>
      <c r="I94" s="429" t="str">
        <f ca="1">IFERROR(VLOOKUP(I$2,Rango_Admin_DailyPred,MATCH($F94,Rango_Admin_DailyPred_Primera,0)+1,0),"-")</f>
        <v>-</v>
      </c>
      <c r="J94" s="429" t="str">
        <f ca="1">IFERROR(VLOOKUP(J$2,Rango_Admin_DailyPred,MATCH($F94,Rango_Admin_DailyPred_Primera,0)+1,0),"-")</f>
        <v>-</v>
      </c>
      <c r="K94" s="429" t="str">
        <f ca="1">IFERROR(VLOOKUP(K$2,Rango_Admin_DailyPred,MATCH($F94,Rango_Admin_DailyPred_Primera,0)+1,0),"-")</f>
        <v>-</v>
      </c>
      <c r="L94" s="429" t="str">
        <f ca="1">IFERROR(VLOOKUP(L$2,Rango_Admin_DailyPred,MATCH($F94,Rango_Admin_DailyPred_Primera,0)+1,0),"-")</f>
        <v>-</v>
      </c>
      <c r="M94" s="429" t="str">
        <f ca="1">IFERROR(VLOOKUP(M$2,Rango_Admin_DailyPred,MATCH($F94,Rango_Admin_DailyPred_Primera,0)+1,0),"-")</f>
        <v>-</v>
      </c>
      <c r="N94" s="429" t="str">
        <f ca="1">IFERROR(VLOOKUP(N$2,Rango_Admin_DailyPred,MATCH($F94,Rango_Admin_DailyPred_Primera,0)+1,0),"-")</f>
        <v>-</v>
      </c>
      <c r="O94" s="429" t="str">
        <f ca="1">IFERROR(VLOOKUP(O$2,Rango_Admin_DailyPred,MATCH($F94,Rango_Admin_DailyPred_Primera,0)+1,0),"-")</f>
        <v>-</v>
      </c>
      <c r="P94" s="429" t="str">
        <f ca="1">IFERROR(VLOOKUP(P$2,Rango_Admin_DailyPred,MATCH($F94,Rango_Admin_DailyPred_Primera,0)+1,0),"-")</f>
        <v>-</v>
      </c>
      <c r="Q94" s="429" t="str">
        <f ca="1">IFERROR(VLOOKUP(Q$2,Rango_Admin_DailyPred,MATCH($F94,Rango_Admin_DailyPred_Primera,0)+1,0),"-")</f>
        <v>-</v>
      </c>
      <c r="R94" s="429" t="str">
        <f ca="1">IFERROR(VLOOKUP(R$2,Rango_Admin_DailyPred,MATCH($F94,Rango_Admin_DailyPred_Primera,0)+1,0),"-")</f>
        <v>-</v>
      </c>
      <c r="S94" s="429" t="str">
        <f ca="1">IFERROR(VLOOKUP(S$2,Rango_Admin_DailyPred,MATCH($F94,Rango_Admin_DailyPred_Primera,0)+1,0),"-")</f>
        <v>-</v>
      </c>
      <c r="T94" s="429" t="str">
        <f ca="1">IFERROR(VLOOKUP(T$2,Rango_Admin_DailyPred,MATCH($F94,Rango_Admin_DailyPred_Primera,0)+1,0),"-")</f>
        <v>-</v>
      </c>
      <c r="U94" s="429" t="str">
        <f ca="1">IFERROR(VLOOKUP(U$2,Rango_Admin_DailyPred,MATCH($F94,Rango_Admin_DailyPred_Primera,0)+1,0),"-")</f>
        <v>-</v>
      </c>
      <c r="V94" s="429" t="str">
        <f ca="1">IFERROR(VLOOKUP(V$2,Rango_Admin_DailyPred,MATCH($F94,Rango_Admin_DailyPred_Primera,0)+1,0),"-")</f>
        <v>-</v>
      </c>
      <c r="W94" s="429" t="str">
        <f ca="1">IFERROR(VLOOKUP(W$2,Rango_Admin_DailyPred,MATCH($F94,Rango_Admin_DailyPred_Primera,0)+1,0),"-")</f>
        <v>-</v>
      </c>
      <c r="X94" s="429" t="str">
        <f ca="1">IFERROR(VLOOKUP(X$2,Rango_Admin_DailyPred,MATCH($F94,Rango_Admin_DailyPred_Primera,0)+1,0),"-")</f>
        <v>-</v>
      </c>
      <c r="Y94" s="429" t="str">
        <f ca="1">IFERROR(VLOOKUP(Y$2,Rango_Admin_DailyPred,MATCH($F94,Rango_Admin_DailyPred_Primera,0)+1,0),"-")</f>
        <v>-</v>
      </c>
      <c r="Z94" s="429" t="str">
        <f ca="1">IFERROR(VLOOKUP(Z$2,Rango_Admin_DailyPred,MATCH($F94,Rango_Admin_DailyPred_Primera,0)+1,0),"-")</f>
        <v>-</v>
      </c>
      <c r="AA94" s="429" t="str">
        <f ca="1">IFERROR(VLOOKUP(AA$2,Rango_Admin_DailyPred,MATCH($F94,Rango_Admin_DailyPred_Primera,0)+1,0),"-")</f>
        <v>-</v>
      </c>
      <c r="AB94" s="429" t="str">
        <f ca="1">IFERROR(VLOOKUP(AB$2,Rango_Admin_DailyPred,MATCH($F94,Rango_Admin_DailyPred_Primera,0)+1,0),"-")</f>
        <v>-</v>
      </c>
      <c r="AC94" s="429" t="str">
        <f ca="1">IFERROR(VLOOKUP(AC$2,Rango_Admin_DailyPred,MATCH($F94,Rango_Admin_DailyPred_Primera,0)+1,0),"-")</f>
        <v>-</v>
      </c>
      <c r="AD94" s="429" t="str">
        <f ca="1">IFERROR(VLOOKUP(AD$2,Rango_Admin_DailyPred,MATCH($F94,Rango_Admin_DailyPred_Primera,0)+1,0),"-")</f>
        <v>-</v>
      </c>
      <c r="AE94" s="429" t="str">
        <f ca="1">IFERROR(VLOOKUP(AE$2,Rango_Admin_DailyPred,MATCH($F94,Rango_Admin_DailyPred_Primera,0)+1,0),"-")</f>
        <v>-</v>
      </c>
      <c r="AF94" s="429" t="str">
        <f ca="1">IFERROR(VLOOKUP(AF$2,Rango_Admin_DailyPred,MATCH($F94,Rango_Admin_DailyPred_Primera,0)+1,0),"-")</f>
        <v>-</v>
      </c>
      <c r="AG94" s="429" t="str">
        <f ca="1">IFERROR(VLOOKUP(AG$2,Rango_Admin_DailyPred,MATCH($F94,Rango_Admin_DailyPred_Primera,0)+1,0),"-")</f>
        <v>-</v>
      </c>
      <c r="AH94" s="429" t="str">
        <f ca="1">IFERROR(VLOOKUP(AH$2,Rango_Admin_DailyPred,MATCH($F94,Rango_Admin_DailyPred_Primera,0)+1,0),"-")</f>
        <v>-</v>
      </c>
      <c r="AI94" s="429" t="str">
        <f ca="1">IFERROR(VLOOKUP(AI$2,Rango_Admin_DailyPred,MATCH($F94,Rango_Admin_DailyPred_Primera,0)+1,0),"-")</f>
        <v>-</v>
      </c>
      <c r="AJ94" s="429" t="str">
        <f ca="1">IFERROR(VLOOKUP(AJ$2,Rango_Admin_DailyPred,MATCH($F94,Rango_Admin_DailyPred_Primera,0)+1,0),"-")</f>
        <v>-</v>
      </c>
      <c r="AK94" s="429" t="str">
        <f ca="1">IFERROR(VLOOKUP(AK$2,Rango_Admin_DailyPred,MATCH($F94,Rango_Admin_DailyPred_Primera,0)+1,0),"-")</f>
        <v>-</v>
      </c>
      <c r="AL94" s="429" t="str">
        <f ca="1">IFERROR(VLOOKUP(AL$2,Rango_Admin_DailyPred,MATCH($F94,Rango_Admin_DailyPred_Primera,0)+1,0),"-")</f>
        <v>-</v>
      </c>
      <c r="AM94" s="429" t="str">
        <f ca="1">IFERROR(VLOOKUP(AM$2,Rango_Admin_DailyPred,MATCH($F94,Rango_Admin_DailyPred_Primera,0)+1,0),"-")</f>
        <v>-</v>
      </c>
      <c r="AN94" s="297"/>
    </row>
    <row r="95" spans="1:40">
      <c r="A95" s="8"/>
      <c r="B95" s="8"/>
      <c r="C95" s="8">
        <v>92</v>
      </c>
      <c r="D95" s="19"/>
      <c r="E95" s="409" t="str">
        <f ca="1">IFERROR(HLOOKUP(C95,Rango_Admin_DailyClas,3,FALSE),"-")</f>
        <v>-</v>
      </c>
      <c r="F95" s="448" t="str">
        <f ca="1">IFERROR(HLOOKUP(C95,Rango_Admin_DailyClas,5,FALSE),"-")</f>
        <v>-</v>
      </c>
      <c r="G95" s="22" t="str">
        <f ca="1">IFERROR(HLOOKUP(C95,Rango_Admin_DailyClas,4,FALSE),"-")</f>
        <v>-</v>
      </c>
      <c r="H95" s="429" t="str">
        <f ca="1">IFERROR(VLOOKUP(H$2,Rango_Admin_DailyPred,MATCH($F95,Rango_Admin_DailyPred_Primera,0)+1,0),"-")</f>
        <v>-</v>
      </c>
      <c r="I95" s="429" t="str">
        <f ca="1">IFERROR(VLOOKUP(I$2,Rango_Admin_DailyPred,MATCH($F95,Rango_Admin_DailyPred_Primera,0)+1,0),"-")</f>
        <v>-</v>
      </c>
      <c r="J95" s="429" t="str">
        <f ca="1">IFERROR(VLOOKUP(J$2,Rango_Admin_DailyPred,MATCH($F95,Rango_Admin_DailyPred_Primera,0)+1,0),"-")</f>
        <v>-</v>
      </c>
      <c r="K95" s="429" t="str">
        <f ca="1">IFERROR(VLOOKUP(K$2,Rango_Admin_DailyPred,MATCH($F95,Rango_Admin_DailyPred_Primera,0)+1,0),"-")</f>
        <v>-</v>
      </c>
      <c r="L95" s="429" t="str">
        <f ca="1">IFERROR(VLOOKUP(L$2,Rango_Admin_DailyPred,MATCH($F95,Rango_Admin_DailyPred_Primera,0)+1,0),"-")</f>
        <v>-</v>
      </c>
      <c r="M95" s="429" t="str">
        <f ca="1">IFERROR(VLOOKUP(M$2,Rango_Admin_DailyPred,MATCH($F95,Rango_Admin_DailyPred_Primera,0)+1,0),"-")</f>
        <v>-</v>
      </c>
      <c r="N95" s="429" t="str">
        <f ca="1">IFERROR(VLOOKUP(N$2,Rango_Admin_DailyPred,MATCH($F95,Rango_Admin_DailyPred_Primera,0)+1,0),"-")</f>
        <v>-</v>
      </c>
      <c r="O95" s="429" t="str">
        <f ca="1">IFERROR(VLOOKUP(O$2,Rango_Admin_DailyPred,MATCH($F95,Rango_Admin_DailyPred_Primera,0)+1,0),"-")</f>
        <v>-</v>
      </c>
      <c r="P95" s="429" t="str">
        <f ca="1">IFERROR(VLOOKUP(P$2,Rango_Admin_DailyPred,MATCH($F95,Rango_Admin_DailyPred_Primera,0)+1,0),"-")</f>
        <v>-</v>
      </c>
      <c r="Q95" s="429" t="str">
        <f ca="1">IFERROR(VLOOKUP(Q$2,Rango_Admin_DailyPred,MATCH($F95,Rango_Admin_DailyPred_Primera,0)+1,0),"-")</f>
        <v>-</v>
      </c>
      <c r="R95" s="429" t="str">
        <f ca="1">IFERROR(VLOOKUP(R$2,Rango_Admin_DailyPred,MATCH($F95,Rango_Admin_DailyPred_Primera,0)+1,0),"-")</f>
        <v>-</v>
      </c>
      <c r="S95" s="429" t="str">
        <f ca="1">IFERROR(VLOOKUP(S$2,Rango_Admin_DailyPred,MATCH($F95,Rango_Admin_DailyPred_Primera,0)+1,0),"-")</f>
        <v>-</v>
      </c>
      <c r="T95" s="429" t="str">
        <f ca="1">IFERROR(VLOOKUP(T$2,Rango_Admin_DailyPred,MATCH($F95,Rango_Admin_DailyPred_Primera,0)+1,0),"-")</f>
        <v>-</v>
      </c>
      <c r="U95" s="429" t="str">
        <f ca="1">IFERROR(VLOOKUP(U$2,Rango_Admin_DailyPred,MATCH($F95,Rango_Admin_DailyPred_Primera,0)+1,0),"-")</f>
        <v>-</v>
      </c>
      <c r="V95" s="429" t="str">
        <f ca="1">IFERROR(VLOOKUP(V$2,Rango_Admin_DailyPred,MATCH($F95,Rango_Admin_DailyPred_Primera,0)+1,0),"-")</f>
        <v>-</v>
      </c>
      <c r="W95" s="429" t="str">
        <f ca="1">IFERROR(VLOOKUP(W$2,Rango_Admin_DailyPred,MATCH($F95,Rango_Admin_DailyPred_Primera,0)+1,0),"-")</f>
        <v>-</v>
      </c>
      <c r="X95" s="429" t="str">
        <f ca="1">IFERROR(VLOOKUP(X$2,Rango_Admin_DailyPred,MATCH($F95,Rango_Admin_DailyPred_Primera,0)+1,0),"-")</f>
        <v>-</v>
      </c>
      <c r="Y95" s="429" t="str">
        <f ca="1">IFERROR(VLOOKUP(Y$2,Rango_Admin_DailyPred,MATCH($F95,Rango_Admin_DailyPred_Primera,0)+1,0),"-")</f>
        <v>-</v>
      </c>
      <c r="Z95" s="429" t="str">
        <f ca="1">IFERROR(VLOOKUP(Z$2,Rango_Admin_DailyPred,MATCH($F95,Rango_Admin_DailyPred_Primera,0)+1,0),"-")</f>
        <v>-</v>
      </c>
      <c r="AA95" s="429" t="str">
        <f ca="1">IFERROR(VLOOKUP(AA$2,Rango_Admin_DailyPred,MATCH($F95,Rango_Admin_DailyPred_Primera,0)+1,0),"-")</f>
        <v>-</v>
      </c>
      <c r="AB95" s="429" t="str">
        <f ca="1">IFERROR(VLOOKUP(AB$2,Rango_Admin_DailyPred,MATCH($F95,Rango_Admin_DailyPred_Primera,0)+1,0),"-")</f>
        <v>-</v>
      </c>
      <c r="AC95" s="429" t="str">
        <f ca="1">IFERROR(VLOOKUP(AC$2,Rango_Admin_DailyPred,MATCH($F95,Rango_Admin_DailyPred_Primera,0)+1,0),"-")</f>
        <v>-</v>
      </c>
      <c r="AD95" s="429" t="str">
        <f ca="1">IFERROR(VLOOKUP(AD$2,Rango_Admin_DailyPred,MATCH($F95,Rango_Admin_DailyPred_Primera,0)+1,0),"-")</f>
        <v>-</v>
      </c>
      <c r="AE95" s="429" t="str">
        <f ca="1">IFERROR(VLOOKUP(AE$2,Rango_Admin_DailyPred,MATCH($F95,Rango_Admin_DailyPred_Primera,0)+1,0),"-")</f>
        <v>-</v>
      </c>
      <c r="AF95" s="429" t="str">
        <f ca="1">IFERROR(VLOOKUP(AF$2,Rango_Admin_DailyPred,MATCH($F95,Rango_Admin_DailyPred_Primera,0)+1,0),"-")</f>
        <v>-</v>
      </c>
      <c r="AG95" s="429" t="str">
        <f ca="1">IFERROR(VLOOKUP(AG$2,Rango_Admin_DailyPred,MATCH($F95,Rango_Admin_DailyPred_Primera,0)+1,0),"-")</f>
        <v>-</v>
      </c>
      <c r="AH95" s="429" t="str">
        <f ca="1">IFERROR(VLOOKUP(AH$2,Rango_Admin_DailyPred,MATCH($F95,Rango_Admin_DailyPred_Primera,0)+1,0),"-")</f>
        <v>-</v>
      </c>
      <c r="AI95" s="429" t="str">
        <f ca="1">IFERROR(VLOOKUP(AI$2,Rango_Admin_DailyPred,MATCH($F95,Rango_Admin_DailyPred_Primera,0)+1,0),"-")</f>
        <v>-</v>
      </c>
      <c r="AJ95" s="429" t="str">
        <f ca="1">IFERROR(VLOOKUP(AJ$2,Rango_Admin_DailyPred,MATCH($F95,Rango_Admin_DailyPred_Primera,0)+1,0),"-")</f>
        <v>-</v>
      </c>
      <c r="AK95" s="429" t="str">
        <f ca="1">IFERROR(VLOOKUP(AK$2,Rango_Admin_DailyPred,MATCH($F95,Rango_Admin_DailyPred_Primera,0)+1,0),"-")</f>
        <v>-</v>
      </c>
      <c r="AL95" s="429" t="str">
        <f ca="1">IFERROR(VLOOKUP(AL$2,Rango_Admin_DailyPred,MATCH($F95,Rango_Admin_DailyPred_Primera,0)+1,0),"-")</f>
        <v>-</v>
      </c>
      <c r="AM95" s="429" t="str">
        <f ca="1">IFERROR(VLOOKUP(AM$2,Rango_Admin_DailyPred,MATCH($F95,Rango_Admin_DailyPred_Primera,0)+1,0),"-")</f>
        <v>-</v>
      </c>
      <c r="AN95" s="297"/>
    </row>
    <row r="96" spans="1:40">
      <c r="A96" s="8"/>
      <c r="B96" s="8"/>
      <c r="C96" s="8">
        <v>93</v>
      </c>
      <c r="D96" s="19"/>
      <c r="E96" s="409" t="str">
        <f ca="1">IFERROR(HLOOKUP(C96,Rango_Admin_DailyClas,3,FALSE),"-")</f>
        <v>-</v>
      </c>
      <c r="F96" s="448" t="str">
        <f ca="1">IFERROR(HLOOKUP(C96,Rango_Admin_DailyClas,5,FALSE),"-")</f>
        <v>-</v>
      </c>
      <c r="G96" s="22" t="str">
        <f ca="1">IFERROR(HLOOKUP(C96,Rango_Admin_DailyClas,4,FALSE),"-")</f>
        <v>-</v>
      </c>
      <c r="H96" s="429" t="str">
        <f ca="1">IFERROR(VLOOKUP(H$2,Rango_Admin_DailyPred,MATCH($F96,Rango_Admin_DailyPred_Primera,0)+1,0),"-")</f>
        <v>-</v>
      </c>
      <c r="I96" s="429" t="str">
        <f ca="1">IFERROR(VLOOKUP(I$2,Rango_Admin_DailyPred,MATCH($F96,Rango_Admin_DailyPred_Primera,0)+1,0),"-")</f>
        <v>-</v>
      </c>
      <c r="J96" s="429" t="str">
        <f ca="1">IFERROR(VLOOKUP(J$2,Rango_Admin_DailyPred,MATCH($F96,Rango_Admin_DailyPred_Primera,0)+1,0),"-")</f>
        <v>-</v>
      </c>
      <c r="K96" s="429" t="str">
        <f ca="1">IFERROR(VLOOKUP(K$2,Rango_Admin_DailyPred,MATCH($F96,Rango_Admin_DailyPred_Primera,0)+1,0),"-")</f>
        <v>-</v>
      </c>
      <c r="L96" s="429" t="str">
        <f ca="1">IFERROR(VLOOKUP(L$2,Rango_Admin_DailyPred,MATCH($F96,Rango_Admin_DailyPred_Primera,0)+1,0),"-")</f>
        <v>-</v>
      </c>
      <c r="M96" s="429" t="str">
        <f ca="1">IFERROR(VLOOKUP(M$2,Rango_Admin_DailyPred,MATCH($F96,Rango_Admin_DailyPred_Primera,0)+1,0),"-")</f>
        <v>-</v>
      </c>
      <c r="N96" s="429" t="str">
        <f ca="1">IFERROR(VLOOKUP(N$2,Rango_Admin_DailyPred,MATCH($F96,Rango_Admin_DailyPred_Primera,0)+1,0),"-")</f>
        <v>-</v>
      </c>
      <c r="O96" s="429" t="str">
        <f ca="1">IFERROR(VLOOKUP(O$2,Rango_Admin_DailyPred,MATCH($F96,Rango_Admin_DailyPred_Primera,0)+1,0),"-")</f>
        <v>-</v>
      </c>
      <c r="P96" s="429" t="str">
        <f ca="1">IFERROR(VLOOKUP(P$2,Rango_Admin_DailyPred,MATCH($F96,Rango_Admin_DailyPred_Primera,0)+1,0),"-")</f>
        <v>-</v>
      </c>
      <c r="Q96" s="429" t="str">
        <f ca="1">IFERROR(VLOOKUP(Q$2,Rango_Admin_DailyPred,MATCH($F96,Rango_Admin_DailyPred_Primera,0)+1,0),"-")</f>
        <v>-</v>
      </c>
      <c r="R96" s="429" t="str">
        <f ca="1">IFERROR(VLOOKUP(R$2,Rango_Admin_DailyPred,MATCH($F96,Rango_Admin_DailyPred_Primera,0)+1,0),"-")</f>
        <v>-</v>
      </c>
      <c r="S96" s="429" t="str">
        <f ca="1">IFERROR(VLOOKUP(S$2,Rango_Admin_DailyPred,MATCH($F96,Rango_Admin_DailyPred_Primera,0)+1,0),"-")</f>
        <v>-</v>
      </c>
      <c r="T96" s="429" t="str">
        <f ca="1">IFERROR(VLOOKUP(T$2,Rango_Admin_DailyPred,MATCH($F96,Rango_Admin_DailyPred_Primera,0)+1,0),"-")</f>
        <v>-</v>
      </c>
      <c r="U96" s="429" t="str">
        <f ca="1">IFERROR(VLOOKUP(U$2,Rango_Admin_DailyPred,MATCH($F96,Rango_Admin_DailyPred_Primera,0)+1,0),"-")</f>
        <v>-</v>
      </c>
      <c r="V96" s="429" t="str">
        <f ca="1">IFERROR(VLOOKUP(V$2,Rango_Admin_DailyPred,MATCH($F96,Rango_Admin_DailyPred_Primera,0)+1,0),"-")</f>
        <v>-</v>
      </c>
      <c r="W96" s="429" t="str">
        <f ca="1">IFERROR(VLOOKUP(W$2,Rango_Admin_DailyPred,MATCH($F96,Rango_Admin_DailyPred_Primera,0)+1,0),"-")</f>
        <v>-</v>
      </c>
      <c r="X96" s="429" t="str">
        <f ca="1">IFERROR(VLOOKUP(X$2,Rango_Admin_DailyPred,MATCH($F96,Rango_Admin_DailyPred_Primera,0)+1,0),"-")</f>
        <v>-</v>
      </c>
      <c r="Y96" s="429" t="str">
        <f ca="1">IFERROR(VLOOKUP(Y$2,Rango_Admin_DailyPred,MATCH($F96,Rango_Admin_DailyPred_Primera,0)+1,0),"-")</f>
        <v>-</v>
      </c>
      <c r="Z96" s="429" t="str">
        <f ca="1">IFERROR(VLOOKUP(Z$2,Rango_Admin_DailyPred,MATCH($F96,Rango_Admin_DailyPred_Primera,0)+1,0),"-")</f>
        <v>-</v>
      </c>
      <c r="AA96" s="429" t="str">
        <f ca="1">IFERROR(VLOOKUP(AA$2,Rango_Admin_DailyPred,MATCH($F96,Rango_Admin_DailyPred_Primera,0)+1,0),"-")</f>
        <v>-</v>
      </c>
      <c r="AB96" s="429" t="str">
        <f ca="1">IFERROR(VLOOKUP(AB$2,Rango_Admin_DailyPred,MATCH($F96,Rango_Admin_DailyPred_Primera,0)+1,0),"-")</f>
        <v>-</v>
      </c>
      <c r="AC96" s="429" t="str">
        <f ca="1">IFERROR(VLOOKUP(AC$2,Rango_Admin_DailyPred,MATCH($F96,Rango_Admin_DailyPred_Primera,0)+1,0),"-")</f>
        <v>-</v>
      </c>
      <c r="AD96" s="429" t="str">
        <f ca="1">IFERROR(VLOOKUP(AD$2,Rango_Admin_DailyPred,MATCH($F96,Rango_Admin_DailyPred_Primera,0)+1,0),"-")</f>
        <v>-</v>
      </c>
      <c r="AE96" s="429" t="str">
        <f ca="1">IFERROR(VLOOKUP(AE$2,Rango_Admin_DailyPred,MATCH($F96,Rango_Admin_DailyPred_Primera,0)+1,0),"-")</f>
        <v>-</v>
      </c>
      <c r="AF96" s="429" t="str">
        <f ca="1">IFERROR(VLOOKUP(AF$2,Rango_Admin_DailyPred,MATCH($F96,Rango_Admin_DailyPred_Primera,0)+1,0),"-")</f>
        <v>-</v>
      </c>
      <c r="AG96" s="429" t="str">
        <f ca="1">IFERROR(VLOOKUP(AG$2,Rango_Admin_DailyPred,MATCH($F96,Rango_Admin_DailyPred_Primera,0)+1,0),"-")</f>
        <v>-</v>
      </c>
      <c r="AH96" s="429" t="str">
        <f ca="1">IFERROR(VLOOKUP(AH$2,Rango_Admin_DailyPred,MATCH($F96,Rango_Admin_DailyPred_Primera,0)+1,0),"-")</f>
        <v>-</v>
      </c>
      <c r="AI96" s="429" t="str">
        <f ca="1">IFERROR(VLOOKUP(AI$2,Rango_Admin_DailyPred,MATCH($F96,Rango_Admin_DailyPred_Primera,0)+1,0),"-")</f>
        <v>-</v>
      </c>
      <c r="AJ96" s="429" t="str">
        <f ca="1">IFERROR(VLOOKUP(AJ$2,Rango_Admin_DailyPred,MATCH($F96,Rango_Admin_DailyPred_Primera,0)+1,0),"-")</f>
        <v>-</v>
      </c>
      <c r="AK96" s="429" t="str">
        <f ca="1">IFERROR(VLOOKUP(AK$2,Rango_Admin_DailyPred,MATCH($F96,Rango_Admin_DailyPred_Primera,0)+1,0),"-")</f>
        <v>-</v>
      </c>
      <c r="AL96" s="429" t="str">
        <f ca="1">IFERROR(VLOOKUP(AL$2,Rango_Admin_DailyPred,MATCH($F96,Rango_Admin_DailyPred_Primera,0)+1,0),"-")</f>
        <v>-</v>
      </c>
      <c r="AM96" s="429" t="str">
        <f ca="1">IFERROR(VLOOKUP(AM$2,Rango_Admin_DailyPred,MATCH($F96,Rango_Admin_DailyPred_Primera,0)+1,0),"-")</f>
        <v>-</v>
      </c>
      <c r="AN96" s="297"/>
    </row>
    <row r="97" spans="1:40">
      <c r="A97" s="8"/>
      <c r="B97" s="8"/>
      <c r="C97" s="8">
        <v>94</v>
      </c>
      <c r="D97" s="19"/>
      <c r="E97" s="409" t="str">
        <f ca="1">IFERROR(HLOOKUP(C97,Rango_Admin_DailyClas,3,FALSE),"-")</f>
        <v>-</v>
      </c>
      <c r="F97" s="448" t="str">
        <f ca="1">IFERROR(HLOOKUP(C97,Rango_Admin_DailyClas,5,FALSE),"-")</f>
        <v>-</v>
      </c>
      <c r="G97" s="22" t="str">
        <f ca="1">IFERROR(HLOOKUP(C97,Rango_Admin_DailyClas,4,FALSE),"-")</f>
        <v>-</v>
      </c>
      <c r="H97" s="429" t="str">
        <f ca="1">IFERROR(VLOOKUP(H$2,Rango_Admin_DailyPred,MATCH($F97,Rango_Admin_DailyPred_Primera,0)+1,0),"-")</f>
        <v>-</v>
      </c>
      <c r="I97" s="429" t="str">
        <f ca="1">IFERROR(VLOOKUP(I$2,Rango_Admin_DailyPred,MATCH($F97,Rango_Admin_DailyPred_Primera,0)+1,0),"-")</f>
        <v>-</v>
      </c>
      <c r="J97" s="429" t="str">
        <f ca="1">IFERROR(VLOOKUP(J$2,Rango_Admin_DailyPred,MATCH($F97,Rango_Admin_DailyPred_Primera,0)+1,0),"-")</f>
        <v>-</v>
      </c>
      <c r="K97" s="429" t="str">
        <f ca="1">IFERROR(VLOOKUP(K$2,Rango_Admin_DailyPred,MATCH($F97,Rango_Admin_DailyPred_Primera,0)+1,0),"-")</f>
        <v>-</v>
      </c>
      <c r="L97" s="429" t="str">
        <f ca="1">IFERROR(VLOOKUP(L$2,Rango_Admin_DailyPred,MATCH($F97,Rango_Admin_DailyPred_Primera,0)+1,0),"-")</f>
        <v>-</v>
      </c>
      <c r="M97" s="429" t="str">
        <f ca="1">IFERROR(VLOOKUP(M$2,Rango_Admin_DailyPred,MATCH($F97,Rango_Admin_DailyPred_Primera,0)+1,0),"-")</f>
        <v>-</v>
      </c>
      <c r="N97" s="429" t="str">
        <f ca="1">IFERROR(VLOOKUP(N$2,Rango_Admin_DailyPred,MATCH($F97,Rango_Admin_DailyPred_Primera,0)+1,0),"-")</f>
        <v>-</v>
      </c>
      <c r="O97" s="429" t="str">
        <f ca="1">IFERROR(VLOOKUP(O$2,Rango_Admin_DailyPred,MATCH($F97,Rango_Admin_DailyPred_Primera,0)+1,0),"-")</f>
        <v>-</v>
      </c>
      <c r="P97" s="429" t="str">
        <f ca="1">IFERROR(VLOOKUP(P$2,Rango_Admin_DailyPred,MATCH($F97,Rango_Admin_DailyPred_Primera,0)+1,0),"-")</f>
        <v>-</v>
      </c>
      <c r="Q97" s="429" t="str">
        <f ca="1">IFERROR(VLOOKUP(Q$2,Rango_Admin_DailyPred,MATCH($F97,Rango_Admin_DailyPred_Primera,0)+1,0),"-")</f>
        <v>-</v>
      </c>
      <c r="R97" s="429" t="str">
        <f ca="1">IFERROR(VLOOKUP(R$2,Rango_Admin_DailyPred,MATCH($F97,Rango_Admin_DailyPred_Primera,0)+1,0),"-")</f>
        <v>-</v>
      </c>
      <c r="S97" s="429" t="str">
        <f ca="1">IFERROR(VLOOKUP(S$2,Rango_Admin_DailyPred,MATCH($F97,Rango_Admin_DailyPred_Primera,0)+1,0),"-")</f>
        <v>-</v>
      </c>
      <c r="T97" s="429" t="str">
        <f ca="1">IFERROR(VLOOKUP(T$2,Rango_Admin_DailyPred,MATCH($F97,Rango_Admin_DailyPred_Primera,0)+1,0),"-")</f>
        <v>-</v>
      </c>
      <c r="U97" s="429" t="str">
        <f ca="1">IFERROR(VLOOKUP(U$2,Rango_Admin_DailyPred,MATCH($F97,Rango_Admin_DailyPred_Primera,0)+1,0),"-")</f>
        <v>-</v>
      </c>
      <c r="V97" s="429" t="str">
        <f ca="1">IFERROR(VLOOKUP(V$2,Rango_Admin_DailyPred,MATCH($F97,Rango_Admin_DailyPred_Primera,0)+1,0),"-")</f>
        <v>-</v>
      </c>
      <c r="W97" s="429" t="str">
        <f ca="1">IFERROR(VLOOKUP(W$2,Rango_Admin_DailyPred,MATCH($F97,Rango_Admin_DailyPred_Primera,0)+1,0),"-")</f>
        <v>-</v>
      </c>
      <c r="X97" s="429" t="str">
        <f ca="1">IFERROR(VLOOKUP(X$2,Rango_Admin_DailyPred,MATCH($F97,Rango_Admin_DailyPred_Primera,0)+1,0),"-")</f>
        <v>-</v>
      </c>
      <c r="Y97" s="429" t="str">
        <f ca="1">IFERROR(VLOOKUP(Y$2,Rango_Admin_DailyPred,MATCH($F97,Rango_Admin_DailyPred_Primera,0)+1,0),"-")</f>
        <v>-</v>
      </c>
      <c r="Z97" s="429" t="str">
        <f ca="1">IFERROR(VLOOKUP(Z$2,Rango_Admin_DailyPred,MATCH($F97,Rango_Admin_DailyPred_Primera,0)+1,0),"-")</f>
        <v>-</v>
      </c>
      <c r="AA97" s="429" t="str">
        <f ca="1">IFERROR(VLOOKUP(AA$2,Rango_Admin_DailyPred,MATCH($F97,Rango_Admin_DailyPred_Primera,0)+1,0),"-")</f>
        <v>-</v>
      </c>
      <c r="AB97" s="429" t="str">
        <f ca="1">IFERROR(VLOOKUP(AB$2,Rango_Admin_DailyPred,MATCH($F97,Rango_Admin_DailyPred_Primera,0)+1,0),"-")</f>
        <v>-</v>
      </c>
      <c r="AC97" s="429" t="str">
        <f ca="1">IFERROR(VLOOKUP(AC$2,Rango_Admin_DailyPred,MATCH($F97,Rango_Admin_DailyPred_Primera,0)+1,0),"-")</f>
        <v>-</v>
      </c>
      <c r="AD97" s="429" t="str">
        <f ca="1">IFERROR(VLOOKUP(AD$2,Rango_Admin_DailyPred,MATCH($F97,Rango_Admin_DailyPred_Primera,0)+1,0),"-")</f>
        <v>-</v>
      </c>
      <c r="AE97" s="429" t="str">
        <f ca="1">IFERROR(VLOOKUP(AE$2,Rango_Admin_DailyPred,MATCH($F97,Rango_Admin_DailyPred_Primera,0)+1,0),"-")</f>
        <v>-</v>
      </c>
      <c r="AF97" s="429" t="str">
        <f ca="1">IFERROR(VLOOKUP(AF$2,Rango_Admin_DailyPred,MATCH($F97,Rango_Admin_DailyPred_Primera,0)+1,0),"-")</f>
        <v>-</v>
      </c>
      <c r="AG97" s="429" t="str">
        <f ca="1">IFERROR(VLOOKUP(AG$2,Rango_Admin_DailyPred,MATCH($F97,Rango_Admin_DailyPred_Primera,0)+1,0),"-")</f>
        <v>-</v>
      </c>
      <c r="AH97" s="429" t="str">
        <f ca="1">IFERROR(VLOOKUP(AH$2,Rango_Admin_DailyPred,MATCH($F97,Rango_Admin_DailyPred_Primera,0)+1,0),"-")</f>
        <v>-</v>
      </c>
      <c r="AI97" s="429" t="str">
        <f ca="1">IFERROR(VLOOKUP(AI$2,Rango_Admin_DailyPred,MATCH($F97,Rango_Admin_DailyPred_Primera,0)+1,0),"-")</f>
        <v>-</v>
      </c>
      <c r="AJ97" s="429" t="str">
        <f ca="1">IFERROR(VLOOKUP(AJ$2,Rango_Admin_DailyPred,MATCH($F97,Rango_Admin_DailyPred_Primera,0)+1,0),"-")</f>
        <v>-</v>
      </c>
      <c r="AK97" s="429" t="str">
        <f ca="1">IFERROR(VLOOKUP(AK$2,Rango_Admin_DailyPred,MATCH($F97,Rango_Admin_DailyPred_Primera,0)+1,0),"-")</f>
        <v>-</v>
      </c>
      <c r="AL97" s="429" t="str">
        <f ca="1">IFERROR(VLOOKUP(AL$2,Rango_Admin_DailyPred,MATCH($F97,Rango_Admin_DailyPred_Primera,0)+1,0),"-")</f>
        <v>-</v>
      </c>
      <c r="AM97" s="429" t="str">
        <f ca="1">IFERROR(VLOOKUP(AM$2,Rango_Admin_DailyPred,MATCH($F97,Rango_Admin_DailyPred_Primera,0)+1,0),"-")</f>
        <v>-</v>
      </c>
      <c r="AN97" s="297"/>
    </row>
    <row r="98" spans="1:40">
      <c r="A98" s="8"/>
      <c r="B98" s="8"/>
      <c r="C98" s="8">
        <v>95</v>
      </c>
      <c r="D98" s="19"/>
      <c r="E98" s="409" t="str">
        <f ca="1">IFERROR(HLOOKUP(C98,Rango_Admin_DailyClas,3,FALSE),"-")</f>
        <v>-</v>
      </c>
      <c r="F98" s="448" t="str">
        <f ca="1">IFERROR(HLOOKUP(C98,Rango_Admin_DailyClas,5,FALSE),"-")</f>
        <v>-</v>
      </c>
      <c r="G98" s="22" t="str">
        <f ca="1">IFERROR(HLOOKUP(C98,Rango_Admin_DailyClas,4,FALSE),"-")</f>
        <v>-</v>
      </c>
      <c r="H98" s="429" t="str">
        <f ca="1">IFERROR(VLOOKUP(H$2,Rango_Admin_DailyPred,MATCH($F98,Rango_Admin_DailyPred_Primera,0)+1,0),"-")</f>
        <v>-</v>
      </c>
      <c r="I98" s="429" t="str">
        <f ca="1">IFERROR(VLOOKUP(I$2,Rango_Admin_DailyPred,MATCH($F98,Rango_Admin_DailyPred_Primera,0)+1,0),"-")</f>
        <v>-</v>
      </c>
      <c r="J98" s="429" t="str">
        <f ca="1">IFERROR(VLOOKUP(J$2,Rango_Admin_DailyPred,MATCH($F98,Rango_Admin_DailyPred_Primera,0)+1,0),"-")</f>
        <v>-</v>
      </c>
      <c r="K98" s="429" t="str">
        <f ca="1">IFERROR(VLOOKUP(K$2,Rango_Admin_DailyPred,MATCH($F98,Rango_Admin_DailyPred_Primera,0)+1,0),"-")</f>
        <v>-</v>
      </c>
      <c r="L98" s="429" t="str">
        <f ca="1">IFERROR(VLOOKUP(L$2,Rango_Admin_DailyPred,MATCH($F98,Rango_Admin_DailyPred_Primera,0)+1,0),"-")</f>
        <v>-</v>
      </c>
      <c r="M98" s="429" t="str">
        <f ca="1">IFERROR(VLOOKUP(M$2,Rango_Admin_DailyPred,MATCH($F98,Rango_Admin_DailyPred_Primera,0)+1,0),"-")</f>
        <v>-</v>
      </c>
      <c r="N98" s="429" t="str">
        <f ca="1">IFERROR(VLOOKUP(N$2,Rango_Admin_DailyPred,MATCH($F98,Rango_Admin_DailyPred_Primera,0)+1,0),"-")</f>
        <v>-</v>
      </c>
      <c r="O98" s="429" t="str">
        <f ca="1">IFERROR(VLOOKUP(O$2,Rango_Admin_DailyPred,MATCH($F98,Rango_Admin_DailyPred_Primera,0)+1,0),"-")</f>
        <v>-</v>
      </c>
      <c r="P98" s="429" t="str">
        <f ca="1">IFERROR(VLOOKUP(P$2,Rango_Admin_DailyPred,MATCH($F98,Rango_Admin_DailyPred_Primera,0)+1,0),"-")</f>
        <v>-</v>
      </c>
      <c r="Q98" s="429" t="str">
        <f ca="1">IFERROR(VLOOKUP(Q$2,Rango_Admin_DailyPred,MATCH($F98,Rango_Admin_DailyPred_Primera,0)+1,0),"-")</f>
        <v>-</v>
      </c>
      <c r="R98" s="429" t="str">
        <f ca="1">IFERROR(VLOOKUP(R$2,Rango_Admin_DailyPred,MATCH($F98,Rango_Admin_DailyPred_Primera,0)+1,0),"-")</f>
        <v>-</v>
      </c>
      <c r="S98" s="429" t="str">
        <f ca="1">IFERROR(VLOOKUP(S$2,Rango_Admin_DailyPred,MATCH($F98,Rango_Admin_DailyPred_Primera,0)+1,0),"-")</f>
        <v>-</v>
      </c>
      <c r="T98" s="429" t="str">
        <f ca="1">IFERROR(VLOOKUP(T$2,Rango_Admin_DailyPred,MATCH($F98,Rango_Admin_DailyPred_Primera,0)+1,0),"-")</f>
        <v>-</v>
      </c>
      <c r="U98" s="429" t="str">
        <f ca="1">IFERROR(VLOOKUP(U$2,Rango_Admin_DailyPred,MATCH($F98,Rango_Admin_DailyPred_Primera,0)+1,0),"-")</f>
        <v>-</v>
      </c>
      <c r="V98" s="429" t="str">
        <f ca="1">IFERROR(VLOOKUP(V$2,Rango_Admin_DailyPred,MATCH($F98,Rango_Admin_DailyPred_Primera,0)+1,0),"-")</f>
        <v>-</v>
      </c>
      <c r="W98" s="429" t="str">
        <f ca="1">IFERROR(VLOOKUP(W$2,Rango_Admin_DailyPred,MATCH($F98,Rango_Admin_DailyPred_Primera,0)+1,0),"-")</f>
        <v>-</v>
      </c>
      <c r="X98" s="429" t="str">
        <f ca="1">IFERROR(VLOOKUP(X$2,Rango_Admin_DailyPred,MATCH($F98,Rango_Admin_DailyPred_Primera,0)+1,0),"-")</f>
        <v>-</v>
      </c>
      <c r="Y98" s="429" t="str">
        <f ca="1">IFERROR(VLOOKUP(Y$2,Rango_Admin_DailyPred,MATCH($F98,Rango_Admin_DailyPred_Primera,0)+1,0),"-")</f>
        <v>-</v>
      </c>
      <c r="Z98" s="429" t="str">
        <f ca="1">IFERROR(VLOOKUP(Z$2,Rango_Admin_DailyPred,MATCH($F98,Rango_Admin_DailyPred_Primera,0)+1,0),"-")</f>
        <v>-</v>
      </c>
      <c r="AA98" s="429" t="str">
        <f ca="1">IFERROR(VLOOKUP(AA$2,Rango_Admin_DailyPred,MATCH($F98,Rango_Admin_DailyPred_Primera,0)+1,0),"-")</f>
        <v>-</v>
      </c>
      <c r="AB98" s="429" t="str">
        <f ca="1">IFERROR(VLOOKUP(AB$2,Rango_Admin_DailyPred,MATCH($F98,Rango_Admin_DailyPred_Primera,0)+1,0),"-")</f>
        <v>-</v>
      </c>
      <c r="AC98" s="429" t="str">
        <f ca="1">IFERROR(VLOOKUP(AC$2,Rango_Admin_DailyPred,MATCH($F98,Rango_Admin_DailyPred_Primera,0)+1,0),"-")</f>
        <v>-</v>
      </c>
      <c r="AD98" s="429" t="str">
        <f ca="1">IFERROR(VLOOKUP(AD$2,Rango_Admin_DailyPred,MATCH($F98,Rango_Admin_DailyPred_Primera,0)+1,0),"-")</f>
        <v>-</v>
      </c>
      <c r="AE98" s="429" t="str">
        <f ca="1">IFERROR(VLOOKUP(AE$2,Rango_Admin_DailyPred,MATCH($F98,Rango_Admin_DailyPred_Primera,0)+1,0),"-")</f>
        <v>-</v>
      </c>
      <c r="AF98" s="429" t="str">
        <f ca="1">IFERROR(VLOOKUP(AF$2,Rango_Admin_DailyPred,MATCH($F98,Rango_Admin_DailyPred_Primera,0)+1,0),"-")</f>
        <v>-</v>
      </c>
      <c r="AG98" s="429" t="str">
        <f ca="1">IFERROR(VLOOKUP(AG$2,Rango_Admin_DailyPred,MATCH($F98,Rango_Admin_DailyPred_Primera,0)+1,0),"-")</f>
        <v>-</v>
      </c>
      <c r="AH98" s="429" t="str">
        <f ca="1">IFERROR(VLOOKUP(AH$2,Rango_Admin_DailyPred,MATCH($F98,Rango_Admin_DailyPred_Primera,0)+1,0),"-")</f>
        <v>-</v>
      </c>
      <c r="AI98" s="429" t="str">
        <f ca="1">IFERROR(VLOOKUP(AI$2,Rango_Admin_DailyPred,MATCH($F98,Rango_Admin_DailyPred_Primera,0)+1,0),"-")</f>
        <v>-</v>
      </c>
      <c r="AJ98" s="429" t="str">
        <f ca="1">IFERROR(VLOOKUP(AJ$2,Rango_Admin_DailyPred,MATCH($F98,Rango_Admin_DailyPred_Primera,0)+1,0),"-")</f>
        <v>-</v>
      </c>
      <c r="AK98" s="429" t="str">
        <f ca="1">IFERROR(VLOOKUP(AK$2,Rango_Admin_DailyPred,MATCH($F98,Rango_Admin_DailyPred_Primera,0)+1,0),"-")</f>
        <v>-</v>
      </c>
      <c r="AL98" s="429" t="str">
        <f ca="1">IFERROR(VLOOKUP(AL$2,Rango_Admin_DailyPred,MATCH($F98,Rango_Admin_DailyPred_Primera,0)+1,0),"-")</f>
        <v>-</v>
      </c>
      <c r="AM98" s="429" t="str">
        <f ca="1">IFERROR(VLOOKUP(AM$2,Rango_Admin_DailyPred,MATCH($F98,Rango_Admin_DailyPred_Primera,0)+1,0),"-")</f>
        <v>-</v>
      </c>
      <c r="AN98" s="297"/>
    </row>
    <row r="99" spans="1:40">
      <c r="A99" s="8"/>
      <c r="B99" s="8"/>
      <c r="C99" s="8">
        <v>96</v>
      </c>
      <c r="D99" s="19"/>
      <c r="E99" s="409" t="str">
        <f ca="1">IFERROR(HLOOKUP(C99,Rango_Admin_DailyClas,3,FALSE),"-")</f>
        <v>-</v>
      </c>
      <c r="F99" s="448" t="str">
        <f ca="1">IFERROR(HLOOKUP(C99,Rango_Admin_DailyClas,5,FALSE),"-")</f>
        <v>-</v>
      </c>
      <c r="G99" s="22" t="str">
        <f ca="1">IFERROR(HLOOKUP(C99,Rango_Admin_DailyClas,4,FALSE),"-")</f>
        <v>-</v>
      </c>
      <c r="H99" s="429" t="str">
        <f ca="1">IFERROR(VLOOKUP(H$2,Rango_Admin_DailyPred,MATCH($F99,Rango_Admin_DailyPred_Primera,0)+1,0),"-")</f>
        <v>-</v>
      </c>
      <c r="I99" s="429" t="str">
        <f ca="1">IFERROR(VLOOKUP(I$2,Rango_Admin_DailyPred,MATCH($F99,Rango_Admin_DailyPred_Primera,0)+1,0),"-")</f>
        <v>-</v>
      </c>
      <c r="J99" s="429" t="str">
        <f ca="1">IFERROR(VLOOKUP(J$2,Rango_Admin_DailyPred,MATCH($F99,Rango_Admin_DailyPred_Primera,0)+1,0),"-")</f>
        <v>-</v>
      </c>
      <c r="K99" s="429" t="str">
        <f ca="1">IFERROR(VLOOKUP(K$2,Rango_Admin_DailyPred,MATCH($F99,Rango_Admin_DailyPred_Primera,0)+1,0),"-")</f>
        <v>-</v>
      </c>
      <c r="L99" s="429" t="str">
        <f ca="1">IFERROR(VLOOKUP(L$2,Rango_Admin_DailyPred,MATCH($F99,Rango_Admin_DailyPred_Primera,0)+1,0),"-")</f>
        <v>-</v>
      </c>
      <c r="M99" s="429" t="str">
        <f ca="1">IFERROR(VLOOKUP(M$2,Rango_Admin_DailyPred,MATCH($F99,Rango_Admin_DailyPred_Primera,0)+1,0),"-")</f>
        <v>-</v>
      </c>
      <c r="N99" s="429" t="str">
        <f ca="1">IFERROR(VLOOKUP(N$2,Rango_Admin_DailyPred,MATCH($F99,Rango_Admin_DailyPred_Primera,0)+1,0),"-")</f>
        <v>-</v>
      </c>
      <c r="O99" s="429" t="str">
        <f ca="1">IFERROR(VLOOKUP(O$2,Rango_Admin_DailyPred,MATCH($F99,Rango_Admin_DailyPred_Primera,0)+1,0),"-")</f>
        <v>-</v>
      </c>
      <c r="P99" s="429" t="str">
        <f ca="1">IFERROR(VLOOKUP(P$2,Rango_Admin_DailyPred,MATCH($F99,Rango_Admin_DailyPred_Primera,0)+1,0),"-")</f>
        <v>-</v>
      </c>
      <c r="Q99" s="429" t="str">
        <f ca="1">IFERROR(VLOOKUP(Q$2,Rango_Admin_DailyPred,MATCH($F99,Rango_Admin_DailyPred_Primera,0)+1,0),"-")</f>
        <v>-</v>
      </c>
      <c r="R99" s="429" t="str">
        <f ca="1">IFERROR(VLOOKUP(R$2,Rango_Admin_DailyPred,MATCH($F99,Rango_Admin_DailyPred_Primera,0)+1,0),"-")</f>
        <v>-</v>
      </c>
      <c r="S99" s="429" t="str">
        <f ca="1">IFERROR(VLOOKUP(S$2,Rango_Admin_DailyPred,MATCH($F99,Rango_Admin_DailyPred_Primera,0)+1,0),"-")</f>
        <v>-</v>
      </c>
      <c r="T99" s="429" t="str">
        <f ca="1">IFERROR(VLOOKUP(T$2,Rango_Admin_DailyPred,MATCH($F99,Rango_Admin_DailyPred_Primera,0)+1,0),"-")</f>
        <v>-</v>
      </c>
      <c r="U99" s="429" t="str">
        <f ca="1">IFERROR(VLOOKUP(U$2,Rango_Admin_DailyPred,MATCH($F99,Rango_Admin_DailyPred_Primera,0)+1,0),"-")</f>
        <v>-</v>
      </c>
      <c r="V99" s="429" t="str">
        <f ca="1">IFERROR(VLOOKUP(V$2,Rango_Admin_DailyPred,MATCH($F99,Rango_Admin_DailyPred_Primera,0)+1,0),"-")</f>
        <v>-</v>
      </c>
      <c r="W99" s="429" t="str">
        <f ca="1">IFERROR(VLOOKUP(W$2,Rango_Admin_DailyPred,MATCH($F99,Rango_Admin_DailyPred_Primera,0)+1,0),"-")</f>
        <v>-</v>
      </c>
      <c r="X99" s="429" t="str">
        <f ca="1">IFERROR(VLOOKUP(X$2,Rango_Admin_DailyPred,MATCH($F99,Rango_Admin_DailyPred_Primera,0)+1,0),"-")</f>
        <v>-</v>
      </c>
      <c r="Y99" s="429" t="str">
        <f ca="1">IFERROR(VLOOKUP(Y$2,Rango_Admin_DailyPred,MATCH($F99,Rango_Admin_DailyPred_Primera,0)+1,0),"-")</f>
        <v>-</v>
      </c>
      <c r="Z99" s="429" t="str">
        <f ca="1">IFERROR(VLOOKUP(Z$2,Rango_Admin_DailyPred,MATCH($F99,Rango_Admin_DailyPred_Primera,0)+1,0),"-")</f>
        <v>-</v>
      </c>
      <c r="AA99" s="429" t="str">
        <f ca="1">IFERROR(VLOOKUP(AA$2,Rango_Admin_DailyPred,MATCH($F99,Rango_Admin_DailyPred_Primera,0)+1,0),"-")</f>
        <v>-</v>
      </c>
      <c r="AB99" s="429" t="str">
        <f ca="1">IFERROR(VLOOKUP(AB$2,Rango_Admin_DailyPred,MATCH($F99,Rango_Admin_DailyPred_Primera,0)+1,0),"-")</f>
        <v>-</v>
      </c>
      <c r="AC99" s="429" t="str">
        <f ca="1">IFERROR(VLOOKUP(AC$2,Rango_Admin_DailyPred,MATCH($F99,Rango_Admin_DailyPred_Primera,0)+1,0),"-")</f>
        <v>-</v>
      </c>
      <c r="AD99" s="429" t="str">
        <f ca="1">IFERROR(VLOOKUP(AD$2,Rango_Admin_DailyPred,MATCH($F99,Rango_Admin_DailyPred_Primera,0)+1,0),"-")</f>
        <v>-</v>
      </c>
      <c r="AE99" s="429" t="str">
        <f ca="1">IFERROR(VLOOKUP(AE$2,Rango_Admin_DailyPred,MATCH($F99,Rango_Admin_DailyPred_Primera,0)+1,0),"-")</f>
        <v>-</v>
      </c>
      <c r="AF99" s="429" t="str">
        <f ca="1">IFERROR(VLOOKUP(AF$2,Rango_Admin_DailyPred,MATCH($F99,Rango_Admin_DailyPred_Primera,0)+1,0),"-")</f>
        <v>-</v>
      </c>
      <c r="AG99" s="429" t="str">
        <f ca="1">IFERROR(VLOOKUP(AG$2,Rango_Admin_DailyPred,MATCH($F99,Rango_Admin_DailyPred_Primera,0)+1,0),"-")</f>
        <v>-</v>
      </c>
      <c r="AH99" s="429" t="str">
        <f ca="1">IFERROR(VLOOKUP(AH$2,Rango_Admin_DailyPred,MATCH($F99,Rango_Admin_DailyPred_Primera,0)+1,0),"-")</f>
        <v>-</v>
      </c>
      <c r="AI99" s="429" t="str">
        <f ca="1">IFERROR(VLOOKUP(AI$2,Rango_Admin_DailyPred,MATCH($F99,Rango_Admin_DailyPred_Primera,0)+1,0),"-")</f>
        <v>-</v>
      </c>
      <c r="AJ99" s="429" t="str">
        <f ca="1">IFERROR(VLOOKUP(AJ$2,Rango_Admin_DailyPred,MATCH($F99,Rango_Admin_DailyPred_Primera,0)+1,0),"-")</f>
        <v>-</v>
      </c>
      <c r="AK99" s="429" t="str">
        <f ca="1">IFERROR(VLOOKUP(AK$2,Rango_Admin_DailyPred,MATCH($F99,Rango_Admin_DailyPred_Primera,0)+1,0),"-")</f>
        <v>-</v>
      </c>
      <c r="AL99" s="429" t="str">
        <f ca="1">IFERROR(VLOOKUP(AL$2,Rango_Admin_DailyPred,MATCH($F99,Rango_Admin_DailyPred_Primera,0)+1,0),"-")</f>
        <v>-</v>
      </c>
      <c r="AM99" s="429" t="str">
        <f ca="1">IFERROR(VLOOKUP(AM$2,Rango_Admin_DailyPred,MATCH($F99,Rango_Admin_DailyPred_Primera,0)+1,0),"-")</f>
        <v>-</v>
      </c>
      <c r="AN99" s="297"/>
    </row>
    <row r="100" spans="1:40">
      <c r="A100" s="8"/>
      <c r="B100" s="8"/>
      <c r="C100" s="8">
        <v>97</v>
      </c>
      <c r="D100" s="19"/>
      <c r="E100" s="409" t="str">
        <f ca="1">IFERROR(HLOOKUP(C100,Rango_Admin_DailyClas,3,FALSE),"-")</f>
        <v>-</v>
      </c>
      <c r="F100" s="448" t="str">
        <f ca="1">IFERROR(HLOOKUP(C100,Rango_Admin_DailyClas,5,FALSE),"-")</f>
        <v>-</v>
      </c>
      <c r="G100" s="22" t="str">
        <f ca="1">IFERROR(HLOOKUP(C100,Rango_Admin_DailyClas,4,FALSE),"-")</f>
        <v>-</v>
      </c>
      <c r="H100" s="429" t="str">
        <f ca="1">IFERROR(VLOOKUP(H$2,Rango_Admin_DailyPred,MATCH($F100,Rango_Admin_DailyPred_Primera,0)+1,0),"-")</f>
        <v>-</v>
      </c>
      <c r="I100" s="429" t="str">
        <f ca="1">IFERROR(VLOOKUP(I$2,Rango_Admin_DailyPred,MATCH($F100,Rango_Admin_DailyPred_Primera,0)+1,0),"-")</f>
        <v>-</v>
      </c>
      <c r="J100" s="429" t="str">
        <f ca="1">IFERROR(VLOOKUP(J$2,Rango_Admin_DailyPred,MATCH($F100,Rango_Admin_DailyPred_Primera,0)+1,0),"-")</f>
        <v>-</v>
      </c>
      <c r="K100" s="429" t="str">
        <f ca="1">IFERROR(VLOOKUP(K$2,Rango_Admin_DailyPred,MATCH($F100,Rango_Admin_DailyPred_Primera,0)+1,0),"-")</f>
        <v>-</v>
      </c>
      <c r="L100" s="429" t="str">
        <f ca="1">IFERROR(VLOOKUP(L$2,Rango_Admin_DailyPred,MATCH($F100,Rango_Admin_DailyPred_Primera,0)+1,0),"-")</f>
        <v>-</v>
      </c>
      <c r="M100" s="429" t="str">
        <f ca="1">IFERROR(VLOOKUP(M$2,Rango_Admin_DailyPred,MATCH($F100,Rango_Admin_DailyPred_Primera,0)+1,0),"-")</f>
        <v>-</v>
      </c>
      <c r="N100" s="429" t="str">
        <f ca="1">IFERROR(VLOOKUP(N$2,Rango_Admin_DailyPred,MATCH($F100,Rango_Admin_DailyPred_Primera,0)+1,0),"-")</f>
        <v>-</v>
      </c>
      <c r="O100" s="429" t="str">
        <f ca="1">IFERROR(VLOOKUP(O$2,Rango_Admin_DailyPred,MATCH($F100,Rango_Admin_DailyPred_Primera,0)+1,0),"-")</f>
        <v>-</v>
      </c>
      <c r="P100" s="429" t="str">
        <f ca="1">IFERROR(VLOOKUP(P$2,Rango_Admin_DailyPred,MATCH($F100,Rango_Admin_DailyPred_Primera,0)+1,0),"-")</f>
        <v>-</v>
      </c>
      <c r="Q100" s="429" t="str">
        <f ca="1">IFERROR(VLOOKUP(Q$2,Rango_Admin_DailyPred,MATCH($F100,Rango_Admin_DailyPred_Primera,0)+1,0),"-")</f>
        <v>-</v>
      </c>
      <c r="R100" s="429" t="str">
        <f ca="1">IFERROR(VLOOKUP(R$2,Rango_Admin_DailyPred,MATCH($F100,Rango_Admin_DailyPred_Primera,0)+1,0),"-")</f>
        <v>-</v>
      </c>
      <c r="S100" s="429" t="str">
        <f ca="1">IFERROR(VLOOKUP(S$2,Rango_Admin_DailyPred,MATCH($F100,Rango_Admin_DailyPred_Primera,0)+1,0),"-")</f>
        <v>-</v>
      </c>
      <c r="T100" s="429" t="str">
        <f ca="1">IFERROR(VLOOKUP(T$2,Rango_Admin_DailyPred,MATCH($F100,Rango_Admin_DailyPred_Primera,0)+1,0),"-")</f>
        <v>-</v>
      </c>
      <c r="U100" s="429" t="str">
        <f ca="1">IFERROR(VLOOKUP(U$2,Rango_Admin_DailyPred,MATCH($F100,Rango_Admin_DailyPred_Primera,0)+1,0),"-")</f>
        <v>-</v>
      </c>
      <c r="V100" s="429" t="str">
        <f ca="1">IFERROR(VLOOKUP(V$2,Rango_Admin_DailyPred,MATCH($F100,Rango_Admin_DailyPred_Primera,0)+1,0),"-")</f>
        <v>-</v>
      </c>
      <c r="W100" s="429" t="str">
        <f ca="1">IFERROR(VLOOKUP(W$2,Rango_Admin_DailyPred,MATCH($F100,Rango_Admin_DailyPred_Primera,0)+1,0),"-")</f>
        <v>-</v>
      </c>
      <c r="X100" s="429" t="str">
        <f ca="1">IFERROR(VLOOKUP(X$2,Rango_Admin_DailyPred,MATCH($F100,Rango_Admin_DailyPred_Primera,0)+1,0),"-")</f>
        <v>-</v>
      </c>
      <c r="Y100" s="429" t="str">
        <f ca="1">IFERROR(VLOOKUP(Y$2,Rango_Admin_DailyPred,MATCH($F100,Rango_Admin_DailyPred_Primera,0)+1,0),"-")</f>
        <v>-</v>
      </c>
      <c r="Z100" s="429" t="str">
        <f ca="1">IFERROR(VLOOKUP(Z$2,Rango_Admin_DailyPred,MATCH($F100,Rango_Admin_DailyPred_Primera,0)+1,0),"-")</f>
        <v>-</v>
      </c>
      <c r="AA100" s="429" t="str">
        <f ca="1">IFERROR(VLOOKUP(AA$2,Rango_Admin_DailyPred,MATCH($F100,Rango_Admin_DailyPred_Primera,0)+1,0),"-")</f>
        <v>-</v>
      </c>
      <c r="AB100" s="429" t="str">
        <f ca="1">IFERROR(VLOOKUP(AB$2,Rango_Admin_DailyPred,MATCH($F100,Rango_Admin_DailyPred_Primera,0)+1,0),"-")</f>
        <v>-</v>
      </c>
      <c r="AC100" s="429" t="str">
        <f ca="1">IFERROR(VLOOKUP(AC$2,Rango_Admin_DailyPred,MATCH($F100,Rango_Admin_DailyPred_Primera,0)+1,0),"-")</f>
        <v>-</v>
      </c>
      <c r="AD100" s="429" t="str">
        <f ca="1">IFERROR(VLOOKUP(AD$2,Rango_Admin_DailyPred,MATCH($F100,Rango_Admin_DailyPred_Primera,0)+1,0),"-")</f>
        <v>-</v>
      </c>
      <c r="AE100" s="429" t="str">
        <f ca="1">IFERROR(VLOOKUP(AE$2,Rango_Admin_DailyPred,MATCH($F100,Rango_Admin_DailyPred_Primera,0)+1,0),"-")</f>
        <v>-</v>
      </c>
      <c r="AF100" s="429" t="str">
        <f ca="1">IFERROR(VLOOKUP(AF$2,Rango_Admin_DailyPred,MATCH($F100,Rango_Admin_DailyPred_Primera,0)+1,0),"-")</f>
        <v>-</v>
      </c>
      <c r="AG100" s="429" t="str">
        <f ca="1">IFERROR(VLOOKUP(AG$2,Rango_Admin_DailyPred,MATCH($F100,Rango_Admin_DailyPred_Primera,0)+1,0),"-")</f>
        <v>-</v>
      </c>
      <c r="AH100" s="429" t="str">
        <f ca="1">IFERROR(VLOOKUP(AH$2,Rango_Admin_DailyPred,MATCH($F100,Rango_Admin_DailyPred_Primera,0)+1,0),"-")</f>
        <v>-</v>
      </c>
      <c r="AI100" s="429" t="str">
        <f ca="1">IFERROR(VLOOKUP(AI$2,Rango_Admin_DailyPred,MATCH($F100,Rango_Admin_DailyPred_Primera,0)+1,0),"-")</f>
        <v>-</v>
      </c>
      <c r="AJ100" s="429" t="str">
        <f ca="1">IFERROR(VLOOKUP(AJ$2,Rango_Admin_DailyPred,MATCH($F100,Rango_Admin_DailyPred_Primera,0)+1,0),"-")</f>
        <v>-</v>
      </c>
      <c r="AK100" s="429" t="str">
        <f ca="1">IFERROR(VLOOKUP(AK$2,Rango_Admin_DailyPred,MATCH($F100,Rango_Admin_DailyPred_Primera,0)+1,0),"-")</f>
        <v>-</v>
      </c>
      <c r="AL100" s="429" t="str">
        <f ca="1">IFERROR(VLOOKUP(AL$2,Rango_Admin_DailyPred,MATCH($F100,Rango_Admin_DailyPred_Primera,0)+1,0),"-")</f>
        <v>-</v>
      </c>
      <c r="AM100" s="429" t="str">
        <f ca="1">IFERROR(VLOOKUP(AM$2,Rango_Admin_DailyPred,MATCH($F100,Rango_Admin_DailyPred_Primera,0)+1,0),"-")</f>
        <v>-</v>
      </c>
      <c r="AN100" s="297"/>
    </row>
    <row r="101" spans="1:40">
      <c r="A101" s="8"/>
      <c r="B101" s="8"/>
      <c r="C101" s="8">
        <v>98</v>
      </c>
      <c r="D101" s="19"/>
      <c r="E101" s="409" t="str">
        <f ca="1">IFERROR(HLOOKUP(C101,Rango_Admin_DailyClas,3,FALSE),"-")</f>
        <v>-</v>
      </c>
      <c r="F101" s="448" t="str">
        <f ca="1">IFERROR(HLOOKUP(C101,Rango_Admin_DailyClas,5,FALSE),"-")</f>
        <v>-</v>
      </c>
      <c r="G101" s="22" t="str">
        <f ca="1">IFERROR(HLOOKUP(C101,Rango_Admin_DailyClas,4,FALSE),"-")</f>
        <v>-</v>
      </c>
      <c r="H101" s="429" t="str">
        <f ca="1">IFERROR(VLOOKUP(H$2,Rango_Admin_DailyPred,MATCH($F101,Rango_Admin_DailyPred_Primera,0)+1,0),"-")</f>
        <v>-</v>
      </c>
      <c r="I101" s="429" t="str">
        <f ca="1">IFERROR(VLOOKUP(I$2,Rango_Admin_DailyPred,MATCH($F101,Rango_Admin_DailyPred_Primera,0)+1,0),"-")</f>
        <v>-</v>
      </c>
      <c r="J101" s="429" t="str">
        <f ca="1">IFERROR(VLOOKUP(J$2,Rango_Admin_DailyPred,MATCH($F101,Rango_Admin_DailyPred_Primera,0)+1,0),"-")</f>
        <v>-</v>
      </c>
      <c r="K101" s="429" t="str">
        <f ca="1">IFERROR(VLOOKUP(K$2,Rango_Admin_DailyPred,MATCH($F101,Rango_Admin_DailyPred_Primera,0)+1,0),"-")</f>
        <v>-</v>
      </c>
      <c r="L101" s="429" t="str">
        <f ca="1">IFERROR(VLOOKUP(L$2,Rango_Admin_DailyPred,MATCH($F101,Rango_Admin_DailyPred_Primera,0)+1,0),"-")</f>
        <v>-</v>
      </c>
      <c r="M101" s="429" t="str">
        <f ca="1">IFERROR(VLOOKUP(M$2,Rango_Admin_DailyPred,MATCH($F101,Rango_Admin_DailyPred_Primera,0)+1,0),"-")</f>
        <v>-</v>
      </c>
      <c r="N101" s="429" t="str">
        <f ca="1">IFERROR(VLOOKUP(N$2,Rango_Admin_DailyPred,MATCH($F101,Rango_Admin_DailyPred_Primera,0)+1,0),"-")</f>
        <v>-</v>
      </c>
      <c r="O101" s="429" t="str">
        <f ca="1">IFERROR(VLOOKUP(O$2,Rango_Admin_DailyPred,MATCH($F101,Rango_Admin_DailyPred_Primera,0)+1,0),"-")</f>
        <v>-</v>
      </c>
      <c r="P101" s="429" t="str">
        <f ca="1">IFERROR(VLOOKUP(P$2,Rango_Admin_DailyPred,MATCH($F101,Rango_Admin_DailyPred_Primera,0)+1,0),"-")</f>
        <v>-</v>
      </c>
      <c r="Q101" s="429" t="str">
        <f ca="1">IFERROR(VLOOKUP(Q$2,Rango_Admin_DailyPred,MATCH($F101,Rango_Admin_DailyPred_Primera,0)+1,0),"-")</f>
        <v>-</v>
      </c>
      <c r="R101" s="429" t="str">
        <f ca="1">IFERROR(VLOOKUP(R$2,Rango_Admin_DailyPred,MATCH($F101,Rango_Admin_DailyPred_Primera,0)+1,0),"-")</f>
        <v>-</v>
      </c>
      <c r="S101" s="429" t="str">
        <f ca="1">IFERROR(VLOOKUP(S$2,Rango_Admin_DailyPred,MATCH($F101,Rango_Admin_DailyPred_Primera,0)+1,0),"-")</f>
        <v>-</v>
      </c>
      <c r="T101" s="429" t="str">
        <f ca="1">IFERROR(VLOOKUP(T$2,Rango_Admin_DailyPred,MATCH($F101,Rango_Admin_DailyPred_Primera,0)+1,0),"-")</f>
        <v>-</v>
      </c>
      <c r="U101" s="429" t="str">
        <f ca="1">IFERROR(VLOOKUP(U$2,Rango_Admin_DailyPred,MATCH($F101,Rango_Admin_DailyPred_Primera,0)+1,0),"-")</f>
        <v>-</v>
      </c>
      <c r="V101" s="429" t="str">
        <f ca="1">IFERROR(VLOOKUP(V$2,Rango_Admin_DailyPred,MATCH($F101,Rango_Admin_DailyPred_Primera,0)+1,0),"-")</f>
        <v>-</v>
      </c>
      <c r="W101" s="429" t="str">
        <f ca="1">IFERROR(VLOOKUP(W$2,Rango_Admin_DailyPred,MATCH($F101,Rango_Admin_DailyPred_Primera,0)+1,0),"-")</f>
        <v>-</v>
      </c>
      <c r="X101" s="429" t="str">
        <f ca="1">IFERROR(VLOOKUP(X$2,Rango_Admin_DailyPred,MATCH($F101,Rango_Admin_DailyPred_Primera,0)+1,0),"-")</f>
        <v>-</v>
      </c>
      <c r="Y101" s="429" t="str">
        <f ca="1">IFERROR(VLOOKUP(Y$2,Rango_Admin_DailyPred,MATCH($F101,Rango_Admin_DailyPred_Primera,0)+1,0),"-")</f>
        <v>-</v>
      </c>
      <c r="Z101" s="429" t="str">
        <f ca="1">IFERROR(VLOOKUP(Z$2,Rango_Admin_DailyPred,MATCH($F101,Rango_Admin_DailyPred_Primera,0)+1,0),"-")</f>
        <v>-</v>
      </c>
      <c r="AA101" s="429" t="str">
        <f ca="1">IFERROR(VLOOKUP(AA$2,Rango_Admin_DailyPred,MATCH($F101,Rango_Admin_DailyPred_Primera,0)+1,0),"-")</f>
        <v>-</v>
      </c>
      <c r="AB101" s="429" t="str">
        <f ca="1">IFERROR(VLOOKUP(AB$2,Rango_Admin_DailyPred,MATCH($F101,Rango_Admin_DailyPred_Primera,0)+1,0),"-")</f>
        <v>-</v>
      </c>
      <c r="AC101" s="429" t="str">
        <f ca="1">IFERROR(VLOOKUP(AC$2,Rango_Admin_DailyPred,MATCH($F101,Rango_Admin_DailyPred_Primera,0)+1,0),"-")</f>
        <v>-</v>
      </c>
      <c r="AD101" s="429" t="str">
        <f ca="1">IFERROR(VLOOKUP(AD$2,Rango_Admin_DailyPred,MATCH($F101,Rango_Admin_DailyPred_Primera,0)+1,0),"-")</f>
        <v>-</v>
      </c>
      <c r="AE101" s="429" t="str">
        <f ca="1">IFERROR(VLOOKUP(AE$2,Rango_Admin_DailyPred,MATCH($F101,Rango_Admin_DailyPred_Primera,0)+1,0),"-")</f>
        <v>-</v>
      </c>
      <c r="AF101" s="429" t="str">
        <f ca="1">IFERROR(VLOOKUP(AF$2,Rango_Admin_DailyPred,MATCH($F101,Rango_Admin_DailyPred_Primera,0)+1,0),"-")</f>
        <v>-</v>
      </c>
      <c r="AG101" s="429" t="str">
        <f ca="1">IFERROR(VLOOKUP(AG$2,Rango_Admin_DailyPred,MATCH($F101,Rango_Admin_DailyPred_Primera,0)+1,0),"-")</f>
        <v>-</v>
      </c>
      <c r="AH101" s="429" t="str">
        <f ca="1">IFERROR(VLOOKUP(AH$2,Rango_Admin_DailyPred,MATCH($F101,Rango_Admin_DailyPred_Primera,0)+1,0),"-")</f>
        <v>-</v>
      </c>
      <c r="AI101" s="429" t="str">
        <f ca="1">IFERROR(VLOOKUP(AI$2,Rango_Admin_DailyPred,MATCH($F101,Rango_Admin_DailyPred_Primera,0)+1,0),"-")</f>
        <v>-</v>
      </c>
      <c r="AJ101" s="429" t="str">
        <f ca="1">IFERROR(VLOOKUP(AJ$2,Rango_Admin_DailyPred,MATCH($F101,Rango_Admin_DailyPred_Primera,0)+1,0),"-")</f>
        <v>-</v>
      </c>
      <c r="AK101" s="429" t="str">
        <f ca="1">IFERROR(VLOOKUP(AK$2,Rango_Admin_DailyPred,MATCH($F101,Rango_Admin_DailyPred_Primera,0)+1,0),"-")</f>
        <v>-</v>
      </c>
      <c r="AL101" s="429" t="str">
        <f ca="1">IFERROR(VLOOKUP(AL$2,Rango_Admin_DailyPred,MATCH($F101,Rango_Admin_DailyPred_Primera,0)+1,0),"-")</f>
        <v>-</v>
      </c>
      <c r="AM101" s="429" t="str">
        <f ca="1">IFERROR(VLOOKUP(AM$2,Rango_Admin_DailyPred,MATCH($F101,Rango_Admin_DailyPred_Primera,0)+1,0),"-")</f>
        <v>-</v>
      </c>
      <c r="AN101" s="297"/>
    </row>
    <row r="102" spans="1:40">
      <c r="A102" s="8"/>
      <c r="B102" s="8"/>
      <c r="C102" s="8">
        <v>99</v>
      </c>
      <c r="D102" s="19"/>
      <c r="E102" s="409" t="str">
        <f ca="1">IFERROR(HLOOKUP(C102,Rango_Admin_DailyClas,3,FALSE),"-")</f>
        <v>-</v>
      </c>
      <c r="F102" s="448" t="str">
        <f ca="1">IFERROR(HLOOKUP(C102,Rango_Admin_DailyClas,5,FALSE),"-")</f>
        <v>-</v>
      </c>
      <c r="G102" s="22" t="str">
        <f ca="1">IFERROR(HLOOKUP(C102,Rango_Admin_DailyClas,4,FALSE),"-")</f>
        <v>-</v>
      </c>
      <c r="H102" s="429" t="str">
        <f ca="1">IFERROR(VLOOKUP(H$2,Rango_Admin_DailyPred,MATCH($F102,Rango_Admin_DailyPred_Primera,0)+1,0),"-")</f>
        <v>-</v>
      </c>
      <c r="I102" s="429" t="str">
        <f ca="1">IFERROR(VLOOKUP(I$2,Rango_Admin_DailyPred,MATCH($F102,Rango_Admin_DailyPred_Primera,0)+1,0),"-")</f>
        <v>-</v>
      </c>
      <c r="J102" s="429" t="str">
        <f ca="1">IFERROR(VLOOKUP(J$2,Rango_Admin_DailyPred,MATCH($F102,Rango_Admin_DailyPred_Primera,0)+1,0),"-")</f>
        <v>-</v>
      </c>
      <c r="K102" s="429" t="str">
        <f ca="1">IFERROR(VLOOKUP(K$2,Rango_Admin_DailyPred,MATCH($F102,Rango_Admin_DailyPred_Primera,0)+1,0),"-")</f>
        <v>-</v>
      </c>
      <c r="L102" s="429" t="str">
        <f ca="1">IFERROR(VLOOKUP(L$2,Rango_Admin_DailyPred,MATCH($F102,Rango_Admin_DailyPred_Primera,0)+1,0),"-")</f>
        <v>-</v>
      </c>
      <c r="M102" s="429" t="str">
        <f ca="1">IFERROR(VLOOKUP(M$2,Rango_Admin_DailyPred,MATCH($F102,Rango_Admin_DailyPred_Primera,0)+1,0),"-")</f>
        <v>-</v>
      </c>
      <c r="N102" s="429" t="str">
        <f ca="1">IFERROR(VLOOKUP(N$2,Rango_Admin_DailyPred,MATCH($F102,Rango_Admin_DailyPred_Primera,0)+1,0),"-")</f>
        <v>-</v>
      </c>
      <c r="O102" s="429" t="str">
        <f ca="1">IFERROR(VLOOKUP(O$2,Rango_Admin_DailyPred,MATCH($F102,Rango_Admin_DailyPred_Primera,0)+1,0),"-")</f>
        <v>-</v>
      </c>
      <c r="P102" s="429" t="str">
        <f ca="1">IFERROR(VLOOKUP(P$2,Rango_Admin_DailyPred,MATCH($F102,Rango_Admin_DailyPred_Primera,0)+1,0),"-")</f>
        <v>-</v>
      </c>
      <c r="Q102" s="429" t="str">
        <f ca="1">IFERROR(VLOOKUP(Q$2,Rango_Admin_DailyPred,MATCH($F102,Rango_Admin_DailyPred_Primera,0)+1,0),"-")</f>
        <v>-</v>
      </c>
      <c r="R102" s="429" t="str">
        <f ca="1">IFERROR(VLOOKUP(R$2,Rango_Admin_DailyPred,MATCH($F102,Rango_Admin_DailyPred_Primera,0)+1,0),"-")</f>
        <v>-</v>
      </c>
      <c r="S102" s="429" t="str">
        <f ca="1">IFERROR(VLOOKUP(S$2,Rango_Admin_DailyPred,MATCH($F102,Rango_Admin_DailyPred_Primera,0)+1,0),"-")</f>
        <v>-</v>
      </c>
      <c r="T102" s="429" t="str">
        <f ca="1">IFERROR(VLOOKUP(T$2,Rango_Admin_DailyPred,MATCH($F102,Rango_Admin_DailyPred_Primera,0)+1,0),"-")</f>
        <v>-</v>
      </c>
      <c r="U102" s="429" t="str">
        <f ca="1">IFERROR(VLOOKUP(U$2,Rango_Admin_DailyPred,MATCH($F102,Rango_Admin_DailyPred_Primera,0)+1,0),"-")</f>
        <v>-</v>
      </c>
      <c r="V102" s="429" t="str">
        <f ca="1">IFERROR(VLOOKUP(V$2,Rango_Admin_DailyPred,MATCH($F102,Rango_Admin_DailyPred_Primera,0)+1,0),"-")</f>
        <v>-</v>
      </c>
      <c r="W102" s="429" t="str">
        <f ca="1">IFERROR(VLOOKUP(W$2,Rango_Admin_DailyPred,MATCH($F102,Rango_Admin_DailyPred_Primera,0)+1,0),"-")</f>
        <v>-</v>
      </c>
      <c r="X102" s="429" t="str">
        <f ca="1">IFERROR(VLOOKUP(X$2,Rango_Admin_DailyPred,MATCH($F102,Rango_Admin_DailyPred_Primera,0)+1,0),"-")</f>
        <v>-</v>
      </c>
      <c r="Y102" s="429" t="str">
        <f ca="1">IFERROR(VLOOKUP(Y$2,Rango_Admin_DailyPred,MATCH($F102,Rango_Admin_DailyPred_Primera,0)+1,0),"-")</f>
        <v>-</v>
      </c>
      <c r="Z102" s="429" t="str">
        <f ca="1">IFERROR(VLOOKUP(Z$2,Rango_Admin_DailyPred,MATCH($F102,Rango_Admin_DailyPred_Primera,0)+1,0),"-")</f>
        <v>-</v>
      </c>
      <c r="AA102" s="429" t="str">
        <f ca="1">IFERROR(VLOOKUP(AA$2,Rango_Admin_DailyPred,MATCH($F102,Rango_Admin_DailyPred_Primera,0)+1,0),"-")</f>
        <v>-</v>
      </c>
      <c r="AB102" s="429" t="str">
        <f ca="1">IFERROR(VLOOKUP(AB$2,Rango_Admin_DailyPred,MATCH($F102,Rango_Admin_DailyPred_Primera,0)+1,0),"-")</f>
        <v>-</v>
      </c>
      <c r="AC102" s="429" t="str">
        <f ca="1">IFERROR(VLOOKUP(AC$2,Rango_Admin_DailyPred,MATCH($F102,Rango_Admin_DailyPred_Primera,0)+1,0),"-")</f>
        <v>-</v>
      </c>
      <c r="AD102" s="429" t="str">
        <f ca="1">IFERROR(VLOOKUP(AD$2,Rango_Admin_DailyPred,MATCH($F102,Rango_Admin_DailyPred_Primera,0)+1,0),"-")</f>
        <v>-</v>
      </c>
      <c r="AE102" s="429" t="str">
        <f ca="1">IFERROR(VLOOKUP(AE$2,Rango_Admin_DailyPred,MATCH($F102,Rango_Admin_DailyPred_Primera,0)+1,0),"-")</f>
        <v>-</v>
      </c>
      <c r="AF102" s="429" t="str">
        <f ca="1">IFERROR(VLOOKUP(AF$2,Rango_Admin_DailyPred,MATCH($F102,Rango_Admin_DailyPred_Primera,0)+1,0),"-")</f>
        <v>-</v>
      </c>
      <c r="AG102" s="429" t="str">
        <f ca="1">IFERROR(VLOOKUP(AG$2,Rango_Admin_DailyPred,MATCH($F102,Rango_Admin_DailyPred_Primera,0)+1,0),"-")</f>
        <v>-</v>
      </c>
      <c r="AH102" s="429" t="str">
        <f ca="1">IFERROR(VLOOKUP(AH$2,Rango_Admin_DailyPred,MATCH($F102,Rango_Admin_DailyPred_Primera,0)+1,0),"-")</f>
        <v>-</v>
      </c>
      <c r="AI102" s="429" t="str">
        <f ca="1">IFERROR(VLOOKUP(AI$2,Rango_Admin_DailyPred,MATCH($F102,Rango_Admin_DailyPred_Primera,0)+1,0),"-")</f>
        <v>-</v>
      </c>
      <c r="AJ102" s="429" t="str">
        <f ca="1">IFERROR(VLOOKUP(AJ$2,Rango_Admin_DailyPred,MATCH($F102,Rango_Admin_DailyPred_Primera,0)+1,0),"-")</f>
        <v>-</v>
      </c>
      <c r="AK102" s="429" t="str">
        <f ca="1">IFERROR(VLOOKUP(AK$2,Rango_Admin_DailyPred,MATCH($F102,Rango_Admin_DailyPred_Primera,0)+1,0),"-")</f>
        <v>-</v>
      </c>
      <c r="AL102" s="429" t="str">
        <f ca="1">IFERROR(VLOOKUP(AL$2,Rango_Admin_DailyPred,MATCH($F102,Rango_Admin_DailyPred_Primera,0)+1,0),"-")</f>
        <v>-</v>
      </c>
      <c r="AM102" s="429" t="str">
        <f ca="1">IFERROR(VLOOKUP(AM$2,Rango_Admin_DailyPred,MATCH($F102,Rango_Admin_DailyPred_Primera,0)+1,0),"-")</f>
        <v>-</v>
      </c>
      <c r="AN102" s="297"/>
    </row>
    <row r="103" spans="1:40">
      <c r="A103" s="8"/>
      <c r="B103" s="8"/>
      <c r="C103" s="8">
        <v>100</v>
      </c>
      <c r="D103" s="19"/>
      <c r="E103" s="409" t="str">
        <f ca="1">IFERROR(HLOOKUP(C103,Rango_Admin_DailyClas,3,FALSE),"-")</f>
        <v>-</v>
      </c>
      <c r="F103" s="448" t="str">
        <f ca="1">IFERROR(HLOOKUP(C103,Rango_Admin_DailyClas,5,FALSE),"-")</f>
        <v>-</v>
      </c>
      <c r="G103" s="22" t="str">
        <f ca="1">IFERROR(HLOOKUP(C103,Rango_Admin_DailyClas,4,FALSE),"-")</f>
        <v>-</v>
      </c>
      <c r="H103" s="429" t="str">
        <f ca="1">IFERROR(VLOOKUP(H$2,Rango_Admin_DailyPred,MATCH($F103,Rango_Admin_DailyPred_Primera,0)+1,0),"-")</f>
        <v>-</v>
      </c>
      <c r="I103" s="429" t="str">
        <f ca="1">IFERROR(VLOOKUP(I$2,Rango_Admin_DailyPred,MATCH($F103,Rango_Admin_DailyPred_Primera,0)+1,0),"-")</f>
        <v>-</v>
      </c>
      <c r="J103" s="429" t="str">
        <f ca="1">IFERROR(VLOOKUP(J$2,Rango_Admin_DailyPred,MATCH($F103,Rango_Admin_DailyPred_Primera,0)+1,0),"-")</f>
        <v>-</v>
      </c>
      <c r="K103" s="429" t="str">
        <f ca="1">IFERROR(VLOOKUP(K$2,Rango_Admin_DailyPred,MATCH($F103,Rango_Admin_DailyPred_Primera,0)+1,0),"-")</f>
        <v>-</v>
      </c>
      <c r="L103" s="429" t="str">
        <f ca="1">IFERROR(VLOOKUP(L$2,Rango_Admin_DailyPred,MATCH($F103,Rango_Admin_DailyPred_Primera,0)+1,0),"-")</f>
        <v>-</v>
      </c>
      <c r="M103" s="429" t="str">
        <f ca="1">IFERROR(VLOOKUP(M$2,Rango_Admin_DailyPred,MATCH($F103,Rango_Admin_DailyPred_Primera,0)+1,0),"-")</f>
        <v>-</v>
      </c>
      <c r="N103" s="429" t="str">
        <f ca="1">IFERROR(VLOOKUP(N$2,Rango_Admin_DailyPred,MATCH($F103,Rango_Admin_DailyPred_Primera,0)+1,0),"-")</f>
        <v>-</v>
      </c>
      <c r="O103" s="429" t="str">
        <f ca="1">IFERROR(VLOOKUP(O$2,Rango_Admin_DailyPred,MATCH($F103,Rango_Admin_DailyPred_Primera,0)+1,0),"-")</f>
        <v>-</v>
      </c>
      <c r="P103" s="429" t="str">
        <f ca="1">IFERROR(VLOOKUP(P$2,Rango_Admin_DailyPred,MATCH($F103,Rango_Admin_DailyPred_Primera,0)+1,0),"-")</f>
        <v>-</v>
      </c>
      <c r="Q103" s="429" t="str">
        <f ca="1">IFERROR(VLOOKUP(Q$2,Rango_Admin_DailyPred,MATCH($F103,Rango_Admin_DailyPred_Primera,0)+1,0),"-")</f>
        <v>-</v>
      </c>
      <c r="R103" s="429" t="str">
        <f ca="1">IFERROR(VLOOKUP(R$2,Rango_Admin_DailyPred,MATCH($F103,Rango_Admin_DailyPred_Primera,0)+1,0),"-")</f>
        <v>-</v>
      </c>
      <c r="S103" s="429" t="str">
        <f ca="1">IFERROR(VLOOKUP(S$2,Rango_Admin_DailyPred,MATCH($F103,Rango_Admin_DailyPred_Primera,0)+1,0),"-")</f>
        <v>-</v>
      </c>
      <c r="T103" s="429" t="str">
        <f ca="1">IFERROR(VLOOKUP(T$2,Rango_Admin_DailyPred,MATCH($F103,Rango_Admin_DailyPred_Primera,0)+1,0),"-")</f>
        <v>-</v>
      </c>
      <c r="U103" s="429" t="str">
        <f ca="1">IFERROR(VLOOKUP(U$2,Rango_Admin_DailyPred,MATCH($F103,Rango_Admin_DailyPred_Primera,0)+1,0),"-")</f>
        <v>-</v>
      </c>
      <c r="V103" s="429" t="str">
        <f ca="1">IFERROR(VLOOKUP(V$2,Rango_Admin_DailyPred,MATCH($F103,Rango_Admin_DailyPred_Primera,0)+1,0),"-")</f>
        <v>-</v>
      </c>
      <c r="W103" s="429" t="str">
        <f ca="1">IFERROR(VLOOKUP(W$2,Rango_Admin_DailyPred,MATCH($F103,Rango_Admin_DailyPred_Primera,0)+1,0),"-")</f>
        <v>-</v>
      </c>
      <c r="X103" s="429" t="str">
        <f ca="1">IFERROR(VLOOKUP(X$2,Rango_Admin_DailyPred,MATCH($F103,Rango_Admin_DailyPred_Primera,0)+1,0),"-")</f>
        <v>-</v>
      </c>
      <c r="Y103" s="429" t="str">
        <f ca="1">IFERROR(VLOOKUP(Y$2,Rango_Admin_DailyPred,MATCH($F103,Rango_Admin_DailyPred_Primera,0)+1,0),"-")</f>
        <v>-</v>
      </c>
      <c r="Z103" s="429" t="str">
        <f ca="1">IFERROR(VLOOKUP(Z$2,Rango_Admin_DailyPred,MATCH($F103,Rango_Admin_DailyPred_Primera,0)+1,0),"-")</f>
        <v>-</v>
      </c>
      <c r="AA103" s="429" t="str">
        <f ca="1">IFERROR(VLOOKUP(AA$2,Rango_Admin_DailyPred,MATCH($F103,Rango_Admin_DailyPred_Primera,0)+1,0),"-")</f>
        <v>-</v>
      </c>
      <c r="AB103" s="429" t="str">
        <f ca="1">IFERROR(VLOOKUP(AB$2,Rango_Admin_DailyPred,MATCH($F103,Rango_Admin_DailyPred_Primera,0)+1,0),"-")</f>
        <v>-</v>
      </c>
      <c r="AC103" s="429" t="str">
        <f ca="1">IFERROR(VLOOKUP(AC$2,Rango_Admin_DailyPred,MATCH($F103,Rango_Admin_DailyPred_Primera,0)+1,0),"-")</f>
        <v>-</v>
      </c>
      <c r="AD103" s="429" t="str">
        <f ca="1">IFERROR(VLOOKUP(AD$2,Rango_Admin_DailyPred,MATCH($F103,Rango_Admin_DailyPred_Primera,0)+1,0),"-")</f>
        <v>-</v>
      </c>
      <c r="AE103" s="429" t="str">
        <f ca="1">IFERROR(VLOOKUP(AE$2,Rango_Admin_DailyPred,MATCH($F103,Rango_Admin_DailyPred_Primera,0)+1,0),"-")</f>
        <v>-</v>
      </c>
      <c r="AF103" s="429" t="str">
        <f ca="1">IFERROR(VLOOKUP(AF$2,Rango_Admin_DailyPred,MATCH($F103,Rango_Admin_DailyPred_Primera,0)+1,0),"-")</f>
        <v>-</v>
      </c>
      <c r="AG103" s="429" t="str">
        <f ca="1">IFERROR(VLOOKUP(AG$2,Rango_Admin_DailyPred,MATCH($F103,Rango_Admin_DailyPred_Primera,0)+1,0),"-")</f>
        <v>-</v>
      </c>
      <c r="AH103" s="429" t="str">
        <f ca="1">IFERROR(VLOOKUP(AH$2,Rango_Admin_DailyPred,MATCH($F103,Rango_Admin_DailyPred_Primera,0)+1,0),"-")</f>
        <v>-</v>
      </c>
      <c r="AI103" s="429" t="str">
        <f ca="1">IFERROR(VLOOKUP(AI$2,Rango_Admin_DailyPred,MATCH($F103,Rango_Admin_DailyPred_Primera,0)+1,0),"-")</f>
        <v>-</v>
      </c>
      <c r="AJ103" s="429" t="str">
        <f ca="1">IFERROR(VLOOKUP(AJ$2,Rango_Admin_DailyPred,MATCH($F103,Rango_Admin_DailyPred_Primera,0)+1,0),"-")</f>
        <v>-</v>
      </c>
      <c r="AK103" s="429" t="str">
        <f ca="1">IFERROR(VLOOKUP(AK$2,Rango_Admin_DailyPred,MATCH($F103,Rango_Admin_DailyPred_Primera,0)+1,0),"-")</f>
        <v>-</v>
      </c>
      <c r="AL103" s="429" t="str">
        <f ca="1">IFERROR(VLOOKUP(AL$2,Rango_Admin_DailyPred,MATCH($F103,Rango_Admin_DailyPred_Primera,0)+1,0),"-")</f>
        <v>-</v>
      </c>
      <c r="AM103" s="429" t="str">
        <f ca="1">IFERROR(VLOOKUP(AM$2,Rango_Admin_DailyPred,MATCH($F103,Rango_Admin_DailyPred_Primera,0)+1,0),"-")</f>
        <v>-</v>
      </c>
      <c r="AN103" s="297"/>
    </row>
    <row r="104" spans="1:40">
      <c r="D104" s="19"/>
      <c r="E104" s="448"/>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c r="AB104" s="429"/>
      <c r="AC104" s="429"/>
      <c r="AD104" s="429"/>
      <c r="AE104" s="429"/>
      <c r="AF104" s="429"/>
      <c r="AG104" s="429"/>
      <c r="AH104" s="429"/>
      <c r="AI104" s="429"/>
      <c r="AJ104" s="429"/>
      <c r="AK104" s="429"/>
      <c r="AL104" s="429"/>
      <c r="AM104" s="429"/>
      <c r="AN104" s="297"/>
    </row>
    <row r="105" spans="1:40">
      <c r="D105" s="19"/>
      <c r="E105" s="448"/>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c r="AB105" s="429"/>
      <c r="AC105" s="429"/>
      <c r="AD105" s="429"/>
      <c r="AE105" s="429"/>
      <c r="AF105" s="429"/>
      <c r="AG105" s="429"/>
      <c r="AH105" s="429"/>
      <c r="AI105" s="429"/>
      <c r="AJ105" s="429"/>
      <c r="AK105" s="429"/>
      <c r="AL105" s="429"/>
      <c r="AM105" s="429"/>
      <c r="AN105" s="297"/>
    </row>
    <row r="106" spans="1:40">
      <c r="D106" s="19"/>
      <c r="E106" s="448"/>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297"/>
    </row>
    <row r="107" spans="1:40">
      <c r="D107" s="19"/>
      <c r="E107" s="448"/>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29"/>
      <c r="AD107" s="429"/>
      <c r="AE107" s="429"/>
      <c r="AF107" s="429"/>
      <c r="AG107" s="429"/>
      <c r="AH107" s="429"/>
      <c r="AI107" s="429"/>
      <c r="AJ107" s="429"/>
      <c r="AK107" s="429"/>
      <c r="AL107" s="429"/>
      <c r="AM107" s="429"/>
      <c r="AN107" s="297"/>
    </row>
    <row r="108" spans="1:40">
      <c r="D108" s="19"/>
      <c r="E108" s="448"/>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c r="AB108" s="429"/>
      <c r="AC108" s="429"/>
      <c r="AD108" s="429"/>
      <c r="AE108" s="429"/>
      <c r="AF108" s="429"/>
      <c r="AG108" s="429"/>
      <c r="AH108" s="429"/>
      <c r="AI108" s="429"/>
      <c r="AJ108" s="429"/>
      <c r="AK108" s="429"/>
      <c r="AL108" s="429"/>
      <c r="AM108" s="429"/>
      <c r="AN108" s="297"/>
    </row>
    <row r="109" spans="1:40">
      <c r="D109" s="19"/>
      <c r="E109" s="448"/>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297"/>
    </row>
    <row r="110" spans="1:40">
      <c r="D110" s="19"/>
      <c r="E110" s="448"/>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29"/>
      <c r="AD110" s="429"/>
      <c r="AE110" s="429"/>
      <c r="AF110" s="429"/>
      <c r="AG110" s="429"/>
      <c r="AH110" s="429"/>
      <c r="AI110" s="429"/>
      <c r="AJ110" s="429"/>
      <c r="AK110" s="429"/>
      <c r="AL110" s="429"/>
      <c r="AM110" s="429"/>
      <c r="AN110" s="297"/>
    </row>
    <row r="111" spans="1:40">
      <c r="D111" s="19"/>
      <c r="E111" s="448"/>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c r="AB111" s="429"/>
      <c r="AC111" s="429"/>
      <c r="AD111" s="429"/>
      <c r="AE111" s="429"/>
      <c r="AF111" s="429"/>
      <c r="AG111" s="429"/>
      <c r="AH111" s="429"/>
      <c r="AI111" s="429"/>
      <c r="AJ111" s="429"/>
      <c r="AK111" s="429"/>
      <c r="AL111" s="429"/>
      <c r="AM111" s="429"/>
      <c r="AN111" s="297"/>
    </row>
    <row r="112" spans="1:40">
      <c r="D112" s="19"/>
      <c r="E112" s="448"/>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29"/>
      <c r="AE112" s="429"/>
      <c r="AF112" s="429"/>
      <c r="AG112" s="429"/>
      <c r="AH112" s="429"/>
      <c r="AI112" s="429"/>
      <c r="AJ112" s="429"/>
      <c r="AK112" s="429"/>
      <c r="AL112" s="429"/>
      <c r="AM112" s="429"/>
      <c r="AN112" s="297"/>
    </row>
    <row r="113" spans="4:40">
      <c r="D113" s="19"/>
      <c r="E113" s="448"/>
      <c r="F113" s="429"/>
      <c r="G113" s="429"/>
      <c r="H113" s="429"/>
      <c r="I113" s="429"/>
      <c r="J113" s="429"/>
      <c r="K113" s="429"/>
      <c r="L113" s="429"/>
      <c r="M113" s="429"/>
      <c r="N113" s="429"/>
      <c r="O113" s="429"/>
      <c r="P113" s="429"/>
      <c r="Q113" s="429"/>
      <c r="R113" s="429"/>
      <c r="S113" s="429"/>
      <c r="T113" s="429"/>
      <c r="U113" s="429"/>
      <c r="V113" s="429"/>
      <c r="W113" s="429"/>
      <c r="X113" s="429"/>
      <c r="Y113" s="429"/>
      <c r="Z113" s="429"/>
      <c r="AA113" s="429"/>
      <c r="AB113" s="429"/>
      <c r="AC113" s="429"/>
      <c r="AD113" s="429"/>
      <c r="AE113" s="429"/>
      <c r="AF113" s="429"/>
      <c r="AG113" s="429"/>
      <c r="AH113" s="429"/>
      <c r="AI113" s="429"/>
      <c r="AJ113" s="429"/>
      <c r="AK113" s="429"/>
      <c r="AL113" s="429"/>
      <c r="AM113" s="429"/>
      <c r="AN113" s="297"/>
    </row>
    <row r="114" spans="4:40">
      <c r="D114" s="19"/>
      <c r="E114" s="448"/>
      <c r="F114" s="429"/>
      <c r="G114" s="429"/>
      <c r="H114" s="429"/>
      <c r="I114" s="429"/>
      <c r="J114" s="429"/>
      <c r="K114" s="429"/>
      <c r="L114" s="429"/>
      <c r="M114" s="429"/>
      <c r="N114" s="429"/>
      <c r="O114" s="429"/>
      <c r="P114" s="429"/>
      <c r="Q114" s="429"/>
      <c r="R114" s="429"/>
      <c r="S114" s="429"/>
      <c r="T114" s="429"/>
      <c r="U114" s="429"/>
      <c r="V114" s="429"/>
      <c r="W114" s="429"/>
      <c r="X114" s="429"/>
      <c r="Y114" s="429"/>
      <c r="Z114" s="429"/>
      <c r="AA114" s="429"/>
      <c r="AB114" s="429"/>
      <c r="AC114" s="429"/>
      <c r="AD114" s="429"/>
      <c r="AE114" s="429"/>
      <c r="AF114" s="429"/>
      <c r="AG114" s="429"/>
      <c r="AH114" s="429"/>
      <c r="AI114" s="429"/>
      <c r="AJ114" s="429"/>
      <c r="AK114" s="429"/>
      <c r="AL114" s="429"/>
      <c r="AM114" s="429"/>
      <c r="AN114" s="297"/>
    </row>
    <row r="115" spans="4:40">
      <c r="D115" s="19"/>
      <c r="E115" s="448"/>
      <c r="F115" s="429"/>
      <c r="G115" s="429"/>
      <c r="H115" s="429"/>
      <c r="I115" s="429"/>
      <c r="J115" s="429"/>
      <c r="K115" s="429"/>
      <c r="L115" s="429"/>
      <c r="M115" s="429"/>
      <c r="N115" s="429"/>
      <c r="O115" s="429"/>
      <c r="P115" s="429"/>
      <c r="Q115" s="429"/>
      <c r="R115" s="429"/>
      <c r="S115" s="429"/>
      <c r="T115" s="429"/>
      <c r="U115" s="429"/>
      <c r="V115" s="429"/>
      <c r="W115" s="429"/>
      <c r="X115" s="429"/>
      <c r="Y115" s="429"/>
      <c r="Z115" s="429"/>
      <c r="AA115" s="429"/>
      <c r="AB115" s="429"/>
      <c r="AC115" s="429"/>
      <c r="AD115" s="429"/>
      <c r="AE115" s="429"/>
      <c r="AF115" s="429"/>
      <c r="AG115" s="429"/>
      <c r="AH115" s="429"/>
      <c r="AI115" s="429"/>
      <c r="AJ115" s="429"/>
      <c r="AK115" s="429"/>
      <c r="AL115" s="429"/>
      <c r="AM115" s="429"/>
      <c r="AN115" s="297"/>
    </row>
    <row r="116" spans="4:40">
      <c r="D116" s="19"/>
      <c r="E116" s="448"/>
      <c r="F116" s="429"/>
      <c r="G116" s="429"/>
      <c r="H116" s="429"/>
      <c r="I116" s="429"/>
      <c r="J116" s="429"/>
      <c r="K116" s="429"/>
      <c r="L116" s="429"/>
      <c r="M116" s="429"/>
      <c r="N116" s="429"/>
      <c r="O116" s="429"/>
      <c r="P116" s="429"/>
      <c r="Q116" s="429"/>
      <c r="R116" s="429"/>
      <c r="S116" s="429"/>
      <c r="T116" s="429"/>
      <c r="U116" s="429"/>
      <c r="V116" s="429"/>
      <c r="W116" s="429"/>
      <c r="X116" s="429"/>
      <c r="Y116" s="429"/>
      <c r="Z116" s="429"/>
      <c r="AA116" s="429"/>
      <c r="AB116" s="429"/>
      <c r="AC116" s="429"/>
      <c r="AD116" s="429"/>
      <c r="AE116" s="429"/>
      <c r="AF116" s="429"/>
      <c r="AG116" s="429"/>
      <c r="AH116" s="429"/>
      <c r="AI116" s="429"/>
      <c r="AJ116" s="429"/>
      <c r="AK116" s="429"/>
      <c r="AL116" s="429"/>
      <c r="AM116" s="429"/>
      <c r="AN116" s="297"/>
    </row>
    <row r="117" spans="4:40">
      <c r="D117" s="19"/>
      <c r="E117" s="448"/>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c r="AB117" s="429"/>
      <c r="AC117" s="429"/>
      <c r="AD117" s="429"/>
      <c r="AE117" s="429"/>
      <c r="AF117" s="429"/>
      <c r="AG117" s="429"/>
      <c r="AH117" s="429"/>
      <c r="AI117" s="429"/>
      <c r="AJ117" s="429"/>
      <c r="AK117" s="429"/>
      <c r="AL117" s="429"/>
      <c r="AM117" s="429"/>
      <c r="AN117" s="297"/>
    </row>
    <row r="118" spans="4:40">
      <c r="D118" s="19"/>
      <c r="E118" s="448"/>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429"/>
      <c r="AF118" s="429"/>
      <c r="AG118" s="429"/>
      <c r="AH118" s="429"/>
      <c r="AI118" s="429"/>
      <c r="AJ118" s="429"/>
      <c r="AK118" s="429"/>
      <c r="AL118" s="429"/>
      <c r="AM118" s="429"/>
      <c r="AN118" s="297"/>
    </row>
    <row r="119" spans="4:40">
      <c r="D119" s="19"/>
      <c r="E119" s="448"/>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429"/>
      <c r="AE119" s="429"/>
      <c r="AF119" s="429"/>
      <c r="AG119" s="429"/>
      <c r="AH119" s="429"/>
      <c r="AI119" s="429"/>
      <c r="AJ119" s="429"/>
      <c r="AK119" s="429"/>
      <c r="AL119" s="429"/>
      <c r="AM119" s="429"/>
      <c r="AN119" s="297"/>
    </row>
    <row r="120" spans="4:40">
      <c r="D120" s="19"/>
      <c r="E120" s="448"/>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429"/>
      <c r="AE120" s="429"/>
      <c r="AF120" s="429"/>
      <c r="AG120" s="429"/>
      <c r="AH120" s="429"/>
      <c r="AI120" s="429"/>
      <c r="AJ120" s="429"/>
      <c r="AK120" s="429"/>
      <c r="AL120" s="429"/>
      <c r="AM120" s="429"/>
      <c r="AN120" s="297"/>
    </row>
    <row r="121" spans="4:40">
      <c r="D121" s="19"/>
      <c r="E121" s="448"/>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29"/>
      <c r="AE121" s="429"/>
      <c r="AF121" s="429"/>
      <c r="AG121" s="429"/>
      <c r="AH121" s="429"/>
      <c r="AI121" s="429"/>
      <c r="AJ121" s="429"/>
      <c r="AK121" s="429"/>
      <c r="AL121" s="429"/>
      <c r="AM121" s="429"/>
      <c r="AN121" s="297"/>
    </row>
    <row r="122" spans="4:40">
      <c r="D122" s="19"/>
      <c r="E122" s="448"/>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297"/>
    </row>
  </sheetData>
  <sheetProtection algorithmName="SHA-512" hashValue="+vS0AgJED5YNb/KaQp3F0hsh+oghWP+HQGYds/xZG7xRmMAPi4+/qxviw5iQqlJFMOm5KUht7d9zYEJKW6pQPA==" saltValue="z1Kmmv03Kc7sy4b7mQoblg==" spinCount="100000" sheet="1" objects="1" scenarios="1" formatColumns="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93146E59-95D5-104E-AFC7-528E8956B79C}">
            <xm:f>AND((INDEX(ADMIN!$5:$5,1,ADMIN!$D$5*3+18)&gt;=ROW()-3),MOD(ROW(),2)=0)</xm:f>
            <x14:dxf>
              <font>
                <color rgb="FF1B4066"/>
              </font>
              <fill>
                <patternFill>
                  <bgColor theme="0" tint="-0.14996795556505021"/>
                </patternFill>
              </fill>
            </x14:dxf>
          </x14:cfRule>
          <x14:cfRule type="expression" priority="2" id="{92E43E50-33EA-5342-8A04-2027379B6BBD}">
            <xm:f>AND((INDEX(ADMIN!$5:$5,1,ADMIN!$D$5*3+18)&gt;=ROW()-3),MOD(ROW(),2)=1)</xm:f>
            <x14:dxf>
              <font>
                <color rgb="FF1B4066"/>
              </font>
              <fill>
                <patternFill>
                  <bgColor theme="0"/>
                </patternFill>
              </fill>
            </x14:dxf>
          </x14:cfRule>
          <xm:sqref>E4:AM103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4BE2-7EDF-EB40-A1B0-E3C1B9B9F750}">
  <sheetPr codeName="Hoja8"/>
  <dimension ref="A1:P1420"/>
  <sheetViews>
    <sheetView showGridLines="0" showRowColHeaders="0" topLeftCell="DZ1140" zoomScaleNormal="100" workbookViewId="0">
      <selection activeCell="EA1146" sqref="EA1146"/>
    </sheetView>
  </sheetViews>
  <sheetFormatPr defaultColWidth="11.5703125" defaultRowHeight="15"/>
  <cols>
    <col min="4" max="4" width="19.7109375" customWidth="1"/>
    <col min="7" max="7" width="17.28515625" style="9" bestFit="1" customWidth="1"/>
    <col min="8" max="8" width="13" style="9" customWidth="1"/>
    <col min="9" max="10" width="13" bestFit="1" customWidth="1"/>
    <col min="11" max="12" width="12.28515625" bestFit="1" customWidth="1"/>
  </cols>
  <sheetData>
    <row r="1" spans="1:12">
      <c r="A1" s="11"/>
      <c r="B1" s="11"/>
      <c r="C1" s="11"/>
      <c r="D1" s="11"/>
      <c r="E1" s="11"/>
      <c r="F1" s="11"/>
      <c r="G1" s="11"/>
      <c r="H1" s="11"/>
      <c r="I1" s="11"/>
    </row>
    <row r="2" spans="1:12">
      <c r="A2" s="11" t="s">
        <v>216</v>
      </c>
      <c r="B2" s="11">
        <f>IF(Home!$C$6=Idiomas!A2,1,0)</f>
        <v>0</v>
      </c>
      <c r="C2" s="11"/>
      <c r="D2" s="11"/>
      <c r="E2" s="11"/>
      <c r="F2" s="11"/>
      <c r="G2" s="11"/>
      <c r="H2" s="11"/>
      <c r="I2" s="11"/>
    </row>
    <row r="3" spans="1:12">
      <c r="A3" s="11" t="s">
        <v>348</v>
      </c>
      <c r="B3" s="11">
        <f>IF(Home!$C$6=Idiomas!A3,1,0)</f>
        <v>1</v>
      </c>
      <c r="C3" s="11"/>
      <c r="D3" s="11"/>
      <c r="E3" s="11" t="s">
        <v>174</v>
      </c>
      <c r="F3" s="11" t="s">
        <v>176</v>
      </c>
      <c r="G3" s="11" t="s">
        <v>216</v>
      </c>
      <c r="H3" s="11" t="s">
        <v>184</v>
      </c>
      <c r="I3" s="11"/>
    </row>
    <row r="4" spans="1:12">
      <c r="A4" s="11"/>
      <c r="B4" s="11"/>
      <c r="C4" s="11"/>
      <c r="D4" s="11" t="str">
        <f>IF($B$2,G4,H4)</f>
        <v>Introduce Results</v>
      </c>
      <c r="E4" s="11" t="s">
        <v>21</v>
      </c>
      <c r="F4" s="11" t="s">
        <v>177</v>
      </c>
      <c r="G4" s="11" t="s">
        <v>175</v>
      </c>
      <c r="H4" s="11" t="s">
        <v>187</v>
      </c>
      <c r="I4" s="11"/>
    </row>
    <row r="5" spans="1:12">
      <c r="A5" s="11"/>
      <c r="B5" s="772"/>
      <c r="C5" s="11"/>
      <c r="D5" s="11" t="str">
        <f t="shared" ref="D5:D13" si="0">IF($B$2,G5,H5)</f>
        <v>This version is for a maximum of 5 participants. You can download versions for more participants from the link below</v>
      </c>
      <c r="E5" s="11" t="s">
        <v>21</v>
      </c>
      <c r="F5" s="11" t="s">
        <v>178</v>
      </c>
      <c r="G5" s="11" t="s">
        <v>1737</v>
      </c>
      <c r="H5" s="11" t="s">
        <v>1738</v>
      </c>
      <c r="I5" s="11"/>
      <c r="K5" s="4"/>
      <c r="L5" s="4"/>
    </row>
    <row r="6" spans="1:12">
      <c r="A6" s="11"/>
      <c r="B6" s="772"/>
      <c r="C6" s="11"/>
      <c r="D6" s="11" t="str">
        <f t="shared" si="0"/>
        <v>Team Predictor</v>
      </c>
      <c r="E6" s="11"/>
      <c r="F6" s="11"/>
      <c r="G6" s="688" t="s">
        <v>1297</v>
      </c>
      <c r="H6" s="688" t="s">
        <v>1298</v>
      </c>
      <c r="I6" s="11"/>
    </row>
    <row r="7" spans="1:12">
      <c r="A7" s="11"/>
      <c r="B7" s="11"/>
      <c r="C7" s="11"/>
      <c r="D7" s="11" t="str">
        <f t="shared" si="0"/>
        <v>Select languaje</v>
      </c>
      <c r="E7" s="11" t="s">
        <v>21</v>
      </c>
      <c r="F7" s="11" t="s">
        <v>347</v>
      </c>
      <c r="G7" s="11" t="s">
        <v>1308</v>
      </c>
      <c r="H7" s="11" t="s">
        <v>1309</v>
      </c>
      <c r="I7" s="11"/>
    </row>
    <row r="8" spans="1:12">
      <c r="A8" s="11"/>
      <c r="B8" s="11"/>
      <c r="C8" s="11"/>
      <c r="D8" s="11" t="str">
        <f t="shared" si="0"/>
        <v>XXIII World Cup USA/MEX/CAN 2026</v>
      </c>
      <c r="E8" s="11" t="s">
        <v>21</v>
      </c>
      <c r="F8" s="11" t="s">
        <v>349</v>
      </c>
      <c r="G8" s="11" t="s">
        <v>494</v>
      </c>
      <c r="H8" s="11" t="s">
        <v>495</v>
      </c>
      <c r="I8" s="11"/>
    </row>
    <row r="9" spans="1:12">
      <c r="A9" s="11"/>
      <c r="B9" s="11"/>
      <c r="C9" s="11"/>
      <c r="D9" s="11" t="str">
        <f t="shared" si="0"/>
        <v>Versions for more participants</v>
      </c>
      <c r="E9" s="11" t="s">
        <v>21</v>
      </c>
      <c r="F9" s="11" t="s">
        <v>350</v>
      </c>
      <c r="G9" s="11" t="s">
        <v>1575</v>
      </c>
      <c r="H9" s="11" t="s">
        <v>1576</v>
      </c>
      <c r="I9" s="11"/>
    </row>
    <row r="10" spans="1:12">
      <c r="A10" s="11"/>
      <c r="B10" s="11"/>
      <c r="C10" s="11"/>
      <c r="D10" s="11" t="str">
        <f t="shared" si="0"/>
        <v>https://matejero.com/world-cup-excel-administrator-2026/</v>
      </c>
      <c r="E10" s="11" t="s">
        <v>21</v>
      </c>
      <c r="F10" s="11" t="s">
        <v>434</v>
      </c>
      <c r="G10" s="11" t="s">
        <v>1921</v>
      </c>
      <c r="H10" s="11" t="s">
        <v>1922</v>
      </c>
      <c r="I10" s="11"/>
    </row>
    <row r="11" spans="1:12">
      <c r="A11" s="11"/>
      <c r="B11" s="11"/>
      <c r="C11" s="11"/>
      <c r="D11" s="11" t="str">
        <f t="shared" si="0"/>
        <v>If you don't see flags in the WorldCup sheet, you can use the other file that came in the .zip file</v>
      </c>
      <c r="E11" s="11"/>
      <c r="F11" s="11"/>
      <c r="G11" s="11" t="s">
        <v>1338</v>
      </c>
      <c r="H11" s="11" t="s">
        <v>1337</v>
      </c>
      <c r="I11" s="11"/>
    </row>
    <row r="12" spans="1:12">
      <c r="A12" s="11"/>
      <c r="B12" s="11"/>
      <c r="C12" s="11"/>
      <c r="D12" s="11" t="str">
        <f t="shared" si="0"/>
        <v>Donate</v>
      </c>
      <c r="E12" s="11"/>
      <c r="F12" s="11"/>
      <c r="G12" s="11" t="s">
        <v>1313</v>
      </c>
      <c r="H12" s="11" t="s">
        <v>1312</v>
      </c>
      <c r="I12" s="11"/>
    </row>
    <row r="13" spans="1:12">
      <c r="A13" s="11"/>
      <c r="B13" s="11"/>
      <c r="C13" s="11"/>
      <c r="D13" s="11" t="str">
        <f t="shared" si="0"/>
        <v>https://matejero.com/faq-world-cup-2026-excel-predictor/</v>
      </c>
      <c r="E13" s="11"/>
      <c r="F13" s="11"/>
      <c r="G13" s="11" t="s">
        <v>1920</v>
      </c>
      <c r="H13" s="11" t="s">
        <v>1919</v>
      </c>
      <c r="I13" s="11"/>
    </row>
    <row r="14" spans="1:12">
      <c r="A14" s="11"/>
      <c r="B14" s="772"/>
      <c r="C14" s="11"/>
      <c r="D14" s="11"/>
      <c r="E14" s="11"/>
      <c r="F14" s="11"/>
      <c r="G14" s="11"/>
      <c r="H14" s="11"/>
      <c r="I14" s="11"/>
    </row>
    <row r="15" spans="1:12">
      <c r="A15" s="11"/>
      <c r="B15" s="11"/>
      <c r="C15" s="11"/>
      <c r="D15" s="11" t="str">
        <f t="shared" ref="D15:D68" si="1">IF($B$2,G15,H15)</f>
        <v>Select timetable</v>
      </c>
      <c r="E15" s="11" t="s">
        <v>480</v>
      </c>
      <c r="F15" s="11" t="s">
        <v>116</v>
      </c>
      <c r="G15" s="11" t="s">
        <v>1307</v>
      </c>
      <c r="H15" s="11" t="s">
        <v>1306</v>
      </c>
      <c r="I15" s="11"/>
    </row>
    <row r="16" spans="1:12">
      <c r="A16" s="11"/>
      <c r="B16" s="11"/>
      <c r="C16" s="11"/>
      <c r="D16" s="11" t="str">
        <f t="shared" si="1"/>
        <v>Date</v>
      </c>
      <c r="E16" s="11" t="s">
        <v>480</v>
      </c>
      <c r="F16" s="11" t="s">
        <v>129</v>
      </c>
      <c r="G16" s="11" t="s">
        <v>10</v>
      </c>
      <c r="H16" s="11" t="s">
        <v>217</v>
      </c>
      <c r="I16" s="11"/>
    </row>
    <row r="17" spans="1:9">
      <c r="A17" s="11"/>
      <c r="B17" s="11"/>
      <c r="C17" s="11"/>
      <c r="D17" s="11" t="str">
        <f t="shared" si="1"/>
        <v>Hour</v>
      </c>
      <c r="E17" s="11" t="s">
        <v>480</v>
      </c>
      <c r="F17" s="11" t="s">
        <v>180</v>
      </c>
      <c r="G17" s="11" t="s">
        <v>29</v>
      </c>
      <c r="H17" s="11" t="s">
        <v>183</v>
      </c>
      <c r="I17" s="11"/>
    </row>
    <row r="18" spans="1:9">
      <c r="A18" s="11"/>
      <c r="B18" s="11"/>
      <c r="C18" s="11"/>
      <c r="D18" s="11" t="str">
        <f t="shared" si="1"/>
        <v>R</v>
      </c>
      <c r="E18" s="11" t="s">
        <v>480</v>
      </c>
      <c r="F18" s="11" t="s">
        <v>181</v>
      </c>
      <c r="G18" s="11" t="s">
        <v>31</v>
      </c>
      <c r="H18" s="11" t="s">
        <v>185</v>
      </c>
      <c r="I18" s="11"/>
    </row>
    <row r="19" spans="1:9">
      <c r="A19" s="11"/>
      <c r="B19" s="11"/>
      <c r="C19" s="11"/>
      <c r="D19" s="11" t="str">
        <f t="shared" si="1"/>
        <v>Home</v>
      </c>
      <c r="E19" s="11" t="s">
        <v>480</v>
      </c>
      <c r="F19" s="11" t="s">
        <v>182</v>
      </c>
      <c r="G19" s="11" t="s">
        <v>15</v>
      </c>
      <c r="H19" s="11" t="s">
        <v>186</v>
      </c>
      <c r="I19" s="11"/>
    </row>
    <row r="20" spans="1:9">
      <c r="A20" s="11"/>
      <c r="B20" s="11"/>
      <c r="C20" s="11"/>
      <c r="D20" s="11" t="str">
        <f t="shared" si="1"/>
        <v>Goal</v>
      </c>
      <c r="E20" s="11" t="s">
        <v>480</v>
      </c>
      <c r="F20" s="11" t="s">
        <v>188</v>
      </c>
      <c r="G20" s="11" t="s">
        <v>17</v>
      </c>
      <c r="H20" s="11" t="s">
        <v>189</v>
      </c>
      <c r="I20" s="11"/>
    </row>
    <row r="21" spans="1:9">
      <c r="A21" s="11"/>
      <c r="B21" s="11"/>
      <c r="C21" s="11"/>
      <c r="D21" s="11" t="str">
        <f t="shared" si="1"/>
        <v>Away</v>
      </c>
      <c r="E21" s="11" t="s">
        <v>480</v>
      </c>
      <c r="F21" s="11" t="s">
        <v>190</v>
      </c>
      <c r="G21" s="11" t="s">
        <v>16</v>
      </c>
      <c r="H21" s="11" t="s">
        <v>191</v>
      </c>
      <c r="I21" s="11"/>
    </row>
    <row r="22" spans="1:9">
      <c r="A22" s="11"/>
      <c r="B22" s="11"/>
      <c r="C22" s="11"/>
      <c r="D22" s="11" t="str">
        <f t="shared" si="1"/>
        <v>Group</v>
      </c>
      <c r="E22" s="11" t="s">
        <v>480</v>
      </c>
      <c r="F22" s="11" t="s">
        <v>192</v>
      </c>
      <c r="G22" s="11" t="s">
        <v>71</v>
      </c>
      <c r="H22" s="11" t="s">
        <v>193</v>
      </c>
      <c r="I22" s="11"/>
    </row>
    <row r="23" spans="1:9">
      <c r="A23" s="11"/>
      <c r="B23" s="11"/>
      <c r="C23" s="11"/>
      <c r="D23" s="11" t="str">
        <f t="shared" si="1"/>
        <v>IT'S A DRAW! Choose the order of the Nations to determine their rankings.</v>
      </c>
      <c r="E23" s="11" t="s">
        <v>480</v>
      </c>
      <c r="F23" s="11" t="s">
        <v>194</v>
      </c>
      <c r="G23" s="11" t="s">
        <v>22</v>
      </c>
      <c r="H23" s="11" t="s">
        <v>224</v>
      </c>
      <c r="I23" s="11"/>
    </row>
    <row r="24" spans="1:9">
      <c r="A24" s="11"/>
      <c r="B24" s="11"/>
      <c r="C24" s="11"/>
      <c r="D24" s="11" t="str">
        <f t="shared" si="1"/>
        <v>Best third-placed</v>
      </c>
      <c r="E24" s="11" t="s">
        <v>480</v>
      </c>
      <c r="F24" s="11" t="s">
        <v>195</v>
      </c>
      <c r="G24" s="11" t="s">
        <v>67</v>
      </c>
      <c r="H24" s="11" t="s">
        <v>225</v>
      </c>
      <c r="I24" s="11"/>
    </row>
    <row r="25" spans="1:9">
      <c r="A25" s="11"/>
      <c r="B25" s="11"/>
      <c r="C25" s="11"/>
      <c r="D25" s="11" t="str">
        <f t="shared" si="1"/>
        <v>Round of 32</v>
      </c>
      <c r="E25" s="11" t="s">
        <v>480</v>
      </c>
      <c r="F25" s="11"/>
      <c r="G25" s="11" t="s">
        <v>481</v>
      </c>
      <c r="H25" s="11" t="s">
        <v>482</v>
      </c>
      <c r="I25" s="11"/>
    </row>
    <row r="26" spans="1:9">
      <c r="A26" s="11"/>
      <c r="B26" s="11"/>
      <c r="C26" s="11"/>
      <c r="D26" s="11" t="str">
        <f t="shared" si="1"/>
        <v>Round of 16</v>
      </c>
      <c r="E26" s="11" t="s">
        <v>480</v>
      </c>
      <c r="F26" s="11" t="s">
        <v>196</v>
      </c>
      <c r="G26" s="11" t="s">
        <v>87</v>
      </c>
      <c r="H26" s="11" t="s">
        <v>218</v>
      </c>
      <c r="I26" s="11"/>
    </row>
    <row r="27" spans="1:9">
      <c r="A27" s="11"/>
      <c r="B27" s="11"/>
      <c r="C27" s="11"/>
      <c r="D27" s="11" t="str">
        <f t="shared" si="1"/>
        <v>Quarterfinals</v>
      </c>
      <c r="E27" s="11" t="s">
        <v>480</v>
      </c>
      <c r="F27" s="11" t="s">
        <v>197</v>
      </c>
      <c r="G27" s="11" t="s">
        <v>69</v>
      </c>
      <c r="H27" s="11" t="s">
        <v>219</v>
      </c>
      <c r="I27" s="11"/>
    </row>
    <row r="28" spans="1:9">
      <c r="A28" s="11"/>
      <c r="B28" s="11"/>
      <c r="C28" s="11"/>
      <c r="D28" s="11" t="str">
        <f t="shared" si="1"/>
        <v>Semifinals</v>
      </c>
      <c r="E28" s="11" t="s">
        <v>480</v>
      </c>
      <c r="F28" s="11" t="s">
        <v>198</v>
      </c>
      <c r="G28" s="11" t="s">
        <v>36</v>
      </c>
      <c r="H28" s="11" t="s">
        <v>220</v>
      </c>
      <c r="I28" s="11"/>
    </row>
    <row r="29" spans="1:9">
      <c r="A29" s="11"/>
      <c r="B29" s="11"/>
      <c r="C29" s="11"/>
      <c r="D29" s="11" t="str">
        <f t="shared" si="1"/>
        <v>3rd-4th place</v>
      </c>
      <c r="E29" s="11" t="s">
        <v>480</v>
      </c>
      <c r="F29" s="11"/>
      <c r="G29" s="11" t="s">
        <v>491</v>
      </c>
      <c r="H29" s="11" t="s">
        <v>492</v>
      </c>
      <c r="I29" s="11"/>
    </row>
    <row r="30" spans="1:9">
      <c r="A30" s="11"/>
      <c r="B30" s="11"/>
      <c r="C30" s="11"/>
      <c r="D30" s="11" t="str">
        <f t="shared" si="1"/>
        <v>Final</v>
      </c>
      <c r="E30" s="11" t="s">
        <v>480</v>
      </c>
      <c r="F30" s="11" t="s">
        <v>199</v>
      </c>
      <c r="G30" s="11" t="s">
        <v>37</v>
      </c>
      <c r="H30" s="11" t="s">
        <v>37</v>
      </c>
      <c r="I30" s="11"/>
    </row>
    <row r="31" spans="1:9">
      <c r="A31" s="11"/>
      <c r="B31" s="11"/>
      <c r="C31" s="11"/>
      <c r="D31" s="11" t="str">
        <f t="shared" si="1"/>
        <v>Honor box</v>
      </c>
      <c r="E31" s="11" t="s">
        <v>480</v>
      </c>
      <c r="F31" s="11" t="s">
        <v>200</v>
      </c>
      <c r="G31" s="11" t="s">
        <v>1310</v>
      </c>
      <c r="H31" s="11" t="s">
        <v>1311</v>
      </c>
      <c r="I31" s="11"/>
    </row>
    <row r="32" spans="1:9">
      <c r="A32" s="11"/>
      <c r="B32" s="11"/>
      <c r="C32" s="11"/>
      <c r="D32" s="11" t="str">
        <f t="shared" si="1"/>
        <v>Winner</v>
      </c>
      <c r="E32" s="11" t="s">
        <v>480</v>
      </c>
      <c r="F32" s="11" t="s">
        <v>201</v>
      </c>
      <c r="G32" s="11" t="s">
        <v>18</v>
      </c>
      <c r="H32" s="11" t="s">
        <v>222</v>
      </c>
      <c r="I32" s="11"/>
    </row>
    <row r="33" spans="1:9">
      <c r="A33" s="11"/>
      <c r="B33" s="11"/>
      <c r="C33" s="11"/>
      <c r="D33" s="11" t="str">
        <f t="shared" si="1"/>
        <v>Runner-up</v>
      </c>
      <c r="E33" s="11" t="s">
        <v>480</v>
      </c>
      <c r="F33" s="11" t="s">
        <v>202</v>
      </c>
      <c r="G33" s="11" t="s">
        <v>19</v>
      </c>
      <c r="H33" s="11" t="s">
        <v>223</v>
      </c>
      <c r="I33" s="11"/>
    </row>
    <row r="34" spans="1:9">
      <c r="A34" s="11"/>
      <c r="B34" s="11"/>
      <c r="C34" s="11"/>
      <c r="D34" s="11" t="str">
        <f t="shared" si="1"/>
        <v>3rd place</v>
      </c>
      <c r="E34" s="11" t="s">
        <v>480</v>
      </c>
      <c r="F34" s="11"/>
      <c r="G34" s="11" t="s">
        <v>1234</v>
      </c>
      <c r="H34" s="11" t="s">
        <v>1235</v>
      </c>
      <c r="I34" s="11"/>
    </row>
    <row r="35" spans="1:9">
      <c r="A35" s="11"/>
      <c r="B35" s="11"/>
      <c r="C35" s="11"/>
      <c r="D35" s="11" t="str">
        <f t="shared" si="1"/>
        <v>Golden Boot  (Top Scorer)</v>
      </c>
      <c r="E35" s="11" t="s">
        <v>480</v>
      </c>
      <c r="F35" s="11" t="s">
        <v>203</v>
      </c>
      <c r="G35" s="8" t="s">
        <v>499</v>
      </c>
      <c r="H35" s="11" t="s">
        <v>505</v>
      </c>
      <c r="I35" s="11"/>
    </row>
    <row r="36" spans="1:9">
      <c r="A36" s="11"/>
      <c r="B36" s="11"/>
      <c r="C36" s="11"/>
      <c r="D36" s="11" t="str">
        <f t="shared" si="1"/>
        <v>Silver Boot  (2nd Top Scorer)</v>
      </c>
      <c r="E36" s="11" t="s">
        <v>480</v>
      </c>
      <c r="F36" s="11" t="s">
        <v>204</v>
      </c>
      <c r="G36" s="8" t="s">
        <v>500</v>
      </c>
      <c r="H36" s="11" t="s">
        <v>506</v>
      </c>
      <c r="I36" s="11"/>
    </row>
    <row r="37" spans="1:9">
      <c r="A37" s="11"/>
      <c r="B37" s="11"/>
      <c r="C37" s="11"/>
      <c r="D37" s="11" t="str">
        <f t="shared" si="1"/>
        <v>Bronze Boot (3rd Top Scorer)</v>
      </c>
      <c r="E37" s="11"/>
      <c r="F37" s="11"/>
      <c r="G37" s="8" t="s">
        <v>501</v>
      </c>
      <c r="H37" s="11" t="s">
        <v>507</v>
      </c>
      <c r="I37" s="11"/>
    </row>
    <row r="38" spans="1:9">
      <c r="A38" s="11"/>
      <c r="B38" s="11"/>
      <c r="C38" s="11"/>
      <c r="D38" s="11" t="str">
        <f t="shared" si="1"/>
        <v>Golden Ball (Best Player)</v>
      </c>
      <c r="E38" s="11"/>
      <c r="F38" s="11"/>
      <c r="G38" s="8" t="s">
        <v>502</v>
      </c>
      <c r="H38" s="11" t="s">
        <v>508</v>
      </c>
      <c r="I38" s="11"/>
    </row>
    <row r="39" spans="1:9">
      <c r="A39" s="11"/>
      <c r="B39" s="11"/>
      <c r="C39" s="11"/>
      <c r="D39" s="11" t="str">
        <f t="shared" si="1"/>
        <v>Silver Ball (2nd Best Player)</v>
      </c>
      <c r="E39" s="11"/>
      <c r="F39" s="11"/>
      <c r="G39" s="8" t="s">
        <v>503</v>
      </c>
      <c r="H39" s="11" t="s">
        <v>509</v>
      </c>
      <c r="I39" s="11"/>
    </row>
    <row r="40" spans="1:9">
      <c r="A40" s="11"/>
      <c r="B40" s="11"/>
      <c r="C40" s="11"/>
      <c r="D40" s="11" t="str">
        <f t="shared" si="1"/>
        <v>Bronze Ball (3rd Best Player))</v>
      </c>
      <c r="E40" s="11"/>
      <c r="F40" s="11"/>
      <c r="G40" s="8" t="s">
        <v>504</v>
      </c>
      <c r="H40" s="11" t="s">
        <v>1747</v>
      </c>
      <c r="I40" s="11"/>
    </row>
    <row r="41" spans="1:9">
      <c r="A41" s="11"/>
      <c r="B41" s="11"/>
      <c r="C41" s="11"/>
      <c r="D41" s="11" t="str">
        <f t="shared" si="1"/>
        <v>Write the Golden Boot player</v>
      </c>
      <c r="E41" s="11" t="s">
        <v>480</v>
      </c>
      <c r="F41" s="11" t="s">
        <v>205</v>
      </c>
      <c r="G41" s="8" t="s">
        <v>1740</v>
      </c>
      <c r="H41" s="11" t="s">
        <v>1746</v>
      </c>
      <c r="I41" s="11"/>
    </row>
    <row r="42" spans="1:9">
      <c r="A42" s="11"/>
      <c r="B42" s="11"/>
      <c r="C42" s="11"/>
      <c r="D42" s="11" t="str">
        <f t="shared" si="1"/>
        <v>Write the Silver Boot player</v>
      </c>
      <c r="E42" s="11" t="s">
        <v>480</v>
      </c>
      <c r="F42" s="11" t="s">
        <v>206</v>
      </c>
      <c r="G42" s="8" t="s">
        <v>1741</v>
      </c>
      <c r="H42" s="11" t="s">
        <v>1749</v>
      </c>
      <c r="I42" s="11"/>
    </row>
    <row r="43" spans="1:9">
      <c r="A43" s="11"/>
      <c r="B43" s="11"/>
      <c r="C43" s="11"/>
      <c r="D43" s="11" t="str">
        <f t="shared" si="1"/>
        <v>Write the Bronze Boot player</v>
      </c>
      <c r="E43" s="11"/>
      <c r="F43" s="11"/>
      <c r="G43" s="8" t="s">
        <v>1742</v>
      </c>
      <c r="H43" s="11" t="s">
        <v>1750</v>
      </c>
      <c r="I43" s="11"/>
    </row>
    <row r="44" spans="1:9">
      <c r="A44" s="11"/>
      <c r="B44" s="11"/>
      <c r="C44" s="11"/>
      <c r="D44" s="11" t="str">
        <f t="shared" si="1"/>
        <v>Write the Golden Ball player</v>
      </c>
      <c r="E44" s="11"/>
      <c r="F44" s="11"/>
      <c r="G44" s="8" t="s">
        <v>1743</v>
      </c>
      <c r="H44" s="11" t="s">
        <v>1751</v>
      </c>
      <c r="I44" s="11"/>
    </row>
    <row r="45" spans="1:9">
      <c r="A45" s="11"/>
      <c r="B45" s="11"/>
      <c r="C45" s="11"/>
      <c r="D45" s="11" t="str">
        <f t="shared" si="1"/>
        <v>Write the Silver Ball player</v>
      </c>
      <c r="E45" s="11"/>
      <c r="F45" s="11"/>
      <c r="G45" s="8" t="s">
        <v>1744</v>
      </c>
      <c r="H45" s="11" t="s">
        <v>1752</v>
      </c>
      <c r="I45" s="11"/>
    </row>
    <row r="46" spans="1:9">
      <c r="A46" s="11"/>
      <c r="B46" s="11"/>
      <c r="C46" s="11"/>
      <c r="D46" s="11" t="str">
        <f t="shared" si="1"/>
        <v>Write the Bronze Ball player</v>
      </c>
      <c r="E46" s="11"/>
      <c r="F46" s="11"/>
      <c r="G46" s="8" t="s">
        <v>1745</v>
      </c>
      <c r="H46" s="11" t="s">
        <v>1748</v>
      </c>
      <c r="I46" s="11"/>
    </row>
    <row r="47" spans="1:9">
      <c r="A47" s="11"/>
      <c r="B47" s="11"/>
      <c r="C47" s="11"/>
      <c r="D47" s="11" t="str">
        <f t="shared" si="1"/>
        <v>GroupName</v>
      </c>
      <c r="E47" s="11" t="s">
        <v>186</v>
      </c>
      <c r="F47" s="11" t="s">
        <v>207</v>
      </c>
      <c r="G47" s="11" t="s">
        <v>1900</v>
      </c>
      <c r="H47" s="11" t="s">
        <v>1901</v>
      </c>
      <c r="I47" s="11"/>
    </row>
    <row r="48" spans="1:9">
      <c r="A48" s="11"/>
      <c r="B48" s="11"/>
      <c r="C48" s="11"/>
      <c r="D48" s="11" t="str">
        <f t="shared" si="1"/>
        <v>Write the name of the group</v>
      </c>
      <c r="E48" s="11" t="s">
        <v>1907</v>
      </c>
      <c r="F48" s="11" t="s">
        <v>208</v>
      </c>
      <c r="G48" s="11" t="s">
        <v>1856</v>
      </c>
      <c r="H48" s="11" t="s">
        <v>1857</v>
      </c>
      <c r="I48" s="11"/>
    </row>
    <row r="49" spans="1:11">
      <c r="A49" s="11"/>
      <c r="B49" s="11"/>
      <c r="C49" s="11"/>
      <c r="D49" s="11" t="str">
        <f t="shared" si="1"/>
        <v>WORLD CUP IN PROGRESS</v>
      </c>
      <c r="E49" s="11" t="s">
        <v>480</v>
      </c>
      <c r="F49" s="11" t="s">
        <v>209</v>
      </c>
      <c r="G49" s="11" t="s">
        <v>1909</v>
      </c>
      <c r="H49" s="11" t="s">
        <v>1908</v>
      </c>
      <c r="I49" s="11"/>
    </row>
    <row r="50" spans="1:11">
      <c r="A50" s="11"/>
      <c r="B50" s="11"/>
      <c r="C50" s="11"/>
      <c r="D50" s="11" t="str">
        <f t="shared" si="1"/>
        <v>The race is still on</v>
      </c>
      <c r="E50" s="11" t="s">
        <v>480</v>
      </c>
      <c r="F50" s="11" t="s">
        <v>210</v>
      </c>
      <c r="G50" s="11" t="s">
        <v>1912</v>
      </c>
      <c r="H50" s="11" t="s">
        <v>1913</v>
      </c>
      <c r="I50" s="11"/>
    </row>
    <row r="51" spans="1:11">
      <c r="A51" s="11"/>
      <c r="B51" s="11"/>
      <c r="C51" s="11"/>
      <c r="D51" s="11" t="str">
        <f t="shared" si="1"/>
        <v>WORLD CUP FINISHED</v>
      </c>
      <c r="E51" s="11" t="s">
        <v>480</v>
      </c>
      <c r="F51" s="11" t="s">
        <v>211</v>
      </c>
      <c r="G51" s="11" t="s">
        <v>1910</v>
      </c>
      <c r="H51" s="11" t="s">
        <v>1911</v>
      </c>
      <c r="I51" s="11"/>
    </row>
    <row r="52" spans="1:11">
      <c r="A52" s="11"/>
      <c r="B52" s="11"/>
      <c r="C52" s="11"/>
      <c r="D52" s="11" t="str">
        <f t="shared" si="1"/>
        <v>Who has won the pool?</v>
      </c>
      <c r="E52" s="11" t="s">
        <v>480</v>
      </c>
      <c r="F52" s="11" t="s">
        <v>212</v>
      </c>
      <c r="G52" s="11" t="s">
        <v>1914</v>
      </c>
      <c r="H52" s="11" t="s">
        <v>1915</v>
      </c>
      <c r="I52" s="11"/>
    </row>
    <row r="53" spans="1:11">
      <c r="A53" s="11"/>
      <c r="B53" s="11"/>
      <c r="C53" s="11"/>
      <c r="D53" s="11" t="str">
        <f t="shared" si="1"/>
        <v>Pos</v>
      </c>
      <c r="E53" s="11" t="s">
        <v>480</v>
      </c>
      <c r="F53" s="11" t="s">
        <v>226</v>
      </c>
      <c r="G53" s="11" t="s">
        <v>14</v>
      </c>
      <c r="H53" s="11" t="s">
        <v>14</v>
      </c>
      <c r="I53" s="11"/>
    </row>
    <row r="54" spans="1:11">
      <c r="A54" s="11"/>
      <c r="B54" s="11"/>
      <c r="C54" s="11"/>
      <c r="D54" s="11" t="str">
        <f t="shared" si="1"/>
        <v>Nation</v>
      </c>
      <c r="E54" s="11" t="s">
        <v>480</v>
      </c>
      <c r="F54" s="11" t="s">
        <v>227</v>
      </c>
      <c r="G54" s="11" t="s">
        <v>68</v>
      </c>
      <c r="H54" s="11" t="s">
        <v>236</v>
      </c>
      <c r="I54" s="11"/>
    </row>
    <row r="55" spans="1:11">
      <c r="A55" s="11"/>
      <c r="B55" s="11"/>
      <c r="C55" s="11"/>
      <c r="D55" s="11" t="str">
        <f t="shared" si="1"/>
        <v>Pts</v>
      </c>
      <c r="E55" s="11" t="s">
        <v>480</v>
      </c>
      <c r="F55" s="11" t="s">
        <v>228</v>
      </c>
      <c r="G55" s="11" t="s">
        <v>32</v>
      </c>
      <c r="H55" s="11" t="s">
        <v>32</v>
      </c>
      <c r="I55" s="11"/>
    </row>
    <row r="56" spans="1:11">
      <c r="A56" s="11"/>
      <c r="B56" s="11"/>
      <c r="C56" s="11"/>
      <c r="D56" s="11" t="str">
        <f t="shared" si="1"/>
        <v>P</v>
      </c>
      <c r="E56" s="11" t="s">
        <v>480</v>
      </c>
      <c r="F56" s="11" t="s">
        <v>229</v>
      </c>
      <c r="G56" s="11" t="s">
        <v>5</v>
      </c>
      <c r="H56" s="11" t="s">
        <v>7</v>
      </c>
      <c r="I56" s="11"/>
    </row>
    <row r="57" spans="1:11">
      <c r="A57" s="11"/>
      <c r="B57" s="11"/>
      <c r="C57" s="11"/>
      <c r="D57" s="11" t="str">
        <f t="shared" si="1"/>
        <v>W</v>
      </c>
      <c r="E57" s="11" t="s">
        <v>480</v>
      </c>
      <c r="F57" s="11" t="s">
        <v>230</v>
      </c>
      <c r="G57" s="11" t="s">
        <v>6</v>
      </c>
      <c r="H57" s="11" t="s">
        <v>237</v>
      </c>
      <c r="I57" s="11"/>
    </row>
    <row r="58" spans="1:11">
      <c r="A58" s="11"/>
      <c r="B58" s="11"/>
      <c r="C58" s="11"/>
      <c r="D58" s="11" t="str">
        <f t="shared" si="1"/>
        <v>D</v>
      </c>
      <c r="E58" s="11" t="s">
        <v>480</v>
      </c>
      <c r="F58" s="11" t="s">
        <v>231</v>
      </c>
      <c r="G58" s="11" t="s">
        <v>3</v>
      </c>
      <c r="H58" s="11" t="s">
        <v>73</v>
      </c>
      <c r="I58" s="11"/>
      <c r="K58" s="1"/>
    </row>
    <row r="59" spans="1:11">
      <c r="A59" s="11"/>
      <c r="B59" s="11"/>
      <c r="C59" s="11"/>
      <c r="D59" s="11" t="str">
        <f t="shared" si="1"/>
        <v>L</v>
      </c>
      <c r="E59" s="11" t="s">
        <v>480</v>
      </c>
      <c r="F59" s="11" t="s">
        <v>232</v>
      </c>
      <c r="G59" s="11" t="s">
        <v>7</v>
      </c>
      <c r="H59" s="11" t="s">
        <v>238</v>
      </c>
      <c r="I59" s="11"/>
      <c r="K59" s="1"/>
    </row>
    <row r="60" spans="1:11">
      <c r="A60" s="11"/>
      <c r="B60" s="11"/>
      <c r="C60" s="11"/>
      <c r="D60" s="11" t="str">
        <f t="shared" si="1"/>
        <v>F</v>
      </c>
      <c r="E60" s="11" t="s">
        <v>480</v>
      </c>
      <c r="F60" s="11" t="s">
        <v>233</v>
      </c>
      <c r="G60" s="11" t="s">
        <v>8</v>
      </c>
      <c r="H60" s="11" t="s">
        <v>4</v>
      </c>
      <c r="I60" s="11"/>
      <c r="K60" s="1"/>
    </row>
    <row r="61" spans="1:11">
      <c r="A61" s="11"/>
      <c r="B61" s="11"/>
      <c r="C61" s="11"/>
      <c r="D61" s="11" t="str">
        <f t="shared" si="1"/>
        <v>A</v>
      </c>
      <c r="E61" s="11" t="s">
        <v>480</v>
      </c>
      <c r="F61" s="11" t="s">
        <v>234</v>
      </c>
      <c r="G61" s="11" t="s">
        <v>9</v>
      </c>
      <c r="H61" s="11" t="s">
        <v>0</v>
      </c>
      <c r="I61" s="11"/>
      <c r="K61" s="1"/>
    </row>
    <row r="62" spans="1:11">
      <c r="A62" s="11"/>
      <c r="B62" s="11"/>
      <c r="C62" s="11"/>
      <c r="D62" s="11" t="str">
        <f t="shared" si="1"/>
        <v>GD</v>
      </c>
      <c r="E62" s="11" t="s">
        <v>480</v>
      </c>
      <c r="F62" s="11" t="s">
        <v>235</v>
      </c>
      <c r="G62" s="11" t="s">
        <v>66</v>
      </c>
      <c r="H62" s="11" t="s">
        <v>81</v>
      </c>
      <c r="I62" s="11"/>
      <c r="K62" s="1"/>
    </row>
    <row r="63" spans="1:11">
      <c r="A63" s="11"/>
      <c r="B63" s="11"/>
      <c r="C63" s="11"/>
      <c r="D63" s="11" t="str">
        <f t="shared" si="1"/>
        <v>R1</v>
      </c>
      <c r="E63" s="11" t="s">
        <v>480</v>
      </c>
      <c r="F63" s="11"/>
      <c r="G63" s="11" t="s">
        <v>26</v>
      </c>
      <c r="H63" s="11" t="s">
        <v>273</v>
      </c>
      <c r="I63" s="11"/>
      <c r="K63" s="1"/>
    </row>
    <row r="64" spans="1:11">
      <c r="A64" s="11"/>
      <c r="B64" s="11"/>
      <c r="C64" s="11"/>
      <c r="D64" s="11" t="str">
        <f t="shared" si="1"/>
        <v>R2</v>
      </c>
      <c r="E64" s="11" t="s">
        <v>480</v>
      </c>
      <c r="F64" s="11"/>
      <c r="G64" s="11" t="s">
        <v>27</v>
      </c>
      <c r="H64" s="11" t="s">
        <v>274</v>
      </c>
      <c r="I64" s="11"/>
    </row>
    <row r="65" spans="1:9">
      <c r="A65" s="11"/>
      <c r="B65" s="11"/>
      <c r="C65" s="11"/>
      <c r="D65" s="11" t="str">
        <f t="shared" si="1"/>
        <v>R3</v>
      </c>
      <c r="E65" s="11" t="s">
        <v>480</v>
      </c>
      <c r="F65" s="11"/>
      <c r="G65" s="11" t="s">
        <v>28</v>
      </c>
      <c r="H65" s="11" t="s">
        <v>275</v>
      </c>
      <c r="I65" s="11"/>
    </row>
    <row r="66" spans="1:9">
      <c r="A66" s="11"/>
      <c r="B66" s="11"/>
      <c r="C66" s="11" t="s">
        <v>1906</v>
      </c>
      <c r="D66" s="11" t="str">
        <f t="shared" si="1"/>
        <v>Show the best third-placed teams before the group stage ends?</v>
      </c>
      <c r="E66" s="11" t="s">
        <v>480</v>
      </c>
      <c r="F66" s="11" t="s">
        <v>1222</v>
      </c>
      <c r="G66" s="713" t="s">
        <v>1334</v>
      </c>
      <c r="H66" s="11" t="s">
        <v>1223</v>
      </c>
      <c r="I66" s="11"/>
    </row>
    <row r="67" spans="1:9">
      <c r="A67" s="11"/>
      <c r="B67" s="11"/>
      <c r="C67" s="11"/>
      <c r="D67" s="11" t="str">
        <f t="shared" si="1"/>
        <v>Yes</v>
      </c>
      <c r="E67" s="11" t="s">
        <v>480</v>
      </c>
      <c r="F67" s="11"/>
      <c r="G67" s="11" t="s">
        <v>1219</v>
      </c>
      <c r="H67" s="11" t="s">
        <v>1221</v>
      </c>
      <c r="I67" s="11"/>
    </row>
    <row r="68" spans="1:9">
      <c r="A68" s="11"/>
      <c r="B68" s="11"/>
      <c r="C68" s="11"/>
      <c r="D68" s="11" t="str">
        <f t="shared" si="1"/>
        <v>No</v>
      </c>
      <c r="E68" s="11" t="s">
        <v>480</v>
      </c>
      <c r="F68" s="11"/>
      <c r="G68" s="11" t="s">
        <v>1220</v>
      </c>
      <c r="H68" s="11" t="s">
        <v>1220</v>
      </c>
      <c r="I68" s="11"/>
    </row>
    <row r="69" spans="1:9">
      <c r="A69" s="11"/>
      <c r="B69" s="11"/>
      <c r="C69" s="11"/>
      <c r="D69" s="11" t="str">
        <f t="shared" ref="D69:D78" si="2">IF($B$2,G69,H69)</f>
        <v>Deducted Points</v>
      </c>
      <c r="E69" s="11" t="s">
        <v>480</v>
      </c>
      <c r="F69" s="11"/>
      <c r="G69" s="688" t="s">
        <v>1232</v>
      </c>
      <c r="H69" s="688" t="s">
        <v>1233</v>
      </c>
      <c r="I69" s="11"/>
    </row>
    <row r="70" spans="1:9">
      <c r="A70" s="11"/>
      <c r="B70" s="11"/>
      <c r="C70" s="11"/>
      <c r="D70" s="11" t="str">
        <f t="shared" si="2"/>
        <v xml:space="preserve">Best 3-placed groups: </v>
      </c>
      <c r="E70" s="11"/>
      <c r="F70" s="11"/>
      <c r="G70" s="688" t="s">
        <v>1331</v>
      </c>
      <c r="H70" s="688" t="s">
        <v>1330</v>
      </c>
      <c r="I70" s="11"/>
    </row>
    <row r="71" spans="1:9">
      <c r="A71" s="11"/>
      <c r="B71" s="11"/>
      <c r="C71" s="11"/>
      <c r="D71" s="11" t="str">
        <f t="shared" si="2"/>
        <v>The ranking of the best third places appears at the end of J1</v>
      </c>
      <c r="E71" s="11"/>
      <c r="F71" s="11"/>
      <c r="G71" s="11" t="s">
        <v>1366</v>
      </c>
      <c r="H71" s="11" t="s">
        <v>1367</v>
      </c>
      <c r="I71" s="11"/>
    </row>
    <row r="72" spans="1:9">
      <c r="A72" s="11"/>
      <c r="B72" s="11"/>
      <c r="C72" s="11"/>
      <c r="D72" s="11" t="str">
        <f t="shared" si="2"/>
        <v>Yes</v>
      </c>
      <c r="E72" s="11"/>
      <c r="F72" s="11"/>
      <c r="G72" s="11" t="s">
        <v>1219</v>
      </c>
      <c r="H72" s="11" t="s">
        <v>1221</v>
      </c>
      <c r="I72" s="11"/>
    </row>
    <row r="73" spans="1:9">
      <c r="A73" s="11"/>
      <c r="B73" s="11"/>
      <c r="C73" s="11"/>
      <c r="D73" s="11" t="str">
        <f t="shared" si="2"/>
        <v>No</v>
      </c>
      <c r="E73" s="11"/>
      <c r="F73" s="11"/>
      <c r="G73" s="11" t="s">
        <v>1220</v>
      </c>
      <c r="H73" s="11" t="s">
        <v>1220</v>
      </c>
      <c r="I73" s="11"/>
    </row>
    <row r="74" spans="1:9">
      <c r="A74" s="11"/>
      <c r="B74" s="11"/>
      <c r="C74" s="11"/>
      <c r="D74" s="11" t="str">
        <f t="shared" si="2"/>
        <v>Are there penalized teams?</v>
      </c>
      <c r="E74" s="11"/>
      <c r="F74" s="11"/>
      <c r="G74" s="11" t="s">
        <v>1735</v>
      </c>
      <c r="H74" s="11" t="s">
        <v>1736</v>
      </c>
      <c r="I74" s="11"/>
    </row>
    <row r="75" spans="1:9">
      <c r="A75" s="11"/>
      <c r="B75" s="11"/>
      <c r="C75" s="11">
        <v>1</v>
      </c>
      <c r="D75" s="11" t="str">
        <f t="shared" si="2"/>
        <v>Normal</v>
      </c>
      <c r="E75" s="11"/>
      <c r="F75" s="11"/>
      <c r="G75" s="11" t="s">
        <v>1808</v>
      </c>
      <c r="H75" s="11" t="s">
        <v>1808</v>
      </c>
      <c r="I75" s="11"/>
    </row>
    <row r="76" spans="1:9">
      <c r="A76" s="11"/>
      <c r="B76" s="11"/>
      <c r="C76" s="11">
        <v>2</v>
      </c>
      <c r="D76" s="11" t="str">
        <f t="shared" si="2"/>
        <v>Matches against the bottom team are excluded.</v>
      </c>
      <c r="E76" s="11"/>
      <c r="F76" s="11"/>
      <c r="G76" s="11" t="s">
        <v>1809</v>
      </c>
      <c r="H76" s="11" t="s">
        <v>1810</v>
      </c>
      <c r="I76" s="11"/>
    </row>
    <row r="77" spans="1:9">
      <c r="A77" s="11"/>
      <c r="B77" s="11"/>
      <c r="C77" s="11">
        <v>3</v>
      </c>
      <c r="D77" s="11" t="str">
        <f t="shared" si="2"/>
        <v>Average per match</v>
      </c>
      <c r="E77" s="11"/>
      <c r="F77" s="11"/>
      <c r="G77" s="11" t="s">
        <v>1811</v>
      </c>
      <c r="H77" s="11" t="s">
        <v>1812</v>
      </c>
      <c r="I77" s="11"/>
    </row>
    <row r="78" spans="1:9">
      <c r="A78" s="11"/>
      <c r="B78" s="11"/>
      <c r="C78" s="11"/>
      <c r="D78" s="11" t="str">
        <f t="shared" si="2"/>
        <v>Select criteria:</v>
      </c>
      <c r="E78" s="11"/>
      <c r="F78" s="11"/>
      <c r="G78" s="11" t="s">
        <v>1813</v>
      </c>
      <c r="H78" s="11" t="s">
        <v>1814</v>
      </c>
      <c r="I78" s="11"/>
    </row>
    <row r="79" spans="1:9">
      <c r="A79" s="11"/>
      <c r="B79" s="11"/>
      <c r="C79" s="11"/>
      <c r="D79" s="11"/>
      <c r="E79" s="11"/>
      <c r="F79" s="11"/>
      <c r="G79" s="11"/>
      <c r="H79" s="11"/>
      <c r="I79" s="11"/>
    </row>
    <row r="80" spans="1:9">
      <c r="A80" s="11"/>
      <c r="B80" s="11"/>
      <c r="C80" s="11"/>
      <c r="D80" s="11"/>
      <c r="E80" s="11"/>
      <c r="F80" s="11"/>
      <c r="G80" s="11"/>
      <c r="H80" s="11"/>
      <c r="I80" s="11"/>
    </row>
    <row r="81" spans="1:9" ht="15" customHeight="1">
      <c r="A81" s="11"/>
      <c r="B81" s="11"/>
      <c r="C81" s="11"/>
      <c r="D81" s="11" t="str">
        <f t="shared" ref="D81:D109" si="3">IF($B$2,G81,H81)</f>
        <v>This file is available without guarantee. The author is not responsible for the damage, inaccuracy of the data or losses of any kind caused by the use or misuse of the file. The use of this file will be the responsibility of the user. File passwords will not be provided (and we don't answer to requests for them). The file doesn't contain macros. It's recommended to scan the downloaded file with a reputable antivirus. The file should not be edited except in the places established for it (enter the results, the name). The formulas, protection and structure must not be modified. The file cannot be resold to third parties and is for the exclusive use of the user.</v>
      </c>
      <c r="E81" s="11" t="s">
        <v>1903</v>
      </c>
      <c r="F81" s="11" t="s">
        <v>125</v>
      </c>
      <c r="G81" s="11" t="s">
        <v>72</v>
      </c>
      <c r="H81" s="773" t="s">
        <v>286</v>
      </c>
      <c r="I81" s="11"/>
    </row>
    <row r="82" spans="1:9">
      <c r="A82" s="11"/>
      <c r="B82" s="11"/>
      <c r="C82" s="11"/>
      <c r="D82" s="11" t="str">
        <f t="shared" si="3"/>
        <v>Author:</v>
      </c>
      <c r="E82" s="11" t="s">
        <v>1903</v>
      </c>
      <c r="F82" s="11" t="s">
        <v>214</v>
      </c>
      <c r="G82" s="11" t="s">
        <v>24</v>
      </c>
      <c r="H82" s="11" t="s">
        <v>287</v>
      </c>
      <c r="I82" s="11"/>
    </row>
    <row r="83" spans="1:9">
      <c r="A83" s="11"/>
      <c r="B83" s="11"/>
      <c r="C83" s="11"/>
      <c r="D83" s="11" t="str">
        <f t="shared" si="3"/>
        <v>Last version:</v>
      </c>
      <c r="E83" s="11" t="s">
        <v>1903</v>
      </c>
      <c r="F83" s="11" t="s">
        <v>215</v>
      </c>
      <c r="G83" s="11" t="s">
        <v>289</v>
      </c>
      <c r="H83" s="11" t="s">
        <v>288</v>
      </c>
      <c r="I83" s="11"/>
    </row>
    <row r="84" spans="1:9">
      <c r="A84" s="11"/>
      <c r="B84" s="11"/>
      <c r="C84" s="11"/>
      <c r="D84" s="11" t="str">
        <f t="shared" si="3"/>
        <v>Disclaimer:</v>
      </c>
      <c r="E84" s="11" t="s">
        <v>1903</v>
      </c>
      <c r="F84" s="11" t="s">
        <v>119</v>
      </c>
      <c r="G84" s="11" t="s">
        <v>23</v>
      </c>
      <c r="H84" s="11" t="s">
        <v>351</v>
      </c>
      <c r="I84" s="11"/>
    </row>
    <row r="85" spans="1:9">
      <c r="A85" s="11"/>
      <c r="B85" s="11"/>
      <c r="C85" s="11"/>
      <c r="D85" s="11" t="str">
        <f t="shared" si="3"/>
        <v>TO DOWNLOAD, CLICK ON</v>
      </c>
      <c r="E85" s="11" t="s">
        <v>1903</v>
      </c>
      <c r="F85" s="11"/>
      <c r="G85" s="11" t="s">
        <v>1369</v>
      </c>
      <c r="H85" s="11" t="s">
        <v>1368</v>
      </c>
      <c r="I85" s="11"/>
    </row>
    <row r="86" spans="1:9">
      <c r="A86" s="11"/>
      <c r="B86" s="11"/>
      <c r="C86" s="11"/>
      <c r="D86" s="11" t="str">
        <f t="shared" si="3"/>
        <v>· Select the language and time zone</v>
      </c>
      <c r="E86" s="11" t="s">
        <v>1903</v>
      </c>
      <c r="F86" s="11"/>
      <c r="G86" s="11" t="s">
        <v>1918</v>
      </c>
      <c r="H86" s="11" t="s">
        <v>1849</v>
      </c>
      <c r="I86" s="11"/>
    </row>
    <row r="87" spans="1:9">
      <c r="A87" s="11"/>
      <c r="B87" s="11"/>
      <c r="C87" s="11"/>
      <c r="D87" s="11" t="str">
        <f t="shared" si="3"/>
        <v>· Write the pool's group name</v>
      </c>
      <c r="E87" s="11" t="s">
        <v>1903</v>
      </c>
      <c r="F87" s="11"/>
      <c r="G87" s="11" t="s">
        <v>1858</v>
      </c>
      <c r="H87" s="11" t="s">
        <v>1859</v>
      </c>
      <c r="I87" s="11"/>
    </row>
    <row r="88" spans="1:9">
      <c r="A88" s="11"/>
      <c r="B88" s="11"/>
      <c r="C88" s="11"/>
      <c r="D88" s="11" t="str">
        <f t="shared" si="3"/>
        <v>· You can download the participant file frome here</v>
      </c>
      <c r="E88" s="11" t="s">
        <v>1903</v>
      </c>
      <c r="F88" s="11"/>
      <c r="G88" s="11" t="s">
        <v>1862</v>
      </c>
      <c r="H88" s="11" t="s">
        <v>1863</v>
      </c>
      <c r="I88" s="11"/>
    </row>
    <row r="89" spans="1:9">
      <c r="A89" s="11"/>
      <c r="B89" s="11"/>
      <c r="C89" s="11"/>
      <c r="D89" s="11" t="str">
        <f t="shared" si="3"/>
        <v>(Before the World Cup starts)</v>
      </c>
      <c r="E89" s="11" t="s">
        <v>1903</v>
      </c>
      <c r="F89" s="11"/>
      <c r="G89" s="11" t="s">
        <v>1874</v>
      </c>
      <c r="H89" s="11" t="s">
        <v>1875</v>
      </c>
      <c r="I89" s="11"/>
    </row>
    <row r="90" spans="1:9">
      <c r="A90" s="11"/>
      <c r="B90" s="11"/>
      <c r="C90" s="11"/>
      <c r="D90" s="11" t="str">
        <f>IF($B$2,G90,H90)</f>
        <v>· The instructions for use of this sheet are on the same sheet</v>
      </c>
      <c r="E90" s="11" t="s">
        <v>1903</v>
      </c>
      <c r="F90" s="11"/>
      <c r="G90" s="11" t="s">
        <v>1854</v>
      </c>
      <c r="H90" s="11" t="s">
        <v>1855</v>
      </c>
      <c r="I90" s="11"/>
    </row>
    <row r="91" spans="1:9">
      <c r="A91" s="11"/>
      <c r="B91" s="11"/>
      <c r="C91" s="11"/>
      <c r="D91" s="11" t="str">
        <f>IF($B$2,G91,H91)</f>
        <v>· This sheet is used to manage the tournament pool</v>
      </c>
      <c r="E91" s="11" t="s">
        <v>1903</v>
      </c>
      <c r="F91" s="11"/>
      <c r="G91" s="11" t="s">
        <v>1868</v>
      </c>
      <c r="H91" s="11" t="s">
        <v>1869</v>
      </c>
      <c r="I91" s="11"/>
    </row>
    <row r="92" spans="1:9">
      <c r="A92" s="11"/>
      <c r="B92" s="11"/>
      <c r="C92" s="11"/>
      <c r="D92" s="11" t="str">
        <f>IF($B$2,G92,H92)</f>
        <v>· First, set the points for each criterion and share the scoring with the participants</v>
      </c>
      <c r="E92" s="11" t="s">
        <v>1903</v>
      </c>
      <c r="F92" s="11"/>
      <c r="G92" s="11" t="s">
        <v>1872</v>
      </c>
      <c r="H92" s="11" t="s">
        <v>1870</v>
      </c>
      <c r="I92" s="11"/>
    </row>
    <row r="93" spans="1:9">
      <c r="A93" s="11"/>
      <c r="B93" s="11"/>
      <c r="C93" s="11"/>
      <c r="D93" s="11" t="str">
        <f t="shared" ref="D93:D96" si="4">IF($B$2,G93,H93)</f>
        <v>· Here’s an explanation of each scoring rule</v>
      </c>
      <c r="E93" s="11" t="s">
        <v>1903</v>
      </c>
      <c r="F93" s="11"/>
      <c r="G93" s="11" t="s">
        <v>1871</v>
      </c>
      <c r="H93" s="11" t="s">
        <v>1883</v>
      </c>
      <c r="I93" s="11"/>
    </row>
    <row r="94" spans="1:9">
      <c r="A94" s="11"/>
      <c r="B94" s="11"/>
      <c r="C94" s="11"/>
      <c r="D94" s="11" t="str">
        <f t="shared" si="4"/>
        <v>· Once participants send their file, copy their picks from the 'Pool' tab into this ADMIN tab</v>
      </c>
      <c r="E94" s="11" t="s">
        <v>1903</v>
      </c>
      <c r="F94" s="11"/>
      <c r="G94" s="11" t="s">
        <v>1884</v>
      </c>
      <c r="H94" s="11" t="s">
        <v>1882</v>
      </c>
      <c r="I94" s="11"/>
    </row>
    <row r="95" spans="1:9">
      <c r="A95" s="11"/>
      <c r="B95" s="11"/>
      <c r="C95" s="11"/>
      <c r="D95" s="11" t="str">
        <f t="shared" si="4"/>
        <v>· Once all picks are in, select the number of players on the ADMIN sheet</v>
      </c>
      <c r="E95" s="11" t="s">
        <v>1903</v>
      </c>
      <c r="F95" s="11"/>
      <c r="G95" s="11" t="s">
        <v>1885</v>
      </c>
      <c r="H95" s="11" t="s">
        <v>1881</v>
      </c>
      <c r="I95" s="11"/>
    </row>
    <row r="96" spans="1:9">
      <c r="A96" s="11"/>
      <c r="B96" s="11"/>
      <c r="C96" s="11"/>
      <c r="D96" s="11" t="str">
        <f t="shared" si="4"/>
        <v>(Once the World Cup has started)</v>
      </c>
      <c r="E96" s="11" t="s">
        <v>1903</v>
      </c>
      <c r="F96" s="11"/>
      <c r="G96" s="11" t="s">
        <v>1876</v>
      </c>
      <c r="H96" s="11" t="s">
        <v>1877</v>
      </c>
      <c r="I96" s="11"/>
    </row>
    <row r="97" spans="1:9">
      <c r="A97" s="11"/>
      <c r="B97" s="11"/>
      <c r="C97" s="11"/>
      <c r="D97" s="11" t="str">
        <f>IF($B$2,G97,H97)</f>
        <v>· When the World Cup begins, fill in the gray boxes with the real group stage results</v>
      </c>
      <c r="E97" s="11" t="s">
        <v>1903</v>
      </c>
      <c r="F97" s="11"/>
      <c r="G97" s="11" t="s">
        <v>1873</v>
      </c>
      <c r="H97" s="11" t="s">
        <v>1880</v>
      </c>
      <c r="I97" s="11"/>
    </row>
    <row r="98" spans="1:9">
      <c r="A98" s="11"/>
      <c r="B98" s="11"/>
      <c r="C98" s="11"/>
      <c r="D98" s="11" t="str">
        <f>IF($B$2,G98,H98)</f>
        <v>· In case of a tie in the position of a group or in the best third-placed teams, select the order of the drawed nations</v>
      </c>
      <c r="E98" s="11" t="s">
        <v>1903</v>
      </c>
      <c r="F98" s="11"/>
      <c r="G98" s="11" t="s">
        <v>1864</v>
      </c>
      <c r="H98" s="11" t="s">
        <v>1865</v>
      </c>
      <c r="I98" s="11"/>
    </row>
    <row r="99" spans="1:9">
      <c r="A99" s="11"/>
      <c r="B99" s="11"/>
      <c r="C99" s="11"/>
      <c r="D99" s="11" t="str">
        <f>IF($B$2,G99,H99)</f>
        <v>· Playoffs are set automatically</v>
      </c>
      <c r="E99" s="11" t="s">
        <v>1903</v>
      </c>
      <c r="F99" s="11"/>
      <c r="G99" s="11" t="s">
        <v>1850</v>
      </c>
      <c r="H99" s="11" t="s">
        <v>1851</v>
      </c>
      <c r="I99" s="11"/>
    </row>
    <row r="100" spans="1:9">
      <c r="A100" s="11"/>
      <c r="B100" s="11"/>
      <c r="C100" s="11"/>
      <c r="D100" s="11" t="str">
        <f>IF($B$2,G100,H100)</f>
        <v>· Fill in the results of the knockout stages. In the event of a tie, two cells are opened on the sides to introduce the result of the penalties</v>
      </c>
      <c r="E100" s="11" t="s">
        <v>1903</v>
      </c>
      <c r="F100" s="11"/>
      <c r="G100" s="11" t="s">
        <v>1852</v>
      </c>
      <c r="H100" s="11" t="s">
        <v>1853</v>
      </c>
      <c r="I100" s="11"/>
    </row>
    <row r="101" spans="1:9">
      <c r="A101" s="11"/>
      <c r="B101" s="11"/>
      <c r="C101" s="11"/>
      <c r="D101" s="11" t="str">
        <f>IF($B$2,G101,H101)</f>
        <v>· Fill in the best players and top scorers</v>
      </c>
      <c r="E101" s="11" t="s">
        <v>1903</v>
      </c>
      <c r="F101" s="11"/>
      <c r="G101" s="11" t="s">
        <v>1866</v>
      </c>
      <c r="H101" s="11" t="s">
        <v>1867</v>
      </c>
      <c r="I101" s="11"/>
    </row>
    <row r="102" spans="1:9">
      <c r="A102" s="11"/>
      <c r="B102" s="11"/>
      <c r="C102" s="11"/>
      <c r="D102" s="11" t="str">
        <f t="shared" si="3"/>
        <v>· This sheet shows a view of all the results entered in the WORLDCUP sheet, nothing is filled in on this sheet</v>
      </c>
      <c r="E102" s="11" t="s">
        <v>1903</v>
      </c>
      <c r="F102" s="11"/>
      <c r="G102" s="11" t="s">
        <v>1886</v>
      </c>
      <c r="H102" s="11" t="s">
        <v>1879</v>
      </c>
      <c r="I102" s="11"/>
    </row>
    <row r="103" spans="1:9">
      <c r="A103" s="11"/>
      <c r="B103" s="11"/>
      <c r="C103" s="11"/>
      <c r="D103" s="11" t="str">
        <f t="shared" si="3"/>
        <v>https://matejero.com/download/excel-world-cup-2026/</v>
      </c>
      <c r="E103" s="11" t="s">
        <v>1903</v>
      </c>
      <c r="F103" s="11"/>
      <c r="G103" s="774" t="s">
        <v>1860</v>
      </c>
      <c r="H103" s="11" t="s">
        <v>1861</v>
      </c>
      <c r="I103" s="11"/>
    </row>
    <row r="104" spans="1:9">
      <c r="A104" s="11"/>
      <c r="B104" s="11"/>
      <c r="C104" s="11"/>
      <c r="D104" s="11" t="str">
        <f t="shared" si="3"/>
        <v>· The overall standings will be updated on this sheet as match results are entered</v>
      </c>
      <c r="E104" s="11" t="s">
        <v>1903</v>
      </c>
      <c r="F104" s="11"/>
      <c r="G104" s="11" t="s">
        <v>1898</v>
      </c>
      <c r="H104" s="11" t="s">
        <v>1899</v>
      </c>
      <c r="I104" s="11"/>
    </row>
    <row r="105" spans="1:9">
      <c r="A105" s="11"/>
      <c r="B105" s="11"/>
      <c r="C105" s="11"/>
      <c r="D105" s="11" t="str">
        <f t="shared" si="3"/>
        <v>· Use this sheet to filter predictions by group stage day or knockout round</v>
      </c>
      <c r="E105" s="11" t="s">
        <v>1903</v>
      </c>
      <c r="F105" s="11"/>
      <c r="G105" s="11" t="s">
        <v>1887</v>
      </c>
      <c r="H105" s="11" t="s">
        <v>1891</v>
      </c>
      <c r="I105" s="11"/>
    </row>
    <row r="106" spans="1:9">
      <c r="A106" s="11"/>
      <c r="B106" s="11"/>
      <c r="C106" s="11"/>
      <c r="D106" s="11" t="str">
        <f t="shared" si="3"/>
        <v>· Here you can see the standings for the day/round selected on the "DailyPrediction" sheet</v>
      </c>
      <c r="E106" s="11" t="s">
        <v>1903</v>
      </c>
      <c r="F106" s="11"/>
      <c r="G106" s="11" t="s">
        <v>1889</v>
      </c>
      <c r="H106" s="11" t="s">
        <v>1890</v>
      </c>
      <c r="I106" s="11"/>
    </row>
    <row r="107" spans="1:9">
      <c r="A107" s="11"/>
      <c r="B107" s="11"/>
      <c r="C107" s="11"/>
      <c r="D107" s="11" t="str">
        <f t="shared" ref="D107" si="5">IF($B$2,G107,H107)</f>
        <v>If Iran doesn't participate in the World Cup and is replaced by another team, select the substitute nation from the dropdown menu. If it doesn't appear, choose 'Other' and manually enter the name (Spanish and English), its UTC zone and, optionally, its flag image.</v>
      </c>
      <c r="E107" s="11" t="s">
        <v>1903</v>
      </c>
      <c r="F107" s="11"/>
      <c r="G107" s="11" t="s">
        <v>1805</v>
      </c>
      <c r="H107" s="11" t="s">
        <v>1806</v>
      </c>
      <c r="I107" s="11"/>
    </row>
    <row r="108" spans="1:9">
      <c r="A108" s="11"/>
      <c r="B108" s="11"/>
      <c r="C108" s="11"/>
      <c r="D108" s="11" t="str">
        <f t="shared" si="3"/>
        <v>· On this sheet, you can view various overall and per-game statistics.</v>
      </c>
      <c r="E108" s="11" t="s">
        <v>1903</v>
      </c>
      <c r="F108" s="11"/>
      <c r="G108" s="11" t="s">
        <v>1892</v>
      </c>
      <c r="H108" s="11" t="s">
        <v>1895</v>
      </c>
      <c r="I108" s="11"/>
    </row>
    <row r="109" spans="1:9">
      <c r="A109" s="11"/>
      <c r="B109" s="11"/>
      <c r="C109" s="11"/>
      <c r="D109" s="11" t="str">
        <f t="shared" si="3"/>
        <v>· A version of Excel later than 2021 is required to view these correctly.</v>
      </c>
      <c r="E109" s="11" t="s">
        <v>1903</v>
      </c>
      <c r="F109" s="11"/>
      <c r="G109" s="11" t="s">
        <v>1894</v>
      </c>
      <c r="H109" s="11" t="s">
        <v>1893</v>
      </c>
      <c r="I109" s="11"/>
    </row>
    <row r="110" spans="1:9">
      <c r="A110" s="11"/>
      <c r="B110" s="11"/>
      <c r="C110" s="11"/>
      <c r="D110" s="11" t="str">
        <f>IF($B$2,G110,H110)</f>
        <v>· On this sheet, you can see the World Cup bracket at a glance</v>
      </c>
      <c r="E110" s="11" t="s">
        <v>1903</v>
      </c>
      <c r="F110" s="11"/>
      <c r="G110" s="11" t="s">
        <v>1896</v>
      </c>
      <c r="H110" s="11" t="s">
        <v>1897</v>
      </c>
      <c r="I110" s="11"/>
    </row>
    <row r="111" spans="1:9">
      <c r="A111" s="11"/>
      <c r="B111" s="11"/>
      <c r="C111" s="11"/>
      <c r="D111" s="11"/>
      <c r="E111" s="11"/>
      <c r="F111" s="11"/>
      <c r="G111" s="11"/>
      <c r="H111" s="11"/>
      <c r="I111" s="11"/>
    </row>
    <row r="112" spans="1:9">
      <c r="A112" s="11"/>
      <c r="B112" s="11"/>
      <c r="C112" s="11"/>
      <c r="D112" s="11" t="str">
        <f t="shared" ref="D112:D203" si="6">IF($B$2,G112,H112)</f>
        <v>For the administrator of the pool</v>
      </c>
      <c r="E112" s="11" t="s">
        <v>433</v>
      </c>
      <c r="F112" s="11" t="s">
        <v>114</v>
      </c>
      <c r="G112" s="11" t="s">
        <v>130</v>
      </c>
      <c r="H112" s="11" t="s">
        <v>266</v>
      </c>
      <c r="I112" s="11"/>
    </row>
    <row r="113" spans="1:16">
      <c r="A113" s="11"/>
      <c r="B113" s="11"/>
      <c r="C113" s="11"/>
      <c r="D113" s="11" t="str">
        <f t="shared" si="6"/>
        <v>PLAYER</v>
      </c>
      <c r="E113" s="11" t="s">
        <v>433</v>
      </c>
      <c r="F113" s="11" t="s">
        <v>119</v>
      </c>
      <c r="G113" s="11" t="s">
        <v>70</v>
      </c>
      <c r="H113" s="11" t="s">
        <v>267</v>
      </c>
      <c r="I113" s="11"/>
    </row>
    <row r="114" spans="1:16">
      <c r="A114" s="11"/>
      <c r="B114" s="11"/>
      <c r="C114" s="11"/>
      <c r="D114" s="11" t="str">
        <f t="shared" si="6"/>
        <v>Name</v>
      </c>
      <c r="E114" s="11" t="s">
        <v>433</v>
      </c>
      <c r="F114" s="11" t="s">
        <v>125</v>
      </c>
      <c r="G114" s="11" t="s">
        <v>42</v>
      </c>
      <c r="H114" s="11" t="s">
        <v>268</v>
      </c>
      <c r="I114" s="11"/>
    </row>
    <row r="115" spans="1:16">
      <c r="A115" s="11"/>
      <c r="B115" s="11"/>
      <c r="C115" s="11"/>
      <c r="D115" s="11" t="str">
        <f t="shared" si="6"/>
        <v>PLAYER: DO NOT TOUCH, IT'S AUTOMATIC!</v>
      </c>
      <c r="E115" s="11" t="s">
        <v>433</v>
      </c>
      <c r="F115" s="11" t="s">
        <v>239</v>
      </c>
      <c r="G115" s="11" t="s">
        <v>43</v>
      </c>
      <c r="H115" s="11" t="s">
        <v>269</v>
      </c>
      <c r="I115" s="11"/>
    </row>
    <row r="116" spans="1:16" ht="15" customHeight="1">
      <c r="A116" s="11"/>
      <c r="B116" s="11"/>
      <c r="C116" s="11"/>
      <c r="D116" s="11" t="str">
        <f t="shared" si="6"/>
        <v xml:space="preserve">THE POOL ADMINISTRATOR SHOULD FOLLOW THE INSTRUCTIONS BELOW				</v>
      </c>
      <c r="E116" s="11" t="s">
        <v>433</v>
      </c>
      <c r="F116" s="11" t="s">
        <v>116</v>
      </c>
      <c r="G116" s="11" t="s">
        <v>131</v>
      </c>
      <c r="H116" s="11" t="s">
        <v>270</v>
      </c>
      <c r="I116" s="775"/>
      <c r="K116" s="732"/>
      <c r="L116" s="732"/>
      <c r="M116" s="732"/>
      <c r="N116" s="732"/>
      <c r="O116" s="732"/>
      <c r="P116" s="732"/>
    </row>
    <row r="117" spans="1:16" ht="15" customHeight="1">
      <c r="A117" s="11"/>
      <c r="B117" s="11"/>
      <c r="C117" s="11"/>
      <c r="D117" s="11" t="str">
        <f t="shared" si="6"/>
        <v xml:space="preserve">·If you play the whole tournament at once de golpe select from C5 to C308 and paste in the Administrator template.			</v>
      </c>
      <c r="E117" s="11" t="s">
        <v>433</v>
      </c>
      <c r="F117" s="11" t="s">
        <v>128</v>
      </c>
      <c r="G117" s="773" t="s">
        <v>1938</v>
      </c>
      <c r="H117" s="11" t="s">
        <v>1346</v>
      </c>
      <c r="I117" s="775"/>
      <c r="K117" s="732"/>
      <c r="L117" s="732"/>
      <c r="M117" s="732"/>
      <c r="N117" s="732"/>
      <c r="O117" s="732"/>
      <c r="P117" s="732"/>
    </row>
    <row r="118" spans="1:16">
      <c r="A118" s="11"/>
      <c r="B118" s="11"/>
      <c r="C118" s="11"/>
      <c r="D118" s="11" t="str">
        <f t="shared" si="6"/>
        <v>·If you play the whole Group Stage at the begining and later the KO rounds select from C5 to C161 and paste in the Administrator template. Also copy and paste values form C253 to C308. For the round of 32 follow the instructions.</v>
      </c>
      <c r="E118" s="11" t="s">
        <v>433</v>
      </c>
      <c r="F118" s="11" t="s">
        <v>240</v>
      </c>
      <c r="G118" s="11" t="s">
        <v>1347</v>
      </c>
      <c r="H118" s="11" t="s">
        <v>1348</v>
      </c>
      <c r="I118" s="11"/>
    </row>
    <row r="119" spans="1:16" ht="15" customHeight="1">
      <c r="A119" s="11"/>
      <c r="B119" s="11"/>
      <c r="C119" s="11"/>
      <c r="D119" s="11" t="str">
        <f t="shared" si="6"/>
        <v>·If you play by Rounds, follow de instuctions of every round.</v>
      </c>
      <c r="E119" s="11" t="s">
        <v>433</v>
      </c>
      <c r="F119" s="11" t="s">
        <v>241</v>
      </c>
      <c r="G119" s="11" t="s">
        <v>132</v>
      </c>
      <c r="H119" s="11" t="s">
        <v>271</v>
      </c>
      <c r="I119" s="776"/>
      <c r="K119" s="733"/>
      <c r="L119" s="733"/>
    </row>
    <row r="120" spans="1:16">
      <c r="A120" s="11"/>
      <c r="B120" s="11"/>
      <c r="C120" s="11"/>
      <c r="D120" s="11" t="str">
        <f t="shared" si="6"/>
        <v>·For the 1st Round copy from C5 to C29 an paste as values in the Administrator Pool. CAUTION. Also copy and paste values form C253 to C308.</v>
      </c>
      <c r="E120" s="11" t="s">
        <v>433</v>
      </c>
      <c r="F120" s="11" t="s">
        <v>242</v>
      </c>
      <c r="G120" s="11" t="s">
        <v>1349</v>
      </c>
      <c r="H120" s="11" t="s">
        <v>1352</v>
      </c>
      <c r="I120" s="11"/>
    </row>
    <row r="121" spans="1:16">
      <c r="A121" s="11"/>
      <c r="B121" s="11"/>
      <c r="C121" s="11"/>
      <c r="D121" s="11" t="str">
        <f t="shared" si="6"/>
        <v>·For the 2nd Round copy from C30 to C53 an paste as values in the Administrator Pool.</v>
      </c>
      <c r="E121" s="11" t="s">
        <v>433</v>
      </c>
      <c r="F121" s="11" t="s">
        <v>243</v>
      </c>
      <c r="G121" s="11" t="s">
        <v>1350</v>
      </c>
      <c r="H121" s="11" t="s">
        <v>1353</v>
      </c>
      <c r="I121" s="11"/>
    </row>
    <row r="122" spans="1:16">
      <c r="A122" s="11"/>
      <c r="B122" s="11"/>
      <c r="C122" s="11"/>
      <c r="D122" s="11" t="str">
        <f t="shared" si="6"/>
        <v>·For the 3rd Round copy from C54 to C161 an paste as values in the Administrator Pool.</v>
      </c>
      <c r="E122" s="11" t="s">
        <v>433</v>
      </c>
      <c r="F122" s="11" t="s">
        <v>244</v>
      </c>
      <c r="G122" s="11" t="s">
        <v>1351</v>
      </c>
      <c r="H122" s="11" t="s">
        <v>1354</v>
      </c>
      <c r="I122" s="11"/>
    </row>
    <row r="123" spans="1:16">
      <c r="A123" s="11"/>
      <c r="B123" s="11"/>
      <c r="C123" s="11"/>
      <c r="D123" s="11" t="str">
        <f t="shared" si="6"/>
        <v>·If you play the KO rounds at once copy from C164 to C252 and paste in the Administrator template.</v>
      </c>
      <c r="E123" s="11" t="s">
        <v>433</v>
      </c>
      <c r="F123" s="11" t="s">
        <v>245</v>
      </c>
      <c r="G123" s="11" t="s">
        <v>577</v>
      </c>
      <c r="H123" s="11" t="s">
        <v>1355</v>
      </c>
      <c r="I123" s="11"/>
    </row>
    <row r="124" spans="1:16">
      <c r="A124" s="11"/>
      <c r="B124" s="11"/>
      <c r="C124" s="11"/>
      <c r="D124" s="11" t="str">
        <f t="shared" si="6"/>
        <v>·If you play de KO phase, round by round, follow the instructions of every KO round.</v>
      </c>
      <c r="E124" s="11" t="s">
        <v>433</v>
      </c>
      <c r="F124" s="11" t="s">
        <v>246</v>
      </c>
      <c r="G124" s="11" t="s">
        <v>133</v>
      </c>
      <c r="H124" s="11" t="s">
        <v>272</v>
      </c>
      <c r="I124" s="11"/>
    </row>
    <row r="125" spans="1:16">
      <c r="A125" s="11"/>
      <c r="B125" s="11"/>
      <c r="C125" s="11"/>
      <c r="D125" s="11" t="str">
        <f t="shared" si="6"/>
        <v>·For de round of 32 matches, copy from C164 to C197 and paste in the administrator template in "Paste Values Round of 32"</v>
      </c>
      <c r="E125" s="11" t="s">
        <v>433</v>
      </c>
      <c r="F125" s="11" t="s">
        <v>247</v>
      </c>
      <c r="G125" s="11" t="s">
        <v>1356</v>
      </c>
      <c r="H125" s="11" t="s">
        <v>572</v>
      </c>
      <c r="I125" s="11"/>
    </row>
    <row r="126" spans="1:16">
      <c r="A126" s="11"/>
      <c r="B126" s="11"/>
      <c r="C126" s="11"/>
      <c r="D126" s="11" t="str">
        <f t="shared" si="6"/>
        <v>·For the round of 16 matches, copy from C200 to C217 and paste in the administrator template in "Paste Values Round of 16"</v>
      </c>
      <c r="E126" s="11" t="s">
        <v>433</v>
      </c>
      <c r="F126" s="11" t="s">
        <v>248</v>
      </c>
      <c r="G126" s="11" t="s">
        <v>1357</v>
      </c>
      <c r="H126" s="11" t="s">
        <v>574</v>
      </c>
      <c r="I126" s="11"/>
    </row>
    <row r="127" spans="1:16">
      <c r="A127" s="11"/>
      <c r="B127" s="11"/>
      <c r="C127" s="11"/>
      <c r="D127" s="11" t="str">
        <f t="shared" si="6"/>
        <v>·For the round of Quarterfinals matches, copy from C220 to C229 and paste in the administrator template in "Paste Values Quarterfinals"</v>
      </c>
      <c r="E127" s="11" t="s">
        <v>433</v>
      </c>
      <c r="F127" s="11"/>
      <c r="G127" s="11" t="s">
        <v>1358</v>
      </c>
      <c r="H127" s="11" t="s">
        <v>573</v>
      </c>
      <c r="I127" s="11"/>
    </row>
    <row r="128" spans="1:16">
      <c r="A128" s="11"/>
      <c r="B128" s="11"/>
      <c r="C128" s="11"/>
      <c r="D128" s="11" t="str">
        <f t="shared" si="6"/>
        <v>·For the round of Semi-Finals matches, copy from C232 to C241 and paste in the administrator template in "Paste Values Semifinals"</v>
      </c>
      <c r="E128" s="11" t="s">
        <v>433</v>
      </c>
      <c r="F128" s="11" t="s">
        <v>249</v>
      </c>
      <c r="G128" s="11" t="s">
        <v>1359</v>
      </c>
      <c r="H128" s="11" t="s">
        <v>575</v>
      </c>
      <c r="I128" s="11"/>
    </row>
    <row r="129" spans="1:9">
      <c r="A129" s="11"/>
      <c r="B129" s="11"/>
      <c r="C129" s="11"/>
      <c r="D129" s="11" t="str">
        <f t="shared" si="6"/>
        <v>·For the Final and 3-4 place matches, copy from C244 to C252 and paste in the administrator template in "Paste Values Final"</v>
      </c>
      <c r="E129" s="11" t="s">
        <v>433</v>
      </c>
      <c r="F129" s="11" t="s">
        <v>250</v>
      </c>
      <c r="G129" s="11" t="s">
        <v>1360</v>
      </c>
      <c r="H129" s="11" t="s">
        <v>576</v>
      </c>
      <c r="I129" s="11"/>
    </row>
    <row r="130" spans="1:9">
      <c r="A130" s="11"/>
      <c r="B130" s="11"/>
      <c r="C130" s="11"/>
      <c r="D130" s="11" t="str">
        <f t="shared" si="6"/>
        <v>·At the beginning of the competition, if it is done in phases, copy from C253 to C308 and paste it at the end of the player in the administrator file.</v>
      </c>
      <c r="E130" s="11" t="s">
        <v>433</v>
      </c>
      <c r="F130" s="11" t="s">
        <v>251</v>
      </c>
      <c r="G130" s="11" t="s">
        <v>1361</v>
      </c>
      <c r="H130" s="11" t="s">
        <v>1362</v>
      </c>
      <c r="I130" s="11"/>
    </row>
    <row r="131" spans="1:9">
      <c r="A131" s="11"/>
      <c r="B131" s="11"/>
      <c r="C131" s="11"/>
      <c r="D131" s="11" t="str">
        <f t="shared" si="6"/>
        <v>·Copy from C261 to C308 and paste it in the administrator template in "Paste Values Predictor"</v>
      </c>
      <c r="E131" s="11" t="s">
        <v>433</v>
      </c>
      <c r="F131" s="11"/>
      <c r="G131" s="688" t="s">
        <v>1373</v>
      </c>
      <c r="H131" s="688" t="s">
        <v>1372</v>
      </c>
      <c r="I131" s="11"/>
    </row>
    <row r="132" spans="1:9">
      <c r="A132" s="11"/>
      <c r="B132" s="11"/>
      <c r="C132" s="11"/>
      <c r="D132" s="11" t="str">
        <f t="shared" si="6"/>
        <v>R1</v>
      </c>
      <c r="E132" s="11" t="s">
        <v>433</v>
      </c>
      <c r="F132" s="11" t="s">
        <v>252</v>
      </c>
      <c r="G132" s="11" t="s">
        <v>26</v>
      </c>
      <c r="H132" s="11" t="s">
        <v>273</v>
      </c>
      <c r="I132" s="688"/>
    </row>
    <row r="133" spans="1:9">
      <c r="A133" s="11"/>
      <c r="B133" s="11"/>
      <c r="C133" s="11"/>
      <c r="D133" s="11" t="str">
        <f t="shared" si="6"/>
        <v>R2</v>
      </c>
      <c r="E133" s="11" t="s">
        <v>433</v>
      </c>
      <c r="F133" s="11" t="s">
        <v>253</v>
      </c>
      <c r="G133" s="11" t="s">
        <v>27</v>
      </c>
      <c r="H133" s="11" t="s">
        <v>274</v>
      </c>
      <c r="I133" s="11"/>
    </row>
    <row r="134" spans="1:9">
      <c r="A134" s="11"/>
      <c r="B134" s="11"/>
      <c r="C134" s="11"/>
      <c r="D134" s="11" t="str">
        <f t="shared" si="6"/>
        <v>R3</v>
      </c>
      <c r="E134" s="11" t="s">
        <v>433</v>
      </c>
      <c r="F134" s="11" t="s">
        <v>254</v>
      </c>
      <c r="G134" s="11" t="s">
        <v>28</v>
      </c>
      <c r="H134" s="11" t="s">
        <v>275</v>
      </c>
      <c r="I134" s="11"/>
    </row>
    <row r="135" spans="1:9">
      <c r="A135" s="11"/>
      <c r="B135" s="11"/>
      <c r="C135" s="11"/>
      <c r="D135" s="11" t="str">
        <f t="shared" si="6"/>
        <v>GROUP STAGE</v>
      </c>
      <c r="E135" s="11" t="s">
        <v>433</v>
      </c>
      <c r="F135" s="11" t="s">
        <v>255</v>
      </c>
      <c r="G135" s="11" t="s">
        <v>12</v>
      </c>
      <c r="H135" s="11" t="s">
        <v>276</v>
      </c>
      <c r="I135" s="11"/>
    </row>
    <row r="136" spans="1:9">
      <c r="A136" s="11"/>
      <c r="B136" s="11"/>
      <c r="C136" s="11"/>
      <c r="D136" s="11" t="str">
        <f t="shared" si="6"/>
        <v>GROUP POSITION</v>
      </c>
      <c r="E136" s="11" t="s">
        <v>433</v>
      </c>
      <c r="F136" s="11" t="s">
        <v>256</v>
      </c>
      <c r="G136" s="11" t="s">
        <v>44</v>
      </c>
      <c r="H136" s="11" t="s">
        <v>277</v>
      </c>
      <c r="I136" s="11"/>
    </row>
    <row r="137" spans="1:9">
      <c r="A137" s="11"/>
      <c r="B137" s="11"/>
      <c r="C137" s="11"/>
      <c r="D137" s="11" t="str">
        <f t="shared" si="6"/>
        <v>QUALIFIED FOR ROUND OF 32</v>
      </c>
      <c r="E137" s="11" t="s">
        <v>433</v>
      </c>
      <c r="F137" s="11" t="s">
        <v>257</v>
      </c>
      <c r="G137" s="11" t="s">
        <v>564</v>
      </c>
      <c r="H137" s="11" t="s">
        <v>565</v>
      </c>
      <c r="I137" s="11"/>
    </row>
    <row r="138" spans="1:9">
      <c r="A138" s="11"/>
      <c r="B138" s="11"/>
      <c r="C138" s="11"/>
      <c r="D138" s="11" t="str">
        <f t="shared" si="6"/>
        <v>ROUND OF 32</v>
      </c>
      <c r="E138" s="11" t="s">
        <v>433</v>
      </c>
      <c r="F138" s="11" t="s">
        <v>258</v>
      </c>
      <c r="G138" s="11" t="s">
        <v>568</v>
      </c>
      <c r="H138" s="11" t="s">
        <v>569</v>
      </c>
      <c r="I138" s="11"/>
    </row>
    <row r="139" spans="1:9">
      <c r="A139" s="11"/>
      <c r="B139" s="11"/>
      <c r="C139" s="11"/>
      <c r="D139" s="11" t="str">
        <f t="shared" si="6"/>
        <v>QUALIFIED FOR ROUND OF 16</v>
      </c>
      <c r="E139" s="11" t="s">
        <v>433</v>
      </c>
      <c r="F139" s="11"/>
      <c r="G139" s="11" t="s">
        <v>108</v>
      </c>
      <c r="H139" s="11" t="s">
        <v>278</v>
      </c>
      <c r="I139" s="11"/>
    </row>
    <row r="140" spans="1:9">
      <c r="A140" s="11"/>
      <c r="B140" s="11"/>
      <c r="C140" s="11"/>
      <c r="D140" s="11" t="str">
        <f t="shared" si="6"/>
        <v>ROUND OF 16</v>
      </c>
      <c r="E140" s="11" t="s">
        <v>433</v>
      </c>
      <c r="F140" s="11"/>
      <c r="G140" s="11" t="s">
        <v>109</v>
      </c>
      <c r="H140" s="11" t="s">
        <v>279</v>
      </c>
      <c r="I140" s="11"/>
    </row>
    <row r="141" spans="1:9">
      <c r="A141" s="11"/>
      <c r="B141" s="11"/>
      <c r="C141" s="11"/>
      <c r="D141" s="11" t="str">
        <f t="shared" si="6"/>
        <v>QUARTER-FINALISTS</v>
      </c>
      <c r="E141" s="11" t="s">
        <v>433</v>
      </c>
      <c r="F141" s="11" t="s">
        <v>259</v>
      </c>
      <c r="G141" s="11" t="s">
        <v>57</v>
      </c>
      <c r="H141" s="11" t="s">
        <v>280</v>
      </c>
      <c r="I141" s="11"/>
    </row>
    <row r="142" spans="1:9">
      <c r="A142" s="11"/>
      <c r="B142" s="11"/>
      <c r="C142" s="11"/>
      <c r="D142" s="11" t="str">
        <f t="shared" si="6"/>
        <v>QUARTERFINALS</v>
      </c>
      <c r="E142" s="11" t="s">
        <v>433</v>
      </c>
      <c r="F142" s="11" t="s">
        <v>261</v>
      </c>
      <c r="G142" s="11" t="s">
        <v>59</v>
      </c>
      <c r="H142" s="11" t="s">
        <v>281</v>
      </c>
      <c r="I142" s="11"/>
    </row>
    <row r="143" spans="1:9">
      <c r="A143" s="11"/>
      <c r="B143" s="11"/>
      <c r="C143" s="11"/>
      <c r="D143" s="11" t="str">
        <f t="shared" si="6"/>
        <v>QUALIFIED FOR SEMIFINALS</v>
      </c>
      <c r="E143" s="11" t="s">
        <v>433</v>
      </c>
      <c r="F143" s="11" t="s">
        <v>260</v>
      </c>
      <c r="G143" s="11" t="s">
        <v>60</v>
      </c>
      <c r="H143" s="11" t="s">
        <v>282</v>
      </c>
      <c r="I143" s="11"/>
    </row>
    <row r="144" spans="1:9">
      <c r="A144" s="11"/>
      <c r="B144" s="11"/>
      <c r="C144" s="11"/>
      <c r="D144" s="11" t="str">
        <f t="shared" si="6"/>
        <v>SEMIFINALS</v>
      </c>
      <c r="E144" s="11" t="s">
        <v>433</v>
      </c>
      <c r="F144" s="11" t="s">
        <v>262</v>
      </c>
      <c r="G144" s="11" t="s">
        <v>62</v>
      </c>
      <c r="H144" s="11" t="s">
        <v>283</v>
      </c>
      <c r="I144" s="11"/>
    </row>
    <row r="145" spans="1:9">
      <c r="A145" s="11"/>
      <c r="B145" s="11"/>
      <c r="C145" s="11"/>
      <c r="D145" s="11" t="str">
        <f t="shared" si="6"/>
        <v>QUALIFIED FOR 3rd-4th PLACE</v>
      </c>
      <c r="E145" s="11" t="s">
        <v>433</v>
      </c>
      <c r="F145" s="11"/>
      <c r="G145" s="11" t="s">
        <v>570</v>
      </c>
      <c r="H145" s="11" t="s">
        <v>571</v>
      </c>
      <c r="I145" s="11"/>
    </row>
    <row r="146" spans="1:9">
      <c r="A146" s="11"/>
      <c r="B146" s="11"/>
      <c r="C146" s="11"/>
      <c r="D146" s="11" t="str">
        <f t="shared" si="6"/>
        <v>QUALIFIED FOR THE FINAL</v>
      </c>
      <c r="E146" s="11" t="s">
        <v>433</v>
      </c>
      <c r="F146" s="11" t="s">
        <v>263</v>
      </c>
      <c r="G146" s="11" t="s">
        <v>63</v>
      </c>
      <c r="H146" s="11" t="s">
        <v>284</v>
      </c>
      <c r="I146" s="11"/>
    </row>
    <row r="147" spans="1:9">
      <c r="A147" s="11"/>
      <c r="B147" s="11"/>
      <c r="C147" s="11"/>
      <c r="D147" s="11" t="str">
        <f t="shared" si="6"/>
        <v>3rd-4th place</v>
      </c>
      <c r="E147" s="11" t="s">
        <v>433</v>
      </c>
      <c r="F147" s="11"/>
      <c r="G147" s="11" t="s">
        <v>496</v>
      </c>
      <c r="H147" s="11" t="s">
        <v>492</v>
      </c>
      <c r="I147" s="11"/>
    </row>
    <row r="148" spans="1:9">
      <c r="A148" s="11"/>
      <c r="B148" s="11"/>
      <c r="C148" s="11"/>
      <c r="D148" s="11" t="str">
        <f t="shared" si="6"/>
        <v>FINAL</v>
      </c>
      <c r="E148" s="11" t="s">
        <v>433</v>
      </c>
      <c r="F148" s="11" t="s">
        <v>264</v>
      </c>
      <c r="G148" s="11" t="s">
        <v>65</v>
      </c>
      <c r="H148" s="11" t="s">
        <v>285</v>
      </c>
      <c r="I148" s="11"/>
    </row>
    <row r="149" spans="1:9">
      <c r="A149" s="11"/>
      <c r="B149" s="11"/>
      <c r="C149" s="11"/>
      <c r="D149" s="11" t="str">
        <f t="shared" si="6"/>
        <v>HONOR BOX</v>
      </c>
      <c r="E149" s="11" t="s">
        <v>433</v>
      </c>
      <c r="F149" s="11" t="s">
        <v>265</v>
      </c>
      <c r="G149" s="11" t="s">
        <v>20</v>
      </c>
      <c r="H149" s="11" t="s">
        <v>221</v>
      </c>
      <c r="I149" s="11"/>
    </row>
    <row r="150" spans="1:9">
      <c r="A150" s="11"/>
      <c r="B150" s="11"/>
      <c r="C150" s="11"/>
      <c r="D150" s="11" t="str">
        <f t="shared" ref="D150:D173" si="7">IF($B$2,G150,H150)</f>
        <v>1st GROUP A</v>
      </c>
      <c r="E150" s="11" t="s">
        <v>433</v>
      </c>
      <c r="F150" s="11" t="s">
        <v>405</v>
      </c>
      <c r="G150" s="11" t="s">
        <v>45</v>
      </c>
      <c r="H150" s="8" t="s">
        <v>377</v>
      </c>
      <c r="I150" s="11"/>
    </row>
    <row r="151" spans="1:9">
      <c r="A151" s="11"/>
      <c r="B151" s="11"/>
      <c r="C151" s="11"/>
      <c r="D151" s="11" t="str">
        <f t="shared" si="7"/>
        <v>2nd GROUP A</v>
      </c>
      <c r="E151" s="11" t="s">
        <v>433</v>
      </c>
      <c r="F151" s="11" t="s">
        <v>406</v>
      </c>
      <c r="G151" s="11" t="s">
        <v>46</v>
      </c>
      <c r="H151" s="8" t="s">
        <v>378</v>
      </c>
      <c r="I151" s="11"/>
    </row>
    <row r="152" spans="1:9">
      <c r="A152" s="11"/>
      <c r="B152" s="11"/>
      <c r="C152" s="11"/>
      <c r="D152" s="11" t="str">
        <f t="shared" si="7"/>
        <v>3rd GROUP A</v>
      </c>
      <c r="E152" s="11" t="s">
        <v>433</v>
      </c>
      <c r="F152" s="11" t="s">
        <v>407</v>
      </c>
      <c r="G152" s="11" t="s">
        <v>47</v>
      </c>
      <c r="H152" s="8" t="s">
        <v>379</v>
      </c>
      <c r="I152" s="11"/>
    </row>
    <row r="153" spans="1:9">
      <c r="A153" s="11"/>
      <c r="B153" s="11"/>
      <c r="C153" s="11"/>
      <c r="D153" s="11" t="str">
        <f t="shared" si="7"/>
        <v>4th GROUP A</v>
      </c>
      <c r="E153" s="11" t="s">
        <v>433</v>
      </c>
      <c r="F153" s="11" t="s">
        <v>408</v>
      </c>
      <c r="G153" s="11" t="s">
        <v>48</v>
      </c>
      <c r="H153" s="8" t="s">
        <v>380</v>
      </c>
      <c r="I153" s="11"/>
    </row>
    <row r="154" spans="1:9">
      <c r="A154" s="11"/>
      <c r="B154" s="11"/>
      <c r="C154" s="11"/>
      <c r="D154" s="11" t="str">
        <f t="shared" si="7"/>
        <v>1st GROUP B</v>
      </c>
      <c r="E154" s="11" t="s">
        <v>433</v>
      </c>
      <c r="F154" s="11" t="s">
        <v>409</v>
      </c>
      <c r="G154" s="11" t="s">
        <v>49</v>
      </c>
      <c r="H154" s="8" t="s">
        <v>381</v>
      </c>
      <c r="I154" s="11"/>
    </row>
    <row r="155" spans="1:9">
      <c r="A155" s="11"/>
      <c r="B155" s="11"/>
      <c r="C155" s="11"/>
      <c r="D155" s="11" t="str">
        <f t="shared" si="7"/>
        <v>2nd GROUP B</v>
      </c>
      <c r="E155" s="11" t="s">
        <v>433</v>
      </c>
      <c r="F155" s="11" t="s">
        <v>410</v>
      </c>
      <c r="G155" s="11" t="s">
        <v>50</v>
      </c>
      <c r="H155" s="8" t="s">
        <v>382</v>
      </c>
      <c r="I155" s="11"/>
    </row>
    <row r="156" spans="1:9">
      <c r="A156" s="11"/>
      <c r="B156" s="11"/>
      <c r="C156" s="11"/>
      <c r="D156" s="11" t="str">
        <f t="shared" si="7"/>
        <v>3rd GROUP B</v>
      </c>
      <c r="E156" s="11" t="s">
        <v>433</v>
      </c>
      <c r="F156" s="11" t="s">
        <v>411</v>
      </c>
      <c r="G156" s="11" t="s">
        <v>51</v>
      </c>
      <c r="H156" s="8" t="s">
        <v>383</v>
      </c>
      <c r="I156" s="11"/>
    </row>
    <row r="157" spans="1:9">
      <c r="A157" s="11"/>
      <c r="B157" s="11"/>
      <c r="C157" s="11"/>
      <c r="D157" s="11" t="str">
        <f t="shared" si="7"/>
        <v>4th GROUP B</v>
      </c>
      <c r="E157" s="11" t="s">
        <v>433</v>
      </c>
      <c r="F157" s="11" t="s">
        <v>412</v>
      </c>
      <c r="G157" s="11" t="s">
        <v>52</v>
      </c>
      <c r="H157" s="8" t="s">
        <v>384</v>
      </c>
      <c r="I157" s="11"/>
    </row>
    <row r="158" spans="1:9">
      <c r="A158" s="11"/>
      <c r="B158" s="11"/>
      <c r="C158" s="11"/>
      <c r="D158" s="11" t="str">
        <f t="shared" si="7"/>
        <v>1st GROUP C</v>
      </c>
      <c r="E158" s="11" t="s">
        <v>433</v>
      </c>
      <c r="F158" s="11" t="s">
        <v>413</v>
      </c>
      <c r="G158" s="11" t="s">
        <v>53</v>
      </c>
      <c r="H158" s="8" t="s">
        <v>385</v>
      </c>
      <c r="I158" s="11"/>
    </row>
    <row r="159" spans="1:9">
      <c r="A159" s="11"/>
      <c r="B159" s="11"/>
      <c r="C159" s="11"/>
      <c r="D159" s="11" t="str">
        <f t="shared" si="7"/>
        <v>2nd GROUP C</v>
      </c>
      <c r="E159" s="11" t="s">
        <v>433</v>
      </c>
      <c r="F159" s="11" t="s">
        <v>414</v>
      </c>
      <c r="G159" s="11" t="s">
        <v>54</v>
      </c>
      <c r="H159" s="8" t="s">
        <v>386</v>
      </c>
      <c r="I159" s="11"/>
    </row>
    <row r="160" spans="1:9">
      <c r="A160" s="11"/>
      <c r="B160" s="11"/>
      <c r="C160" s="11"/>
      <c r="D160" s="11" t="str">
        <f t="shared" si="7"/>
        <v>3rd GROUP C</v>
      </c>
      <c r="E160" s="11" t="s">
        <v>433</v>
      </c>
      <c r="F160" s="11" t="s">
        <v>415</v>
      </c>
      <c r="G160" s="11" t="s">
        <v>55</v>
      </c>
      <c r="H160" s="8" t="s">
        <v>387</v>
      </c>
      <c r="I160" s="11"/>
    </row>
    <row r="161" spans="1:9">
      <c r="A161" s="11"/>
      <c r="B161" s="11"/>
      <c r="C161" s="11"/>
      <c r="D161" s="11" t="str">
        <f t="shared" si="7"/>
        <v>4th GROUP C</v>
      </c>
      <c r="E161" s="11" t="s">
        <v>433</v>
      </c>
      <c r="F161" s="11" t="s">
        <v>416</v>
      </c>
      <c r="G161" s="11" t="s">
        <v>56</v>
      </c>
      <c r="H161" s="8" t="s">
        <v>388</v>
      </c>
      <c r="I161" s="11"/>
    </row>
    <row r="162" spans="1:9">
      <c r="A162" s="11"/>
      <c r="B162" s="11"/>
      <c r="C162" s="11"/>
      <c r="D162" s="11" t="str">
        <f t="shared" si="7"/>
        <v>1st GROUP D</v>
      </c>
      <c r="E162" s="11" t="s">
        <v>433</v>
      </c>
      <c r="F162" s="11" t="s">
        <v>417</v>
      </c>
      <c r="G162" s="11" t="s">
        <v>96</v>
      </c>
      <c r="H162" s="8" t="s">
        <v>389</v>
      </c>
      <c r="I162" s="11"/>
    </row>
    <row r="163" spans="1:9">
      <c r="A163" s="11"/>
      <c r="B163" s="11"/>
      <c r="C163" s="11"/>
      <c r="D163" s="11" t="str">
        <f t="shared" si="7"/>
        <v>2nd GROUP D</v>
      </c>
      <c r="E163" s="11" t="s">
        <v>433</v>
      </c>
      <c r="F163" s="11" t="s">
        <v>418</v>
      </c>
      <c r="G163" s="11" t="s">
        <v>97</v>
      </c>
      <c r="H163" s="8" t="s">
        <v>390</v>
      </c>
      <c r="I163" s="11"/>
    </row>
    <row r="164" spans="1:9">
      <c r="A164" s="11"/>
      <c r="B164" s="11"/>
      <c r="C164" s="11"/>
      <c r="D164" s="11" t="str">
        <f t="shared" si="7"/>
        <v>3rd GROUP D</v>
      </c>
      <c r="E164" s="11" t="s">
        <v>433</v>
      </c>
      <c r="F164" s="11" t="s">
        <v>419</v>
      </c>
      <c r="G164" s="11" t="s">
        <v>98</v>
      </c>
      <c r="H164" s="8" t="s">
        <v>391</v>
      </c>
      <c r="I164" s="11"/>
    </row>
    <row r="165" spans="1:9">
      <c r="A165" s="11"/>
      <c r="B165" s="11"/>
      <c r="C165" s="11"/>
      <c r="D165" s="11" t="str">
        <f t="shared" si="7"/>
        <v>4th GROUP D</v>
      </c>
      <c r="E165" s="11" t="s">
        <v>433</v>
      </c>
      <c r="F165" s="11" t="s">
        <v>420</v>
      </c>
      <c r="G165" s="11" t="s">
        <v>99</v>
      </c>
      <c r="H165" s="8" t="s">
        <v>392</v>
      </c>
      <c r="I165" s="11"/>
    </row>
    <row r="166" spans="1:9">
      <c r="A166" s="11"/>
      <c r="B166" s="11"/>
      <c r="C166" s="11"/>
      <c r="D166" s="11" t="str">
        <f t="shared" si="7"/>
        <v>1st GROUP E</v>
      </c>
      <c r="E166" s="11" t="s">
        <v>433</v>
      </c>
      <c r="F166" s="11" t="s">
        <v>421</v>
      </c>
      <c r="G166" s="11" t="s">
        <v>100</v>
      </c>
      <c r="H166" s="8" t="s">
        <v>393</v>
      </c>
      <c r="I166" s="11"/>
    </row>
    <row r="167" spans="1:9">
      <c r="A167" s="11"/>
      <c r="B167" s="11"/>
      <c r="C167" s="11"/>
      <c r="D167" s="11" t="str">
        <f t="shared" si="7"/>
        <v>2nd GROUP E</v>
      </c>
      <c r="E167" s="11" t="s">
        <v>433</v>
      </c>
      <c r="F167" s="11" t="s">
        <v>422</v>
      </c>
      <c r="G167" s="11" t="s">
        <v>101</v>
      </c>
      <c r="H167" s="8" t="s">
        <v>394</v>
      </c>
      <c r="I167" s="11"/>
    </row>
    <row r="168" spans="1:9">
      <c r="A168" s="11"/>
      <c r="B168" s="11"/>
      <c r="C168" s="11"/>
      <c r="D168" s="11" t="str">
        <f t="shared" si="7"/>
        <v>3rd GROUP E</v>
      </c>
      <c r="E168" s="11" t="s">
        <v>433</v>
      </c>
      <c r="F168" s="11" t="s">
        <v>423</v>
      </c>
      <c r="G168" s="11" t="s">
        <v>102</v>
      </c>
      <c r="H168" s="8" t="s">
        <v>395</v>
      </c>
      <c r="I168" s="11"/>
    </row>
    <row r="169" spans="1:9">
      <c r="A169" s="11"/>
      <c r="B169" s="11"/>
      <c r="C169" s="11"/>
      <c r="D169" s="11" t="str">
        <f t="shared" si="7"/>
        <v>4th GROUP E</v>
      </c>
      <c r="E169" s="11" t="s">
        <v>433</v>
      </c>
      <c r="F169" s="11" t="s">
        <v>424</v>
      </c>
      <c r="G169" s="11" t="s">
        <v>103</v>
      </c>
      <c r="H169" s="8" t="s">
        <v>396</v>
      </c>
      <c r="I169" s="11"/>
    </row>
    <row r="170" spans="1:9">
      <c r="A170" s="11"/>
      <c r="B170" s="11"/>
      <c r="C170" s="11"/>
      <c r="D170" s="11" t="str">
        <f t="shared" si="7"/>
        <v>1st GROUP F</v>
      </c>
      <c r="E170" s="11" t="s">
        <v>433</v>
      </c>
      <c r="F170" s="11" t="s">
        <v>425</v>
      </c>
      <c r="G170" s="11" t="s">
        <v>104</v>
      </c>
      <c r="H170" s="8" t="s">
        <v>397</v>
      </c>
      <c r="I170" s="11"/>
    </row>
    <row r="171" spans="1:9">
      <c r="A171" s="11"/>
      <c r="B171" s="11"/>
      <c r="C171" s="11"/>
      <c r="D171" s="11" t="str">
        <f t="shared" si="7"/>
        <v>2nd GROUP F</v>
      </c>
      <c r="E171" s="11" t="s">
        <v>433</v>
      </c>
      <c r="F171" s="11" t="s">
        <v>426</v>
      </c>
      <c r="G171" s="11" t="s">
        <v>105</v>
      </c>
      <c r="H171" s="8" t="s">
        <v>398</v>
      </c>
      <c r="I171" s="11"/>
    </row>
    <row r="172" spans="1:9">
      <c r="A172" s="11"/>
      <c r="B172" s="11"/>
      <c r="C172" s="11"/>
      <c r="D172" s="11" t="str">
        <f t="shared" si="7"/>
        <v>3rd GROUP F</v>
      </c>
      <c r="E172" s="11" t="s">
        <v>433</v>
      </c>
      <c r="F172" s="11" t="s">
        <v>427</v>
      </c>
      <c r="G172" s="11" t="s">
        <v>106</v>
      </c>
      <c r="H172" s="8" t="s">
        <v>399</v>
      </c>
      <c r="I172" s="11"/>
    </row>
    <row r="173" spans="1:9">
      <c r="A173" s="11"/>
      <c r="B173" s="11"/>
      <c r="C173" s="11"/>
      <c r="D173" s="11" t="str">
        <f t="shared" si="7"/>
        <v>4th GROUP F</v>
      </c>
      <c r="E173" s="11" t="s">
        <v>433</v>
      </c>
      <c r="F173" s="11" t="s">
        <v>428</v>
      </c>
      <c r="G173" s="11" t="s">
        <v>107</v>
      </c>
      <c r="H173" s="8" t="s">
        <v>400</v>
      </c>
      <c r="I173" s="11"/>
    </row>
    <row r="174" spans="1:9">
      <c r="A174" s="11"/>
      <c r="B174" s="11"/>
      <c r="C174" s="11"/>
      <c r="D174" s="11" t="str">
        <f t="shared" ref="D174:D197" si="8">IF($B$2,G174,H174)</f>
        <v>1st GROUP G</v>
      </c>
      <c r="E174" s="11" t="s">
        <v>433</v>
      </c>
      <c r="F174" s="11"/>
      <c r="G174" s="11" t="s">
        <v>516</v>
      </c>
      <c r="H174" s="8" t="s">
        <v>520</v>
      </c>
      <c r="I174" s="11"/>
    </row>
    <row r="175" spans="1:9">
      <c r="A175" s="11"/>
      <c r="B175" s="11"/>
      <c r="C175" s="11"/>
      <c r="D175" s="11" t="str">
        <f t="shared" si="8"/>
        <v>2nd GROUP G</v>
      </c>
      <c r="E175" s="11" t="s">
        <v>433</v>
      </c>
      <c r="F175" s="11"/>
      <c r="G175" s="11" t="s">
        <v>517</v>
      </c>
      <c r="H175" s="8" t="s">
        <v>521</v>
      </c>
      <c r="I175" s="11"/>
    </row>
    <row r="176" spans="1:9">
      <c r="A176" s="11"/>
      <c r="B176" s="11"/>
      <c r="C176" s="11"/>
      <c r="D176" s="11" t="str">
        <f t="shared" si="8"/>
        <v>3rd GROUP G</v>
      </c>
      <c r="E176" s="11" t="s">
        <v>433</v>
      </c>
      <c r="F176" s="11"/>
      <c r="G176" s="11" t="s">
        <v>518</v>
      </c>
      <c r="H176" s="8" t="s">
        <v>522</v>
      </c>
      <c r="I176" s="11"/>
    </row>
    <row r="177" spans="1:9">
      <c r="A177" s="11"/>
      <c r="B177" s="11"/>
      <c r="C177" s="11"/>
      <c r="D177" s="11" t="str">
        <f t="shared" si="8"/>
        <v>4th GROUP G</v>
      </c>
      <c r="E177" s="11" t="s">
        <v>433</v>
      </c>
      <c r="F177" s="11"/>
      <c r="G177" s="11" t="s">
        <v>519</v>
      </c>
      <c r="H177" s="8" t="s">
        <v>523</v>
      </c>
      <c r="I177" s="11"/>
    </row>
    <row r="178" spans="1:9">
      <c r="A178" s="11"/>
      <c r="B178" s="11"/>
      <c r="C178" s="11"/>
      <c r="D178" s="11" t="str">
        <f t="shared" si="8"/>
        <v>1st GROUP H</v>
      </c>
      <c r="E178" s="11" t="s">
        <v>433</v>
      </c>
      <c r="F178" s="11"/>
      <c r="G178" s="11" t="s">
        <v>524</v>
      </c>
      <c r="H178" s="8" t="s">
        <v>528</v>
      </c>
      <c r="I178" s="11"/>
    </row>
    <row r="179" spans="1:9">
      <c r="A179" s="11"/>
      <c r="B179" s="11"/>
      <c r="C179" s="11"/>
      <c r="D179" s="11" t="str">
        <f t="shared" si="8"/>
        <v>2nd GROUP H</v>
      </c>
      <c r="E179" s="11" t="s">
        <v>433</v>
      </c>
      <c r="F179" s="11"/>
      <c r="G179" s="11" t="s">
        <v>525</v>
      </c>
      <c r="H179" s="8" t="s">
        <v>529</v>
      </c>
      <c r="I179" s="11"/>
    </row>
    <row r="180" spans="1:9">
      <c r="A180" s="11"/>
      <c r="B180" s="11"/>
      <c r="C180" s="11"/>
      <c r="D180" s="11" t="str">
        <f t="shared" si="8"/>
        <v>3rd GROUP H</v>
      </c>
      <c r="E180" s="11" t="s">
        <v>433</v>
      </c>
      <c r="F180" s="11"/>
      <c r="G180" s="11" t="s">
        <v>526</v>
      </c>
      <c r="H180" s="8" t="s">
        <v>530</v>
      </c>
      <c r="I180" s="11"/>
    </row>
    <row r="181" spans="1:9">
      <c r="A181" s="11"/>
      <c r="B181" s="11"/>
      <c r="C181" s="11"/>
      <c r="D181" s="11" t="str">
        <f t="shared" si="8"/>
        <v>4th GROUP H</v>
      </c>
      <c r="E181" s="11" t="s">
        <v>433</v>
      </c>
      <c r="F181" s="11"/>
      <c r="G181" s="11" t="s">
        <v>527</v>
      </c>
      <c r="H181" s="8" t="s">
        <v>531</v>
      </c>
      <c r="I181" s="11"/>
    </row>
    <row r="182" spans="1:9">
      <c r="A182" s="11"/>
      <c r="B182" s="11"/>
      <c r="C182" s="11"/>
      <c r="D182" s="11" t="str">
        <f t="shared" si="8"/>
        <v>1st GROUP I</v>
      </c>
      <c r="E182" s="11" t="s">
        <v>433</v>
      </c>
      <c r="F182" s="11"/>
      <c r="G182" s="11" t="s">
        <v>532</v>
      </c>
      <c r="H182" s="8" t="s">
        <v>536</v>
      </c>
      <c r="I182" s="11"/>
    </row>
    <row r="183" spans="1:9">
      <c r="A183" s="11"/>
      <c r="B183" s="11"/>
      <c r="C183" s="11"/>
      <c r="D183" s="11" t="str">
        <f t="shared" si="8"/>
        <v>2nd GROUP I</v>
      </c>
      <c r="E183" s="11" t="s">
        <v>433</v>
      </c>
      <c r="F183" s="11"/>
      <c r="G183" s="11" t="s">
        <v>533</v>
      </c>
      <c r="H183" s="8" t="s">
        <v>537</v>
      </c>
      <c r="I183" s="11"/>
    </row>
    <row r="184" spans="1:9">
      <c r="A184" s="11"/>
      <c r="B184" s="11"/>
      <c r="C184" s="11"/>
      <c r="D184" s="11" t="str">
        <f t="shared" si="8"/>
        <v>3rd GROUP I</v>
      </c>
      <c r="E184" s="11" t="s">
        <v>433</v>
      </c>
      <c r="F184" s="11"/>
      <c r="G184" s="11" t="s">
        <v>534</v>
      </c>
      <c r="H184" s="8" t="s">
        <v>538</v>
      </c>
      <c r="I184" s="11"/>
    </row>
    <row r="185" spans="1:9">
      <c r="A185" s="11"/>
      <c r="B185" s="11"/>
      <c r="C185" s="11"/>
      <c r="D185" s="11" t="str">
        <f t="shared" si="8"/>
        <v>4th GROUP I</v>
      </c>
      <c r="E185" s="11" t="s">
        <v>433</v>
      </c>
      <c r="F185" s="11"/>
      <c r="G185" s="11" t="s">
        <v>535</v>
      </c>
      <c r="H185" s="8" t="s">
        <v>539</v>
      </c>
      <c r="I185" s="11"/>
    </row>
    <row r="186" spans="1:9">
      <c r="A186" s="11"/>
      <c r="B186" s="11"/>
      <c r="C186" s="11"/>
      <c r="D186" s="11" t="str">
        <f t="shared" si="8"/>
        <v>1st GROUP J</v>
      </c>
      <c r="E186" s="11" t="s">
        <v>433</v>
      </c>
      <c r="F186" s="11"/>
      <c r="G186" s="11" t="s">
        <v>540</v>
      </c>
      <c r="H186" s="8" t="s">
        <v>544</v>
      </c>
      <c r="I186" s="11"/>
    </row>
    <row r="187" spans="1:9">
      <c r="A187" s="11"/>
      <c r="B187" s="11"/>
      <c r="C187" s="11"/>
      <c r="D187" s="11" t="str">
        <f t="shared" si="8"/>
        <v>2nd GROUP J</v>
      </c>
      <c r="E187" s="11" t="s">
        <v>433</v>
      </c>
      <c r="F187" s="11"/>
      <c r="G187" s="11" t="s">
        <v>541</v>
      </c>
      <c r="H187" s="8" t="s">
        <v>545</v>
      </c>
      <c r="I187" s="11"/>
    </row>
    <row r="188" spans="1:9">
      <c r="A188" s="11"/>
      <c r="B188" s="11"/>
      <c r="C188" s="11"/>
      <c r="D188" s="11" t="str">
        <f t="shared" si="8"/>
        <v>3rd GROUP J</v>
      </c>
      <c r="E188" s="11" t="s">
        <v>433</v>
      </c>
      <c r="F188" s="11"/>
      <c r="G188" s="11" t="s">
        <v>542</v>
      </c>
      <c r="H188" s="8" t="s">
        <v>546</v>
      </c>
      <c r="I188" s="11"/>
    </row>
    <row r="189" spans="1:9">
      <c r="A189" s="11"/>
      <c r="B189" s="11"/>
      <c r="C189" s="11"/>
      <c r="D189" s="11" t="str">
        <f t="shared" si="8"/>
        <v>4th GROUP J</v>
      </c>
      <c r="E189" s="11" t="s">
        <v>433</v>
      </c>
      <c r="F189" s="11"/>
      <c r="G189" s="11" t="s">
        <v>543</v>
      </c>
      <c r="H189" s="8" t="s">
        <v>547</v>
      </c>
      <c r="I189" s="11"/>
    </row>
    <row r="190" spans="1:9">
      <c r="A190" s="11"/>
      <c r="B190" s="11"/>
      <c r="C190" s="11"/>
      <c r="D190" s="11" t="str">
        <f t="shared" si="8"/>
        <v>1st GROUP K</v>
      </c>
      <c r="E190" s="11" t="s">
        <v>433</v>
      </c>
      <c r="F190" s="11"/>
      <c r="G190" s="11" t="s">
        <v>548</v>
      </c>
      <c r="H190" s="8" t="s">
        <v>552</v>
      </c>
      <c r="I190" s="11"/>
    </row>
    <row r="191" spans="1:9">
      <c r="A191" s="11"/>
      <c r="B191" s="11"/>
      <c r="C191" s="11"/>
      <c r="D191" s="11" t="str">
        <f t="shared" si="8"/>
        <v>2nd GROUP K</v>
      </c>
      <c r="E191" s="11" t="s">
        <v>433</v>
      </c>
      <c r="F191" s="11"/>
      <c r="G191" s="11" t="s">
        <v>549</v>
      </c>
      <c r="H191" s="8" t="s">
        <v>553</v>
      </c>
      <c r="I191" s="11"/>
    </row>
    <row r="192" spans="1:9">
      <c r="A192" s="11"/>
      <c r="B192" s="11"/>
      <c r="C192" s="11"/>
      <c r="D192" s="11" t="str">
        <f t="shared" si="8"/>
        <v>3rd GROUP K</v>
      </c>
      <c r="E192" s="11" t="s">
        <v>433</v>
      </c>
      <c r="F192" s="11"/>
      <c r="G192" s="11" t="s">
        <v>550</v>
      </c>
      <c r="H192" s="8" t="s">
        <v>554</v>
      </c>
      <c r="I192" s="11"/>
    </row>
    <row r="193" spans="1:11">
      <c r="A193" s="11"/>
      <c r="B193" s="11"/>
      <c r="C193" s="11"/>
      <c r="D193" s="11" t="str">
        <f t="shared" si="8"/>
        <v>4th GROUP K</v>
      </c>
      <c r="E193" s="11" t="s">
        <v>433</v>
      </c>
      <c r="F193" s="11"/>
      <c r="G193" s="11" t="s">
        <v>551</v>
      </c>
      <c r="H193" s="8" t="s">
        <v>555</v>
      </c>
      <c r="I193" s="11"/>
    </row>
    <row r="194" spans="1:11">
      <c r="A194" s="11"/>
      <c r="B194" s="11"/>
      <c r="C194" s="11"/>
      <c r="D194" s="11" t="str">
        <f t="shared" si="8"/>
        <v>1st GROUP L</v>
      </c>
      <c r="E194" s="11" t="s">
        <v>433</v>
      </c>
      <c r="F194" s="11"/>
      <c r="G194" s="11" t="s">
        <v>556</v>
      </c>
      <c r="H194" s="8" t="s">
        <v>560</v>
      </c>
      <c r="I194" s="11"/>
    </row>
    <row r="195" spans="1:11">
      <c r="A195" s="11"/>
      <c r="B195" s="11"/>
      <c r="C195" s="11"/>
      <c r="D195" s="11" t="str">
        <f t="shared" si="8"/>
        <v>2nd GROUP L</v>
      </c>
      <c r="E195" s="11" t="s">
        <v>433</v>
      </c>
      <c r="F195" s="11"/>
      <c r="G195" s="11" t="s">
        <v>557</v>
      </c>
      <c r="H195" s="8" t="s">
        <v>561</v>
      </c>
      <c r="I195" s="11"/>
    </row>
    <row r="196" spans="1:11">
      <c r="A196" s="11"/>
      <c r="B196" s="11"/>
      <c r="C196" s="11"/>
      <c r="D196" s="11" t="str">
        <f t="shared" si="8"/>
        <v>3rd GROUP L</v>
      </c>
      <c r="E196" s="11" t="s">
        <v>433</v>
      </c>
      <c r="F196" s="11"/>
      <c r="G196" s="11" t="s">
        <v>558</v>
      </c>
      <c r="H196" s="8" t="s">
        <v>562</v>
      </c>
      <c r="I196" s="11"/>
    </row>
    <row r="197" spans="1:11">
      <c r="A197" s="11"/>
      <c r="B197" s="11"/>
      <c r="C197" s="11"/>
      <c r="D197" s="11" t="str">
        <f t="shared" si="8"/>
        <v>4th GROUP L</v>
      </c>
      <c r="E197" s="11" t="s">
        <v>433</v>
      </c>
      <c r="F197" s="11"/>
      <c r="G197" s="11" t="s">
        <v>559</v>
      </c>
      <c r="H197" s="8" t="s">
        <v>563</v>
      </c>
      <c r="I197" s="11"/>
    </row>
    <row r="198" spans="1:11">
      <c r="A198" s="11"/>
      <c r="B198" s="11"/>
      <c r="C198" s="11"/>
      <c r="D198" s="11" t="str">
        <f t="shared" si="6"/>
        <v>16-Finalist</v>
      </c>
      <c r="E198" s="11" t="s">
        <v>433</v>
      </c>
      <c r="F198" s="11" t="s">
        <v>429</v>
      </c>
      <c r="G198" s="11" t="s">
        <v>566</v>
      </c>
      <c r="H198" s="8" t="s">
        <v>567</v>
      </c>
      <c r="I198" s="11"/>
    </row>
    <row r="199" spans="1:11">
      <c r="A199" s="11"/>
      <c r="B199" s="11"/>
      <c r="C199" s="11"/>
      <c r="D199" s="11" t="str">
        <f t="shared" si="6"/>
        <v>8-Finalist</v>
      </c>
      <c r="E199" s="11" t="s">
        <v>433</v>
      </c>
      <c r="F199" s="11"/>
      <c r="G199" s="11" t="s">
        <v>1296</v>
      </c>
      <c r="H199" s="8" t="s">
        <v>401</v>
      </c>
      <c r="I199" s="11"/>
    </row>
    <row r="200" spans="1:11">
      <c r="A200" s="11"/>
      <c r="B200" s="11"/>
      <c r="C200" s="11"/>
      <c r="D200" s="11" t="str">
        <f t="shared" si="6"/>
        <v>Quarterfinalist</v>
      </c>
      <c r="E200" s="11" t="s">
        <v>433</v>
      </c>
      <c r="F200" s="11" t="s">
        <v>430</v>
      </c>
      <c r="G200" s="11" t="s">
        <v>58</v>
      </c>
      <c r="H200" s="8" t="s">
        <v>402</v>
      </c>
      <c r="I200" s="11"/>
    </row>
    <row r="201" spans="1:11">
      <c r="A201" s="11"/>
      <c r="B201" s="11"/>
      <c r="C201" s="11"/>
      <c r="D201" s="11" t="str">
        <f t="shared" si="6"/>
        <v>Semifinalist</v>
      </c>
      <c r="E201" s="11" t="s">
        <v>433</v>
      </c>
      <c r="F201" s="11" t="s">
        <v>431</v>
      </c>
      <c r="G201" s="11" t="s">
        <v>61</v>
      </c>
      <c r="H201" s="8" t="s">
        <v>403</v>
      </c>
      <c r="I201" s="11"/>
    </row>
    <row r="202" spans="1:11">
      <c r="A202" s="11"/>
      <c r="B202" s="11"/>
      <c r="C202" s="11"/>
      <c r="D202" s="11" t="str">
        <f t="shared" si="6"/>
        <v>3rd-4th place</v>
      </c>
      <c r="E202" s="11" t="s">
        <v>433</v>
      </c>
      <c r="F202" s="11"/>
      <c r="G202" s="11" t="s">
        <v>491</v>
      </c>
      <c r="H202" s="8" t="s">
        <v>492</v>
      </c>
      <c r="I202" s="11"/>
    </row>
    <row r="203" spans="1:11">
      <c r="A203" s="11"/>
      <c r="B203" s="11"/>
      <c r="C203" s="11"/>
      <c r="D203" s="11" t="str">
        <f t="shared" si="6"/>
        <v>Finalist</v>
      </c>
      <c r="E203" s="11" t="s">
        <v>433</v>
      </c>
      <c r="F203" s="11" t="s">
        <v>432</v>
      </c>
      <c r="G203" s="11" t="s">
        <v>64</v>
      </c>
      <c r="H203" s="8" t="s">
        <v>404</v>
      </c>
      <c r="I203" s="11"/>
    </row>
    <row r="204" spans="1:11">
      <c r="A204" s="11"/>
      <c r="B204" s="11"/>
      <c r="C204" s="11"/>
      <c r="D204" s="11"/>
      <c r="E204" s="11"/>
      <c r="F204" s="11"/>
      <c r="G204" s="11"/>
      <c r="H204" s="11"/>
      <c r="I204" s="11"/>
    </row>
    <row r="205" spans="1:11">
      <c r="A205" s="11"/>
      <c r="B205" s="11"/>
      <c r="C205" s="11"/>
      <c r="D205" s="11"/>
      <c r="E205" s="11"/>
      <c r="F205" s="11"/>
      <c r="G205" s="11"/>
      <c r="H205" s="11"/>
      <c r="I205" s="11"/>
    </row>
    <row r="206" spans="1:11">
      <c r="A206" s="11"/>
      <c r="B206" s="11"/>
      <c r="C206" s="11"/>
      <c r="D206" s="11"/>
      <c r="E206" s="11"/>
      <c r="F206" s="11"/>
      <c r="G206" s="11"/>
      <c r="H206" s="11"/>
      <c r="I206" s="11"/>
    </row>
    <row r="207" spans="1:11">
      <c r="A207" s="11"/>
      <c r="B207" s="11"/>
      <c r="C207" s="11"/>
      <c r="D207" s="11"/>
      <c r="E207" s="11"/>
      <c r="F207" s="11"/>
      <c r="G207" s="11"/>
      <c r="H207" s="11"/>
      <c r="I207" s="11"/>
      <c r="J207" s="731"/>
      <c r="K207" s="734"/>
    </row>
    <row r="208" spans="1:11">
      <c r="A208" s="11"/>
      <c r="B208" s="11"/>
      <c r="C208" s="11"/>
      <c r="D208" s="11"/>
      <c r="E208" s="11"/>
      <c r="F208" s="11"/>
      <c r="G208" s="11"/>
      <c r="H208" s="11"/>
      <c r="I208" s="11"/>
    </row>
    <row r="209" spans="1:16">
      <c r="A209" s="11"/>
      <c r="B209" s="11"/>
      <c r="C209" s="11"/>
      <c r="D209" s="11"/>
      <c r="E209" s="11"/>
      <c r="F209" s="11"/>
      <c r="G209" s="11"/>
      <c r="H209" s="11"/>
      <c r="I209" s="11"/>
      <c r="J209" s="731"/>
    </row>
    <row r="210" spans="1:16">
      <c r="A210" s="11"/>
      <c r="B210" s="11"/>
      <c r="C210" s="11"/>
      <c r="D210" s="11"/>
      <c r="E210" s="11"/>
      <c r="F210" s="11"/>
      <c r="G210" s="11"/>
      <c r="H210" s="11"/>
      <c r="I210" s="11"/>
    </row>
    <row r="211" spans="1:16">
      <c r="A211" s="11"/>
      <c r="B211" s="11"/>
      <c r="C211" s="11" t="s">
        <v>1374</v>
      </c>
      <c r="D211" s="11"/>
      <c r="E211" s="11"/>
      <c r="F211" s="11"/>
      <c r="G211" s="11"/>
      <c r="H211" s="11"/>
      <c r="I211" s="11"/>
      <c r="J211" s="731"/>
      <c r="O211" s="735" t="s">
        <v>1934</v>
      </c>
      <c r="P211" s="735"/>
    </row>
    <row r="212" spans="1:16">
      <c r="A212" s="11"/>
      <c r="B212" s="11">
        <v>1</v>
      </c>
      <c r="C212" s="11">
        <v>17</v>
      </c>
      <c r="D212" s="11" t="str">
        <f t="shared" ref="D212:D259" ca="1" si="9">IF($B$2,G212,H212)</f>
        <v>Germany</v>
      </c>
      <c r="E212" s="11" t="s">
        <v>213</v>
      </c>
      <c r="F212" s="11" t="s">
        <v>300</v>
      </c>
      <c r="G212" s="11" t="str">
        <f t="shared" ref="G212:G259" ca="1" si="10">J212</f>
        <v>Alemania</v>
      </c>
      <c r="H212" s="11" t="str">
        <f t="shared" ref="H212:H259" ca="1" si="11">K212</f>
        <v>Germany</v>
      </c>
      <c r="I212" s="11" t="s">
        <v>27</v>
      </c>
      <c r="J212" s="735" t="str">
        <f ca="1">IF(Home!$K$23=$D$1419,O212,
IF(AND(Home!$K$23&lt;&gt;$D$1419,TODAY()&lt;=Horarios!$A$4),O212,$D$1420))</f>
        <v>Alemania</v>
      </c>
      <c r="K212" s="735" t="str">
        <f ca="1">IF(Home!$K$23=$D$1419,P212,
IF(AND(Home!$K$23&lt;&gt;$D$1419,TODAY()&lt;=Horarios!$A$4),P212,$D$1420))</f>
        <v>Germany</v>
      </c>
      <c r="O212" s="736" t="s">
        <v>77</v>
      </c>
      <c r="P212" s="736" t="s">
        <v>297</v>
      </c>
    </row>
    <row r="213" spans="1:16">
      <c r="A213" s="11"/>
      <c r="B213" s="11">
        <v>2</v>
      </c>
      <c r="C213" s="11">
        <v>31</v>
      </c>
      <c r="D213" s="11" t="str">
        <f t="shared" ca="1" si="9"/>
        <v>Saudi Arabia</v>
      </c>
      <c r="E213" s="11" t="s">
        <v>213</v>
      </c>
      <c r="F213" s="11" t="s">
        <v>188</v>
      </c>
      <c r="G213" s="11" t="str">
        <f t="shared" ca="1" si="10"/>
        <v>Arabia Saudita</v>
      </c>
      <c r="H213" s="11" t="str">
        <f t="shared" ca="1" si="11"/>
        <v>Saudi Arabia</v>
      </c>
      <c r="I213" s="11" t="s">
        <v>28</v>
      </c>
      <c r="J213" s="735" t="str">
        <f ca="1">IF(Home!$K$23=$D$1419,O213,
IF(AND(Home!$K$23&lt;&gt;$D$1419,TODAY()&lt;=Horarios!$A$4),O213,$D$1420))</f>
        <v>Arabia Saudita</v>
      </c>
      <c r="K213" s="735" t="str">
        <f ca="1">IF(Home!$K$23=$D$1419,P213,
IF(AND(Home!$K$23&lt;&gt;$D$1419,TODAY()&lt;=Horarios!$A$4),P213,$D$1420))</f>
        <v>Saudi Arabia</v>
      </c>
      <c r="O213" s="736" t="s">
        <v>1632</v>
      </c>
      <c r="P213" s="736" t="s">
        <v>1639</v>
      </c>
    </row>
    <row r="214" spans="1:16">
      <c r="A214" s="11"/>
      <c r="B214" s="11">
        <v>3</v>
      </c>
      <c r="C214" s="11">
        <v>38</v>
      </c>
      <c r="D214" s="11" t="str">
        <f t="shared" ca="1" si="9"/>
        <v>Algeria</v>
      </c>
      <c r="E214" s="11" t="s">
        <v>213</v>
      </c>
      <c r="F214" s="11" t="s">
        <v>301</v>
      </c>
      <c r="G214" s="11" t="str">
        <f t="shared" ca="1" si="10"/>
        <v>Argelia</v>
      </c>
      <c r="H214" s="11" t="str">
        <f t="shared" ca="1" si="11"/>
        <v>Algeria</v>
      </c>
      <c r="I214" s="11" t="s">
        <v>112</v>
      </c>
      <c r="J214" s="735" t="str">
        <f ca="1">IF(Home!$K$23=$D$1419,O214,
IF(AND(Home!$K$23&lt;&gt;$D$1419,TODAY()&lt;=Horarios!$A$4),O214,$D$1420))</f>
        <v>Argelia</v>
      </c>
      <c r="K214" s="735" t="str">
        <f ca="1">IF(Home!$K$23=$D$1419,P214,
IF(AND(Home!$K$23&lt;&gt;$D$1419,TODAY()&lt;=Horarios!$A$4),P214,$D$1420))</f>
        <v>Algeria</v>
      </c>
      <c r="O214" s="736" t="s">
        <v>1558</v>
      </c>
      <c r="P214" s="736" t="s">
        <v>1559</v>
      </c>
    </row>
    <row r="215" spans="1:16">
      <c r="A215" s="11"/>
      <c r="B215" s="11">
        <v>4</v>
      </c>
      <c r="C215" s="11">
        <v>37</v>
      </c>
      <c r="D215" s="11" t="str">
        <f t="shared" ca="1" si="9"/>
        <v>Argentina</v>
      </c>
      <c r="E215" s="11" t="s">
        <v>213</v>
      </c>
      <c r="F215" s="11" t="s">
        <v>302</v>
      </c>
      <c r="G215" s="11" t="str">
        <f t="shared" ca="1" si="10"/>
        <v>Argentina</v>
      </c>
      <c r="H215" s="11" t="str">
        <f t="shared" ca="1" si="11"/>
        <v>Argentina</v>
      </c>
      <c r="I215" s="11" t="s">
        <v>118</v>
      </c>
      <c r="J215" s="735" t="str">
        <f ca="1">IF(Home!$K$23=$D$1419,O215,
IF(AND(Home!$K$23&lt;&gt;$D$1419,TODAY()&lt;=Horarios!$A$4),O215,$D$1420))</f>
        <v>Argentina</v>
      </c>
      <c r="K215" s="735" t="str">
        <f ca="1">IF(Home!$K$23=$D$1419,P215,
IF(AND(Home!$K$23&lt;&gt;$D$1419,TODAY()&lt;=Horarios!$A$4),P215,$D$1420))</f>
        <v>Argentina</v>
      </c>
      <c r="O215" s="736" t="s">
        <v>1256</v>
      </c>
      <c r="P215" s="736" t="s">
        <v>1256</v>
      </c>
    </row>
    <row r="216" spans="1:16">
      <c r="A216" s="11"/>
      <c r="B216" s="11">
        <v>5</v>
      </c>
      <c r="C216" s="11">
        <v>15</v>
      </c>
      <c r="D216" s="11" t="str">
        <f t="shared" ca="1" si="9"/>
        <v>Australia</v>
      </c>
      <c r="E216" s="11" t="s">
        <v>213</v>
      </c>
      <c r="F216" s="11" t="s">
        <v>303</v>
      </c>
      <c r="G216" s="11" t="str">
        <f t="shared" ca="1" si="10"/>
        <v>Australia</v>
      </c>
      <c r="H216" s="11" t="str">
        <f t="shared" ca="1" si="11"/>
        <v>Australia</v>
      </c>
      <c r="I216" s="11" t="s">
        <v>124</v>
      </c>
      <c r="J216" s="735" t="str">
        <f ca="1">IF(Home!$K$23=$D$1419,O216,
IF(AND(Home!$K$23&lt;&gt;$D$1419,TODAY()&lt;=Horarios!$A$4),O216,$D$1420))</f>
        <v>Australia</v>
      </c>
      <c r="K216" s="735" t="str">
        <f ca="1">IF(Home!$K$23=$D$1419,P216,
IF(AND(Home!$K$23&lt;&gt;$D$1419,TODAY()&lt;=Horarios!$A$4),P216,$D$1420))</f>
        <v>Australia</v>
      </c>
      <c r="O216" s="736" t="s">
        <v>1257</v>
      </c>
      <c r="P216" s="736" t="s">
        <v>1257</v>
      </c>
    </row>
    <row r="217" spans="1:16">
      <c r="A217" s="11"/>
      <c r="B217" s="11">
        <v>6</v>
      </c>
      <c r="C217" s="11">
        <v>39</v>
      </c>
      <c r="D217" s="11" t="str">
        <f t="shared" ca="1" si="9"/>
        <v>Austria</v>
      </c>
      <c r="E217" s="11" t="s">
        <v>213</v>
      </c>
      <c r="F217" s="11" t="s">
        <v>304</v>
      </c>
      <c r="G217" s="11" t="str">
        <f t="shared" ca="1" si="10"/>
        <v>Austria</v>
      </c>
      <c r="H217" s="11" t="str">
        <f t="shared" ca="1" si="11"/>
        <v>Austria</v>
      </c>
      <c r="I217" s="11" t="s">
        <v>1224</v>
      </c>
      <c r="J217" s="735" t="str">
        <f ca="1">IF(Home!$K$23=$D$1419,O217,
IF(AND(Home!$K$23&lt;&gt;$D$1419,TODAY()&lt;=Horarios!$A$4),O217,$D$1420))</f>
        <v>Austria</v>
      </c>
      <c r="K217" s="735" t="str">
        <f ca="1">IF(Home!$K$23=$D$1419,P217,
IF(AND(Home!$K$23&lt;&gt;$D$1419,TODAY()&lt;=Horarios!$A$4),P217,$D$1420))</f>
        <v>Austria</v>
      </c>
      <c r="O217" s="736" t="s">
        <v>80</v>
      </c>
      <c r="P217" s="736" t="s">
        <v>80</v>
      </c>
    </row>
    <row r="218" spans="1:16">
      <c r="A218" s="11"/>
      <c r="B218" s="11">
        <v>7</v>
      </c>
      <c r="C218" s="11">
        <v>25</v>
      </c>
      <c r="D218" s="11" t="str">
        <f t="shared" ca="1" si="9"/>
        <v>Belgium</v>
      </c>
      <c r="E218" s="11" t="s">
        <v>213</v>
      </c>
      <c r="F218" s="11" t="s">
        <v>305</v>
      </c>
      <c r="G218" s="11" t="str">
        <f t="shared" ca="1" si="10"/>
        <v>Bélgica</v>
      </c>
      <c r="H218" s="11" t="str">
        <f t="shared" ca="1" si="11"/>
        <v>Belgium</v>
      </c>
      <c r="I218" s="11" t="s">
        <v>113</v>
      </c>
      <c r="J218" s="735" t="str">
        <f ca="1">IF(Home!$K$23=$D$1419,O218,
IF(AND(Home!$K$23&lt;&gt;$D$1419,TODAY()&lt;=Horarios!$A$4),O218,$D$1420))</f>
        <v>Bélgica</v>
      </c>
      <c r="K218" s="735" t="str">
        <f ca="1">IF(Home!$K$23=$D$1419,P218,
IF(AND(Home!$K$23&lt;&gt;$D$1419,TODAY()&lt;=Horarios!$A$4),P218,$D$1420))</f>
        <v>Belgium</v>
      </c>
      <c r="O218" s="736" t="s">
        <v>110</v>
      </c>
      <c r="P218" s="736" t="s">
        <v>293</v>
      </c>
    </row>
    <row r="219" spans="1:16">
      <c r="A219" s="11"/>
      <c r="B219" s="11">
        <v>8</v>
      </c>
      <c r="C219" s="11">
        <v>9</v>
      </c>
      <c r="D219" s="11" t="str">
        <f t="shared" ca="1" si="9"/>
        <v>Brazil</v>
      </c>
      <c r="E219" s="11" t="s">
        <v>213</v>
      </c>
      <c r="F219" s="11" t="s">
        <v>306</v>
      </c>
      <c r="G219" s="11" t="str">
        <f t="shared" ca="1" si="10"/>
        <v>Brasil</v>
      </c>
      <c r="H219" s="11" t="str">
        <f t="shared" ca="1" si="11"/>
        <v>Brazil</v>
      </c>
      <c r="I219" s="11" t="s">
        <v>1230</v>
      </c>
      <c r="J219" s="735" t="str">
        <f ca="1">IF(Home!$K$23=$D$1419,O219,
IF(AND(Home!$K$23&lt;&gt;$D$1419,TODAY()&lt;=Horarios!$A$4),O219,$D$1420))</f>
        <v>Brasil</v>
      </c>
      <c r="K219" s="735" t="str">
        <f ca="1">IF(Home!$K$23=$D$1419,P219,
IF(AND(Home!$K$23&lt;&gt;$D$1419,TODAY()&lt;=Horarios!$A$4),P219,$D$1420))</f>
        <v>Brazil</v>
      </c>
      <c r="O219" s="736" t="s">
        <v>1258</v>
      </c>
      <c r="P219" s="736" t="s">
        <v>1274</v>
      </c>
    </row>
    <row r="220" spans="1:16">
      <c r="A220" s="11"/>
      <c r="B220" s="11">
        <v>9</v>
      </c>
      <c r="C220" s="11">
        <v>30</v>
      </c>
      <c r="D220" s="11" t="str">
        <f t="shared" ca="1" si="9"/>
        <v>Cape Verde</v>
      </c>
      <c r="E220" s="11" t="s">
        <v>213</v>
      </c>
      <c r="F220" s="11" t="s">
        <v>307</v>
      </c>
      <c r="G220" s="11" t="str">
        <f t="shared" ca="1" si="10"/>
        <v>Cabo Verde</v>
      </c>
      <c r="H220" s="11" t="str">
        <f t="shared" ca="1" si="11"/>
        <v>Cape Verde</v>
      </c>
      <c r="I220" s="11" t="s">
        <v>515</v>
      </c>
      <c r="J220" s="735" t="str">
        <f ca="1">IF(Home!$K$23=$D$1419,O220,
IF(AND(Home!$K$23&lt;&gt;$D$1419,TODAY()&lt;=Horarios!$A$4),O220,$D$1420))</f>
        <v>Cabo Verde</v>
      </c>
      <c r="K220" s="735" t="str">
        <f ca="1">IF(Home!$K$23=$D$1419,P220,
IF(AND(Home!$K$23&lt;&gt;$D$1419,TODAY()&lt;=Horarios!$A$4),P220,$D$1420))</f>
        <v>Cape Verde</v>
      </c>
      <c r="O220" s="736" t="s">
        <v>1552</v>
      </c>
      <c r="P220" s="736" t="s">
        <v>1556</v>
      </c>
    </row>
    <row r="221" spans="1:16">
      <c r="A221" s="11"/>
      <c r="B221" s="11">
        <v>10</v>
      </c>
      <c r="C221" s="11">
        <v>5</v>
      </c>
      <c r="D221" s="11" t="str">
        <f t="shared" ca="1" si="9"/>
        <v>Canada</v>
      </c>
      <c r="E221" s="11" t="s">
        <v>213</v>
      </c>
      <c r="F221" s="11" t="s">
        <v>308</v>
      </c>
      <c r="G221" s="11" t="str">
        <f t="shared" ca="1" si="10"/>
        <v>Canadá</v>
      </c>
      <c r="H221" s="11" t="str">
        <f t="shared" ca="1" si="11"/>
        <v>Canada</v>
      </c>
      <c r="I221" s="11" t="s">
        <v>300</v>
      </c>
      <c r="J221" s="735" t="str">
        <f ca="1">IF(Home!$K$23=$D$1419,O221,
IF(AND(Home!$K$23&lt;&gt;$D$1419,TODAY()&lt;=Horarios!$A$4),O221,$D$1420))</f>
        <v>Canadá</v>
      </c>
      <c r="K221" s="735" t="str">
        <f ca="1">IF(Home!$K$23=$D$1419,P221,
IF(AND(Home!$K$23&lt;&gt;$D$1419,TODAY()&lt;=Horarios!$A$4),P221,$D$1420))</f>
        <v>Canada</v>
      </c>
      <c r="O221" s="736" t="s">
        <v>1259</v>
      </c>
      <c r="P221" s="736" t="s">
        <v>1276</v>
      </c>
    </row>
    <row r="222" spans="1:16">
      <c r="A222" s="11"/>
      <c r="B222" s="11">
        <v>11</v>
      </c>
      <c r="C222" s="11">
        <v>7</v>
      </c>
      <c r="D222" s="11" t="str">
        <f t="shared" ca="1" si="9"/>
        <v>Qatar</v>
      </c>
      <c r="E222" s="11" t="s">
        <v>213</v>
      </c>
      <c r="F222" s="11" t="s">
        <v>309</v>
      </c>
      <c r="G222" s="11" t="str">
        <f t="shared" ca="1" si="10"/>
        <v>Catar</v>
      </c>
      <c r="H222" s="11" t="str">
        <f t="shared" ca="1" si="11"/>
        <v>Qatar</v>
      </c>
      <c r="I222" s="11" t="s">
        <v>188</v>
      </c>
      <c r="J222" s="735" t="str">
        <f ca="1">IF(Home!$K$23=$D$1419,O222,
IF(AND(Home!$K$23&lt;&gt;$D$1419,TODAY()&lt;=Horarios!$A$4),O222,$D$1420))</f>
        <v>Catar</v>
      </c>
      <c r="K222" s="735" t="str">
        <f ca="1">IF(Home!$K$23=$D$1419,P222,
IF(AND(Home!$K$23&lt;&gt;$D$1419,TODAY()&lt;=Horarios!$A$4),P222,$D$1420))</f>
        <v>Qatar</v>
      </c>
      <c r="O222" s="736" t="s">
        <v>1631</v>
      </c>
      <c r="P222" s="736" t="s">
        <v>1637</v>
      </c>
    </row>
    <row r="223" spans="1:16">
      <c r="A223" s="11"/>
      <c r="B223" s="11">
        <v>12</v>
      </c>
      <c r="C223" s="11">
        <v>44</v>
      </c>
      <c r="D223" s="11" t="str">
        <f t="shared" ca="1" si="9"/>
        <v>Colombia</v>
      </c>
      <c r="E223" s="11" t="s">
        <v>213</v>
      </c>
      <c r="F223" s="11" t="s">
        <v>310</v>
      </c>
      <c r="G223" s="11" t="str">
        <f t="shared" ca="1" si="10"/>
        <v>Colombia</v>
      </c>
      <c r="H223" s="11" t="str">
        <f t="shared" ca="1" si="11"/>
        <v>Colombia</v>
      </c>
      <c r="I223" s="11" t="s">
        <v>301</v>
      </c>
      <c r="J223" s="735" t="str">
        <f ca="1">IF(Home!$K$23=$D$1419,O223,
IF(AND(Home!$K$23&lt;&gt;$D$1419,TODAY()&lt;=Horarios!$A$4),O223,$D$1420))</f>
        <v>Colombia</v>
      </c>
      <c r="K223" s="735" t="str">
        <f ca="1">IF(Home!$K$23=$D$1419,P223,
IF(AND(Home!$K$23&lt;&gt;$D$1419,TODAY()&lt;=Horarios!$A$4),P223,$D$1420))</f>
        <v>Colombia</v>
      </c>
      <c r="O223" s="736" t="s">
        <v>1320</v>
      </c>
      <c r="P223" s="736" t="s">
        <v>1320</v>
      </c>
    </row>
    <row r="224" spans="1:16">
      <c r="A224" s="11"/>
      <c r="B224" s="11">
        <v>13</v>
      </c>
      <c r="C224" s="11">
        <v>3</v>
      </c>
      <c r="D224" s="11" t="str">
        <f t="shared" ca="1" si="9"/>
        <v>South Korea</v>
      </c>
      <c r="E224" s="11" t="s">
        <v>213</v>
      </c>
      <c r="F224" s="11" t="s">
        <v>311</v>
      </c>
      <c r="G224" s="11" t="str">
        <f t="shared" ca="1" si="10"/>
        <v>Corea del Sur</v>
      </c>
      <c r="H224" s="11" t="str">
        <f t="shared" ca="1" si="11"/>
        <v>South Korea</v>
      </c>
      <c r="I224" s="11" t="s">
        <v>1196</v>
      </c>
      <c r="J224" s="735" t="str">
        <f ca="1">IF(Home!$K$23=$D$1419,O224,
IF(AND(Home!$K$23&lt;&gt;$D$1419,TODAY()&lt;=Horarios!$A$4),O224,$D$1420))</f>
        <v>Corea del Sur</v>
      </c>
      <c r="K224" s="735" t="str">
        <f ca="1">IF(Home!$K$23=$D$1419,P224,
IF(AND(Home!$K$23&lt;&gt;$D$1419,TODAY()&lt;=Horarios!$A$4),P224,$D$1420))</f>
        <v>South Korea</v>
      </c>
      <c r="O224" s="736" t="s">
        <v>1260</v>
      </c>
      <c r="P224" s="736" t="s">
        <v>1278</v>
      </c>
    </row>
    <row r="225" spans="1:16">
      <c r="A225" s="11"/>
      <c r="B225" s="11">
        <v>14</v>
      </c>
      <c r="C225" s="11">
        <v>19</v>
      </c>
      <c r="D225" s="11" t="str">
        <f t="shared" ca="1" si="9"/>
        <v>Ivory Coast</v>
      </c>
      <c r="E225" s="11" t="s">
        <v>213</v>
      </c>
      <c r="F225" s="11" t="s">
        <v>312</v>
      </c>
      <c r="G225" s="11" t="str">
        <f t="shared" ca="1" si="10"/>
        <v>Costa de Marfil</v>
      </c>
      <c r="H225" s="11" t="str">
        <f t="shared" ca="1" si="11"/>
        <v>Ivory Coast</v>
      </c>
      <c r="I225" s="11" t="s">
        <v>1197</v>
      </c>
      <c r="J225" s="735" t="str">
        <f ca="1">IF(Home!$K$23=$D$1419,O225,
IF(AND(Home!$K$23&lt;&gt;$D$1419,TODAY()&lt;=Horarios!$A$4),O225,$D$1420))</f>
        <v>Costa de Marfil</v>
      </c>
      <c r="K225" s="735" t="str">
        <f ca="1">IF(Home!$K$23=$D$1419,P225,
IF(AND(Home!$K$23&lt;&gt;$D$1419,TODAY()&lt;=Horarios!$A$4),P225,$D$1420))</f>
        <v>Ivory Coast</v>
      </c>
      <c r="O225" s="737" t="s">
        <v>1633</v>
      </c>
      <c r="P225" s="736" t="s">
        <v>1641</v>
      </c>
    </row>
    <row r="226" spans="1:16">
      <c r="A226" s="11"/>
      <c r="B226" s="11">
        <v>15</v>
      </c>
      <c r="C226" s="11">
        <v>46</v>
      </c>
      <c r="D226" s="11" t="str">
        <f t="shared" ca="1" si="9"/>
        <v>Croatia</v>
      </c>
      <c r="E226" s="11" t="s">
        <v>213</v>
      </c>
      <c r="F226" s="11" t="s">
        <v>313</v>
      </c>
      <c r="G226" s="11" t="str">
        <f t="shared" ca="1" si="10"/>
        <v>Croacia</v>
      </c>
      <c r="H226" s="11" t="str">
        <f t="shared" ca="1" si="11"/>
        <v>Croatia</v>
      </c>
      <c r="I226" s="11" t="s">
        <v>1198</v>
      </c>
      <c r="J226" s="735" t="str">
        <f ca="1">IF(Home!$K$23=$D$1419,O226,
IF(AND(Home!$K$23&lt;&gt;$D$1419,TODAY()&lt;=Horarios!$A$4),O226,$D$1420))</f>
        <v>Croacia</v>
      </c>
      <c r="K226" s="735" t="str">
        <f ca="1">IF(Home!$K$23=$D$1419,P226,
IF(AND(Home!$K$23&lt;&gt;$D$1419,TODAY()&lt;=Horarios!$A$4),P226,$D$1420))</f>
        <v>Croatia</v>
      </c>
      <c r="O226" s="736" t="s">
        <v>78</v>
      </c>
      <c r="P226" s="736" t="s">
        <v>296</v>
      </c>
    </row>
    <row r="227" spans="1:16">
      <c r="A227" s="11"/>
      <c r="B227" s="11">
        <v>16</v>
      </c>
      <c r="C227" s="11">
        <v>18</v>
      </c>
      <c r="D227" s="11" t="str">
        <f t="shared" ca="1" si="9"/>
        <v>Curaçao</v>
      </c>
      <c r="E227" s="11" t="s">
        <v>213</v>
      </c>
      <c r="F227" s="11" t="s">
        <v>314</v>
      </c>
      <c r="G227" s="11" t="str">
        <f t="shared" ca="1" si="10"/>
        <v>Curazao</v>
      </c>
      <c r="H227" s="11" t="str">
        <f t="shared" ca="1" si="11"/>
        <v>Curaçao</v>
      </c>
      <c r="I227" s="11" t="s">
        <v>1231</v>
      </c>
      <c r="J227" s="735" t="str">
        <f ca="1">IF(Home!$K$23=$D$1419,O227,
IF(AND(Home!$K$23&lt;&gt;$D$1419,TODAY()&lt;=Horarios!$A$4),O227,$D$1420))</f>
        <v>Curazao</v>
      </c>
      <c r="K227" s="735" t="str">
        <f ca="1">IF(Home!$K$23=$D$1419,P227,
IF(AND(Home!$K$23&lt;&gt;$D$1419,TODAY()&lt;=Horarios!$A$4),P227,$D$1420))</f>
        <v>Curaçao</v>
      </c>
      <c r="O227" s="736" t="s">
        <v>1726</v>
      </c>
      <c r="P227" s="736" t="s">
        <v>1727</v>
      </c>
    </row>
    <row r="228" spans="1:16">
      <c r="A228" s="11"/>
      <c r="B228" s="11">
        <v>17</v>
      </c>
      <c r="C228" s="11">
        <v>20</v>
      </c>
      <c r="D228" s="11" t="str">
        <f t="shared" ca="1" si="9"/>
        <v>Ecuador</v>
      </c>
      <c r="E228" s="11" t="s">
        <v>213</v>
      </c>
      <c r="F228" s="11" t="s">
        <v>315</v>
      </c>
      <c r="G228" s="11" t="str">
        <f t="shared" ca="1" si="10"/>
        <v>Ecuador</v>
      </c>
      <c r="H228" s="11" t="str">
        <f t="shared" ca="1" si="11"/>
        <v>Ecuador</v>
      </c>
      <c r="I228" s="11" t="s">
        <v>119</v>
      </c>
      <c r="J228" s="735" t="str">
        <f ca="1">IF(Home!$K$23=$D$1419,O228,
IF(AND(Home!$K$23&lt;&gt;$D$1419,TODAY()&lt;=Horarios!$A$4),O228,$D$1420))</f>
        <v>Ecuador</v>
      </c>
      <c r="K228" s="735" t="str">
        <f ca="1">IF(Home!$K$23=$D$1419,P228,
IF(AND(Home!$K$23&lt;&gt;$D$1419,TODAY()&lt;=Horarios!$A$4),P228,$D$1420))</f>
        <v>Ecuador</v>
      </c>
      <c r="O228" s="736" t="s">
        <v>1261</v>
      </c>
      <c r="P228" s="736" t="s">
        <v>1261</v>
      </c>
    </row>
    <row r="229" spans="1:16">
      <c r="A229" s="11"/>
      <c r="B229" s="11">
        <v>18</v>
      </c>
      <c r="C229" s="11">
        <v>26</v>
      </c>
      <c r="D229" s="11" t="str">
        <f t="shared" ca="1" si="9"/>
        <v>Egypt</v>
      </c>
      <c r="E229" s="11" t="s">
        <v>213</v>
      </c>
      <c r="F229" s="11" t="s">
        <v>316</v>
      </c>
      <c r="G229" s="11" t="str">
        <f t="shared" ca="1" si="10"/>
        <v>Egipto</v>
      </c>
      <c r="H229" s="11" t="str">
        <f t="shared" ca="1" si="11"/>
        <v>Egypt</v>
      </c>
      <c r="I229" s="11" t="s">
        <v>125</v>
      </c>
      <c r="J229" s="735" t="str">
        <f ca="1">IF(Home!$K$23=$D$1419,O229,
IF(AND(Home!$K$23&lt;&gt;$D$1419,TODAY()&lt;=Horarios!$A$4),O229,$D$1420))</f>
        <v>Egipto</v>
      </c>
      <c r="K229" s="735" t="str">
        <f ca="1">IF(Home!$K$23=$D$1419,P229,
IF(AND(Home!$K$23&lt;&gt;$D$1419,TODAY()&lt;=Horarios!$A$4),P229,$D$1420))</f>
        <v>Egypt</v>
      </c>
      <c r="O229" s="736" t="s">
        <v>1550</v>
      </c>
      <c r="P229" s="736" t="s">
        <v>1553</v>
      </c>
    </row>
    <row r="230" spans="1:16">
      <c r="A230" s="11"/>
      <c r="B230" s="11">
        <v>19</v>
      </c>
      <c r="C230" s="11">
        <v>12</v>
      </c>
      <c r="D230" s="11" t="str">
        <f t="shared" ca="1" si="9"/>
        <v>Scotland</v>
      </c>
      <c r="E230" s="11" t="s">
        <v>213</v>
      </c>
      <c r="F230" s="11" t="s">
        <v>317</v>
      </c>
      <c r="G230" s="11" t="str">
        <f t="shared" ca="1" si="10"/>
        <v>Escocia</v>
      </c>
      <c r="H230" s="11" t="str">
        <f t="shared" ca="1" si="11"/>
        <v>Scotland</v>
      </c>
      <c r="I230" s="11" t="s">
        <v>1225</v>
      </c>
      <c r="J230" s="735" t="str">
        <f ca="1">IF(Home!$K$23=$D$1419,O230,
IF(AND(Home!$K$23&lt;&gt;$D$1419,TODAY()&lt;=Horarios!$A$4),O230,$D$1420))</f>
        <v>Escocia</v>
      </c>
      <c r="K230" s="735" t="str">
        <f ca="1">IF(Home!$K$23=$D$1419,P230,
IF(AND(Home!$K$23&lt;&gt;$D$1419,TODAY()&lt;=Horarios!$A$4),P230,$D$1420))</f>
        <v>Scotland</v>
      </c>
      <c r="O230" s="736" t="s">
        <v>134</v>
      </c>
      <c r="P230" s="736" t="s">
        <v>298</v>
      </c>
    </row>
    <row r="231" spans="1:16">
      <c r="A231" s="11"/>
      <c r="B231" s="11">
        <v>20</v>
      </c>
      <c r="C231" s="11">
        <v>29</v>
      </c>
      <c r="D231" s="11" t="str">
        <f t="shared" ca="1" si="9"/>
        <v>Spain</v>
      </c>
      <c r="E231" s="11" t="s">
        <v>213</v>
      </c>
      <c r="F231" s="11" t="s">
        <v>318</v>
      </c>
      <c r="G231" s="11" t="str">
        <f t="shared" ca="1" si="10"/>
        <v>España</v>
      </c>
      <c r="H231" s="11" t="str">
        <f t="shared" ca="1" si="11"/>
        <v>Spain</v>
      </c>
      <c r="I231" s="11" t="s">
        <v>114</v>
      </c>
      <c r="J231" s="735" t="str">
        <f ca="1">IF(Home!$K$23=$D$1419,O231,
IF(AND(Home!$K$23&lt;&gt;$D$1419,TODAY()&lt;=Horarios!$A$4),O231,$D$1420))</f>
        <v>España</v>
      </c>
      <c r="K231" s="735" t="str">
        <f ca="1">IF(Home!$K$23=$D$1419,P231,
IF(AND(Home!$K$23&lt;&gt;$D$1419,TODAY()&lt;=Horarios!$A$4),P231,$D$1420))</f>
        <v>Spain</v>
      </c>
      <c r="O231" s="736" t="s">
        <v>38</v>
      </c>
      <c r="P231" s="736" t="s">
        <v>295</v>
      </c>
    </row>
    <row r="232" spans="1:16">
      <c r="A232" s="11"/>
      <c r="B232" s="11">
        <v>21</v>
      </c>
      <c r="C232" s="11">
        <v>13</v>
      </c>
      <c r="D232" s="11" t="str">
        <f t="shared" ca="1" si="9"/>
        <v>United States</v>
      </c>
      <c r="E232" s="11" t="s">
        <v>213</v>
      </c>
      <c r="F232" s="11" t="s">
        <v>319</v>
      </c>
      <c r="G232" s="11" t="str">
        <f t="shared" ca="1" si="10"/>
        <v>Estados Unidos</v>
      </c>
      <c r="H232" s="11" t="str">
        <f t="shared" ca="1" si="11"/>
        <v>United States</v>
      </c>
      <c r="I232" s="11" t="s">
        <v>120</v>
      </c>
      <c r="J232" s="735" t="str">
        <f ca="1">IF(Home!$K$23=$D$1419,O232,
IF(AND(Home!$K$23&lt;&gt;$D$1419,TODAY()&lt;=Horarios!$A$4),O232,$D$1420))</f>
        <v>Estados Unidos</v>
      </c>
      <c r="K232" s="735" t="str">
        <f ca="1">IF(Home!$K$23=$D$1419,P232,
IF(AND(Home!$K$23&lt;&gt;$D$1419,TODAY()&lt;=Horarios!$A$4),P232,$D$1420))</f>
        <v>United States</v>
      </c>
      <c r="O232" s="736" t="s">
        <v>497</v>
      </c>
      <c r="P232" s="736" t="s">
        <v>498</v>
      </c>
    </row>
    <row r="233" spans="1:16">
      <c r="A233" s="11"/>
      <c r="B233" s="11">
        <v>22</v>
      </c>
      <c r="C233" s="11">
        <v>33</v>
      </c>
      <c r="D233" s="11" t="str">
        <f t="shared" ca="1" si="9"/>
        <v>France</v>
      </c>
      <c r="E233" s="11" t="s">
        <v>213</v>
      </c>
      <c r="F233" s="11" t="s">
        <v>320</v>
      </c>
      <c r="G233" s="11" t="str">
        <f t="shared" ca="1" si="10"/>
        <v>Francia</v>
      </c>
      <c r="H233" s="11" t="str">
        <f t="shared" ca="1" si="11"/>
        <v>France</v>
      </c>
      <c r="I233" s="11" t="s">
        <v>126</v>
      </c>
      <c r="J233" s="735" t="str">
        <f ca="1">IF(Home!$K$23=$D$1419,O233,
IF(AND(Home!$K$23&lt;&gt;$D$1419,TODAY()&lt;=Horarios!$A$4),O233,$D$1420))</f>
        <v>Francia</v>
      </c>
      <c r="K233" s="735" t="str">
        <f ca="1">IF(Home!$K$23=$D$1419,P233,
IF(AND(Home!$K$23&lt;&gt;$D$1419,TODAY()&lt;=Horarios!$A$4),P233,$D$1420))</f>
        <v>France</v>
      </c>
      <c r="O233" s="736" t="s">
        <v>74</v>
      </c>
      <c r="P233" s="736" t="s">
        <v>294</v>
      </c>
    </row>
    <row r="234" spans="1:16">
      <c r="A234" s="11"/>
      <c r="B234" s="11">
        <v>23</v>
      </c>
      <c r="C234" s="11">
        <v>47</v>
      </c>
      <c r="D234" s="11" t="str">
        <f t="shared" ca="1" si="9"/>
        <v>Ghana</v>
      </c>
      <c r="E234" s="11" t="s">
        <v>213</v>
      </c>
      <c r="F234" s="11" t="s">
        <v>321</v>
      </c>
      <c r="G234" s="11" t="str">
        <f t="shared" ca="1" si="10"/>
        <v>Ghana</v>
      </c>
      <c r="H234" s="11" t="str">
        <f t="shared" ca="1" si="11"/>
        <v>Ghana</v>
      </c>
      <c r="I234" s="11" t="s">
        <v>239</v>
      </c>
      <c r="J234" s="735" t="str">
        <f ca="1">IF(Home!$K$23=$D$1419,O234,
IF(AND(Home!$K$23&lt;&gt;$D$1419,TODAY()&lt;=Horarios!$A$4),O234,$D$1420))</f>
        <v>Ghana</v>
      </c>
      <c r="K234" s="735" t="str">
        <f ca="1">IF(Home!$K$23=$D$1419,P234,
IF(AND(Home!$K$23&lt;&gt;$D$1419,TODAY()&lt;=Horarios!$A$4),P234,$D$1420))</f>
        <v>Ghana</v>
      </c>
      <c r="O234" s="736" t="s">
        <v>1551</v>
      </c>
      <c r="P234" s="736" t="s">
        <v>1551</v>
      </c>
    </row>
    <row r="235" spans="1:16">
      <c r="A235" s="11"/>
      <c r="B235" s="11">
        <v>24</v>
      </c>
      <c r="C235" s="11">
        <v>11</v>
      </c>
      <c r="D235" s="11" t="str">
        <f t="shared" ca="1" si="9"/>
        <v>Haiti</v>
      </c>
      <c r="E235" s="11" t="s">
        <v>213</v>
      </c>
      <c r="F235" s="11" t="s">
        <v>322</v>
      </c>
      <c r="G235" s="11" t="str">
        <f t="shared" ca="1" si="10"/>
        <v>Haití</v>
      </c>
      <c r="H235" s="11" t="str">
        <f t="shared" ca="1" si="11"/>
        <v>Haiti</v>
      </c>
      <c r="I235" s="11" t="s">
        <v>115</v>
      </c>
      <c r="J235" s="735" t="str">
        <f ca="1">IF(Home!$K$23=$D$1419,O235,
IF(AND(Home!$K$23&lt;&gt;$D$1419,TODAY()&lt;=Horarios!$A$4),O235,$D$1420))</f>
        <v>Haití</v>
      </c>
      <c r="K235" s="735" t="str">
        <f ca="1">IF(Home!$K$23=$D$1419,P235,
IF(AND(Home!$K$23&lt;&gt;$D$1419,TODAY()&lt;=Horarios!$A$4),P235,$D$1420))</f>
        <v>Haiti</v>
      </c>
      <c r="O235" s="736" t="s">
        <v>1728</v>
      </c>
      <c r="P235" s="736" t="s">
        <v>1729</v>
      </c>
    </row>
    <row r="236" spans="1:16">
      <c r="A236" s="11"/>
      <c r="B236" s="11">
        <v>25</v>
      </c>
      <c r="C236" s="11">
        <v>45</v>
      </c>
      <c r="D236" s="11" t="str">
        <f t="shared" ca="1" si="9"/>
        <v>England</v>
      </c>
      <c r="E236" s="11" t="s">
        <v>213</v>
      </c>
      <c r="F236" s="11" t="s">
        <v>323</v>
      </c>
      <c r="G236" s="11" t="str">
        <f t="shared" ca="1" si="10"/>
        <v>Inglaterra</v>
      </c>
      <c r="H236" s="11" t="str">
        <f t="shared" ca="1" si="11"/>
        <v>England</v>
      </c>
      <c r="I236" s="11" t="s">
        <v>121</v>
      </c>
      <c r="J236" s="735" t="str">
        <f ca="1">IF(Home!$K$23=$D$1419,O236,
IF(AND(Home!$K$23&lt;&gt;$D$1419,TODAY()&lt;=Horarios!$A$4),O236,$D$1420))</f>
        <v>Inglaterra</v>
      </c>
      <c r="K236" s="735" t="str">
        <f ca="1">IF(Home!$K$23=$D$1419,P236,
IF(AND(Home!$K$23&lt;&gt;$D$1419,TODAY()&lt;=Horarios!$A$4),P236,$D$1420))</f>
        <v>England</v>
      </c>
      <c r="O236" s="736" t="s">
        <v>76</v>
      </c>
      <c r="P236" s="736" t="s">
        <v>292</v>
      </c>
    </row>
    <row r="237" spans="1:16">
      <c r="A237" s="11"/>
      <c r="B237" s="11">
        <v>26</v>
      </c>
      <c r="C237" s="11">
        <v>27</v>
      </c>
      <c r="D237" s="11" t="str">
        <f t="shared" ca="1" si="9"/>
        <v>Iran</v>
      </c>
      <c r="E237" s="11" t="s">
        <v>213</v>
      </c>
      <c r="F237" s="11" t="s">
        <v>324</v>
      </c>
      <c r="G237" s="11" t="str">
        <f t="shared" ca="1" si="10"/>
        <v>Irán</v>
      </c>
      <c r="H237" s="11" t="str">
        <f t="shared" ca="1" si="11"/>
        <v>Iran</v>
      </c>
      <c r="I237" s="11" t="s">
        <v>127</v>
      </c>
      <c r="J237" s="735" t="str">
        <f ca="1">IF(Home!$K$23=$D$1419,O237,
IF(AND(Home!$K$23&lt;&gt;$D$1419,TODAY()&lt;=Horarios!$A$4),O237,$D$1420))</f>
        <v>Irán</v>
      </c>
      <c r="K237" s="735" t="str">
        <f ca="1">IF(Home!$K$23=$D$1419,P237,
IF(AND(Home!$K$23&lt;&gt;$D$1419,TODAY()&lt;=Horarios!$A$4),P237,$D$1420))</f>
        <v>Iran</v>
      </c>
      <c r="O237" s="736" t="str">
        <f>Credits!N87</f>
        <v>Irán</v>
      </c>
      <c r="P237" s="736" t="str">
        <f>Credits!O87</f>
        <v>Iran</v>
      </c>
    </row>
    <row r="238" spans="1:16">
      <c r="A238" s="11"/>
      <c r="B238" s="11">
        <v>27</v>
      </c>
      <c r="C238" s="11">
        <v>22</v>
      </c>
      <c r="D238" s="11" t="str">
        <f t="shared" ca="1" si="9"/>
        <v>Japan</v>
      </c>
      <c r="E238" s="11" t="s">
        <v>213</v>
      </c>
      <c r="F238" s="11" t="s">
        <v>325</v>
      </c>
      <c r="G238" s="11" t="str">
        <f t="shared" ca="1" si="10"/>
        <v>Japón</v>
      </c>
      <c r="H238" s="11" t="str">
        <f t="shared" ca="1" si="11"/>
        <v>Japan</v>
      </c>
      <c r="I238" s="11" t="s">
        <v>1226</v>
      </c>
      <c r="J238" s="735" t="str">
        <f ca="1">IF(Home!$K$23=$D$1419,O238,
IF(AND(Home!$K$23&lt;&gt;$D$1419,TODAY()&lt;=Horarios!$A$4),O238,$D$1420))</f>
        <v>Japón</v>
      </c>
      <c r="K238" s="735" t="str">
        <f ca="1">IF(Home!$K$23=$D$1419,P238,
IF(AND(Home!$K$23&lt;&gt;$D$1419,TODAY()&lt;=Horarios!$A$4),P238,$D$1420))</f>
        <v>Japan</v>
      </c>
      <c r="O238" s="736" t="s">
        <v>1263</v>
      </c>
      <c r="P238" s="736" t="s">
        <v>1284</v>
      </c>
    </row>
    <row r="239" spans="1:16">
      <c r="A239" s="11"/>
      <c r="B239" s="11">
        <v>28</v>
      </c>
      <c r="C239" s="11">
        <v>40</v>
      </c>
      <c r="D239" s="11" t="str">
        <f t="shared" ca="1" si="9"/>
        <v>Jordan</v>
      </c>
      <c r="E239" s="11" t="s">
        <v>213</v>
      </c>
      <c r="F239" s="11" t="s">
        <v>326</v>
      </c>
      <c r="G239" s="11" t="str">
        <f t="shared" ca="1" si="10"/>
        <v>Jordania</v>
      </c>
      <c r="H239" s="11" t="str">
        <f t="shared" ca="1" si="11"/>
        <v>Jordan</v>
      </c>
      <c r="I239" s="11" t="s">
        <v>116</v>
      </c>
      <c r="J239" s="735" t="str">
        <f ca="1">IF(Home!$K$23=$D$1419,O239,
IF(AND(Home!$K$23&lt;&gt;$D$1419,TODAY()&lt;=Horarios!$A$4),O239,$D$1420))</f>
        <v>Jordania</v>
      </c>
      <c r="K239" s="735" t="str">
        <f ca="1">IF(Home!$K$23=$D$1419,P239,
IF(AND(Home!$K$23&lt;&gt;$D$1419,TODAY()&lt;=Horarios!$A$4),P239,$D$1420))</f>
        <v>Jordan</v>
      </c>
      <c r="O239" s="736" t="s">
        <v>1264</v>
      </c>
      <c r="P239" s="736" t="s">
        <v>1286</v>
      </c>
    </row>
    <row r="240" spans="1:16">
      <c r="A240" s="11"/>
      <c r="B240" s="11">
        <v>29</v>
      </c>
      <c r="C240" s="11">
        <v>10</v>
      </c>
      <c r="D240" s="11" t="str">
        <f t="shared" ca="1" si="9"/>
        <v>Morocco</v>
      </c>
      <c r="E240" s="11" t="s">
        <v>213</v>
      </c>
      <c r="F240" s="11" t="s">
        <v>327</v>
      </c>
      <c r="G240" s="11" t="str">
        <f t="shared" ca="1" si="10"/>
        <v>Marruecos</v>
      </c>
      <c r="H240" s="11" t="str">
        <f t="shared" ca="1" si="11"/>
        <v>Morocco</v>
      </c>
      <c r="I240" s="11" t="s">
        <v>122</v>
      </c>
      <c r="J240" s="735" t="str">
        <f ca="1">IF(Home!$K$23=$D$1419,O240,
IF(AND(Home!$K$23&lt;&gt;$D$1419,TODAY()&lt;=Horarios!$A$4),O240,$D$1420))</f>
        <v>Marruecos</v>
      </c>
      <c r="K240" s="735" t="str">
        <f ca="1">IF(Home!$K$23=$D$1419,P240,
IF(AND(Home!$K$23&lt;&gt;$D$1419,TODAY()&lt;=Horarios!$A$4),P240,$D$1420))</f>
        <v>Morocco</v>
      </c>
      <c r="O240" s="736" t="s">
        <v>1321</v>
      </c>
      <c r="P240" s="736" t="s">
        <v>1326</v>
      </c>
    </row>
    <row r="241" spans="1:16">
      <c r="A241" s="11"/>
      <c r="B241" s="11">
        <v>30</v>
      </c>
      <c r="C241" s="11">
        <v>1</v>
      </c>
      <c r="D241" s="11" t="str">
        <f t="shared" ca="1" si="9"/>
        <v>Mexico</v>
      </c>
      <c r="E241" s="11" t="s">
        <v>213</v>
      </c>
      <c r="F241" s="11" t="s">
        <v>328</v>
      </c>
      <c r="G241" s="11" t="str">
        <f t="shared" ca="1" si="10"/>
        <v>México</v>
      </c>
      <c r="H241" s="11" t="str">
        <f t="shared" ca="1" si="11"/>
        <v>Mexico</v>
      </c>
      <c r="I241" s="11" t="s">
        <v>128</v>
      </c>
      <c r="J241" s="735" t="str">
        <f ca="1">IF(Home!$K$23=$D$1419,O241,
IF(AND(Home!$K$23&lt;&gt;$D$1419,TODAY()&lt;=Horarios!$A$4),O241,$D$1420))</f>
        <v>México</v>
      </c>
      <c r="K241" s="735" t="str">
        <f ca="1">IF(Home!$K$23=$D$1419,P241,
IF(AND(Home!$K$23&lt;&gt;$D$1419,TODAY()&lt;=Horarios!$A$4),P241,$D$1420))</f>
        <v>Mexico</v>
      </c>
      <c r="O241" s="736" t="s">
        <v>1265</v>
      </c>
      <c r="P241" s="736" t="s">
        <v>1288</v>
      </c>
    </row>
    <row r="242" spans="1:16">
      <c r="A242" s="11"/>
      <c r="B242" s="11">
        <v>31</v>
      </c>
      <c r="C242" s="11">
        <v>36</v>
      </c>
      <c r="D242" s="11" t="str">
        <f t="shared" ca="1" si="9"/>
        <v>Norway</v>
      </c>
      <c r="E242" s="11" t="s">
        <v>213</v>
      </c>
      <c r="F242" s="11" t="s">
        <v>329</v>
      </c>
      <c r="G242" s="11" t="str">
        <f t="shared" ca="1" si="10"/>
        <v>Noruega</v>
      </c>
      <c r="H242" s="11" t="str">
        <f t="shared" ca="1" si="11"/>
        <v>Norway</v>
      </c>
      <c r="I242" s="11" t="s">
        <v>240</v>
      </c>
      <c r="J242" s="735" t="str">
        <f ca="1">IF(Home!$K$23=$D$1419,O242,
IF(AND(Home!$K$23&lt;&gt;$D$1419,TODAY()&lt;=Horarios!$A$4),O242,$D$1420))</f>
        <v>Noruega</v>
      </c>
      <c r="K242" s="735" t="str">
        <f ca="1">IF(Home!$K$23=$D$1419,P242,
IF(AND(Home!$K$23&lt;&gt;$D$1419,TODAY()&lt;=Horarios!$A$4),P242,$D$1420))</f>
        <v>Norway</v>
      </c>
      <c r="O242" s="736" t="s">
        <v>135</v>
      </c>
      <c r="P242" s="736" t="s">
        <v>299</v>
      </c>
    </row>
    <row r="243" spans="1:16">
      <c r="A243" s="11"/>
      <c r="B243" s="11">
        <v>32</v>
      </c>
      <c r="C243" s="11">
        <v>28</v>
      </c>
      <c r="D243" s="11" t="str">
        <f t="shared" ca="1" si="9"/>
        <v>New Zealand</v>
      </c>
      <c r="E243" s="11" t="s">
        <v>213</v>
      </c>
      <c r="F243" s="11" t="s">
        <v>330</v>
      </c>
      <c r="G243" s="11" t="str">
        <f t="shared" ca="1" si="10"/>
        <v>Nueva Zelanda</v>
      </c>
      <c r="H243" s="11" t="str">
        <f t="shared" ca="1" si="11"/>
        <v>New Zealand</v>
      </c>
      <c r="I243" s="11" t="s">
        <v>117</v>
      </c>
      <c r="J243" s="735" t="str">
        <f ca="1">IF(Home!$K$23=$D$1419,O243,
IF(AND(Home!$K$23&lt;&gt;$D$1419,TODAY()&lt;=Horarios!$A$4),O243,$D$1420))</f>
        <v>Nueva Zelanda</v>
      </c>
      <c r="K243" s="735" t="str">
        <f ca="1">IF(Home!$K$23=$D$1419,P243,
IF(AND(Home!$K$23&lt;&gt;$D$1419,TODAY()&lt;=Horarios!$A$4),P243,$D$1420))</f>
        <v>New Zealand</v>
      </c>
      <c r="O243" s="736" t="s">
        <v>1266</v>
      </c>
      <c r="P243" s="736" t="s">
        <v>1290</v>
      </c>
    </row>
    <row r="244" spans="1:16">
      <c r="A244" s="11"/>
      <c r="B244" s="11">
        <v>33</v>
      </c>
      <c r="C244" s="11">
        <v>21</v>
      </c>
      <c r="D244" s="11" t="str">
        <f t="shared" ca="1" si="9"/>
        <v>Netherlands</v>
      </c>
      <c r="E244" s="11" t="s">
        <v>213</v>
      </c>
      <c r="F244" s="11" t="s">
        <v>331</v>
      </c>
      <c r="G244" s="11" t="str">
        <f t="shared" ca="1" si="10"/>
        <v>Países Bajos</v>
      </c>
      <c r="H244" s="11" t="str">
        <f t="shared" ca="1" si="11"/>
        <v>Netherlands</v>
      </c>
      <c r="I244" s="11" t="s">
        <v>123</v>
      </c>
      <c r="J244" s="735" t="str">
        <f ca="1">IF(Home!$K$23=$D$1419,O244,
IF(AND(Home!$K$23&lt;&gt;$D$1419,TODAY()&lt;=Horarios!$A$4),O244,$D$1420))</f>
        <v>Países Bajos</v>
      </c>
      <c r="K244" s="735" t="str">
        <f ca="1">IF(Home!$K$23=$D$1419,P244,
IF(AND(Home!$K$23&lt;&gt;$D$1419,TODAY()&lt;=Horarios!$A$4),P244,$D$1420))</f>
        <v>Netherlands</v>
      </c>
      <c r="O244" s="736" t="s">
        <v>111</v>
      </c>
      <c r="P244" s="736" t="s">
        <v>291</v>
      </c>
    </row>
    <row r="245" spans="1:16">
      <c r="A245" s="11"/>
      <c r="B245" s="11">
        <v>34</v>
      </c>
      <c r="C245" s="11">
        <v>48</v>
      </c>
      <c r="D245" s="11" t="str">
        <f t="shared" ca="1" si="9"/>
        <v>Panama</v>
      </c>
      <c r="E245" s="11" t="s">
        <v>213</v>
      </c>
      <c r="F245" s="11" t="s">
        <v>332</v>
      </c>
      <c r="G245" s="11" t="str">
        <f t="shared" ca="1" si="10"/>
        <v>Panamá</v>
      </c>
      <c r="H245" s="11" t="str">
        <f t="shared" ca="1" si="11"/>
        <v>Panama</v>
      </c>
      <c r="I245" s="11" t="s">
        <v>129</v>
      </c>
      <c r="J245" s="735" t="str">
        <f ca="1">IF(Home!$K$23=$D$1419,O245,
IF(AND(Home!$K$23&lt;&gt;$D$1419,TODAY()&lt;=Horarios!$A$4),O245,$D$1420))</f>
        <v>Panamá</v>
      </c>
      <c r="K245" s="735" t="str">
        <f ca="1">IF(Home!$K$23=$D$1419,P245,
IF(AND(Home!$K$23&lt;&gt;$D$1419,TODAY()&lt;=Horarios!$A$4),P245,$D$1420))</f>
        <v>Panama</v>
      </c>
      <c r="O245" s="736" t="s">
        <v>1730</v>
      </c>
      <c r="P245" s="736" t="s">
        <v>1731</v>
      </c>
    </row>
    <row r="246" spans="1:16">
      <c r="A246" s="11"/>
      <c r="B246" s="11">
        <v>35</v>
      </c>
      <c r="C246" s="11">
        <v>14</v>
      </c>
      <c r="D246" s="11" t="str">
        <f t="shared" ca="1" si="9"/>
        <v>Paraguay</v>
      </c>
      <c r="E246" s="11" t="s">
        <v>213</v>
      </c>
      <c r="F246" s="11" t="s">
        <v>333</v>
      </c>
      <c r="G246" s="11" t="str">
        <f t="shared" ca="1" si="10"/>
        <v>Paraguay</v>
      </c>
      <c r="H246" s="11" t="str">
        <f t="shared" ca="1" si="11"/>
        <v>Paraguay</v>
      </c>
      <c r="I246" s="11" t="s">
        <v>1227</v>
      </c>
      <c r="J246" s="735" t="str">
        <f ca="1">IF(Home!$K$23=$D$1419,O246,
IF(AND(Home!$K$23&lt;&gt;$D$1419,TODAY()&lt;=Horarios!$A$4),O246,$D$1420))</f>
        <v>Paraguay</v>
      </c>
      <c r="K246" s="735" t="str">
        <f ca="1">IF(Home!$K$23=$D$1419,P246,
IF(AND(Home!$K$23&lt;&gt;$D$1419,TODAY()&lt;=Horarios!$A$4),P246,$D$1420))</f>
        <v>Paraguay</v>
      </c>
      <c r="O246" s="736" t="s">
        <v>1319</v>
      </c>
      <c r="P246" s="736" t="s">
        <v>1319</v>
      </c>
    </row>
    <row r="247" spans="1:16">
      <c r="A247" s="11"/>
      <c r="B247" s="11">
        <v>36</v>
      </c>
      <c r="C247" s="11">
        <v>41</v>
      </c>
      <c r="D247" s="11" t="str">
        <f t="shared" ca="1" si="9"/>
        <v>Portugal</v>
      </c>
      <c r="E247" s="11" t="s">
        <v>213</v>
      </c>
      <c r="F247" s="11" t="s">
        <v>334</v>
      </c>
      <c r="G247" s="11" t="str">
        <f t="shared" ca="1" si="10"/>
        <v>Portugal</v>
      </c>
      <c r="H247" s="11" t="str">
        <f t="shared" ca="1" si="11"/>
        <v>Portugal</v>
      </c>
      <c r="I247" s="11" t="s">
        <v>510</v>
      </c>
      <c r="J247" s="735" t="str">
        <f ca="1">IF(Home!$K$23=$D$1419,O247,
IF(AND(Home!$K$23&lt;&gt;$D$1419,TODAY()&lt;=Horarios!$A$4),O247,$D$1420))</f>
        <v>Portugal</v>
      </c>
      <c r="K247" s="735" t="str">
        <f ca="1">IF(Home!$K$23=$D$1419,P247,
IF(AND(Home!$K$23&lt;&gt;$D$1419,TODAY()&lt;=Horarios!$A$4),P247,$D$1420))</f>
        <v>Portugal</v>
      </c>
      <c r="O247" s="736" t="s">
        <v>79</v>
      </c>
      <c r="P247" s="736" t="s">
        <v>79</v>
      </c>
    </row>
    <row r="248" spans="1:16">
      <c r="A248" s="11"/>
      <c r="B248" s="11">
        <v>37</v>
      </c>
      <c r="C248" s="11">
        <v>34</v>
      </c>
      <c r="D248" s="11" t="str">
        <f t="shared" ca="1" si="9"/>
        <v>Senegal</v>
      </c>
      <c r="E248" s="11" t="s">
        <v>213</v>
      </c>
      <c r="F248" s="11" t="s">
        <v>335</v>
      </c>
      <c r="G248" s="11" t="str">
        <f t="shared" ca="1" si="10"/>
        <v>Senegal</v>
      </c>
      <c r="H248" s="11" t="str">
        <f t="shared" ca="1" si="11"/>
        <v>Senegal</v>
      </c>
      <c r="I248" s="11" t="s">
        <v>511</v>
      </c>
      <c r="J248" s="735" t="str">
        <f ca="1">IF(Home!$K$23=$D$1419,O248,
IF(AND(Home!$K$23&lt;&gt;$D$1419,TODAY()&lt;=Horarios!$A$4),O248,$D$1420))</f>
        <v>Senegal</v>
      </c>
      <c r="K248" s="735" t="str">
        <f ca="1">IF(Home!$K$23=$D$1419,P248,
IF(AND(Home!$K$23&lt;&gt;$D$1419,TODAY()&lt;=Horarios!$A$4),P248,$D$1420))</f>
        <v>Senegal</v>
      </c>
      <c r="O248" s="736" t="s">
        <v>1634</v>
      </c>
      <c r="P248" s="736" t="s">
        <v>1634</v>
      </c>
    </row>
    <row r="249" spans="1:16">
      <c r="A249" s="11"/>
      <c r="B249" s="11">
        <v>38</v>
      </c>
      <c r="C249" s="11">
        <v>2</v>
      </c>
      <c r="D249" s="11" t="str">
        <f t="shared" ca="1" si="9"/>
        <v>South Africa</v>
      </c>
      <c r="E249" s="11" t="s">
        <v>213</v>
      </c>
      <c r="F249" s="11" t="s">
        <v>336</v>
      </c>
      <c r="G249" s="11" t="str">
        <f t="shared" ca="1" si="10"/>
        <v>Sudáfrica</v>
      </c>
      <c r="H249" s="11" t="str">
        <f t="shared" ca="1" si="11"/>
        <v>South Africa</v>
      </c>
      <c r="I249" s="11" t="s">
        <v>180</v>
      </c>
      <c r="J249" s="735" t="str">
        <f ca="1">IF(Home!$K$23=$D$1419,O249,
IF(AND(Home!$K$23&lt;&gt;$D$1419,TODAY()&lt;=Horarios!$A$4),O249,$D$1420))</f>
        <v>Sudáfrica</v>
      </c>
      <c r="K249" s="735" t="str">
        <f ca="1">IF(Home!$K$23=$D$1419,P249,
IF(AND(Home!$K$23&lt;&gt;$D$1419,TODAY()&lt;=Horarios!$A$4),P249,$D$1420))</f>
        <v>South Africa</v>
      </c>
      <c r="O249" s="736" t="s">
        <v>1630</v>
      </c>
      <c r="P249" s="736" t="s">
        <v>1635</v>
      </c>
    </row>
    <row r="250" spans="1:16">
      <c r="A250" s="11"/>
      <c r="B250" s="11">
        <v>39</v>
      </c>
      <c r="C250" s="11">
        <v>8</v>
      </c>
      <c r="D250" s="11" t="str">
        <f t="shared" ca="1" si="9"/>
        <v>Switzerland</v>
      </c>
      <c r="E250" s="11" t="s">
        <v>213</v>
      </c>
      <c r="F250" s="11" t="s">
        <v>337</v>
      </c>
      <c r="G250" s="11" t="str">
        <f t="shared" ca="1" si="10"/>
        <v>Suiza</v>
      </c>
      <c r="H250" s="11" t="str">
        <f t="shared" ca="1" si="11"/>
        <v>Switzerland</v>
      </c>
      <c r="I250" s="11" t="s">
        <v>177</v>
      </c>
      <c r="J250" s="735" t="str">
        <f ca="1">IF(Home!$K$23=$D$1419,O250,
IF(AND(Home!$K$23&lt;&gt;$D$1419,TODAY()&lt;=Horarios!$A$4),O250,$D$1420))</f>
        <v>Suiza</v>
      </c>
      <c r="K250" s="735" t="str">
        <f ca="1">IF(Home!$K$23=$D$1419,P250,
IF(AND(Home!$K$23&lt;&gt;$D$1419,TODAY()&lt;=Horarios!$A$4),P250,$D$1420))</f>
        <v>Switzerland</v>
      </c>
      <c r="O250" s="736" t="s">
        <v>75</v>
      </c>
      <c r="P250" s="736" t="s">
        <v>290</v>
      </c>
    </row>
    <row r="251" spans="1:16">
      <c r="A251" s="11"/>
      <c r="B251" s="11">
        <v>40</v>
      </c>
      <c r="C251" s="11">
        <v>24</v>
      </c>
      <c r="D251" s="11" t="str">
        <f t="shared" ca="1" si="9"/>
        <v>Tunisia</v>
      </c>
      <c r="E251" s="11" t="s">
        <v>213</v>
      </c>
      <c r="F251" s="11" t="s">
        <v>338</v>
      </c>
      <c r="G251" s="11" t="str">
        <f t="shared" ca="1" si="10"/>
        <v>Túnez</v>
      </c>
      <c r="H251" s="11" t="str">
        <f t="shared" ca="1" si="11"/>
        <v>Tunisia</v>
      </c>
      <c r="I251" s="11" t="s">
        <v>512</v>
      </c>
      <c r="J251" s="735" t="str">
        <f ca="1">IF(Home!$K$23=$D$1419,O251,
IF(AND(Home!$K$23&lt;&gt;$D$1419,TODAY()&lt;=Horarios!$A$4),O251,$D$1420))</f>
        <v>Túnez</v>
      </c>
      <c r="K251" s="735" t="str">
        <f ca="1">IF(Home!$K$23=$D$1419,P251,
IF(AND(Home!$K$23&lt;&gt;$D$1419,TODAY()&lt;=Horarios!$A$4),P251,$D$1420))</f>
        <v>Tunisia</v>
      </c>
      <c r="O251" s="736" t="s">
        <v>1322</v>
      </c>
      <c r="P251" s="736" t="s">
        <v>1328</v>
      </c>
    </row>
    <row r="252" spans="1:16">
      <c r="A252" s="11"/>
      <c r="B252" s="11">
        <v>41</v>
      </c>
      <c r="C252" s="11">
        <v>32</v>
      </c>
      <c r="D252" s="11" t="str">
        <f t="shared" ca="1" si="9"/>
        <v>Uruguay</v>
      </c>
      <c r="E252" s="11" t="s">
        <v>213</v>
      </c>
      <c r="F252" s="11" t="s">
        <v>339</v>
      </c>
      <c r="G252" s="11" t="str">
        <f t="shared" ca="1" si="10"/>
        <v>Uruguay</v>
      </c>
      <c r="H252" s="11" t="str">
        <f t="shared" ca="1" si="11"/>
        <v>Uruguay</v>
      </c>
      <c r="I252" s="11" t="s">
        <v>513</v>
      </c>
      <c r="J252" s="735" t="str">
        <f ca="1">IF(Home!$K$23=$D$1419,O252,
IF(AND(Home!$K$23&lt;&gt;$D$1419,TODAY()&lt;=Horarios!$A$4),O252,$D$1420))</f>
        <v>Uruguay</v>
      </c>
      <c r="K252" s="735" t="str">
        <f ca="1">IF(Home!$K$23=$D$1419,P252,
IF(AND(Home!$K$23&lt;&gt;$D$1419,TODAY()&lt;=Horarios!$A$4),P252,$D$1420))</f>
        <v>Uruguay</v>
      </c>
      <c r="O252" s="736" t="s">
        <v>1318</v>
      </c>
      <c r="P252" s="736" t="s">
        <v>1318</v>
      </c>
    </row>
    <row r="253" spans="1:16">
      <c r="A253" s="11"/>
      <c r="B253" s="11">
        <v>42</v>
      </c>
      <c r="C253" s="11">
        <v>43</v>
      </c>
      <c r="D253" s="11" t="str">
        <f t="shared" ca="1" si="9"/>
        <v>Uzbekistan</v>
      </c>
      <c r="E253" s="11" t="s">
        <v>213</v>
      </c>
      <c r="F253" s="11" t="s">
        <v>340</v>
      </c>
      <c r="G253" s="11" t="str">
        <f t="shared" ca="1" si="10"/>
        <v>Uzbekistán</v>
      </c>
      <c r="H253" s="11" t="str">
        <f t="shared" ca="1" si="11"/>
        <v>Uzbekistan</v>
      </c>
      <c r="I253" s="11" t="s">
        <v>181</v>
      </c>
      <c r="J253" s="735" t="str">
        <f ca="1">IF(Home!$K$23=$D$1419,O253,
IF(AND(Home!$K$23&lt;&gt;$D$1419,TODAY()&lt;=Horarios!$A$4),O253,$D$1420))</f>
        <v>Uzbekistán</v>
      </c>
      <c r="K253" s="735" t="str">
        <f ca="1">IF(Home!$K$23=$D$1419,P253,
IF(AND(Home!$K$23&lt;&gt;$D$1419,TODAY()&lt;=Horarios!$A$4),P253,$D$1420))</f>
        <v>Uzbekistan</v>
      </c>
      <c r="O253" s="736" t="s">
        <v>1267</v>
      </c>
      <c r="P253" s="736" t="s">
        <v>1292</v>
      </c>
    </row>
    <row r="254" spans="1:16">
      <c r="A254" s="11"/>
      <c r="B254" s="11">
        <v>43</v>
      </c>
      <c r="C254" s="11">
        <v>42</v>
      </c>
      <c r="D254" s="11" t="str">
        <f t="shared" ca="1" si="9"/>
        <v>DR Congo</v>
      </c>
      <c r="E254" s="11" t="s">
        <v>213</v>
      </c>
      <c r="F254" s="11" t="s">
        <v>341</v>
      </c>
      <c r="G254" s="11" t="str">
        <f t="shared" ca="1" si="10"/>
        <v>RD Congo</v>
      </c>
      <c r="H254" s="11" t="str">
        <f t="shared" ca="1" si="11"/>
        <v>DR Congo</v>
      </c>
      <c r="I254" s="11" t="s">
        <v>1228</v>
      </c>
      <c r="J254" s="735" t="str">
        <f ca="1">IF(Home!$K$23=$D$1419,O254,
IF(AND(Home!$K$23&lt;&gt;$D$1419,TODAY()&lt;=Horarios!$A$4),O254,$D$1420))</f>
        <v>RD Congo</v>
      </c>
      <c r="K254" s="735" t="str">
        <f ca="1">IF(Home!$K$23=$D$1419,P254,
IF(AND(Home!$K$23&lt;&gt;$D$1419,TODAY()&lt;=Horarios!$A$4),P254,$D$1420))</f>
        <v>DR Congo</v>
      </c>
      <c r="O254" s="737" t="s">
        <v>1839</v>
      </c>
      <c r="P254" s="737" t="s">
        <v>1840</v>
      </c>
    </row>
    <row r="255" spans="1:16">
      <c r="A255" s="11"/>
      <c r="B255" s="11">
        <v>44</v>
      </c>
      <c r="C255" s="11">
        <v>35</v>
      </c>
      <c r="D255" s="11" t="str">
        <f t="shared" ca="1" si="9"/>
        <v>Iraq</v>
      </c>
      <c r="E255" s="11" t="s">
        <v>213</v>
      </c>
      <c r="F255" s="11" t="s">
        <v>342</v>
      </c>
      <c r="G255" s="11" t="str">
        <f t="shared" ca="1" si="10"/>
        <v>Irak</v>
      </c>
      <c r="H255" s="11" t="str">
        <f t="shared" ca="1" si="11"/>
        <v>Iraq</v>
      </c>
      <c r="I255" s="11" t="s">
        <v>179</v>
      </c>
      <c r="J255" s="735" t="str">
        <f ca="1">IF(Home!$K$23=$D$1419,O255,
IF(AND(Home!$K$23&lt;&gt;$D$1419,TODAY()&lt;=Horarios!$A$4),O255,$D$1420))</f>
        <v>Irak</v>
      </c>
      <c r="K255" s="735" t="str">
        <f ca="1">IF(Home!$K$23=$D$1419,P255,
IF(AND(Home!$K$23&lt;&gt;$D$1419,TODAY()&lt;=Horarios!$A$4),P255,$D$1420))</f>
        <v>Iraq</v>
      </c>
      <c r="O255" s="737" t="s">
        <v>1757</v>
      </c>
      <c r="P255" s="737" t="s">
        <v>1758</v>
      </c>
    </row>
    <row r="256" spans="1:16">
      <c r="A256" s="11"/>
      <c r="B256" s="11">
        <v>45</v>
      </c>
      <c r="C256" s="11">
        <v>6</v>
      </c>
      <c r="D256" s="11" t="str">
        <f t="shared" ca="1" si="9"/>
        <v>Bosnia and Herzegovina</v>
      </c>
      <c r="E256" s="11" t="s">
        <v>213</v>
      </c>
      <c r="F256" s="11" t="s">
        <v>343</v>
      </c>
      <c r="G256" s="11" t="str">
        <f t="shared" ca="1" si="10"/>
        <v>Bosnia y Herzegovina</v>
      </c>
      <c r="H256" s="11" t="str">
        <f t="shared" ca="1" si="11"/>
        <v>Bosnia and Herzegovina</v>
      </c>
      <c r="I256" s="11" t="s">
        <v>514</v>
      </c>
      <c r="J256" s="735" t="str">
        <f ca="1">IF(Home!$K$23=$D$1419,O256,
IF(AND(Home!$K$23&lt;&gt;$D$1419,TODAY()&lt;=Horarios!$A$4),O256,$D$1420))</f>
        <v>Bosnia y Herzegovina</v>
      </c>
      <c r="K256" s="735" t="str">
        <f ca="1">IF(Home!$K$23=$D$1419,P256,
IF(AND(Home!$K$23&lt;&gt;$D$1419,TODAY()&lt;=Horarios!$A$4),P256,$D$1420))</f>
        <v>Bosnia and Herzegovina</v>
      </c>
      <c r="O256" s="737" t="s">
        <v>1841</v>
      </c>
      <c r="P256" s="737" t="s">
        <v>1842</v>
      </c>
    </row>
    <row r="257" spans="1:16">
      <c r="A257" s="11"/>
      <c r="B257" s="11">
        <v>46</v>
      </c>
      <c r="C257" s="11">
        <v>23</v>
      </c>
      <c r="D257" s="11" t="str">
        <f t="shared" ca="1" si="9"/>
        <v>Sweden</v>
      </c>
      <c r="E257" s="11" t="s">
        <v>213</v>
      </c>
      <c r="F257" s="11" t="s">
        <v>344</v>
      </c>
      <c r="G257" s="11" t="str">
        <f t="shared" ca="1" si="10"/>
        <v>Suecia</v>
      </c>
      <c r="H257" s="11" t="str">
        <f t="shared" ca="1" si="11"/>
        <v>Sweden</v>
      </c>
      <c r="I257" s="11" t="s">
        <v>182</v>
      </c>
      <c r="J257" s="735" t="str">
        <f ca="1">IF(Home!$K$23=$D$1419,O257,
IF(AND(Home!$K$23&lt;&gt;$D$1419,TODAY()&lt;=Horarios!$A$4),O257,$D$1420))</f>
        <v>Suecia</v>
      </c>
      <c r="K257" s="735" t="str">
        <f ca="1">IF(Home!$K$23=$D$1419,P257,
IF(AND(Home!$K$23&lt;&gt;$D$1419,TODAY()&lt;=Horarios!$A$4),P257,$D$1420))</f>
        <v>Sweden</v>
      </c>
      <c r="O257" s="737" t="s">
        <v>1833</v>
      </c>
      <c r="P257" s="737" t="s">
        <v>1834</v>
      </c>
    </row>
    <row r="258" spans="1:16">
      <c r="A258" s="11"/>
      <c r="B258" s="11">
        <v>47</v>
      </c>
      <c r="C258" s="11">
        <v>16</v>
      </c>
      <c r="D258" s="11" t="str">
        <f t="shared" ca="1" si="9"/>
        <v>Turkey</v>
      </c>
      <c r="E258" s="11" t="s">
        <v>213</v>
      </c>
      <c r="F258" s="11" t="s">
        <v>345</v>
      </c>
      <c r="G258" s="11" t="str">
        <f t="shared" ca="1" si="10"/>
        <v>Turquía</v>
      </c>
      <c r="H258" s="11" t="str">
        <f t="shared" ca="1" si="11"/>
        <v>Turkey</v>
      </c>
      <c r="I258" s="11" t="s">
        <v>1229</v>
      </c>
      <c r="J258" s="735" t="str">
        <f ca="1">IF(Home!$K$23=$D$1419,O258,
IF(AND(Home!$K$23&lt;&gt;$D$1419,TODAY()&lt;=Horarios!$A$4),O258,$D$1420))</f>
        <v>Turquía</v>
      </c>
      <c r="K258" s="735" t="str">
        <f ca="1">IF(Home!$K$23=$D$1419,P258,
IF(AND(Home!$K$23&lt;&gt;$D$1419,TODAY()&lt;=Horarios!$A$4),P258,$D$1420))</f>
        <v>Turkey</v>
      </c>
      <c r="O258" s="737" t="s">
        <v>1835</v>
      </c>
      <c r="P258" s="737" t="s">
        <v>1836</v>
      </c>
    </row>
    <row r="259" spans="1:16">
      <c r="A259" s="11"/>
      <c r="B259" s="11">
        <v>48</v>
      </c>
      <c r="C259" s="11">
        <v>4</v>
      </c>
      <c r="D259" s="11" t="str">
        <f t="shared" ca="1" si="9"/>
        <v>Czech Republic</v>
      </c>
      <c r="E259" s="11" t="s">
        <v>213</v>
      </c>
      <c r="F259" s="11" t="s">
        <v>346</v>
      </c>
      <c r="G259" s="11" t="str">
        <f t="shared" ca="1" si="10"/>
        <v>República Checa</v>
      </c>
      <c r="H259" s="11" t="str">
        <f t="shared" ca="1" si="11"/>
        <v>Czech Republic</v>
      </c>
      <c r="I259" s="11" t="s">
        <v>26</v>
      </c>
      <c r="J259" s="735" t="str">
        <f ca="1">IF(Home!$K$23=$D$1419,O259,
IF(AND(Home!$K$23&lt;&gt;$D$1419,TODAY()&lt;=Horarios!$A$4),O259,$D$1420))</f>
        <v>República Checa</v>
      </c>
      <c r="K259" s="735" t="str">
        <f ca="1">IF(Home!$K$23=$D$1419,P259,
IF(AND(Home!$K$23&lt;&gt;$D$1419,TODAY()&lt;=Horarios!$A$4),P259,$D$1420))</f>
        <v>Czech Republic</v>
      </c>
      <c r="O259" s="737" t="s">
        <v>1843</v>
      </c>
      <c r="P259" s="737" t="s">
        <v>1844</v>
      </c>
    </row>
    <row r="260" spans="1:16">
      <c r="A260" s="11"/>
      <c r="B260" s="11"/>
      <c r="C260" s="11"/>
      <c r="D260" s="11" t="str">
        <f t="shared" ref="D260:D264" si="12">IF($B$2,G260,H260)</f>
        <v>Round of 32</v>
      </c>
      <c r="E260" s="11"/>
      <c r="F260" s="11"/>
      <c r="G260" s="11" t="s">
        <v>481</v>
      </c>
      <c r="H260" s="11" t="s">
        <v>482</v>
      </c>
      <c r="I260" s="11"/>
    </row>
    <row r="261" spans="1:16">
      <c r="A261" s="11"/>
      <c r="B261" s="11"/>
      <c r="C261" s="11"/>
      <c r="D261" s="11" t="str">
        <f t="shared" si="12"/>
        <v>Round Of 16</v>
      </c>
      <c r="E261" s="11"/>
      <c r="F261" s="11"/>
      <c r="G261" s="11" t="s">
        <v>87</v>
      </c>
      <c r="H261" s="11" t="s">
        <v>1452</v>
      </c>
      <c r="I261" s="11"/>
    </row>
    <row r="262" spans="1:16">
      <c r="A262" s="11"/>
      <c r="B262" s="11"/>
      <c r="C262" s="11"/>
      <c r="D262" s="11" t="str">
        <f t="shared" si="12"/>
        <v>Quarterfinals</v>
      </c>
      <c r="E262" s="11"/>
      <c r="F262" s="11"/>
      <c r="G262" s="11" t="s">
        <v>69</v>
      </c>
      <c r="H262" s="11" t="s">
        <v>219</v>
      </c>
      <c r="I262" s="11"/>
    </row>
    <row r="263" spans="1:16">
      <c r="A263" s="11"/>
      <c r="B263" s="11"/>
      <c r="C263" s="11"/>
      <c r="D263" s="11" t="str">
        <f t="shared" si="12"/>
        <v>Semifinals</v>
      </c>
      <c r="E263" s="11"/>
      <c r="F263" s="11"/>
      <c r="G263" s="11" t="s">
        <v>36</v>
      </c>
      <c r="H263" s="11" t="s">
        <v>220</v>
      </c>
      <c r="I263" s="11"/>
    </row>
    <row r="264" spans="1:16">
      <c r="A264" s="11"/>
      <c r="B264" s="11"/>
      <c r="C264" s="11"/>
      <c r="D264" s="11" t="str">
        <f t="shared" si="12"/>
        <v>3-4 &amp; Final</v>
      </c>
      <c r="E264" s="11"/>
      <c r="F264" s="11"/>
      <c r="G264" s="11" t="s">
        <v>1629</v>
      </c>
      <c r="H264" s="11" t="s">
        <v>1629</v>
      </c>
      <c r="I264" s="11"/>
    </row>
    <row r="265" spans="1:16">
      <c r="A265" s="11"/>
      <c r="B265" s="11"/>
      <c r="C265" s="11"/>
      <c r="D265" s="11"/>
      <c r="E265" s="11"/>
      <c r="F265" s="11"/>
      <c r="G265" s="11"/>
      <c r="H265" s="11"/>
      <c r="I265" s="11"/>
    </row>
    <row r="266" spans="1:16">
      <c r="A266" s="11" t="s">
        <v>375</v>
      </c>
      <c r="B266" s="11"/>
      <c r="C266" s="11"/>
      <c r="D266" s="11" t="str">
        <f t="shared" ref="D266" si="13">IF($B$2,G266,H266)</f>
        <v>United States</v>
      </c>
      <c r="E266" s="11" t="s">
        <v>373</v>
      </c>
      <c r="F266" s="11" t="s">
        <v>374</v>
      </c>
      <c r="G266" s="11" t="s">
        <v>497</v>
      </c>
      <c r="H266" s="11" t="s">
        <v>498</v>
      </c>
      <c r="I266" s="11"/>
    </row>
    <row r="267" spans="1:16">
      <c r="A267" s="11"/>
      <c r="B267" s="11"/>
      <c r="C267" s="11"/>
      <c r="D267" s="11"/>
      <c r="E267" s="11"/>
      <c r="F267" s="11"/>
      <c r="G267" s="11"/>
      <c r="H267" s="11"/>
      <c r="I267" s="11"/>
    </row>
    <row r="268" spans="1:16">
      <c r="A268" s="11"/>
      <c r="B268" s="11"/>
      <c r="C268" s="11"/>
      <c r="D268" s="11"/>
      <c r="E268" s="11"/>
      <c r="F268" s="11"/>
      <c r="G268" s="11"/>
      <c r="H268" s="11"/>
      <c r="I268" s="11"/>
    </row>
    <row r="269" spans="1:16">
      <c r="A269" s="11"/>
      <c r="B269" s="11"/>
      <c r="C269" s="11"/>
      <c r="D269" s="11" t="str">
        <f t="shared" ref="D269:D284" si="14">IF($B$2,G269,H269)</f>
        <v>Winner</v>
      </c>
      <c r="E269" s="11" t="s">
        <v>1242</v>
      </c>
      <c r="F269" s="11"/>
      <c r="G269" s="11" t="s">
        <v>18</v>
      </c>
      <c r="H269" s="688" t="s">
        <v>222</v>
      </c>
      <c r="I269" s="11"/>
    </row>
    <row r="270" spans="1:16">
      <c r="A270" s="11"/>
      <c r="B270" s="11"/>
      <c r="C270" s="11"/>
      <c r="D270" s="11" t="str">
        <f t="shared" si="14"/>
        <v>Runner-up</v>
      </c>
      <c r="E270" s="11" t="s">
        <v>1242</v>
      </c>
      <c r="F270" s="11"/>
      <c r="G270" s="11" t="s">
        <v>19</v>
      </c>
      <c r="H270" s="11" t="s">
        <v>223</v>
      </c>
      <c r="I270" s="11"/>
    </row>
    <row r="271" spans="1:16">
      <c r="A271" s="11"/>
      <c r="B271" s="11"/>
      <c r="C271" s="11"/>
      <c r="D271" s="11" t="str">
        <f t="shared" si="14"/>
        <v>3rd place</v>
      </c>
      <c r="E271" s="11" t="s">
        <v>1242</v>
      </c>
      <c r="F271" s="11"/>
      <c r="G271" s="11" t="s">
        <v>1234</v>
      </c>
      <c r="H271" s="11" t="s">
        <v>1235</v>
      </c>
      <c r="I271" s="11"/>
    </row>
    <row r="272" spans="1:16">
      <c r="A272" s="11"/>
      <c r="B272" s="11"/>
      <c r="C272" s="11"/>
      <c r="D272" s="11" t="str">
        <f t="shared" si="14"/>
        <v>Semifinals</v>
      </c>
      <c r="E272" s="11" t="s">
        <v>1242</v>
      </c>
      <c r="F272" s="11"/>
      <c r="G272" s="11" t="s">
        <v>36</v>
      </c>
      <c r="H272" s="688" t="s">
        <v>220</v>
      </c>
      <c r="I272" s="11"/>
    </row>
    <row r="273" spans="1:9">
      <c r="A273" s="11"/>
      <c r="B273" s="11"/>
      <c r="C273" s="11"/>
      <c r="D273" s="11" t="str">
        <f t="shared" si="14"/>
        <v>Quarterfinals</v>
      </c>
      <c r="E273" s="11" t="s">
        <v>1242</v>
      </c>
      <c r="F273" s="11"/>
      <c r="G273" s="11" t="s">
        <v>69</v>
      </c>
      <c r="H273" s="688" t="s">
        <v>219</v>
      </c>
      <c r="I273" s="11"/>
    </row>
    <row r="274" spans="1:9">
      <c r="A274" s="11"/>
      <c r="B274" s="11"/>
      <c r="C274" s="11"/>
      <c r="D274" s="11" t="str">
        <f t="shared" si="14"/>
        <v>Round of 16</v>
      </c>
      <c r="E274" s="11" t="s">
        <v>1242</v>
      </c>
      <c r="F274" s="11"/>
      <c r="G274" s="11" t="s">
        <v>87</v>
      </c>
      <c r="H274" s="688" t="s">
        <v>218</v>
      </c>
      <c r="I274" s="11"/>
    </row>
    <row r="275" spans="1:9">
      <c r="A275" s="11"/>
      <c r="B275" s="11"/>
      <c r="C275" s="11"/>
      <c r="D275" s="11" t="str">
        <f t="shared" si="14"/>
        <v>Round of 32</v>
      </c>
      <c r="E275" s="11" t="s">
        <v>1242</v>
      </c>
      <c r="F275" s="11"/>
      <c r="G275" s="11" t="s">
        <v>481</v>
      </c>
      <c r="H275" s="11" t="s">
        <v>482</v>
      </c>
      <c r="I275" s="11"/>
    </row>
    <row r="276" spans="1:9">
      <c r="A276" s="11"/>
      <c r="B276" s="11"/>
      <c r="C276" s="11"/>
      <c r="D276" s="11" t="str">
        <f t="shared" si="14"/>
        <v>Group stage</v>
      </c>
      <c r="E276" s="11" t="s">
        <v>1242</v>
      </c>
      <c r="F276" s="11"/>
      <c r="G276" s="11" t="s">
        <v>1243</v>
      </c>
      <c r="H276" s="688" t="s">
        <v>1244</v>
      </c>
      <c r="I276" s="11"/>
    </row>
    <row r="277" spans="1:9">
      <c r="A277" s="11"/>
      <c r="B277" s="11"/>
      <c r="C277" s="11"/>
      <c r="D277" s="11" t="str">
        <f t="shared" si="14"/>
        <v>Predict the round</v>
      </c>
      <c r="E277" s="11" t="s">
        <v>1242</v>
      </c>
      <c r="F277" s="11"/>
      <c r="G277" s="688" t="s">
        <v>1236</v>
      </c>
      <c r="H277" s="688" t="s">
        <v>1237</v>
      </c>
      <c r="I277" s="11"/>
    </row>
    <row r="278" spans="1:9">
      <c r="A278" s="11"/>
      <c r="B278" s="11"/>
      <c r="C278" s="11"/>
      <c r="D278" s="11" t="str">
        <f t="shared" si="14"/>
        <v>Predict nation</v>
      </c>
      <c r="E278" s="11" t="s">
        <v>1242</v>
      </c>
      <c r="F278" s="11"/>
      <c r="G278" s="688" t="s">
        <v>1245</v>
      </c>
      <c r="H278" s="688" t="s">
        <v>1246</v>
      </c>
      <c r="I278" s="11"/>
    </row>
    <row r="279" spans="1:9">
      <c r="A279" s="11"/>
      <c r="B279" s="11"/>
      <c r="C279" s="11"/>
      <c r="D279" s="11" t="str">
        <f t="shared" si="14"/>
        <v>Round</v>
      </c>
      <c r="E279" s="11" t="s">
        <v>1242</v>
      </c>
      <c r="F279" s="11"/>
      <c r="G279" s="688" t="s">
        <v>1238</v>
      </c>
      <c r="H279" s="688" t="s">
        <v>1239</v>
      </c>
      <c r="I279" s="11"/>
    </row>
    <row r="280" spans="1:9">
      <c r="A280" s="11"/>
      <c r="B280" s="11"/>
      <c r="C280" s="11"/>
      <c r="D280" s="11" t="str">
        <f t="shared" si="14"/>
        <v>·Select for each round the nation or nations that you think will reach that round.</v>
      </c>
      <c r="E280" s="11" t="s">
        <v>1242</v>
      </c>
      <c r="F280" s="11"/>
      <c r="G280" s="11" t="s">
        <v>1247</v>
      </c>
      <c r="H280" s="688" t="s">
        <v>1253</v>
      </c>
      <c r="I280" s="11"/>
    </row>
    <row r="281" spans="1:9">
      <c r="A281" s="11"/>
      <c r="B281" s="11"/>
      <c r="C281" s="11"/>
      <c r="D281" s="11" t="str">
        <f t="shared" si="14"/>
        <v>·Once you select a nation, it will no longer appear in the selector.</v>
      </c>
      <c r="E281" s="11" t="s">
        <v>1242</v>
      </c>
      <c r="F281" s="11"/>
      <c r="G281" s="11" t="s">
        <v>1254</v>
      </c>
      <c r="H281" s="688" t="s">
        <v>1252</v>
      </c>
      <c r="I281" s="11"/>
    </row>
    <row r="282" spans="1:9">
      <c r="A282" s="11"/>
      <c r="B282" s="11"/>
      <c r="C282" s="11"/>
      <c r="D282" s="11" t="str">
        <f t="shared" si="14"/>
        <v>·If you've filled everything out and want to make a change,</v>
      </c>
      <c r="E282" s="11" t="s">
        <v>1242</v>
      </c>
      <c r="F282" s="11"/>
      <c r="G282" s="11" t="s">
        <v>1240</v>
      </c>
      <c r="H282" s="688" t="s">
        <v>1241</v>
      </c>
      <c r="I282" s="11"/>
    </row>
    <row r="283" spans="1:9">
      <c r="A283" s="11"/>
      <c r="B283" s="11"/>
      <c r="C283" s="11"/>
      <c r="D283" s="11" t="str">
        <f t="shared" si="14"/>
        <v xml:space="preserve"> delete the nations you want to change and you can select them again.</v>
      </c>
      <c r="E283" s="11" t="s">
        <v>1242</v>
      </c>
      <c r="F283" s="11"/>
      <c r="G283" s="11" t="s">
        <v>1248</v>
      </c>
      <c r="H283" s="688" t="s">
        <v>1251</v>
      </c>
      <c r="I283" s="11"/>
    </row>
    <row r="284" spans="1:9">
      <c r="A284" s="11"/>
      <c r="B284" s="11"/>
      <c r="C284" s="11"/>
      <c r="D284" s="11" t="str">
        <f t="shared" si="14"/>
        <v>Complete before World Cup begins</v>
      </c>
      <c r="E284" s="11" t="s">
        <v>1242</v>
      </c>
      <c r="F284" s="11"/>
      <c r="G284" s="11" t="s">
        <v>1249</v>
      </c>
      <c r="H284" s="688" t="s">
        <v>1250</v>
      </c>
      <c r="I284" s="11"/>
    </row>
    <row r="285" spans="1:9">
      <c r="A285" s="11"/>
      <c r="B285" s="11"/>
      <c r="C285" s="11"/>
      <c r="D285" s="11" t="str">
        <f t="shared" ref="D285" si="15">IF($B$2,G285,H285)</f>
        <v>·If you are not going to use the predictor in your group, you can leave it unfilled</v>
      </c>
      <c r="E285" s="11" t="s">
        <v>1242</v>
      </c>
      <c r="F285" s="11"/>
      <c r="G285" s="11" t="s">
        <v>1363</v>
      </c>
      <c r="H285" s="11" t="s">
        <v>1364</v>
      </c>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t="str">
        <f t="shared" ref="D299:D363" si="16">IF($B$2,G299,H299)</f>
        <v>Select the number of players:</v>
      </c>
      <c r="E299" s="777" t="s">
        <v>1375</v>
      </c>
      <c r="F299" s="777" t="s">
        <v>126</v>
      </c>
      <c r="G299" s="777" t="s">
        <v>1376</v>
      </c>
      <c r="H299" s="777" t="s">
        <v>1516</v>
      </c>
      <c r="I299" s="11"/>
    </row>
    <row r="300" spans="1:9">
      <c r="A300" s="11"/>
      <c r="B300" s="11"/>
      <c r="C300" s="11"/>
      <c r="D300" s="11" t="str">
        <f t="shared" si="16"/>
        <v>↓↓ Results ↓↓</v>
      </c>
      <c r="E300" s="777" t="s">
        <v>1375</v>
      </c>
      <c r="F300" s="777" t="s">
        <v>181</v>
      </c>
      <c r="G300" s="777" t="s">
        <v>1377</v>
      </c>
      <c r="H300" s="777" t="s">
        <v>1378</v>
      </c>
      <c r="I300" s="11"/>
    </row>
    <row r="301" spans="1:9">
      <c r="A301" s="11"/>
      <c r="B301" s="11"/>
      <c r="C301" s="11"/>
      <c r="D301" s="11" t="str">
        <f t="shared" si="16"/>
        <v>Rule* (Click for explanation)</v>
      </c>
      <c r="E301" s="777" t="s">
        <v>1375</v>
      </c>
      <c r="F301" s="777" t="s">
        <v>1379</v>
      </c>
      <c r="G301" s="777" t="s">
        <v>1829</v>
      </c>
      <c r="H301" s="777" t="s">
        <v>1830</v>
      </c>
      <c r="I301" s="11"/>
    </row>
    <row r="302" spans="1:9">
      <c r="A302" s="11"/>
      <c r="B302" s="11"/>
      <c r="C302" s="11"/>
      <c r="D302" s="11" t="str">
        <f t="shared" si="16"/>
        <v>https://matejero.com/scoring-system-excel-world-cup-2026/</v>
      </c>
      <c r="E302" s="777" t="s">
        <v>1375</v>
      </c>
      <c r="F302" s="777"/>
      <c r="G302" s="778" t="s">
        <v>1828</v>
      </c>
      <c r="H302" s="778" t="s">
        <v>1917</v>
      </c>
      <c r="I302" s="11"/>
    </row>
    <row r="303" spans="1:9">
      <c r="A303" s="11"/>
      <c r="B303" s="11"/>
      <c r="C303" s="11"/>
      <c r="D303" s="11" t="str">
        <f t="shared" si="16"/>
        <v>Points</v>
      </c>
      <c r="E303" s="777" t="s">
        <v>1375</v>
      </c>
      <c r="F303" s="777" t="s">
        <v>1380</v>
      </c>
      <c r="G303" s="777" t="s">
        <v>1381</v>
      </c>
      <c r="H303" s="777" t="s">
        <v>1382</v>
      </c>
      <c r="I303" s="11"/>
    </row>
    <row r="304" spans="1:9">
      <c r="A304" s="11"/>
      <c r="B304" s="11"/>
      <c r="C304" s="11"/>
      <c r="D304" s="11" t="str">
        <f t="shared" si="16"/>
        <v>GROUP STAGE- 1X2 (home, draw, away)</v>
      </c>
      <c r="E304" s="777" t="s">
        <v>1375</v>
      </c>
      <c r="F304" s="777" t="s">
        <v>1383</v>
      </c>
      <c r="G304" s="777" t="s">
        <v>1774</v>
      </c>
      <c r="H304" s="777" t="s">
        <v>1775</v>
      </c>
      <c r="I304" s="11"/>
    </row>
    <row r="305" spans="1:9">
      <c r="A305" s="11"/>
      <c r="B305" s="11"/>
      <c r="C305" s="11"/>
      <c r="D305" s="11" t="str">
        <f t="shared" si="16"/>
        <v>GROUP STAGE - Goal Difference (with 1X2 correct)</v>
      </c>
      <c r="E305" s="777" t="s">
        <v>1375</v>
      </c>
      <c r="F305" s="777" t="s">
        <v>1384</v>
      </c>
      <c r="G305" s="777" t="s">
        <v>1766</v>
      </c>
      <c r="H305" s="777" t="s">
        <v>1385</v>
      </c>
      <c r="I305" s="11"/>
    </row>
    <row r="306" spans="1:9">
      <c r="A306" s="11"/>
      <c r="B306" s="11"/>
      <c r="C306" s="11"/>
      <c r="D306" s="11" t="str">
        <f t="shared" si="16"/>
        <v>GROUP STAGE - Exact result</v>
      </c>
      <c r="E306" s="777" t="s">
        <v>1375</v>
      </c>
      <c r="F306" s="777" t="s">
        <v>1386</v>
      </c>
      <c r="G306" s="777" t="s">
        <v>1387</v>
      </c>
      <c r="H306" s="777" t="s">
        <v>1388</v>
      </c>
      <c r="I306" s="11"/>
    </row>
    <row r="307" spans="1:9">
      <c r="A307" s="11"/>
      <c r="B307" s="11"/>
      <c r="C307" s="11"/>
      <c r="D307" s="11" t="str">
        <f t="shared" si="16"/>
        <v>GROUP STAGE - Exact position  (1º)</v>
      </c>
      <c r="E307" s="777" t="s">
        <v>1375</v>
      </c>
      <c r="F307" s="777" t="s">
        <v>1389</v>
      </c>
      <c r="G307" s="777" t="s">
        <v>1390</v>
      </c>
      <c r="H307" s="777" t="s">
        <v>1391</v>
      </c>
      <c r="I307" s="11"/>
    </row>
    <row r="308" spans="1:9">
      <c r="A308" s="11"/>
      <c r="B308" s="11"/>
      <c r="C308" s="11"/>
      <c r="D308" s="11" t="str">
        <f t="shared" si="16"/>
        <v>GROUP STAGE - Exact position  (2º)</v>
      </c>
      <c r="E308" s="777" t="s">
        <v>1375</v>
      </c>
      <c r="F308" s="777" t="s">
        <v>1398</v>
      </c>
      <c r="G308" s="777" t="s">
        <v>1392</v>
      </c>
      <c r="H308" s="777" t="s">
        <v>1393</v>
      </c>
      <c r="I308" s="11"/>
    </row>
    <row r="309" spans="1:9">
      <c r="A309" s="11"/>
      <c r="B309" s="11"/>
      <c r="C309" s="11"/>
      <c r="D309" s="11" t="str">
        <f t="shared" si="16"/>
        <v>GROUP STAGE - Exact position  (3º)</v>
      </c>
      <c r="E309" s="777" t="s">
        <v>1375</v>
      </c>
      <c r="F309" s="777" t="s">
        <v>1398</v>
      </c>
      <c r="G309" s="777" t="s">
        <v>1394</v>
      </c>
      <c r="H309" s="777" t="s">
        <v>1395</v>
      </c>
      <c r="I309" s="11"/>
    </row>
    <row r="310" spans="1:9">
      <c r="A310" s="11"/>
      <c r="B310" s="11"/>
      <c r="C310" s="11"/>
      <c r="D310" s="11" t="str">
        <f t="shared" si="16"/>
        <v>GROUP STAGE - Exact position  (4º)</v>
      </c>
      <c r="E310" s="777" t="s">
        <v>1375</v>
      </c>
      <c r="F310" s="777" t="s">
        <v>1400</v>
      </c>
      <c r="G310" s="777" t="s">
        <v>1396</v>
      </c>
      <c r="H310" s="777" t="s">
        <v>1397</v>
      </c>
      <c r="I310" s="11"/>
    </row>
    <row r="311" spans="1:9">
      <c r="A311" s="11"/>
      <c r="B311" s="11"/>
      <c r="C311" s="11"/>
      <c r="D311" s="11" t="str">
        <f t="shared" si="16"/>
        <v>Nation Qualified for ROUND OF 32</v>
      </c>
      <c r="E311" s="777" t="s">
        <v>1375</v>
      </c>
      <c r="F311" s="777" t="s">
        <v>1403</v>
      </c>
      <c r="G311" s="777" t="s">
        <v>1540</v>
      </c>
      <c r="H311" s="777" t="s">
        <v>1572</v>
      </c>
      <c r="I311" s="11"/>
    </row>
    <row r="312" spans="1:9">
      <c r="A312" s="11"/>
      <c r="B312" s="11"/>
      <c r="C312" s="11"/>
      <c r="D312" s="11" t="str">
        <f t="shared" si="16"/>
        <v>ROUND OF 32 - 1X2* (home, draw, away)</v>
      </c>
      <c r="E312" s="777" t="s">
        <v>1375</v>
      </c>
      <c r="F312" s="777" t="s">
        <v>1405</v>
      </c>
      <c r="G312" s="777" t="s">
        <v>1542</v>
      </c>
      <c r="H312" s="777" t="s">
        <v>1547</v>
      </c>
      <c r="I312" s="11"/>
    </row>
    <row r="313" spans="1:9">
      <c r="A313" s="11"/>
      <c r="B313" s="11"/>
      <c r="C313" s="11"/>
      <c r="D313" s="11" t="str">
        <f t="shared" si="16"/>
        <v>ROUND OF 32 - Goal Difference (with 1X2 correct)</v>
      </c>
      <c r="E313" s="777" t="s">
        <v>1375</v>
      </c>
      <c r="F313" s="777" t="s">
        <v>1400</v>
      </c>
      <c r="G313" s="777" t="s">
        <v>1767</v>
      </c>
      <c r="H313" s="777" t="s">
        <v>1548</v>
      </c>
      <c r="I313" s="11"/>
    </row>
    <row r="314" spans="1:9">
      <c r="A314" s="11"/>
      <c r="B314" s="11"/>
      <c r="C314" s="11"/>
      <c r="D314" s="11" t="str">
        <f t="shared" si="16"/>
        <v>ROUND OF 32 - Exact Result</v>
      </c>
      <c r="E314" s="777" t="s">
        <v>1375</v>
      </c>
      <c r="F314" s="777" t="s">
        <v>1403</v>
      </c>
      <c r="G314" s="777" t="s">
        <v>1541</v>
      </c>
      <c r="H314" s="777" t="s">
        <v>1549</v>
      </c>
      <c r="I314" s="11"/>
    </row>
    <row r="315" spans="1:9">
      <c r="A315" s="11"/>
      <c r="B315" s="11"/>
      <c r="C315" s="11"/>
      <c r="D315" s="11" t="str">
        <f t="shared" si="16"/>
        <v>Nation Qualified for ROUND OF 16</v>
      </c>
      <c r="E315" s="777" t="s">
        <v>1375</v>
      </c>
      <c r="F315" s="777" t="s">
        <v>1405</v>
      </c>
      <c r="G315" s="777" t="s">
        <v>1399</v>
      </c>
      <c r="H315" s="777" t="s">
        <v>1561</v>
      </c>
      <c r="I315" s="11"/>
    </row>
    <row r="316" spans="1:9">
      <c r="A316" s="11"/>
      <c r="B316" s="11"/>
      <c r="C316" s="11"/>
      <c r="D316" s="11" t="str">
        <f t="shared" si="16"/>
        <v>ROUND OF 16- 1X2* (home, draw, away)</v>
      </c>
      <c r="E316" s="777" t="s">
        <v>1375</v>
      </c>
      <c r="F316" s="777" t="s">
        <v>1407</v>
      </c>
      <c r="G316" s="777" t="s">
        <v>1401</v>
      </c>
      <c r="H316" s="777" t="s">
        <v>1402</v>
      </c>
      <c r="I316" s="11"/>
    </row>
    <row r="317" spans="1:9">
      <c r="A317" s="11"/>
      <c r="B317" s="11"/>
      <c r="C317" s="11"/>
      <c r="D317" s="11" t="str">
        <f t="shared" si="16"/>
        <v>ROUND OF 16 - Goal Difference (with 1X2 correct)</v>
      </c>
      <c r="E317" s="777" t="s">
        <v>1375</v>
      </c>
      <c r="F317" s="777" t="s">
        <v>1409</v>
      </c>
      <c r="G317" s="777" t="s">
        <v>1768</v>
      </c>
      <c r="H317" s="777" t="s">
        <v>1404</v>
      </c>
      <c r="I317" s="11"/>
    </row>
    <row r="318" spans="1:9">
      <c r="A318" s="11"/>
      <c r="B318" s="11"/>
      <c r="C318" s="11"/>
      <c r="D318" s="11" t="str">
        <f t="shared" si="16"/>
        <v>ROUND OF 16 - Exact Result</v>
      </c>
      <c r="E318" s="777" t="s">
        <v>1375</v>
      </c>
      <c r="F318" s="777" t="s">
        <v>1412</v>
      </c>
      <c r="G318" s="777" t="s">
        <v>1406</v>
      </c>
      <c r="H318" s="777" t="s">
        <v>1517</v>
      </c>
      <c r="I318" s="11"/>
    </row>
    <row r="319" spans="1:9">
      <c r="A319" s="11"/>
      <c r="B319" s="11"/>
      <c r="C319" s="11"/>
      <c r="D319" s="11" t="str">
        <f t="shared" si="16"/>
        <v>Team Qualified for QUARTERFINALS</v>
      </c>
      <c r="E319" s="777" t="s">
        <v>1375</v>
      </c>
      <c r="F319" s="777" t="s">
        <v>1414</v>
      </c>
      <c r="G319" s="777" t="s">
        <v>1408</v>
      </c>
      <c r="H319" s="777" t="s">
        <v>1518</v>
      </c>
      <c r="I319" s="11"/>
    </row>
    <row r="320" spans="1:9">
      <c r="A320" s="11"/>
      <c r="B320" s="11"/>
      <c r="C320" s="11"/>
      <c r="D320" s="11" t="str">
        <f t="shared" si="16"/>
        <v>QUARTERFINALS- 1X2* (home, draw, away)</v>
      </c>
      <c r="E320" s="777" t="s">
        <v>1375</v>
      </c>
      <c r="F320" s="777" t="s">
        <v>1416</v>
      </c>
      <c r="G320" s="777" t="s">
        <v>1410</v>
      </c>
      <c r="H320" s="777" t="s">
        <v>1411</v>
      </c>
      <c r="I320" s="11"/>
    </row>
    <row r="321" spans="1:9">
      <c r="A321" s="11"/>
      <c r="B321" s="11"/>
      <c r="C321" s="11"/>
      <c r="D321" s="11" t="str">
        <f t="shared" si="16"/>
        <v>QUARTERFINALS - Goal Difference (with 1X2 correct)</v>
      </c>
      <c r="E321" s="777" t="s">
        <v>1375</v>
      </c>
      <c r="F321" s="777" t="s">
        <v>1418</v>
      </c>
      <c r="G321" s="777" t="s">
        <v>1769</v>
      </c>
      <c r="H321" s="777" t="s">
        <v>1413</v>
      </c>
      <c r="I321" s="11"/>
    </row>
    <row r="322" spans="1:9">
      <c r="A322" s="11"/>
      <c r="B322" s="11"/>
      <c r="C322" s="11"/>
      <c r="D322" s="11" t="str">
        <f t="shared" si="16"/>
        <v>QUARTERFINALS - Exact Result</v>
      </c>
      <c r="E322" s="777" t="s">
        <v>1375</v>
      </c>
      <c r="F322" s="777" t="s">
        <v>1421</v>
      </c>
      <c r="G322" s="777" t="s">
        <v>1415</v>
      </c>
      <c r="H322" s="777" t="s">
        <v>1519</v>
      </c>
      <c r="I322" s="11"/>
    </row>
    <row r="323" spans="1:9">
      <c r="A323" s="11"/>
      <c r="B323" s="11"/>
      <c r="C323" s="11"/>
      <c r="D323" s="11" t="str">
        <f t="shared" si="16"/>
        <v>Nation Qualified for SEMIFINALS</v>
      </c>
      <c r="E323" s="777" t="s">
        <v>1375</v>
      </c>
      <c r="F323" s="777" t="s">
        <v>1423</v>
      </c>
      <c r="G323" s="777" t="s">
        <v>1417</v>
      </c>
      <c r="H323" s="777" t="s">
        <v>1562</v>
      </c>
      <c r="I323" s="11"/>
    </row>
    <row r="324" spans="1:9">
      <c r="A324" s="11"/>
      <c r="B324" s="11"/>
      <c r="C324" s="11"/>
      <c r="D324" s="11" t="str">
        <f t="shared" si="16"/>
        <v>SEMIFINALS- 1X2* (home, draw, away)</v>
      </c>
      <c r="E324" s="777" t="s">
        <v>1375</v>
      </c>
      <c r="F324" s="777" t="s">
        <v>1426</v>
      </c>
      <c r="G324" s="777" t="s">
        <v>1419</v>
      </c>
      <c r="H324" s="777" t="s">
        <v>1420</v>
      </c>
      <c r="I324" s="11"/>
    </row>
    <row r="325" spans="1:9">
      <c r="A325" s="11"/>
      <c r="B325" s="11"/>
      <c r="C325" s="11"/>
      <c r="D325" s="11" t="str">
        <f t="shared" si="16"/>
        <v>SEMIFINALS - Goal Difference (with 1X2 correct)</v>
      </c>
      <c r="E325" s="777" t="s">
        <v>1375</v>
      </c>
      <c r="F325" s="777" t="s">
        <v>1426</v>
      </c>
      <c r="G325" s="777" t="s">
        <v>1770</v>
      </c>
      <c r="H325" s="777" t="s">
        <v>1422</v>
      </c>
      <c r="I325" s="11"/>
    </row>
    <row r="326" spans="1:9">
      <c r="A326" s="11"/>
      <c r="B326" s="11"/>
      <c r="C326" s="11"/>
      <c r="D326" s="11" t="str">
        <f t="shared" si="16"/>
        <v>SEMIFINALS - Exact Result</v>
      </c>
      <c r="E326" s="777" t="s">
        <v>1375</v>
      </c>
      <c r="F326" s="777" t="s">
        <v>1427</v>
      </c>
      <c r="G326" s="777" t="s">
        <v>1424</v>
      </c>
      <c r="H326" s="777" t="s">
        <v>1425</v>
      </c>
      <c r="I326" s="11"/>
    </row>
    <row r="327" spans="1:9">
      <c r="A327" s="11"/>
      <c r="B327" s="11"/>
      <c r="C327" s="11"/>
      <c r="D327" s="11" t="str">
        <f t="shared" si="16"/>
        <v>Nation Qualified for 3-4 place</v>
      </c>
      <c r="E327" s="777" t="s">
        <v>1375</v>
      </c>
      <c r="F327" s="777" t="s">
        <v>1430</v>
      </c>
      <c r="G327" s="777" t="s">
        <v>1544</v>
      </c>
      <c r="H327" s="777" t="s">
        <v>1710</v>
      </c>
      <c r="I327" s="11"/>
    </row>
    <row r="328" spans="1:9">
      <c r="A328" s="11"/>
      <c r="B328" s="11"/>
      <c r="C328" s="11"/>
      <c r="D328" s="11" t="str">
        <f t="shared" si="16"/>
        <v>Nation Qualified for the FINAL</v>
      </c>
      <c r="E328" s="777" t="s">
        <v>1375</v>
      </c>
      <c r="F328" s="777" t="s">
        <v>1432</v>
      </c>
      <c r="G328" s="777" t="s">
        <v>1543</v>
      </c>
      <c r="H328" s="777" t="s">
        <v>1520</v>
      </c>
      <c r="I328" s="11"/>
    </row>
    <row r="329" spans="1:9">
      <c r="A329" s="11"/>
      <c r="B329" s="11"/>
      <c r="C329" s="11"/>
      <c r="D329" s="11" t="str">
        <f t="shared" si="16"/>
        <v>3-4 place - 1X2* (home, draw, away)</v>
      </c>
      <c r="E329" s="777" t="s">
        <v>1375</v>
      </c>
      <c r="F329" s="777" t="s">
        <v>1435</v>
      </c>
      <c r="G329" s="777" t="s">
        <v>1545</v>
      </c>
      <c r="H329" s="777" t="s">
        <v>1563</v>
      </c>
      <c r="I329" s="11"/>
    </row>
    <row r="330" spans="1:9">
      <c r="A330" s="11"/>
      <c r="B330" s="11"/>
      <c r="C330" s="11"/>
      <c r="D330" s="11" t="str">
        <f t="shared" si="16"/>
        <v>3-4 place - Goal Difference (with 1X2 correct)</v>
      </c>
      <c r="E330" s="777" t="s">
        <v>1375</v>
      </c>
      <c r="F330" s="777" t="s">
        <v>1436</v>
      </c>
      <c r="G330" s="777" t="s">
        <v>1771</v>
      </c>
      <c r="H330" s="777" t="s">
        <v>1564</v>
      </c>
      <c r="I330" s="11"/>
    </row>
    <row r="331" spans="1:9">
      <c r="A331" s="11"/>
      <c r="B331" s="11"/>
      <c r="C331" s="11"/>
      <c r="D331" s="11" t="str">
        <f t="shared" si="16"/>
        <v>3-4 place - Exact Result</v>
      </c>
      <c r="E331" s="777" t="s">
        <v>1375</v>
      </c>
      <c r="F331" s="777" t="s">
        <v>1437</v>
      </c>
      <c r="G331" s="777" t="s">
        <v>1546</v>
      </c>
      <c r="H331" s="777" t="s">
        <v>1565</v>
      </c>
      <c r="I331" s="11"/>
    </row>
    <row r="332" spans="1:9">
      <c r="A332" s="11"/>
      <c r="B332" s="11"/>
      <c r="C332" s="11"/>
      <c r="D332" s="11" t="str">
        <f t="shared" si="16"/>
        <v>FINAL- 1X2* (home, draw, away)</v>
      </c>
      <c r="E332" s="777" t="s">
        <v>1375</v>
      </c>
      <c r="F332" s="777" t="s">
        <v>1439</v>
      </c>
      <c r="G332" s="777" t="s">
        <v>1428</v>
      </c>
      <c r="H332" s="777" t="s">
        <v>1429</v>
      </c>
      <c r="I332" s="11"/>
    </row>
    <row r="333" spans="1:9">
      <c r="A333" s="11"/>
      <c r="B333" s="11"/>
      <c r="C333" s="11"/>
      <c r="D333" s="11" t="str">
        <f t="shared" si="16"/>
        <v>FINAL - Goal Difference (with 1X2 correct)</v>
      </c>
      <c r="E333" s="777" t="s">
        <v>1375</v>
      </c>
      <c r="F333" s="777" t="s">
        <v>1441</v>
      </c>
      <c r="G333" s="777" t="s">
        <v>1772</v>
      </c>
      <c r="H333" s="777" t="s">
        <v>1431</v>
      </c>
      <c r="I333" s="11"/>
    </row>
    <row r="334" spans="1:9">
      <c r="A334" s="11"/>
      <c r="B334" s="11"/>
      <c r="C334" s="11"/>
      <c r="D334" s="11" t="str">
        <f t="shared" si="16"/>
        <v>FINAL - Exact Result</v>
      </c>
      <c r="E334" s="777" t="s">
        <v>1375</v>
      </c>
      <c r="F334" s="777" t="s">
        <v>1443</v>
      </c>
      <c r="G334" s="777" t="s">
        <v>1433</v>
      </c>
      <c r="H334" s="777" t="s">
        <v>1434</v>
      </c>
      <c r="I334" s="11"/>
    </row>
    <row r="335" spans="1:9">
      <c r="A335" s="11"/>
      <c r="B335" s="11"/>
      <c r="C335" s="11"/>
      <c r="D335" s="11" t="str">
        <f t="shared" si="16"/>
        <v>Winner</v>
      </c>
      <c r="E335" s="777"/>
      <c r="F335" s="777"/>
      <c r="G335" s="777" t="s">
        <v>18</v>
      </c>
      <c r="H335" s="777" t="s">
        <v>222</v>
      </c>
      <c r="I335" s="11"/>
    </row>
    <row r="336" spans="1:9">
      <c r="A336" s="11"/>
      <c r="B336" s="11"/>
      <c r="C336" s="11"/>
      <c r="D336" s="11" t="str">
        <f t="shared" si="16"/>
        <v>Runner-up</v>
      </c>
      <c r="E336" s="777"/>
      <c r="F336" s="777"/>
      <c r="G336" s="777" t="s">
        <v>19</v>
      </c>
      <c r="H336" s="777" t="s">
        <v>223</v>
      </c>
      <c r="I336" s="11"/>
    </row>
    <row r="337" spans="1:9">
      <c r="A337" s="11"/>
      <c r="B337" s="11"/>
      <c r="C337" s="11"/>
      <c r="D337" s="11" t="str">
        <f t="shared" si="16"/>
        <v>3rd place</v>
      </c>
      <c r="E337" s="777"/>
      <c r="F337" s="777"/>
      <c r="G337" s="777" t="s">
        <v>1234</v>
      </c>
      <c r="H337" s="777" t="s">
        <v>1235</v>
      </c>
      <c r="I337" s="11"/>
    </row>
    <row r="338" spans="1:9">
      <c r="A338" s="11"/>
      <c r="B338" s="11"/>
      <c r="C338" s="11"/>
      <c r="D338" s="11" t="str">
        <f t="shared" si="16"/>
        <v>Golden Boot (Top Scorer)</v>
      </c>
      <c r="E338" s="777" t="s">
        <v>1375</v>
      </c>
      <c r="F338" s="777" t="s">
        <v>1446</v>
      </c>
      <c r="G338" s="777" t="s">
        <v>499</v>
      </c>
      <c r="H338" s="777" t="s">
        <v>1566</v>
      </c>
      <c r="I338" s="11"/>
    </row>
    <row r="339" spans="1:9">
      <c r="A339" s="11"/>
      <c r="B339" s="11"/>
      <c r="C339" s="11"/>
      <c r="D339" s="11" t="str">
        <f t="shared" si="16"/>
        <v>Silver Boot (2º Top scorer)</v>
      </c>
      <c r="E339" s="777" t="s">
        <v>1449</v>
      </c>
      <c r="F339" s="777" t="s">
        <v>1450</v>
      </c>
      <c r="G339" s="777" t="s">
        <v>500</v>
      </c>
      <c r="H339" s="777" t="s">
        <v>1567</v>
      </c>
      <c r="I339" s="11"/>
    </row>
    <row r="340" spans="1:9">
      <c r="A340" s="11"/>
      <c r="B340" s="11"/>
      <c r="C340" s="11"/>
      <c r="D340" s="11" t="str">
        <f t="shared" si="16"/>
        <v>Bronze Boot (3º Top scorer)</v>
      </c>
      <c r="E340" s="777" t="s">
        <v>1375</v>
      </c>
      <c r="F340" s="777" t="s">
        <v>1458</v>
      </c>
      <c r="G340" s="777" t="s">
        <v>501</v>
      </c>
      <c r="H340" s="777" t="s">
        <v>1568</v>
      </c>
      <c r="I340" s="11"/>
    </row>
    <row r="341" spans="1:9">
      <c r="A341" s="11"/>
      <c r="B341" s="11"/>
      <c r="C341" s="11"/>
      <c r="D341" s="11" t="str">
        <f t="shared" si="16"/>
        <v>Golden Ball  (Best player)</v>
      </c>
      <c r="E341" s="777" t="s">
        <v>1375</v>
      </c>
      <c r="F341" s="777" t="s">
        <v>1453</v>
      </c>
      <c r="G341" s="777" t="s">
        <v>502</v>
      </c>
      <c r="H341" s="777" t="s">
        <v>1569</v>
      </c>
      <c r="I341" s="11"/>
    </row>
    <row r="342" spans="1:9">
      <c r="A342" s="11"/>
      <c r="B342" s="11"/>
      <c r="C342" s="11"/>
      <c r="D342" s="11" t="str">
        <f t="shared" si="16"/>
        <v>Silver Ball (2nd Best player)</v>
      </c>
      <c r="E342" s="777" t="s">
        <v>1449</v>
      </c>
      <c r="F342" s="777" t="s">
        <v>1456</v>
      </c>
      <c r="G342" s="777" t="s">
        <v>503</v>
      </c>
      <c r="H342" s="777" t="s">
        <v>1570</v>
      </c>
      <c r="I342" s="11"/>
    </row>
    <row r="343" spans="1:9">
      <c r="A343" s="11"/>
      <c r="B343" s="11"/>
      <c r="C343" s="11"/>
      <c r="D343" s="11" t="str">
        <f t="shared" si="16"/>
        <v>Bronze Ball (3º Best player)</v>
      </c>
      <c r="E343" s="777" t="s">
        <v>1375</v>
      </c>
      <c r="F343" s="777" t="s">
        <v>1458</v>
      </c>
      <c r="G343" s="777" t="s">
        <v>504</v>
      </c>
      <c r="H343" s="777" t="s">
        <v>1571</v>
      </c>
      <c r="I343" s="11"/>
    </row>
    <row r="344" spans="1:9">
      <c r="A344" s="11"/>
      <c r="B344" s="11"/>
      <c r="C344" s="11"/>
      <c r="D344" s="11" t="str">
        <f t="shared" si="16"/>
        <v>Group Stage</v>
      </c>
      <c r="E344" s="777" t="s">
        <v>1449</v>
      </c>
      <c r="F344" s="777" t="s">
        <v>1461</v>
      </c>
      <c r="G344" s="777" t="s">
        <v>1243</v>
      </c>
      <c r="H344" s="777" t="s">
        <v>1442</v>
      </c>
      <c r="I344" s="11"/>
    </row>
    <row r="345" spans="1:9">
      <c r="A345" s="11"/>
      <c r="B345" s="11"/>
      <c r="C345" s="11"/>
      <c r="D345" s="11" t="str">
        <f t="shared" si="16"/>
        <v>Group Position</v>
      </c>
      <c r="E345" s="777" t="s">
        <v>1375</v>
      </c>
      <c r="F345" s="777" t="s">
        <v>1463</v>
      </c>
      <c r="G345" s="777" t="s">
        <v>1444</v>
      </c>
      <c r="H345" s="777" t="s">
        <v>1445</v>
      </c>
      <c r="I345" s="11"/>
    </row>
    <row r="346" spans="1:9">
      <c r="A346" s="11"/>
      <c r="B346" s="11"/>
      <c r="C346" s="11"/>
      <c r="D346" s="11" t="str">
        <f t="shared" si="16"/>
        <v>QUALIFIED FOR PLAYOFFS</v>
      </c>
      <c r="E346" s="777" t="s">
        <v>1449</v>
      </c>
      <c r="F346" s="777" t="s">
        <v>1466</v>
      </c>
      <c r="G346" s="777" t="s">
        <v>1521</v>
      </c>
      <c r="H346" s="777" t="s">
        <v>1522</v>
      </c>
      <c r="I346" s="11"/>
    </row>
    <row r="347" spans="1:9">
      <c r="A347" s="11"/>
      <c r="B347" s="11"/>
      <c r="C347" s="11"/>
      <c r="D347" s="11" t="str">
        <f t="shared" si="16"/>
        <v>QUALIFIED FOR ROUND OF 16 (From League Phase)</v>
      </c>
      <c r="E347" s="777" t="s">
        <v>1375</v>
      </c>
      <c r="F347" s="777" t="s">
        <v>1468</v>
      </c>
      <c r="G347" s="777" t="s">
        <v>1523</v>
      </c>
      <c r="H347" s="777" t="s">
        <v>1524</v>
      </c>
      <c r="I347" s="11"/>
    </row>
    <row r="348" spans="1:9">
      <c r="A348" s="11"/>
      <c r="B348" s="11"/>
      <c r="C348" s="11"/>
      <c r="D348" s="11" t="str">
        <f t="shared" si="16"/>
        <v>QUALIFIED FOR ROUND OF 16 (From Playoffs)</v>
      </c>
      <c r="E348" s="777" t="s">
        <v>1375</v>
      </c>
      <c r="F348" s="777" t="s">
        <v>1470</v>
      </c>
      <c r="G348" s="777" t="s">
        <v>1525</v>
      </c>
      <c r="H348" s="777" t="s">
        <v>1526</v>
      </c>
      <c r="I348" s="11"/>
    </row>
    <row r="349" spans="1:9">
      <c r="A349" s="11"/>
      <c r="B349" s="11"/>
      <c r="C349" s="11"/>
      <c r="D349" s="11" t="str">
        <f t="shared" si="16"/>
        <v>Qualified For Round Of 16</v>
      </c>
      <c r="E349" s="777" t="s">
        <v>1375</v>
      </c>
      <c r="F349" s="777" t="s">
        <v>1471</v>
      </c>
      <c r="G349" s="777" t="s">
        <v>1447</v>
      </c>
      <c r="H349" s="777" t="s">
        <v>1448</v>
      </c>
      <c r="I349" s="11"/>
    </row>
    <row r="350" spans="1:9">
      <c r="A350" s="11"/>
      <c r="B350" s="11"/>
      <c r="C350" s="11"/>
      <c r="D350" s="11" t="str">
        <f t="shared" si="16"/>
        <v>Round Of 16</v>
      </c>
      <c r="E350" s="777" t="s">
        <v>1375</v>
      </c>
      <c r="F350" s="777" t="s">
        <v>1472</v>
      </c>
      <c r="G350" s="777" t="s">
        <v>1451</v>
      </c>
      <c r="H350" s="777" t="s">
        <v>1452</v>
      </c>
      <c r="I350" s="11"/>
    </row>
    <row r="351" spans="1:9">
      <c r="A351" s="11"/>
      <c r="B351" s="11"/>
      <c r="C351" s="11"/>
      <c r="D351" s="11" t="str">
        <f t="shared" si="16"/>
        <v>Qualified for Quarterfinals</v>
      </c>
      <c r="E351" s="777" t="s">
        <v>1375</v>
      </c>
      <c r="F351" s="777" t="s">
        <v>1474</v>
      </c>
      <c r="G351" s="777" t="s">
        <v>1454</v>
      </c>
      <c r="H351" s="777" t="s">
        <v>1527</v>
      </c>
      <c r="I351" s="11"/>
    </row>
    <row r="352" spans="1:9">
      <c r="A352" s="11"/>
      <c r="B352" s="11"/>
      <c r="C352" s="11"/>
      <c r="D352" s="11" t="str">
        <f t="shared" si="16"/>
        <v>Quarter-Finalists</v>
      </c>
      <c r="E352" s="777" t="s">
        <v>1375</v>
      </c>
      <c r="F352" s="777" t="s">
        <v>28</v>
      </c>
      <c r="G352" s="777" t="s">
        <v>1454</v>
      </c>
      <c r="H352" s="777" t="s">
        <v>1455</v>
      </c>
      <c r="I352" s="11"/>
    </row>
    <row r="353" spans="1:9">
      <c r="A353" s="11"/>
      <c r="B353" s="11"/>
      <c r="C353" s="11"/>
      <c r="D353" s="11" t="str">
        <f t="shared" si="16"/>
        <v>Quarterfinals</v>
      </c>
      <c r="E353" s="777" t="s">
        <v>1375</v>
      </c>
      <c r="F353" s="777"/>
      <c r="G353" s="777" t="s">
        <v>1457</v>
      </c>
      <c r="H353" s="777" t="s">
        <v>219</v>
      </c>
      <c r="I353" s="11"/>
    </row>
    <row r="354" spans="1:9">
      <c r="A354" s="11"/>
      <c r="B354" s="11"/>
      <c r="C354" s="11"/>
      <c r="D354" s="11" t="str">
        <f t="shared" si="16"/>
        <v>Qualified For Semifinals</v>
      </c>
      <c r="E354" s="777" t="s">
        <v>1375</v>
      </c>
      <c r="F354" s="777"/>
      <c r="G354" s="777" t="s">
        <v>1459</v>
      </c>
      <c r="H354" s="777" t="s">
        <v>1460</v>
      </c>
      <c r="I354" s="11"/>
    </row>
    <row r="355" spans="1:9">
      <c r="A355" s="11"/>
      <c r="B355" s="11"/>
      <c r="C355" s="11"/>
      <c r="D355" s="11" t="str">
        <f t="shared" si="16"/>
        <v>Semifinals</v>
      </c>
      <c r="E355" s="777" t="s">
        <v>1375</v>
      </c>
      <c r="F355" s="777"/>
      <c r="G355" s="777" t="s">
        <v>1462</v>
      </c>
      <c r="H355" s="777" t="s">
        <v>220</v>
      </c>
      <c r="I355" s="11"/>
    </row>
    <row r="356" spans="1:9">
      <c r="A356" s="11"/>
      <c r="B356" s="11"/>
      <c r="C356" s="11"/>
      <c r="D356" s="11" t="str">
        <f t="shared" si="16"/>
        <v>Qualified For The Final</v>
      </c>
      <c r="E356" s="777" t="s">
        <v>1375</v>
      </c>
      <c r="F356" s="777"/>
      <c r="G356" s="777" t="s">
        <v>1464</v>
      </c>
      <c r="H356" s="777" t="s">
        <v>1465</v>
      </c>
      <c r="I356" s="11"/>
    </row>
    <row r="357" spans="1:9">
      <c r="A357" s="11"/>
      <c r="B357" s="11"/>
      <c r="C357" s="11"/>
      <c r="D357" s="11" t="str">
        <f t="shared" si="16"/>
        <v>Final</v>
      </c>
      <c r="E357" s="777" t="s">
        <v>1375</v>
      </c>
      <c r="F357" s="777"/>
      <c r="G357" s="777" t="s">
        <v>1467</v>
      </c>
      <c r="H357" s="777" t="s">
        <v>37</v>
      </c>
      <c r="I357" s="11"/>
    </row>
    <row r="358" spans="1:9">
      <c r="A358" s="11"/>
      <c r="B358" s="11"/>
      <c r="C358" s="11"/>
      <c r="D358" s="11" t="str">
        <f t="shared" si="16"/>
        <v>Honor Box</v>
      </c>
      <c r="E358" s="777" t="s">
        <v>1375</v>
      </c>
      <c r="F358" s="777"/>
      <c r="G358" s="777" t="s">
        <v>1310</v>
      </c>
      <c r="H358" s="777" t="s">
        <v>1469</v>
      </c>
      <c r="I358" s="11"/>
    </row>
    <row r="359" spans="1:9">
      <c r="A359" s="11"/>
      <c r="B359" s="11"/>
      <c r="C359" s="11"/>
      <c r="D359" s="11" t="str">
        <f t="shared" si="16"/>
        <v>Winner</v>
      </c>
      <c r="E359" s="777" t="s">
        <v>1375</v>
      </c>
      <c r="F359" s="777"/>
      <c r="G359" s="777" t="s">
        <v>18</v>
      </c>
      <c r="H359" s="777" t="s">
        <v>222</v>
      </c>
      <c r="I359" s="11"/>
    </row>
    <row r="360" spans="1:9">
      <c r="A360" s="11"/>
      <c r="B360" s="11"/>
      <c r="C360" s="11"/>
      <c r="D360" s="11" t="str">
        <f t="shared" si="16"/>
        <v>Runner-up</v>
      </c>
      <c r="E360" s="777" t="s">
        <v>1375</v>
      </c>
      <c r="F360" s="777"/>
      <c r="G360" s="777" t="s">
        <v>19</v>
      </c>
      <c r="H360" s="777" t="s">
        <v>223</v>
      </c>
      <c r="I360" s="11"/>
    </row>
    <row r="361" spans="1:9">
      <c r="A361" s="11"/>
      <c r="B361" s="11"/>
      <c r="C361" s="11"/>
      <c r="D361" s="11" t="str">
        <f t="shared" si="16"/>
        <v>Top Scorer</v>
      </c>
      <c r="E361" s="777" t="s">
        <v>1375</v>
      </c>
      <c r="F361" s="777"/>
      <c r="G361" s="777" t="s">
        <v>1438</v>
      </c>
      <c r="H361" s="777" t="s">
        <v>1473</v>
      </c>
      <c r="I361" s="11"/>
    </row>
    <row r="362" spans="1:9">
      <c r="A362" s="11"/>
      <c r="B362" s="11"/>
      <c r="C362" s="11"/>
      <c r="D362" s="11" t="str">
        <f t="shared" si="16"/>
        <v>Best Tournament player</v>
      </c>
      <c r="E362" s="777" t="s">
        <v>1375</v>
      </c>
      <c r="F362" s="777"/>
      <c r="G362" s="777" t="s">
        <v>1440</v>
      </c>
      <c r="H362" s="777" t="s">
        <v>1475</v>
      </c>
      <c r="I362" s="11"/>
    </row>
    <row r="363" spans="1:9">
      <c r="A363" s="11"/>
      <c r="B363" s="11"/>
      <c r="C363" s="11"/>
      <c r="D363" s="11" t="str">
        <f t="shared" si="16"/>
        <v>Paste Values Name P</v>
      </c>
      <c r="E363" s="777" t="s">
        <v>1375</v>
      </c>
      <c r="F363" s="777"/>
      <c r="G363" s="777" t="s">
        <v>1925</v>
      </c>
      <c r="H363" s="777" t="s">
        <v>1926</v>
      </c>
      <c r="I363" s="11"/>
    </row>
    <row r="364" spans="1:9">
      <c r="A364" s="11"/>
      <c r="B364" s="11"/>
      <c r="C364" s="11"/>
      <c r="D364" s="11" t="str">
        <f t="shared" ref="D364:D423" si="17">IF($B$2,G364,H364)</f>
        <v>Paste Values (R1)</v>
      </c>
      <c r="E364" s="777" t="s">
        <v>1375</v>
      </c>
      <c r="F364" s="777"/>
      <c r="G364" s="777" t="s">
        <v>1476</v>
      </c>
      <c r="H364" s="777" t="s">
        <v>1477</v>
      </c>
      <c r="I364" s="11"/>
    </row>
    <row r="365" spans="1:9">
      <c r="A365" s="11"/>
      <c r="B365" s="11"/>
      <c r="C365" s="11"/>
      <c r="D365" s="11" t="str">
        <f t="shared" si="17"/>
        <v>Paste Values (R2)</v>
      </c>
      <c r="E365" s="777" t="s">
        <v>1375</v>
      </c>
      <c r="F365" s="777"/>
      <c r="G365" s="777" t="s">
        <v>1478</v>
      </c>
      <c r="H365" s="777" t="s">
        <v>1479</v>
      </c>
      <c r="I365" s="11"/>
    </row>
    <row r="366" spans="1:9">
      <c r="A366" s="11"/>
      <c r="B366" s="11"/>
      <c r="C366" s="11"/>
      <c r="D366" s="11" t="str">
        <f t="shared" si="17"/>
        <v>Paste Values (R3)</v>
      </c>
      <c r="E366" s="777" t="s">
        <v>1375</v>
      </c>
      <c r="F366" s="777"/>
      <c r="G366" s="777" t="s">
        <v>1480</v>
      </c>
      <c r="H366" s="777" t="s">
        <v>1481</v>
      </c>
      <c r="I366" s="11"/>
    </row>
    <row r="367" spans="1:9">
      <c r="A367" s="11"/>
      <c r="B367" s="11"/>
      <c r="C367" s="11"/>
      <c r="D367" s="11" t="str">
        <f t="shared" si="17"/>
        <v>Paste Values Round of 32'</v>
      </c>
      <c r="E367" s="777" t="s">
        <v>1375</v>
      </c>
      <c r="F367" s="777" t="s">
        <v>1488</v>
      </c>
      <c r="G367" s="777" t="s">
        <v>1583</v>
      </c>
      <c r="H367" s="777" t="s">
        <v>1584</v>
      </c>
      <c r="I367" s="11"/>
    </row>
    <row r="368" spans="1:9">
      <c r="A368" s="11"/>
      <c r="B368" s="11"/>
      <c r="C368" s="11"/>
      <c r="D368" s="11" t="str">
        <f t="shared" si="17"/>
        <v>Paste Values Round of 16'</v>
      </c>
      <c r="E368" s="777" t="s">
        <v>1375</v>
      </c>
      <c r="F368" s="777" t="s">
        <v>1489</v>
      </c>
      <c r="G368" s="777" t="s">
        <v>1482</v>
      </c>
      <c r="H368" s="777" t="s">
        <v>1483</v>
      </c>
      <c r="I368" s="11"/>
    </row>
    <row r="369" spans="1:9">
      <c r="A369" s="11"/>
      <c r="B369" s="11"/>
      <c r="C369" s="11"/>
      <c r="D369" s="11" t="str">
        <f t="shared" si="17"/>
        <v>Paste Values Quarterfinals</v>
      </c>
      <c r="E369" s="777" t="s">
        <v>1375</v>
      </c>
      <c r="F369" s="777" t="s">
        <v>1490</v>
      </c>
      <c r="G369" s="777" t="s">
        <v>1484</v>
      </c>
      <c r="H369" s="777" t="s">
        <v>1485</v>
      </c>
      <c r="I369" s="11"/>
    </row>
    <row r="370" spans="1:9">
      <c r="A370" s="11"/>
      <c r="B370" s="11"/>
      <c r="C370" s="11"/>
      <c r="D370" s="11" t="str">
        <f t="shared" si="17"/>
        <v>Paste Values Semifinals</v>
      </c>
      <c r="E370" s="777" t="s">
        <v>1375</v>
      </c>
      <c r="F370" s="777" t="s">
        <v>1491</v>
      </c>
      <c r="G370" s="777" t="s">
        <v>1486</v>
      </c>
      <c r="H370" s="777" t="s">
        <v>1487</v>
      </c>
      <c r="I370" s="11"/>
    </row>
    <row r="371" spans="1:9">
      <c r="A371" s="11"/>
      <c r="B371" s="11"/>
      <c r="C371" s="11"/>
      <c r="D371" s="11" t="str">
        <f t="shared" si="17"/>
        <v>Paste Values 3rd-4th place &amp; Final</v>
      </c>
      <c r="E371" s="777" t="s">
        <v>1375</v>
      </c>
      <c r="F371" s="777" t="s">
        <v>1492</v>
      </c>
      <c r="G371" s="777" t="s">
        <v>1585</v>
      </c>
      <c r="H371" s="777" t="s">
        <v>1586</v>
      </c>
      <c r="I371" s="11"/>
    </row>
    <row r="372" spans="1:9">
      <c r="A372" s="11"/>
      <c r="B372" s="11"/>
      <c r="C372" s="11"/>
      <c r="D372" s="11" t="str">
        <f t="shared" si="17"/>
        <v>Paste Predictor Values</v>
      </c>
      <c r="E372" s="777" t="s">
        <v>1375</v>
      </c>
      <c r="F372" s="777" t="s">
        <v>1493</v>
      </c>
      <c r="G372" s="777" t="s">
        <v>1528</v>
      </c>
      <c r="H372" s="777" t="s">
        <v>1529</v>
      </c>
      <c r="I372" s="11"/>
    </row>
    <row r="373" spans="1:9">
      <c r="A373" s="11"/>
      <c r="B373" s="11"/>
      <c r="C373" s="11"/>
      <c r="D373" s="11" t="str">
        <f t="shared" si="17"/>
        <v>Paste Values Honor Box</v>
      </c>
      <c r="E373" s="777"/>
      <c r="F373" s="777"/>
      <c r="G373" s="777" t="s">
        <v>1587</v>
      </c>
      <c r="H373" s="777" t="s">
        <v>1588</v>
      </c>
      <c r="I373" s="11"/>
    </row>
    <row r="374" spans="1:9">
      <c r="A374" s="11"/>
      <c r="B374" s="11"/>
      <c r="C374" s="11"/>
      <c r="D374" s="11" t="str">
        <f t="shared" si="17"/>
        <v>1st GROUP A</v>
      </c>
      <c r="E374" s="777" t="s">
        <v>1375</v>
      </c>
      <c r="F374" s="777" t="s">
        <v>1494</v>
      </c>
      <c r="G374" s="777" t="s">
        <v>45</v>
      </c>
      <c r="H374" s="777" t="s">
        <v>377</v>
      </c>
      <c r="I374" s="11"/>
    </row>
    <row r="375" spans="1:9">
      <c r="A375" s="11"/>
      <c r="B375" s="11"/>
      <c r="C375" s="11"/>
      <c r="D375" s="11" t="str">
        <f t="shared" si="17"/>
        <v>2nd GROUP A</v>
      </c>
      <c r="E375" s="777" t="s">
        <v>1375</v>
      </c>
      <c r="F375" s="777" t="s">
        <v>1495</v>
      </c>
      <c r="G375" s="777" t="s">
        <v>46</v>
      </c>
      <c r="H375" s="777" t="s">
        <v>378</v>
      </c>
      <c r="I375" s="11"/>
    </row>
    <row r="376" spans="1:9">
      <c r="A376" s="11"/>
      <c r="B376" s="11"/>
      <c r="C376" s="11"/>
      <c r="D376" s="11" t="str">
        <f t="shared" si="17"/>
        <v>3rd GROUP A</v>
      </c>
      <c r="E376" s="777" t="s">
        <v>1375</v>
      </c>
      <c r="F376" s="777" t="s">
        <v>1496</v>
      </c>
      <c r="G376" s="777" t="s">
        <v>47</v>
      </c>
      <c r="H376" s="777" t="s">
        <v>379</v>
      </c>
      <c r="I376" s="11"/>
    </row>
    <row r="377" spans="1:9">
      <c r="A377" s="11"/>
      <c r="B377" s="11"/>
      <c r="C377" s="11"/>
      <c r="D377" s="11" t="str">
        <f t="shared" si="17"/>
        <v>4th GROUP A</v>
      </c>
      <c r="E377" s="777" t="s">
        <v>1375</v>
      </c>
      <c r="F377" s="777" t="s">
        <v>1497</v>
      </c>
      <c r="G377" s="777" t="s">
        <v>48</v>
      </c>
      <c r="H377" s="777" t="s">
        <v>380</v>
      </c>
      <c r="I377" s="11"/>
    </row>
    <row r="378" spans="1:9">
      <c r="A378" s="11"/>
      <c r="B378" s="11"/>
      <c r="C378" s="11"/>
      <c r="D378" s="11" t="str">
        <f t="shared" si="17"/>
        <v>1st GROUP B</v>
      </c>
      <c r="E378" s="777" t="s">
        <v>1375</v>
      </c>
      <c r="F378" s="777" t="s">
        <v>1498</v>
      </c>
      <c r="G378" s="777" t="s">
        <v>49</v>
      </c>
      <c r="H378" s="777" t="s">
        <v>381</v>
      </c>
      <c r="I378" s="11"/>
    </row>
    <row r="379" spans="1:9">
      <c r="A379" s="11"/>
      <c r="B379" s="11"/>
      <c r="C379" s="11"/>
      <c r="D379" s="11" t="str">
        <f t="shared" si="17"/>
        <v>2nd GROUP B</v>
      </c>
      <c r="E379" s="777" t="s">
        <v>1375</v>
      </c>
      <c r="F379" s="777" t="s">
        <v>1499</v>
      </c>
      <c r="G379" s="777" t="s">
        <v>50</v>
      </c>
      <c r="H379" s="777" t="s">
        <v>382</v>
      </c>
      <c r="I379" s="11"/>
    </row>
    <row r="380" spans="1:9">
      <c r="A380" s="11"/>
      <c r="B380" s="11"/>
      <c r="C380" s="11"/>
      <c r="D380" s="11" t="str">
        <f t="shared" si="17"/>
        <v>3rd GROUP B</v>
      </c>
      <c r="E380" s="777" t="s">
        <v>1375</v>
      </c>
      <c r="F380" s="777" t="s">
        <v>1500</v>
      </c>
      <c r="G380" s="777" t="s">
        <v>51</v>
      </c>
      <c r="H380" s="777" t="s">
        <v>383</v>
      </c>
      <c r="I380" s="11"/>
    </row>
    <row r="381" spans="1:9">
      <c r="A381" s="11"/>
      <c r="B381" s="11"/>
      <c r="C381" s="11"/>
      <c r="D381" s="11" t="str">
        <f t="shared" si="17"/>
        <v>4th GROUP B</v>
      </c>
      <c r="E381" s="777" t="s">
        <v>1375</v>
      </c>
      <c r="F381" s="777" t="s">
        <v>1501</v>
      </c>
      <c r="G381" s="777" t="s">
        <v>52</v>
      </c>
      <c r="H381" s="777" t="s">
        <v>384</v>
      </c>
      <c r="I381" s="11"/>
    </row>
    <row r="382" spans="1:9">
      <c r="A382" s="11"/>
      <c r="B382" s="11"/>
      <c r="C382" s="11"/>
      <c r="D382" s="11" t="str">
        <f t="shared" si="17"/>
        <v>1st GROUP C</v>
      </c>
      <c r="E382" s="777" t="s">
        <v>1375</v>
      </c>
      <c r="F382" s="777" t="s">
        <v>1502</v>
      </c>
      <c r="G382" s="777" t="s">
        <v>53</v>
      </c>
      <c r="H382" s="777" t="s">
        <v>385</v>
      </c>
      <c r="I382" s="11"/>
    </row>
    <row r="383" spans="1:9">
      <c r="A383" s="11"/>
      <c r="B383" s="11"/>
      <c r="C383" s="11"/>
      <c r="D383" s="11" t="str">
        <f t="shared" si="17"/>
        <v>2nd GROUP C</v>
      </c>
      <c r="E383" s="777" t="s">
        <v>1375</v>
      </c>
      <c r="F383" s="777" t="s">
        <v>1503</v>
      </c>
      <c r="G383" s="777" t="s">
        <v>54</v>
      </c>
      <c r="H383" s="777" t="s">
        <v>386</v>
      </c>
      <c r="I383" s="11"/>
    </row>
    <row r="384" spans="1:9">
      <c r="A384" s="11"/>
      <c r="B384" s="11"/>
      <c r="C384" s="11"/>
      <c r="D384" s="11" t="str">
        <f t="shared" si="17"/>
        <v>3rd GROUP C</v>
      </c>
      <c r="E384" s="777" t="s">
        <v>1375</v>
      </c>
      <c r="F384" s="777" t="s">
        <v>1504</v>
      </c>
      <c r="G384" s="777" t="s">
        <v>55</v>
      </c>
      <c r="H384" s="777" t="s">
        <v>387</v>
      </c>
      <c r="I384" s="11"/>
    </row>
    <row r="385" spans="1:9">
      <c r="A385" s="11"/>
      <c r="B385" s="11"/>
      <c r="C385" s="11"/>
      <c r="D385" s="11" t="str">
        <f t="shared" si="17"/>
        <v>4th GROUP C</v>
      </c>
      <c r="E385" s="777" t="s">
        <v>1375</v>
      </c>
      <c r="F385" s="777" t="s">
        <v>1505</v>
      </c>
      <c r="G385" s="777" t="s">
        <v>56</v>
      </c>
      <c r="H385" s="777" t="s">
        <v>388</v>
      </c>
      <c r="I385" s="11"/>
    </row>
    <row r="386" spans="1:9">
      <c r="A386" s="11"/>
      <c r="B386" s="11"/>
      <c r="C386" s="11"/>
      <c r="D386" s="11" t="str">
        <f t="shared" si="17"/>
        <v>1st GROUP D</v>
      </c>
      <c r="E386" s="777" t="s">
        <v>1375</v>
      </c>
      <c r="F386" s="777" t="s">
        <v>1506</v>
      </c>
      <c r="G386" s="777" t="s">
        <v>96</v>
      </c>
      <c r="H386" s="777" t="s">
        <v>389</v>
      </c>
      <c r="I386" s="11"/>
    </row>
    <row r="387" spans="1:9">
      <c r="A387" s="11"/>
      <c r="B387" s="11"/>
      <c r="C387" s="11"/>
      <c r="D387" s="11" t="str">
        <f t="shared" si="17"/>
        <v>2nd GROUP D</v>
      </c>
      <c r="E387" s="777" t="s">
        <v>1375</v>
      </c>
      <c r="F387" s="777" t="s">
        <v>1507</v>
      </c>
      <c r="G387" s="777" t="s">
        <v>97</v>
      </c>
      <c r="H387" s="777" t="s">
        <v>390</v>
      </c>
      <c r="I387" s="11"/>
    </row>
    <row r="388" spans="1:9">
      <c r="A388" s="11"/>
      <c r="B388" s="11"/>
      <c r="C388" s="11"/>
      <c r="D388" s="11" t="str">
        <f t="shared" si="17"/>
        <v>3rd GROUP D</v>
      </c>
      <c r="E388" s="777" t="s">
        <v>1375</v>
      </c>
      <c r="F388" s="777" t="s">
        <v>1508</v>
      </c>
      <c r="G388" s="777" t="s">
        <v>98</v>
      </c>
      <c r="H388" s="777" t="s">
        <v>391</v>
      </c>
      <c r="I388" s="11"/>
    </row>
    <row r="389" spans="1:9">
      <c r="A389" s="11"/>
      <c r="B389" s="11"/>
      <c r="C389" s="11"/>
      <c r="D389" s="11" t="str">
        <f t="shared" si="17"/>
        <v>4th GROUP D</v>
      </c>
      <c r="E389" s="777" t="s">
        <v>1375</v>
      </c>
      <c r="F389" s="777" t="s">
        <v>1509</v>
      </c>
      <c r="G389" s="777" t="s">
        <v>99</v>
      </c>
      <c r="H389" s="777" t="s">
        <v>392</v>
      </c>
      <c r="I389" s="11"/>
    </row>
    <row r="390" spans="1:9">
      <c r="A390" s="11"/>
      <c r="B390" s="11"/>
      <c r="C390" s="11"/>
      <c r="D390" s="11" t="str">
        <f t="shared" si="17"/>
        <v>1st GROUP E</v>
      </c>
      <c r="E390" s="777" t="s">
        <v>1375</v>
      </c>
      <c r="F390" s="777" t="s">
        <v>1510</v>
      </c>
      <c r="G390" s="777" t="s">
        <v>100</v>
      </c>
      <c r="H390" s="777" t="s">
        <v>393</v>
      </c>
      <c r="I390" s="11"/>
    </row>
    <row r="391" spans="1:9">
      <c r="A391" s="11"/>
      <c r="B391" s="11"/>
      <c r="C391" s="11"/>
      <c r="D391" s="11" t="str">
        <f t="shared" si="17"/>
        <v>2nd GROUP E</v>
      </c>
      <c r="E391" s="777" t="s">
        <v>1375</v>
      </c>
      <c r="F391" s="777" t="s">
        <v>1511</v>
      </c>
      <c r="G391" s="777" t="s">
        <v>101</v>
      </c>
      <c r="H391" s="777" t="s">
        <v>394</v>
      </c>
      <c r="I391" s="11"/>
    </row>
    <row r="392" spans="1:9">
      <c r="A392" s="11"/>
      <c r="B392" s="11"/>
      <c r="C392" s="11"/>
      <c r="D392" s="11" t="str">
        <f t="shared" si="17"/>
        <v>3rd GROUP E</v>
      </c>
      <c r="E392" s="777" t="s">
        <v>1375</v>
      </c>
      <c r="F392" s="777" t="s">
        <v>1512</v>
      </c>
      <c r="G392" s="777" t="s">
        <v>102</v>
      </c>
      <c r="H392" s="777" t="s">
        <v>395</v>
      </c>
      <c r="I392" s="11"/>
    </row>
    <row r="393" spans="1:9">
      <c r="A393" s="11"/>
      <c r="B393" s="11"/>
      <c r="C393" s="11"/>
      <c r="D393" s="11" t="str">
        <f t="shared" si="17"/>
        <v>4th GROUP E</v>
      </c>
      <c r="E393" s="777" t="s">
        <v>1375</v>
      </c>
      <c r="F393" s="777" t="s">
        <v>1513</v>
      </c>
      <c r="G393" s="777" t="s">
        <v>103</v>
      </c>
      <c r="H393" s="777" t="s">
        <v>396</v>
      </c>
      <c r="I393" s="11"/>
    </row>
    <row r="394" spans="1:9">
      <c r="A394" s="11"/>
      <c r="B394" s="11"/>
      <c r="C394" s="11"/>
      <c r="D394" s="11" t="str">
        <f t="shared" si="17"/>
        <v>1st GROUP F</v>
      </c>
      <c r="E394" s="777" t="s">
        <v>1375</v>
      </c>
      <c r="F394" s="777" t="s">
        <v>1514</v>
      </c>
      <c r="G394" s="777" t="s">
        <v>104</v>
      </c>
      <c r="H394" s="777" t="s">
        <v>397</v>
      </c>
      <c r="I394" s="11"/>
    </row>
    <row r="395" spans="1:9">
      <c r="A395" s="11"/>
      <c r="B395" s="11"/>
      <c r="C395" s="11"/>
      <c r="D395" s="11" t="str">
        <f t="shared" si="17"/>
        <v>2nd GROUP F</v>
      </c>
      <c r="E395" s="777" t="s">
        <v>1375</v>
      </c>
      <c r="F395" s="777" t="s">
        <v>1515</v>
      </c>
      <c r="G395" s="777" t="s">
        <v>105</v>
      </c>
      <c r="H395" s="777" t="s">
        <v>398</v>
      </c>
      <c r="I395" s="11"/>
    </row>
    <row r="396" spans="1:9">
      <c r="A396" s="11"/>
      <c r="B396" s="11"/>
      <c r="C396" s="11"/>
      <c r="D396" s="11" t="str">
        <f t="shared" si="17"/>
        <v>3rd GROUP F</v>
      </c>
      <c r="E396" s="777" t="s">
        <v>1375</v>
      </c>
      <c r="F396" s="777"/>
      <c r="G396" s="777" t="s">
        <v>106</v>
      </c>
      <c r="H396" s="777" t="s">
        <v>399</v>
      </c>
      <c r="I396" s="11"/>
    </row>
    <row r="397" spans="1:9">
      <c r="A397" s="11"/>
      <c r="B397" s="11"/>
      <c r="C397" s="11"/>
      <c r="D397" s="11" t="str">
        <f t="shared" si="17"/>
        <v>4th GROUP F</v>
      </c>
      <c r="E397" s="777" t="s">
        <v>1375</v>
      </c>
      <c r="F397" s="777"/>
      <c r="G397" s="777" t="s">
        <v>107</v>
      </c>
      <c r="H397" s="777" t="s">
        <v>400</v>
      </c>
      <c r="I397" s="11"/>
    </row>
    <row r="398" spans="1:9">
      <c r="A398" s="11"/>
      <c r="B398" s="11"/>
      <c r="C398" s="11"/>
      <c r="D398" s="11" t="str">
        <f t="shared" si="17"/>
        <v>1st GROUP G</v>
      </c>
      <c r="E398" s="777" t="s">
        <v>1375</v>
      </c>
      <c r="F398" s="777"/>
      <c r="G398" s="777" t="s">
        <v>516</v>
      </c>
      <c r="H398" s="777" t="s">
        <v>520</v>
      </c>
      <c r="I398" s="11"/>
    </row>
    <row r="399" spans="1:9">
      <c r="A399" s="11"/>
      <c r="B399" s="11"/>
      <c r="C399" s="11"/>
      <c r="D399" s="11" t="str">
        <f t="shared" si="17"/>
        <v>2nd GROUP G</v>
      </c>
      <c r="E399" s="777" t="s">
        <v>1375</v>
      </c>
      <c r="F399" s="777"/>
      <c r="G399" s="777" t="s">
        <v>517</v>
      </c>
      <c r="H399" s="777" t="s">
        <v>521</v>
      </c>
      <c r="I399" s="11"/>
    </row>
    <row r="400" spans="1:9">
      <c r="A400" s="11"/>
      <c r="B400" s="11"/>
      <c r="C400" s="11"/>
      <c r="D400" s="11" t="str">
        <f t="shared" si="17"/>
        <v>3rd GROUP G</v>
      </c>
      <c r="E400" s="777" t="s">
        <v>1375</v>
      </c>
      <c r="F400" s="777"/>
      <c r="G400" s="777" t="s">
        <v>518</v>
      </c>
      <c r="H400" s="777" t="s">
        <v>522</v>
      </c>
      <c r="I400" s="11"/>
    </row>
    <row r="401" spans="1:9">
      <c r="A401" s="11"/>
      <c r="B401" s="11"/>
      <c r="C401" s="11"/>
      <c r="D401" s="11" t="str">
        <f t="shared" si="17"/>
        <v>4th GROUP G</v>
      </c>
      <c r="E401" s="777" t="s">
        <v>1375</v>
      </c>
      <c r="F401" s="777"/>
      <c r="G401" s="777" t="s">
        <v>519</v>
      </c>
      <c r="H401" s="777" t="s">
        <v>523</v>
      </c>
      <c r="I401" s="11"/>
    </row>
    <row r="402" spans="1:9">
      <c r="A402" s="11"/>
      <c r="B402" s="11"/>
      <c r="C402" s="11"/>
      <c r="D402" s="11" t="str">
        <f t="shared" si="17"/>
        <v>1st GROUP H</v>
      </c>
      <c r="E402" s="777" t="s">
        <v>1375</v>
      </c>
      <c r="F402" s="777"/>
      <c r="G402" s="777" t="s">
        <v>524</v>
      </c>
      <c r="H402" s="777" t="s">
        <v>528</v>
      </c>
      <c r="I402" s="11"/>
    </row>
    <row r="403" spans="1:9">
      <c r="A403" s="11"/>
      <c r="B403" s="11"/>
      <c r="C403" s="11"/>
      <c r="D403" s="11" t="str">
        <f t="shared" si="17"/>
        <v>2nd GROUP H</v>
      </c>
      <c r="E403" s="777" t="s">
        <v>1375</v>
      </c>
      <c r="F403" s="11"/>
      <c r="G403" s="777" t="s">
        <v>525</v>
      </c>
      <c r="H403" s="777" t="s">
        <v>529</v>
      </c>
      <c r="I403" s="11"/>
    </row>
    <row r="404" spans="1:9">
      <c r="A404" s="11"/>
      <c r="B404" s="11"/>
      <c r="C404" s="11"/>
      <c r="D404" s="11" t="str">
        <f t="shared" si="17"/>
        <v>3rd GROUP H</v>
      </c>
      <c r="E404" s="777" t="s">
        <v>1375</v>
      </c>
      <c r="F404" s="11"/>
      <c r="G404" s="777" t="s">
        <v>526</v>
      </c>
      <c r="H404" s="777" t="s">
        <v>530</v>
      </c>
      <c r="I404" s="11"/>
    </row>
    <row r="405" spans="1:9">
      <c r="A405" s="11"/>
      <c r="B405" s="11"/>
      <c r="C405" s="11"/>
      <c r="D405" s="11" t="str">
        <f t="shared" si="17"/>
        <v>4th GROUP H</v>
      </c>
      <c r="E405" s="777" t="s">
        <v>1375</v>
      </c>
      <c r="F405" s="11"/>
      <c r="G405" s="777" t="s">
        <v>527</v>
      </c>
      <c r="H405" s="777" t="s">
        <v>531</v>
      </c>
      <c r="I405" s="11"/>
    </row>
    <row r="406" spans="1:9">
      <c r="A406" s="11"/>
      <c r="B406" s="11"/>
      <c r="C406" s="11"/>
      <c r="D406" s="11" t="str">
        <f t="shared" si="17"/>
        <v>1st GROUP I</v>
      </c>
      <c r="E406" s="777" t="s">
        <v>1375</v>
      </c>
      <c r="F406" s="11"/>
      <c r="G406" s="777" t="s">
        <v>532</v>
      </c>
      <c r="H406" s="777" t="s">
        <v>536</v>
      </c>
      <c r="I406" s="11"/>
    </row>
    <row r="407" spans="1:9">
      <c r="A407" s="11"/>
      <c r="B407" s="11"/>
      <c r="C407" s="11"/>
      <c r="D407" s="11" t="str">
        <f t="shared" si="17"/>
        <v>2nd GROUP I</v>
      </c>
      <c r="E407" s="777" t="s">
        <v>1375</v>
      </c>
      <c r="F407" s="11"/>
      <c r="G407" s="777" t="s">
        <v>533</v>
      </c>
      <c r="H407" s="777" t="s">
        <v>537</v>
      </c>
      <c r="I407" s="11"/>
    </row>
    <row r="408" spans="1:9">
      <c r="A408" s="11"/>
      <c r="B408" s="11"/>
      <c r="C408" s="11"/>
      <c r="D408" s="11" t="str">
        <f t="shared" si="17"/>
        <v>3rd GROUP I</v>
      </c>
      <c r="E408" s="777" t="s">
        <v>1375</v>
      </c>
      <c r="F408" s="11"/>
      <c r="G408" s="777" t="s">
        <v>534</v>
      </c>
      <c r="H408" s="777" t="s">
        <v>538</v>
      </c>
      <c r="I408" s="11"/>
    </row>
    <row r="409" spans="1:9">
      <c r="A409" s="11"/>
      <c r="B409" s="11"/>
      <c r="C409" s="11"/>
      <c r="D409" s="11" t="str">
        <f t="shared" si="17"/>
        <v>4th GROUP I</v>
      </c>
      <c r="E409" s="777" t="s">
        <v>1375</v>
      </c>
      <c r="F409" s="11"/>
      <c r="G409" s="777" t="s">
        <v>535</v>
      </c>
      <c r="H409" s="777" t="s">
        <v>539</v>
      </c>
      <c r="I409" s="11"/>
    </row>
    <row r="410" spans="1:9">
      <c r="A410" s="11"/>
      <c r="B410" s="11"/>
      <c r="C410" s="11"/>
      <c r="D410" s="11" t="str">
        <f t="shared" si="17"/>
        <v>1st GROUP J</v>
      </c>
      <c r="E410" s="777" t="s">
        <v>1375</v>
      </c>
      <c r="F410" s="11"/>
      <c r="G410" s="777" t="s">
        <v>540</v>
      </c>
      <c r="H410" s="777" t="s">
        <v>544</v>
      </c>
      <c r="I410" s="11"/>
    </row>
    <row r="411" spans="1:9">
      <c r="A411" s="11"/>
      <c r="B411" s="11"/>
      <c r="C411" s="11"/>
      <c r="D411" s="11" t="str">
        <f t="shared" si="17"/>
        <v>2nd GROUP J</v>
      </c>
      <c r="E411" s="777" t="s">
        <v>1375</v>
      </c>
      <c r="F411" s="11"/>
      <c r="G411" s="777" t="s">
        <v>541</v>
      </c>
      <c r="H411" s="777" t="s">
        <v>545</v>
      </c>
      <c r="I411" s="11"/>
    </row>
    <row r="412" spans="1:9">
      <c r="A412" s="11"/>
      <c r="B412" s="11"/>
      <c r="C412" s="11"/>
      <c r="D412" s="11" t="str">
        <f t="shared" si="17"/>
        <v>3rd GROUP J</v>
      </c>
      <c r="E412" s="777" t="s">
        <v>1375</v>
      </c>
      <c r="F412" s="11"/>
      <c r="G412" s="777" t="s">
        <v>542</v>
      </c>
      <c r="H412" s="777" t="s">
        <v>546</v>
      </c>
      <c r="I412" s="11"/>
    </row>
    <row r="413" spans="1:9">
      <c r="A413" s="11"/>
      <c r="B413" s="11"/>
      <c r="C413" s="11"/>
      <c r="D413" s="11" t="str">
        <f t="shared" si="17"/>
        <v>4th GROUP J</v>
      </c>
      <c r="E413" s="777" t="s">
        <v>1375</v>
      </c>
      <c r="F413" s="11"/>
      <c r="G413" s="777" t="s">
        <v>543</v>
      </c>
      <c r="H413" s="777" t="s">
        <v>547</v>
      </c>
      <c r="I413" s="11"/>
    </row>
    <row r="414" spans="1:9">
      <c r="A414" s="11"/>
      <c r="B414" s="11"/>
      <c r="C414" s="11"/>
      <c r="D414" s="11" t="str">
        <f t="shared" si="17"/>
        <v>1st GROUP K</v>
      </c>
      <c r="E414" s="777" t="s">
        <v>1375</v>
      </c>
      <c r="F414" s="11"/>
      <c r="G414" s="777" t="s">
        <v>548</v>
      </c>
      <c r="H414" s="777" t="s">
        <v>552</v>
      </c>
      <c r="I414" s="11"/>
    </row>
    <row r="415" spans="1:9">
      <c r="A415" s="11"/>
      <c r="B415" s="11"/>
      <c r="C415" s="11"/>
      <c r="D415" s="11" t="str">
        <f t="shared" si="17"/>
        <v>2nd GROUP K</v>
      </c>
      <c r="E415" s="777" t="s">
        <v>1375</v>
      </c>
      <c r="F415" s="11"/>
      <c r="G415" s="777" t="s">
        <v>549</v>
      </c>
      <c r="H415" s="777" t="s">
        <v>553</v>
      </c>
      <c r="I415" s="11"/>
    </row>
    <row r="416" spans="1:9">
      <c r="A416" s="11"/>
      <c r="B416" s="11"/>
      <c r="C416" s="11"/>
      <c r="D416" s="11" t="str">
        <f t="shared" si="17"/>
        <v>3rd GROUP K</v>
      </c>
      <c r="E416" s="777" t="s">
        <v>1375</v>
      </c>
      <c r="F416" s="11"/>
      <c r="G416" s="777" t="s">
        <v>550</v>
      </c>
      <c r="H416" s="777" t="s">
        <v>554</v>
      </c>
      <c r="I416" s="11"/>
    </row>
    <row r="417" spans="1:9">
      <c r="A417" s="11"/>
      <c r="B417" s="11"/>
      <c r="C417" s="11"/>
      <c r="D417" s="11" t="str">
        <f t="shared" si="17"/>
        <v>4th GROUP K</v>
      </c>
      <c r="E417" s="777" t="s">
        <v>1375</v>
      </c>
      <c r="F417" s="11"/>
      <c r="G417" s="777" t="s">
        <v>551</v>
      </c>
      <c r="H417" s="777" t="s">
        <v>555</v>
      </c>
      <c r="I417" s="11"/>
    </row>
    <row r="418" spans="1:9">
      <c r="A418" s="11"/>
      <c r="B418" s="11"/>
      <c r="C418" s="11"/>
      <c r="D418" s="11" t="str">
        <f t="shared" si="17"/>
        <v>1st GROUP L</v>
      </c>
      <c r="E418" s="777" t="s">
        <v>1375</v>
      </c>
      <c r="F418" s="11"/>
      <c r="G418" s="777" t="s">
        <v>556</v>
      </c>
      <c r="H418" s="777" t="s">
        <v>560</v>
      </c>
      <c r="I418" s="11"/>
    </row>
    <row r="419" spans="1:9">
      <c r="A419" s="11"/>
      <c r="B419" s="11"/>
      <c r="C419" s="11"/>
      <c r="D419" s="11" t="str">
        <f t="shared" si="17"/>
        <v>2nd GROUP L</v>
      </c>
      <c r="E419" s="777" t="s">
        <v>1375</v>
      </c>
      <c r="F419" s="11"/>
      <c r="G419" s="777" t="s">
        <v>557</v>
      </c>
      <c r="H419" s="777" t="s">
        <v>561</v>
      </c>
      <c r="I419" s="11"/>
    </row>
    <row r="420" spans="1:9">
      <c r="A420" s="11"/>
      <c r="B420" s="11"/>
      <c r="C420" s="11"/>
      <c r="D420" s="11" t="str">
        <f t="shared" si="17"/>
        <v>3rd GROUP L</v>
      </c>
      <c r="E420" s="777" t="s">
        <v>1375</v>
      </c>
      <c r="F420" s="11"/>
      <c r="G420" s="777" t="s">
        <v>558</v>
      </c>
      <c r="H420" s="777" t="s">
        <v>562</v>
      </c>
      <c r="I420" s="11"/>
    </row>
    <row r="421" spans="1:9">
      <c r="A421" s="11"/>
      <c r="B421" s="11"/>
      <c r="C421" s="11"/>
      <c r="D421" s="11" t="str">
        <f t="shared" si="17"/>
        <v>4th GROUP L</v>
      </c>
      <c r="E421" s="777" t="s">
        <v>1375</v>
      </c>
      <c r="F421" s="11"/>
      <c r="G421" s="777" t="s">
        <v>559</v>
      </c>
      <c r="H421" s="777" t="s">
        <v>563</v>
      </c>
      <c r="I421" s="11"/>
    </row>
    <row r="422" spans="1:9">
      <c r="A422" s="11"/>
      <c r="B422" s="11"/>
      <c r="C422" s="11"/>
      <c r="D422" s="11" t="str">
        <f t="shared" si="17"/>
        <v>16-Finalist</v>
      </c>
      <c r="E422" s="777" t="s">
        <v>1375</v>
      </c>
      <c r="F422" s="11"/>
      <c r="G422" s="777" t="s">
        <v>566</v>
      </c>
      <c r="H422" s="777" t="s">
        <v>567</v>
      </c>
      <c r="I422" s="11"/>
    </row>
    <row r="423" spans="1:9">
      <c r="A423" s="11"/>
      <c r="B423" s="11"/>
      <c r="C423" s="11"/>
      <c r="D423" s="11" t="str">
        <f t="shared" si="17"/>
        <v>8-Finalist</v>
      </c>
      <c r="E423" s="777" t="s">
        <v>1375</v>
      </c>
      <c r="F423" s="11"/>
      <c r="G423" s="777" t="s">
        <v>1296</v>
      </c>
      <c r="H423" s="777" t="s">
        <v>401</v>
      </c>
      <c r="I423" s="11"/>
    </row>
    <row r="424" spans="1:9">
      <c r="A424" s="11"/>
      <c r="B424" s="11"/>
      <c r="C424" s="11"/>
      <c r="D424" s="11" t="str">
        <f t="shared" ref="D424:D446" si="18">IF($B$2,G424,H424)</f>
        <v>Quarterfinalist</v>
      </c>
      <c r="E424" s="777" t="s">
        <v>1375</v>
      </c>
      <c r="F424" s="11"/>
      <c r="G424" s="777" t="s">
        <v>58</v>
      </c>
      <c r="H424" s="777" t="s">
        <v>402</v>
      </c>
      <c r="I424" s="11"/>
    </row>
    <row r="425" spans="1:9">
      <c r="A425" s="11"/>
      <c r="B425" s="11"/>
      <c r="C425" s="11"/>
      <c r="D425" s="11" t="str">
        <f t="shared" si="18"/>
        <v>Semifinalist</v>
      </c>
      <c r="E425" s="777" t="s">
        <v>1375</v>
      </c>
      <c r="F425" s="11"/>
      <c r="G425" s="777" t="s">
        <v>61</v>
      </c>
      <c r="H425" s="777" t="s">
        <v>403</v>
      </c>
      <c r="I425" s="11"/>
    </row>
    <row r="426" spans="1:9">
      <c r="A426" s="11"/>
      <c r="B426" s="11"/>
      <c r="C426" s="11"/>
      <c r="D426" s="11" t="str">
        <f t="shared" si="18"/>
        <v>3rd-4th place</v>
      </c>
      <c r="E426" s="777" t="s">
        <v>1375</v>
      </c>
      <c r="F426" s="11"/>
      <c r="G426" s="777" t="s">
        <v>491</v>
      </c>
      <c r="H426" s="777" t="s">
        <v>492</v>
      </c>
      <c r="I426" s="11"/>
    </row>
    <row r="427" spans="1:9">
      <c r="A427" s="11"/>
      <c r="B427" s="11"/>
      <c r="C427" s="11"/>
      <c r="D427" s="11" t="str">
        <f t="shared" si="18"/>
        <v>Finalist</v>
      </c>
      <c r="E427" s="777" t="s">
        <v>1375</v>
      </c>
      <c r="F427" s="11"/>
      <c r="G427" s="777" t="s">
        <v>64</v>
      </c>
      <c r="H427" s="777" t="s">
        <v>404</v>
      </c>
      <c r="I427" s="11"/>
    </row>
    <row r="428" spans="1:9">
      <c r="A428" s="11"/>
      <c r="B428" s="11"/>
      <c r="C428" s="11"/>
      <c r="D428" s="11" t="str">
        <f t="shared" si="18"/>
        <v>R1</v>
      </c>
      <c r="E428" s="777" t="s">
        <v>1375</v>
      </c>
      <c r="F428" s="11"/>
      <c r="G428" s="777" t="s">
        <v>26</v>
      </c>
      <c r="H428" s="777" t="s">
        <v>273</v>
      </c>
      <c r="I428" s="11"/>
    </row>
    <row r="429" spans="1:9">
      <c r="A429" s="11"/>
      <c r="B429" s="11"/>
      <c r="C429" s="11"/>
      <c r="D429" s="11" t="str">
        <f t="shared" si="18"/>
        <v>R2</v>
      </c>
      <c r="E429" s="777" t="s">
        <v>1375</v>
      </c>
      <c r="F429" s="11"/>
      <c r="G429" s="777" t="s">
        <v>27</v>
      </c>
      <c r="H429" s="777" t="s">
        <v>274</v>
      </c>
      <c r="I429" s="11"/>
    </row>
    <row r="430" spans="1:9">
      <c r="A430" s="11"/>
      <c r="B430" s="11"/>
      <c r="C430" s="11"/>
      <c r="D430" s="11" t="str">
        <f t="shared" si="18"/>
        <v>R3</v>
      </c>
      <c r="E430" s="777" t="s">
        <v>1375</v>
      </c>
      <c r="F430" s="11"/>
      <c r="G430" s="777" t="s">
        <v>28</v>
      </c>
      <c r="H430" s="777" t="s">
        <v>275</v>
      </c>
      <c r="I430" s="11"/>
    </row>
    <row r="431" spans="1:9">
      <c r="A431" s="11"/>
      <c r="B431" s="11"/>
      <c r="C431" s="11"/>
      <c r="D431" s="11" t="str">
        <f t="shared" si="18"/>
        <v>Scoring system</v>
      </c>
      <c r="E431" s="777" t="s">
        <v>1375</v>
      </c>
      <c r="F431" s="11"/>
      <c r="G431" s="777" t="s">
        <v>1936</v>
      </c>
      <c r="H431" s="777" t="s">
        <v>1937</v>
      </c>
      <c r="I431" s="11"/>
    </row>
    <row r="432" spans="1:9">
      <c r="A432" s="11"/>
      <c r="B432" s="11"/>
      <c r="C432" s="11"/>
      <c r="D432" s="11">
        <f t="shared" si="18"/>
        <v>0</v>
      </c>
      <c r="E432" s="777" t="s">
        <v>1375</v>
      </c>
      <c r="F432" s="11"/>
      <c r="G432" s="777"/>
      <c r="H432" s="777"/>
      <c r="I432" s="11"/>
    </row>
    <row r="433" spans="1:9">
      <c r="A433" s="11"/>
      <c r="B433" s="11"/>
      <c r="C433" s="11"/>
      <c r="D433" s="11" t="str">
        <f t="shared" si="18"/>
        <v>PREDICTOR - Winner</v>
      </c>
      <c r="E433" s="777" t="s">
        <v>1375</v>
      </c>
      <c r="F433" s="11"/>
      <c r="G433" s="777" t="s">
        <v>1530</v>
      </c>
      <c r="H433" s="777" t="s">
        <v>1531</v>
      </c>
      <c r="I433" s="11"/>
    </row>
    <row r="434" spans="1:9">
      <c r="A434" s="11"/>
      <c r="B434" s="11"/>
      <c r="C434" s="11"/>
      <c r="D434" s="11" t="str">
        <f t="shared" si="18"/>
        <v>PREDICTOR - Runner-up</v>
      </c>
      <c r="E434" s="777" t="s">
        <v>1375</v>
      </c>
      <c r="F434" s="11"/>
      <c r="G434" s="777" t="s">
        <v>1581</v>
      </c>
      <c r="H434" s="777" t="s">
        <v>1582</v>
      </c>
      <c r="I434" s="11"/>
    </row>
    <row r="435" spans="1:9">
      <c r="A435" s="11"/>
      <c r="B435" s="11"/>
      <c r="C435" s="11"/>
      <c r="D435" s="11" t="str">
        <f t="shared" ref="D435" si="19">IF($B$2,G435,H435)</f>
        <v>PREDICTOR- 3rd place</v>
      </c>
      <c r="E435" s="777" t="s">
        <v>1375</v>
      </c>
      <c r="F435" s="11"/>
      <c r="G435" s="777" t="s">
        <v>1579</v>
      </c>
      <c r="H435" s="777" t="s">
        <v>1580</v>
      </c>
      <c r="I435" s="11"/>
    </row>
    <row r="436" spans="1:9">
      <c r="A436" s="11"/>
      <c r="B436" s="11"/>
      <c r="C436" s="11"/>
      <c r="D436" s="11" t="str">
        <f t="shared" si="18"/>
        <v>PREDICTOR - Semifinals</v>
      </c>
      <c r="E436" s="777" t="s">
        <v>1375</v>
      </c>
      <c r="F436" s="11"/>
      <c r="G436" s="777" t="s">
        <v>1532</v>
      </c>
      <c r="H436" s="777" t="s">
        <v>1533</v>
      </c>
      <c r="I436" s="11"/>
    </row>
    <row r="437" spans="1:9">
      <c r="A437" s="11"/>
      <c r="B437" s="11"/>
      <c r="C437" s="11"/>
      <c r="D437" s="11" t="str">
        <f t="shared" si="18"/>
        <v>PREDICTOR - Quartefinals</v>
      </c>
      <c r="E437" s="777" t="s">
        <v>1375</v>
      </c>
      <c r="F437" s="11"/>
      <c r="G437" s="777" t="s">
        <v>1534</v>
      </c>
      <c r="H437" s="777" t="s">
        <v>1535</v>
      </c>
      <c r="I437" s="11"/>
    </row>
    <row r="438" spans="1:9">
      <c r="A438" s="11"/>
      <c r="B438" s="11"/>
      <c r="C438" s="11"/>
      <c r="D438" s="11" t="str">
        <f t="shared" si="18"/>
        <v>PREDICTOR - Round of 16</v>
      </c>
      <c r="E438" s="777" t="s">
        <v>1375</v>
      </c>
      <c r="F438" s="11"/>
      <c r="G438" s="777" t="s">
        <v>1536</v>
      </c>
      <c r="H438" s="777" t="s">
        <v>1537</v>
      </c>
      <c r="I438" s="11"/>
    </row>
    <row r="439" spans="1:9">
      <c r="A439" s="11"/>
      <c r="B439" s="11"/>
      <c r="C439" s="11"/>
      <c r="D439" s="11" t="str">
        <f t="shared" si="18"/>
        <v>PREDICTOR - Round of 32</v>
      </c>
      <c r="E439" s="777" t="s">
        <v>1375</v>
      </c>
      <c r="F439" s="11"/>
      <c r="G439" s="777" t="s">
        <v>1573</v>
      </c>
      <c r="H439" s="777" t="s">
        <v>1574</v>
      </c>
      <c r="I439" s="11"/>
    </row>
    <row r="440" spans="1:9">
      <c r="A440" s="11"/>
      <c r="B440" s="11"/>
      <c r="C440" s="11"/>
      <c r="D440" s="11" t="str">
        <f t="shared" si="18"/>
        <v>PREDICTOR - League Phase</v>
      </c>
      <c r="E440" s="777" t="s">
        <v>1375</v>
      </c>
      <c r="F440" s="11"/>
      <c r="G440" s="777" t="s">
        <v>1538</v>
      </c>
      <c r="H440" s="777" t="s">
        <v>1539</v>
      </c>
      <c r="I440" s="11"/>
    </row>
    <row r="441" spans="1:9">
      <c r="A441" s="11"/>
      <c r="B441" s="11"/>
      <c r="C441" s="11"/>
      <c r="D441" s="11" t="str">
        <f t="shared" si="18"/>
        <v>% Goal difference/distance desviation adjustment</v>
      </c>
      <c r="E441" s="777" t="s">
        <v>1375</v>
      </c>
      <c r="F441" s="11"/>
      <c r="G441" s="777" t="s">
        <v>1739</v>
      </c>
      <c r="H441" s="777" t="s">
        <v>1776</v>
      </c>
      <c r="I441" s="11"/>
    </row>
    <row r="442" spans="1:9">
      <c r="A442" s="11"/>
      <c r="B442" s="11"/>
      <c r="C442" s="11"/>
      <c r="D442" s="11" t="str">
        <f t="shared" si="18"/>
        <v>None</v>
      </c>
      <c r="E442" s="777" t="s">
        <v>1449</v>
      </c>
      <c r="F442" s="11"/>
      <c r="G442" s="777" t="s">
        <v>1927</v>
      </c>
      <c r="H442" s="11" t="s">
        <v>1927</v>
      </c>
      <c r="I442" s="11"/>
    </row>
    <row r="443" spans="1:9">
      <c r="A443" s="11"/>
      <c r="B443" s="11"/>
      <c r="C443" s="11"/>
      <c r="D443" s="11" t="str">
        <f t="shared" si="18"/>
        <v>**What it is and how it works?</v>
      </c>
      <c r="E443" s="777" t="s">
        <v>1375</v>
      </c>
      <c r="F443" s="11"/>
      <c r="G443" s="777" t="s">
        <v>1826</v>
      </c>
      <c r="H443" s="777" t="s">
        <v>1827</v>
      </c>
      <c r="I443" s="11"/>
    </row>
    <row r="444" spans="1:9">
      <c r="A444" s="11"/>
      <c r="B444" s="11"/>
      <c r="C444" s="11"/>
      <c r="D444" s="11" t="str">
        <f t="shared" si="18"/>
        <v>https://matejero.com/scoring-system-excel-world-cup-2026/#What_is_the_goal_differencedistance_deviation_adjustment_and_how_does_it_work</v>
      </c>
      <c r="E444" s="777" t="s">
        <v>1375</v>
      </c>
      <c r="F444" s="11"/>
      <c r="G444" s="779" t="s">
        <v>1825</v>
      </c>
      <c r="H444" s="779" t="s">
        <v>1929</v>
      </c>
      <c r="I444" s="11"/>
    </row>
    <row r="445" spans="1:9">
      <c r="A445" s="11"/>
      <c r="B445" s="11"/>
      <c r="C445" s="11"/>
      <c r="D445" s="11" t="str">
        <f t="shared" si="18"/>
        <v>?</v>
      </c>
      <c r="E445" s="777" t="s">
        <v>1375</v>
      </c>
      <c r="F445" s="11"/>
      <c r="G445" s="777" t="s">
        <v>1831</v>
      </c>
      <c r="H445" s="777" t="s">
        <v>1831</v>
      </c>
      <c r="I445" s="11"/>
    </row>
    <row r="446" spans="1:9">
      <c r="A446" s="11"/>
      <c r="B446" s="11"/>
      <c r="C446" s="11"/>
      <c r="D446" s="11" t="str">
        <f t="shared" si="18"/>
        <v>https://matejero.com/scoring-system-excel-world-cup-2026/#What_is_a_BONUS</v>
      </c>
      <c r="E446" s="777" t="s">
        <v>1375</v>
      </c>
      <c r="F446" s="11"/>
      <c r="G446" s="779" t="s">
        <v>1832</v>
      </c>
      <c r="H446" s="779" t="s">
        <v>1928</v>
      </c>
      <c r="I446" s="11"/>
    </row>
    <row r="447" spans="1:9">
      <c r="A447" s="11"/>
      <c r="B447" s="11"/>
      <c r="C447" s="11"/>
      <c r="D447" s="11"/>
      <c r="E447" s="777"/>
      <c r="F447" s="11"/>
      <c r="G447" s="778"/>
      <c r="H447" s="778"/>
      <c r="I447" s="11"/>
    </row>
    <row r="448" spans="1:9">
      <c r="A448" s="11"/>
      <c r="B448" s="11"/>
      <c r="C448" s="11"/>
      <c r="D448" s="11"/>
      <c r="E448" s="777"/>
      <c r="F448" s="11"/>
      <c r="G448" s="778"/>
      <c r="H448" s="778"/>
      <c r="I448" s="11"/>
    </row>
    <row r="449" spans="1:9">
      <c r="A449" s="11"/>
      <c r="B449" s="11"/>
      <c r="C449" s="11"/>
      <c r="D449" s="11"/>
      <c r="E449" s="11"/>
      <c r="F449" s="11"/>
      <c r="G449" s="11"/>
      <c r="H449" s="11"/>
      <c r="I449" s="11"/>
    </row>
    <row r="450" spans="1:9">
      <c r="A450" s="11"/>
      <c r="B450" s="11"/>
      <c r="C450" s="11"/>
      <c r="D450" s="11"/>
      <c r="E450" s="11"/>
      <c r="F450" s="11"/>
      <c r="G450" s="11"/>
      <c r="H450" s="11"/>
      <c r="I450" s="11"/>
    </row>
    <row r="451" spans="1:9">
      <c r="A451" s="11"/>
      <c r="B451" s="11"/>
      <c r="C451" s="11"/>
      <c r="D451" s="11" t="str">
        <f t="shared" ref="D451:D470" si="20">IF($B$2,G451,H451)</f>
        <v>STANDINGS WORLD CUP 2026</v>
      </c>
      <c r="E451" s="11" t="s">
        <v>1589</v>
      </c>
      <c r="F451" s="11" t="s">
        <v>1590</v>
      </c>
      <c r="G451" s="780" t="s">
        <v>1610</v>
      </c>
      <c r="H451" s="780" t="s">
        <v>1611</v>
      </c>
      <c r="I451" s="11"/>
    </row>
    <row r="452" spans="1:9">
      <c r="A452" s="11"/>
      <c r="B452" s="11"/>
      <c r="C452" s="11"/>
      <c r="D452" s="11" t="str">
        <f t="shared" si="20"/>
        <v>Pos</v>
      </c>
      <c r="E452" s="11" t="s">
        <v>1589</v>
      </c>
      <c r="F452" s="11" t="s">
        <v>125</v>
      </c>
      <c r="G452" s="780" t="s">
        <v>14</v>
      </c>
      <c r="H452" s="780" t="s">
        <v>14</v>
      </c>
      <c r="I452" s="11"/>
    </row>
    <row r="453" spans="1:9">
      <c r="A453" s="11"/>
      <c r="B453" s="11"/>
      <c r="C453" s="11"/>
      <c r="D453" s="11" t="str">
        <f t="shared" si="20"/>
        <v>Player</v>
      </c>
      <c r="E453" s="11" t="s">
        <v>1589</v>
      </c>
      <c r="F453" s="11" t="s">
        <v>126</v>
      </c>
      <c r="G453" s="780" t="s">
        <v>1591</v>
      </c>
      <c r="H453" s="780" t="s">
        <v>1592</v>
      </c>
      <c r="I453" s="11"/>
    </row>
    <row r="454" spans="1:9">
      <c r="A454" s="11"/>
      <c r="B454" s="11"/>
      <c r="C454" s="11"/>
      <c r="D454" s="11" t="str">
        <f t="shared" si="20"/>
        <v>Total points</v>
      </c>
      <c r="E454" s="11" t="s">
        <v>1589</v>
      </c>
      <c r="F454" s="11" t="s">
        <v>127</v>
      </c>
      <c r="G454" s="780" t="s">
        <v>1593</v>
      </c>
      <c r="H454" s="780" t="s">
        <v>1594</v>
      </c>
      <c r="I454" s="11"/>
    </row>
    <row r="455" spans="1:9">
      <c r="A455" s="11"/>
      <c r="B455" s="11"/>
      <c r="C455" s="11"/>
      <c r="D455" s="11" t="str">
        <f t="shared" si="20"/>
        <v xml:space="preserve">Group stage </v>
      </c>
      <c r="E455" s="11" t="s">
        <v>1589</v>
      </c>
      <c r="F455" s="11" t="s">
        <v>128</v>
      </c>
      <c r="G455" s="780" t="s">
        <v>1595</v>
      </c>
      <c r="H455" s="780" t="s">
        <v>1627</v>
      </c>
      <c r="I455" s="11"/>
    </row>
    <row r="456" spans="1:9">
      <c r="A456" s="11"/>
      <c r="B456" s="11"/>
      <c r="C456" s="11"/>
      <c r="D456" s="11" t="str">
        <f t="shared" si="20"/>
        <v>Group pos.</v>
      </c>
      <c r="E456" s="11" t="s">
        <v>1589</v>
      </c>
      <c r="F456" s="11" t="s">
        <v>129</v>
      </c>
      <c r="G456" s="780" t="s">
        <v>1596</v>
      </c>
      <c r="H456" s="780" t="s">
        <v>1628</v>
      </c>
      <c r="I456" s="11"/>
    </row>
    <row r="457" spans="1:9">
      <c r="A457" s="11"/>
      <c r="B457" s="11"/>
      <c r="C457" s="11"/>
      <c r="D457" s="11" t="str">
        <f t="shared" ref="D457:D458" si="21">IF($B$2,G457,H457)</f>
        <v>R32 Teams</v>
      </c>
      <c r="E457" s="11" t="s">
        <v>1589</v>
      </c>
      <c r="F457" s="11" t="s">
        <v>180</v>
      </c>
      <c r="G457" s="780" t="s">
        <v>1612</v>
      </c>
      <c r="H457" s="780" t="s">
        <v>1617</v>
      </c>
      <c r="I457" s="11"/>
    </row>
    <row r="458" spans="1:9">
      <c r="A458" s="11"/>
      <c r="B458" s="11"/>
      <c r="C458" s="11"/>
      <c r="D458" s="11" t="str">
        <f t="shared" si="21"/>
        <v>R32 Match-ups</v>
      </c>
      <c r="E458" s="11" t="s">
        <v>1589</v>
      </c>
      <c r="F458" s="11" t="s">
        <v>181</v>
      </c>
      <c r="G458" s="780" t="s">
        <v>1613</v>
      </c>
      <c r="H458" s="780" t="s">
        <v>1614</v>
      </c>
      <c r="I458" s="11"/>
    </row>
    <row r="459" spans="1:9">
      <c r="A459" s="11"/>
      <c r="B459" s="11"/>
      <c r="C459" s="11"/>
      <c r="D459" s="11" t="str">
        <f t="shared" si="20"/>
        <v>R16 Teams</v>
      </c>
      <c r="E459" s="11" t="s">
        <v>1589</v>
      </c>
      <c r="F459" s="11" t="s">
        <v>180</v>
      </c>
      <c r="G459" s="780" t="s">
        <v>1597</v>
      </c>
      <c r="H459" s="780" t="s">
        <v>1618</v>
      </c>
      <c r="I459" s="11"/>
    </row>
    <row r="460" spans="1:9">
      <c r="A460" s="11"/>
      <c r="B460" s="11"/>
      <c r="C460" s="11"/>
      <c r="D460" s="11" t="str">
        <f t="shared" si="20"/>
        <v>R16 Match-ups</v>
      </c>
      <c r="E460" s="11" t="s">
        <v>1589</v>
      </c>
      <c r="F460" s="11" t="s">
        <v>181</v>
      </c>
      <c r="G460" s="780" t="s">
        <v>1598</v>
      </c>
      <c r="H460" s="780" t="s">
        <v>1599</v>
      </c>
      <c r="I460" s="11"/>
    </row>
    <row r="461" spans="1:9">
      <c r="A461" s="11"/>
      <c r="B461" s="11"/>
      <c r="C461" s="11"/>
      <c r="D461" s="11" t="str">
        <f t="shared" si="20"/>
        <v>QF Teams</v>
      </c>
      <c r="E461" s="11" t="s">
        <v>1589</v>
      </c>
      <c r="F461" s="11" t="s">
        <v>182</v>
      </c>
      <c r="G461" s="780" t="s">
        <v>1600</v>
      </c>
      <c r="H461" s="780" t="s">
        <v>1619</v>
      </c>
      <c r="I461" s="11"/>
    </row>
    <row r="462" spans="1:9">
      <c r="A462" s="11"/>
      <c r="B462" s="11"/>
      <c r="C462" s="11"/>
      <c r="D462" s="11" t="str">
        <f t="shared" si="20"/>
        <v>QF Match-ups</v>
      </c>
      <c r="E462" s="11" t="s">
        <v>1589</v>
      </c>
      <c r="F462" s="11" t="s">
        <v>28</v>
      </c>
      <c r="G462" s="780" t="s">
        <v>1601</v>
      </c>
      <c r="H462" s="780" t="s">
        <v>1602</v>
      </c>
      <c r="I462" s="11"/>
    </row>
    <row r="463" spans="1:9">
      <c r="A463" s="11"/>
      <c r="B463" s="11"/>
      <c r="C463" s="11"/>
      <c r="D463" s="11" t="str">
        <f t="shared" si="20"/>
        <v>SF Teams</v>
      </c>
      <c r="E463" s="11" t="s">
        <v>1589</v>
      </c>
      <c r="F463" s="11" t="s">
        <v>188</v>
      </c>
      <c r="G463" s="780" t="s">
        <v>1603</v>
      </c>
      <c r="H463" s="780" t="s">
        <v>1620</v>
      </c>
      <c r="I463" s="11"/>
    </row>
    <row r="464" spans="1:9">
      <c r="A464" s="11"/>
      <c r="B464" s="11"/>
      <c r="C464" s="11"/>
      <c r="D464" s="11" t="str">
        <f t="shared" si="20"/>
        <v>SF Match-ups</v>
      </c>
      <c r="E464" s="11" t="s">
        <v>1589</v>
      </c>
      <c r="F464" s="11" t="s">
        <v>1198</v>
      </c>
      <c r="G464" s="780" t="s">
        <v>1604</v>
      </c>
      <c r="H464" s="780" t="s">
        <v>1605</v>
      </c>
      <c r="I464" s="11"/>
    </row>
    <row r="465" spans="1:9">
      <c r="A465" s="11"/>
      <c r="B465" s="11"/>
      <c r="C465" s="11"/>
      <c r="D465" s="11" t="str">
        <f t="shared" si="20"/>
        <v>3-4 Teams</v>
      </c>
      <c r="E465" s="11" t="s">
        <v>1589</v>
      </c>
      <c r="F465" s="11"/>
      <c r="G465" s="780" t="s">
        <v>1615</v>
      </c>
      <c r="H465" s="780" t="s">
        <v>1616</v>
      </c>
      <c r="I465" s="11"/>
    </row>
    <row r="466" spans="1:9">
      <c r="A466" s="11"/>
      <c r="B466" s="11"/>
      <c r="C466" s="11"/>
      <c r="D466" s="11" t="str">
        <f t="shared" si="20"/>
        <v>Final Teams</v>
      </c>
      <c r="E466" s="11" t="s">
        <v>1589</v>
      </c>
      <c r="F466" s="11" t="s">
        <v>1606</v>
      </c>
      <c r="G466" s="780" t="s">
        <v>1607</v>
      </c>
      <c r="H466" s="780" t="s">
        <v>1621</v>
      </c>
      <c r="I466" s="11"/>
    </row>
    <row r="467" spans="1:9">
      <c r="A467" s="11"/>
      <c r="B467" s="11"/>
      <c r="C467" s="11"/>
      <c r="D467" s="11" t="str">
        <f t="shared" ref="D467" si="22">IF($B$2,G467,H467)</f>
        <v>3-4 Match-up</v>
      </c>
      <c r="E467" s="11" t="s">
        <v>1589</v>
      </c>
      <c r="F467" s="11"/>
      <c r="G467" s="780" t="s">
        <v>1622</v>
      </c>
      <c r="H467" s="780" t="s">
        <v>1623</v>
      </c>
      <c r="I467" s="11"/>
    </row>
    <row r="468" spans="1:9">
      <c r="A468" s="11"/>
      <c r="B468" s="11"/>
      <c r="C468" s="11"/>
      <c r="D468" s="11" t="str">
        <f t="shared" si="20"/>
        <v>Final Match-up</v>
      </c>
      <c r="E468" s="11" t="s">
        <v>1589</v>
      </c>
      <c r="F468" s="11" t="s">
        <v>190</v>
      </c>
      <c r="G468" s="780" t="s">
        <v>1467</v>
      </c>
      <c r="H468" s="780" t="s">
        <v>1608</v>
      </c>
      <c r="I468" s="11"/>
    </row>
    <row r="469" spans="1:9">
      <c r="A469" s="11"/>
      <c r="B469" s="11"/>
      <c r="C469" s="11"/>
      <c r="D469" s="11" t="str">
        <f t="shared" ref="D469" si="23">IF($B$2,G469,H469)</f>
        <v xml:space="preserve">Honor Box </v>
      </c>
      <c r="E469" s="11" t="s">
        <v>1589</v>
      </c>
      <c r="F469" s="11" t="s">
        <v>1609</v>
      </c>
      <c r="G469" s="780" t="s">
        <v>1624</v>
      </c>
      <c r="H469" s="780" t="s">
        <v>1626</v>
      </c>
      <c r="I469" s="11"/>
    </row>
    <row r="470" spans="1:9">
      <c r="A470" s="11"/>
      <c r="B470" s="11"/>
      <c r="C470" s="11"/>
      <c r="D470" s="11" t="str">
        <f t="shared" si="20"/>
        <v xml:space="preserve">Predictor </v>
      </c>
      <c r="E470" s="11" t="s">
        <v>1589</v>
      </c>
      <c r="F470" s="11" t="s">
        <v>1609</v>
      </c>
      <c r="G470" s="780" t="s">
        <v>1625</v>
      </c>
      <c r="H470" s="780" t="s">
        <v>1625</v>
      </c>
      <c r="I470" s="11"/>
    </row>
    <row r="471" spans="1:9">
      <c r="A471" s="11"/>
      <c r="B471" s="11"/>
      <c r="C471" s="11"/>
      <c r="D471" s="11"/>
      <c r="E471" s="11"/>
      <c r="F471" s="11"/>
      <c r="G471" s="11"/>
      <c r="H471" s="11"/>
      <c r="I471" s="11"/>
    </row>
    <row r="472" spans="1:9">
      <c r="A472" s="11"/>
      <c r="B472" s="11"/>
      <c r="C472" s="11"/>
      <c r="D472" s="11"/>
      <c r="E472" s="11"/>
      <c r="F472" s="11"/>
      <c r="G472" s="11"/>
      <c r="H472" s="11"/>
      <c r="I472" s="11"/>
    </row>
    <row r="473" spans="1:9">
      <c r="A473" s="11"/>
      <c r="B473" s="11"/>
      <c r="C473" s="11"/>
      <c r="D473" s="11"/>
      <c r="E473" s="11"/>
      <c r="F473" s="11"/>
      <c r="G473" s="11"/>
      <c r="H473" s="11"/>
      <c r="I473" s="11"/>
    </row>
    <row r="474" spans="1:9">
      <c r="A474" s="11"/>
      <c r="B474" s="11"/>
      <c r="C474" s="11"/>
      <c r="D474" s="11" t="str">
        <f t="shared" ref="D474:D475" si="24">IF($B$2,G474,H474)</f>
        <v>Select day:</v>
      </c>
      <c r="E474" s="11" t="s">
        <v>1650</v>
      </c>
      <c r="F474" s="11" t="s">
        <v>115</v>
      </c>
      <c r="G474" s="11" t="s">
        <v>1651</v>
      </c>
      <c r="H474" s="11" t="s">
        <v>1652</v>
      </c>
      <c r="I474" s="11"/>
    </row>
    <row r="475" spans="1:9">
      <c r="A475" s="11"/>
      <c r="B475" s="11"/>
      <c r="C475" s="11"/>
      <c r="D475" s="11" t="str">
        <f t="shared" si="24"/>
        <v>Name</v>
      </c>
      <c r="E475" s="11" t="s">
        <v>1650</v>
      </c>
      <c r="F475" s="11" t="s">
        <v>126</v>
      </c>
      <c r="G475" s="11" t="s">
        <v>42</v>
      </c>
      <c r="H475" s="11" t="s">
        <v>268</v>
      </c>
      <c r="I475" s="11"/>
    </row>
    <row r="476" spans="1:9">
      <c r="A476" s="11"/>
      <c r="B476" s="11"/>
      <c r="C476" s="11"/>
      <c r="D476" s="11"/>
      <c r="E476" s="11"/>
      <c r="F476" s="11"/>
      <c r="G476" s="11"/>
      <c r="H476" s="11"/>
      <c r="I476" s="11"/>
    </row>
    <row r="477" spans="1:9">
      <c r="A477" s="11"/>
      <c r="B477" s="11"/>
      <c r="C477" s="11"/>
      <c r="D477" s="11"/>
      <c r="E477" s="11"/>
      <c r="F477" s="11"/>
      <c r="G477" s="11"/>
      <c r="H477" s="11"/>
      <c r="I477" s="11"/>
    </row>
    <row r="478" spans="1:9">
      <c r="A478" s="11"/>
      <c r="B478" s="11"/>
      <c r="C478" s="11"/>
      <c r="D478" s="11" t="str">
        <f t="shared" ref="D478:D481" si="25">IF($B$2,G478,H478)</f>
        <v>Select day:</v>
      </c>
      <c r="E478" s="11" t="s">
        <v>1653</v>
      </c>
      <c r="F478" s="11" t="s">
        <v>512</v>
      </c>
      <c r="G478" s="11" t="s">
        <v>1651</v>
      </c>
      <c r="H478" s="11" t="s">
        <v>1652</v>
      </c>
      <c r="I478" s="11"/>
    </row>
    <row r="479" spans="1:9">
      <c r="A479" s="11"/>
      <c r="B479" s="11"/>
      <c r="C479" s="11"/>
      <c r="D479" s="11" t="str">
        <f t="shared" si="25"/>
        <v>Pos</v>
      </c>
      <c r="E479" s="11" t="s">
        <v>1653</v>
      </c>
      <c r="F479" s="11" t="s">
        <v>128</v>
      </c>
      <c r="G479" s="11" t="s">
        <v>14</v>
      </c>
      <c r="H479" s="11" t="s">
        <v>14</v>
      </c>
      <c r="I479" s="11"/>
    </row>
    <row r="480" spans="1:9">
      <c r="A480" s="11"/>
      <c r="B480" s="11"/>
      <c r="C480" s="11"/>
      <c r="D480" s="11" t="str">
        <f t="shared" si="25"/>
        <v>Name</v>
      </c>
      <c r="E480" s="11" t="s">
        <v>1653</v>
      </c>
      <c r="F480" s="11" t="s">
        <v>129</v>
      </c>
      <c r="G480" s="11" t="s">
        <v>42</v>
      </c>
      <c r="H480" s="11" t="s">
        <v>268</v>
      </c>
      <c r="I480" s="11"/>
    </row>
    <row r="481" spans="1:9">
      <c r="A481" s="11"/>
      <c r="B481" s="11"/>
      <c r="C481" s="11"/>
      <c r="D481" s="11" t="str">
        <f t="shared" si="25"/>
        <v>Points Day / Round</v>
      </c>
      <c r="E481" s="11" t="s">
        <v>1653</v>
      </c>
      <c r="F481" s="11" t="s">
        <v>180</v>
      </c>
      <c r="G481" s="11" t="s">
        <v>1654</v>
      </c>
      <c r="H481" s="11" t="s">
        <v>1655</v>
      </c>
      <c r="I481" s="11"/>
    </row>
    <row r="482" spans="1:9">
      <c r="A482" s="11"/>
      <c r="B482" s="11"/>
      <c r="C482" s="11"/>
      <c r="D482" s="11"/>
      <c r="E482" s="11"/>
      <c r="F482" s="11"/>
      <c r="G482" s="11"/>
      <c r="H482" s="11"/>
      <c r="I482" s="11"/>
    </row>
    <row r="483" spans="1:9">
      <c r="A483" s="11"/>
      <c r="B483" s="11"/>
      <c r="C483" s="11"/>
      <c r="D483" s="11"/>
      <c r="E483" s="11"/>
      <c r="F483" s="11"/>
      <c r="G483" s="11"/>
      <c r="H483" s="11"/>
      <c r="I483" s="11"/>
    </row>
    <row r="484" spans="1:9">
      <c r="A484" s="11"/>
      <c r="B484" s="11"/>
      <c r="C484" s="11"/>
      <c r="D484" s="11" t="str">
        <f>IF($B$2,G484,H484)</f>
        <v xml:space="preserve">Points at stake </v>
      </c>
      <c r="E484" s="11" t="s">
        <v>1656</v>
      </c>
      <c r="F484" s="11"/>
      <c r="G484" s="11" t="s">
        <v>1657</v>
      </c>
      <c r="H484" s="8" t="s">
        <v>1658</v>
      </c>
      <c r="I484" s="11"/>
    </row>
    <row r="485" spans="1:9">
      <c r="A485" s="11"/>
      <c r="B485" s="11"/>
      <c r="C485" s="11"/>
      <c r="D485" s="11" t="str">
        <f t="shared" ref="D485:D515" si="26">IF($B$2,G485,H485)</f>
        <v xml:space="preserve">Maximum points until </v>
      </c>
      <c r="E485" s="11" t="s">
        <v>1656</v>
      </c>
      <c r="F485" s="11"/>
      <c r="G485" s="11" t="s">
        <v>1659</v>
      </c>
      <c r="H485" s="8" t="s">
        <v>1660</v>
      </c>
      <c r="I485" s="11"/>
    </row>
    <row r="486" spans="1:9">
      <c r="A486" s="11"/>
      <c r="B486" s="11"/>
      <c r="C486" s="11"/>
      <c r="D486" s="11" t="str">
        <f t="shared" si="26"/>
        <v xml:space="preserve">Maximum points including </v>
      </c>
      <c r="E486" s="11" t="s">
        <v>1656</v>
      </c>
      <c r="F486" s="11"/>
      <c r="G486" s="11" t="s">
        <v>1661</v>
      </c>
      <c r="H486" s="8" t="s">
        <v>1662</v>
      </c>
      <c r="I486" s="11"/>
    </row>
    <row r="487" spans="1:9">
      <c r="A487" s="11"/>
      <c r="B487" s="11"/>
      <c r="C487" s="11"/>
      <c r="D487" s="11" t="str">
        <f t="shared" si="26"/>
        <v xml:space="preserve">Points left to be distributed: </v>
      </c>
      <c r="E487" s="11" t="s">
        <v>1656</v>
      </c>
      <c r="F487" s="11"/>
      <c r="G487" s="11" t="s">
        <v>1663</v>
      </c>
      <c r="H487" s="8" t="s">
        <v>1664</v>
      </c>
      <c r="I487" s="11"/>
    </row>
    <row r="488" spans="1:9">
      <c r="A488" s="11"/>
      <c r="B488" s="11"/>
      <c r="C488" s="11"/>
      <c r="D488" s="11" t="str">
        <f t="shared" si="26"/>
        <v>Total maximum points to be distributed today (Global):</v>
      </c>
      <c r="E488" s="11" t="s">
        <v>1656</v>
      </c>
      <c r="F488" s="11"/>
      <c r="G488" s="11" t="s">
        <v>1665</v>
      </c>
      <c r="H488" s="8" t="s">
        <v>1666</v>
      </c>
      <c r="I488" s="11"/>
    </row>
    <row r="489" spans="1:9">
      <c r="A489" s="11"/>
      <c r="B489" s="11"/>
      <c r="C489" s="11"/>
      <c r="D489" s="11" t="str">
        <f t="shared" si="26"/>
        <v xml:space="preserve">Points distributed today (Global): </v>
      </c>
      <c r="E489" s="11" t="s">
        <v>1656</v>
      </c>
      <c r="F489" s="11"/>
      <c r="G489" s="11" t="s">
        <v>1667</v>
      </c>
      <c r="H489" s="8" t="s">
        <v>1668</v>
      </c>
      <c r="I489" s="11"/>
    </row>
    <row r="490" spans="1:9">
      <c r="A490" s="11"/>
      <c r="B490" s="11"/>
      <c r="C490" s="11"/>
      <c r="D490" s="11" t="str">
        <f t="shared" si="26"/>
        <v xml:space="preserve">How many have scored the maximum points </v>
      </c>
      <c r="E490" s="11" t="s">
        <v>1656</v>
      </c>
      <c r="F490" s="11"/>
      <c r="G490" s="11" t="s">
        <v>1669</v>
      </c>
      <c r="H490" s="8" t="s">
        <v>1670</v>
      </c>
      <c r="I490" s="11"/>
    </row>
    <row r="491" spans="1:9">
      <c r="A491" s="11"/>
      <c r="B491" s="11"/>
      <c r="C491" s="11"/>
      <c r="D491" s="11" t="str">
        <f>IF($B$2,G491,H491)</f>
        <v xml:space="preserve">How many have scored any points </v>
      </c>
      <c r="E491" s="11" t="s">
        <v>1656</v>
      </c>
      <c r="F491" s="11"/>
      <c r="G491" s="11" t="s">
        <v>1671</v>
      </c>
      <c r="H491" s="8" t="s">
        <v>1672</v>
      </c>
      <c r="I491" s="11"/>
    </row>
    <row r="492" spans="1:9">
      <c r="A492" s="11"/>
      <c r="B492" s="11"/>
      <c r="C492" s="11"/>
      <c r="D492" s="11" t="str">
        <f t="shared" si="26"/>
        <v xml:space="preserve">How many have not scored anything </v>
      </c>
      <c r="E492" s="11" t="s">
        <v>1656</v>
      </c>
      <c r="F492" s="11"/>
      <c r="G492" s="11" t="s">
        <v>1673</v>
      </c>
      <c r="H492" s="8" t="s">
        <v>1674</v>
      </c>
      <c r="I492" s="11"/>
    </row>
    <row r="493" spans="1:9">
      <c r="A493" s="11"/>
      <c r="B493" s="11"/>
      <c r="C493" s="11"/>
      <c r="D493" s="11" t="str">
        <f t="shared" si="26"/>
        <v xml:space="preserve">Average points scored </v>
      </c>
      <c r="E493" s="11" t="s">
        <v>1656</v>
      </c>
      <c r="F493" s="11"/>
      <c r="G493" s="11" t="s">
        <v>1675</v>
      </c>
      <c r="H493" s="8" t="s">
        <v>1676</v>
      </c>
      <c r="I493" s="11"/>
    </row>
    <row r="494" spans="1:9">
      <c r="A494" s="11"/>
      <c r="B494" s="11"/>
      <c r="C494" s="11"/>
      <c r="D494" s="11" t="str">
        <f t="shared" si="26"/>
        <v>For the statistics to work properly, you need to have one of the latest versions of Excel (2021 onwards). Otherwise, some of the functions may return an error. However, this sheet is not necessary for the correct functioning of the other parts of the file.</v>
      </c>
      <c r="E494" s="11" t="s">
        <v>1656</v>
      </c>
      <c r="F494" s="11"/>
      <c r="G494" s="11" t="s">
        <v>1677</v>
      </c>
      <c r="H494" s="8" t="s">
        <v>1678</v>
      </c>
      <c r="I494" s="11"/>
    </row>
    <row r="495" spans="1:9">
      <c r="A495" s="11"/>
      <c r="B495" s="11"/>
      <c r="C495" s="11"/>
      <c r="D495" s="11" t="str">
        <f t="shared" si="26"/>
        <v>In order for the statistics to work properly, in the ADMIN sheet select the exact number of participants, otherwise some statistics may be incorrect.</v>
      </c>
      <c r="E495" s="11" t="s">
        <v>1656</v>
      </c>
      <c r="F495" s="11"/>
      <c r="G495" s="11" t="s">
        <v>1932</v>
      </c>
      <c r="H495" s="8" t="s">
        <v>1679</v>
      </c>
      <c r="I495" s="11"/>
    </row>
    <row r="496" spans="1:9">
      <c r="A496" s="11"/>
      <c r="B496" s="11"/>
      <c r="C496" s="11"/>
      <c r="D496" s="11" t="str">
        <f t="shared" si="26"/>
        <v>Day selected in "Daily Prediction"</v>
      </c>
      <c r="E496" s="11" t="s">
        <v>1656</v>
      </c>
      <c r="F496" s="11"/>
      <c r="G496" s="11" t="s">
        <v>1680</v>
      </c>
      <c r="H496" s="8" t="s">
        <v>1681</v>
      </c>
      <c r="I496" s="11"/>
    </row>
    <row r="497" spans="1:9">
      <c r="A497" s="11"/>
      <c r="B497" s="11"/>
      <c r="C497" s="11"/>
      <c r="D497" s="11" t="str">
        <f t="shared" si="26"/>
        <v>Points</v>
      </c>
      <c r="E497" s="11" t="s">
        <v>1656</v>
      </c>
      <c r="F497" s="11"/>
      <c r="G497" s="11" t="s">
        <v>1381</v>
      </c>
      <c r="H497" s="8" t="s">
        <v>1382</v>
      </c>
      <c r="I497" s="11"/>
    </row>
    <row r="498" spans="1:9">
      <c r="A498" s="11"/>
      <c r="B498" s="11"/>
      <c r="C498" s="11"/>
      <c r="D498" s="11" t="str">
        <f t="shared" si="26"/>
        <v>Top picks</v>
      </c>
      <c r="E498" s="11" t="s">
        <v>1656</v>
      </c>
      <c r="F498" s="11"/>
      <c r="G498" s="11" t="s">
        <v>1682</v>
      </c>
      <c r="H498" s="8" t="s">
        <v>1683</v>
      </c>
      <c r="I498" s="11"/>
    </row>
    <row r="499" spans="1:9">
      <c r="A499" s="11"/>
      <c r="B499" s="11"/>
      <c r="C499" s="11"/>
      <c r="D499" s="11" t="str">
        <f t="shared" si="26"/>
        <v>Result</v>
      </c>
      <c r="E499" s="11" t="s">
        <v>1656</v>
      </c>
      <c r="F499" s="11"/>
      <c r="G499" s="11" t="s">
        <v>1684</v>
      </c>
      <c r="H499" s="8" t="s">
        <v>1685</v>
      </c>
      <c r="I499" s="11"/>
    </row>
    <row r="500" spans="1:9">
      <c r="A500" s="11"/>
      <c r="B500" s="11"/>
      <c r="C500" s="11"/>
      <c r="D500" s="11" t="str">
        <f t="shared" si="26"/>
        <v>Count</v>
      </c>
      <c r="E500" s="11" t="s">
        <v>1656</v>
      </c>
      <c r="F500" s="11"/>
      <c r="G500" s="11" t="s">
        <v>1686</v>
      </c>
      <c r="H500" s="8" t="s">
        <v>1687</v>
      </c>
      <c r="I500" s="11"/>
    </row>
    <row r="501" spans="1:9">
      <c r="A501" s="11"/>
      <c r="B501" s="11"/>
      <c r="C501" s="11"/>
      <c r="D501" s="11" t="str">
        <f t="shared" si="26"/>
        <v>Select a match from today:↗</v>
      </c>
      <c r="E501" s="11" t="s">
        <v>1656</v>
      </c>
      <c r="F501" s="11"/>
      <c r="G501" s="11" t="s">
        <v>1923</v>
      </c>
      <c r="H501" s="8" t="s">
        <v>1924</v>
      </c>
      <c r="I501" s="11"/>
    </row>
    <row r="502" spans="1:9">
      <c r="A502" s="11"/>
      <c r="B502" s="11"/>
      <c r="C502" s="11"/>
      <c r="D502" s="11" t="str">
        <f t="shared" si="26"/>
        <v>(Unpredicted results do not count).*</v>
      </c>
      <c r="E502" s="11" t="s">
        <v>1656</v>
      </c>
      <c r="F502" s="11"/>
      <c r="G502" s="11" t="s">
        <v>1688</v>
      </c>
      <c r="H502" s="8" t="s">
        <v>1689</v>
      </c>
      <c r="I502" s="11"/>
    </row>
    <row r="503" spans="1:9">
      <c r="A503" s="11"/>
      <c r="B503" s="11"/>
      <c r="C503" s="11"/>
      <c r="D503" s="11" t="str">
        <f t="shared" si="26"/>
        <v>*If any of the participants have not predicted this result, it will not be counted in the table or the graph.</v>
      </c>
      <c r="E503" s="11" t="s">
        <v>1656</v>
      </c>
      <c r="F503" s="11"/>
      <c r="G503" s="11" t="s">
        <v>1690</v>
      </c>
      <c r="H503" s="8" t="s">
        <v>1691</v>
      </c>
      <c r="I503" s="11"/>
    </row>
    <row r="504" spans="1:9">
      <c r="A504" s="11"/>
      <c r="B504" s="11"/>
      <c r="C504" s="11"/>
      <c r="D504" s="11" t="str">
        <f t="shared" si="26"/>
        <v>This chart below only appears for matches in the group stage.</v>
      </c>
      <c r="E504" s="11" t="s">
        <v>1656</v>
      </c>
      <c r="F504" s="11"/>
      <c r="G504" s="11" t="s">
        <v>1692</v>
      </c>
      <c r="H504" s="11" t="s">
        <v>1693</v>
      </c>
      <c r="I504" s="11"/>
    </row>
    <row r="505" spans="1:9">
      <c r="A505" s="11"/>
      <c r="B505" s="11"/>
      <c r="C505" s="11"/>
      <c r="D505" s="11" t="str">
        <f t="shared" si="26"/>
        <v>There are</v>
      </c>
      <c r="E505" s="11" t="s">
        <v>1656</v>
      </c>
      <c r="F505" s="11"/>
      <c r="G505" s="8" t="s">
        <v>1694</v>
      </c>
      <c r="H505" s="8" t="s">
        <v>1695</v>
      </c>
      <c r="I505" s="11"/>
    </row>
    <row r="506" spans="1:9">
      <c r="A506" s="11"/>
      <c r="B506" s="11"/>
      <c r="C506" s="11"/>
      <c r="D506" s="11" t="str">
        <f t="shared" si="26"/>
        <v>days left until the 2026 World Cup starts</v>
      </c>
      <c r="E506" s="11" t="s">
        <v>1656</v>
      </c>
      <c r="F506" s="11"/>
      <c r="G506" s="8" t="s">
        <v>1780</v>
      </c>
      <c r="H506" s="8" t="s">
        <v>1785</v>
      </c>
      <c r="I506" s="11"/>
    </row>
    <row r="507" spans="1:9">
      <c r="A507" s="11"/>
      <c r="B507" s="11"/>
      <c r="C507" s="11"/>
      <c r="D507" s="11" t="str">
        <f t="shared" si="26"/>
        <v>It's World cup Day</v>
      </c>
      <c r="E507" s="11" t="s">
        <v>1656</v>
      </c>
      <c r="F507" s="11"/>
      <c r="G507" s="8" t="s">
        <v>1696</v>
      </c>
      <c r="H507" s="8" t="s">
        <v>1697</v>
      </c>
      <c r="I507" s="11"/>
    </row>
    <row r="508" spans="1:9">
      <c r="A508" s="11"/>
      <c r="B508" s="11"/>
      <c r="C508" s="11"/>
      <c r="D508" s="11" t="str">
        <f t="shared" si="26"/>
        <v xml:space="preserve"> </v>
      </c>
      <c r="E508" s="11" t="s">
        <v>1656</v>
      </c>
      <c r="F508" s="11"/>
      <c r="G508" s="8" t="s">
        <v>1779</v>
      </c>
      <c r="H508" s="8" t="s">
        <v>1304</v>
      </c>
      <c r="I508" s="11"/>
    </row>
    <row r="509" spans="1:9">
      <c r="A509" s="11"/>
      <c r="B509" s="11"/>
      <c r="C509" s="11"/>
      <c r="D509" s="11" t="str">
        <f t="shared" si="26"/>
        <v>Only</v>
      </c>
      <c r="E509" s="11" t="s">
        <v>1656</v>
      </c>
      <c r="F509" s="11"/>
      <c r="G509" s="8" t="s">
        <v>1698</v>
      </c>
      <c r="H509" s="8" t="s">
        <v>1699</v>
      </c>
      <c r="I509" s="11"/>
    </row>
    <row r="510" spans="1:9">
      <c r="A510" s="11"/>
      <c r="B510" s="11"/>
      <c r="C510" s="11"/>
      <c r="D510" s="11" t="str">
        <f t="shared" si="26"/>
        <v>days left until the end of World Cup 2026</v>
      </c>
      <c r="E510" s="11" t="s">
        <v>1656</v>
      </c>
      <c r="F510" s="11"/>
      <c r="G510" s="8" t="s">
        <v>1777</v>
      </c>
      <c r="H510" s="8" t="s">
        <v>1778</v>
      </c>
      <c r="I510" s="11"/>
    </row>
    <row r="511" spans="1:9">
      <c r="A511" s="11"/>
      <c r="B511" s="11"/>
      <c r="C511" s="11"/>
      <c r="D511" s="11" t="str">
        <f t="shared" si="26"/>
        <v>A total of</v>
      </c>
      <c r="E511" s="11" t="s">
        <v>1656</v>
      </c>
      <c r="F511" s="11"/>
      <c r="G511" s="8" t="s">
        <v>1700</v>
      </c>
      <c r="H511" s="8" t="s">
        <v>1701</v>
      </c>
      <c r="I511" s="11"/>
    </row>
    <row r="512" spans="1:9">
      <c r="A512" s="11"/>
      <c r="B512" s="11"/>
      <c r="C512" s="11"/>
      <c r="D512" s="11" t="str">
        <f t="shared" si="26"/>
        <v>goals have been scored in Club World Cup, not including penalty shootouts.</v>
      </c>
      <c r="E512" s="11" t="s">
        <v>1656</v>
      </c>
      <c r="F512" s="11"/>
      <c r="G512" s="8" t="s">
        <v>1702</v>
      </c>
      <c r="H512" s="8" t="s">
        <v>1703</v>
      </c>
      <c r="I512" s="11"/>
    </row>
    <row r="513" spans="1:9">
      <c r="A513" s="11"/>
      <c r="B513" s="11"/>
      <c r="C513" s="11"/>
      <c r="D513" s="11" t="str">
        <f t="shared" si="26"/>
        <v>I hope you enjoy Club World Cup Excel sheet!</v>
      </c>
      <c r="E513" s="11" t="s">
        <v>1656</v>
      </c>
      <c r="F513" s="11"/>
      <c r="G513" s="8" t="s">
        <v>1704</v>
      </c>
      <c r="H513" s="8" t="s">
        <v>1705</v>
      </c>
      <c r="I513" s="11"/>
    </row>
    <row r="514" spans="1:9">
      <c r="A514" s="11"/>
      <c r="B514" s="11"/>
      <c r="C514" s="11"/>
      <c r="D514" s="11"/>
      <c r="E514" s="11"/>
      <c r="F514" s="11"/>
      <c r="G514" s="11"/>
      <c r="H514" s="11"/>
      <c r="I514" s="11"/>
    </row>
    <row r="515" spans="1:9">
      <c r="A515" s="11"/>
      <c r="B515" s="11"/>
      <c r="C515" s="11"/>
      <c r="D515" s="11" t="str">
        <f t="shared" si="26"/>
        <v>Group stage chart only</v>
      </c>
      <c r="E515" s="11" t="s">
        <v>1656</v>
      </c>
      <c r="F515" s="11"/>
      <c r="G515" s="8" t="s">
        <v>1905</v>
      </c>
      <c r="H515" s="11" t="s">
        <v>1904</v>
      </c>
      <c r="I515" s="11"/>
    </row>
    <row r="1419" spans="4:4">
      <c r="D1419" s="11" t="s">
        <v>1317</v>
      </c>
    </row>
    <row r="1420" spans="4:4">
      <c r="D1420" s="11" t="s">
        <v>1333</v>
      </c>
    </row>
  </sheetData>
  <sheetProtection algorithmName="SHA-512" hashValue="6OUcYjcoYks4mTQyB6DSSLzt3TwlagtYL3g1RY6cqp0jEDIc4cMGqsjhrBQkCFRTwO9CaZESLBJ7n8CpQ1B0nQ==" saltValue="QfcLHfcr4iyvHlARHJ1GRQ==" spinCount="100000" sheet="1" objects="1" scenarios="1" selectLockedCells="1" selectUnlockedCells="1"/>
  <phoneticPr fontId="14" type="noConversion"/>
  <hyperlinks>
    <hyperlink ref="H444" r:id="rId1" location="What_is_the_goal_differencedistance_deviation_adjustment_and_how_does_it_work" xr:uid="{37815B17-889F-0948-8CF9-140291B5DD5C}"/>
    <hyperlink ref="G446" r:id="rId2" location="%C2%BFQue_es_un_BONUS" xr:uid="{2191DB22-CD67-8E4D-B488-F015DA572B95}"/>
    <hyperlink ref="H446" r:id="rId3" location="What_is_a_BONUS" xr:uid="{6F780885-D6E0-0648-9BEF-C7043EC6AFC2}"/>
    <hyperlink ref="G103" r:id="rId4" xr:uid="{BE6D2CC9-0B8D-4D48-971B-79A540D95410}"/>
    <hyperlink ref="H302" r:id="rId5" xr:uid="{97DE361F-C51C-6E42-B779-450221F9DE99}"/>
    <hyperlink ref="G444" r:id="rId6" location="%C2%BFQue_es_y_como_funciona_el_ajuste_por_desvio_en_diferenciadistancia_de_goles" xr:uid="{BC99127F-4F77-4F46-8D36-7BC1AC4BEA96}"/>
  </hyperlink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E4E5-8D9F-864C-B96F-16402FDE08D1}">
  <sheetPr codeName="Hoja7"/>
  <dimension ref="A1:BA71"/>
  <sheetViews>
    <sheetView showGridLines="0" showRowColHeaders="0" topLeftCell="C1" workbookViewId="0">
      <selection activeCell="I5" sqref="I5"/>
    </sheetView>
  </sheetViews>
  <sheetFormatPr defaultColWidth="0" defaultRowHeight="15"/>
  <cols>
    <col min="1" max="2" width="10.7109375" style="21" hidden="1" customWidth="1"/>
    <col min="3" max="3" width="2.28515625" customWidth="1"/>
    <col min="4" max="4" width="46.140625" customWidth="1"/>
    <col min="5" max="6" width="12.7109375" customWidth="1"/>
    <col min="7" max="7" width="3.7109375" customWidth="1"/>
    <col min="8" max="8" width="32.140625" customWidth="1"/>
    <col min="9" max="9" width="26.7109375" bestFit="1" customWidth="1"/>
    <col min="10" max="11" width="2.28515625" customWidth="1"/>
    <col min="12" max="12" width="19" bestFit="1" customWidth="1"/>
    <col min="13" max="20" width="11.28515625" customWidth="1"/>
    <col min="21" max="21" width="10.7109375" customWidth="1"/>
    <col min="22" max="22" width="10.7109375" hidden="1" customWidth="1"/>
    <col min="23" max="23" width="23.7109375" hidden="1" customWidth="1"/>
    <col min="24" max="24" width="21.28515625" hidden="1" customWidth="1"/>
    <col min="25" max="25" width="24.42578125" hidden="1" customWidth="1"/>
    <col min="26" max="26" width="17.7109375" hidden="1" customWidth="1"/>
    <col min="27" max="16384" width="10.7109375" hidden="1"/>
  </cols>
  <sheetData>
    <row r="1" spans="1:53">
      <c r="A1" s="25"/>
      <c r="B1" s="25"/>
      <c r="C1" s="17"/>
      <c r="D1" s="453" t="s">
        <v>1931</v>
      </c>
      <c r="E1" s="17"/>
      <c r="F1" s="17"/>
      <c r="G1" s="17"/>
      <c r="H1" s="17"/>
      <c r="I1" s="17"/>
      <c r="J1" s="17"/>
      <c r="K1" s="17"/>
      <c r="L1" s="17"/>
      <c r="M1" s="17"/>
      <c r="N1" s="17"/>
      <c r="O1" s="17"/>
      <c r="P1" s="17"/>
      <c r="Q1" s="17"/>
      <c r="R1" s="17"/>
      <c r="S1" s="17"/>
      <c r="T1" s="17"/>
      <c r="U1" s="25"/>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row>
    <row r="2" spans="1:53" hidden="1">
      <c r="A2" s="25"/>
      <c r="B2" s="25"/>
      <c r="C2" s="17"/>
      <c r="D2" s="17"/>
      <c r="E2" s="17"/>
      <c r="F2" s="17"/>
      <c r="G2" s="17"/>
      <c r="H2" s="17"/>
      <c r="I2" s="17"/>
      <c r="J2" s="17"/>
      <c r="K2" s="17"/>
      <c r="L2" s="17"/>
      <c r="M2" s="17"/>
      <c r="N2" s="17"/>
      <c r="O2" s="17"/>
      <c r="P2" s="17"/>
      <c r="Q2" s="17"/>
      <c r="R2" s="17"/>
      <c r="S2" s="17"/>
      <c r="T2" s="17"/>
      <c r="U2" s="25"/>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row>
    <row r="3" spans="1:53">
      <c r="A3" s="25"/>
      <c r="B3" s="25"/>
      <c r="C3" s="17"/>
      <c r="D3" s="453" t="str">
        <f>"1) "&amp;Idiomas!D494</f>
        <v>1) For the statistics to work properly, you need to have one of the latest versions of Excel (2021 onwards). Otherwise, some of the functions may return an error. However, this sheet is not necessary for the correct functioning of the other parts of the file.</v>
      </c>
      <c r="E3" s="17"/>
      <c r="F3" s="17"/>
      <c r="G3" s="17"/>
      <c r="H3" s="17"/>
      <c r="I3" s="17"/>
      <c r="J3" s="17"/>
      <c r="K3" s="17"/>
      <c r="L3" s="17"/>
      <c r="M3" s="17"/>
      <c r="N3" s="17"/>
      <c r="O3" s="17"/>
      <c r="P3" s="17"/>
      <c r="Q3" s="17"/>
      <c r="R3" s="17"/>
      <c r="S3" s="17"/>
      <c r="T3" s="17"/>
      <c r="U3" s="25"/>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row>
    <row r="4" spans="1:53" ht="15.75" thickBot="1">
      <c r="A4" s="25"/>
      <c r="B4" s="25"/>
      <c r="C4" s="17"/>
      <c r="D4" s="453" t="str">
        <f>"2) "&amp;Idiomas!D495</f>
        <v>2) In order for the statistics to work properly, in the ADMIN sheet select the exact number of participants, otherwise some statistics may be incorrect.</v>
      </c>
      <c r="E4" s="17"/>
      <c r="F4" s="17"/>
      <c r="G4" s="17"/>
      <c r="H4" s="17"/>
      <c r="I4" s="17"/>
      <c r="J4" s="17"/>
      <c r="K4" s="17"/>
      <c r="L4" s="17"/>
      <c r="M4" s="17"/>
      <c r="N4" s="17"/>
      <c r="O4" s="17"/>
      <c r="P4" s="17"/>
      <c r="Q4" s="17"/>
      <c r="R4" s="17"/>
      <c r="S4" s="17"/>
      <c r="T4" s="17"/>
      <c r="U4" s="25"/>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row>
    <row r="5" spans="1:53" ht="31.15" customHeight="1" thickBot="1">
      <c r="A5" s="25"/>
      <c r="B5" s="25"/>
      <c r="C5" s="17"/>
      <c r="D5" s="477" t="str">
        <f>Idiomas!D496</f>
        <v>Day selected in "Daily Prediction"</v>
      </c>
      <c r="E5" s="762" t="str">
        <f>DailyPrediction!H1</f>
        <v>3-4 &amp; Final</v>
      </c>
      <c r="F5" s="404">
        <f ca="1">VLOOKUP($E$5,Equipos!$Q$2:$R$37,2,0)</f>
        <v>24</v>
      </c>
      <c r="G5" s="17"/>
      <c r="H5" s="476" t="str">
        <f>Idiomas!D501</f>
        <v>Select a match from today:↗</v>
      </c>
      <c r="I5" s="450" t="s">
        <v>1939</v>
      </c>
      <c r="J5" s="17"/>
      <c r="K5" s="17"/>
      <c r="L5" s="849">
        <f ca="1">SUM(WORLDCUP!AG4:AG147)/104</f>
        <v>1</v>
      </c>
      <c r="M5" s="850"/>
      <c r="N5" s="850"/>
      <c r="O5" s="850"/>
      <c r="P5" s="850"/>
      <c r="Q5" s="850"/>
      <c r="R5" s="850"/>
      <c r="S5" s="850"/>
      <c r="T5" s="851"/>
      <c r="U5" s="25"/>
      <c r="V5" s="11">
        <f>ADMIN!$D$5</f>
        <v>59</v>
      </c>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row>
    <row r="6" spans="1:53" ht="15.75" thickBot="1">
      <c r="A6" s="25"/>
      <c r="B6" s="25"/>
      <c r="C6" s="17"/>
      <c r="D6" s="17"/>
      <c r="E6" s="17"/>
      <c r="F6" s="17"/>
      <c r="G6" s="17"/>
      <c r="H6" s="453" t="str">
        <f>Idiomas!D502</f>
        <v>(Unpredicted results do not count).*</v>
      </c>
      <c r="I6" s="17"/>
      <c r="J6" s="17"/>
      <c r="K6" s="25"/>
      <c r="L6" s="17"/>
      <c r="M6" s="17"/>
      <c r="N6" s="17"/>
      <c r="O6" s="17"/>
      <c r="P6" s="17"/>
      <c r="Q6" s="17"/>
      <c r="R6" s="17"/>
      <c r="S6" s="17"/>
      <c r="T6" s="17"/>
      <c r="U6" s="25"/>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row>
    <row r="7" spans="1:53">
      <c r="A7" s="25"/>
      <c r="B7" s="25"/>
      <c r="C7" s="17"/>
      <c r="D7" s="128" t="s">
        <v>1933</v>
      </c>
      <c r="E7" s="129" t="str">
        <f>Idiomas!D497</f>
        <v>Points</v>
      </c>
      <c r="F7" s="130" t="s">
        <v>1711</v>
      </c>
      <c r="G7" s="17"/>
      <c r="H7" s="128" t="str">
        <f>Idiomas!D499</f>
        <v>Result</v>
      </c>
      <c r="I7" s="129" t="str">
        <f>Idiomas!D500</f>
        <v>Count</v>
      </c>
      <c r="J7" s="703" t="s">
        <v>1725</v>
      </c>
      <c r="K7" s="25"/>
      <c r="L7" s="134"/>
      <c r="M7" s="461" t="str">
        <f>Idiomas!D344</f>
        <v>Group Stage</v>
      </c>
      <c r="N7" s="462" t="s">
        <v>1782</v>
      </c>
      <c r="O7" s="463" t="s">
        <v>1781</v>
      </c>
      <c r="P7" s="464" t="s">
        <v>1783</v>
      </c>
      <c r="Q7" s="465" t="s">
        <v>1784</v>
      </c>
      <c r="R7" s="466" t="str">
        <f>Idiomas!D337</f>
        <v>3rd place</v>
      </c>
      <c r="S7" s="467" t="str">
        <f>Idiomas!D336</f>
        <v>Runner-up</v>
      </c>
      <c r="T7" s="468" t="str">
        <f>Idiomas!D335</f>
        <v>Winner</v>
      </c>
      <c r="U7" s="25"/>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ht="15" customHeight="1">
      <c r="A8" s="25"/>
      <c r="B8" s="25"/>
      <c r="C8" s="17"/>
      <c r="D8" s="454" t="str">
        <f>Idiomas!D484&amp;TEXT($E$5,"dd/mm/aa")&amp;" (Individual)"</f>
        <v>Points at stake 3-4 &amp; Final (Individual)</v>
      </c>
      <c r="E8" s="455">
        <f ca="1">IFERROR(SUMIF(ADMIN!$G$6:$G$258,$F$5,ADMIN!$F$6:$F$258),"")</f>
        <v>202</v>
      </c>
      <c r="F8" s="456">
        <f ca="1">IFERROR(E8/$B$46,0)</f>
        <v>5.9098888238736103E-2</v>
      </c>
      <c r="G8" s="17"/>
      <c r="H8" s="454" t="str" cm="1">
        <f t="array" aca="1" ref="H8:I8" ca="1">_xlfn.SORTBY(OFFSET($Y$35,0,0,COUNTA(_xlfn.ANCHORARRAY($Y$35)),2),OFFSET(Z35,0,0,COUNTA(_xlfn.ANCHORARRAY($Y$35))),-1)</f>
        <v>Select a match from today:↗</v>
      </c>
      <c r="I8" s="704" t="str">
        <f ca="1"/>
        <v/>
      </c>
      <c r="J8" s="706" cm="1">
        <f t="array" aca="1" ref="J8" ca="1">IFERROR(IF(OFFSET($H$8,0,0,COUNTA(_xlfn.ANCHORARRAY($H$8))/2,1)=INDEX(ADMIN!$K$6:$M$260,MATCH(Stats!$I$5,ADMIN!$K$6:$K$260,0),3),INDEX(_xlfn.ANCHORARRAY($H$8),MATCH(INDEX(ADMIN!$K$6:$M$260,MATCH(Stats!$I$5,ADMIN!$K$6:$K$260,0),3),OFFSET($H$8,0,0,COUNTA(_xlfn.ANCHORARRAY($H$8))/2),0),2),IF(OFFSET($H$8,0,0,COUNTA(_xlfn.ANCHORARRAY($H$8))/2,1)=CONCATENATE(INDEX(ADMIN!$K$6:$M$260,MATCH(Stats!$I$5,ADMIN!$K$6:$K$260,0),1),"·",SUBSTITUTE(INDEX(ADMIN!$K$6:$M$260,MATCH(Stats!$I$5,ADMIN!$K$6:$K$260,0),2),0,"X"),"|",INDEX(ADMIN!$K$6:$M$260,MATCH(Stats!$I$5,ADMIN!$K$6:$K$260,0),3)),INDEX(_xlfn.ANCHORARRAY($H$8),MATCH(CONCATENATE(INDEX(ADMIN!$K$6:$M$260,MATCH(Stats!$I$5,ADMIN!$K$6:$K$260,0),1),"·",SUBSTITUTE(INDEX(ADMIN!$K$6:$M$260,MATCH(Stats!$I$5,ADMIN!$K$6:$K$260,0),2),0,"X"),"|",INDEX(ADMIN!$K$6:$M$260,MATCH(Stats!$I$5,ADMIN!$K$6:$K$260,0),3)),OFFSET($H$8,0,0,COUNTA(_xlfn.ANCHORARRAY($H$8))/2),0),2),0)),0)</f>
        <v>0</v>
      </c>
      <c r="K8" s="404" cm="1">
        <f t="array" aca="1" ref="K8" ca="1">IFERROR(IF(OFFSET($H$8,0,0,COUNTA(_xlfn.ANCHORARRAY($H$8))/2,1)=INDEX(ADMIN!$C$6:$E$260,MATCH(Stats!$AP$35,ADMIN!$C$6:$C$260,0),3),INDEX(_xlfn.ANCHORARRAY($H$8),MATCH(INDEX(ADMIN!$C$6:$E$260,MATCH(Stats!$AP$35,ADMIN!$C$6:$C$260,0),3),OFFSET($H$8,0,0,COUNTA(_xlfn.ANCHORARRAY($H$8))/2),0),2),IF(OFFSET($H$8,0,0,COUNTA(_xlfn.ANCHORARRAY($H$8))/2,1)=CONCATENATE(INDEX(ADMIN!$C$6:$E$260,MATCH(Stats!$AP$35,ADMIN!$C$6:$C$260,0),1),"·",SUBSTITUTE(INDEX(ADMIN!$C$6:$E$260,MATCH(Stats!$AP$35,ADMIN!$C$6:$C$260,0),2),0,"X"),"|",INDEX(ADMIN!$C$6:$E$260,MATCH(Stats!$AP$35,ADMIN!$C$6:$C$260,0),3)),INDEX(_xlfn.ANCHORARRAY($H$8),MATCH(CONCATENATE(INDEX(ADMIN!$C$6:$E$260,MATCH(Stats!$AP$35,ADMIN!$C$6:$C$260,0),1),"·",SUBSTITUTE(INDEX(ADMIN!$C$6:$E$260,MATCH(Stats!$AP$35,ADMIN!$C$6:$C$260,0),2),0,"X"),"|",INDEX(ADMIN!$C$6:$E$260,MATCH(Stats!$AP$35,ADMIN!$C$6:$C$260,0),3)),OFFSET($H$8,0,0,COUNTA(_xlfn.ANCHORARRAY($H$8))/2),0),2),0)),0)</f>
        <v>0</v>
      </c>
      <c r="L8" s="131" t="str">
        <f ca="1">Horarios!Q3</f>
        <v>Algeria</v>
      </c>
      <c r="M8" s="469">
        <f ca="1">ADMIN!$D$5-SUM(N8:T8)</f>
        <v>17</v>
      </c>
      <c r="N8" s="469">
        <f ca="1">IFERROR(COUNTIF(ADMIN!$S$130:INDEX(ADMIN!$S$130:$QC$161,32,ADMIN!$D$5*3-1),Stats!$L8)-SUM(O8:T8),0)</f>
        <v>40</v>
      </c>
      <c r="O8" s="469">
        <f ca="1">COUNTIF(ADMIN!$S$182:INDEX(ADMIN!$S$182:$QC$197,16,ADMIN!$D$5*3-1),Stats!$L8)-SUM(P8:T8)</f>
        <v>1</v>
      </c>
      <c r="P8" s="469">
        <f ca="1">COUNTIF(ADMIN!$S$210:INDEX(ADMIN!$S$210:$QC$217,8,ADMIN!$D$5*3-1),Stats!$L8)-SUM(Q8:T8)</f>
        <v>0</v>
      </c>
      <c r="Q8" s="469">
        <f ca="1">COUNTIF(ADMIN!$S$226:INDEX(ADMIN!$S$226:$QC$229,4,ADMIN!$D$5*3-1),Stats!$L8)-SUM(R8:T8)</f>
        <v>1</v>
      </c>
      <c r="R8" s="469">
        <f ca="1">IFERROR(COUNTIF(ADMIN!$S$252:INDEX(ADMIN!$S$252:$QC$252,1,ADMIN!$D$5*3-1),Stats!$L8),0)</f>
        <v>0</v>
      </c>
      <c r="S8" s="469">
        <f ca="1">IFERROR(COUNTIF(ADMIN!$S$251:INDEX(ADMIN!$S$251:$QC$251,1,ADMIN!$D$5*3-1),Stats!$L8),0)</f>
        <v>0</v>
      </c>
      <c r="T8" s="470">
        <f ca="1">IFERROR(COUNTIF(ADMIN!$S$250:INDEX(ADMIN!$S$250:$QC$250,1,ADMIN!$D$5*3-1),Stats!$L8),0)</f>
        <v>0</v>
      </c>
      <c r="U8" s="25"/>
      <c r="V8" s="11">
        <f t="shared" ref="V8:V55" ca="1" si="0">SUM(M8:T8)</f>
        <v>59</v>
      </c>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row>
    <row r="9" spans="1:53" ht="15" customHeight="1">
      <c r="A9" s="25"/>
      <c r="B9" s="25"/>
      <c r="C9" s="17"/>
      <c r="D9" s="457" t="str">
        <f>Idiomas!D485&amp;TEXT($E$5,"dd/mm/aa")&amp;" (Individual)"</f>
        <v>Maximum points until 3-4 &amp; Final (Individual)</v>
      </c>
      <c r="E9" s="455">
        <f ca="1">IFERROR(SUMIF($A$22:$A$45,"&lt;"&amp;$F$5,$B$22:$B$45),"")</f>
        <v>3216</v>
      </c>
      <c r="F9" s="456">
        <f ca="1">IFERROR(E9/$B$46,0)</f>
        <v>0.9409011117612639</v>
      </c>
      <c r="G9" s="17"/>
      <c r="H9" s="457"/>
      <c r="I9" s="704"/>
      <c r="J9" s="706"/>
      <c r="K9" s="404"/>
      <c r="L9" s="132" t="str">
        <f ca="1">Horarios!Q4</f>
        <v>Argentina</v>
      </c>
      <c r="M9" s="471">
        <f ca="1">ADMIN!$D$5-SUM(N9:T9)</f>
        <v>0</v>
      </c>
      <c r="N9" s="471">
        <f ca="1">IFERROR(COUNTIF(ADMIN!$S$130:INDEX(ADMIN!$S$130:$QC$161,32,ADMIN!$D$5*3-1),Stats!$L9)-SUM(O9:T9),0)</f>
        <v>8</v>
      </c>
      <c r="O9" s="471">
        <f ca="1">COUNTIF(ADMIN!$S$182:INDEX(ADMIN!$S$182:$QC$197,16,ADMIN!$D$5*3-1),Stats!$L9)-SUM(P9:T9)</f>
        <v>2</v>
      </c>
      <c r="P9" s="471">
        <f ca="1">COUNTIF(ADMIN!$S$210:INDEX(ADMIN!$S$210:$QC$217,8,ADMIN!$D$5*3-1),Stats!$L9)-SUM(Q9:T9)</f>
        <v>26</v>
      </c>
      <c r="Q9" s="471">
        <f ca="1">COUNTIF(ADMIN!$S$226:INDEX(ADMIN!$S$226:$QC$229,4,ADMIN!$D$5*3-1),Stats!$L9)-SUM(R9:T9)</f>
        <v>8</v>
      </c>
      <c r="R9" s="471">
        <f ca="1">IFERROR(COUNTIF(ADMIN!$S$252:INDEX(ADMIN!$S$252:$QC$252,1,ADMIN!$D$5*3-1),Stats!$L9),0)</f>
        <v>3</v>
      </c>
      <c r="S9" s="471">
        <f ca="1">IFERROR(COUNTIF(ADMIN!$S$251:INDEX(ADMIN!$S$251:$QC$251,1,ADMIN!$D$5*3-1),Stats!$L9),0)</f>
        <v>12</v>
      </c>
      <c r="T9" s="472">
        <f ca="1">IFERROR(COUNTIF(ADMIN!$S$250:INDEX(ADMIN!$S$250:$QC$250,1,ADMIN!$D$5*3-1),Stats!$L9),0)</f>
        <v>0</v>
      </c>
      <c r="U9" s="25"/>
      <c r="V9" s="11">
        <f t="shared" ca="1" si="0"/>
        <v>59</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row>
    <row r="10" spans="1:53" ht="15" customHeight="1">
      <c r="A10" s="25"/>
      <c r="B10" s="25"/>
      <c r="C10" s="17"/>
      <c r="D10" s="454" t="str">
        <f>Idiomas!D486&amp;TEXT($E$5,"dd/mm/aa")&amp;" (Individual)"</f>
        <v>Maximum points including 3-4 &amp; Final (Individual)</v>
      </c>
      <c r="E10" s="455">
        <f ca="1">IFERROR(SUMIF($A$22:$A$45,"&lt;="&amp;$F$5,$B$22:$B$45),"")</f>
        <v>3418</v>
      </c>
      <c r="F10" s="456">
        <f ca="1">IFERROR(E10/$B$46,0)</f>
        <v>1</v>
      </c>
      <c r="G10" s="17"/>
      <c r="H10" s="454"/>
      <c r="I10" s="704"/>
      <c r="J10" s="706"/>
      <c r="K10" s="404"/>
      <c r="L10" s="133" t="str">
        <f ca="1">Horarios!Q5</f>
        <v>Australia</v>
      </c>
      <c r="M10" s="469">
        <f ca="1">ADMIN!$D$5-SUM(N10:T10)</f>
        <v>39</v>
      </c>
      <c r="N10" s="469">
        <f ca="1">IFERROR(COUNTIF(ADMIN!$S$130:INDEX(ADMIN!$S$130:$QC$161,32,ADMIN!$D$5*3-1),Stats!$L10)-SUM(O10:T10),0)</f>
        <v>15</v>
      </c>
      <c r="O10" s="469">
        <f ca="1">COUNTIF(ADMIN!$S$182:INDEX(ADMIN!$S$182:$QC$197,16,ADMIN!$D$5*3-1),Stats!$L10)-SUM(P10:T10)</f>
        <v>4</v>
      </c>
      <c r="P10" s="469">
        <f ca="1">COUNTIF(ADMIN!$S$210:INDEX(ADMIN!$S$210:$QC$217,8,ADMIN!$D$5*3-1),Stats!$L10)-SUM(Q10:T10)</f>
        <v>1</v>
      </c>
      <c r="Q10" s="469">
        <f ca="1">COUNTIF(ADMIN!$S$226:INDEX(ADMIN!$S$226:$QC$229,4,ADMIN!$D$5*3-1),Stats!$L10)-SUM(R10:T10)</f>
        <v>0</v>
      </c>
      <c r="R10" s="469">
        <f ca="1">IFERROR(COUNTIF(ADMIN!$S$252:INDEX(ADMIN!$S$252:$QC$252,1,ADMIN!$D$5*3-1),Stats!$L10),0)</f>
        <v>0</v>
      </c>
      <c r="S10" s="469">
        <f ca="1">IFERROR(COUNTIF(ADMIN!$S$251:INDEX(ADMIN!$S$251:$QC$251,1,ADMIN!$D$5*3-1),Stats!$L10),0)</f>
        <v>0</v>
      </c>
      <c r="T10" s="470">
        <f ca="1">IFERROR(COUNTIF(ADMIN!$S$250:INDEX(ADMIN!$S$250:$QC$250,1,ADMIN!$D$5*3-1),Stats!$L10),0)</f>
        <v>0</v>
      </c>
      <c r="U10" s="25"/>
      <c r="V10" s="11">
        <f t="shared" ca="1" si="0"/>
        <v>59</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row>
    <row r="11" spans="1:53" ht="15" customHeight="1">
      <c r="A11" s="25"/>
      <c r="B11" s="25"/>
      <c r="C11" s="17"/>
      <c r="D11" s="457" t="str">
        <f>Idiomas!D487&amp;" (Individual)"</f>
        <v>Points left to be distributed:  (Individual)</v>
      </c>
      <c r="E11" s="455">
        <f ca="1">IFERROR(SUMIF($A$22:$A$45,"&gt;"&amp;$F$5,$B$22:$B$45),0)</f>
        <v>0</v>
      </c>
      <c r="F11" s="456">
        <f ca="1">IFERROR(1-F10,0)</f>
        <v>0</v>
      </c>
      <c r="G11" s="17"/>
      <c r="H11" s="457"/>
      <c r="I11" s="704"/>
      <c r="J11" s="706"/>
      <c r="K11" s="404"/>
      <c r="L11" s="132" t="str">
        <f ca="1">Horarios!Q6</f>
        <v>Austria</v>
      </c>
      <c r="M11" s="471">
        <f ca="1">ADMIN!$D$5-SUM(N11:T11)</f>
        <v>3</v>
      </c>
      <c r="N11" s="471">
        <f ca="1">IFERROR(COUNTIF(ADMIN!$S$130:INDEX(ADMIN!$S$130:$QC$161,32,ADMIN!$D$5*3-1),Stats!$L11)-SUM(O11:T11),0)</f>
        <v>49</v>
      </c>
      <c r="O11" s="471">
        <f ca="1">COUNTIF(ADMIN!$S$182:INDEX(ADMIN!$S$182:$QC$197,16,ADMIN!$D$5*3-1),Stats!$L11)-SUM(P11:T11)</f>
        <v>5</v>
      </c>
      <c r="P11" s="471">
        <f ca="1">COUNTIF(ADMIN!$S$210:INDEX(ADMIN!$S$210:$QC$217,8,ADMIN!$D$5*3-1),Stats!$L11)-SUM(Q11:T11)</f>
        <v>1</v>
      </c>
      <c r="Q11" s="471">
        <f ca="1">COUNTIF(ADMIN!$S$226:INDEX(ADMIN!$S$226:$QC$229,4,ADMIN!$D$5*3-1),Stats!$L11)-SUM(R11:T11)</f>
        <v>0</v>
      </c>
      <c r="R11" s="471">
        <f ca="1">IFERROR(COUNTIF(ADMIN!$S$252:INDEX(ADMIN!$S$252:$QC$252,1,ADMIN!$D$5*3-1),Stats!$L11),0)</f>
        <v>1</v>
      </c>
      <c r="S11" s="471">
        <f ca="1">IFERROR(COUNTIF(ADMIN!$S$251:INDEX(ADMIN!$S$251:$QC$251,1,ADMIN!$D$5*3-1),Stats!$L11),0)</f>
        <v>0</v>
      </c>
      <c r="T11" s="472">
        <f ca="1">IFERROR(COUNTIF(ADMIN!$S$250:INDEX(ADMIN!$S$250:$QC$250,1,ADMIN!$D$5*3-1),Stats!$L11),0)</f>
        <v>0</v>
      </c>
      <c r="U11" s="25"/>
      <c r="V11" s="11">
        <f t="shared" ca="1" si="0"/>
        <v>59</v>
      </c>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row>
    <row r="12" spans="1:53" ht="15" customHeight="1">
      <c r="A12" s="25"/>
      <c r="B12" s="25"/>
      <c r="C12" s="17"/>
      <c r="D12" s="454" t="str">
        <f>Idiomas!D488</f>
        <v>Total maximum points to be distributed today (Global):</v>
      </c>
      <c r="E12" s="455">
        <f ca="1">IFERROR($E$8*ADMIN!$D$5,0)</f>
        <v>11918</v>
      </c>
      <c r="F12" s="456">
        <f ca="1">IFERROR(E12/B47,0)</f>
        <v>5.9098888238736103E-2</v>
      </c>
      <c r="G12" s="17"/>
      <c r="H12" s="454"/>
      <c r="I12" s="704"/>
      <c r="J12" s="706"/>
      <c r="K12" s="404"/>
      <c r="L12" s="133" t="str">
        <f ca="1">Horarios!Q7</f>
        <v>Belgium</v>
      </c>
      <c r="M12" s="469">
        <f ca="1">ADMIN!$D$5-SUM(N12:T12)</f>
        <v>0</v>
      </c>
      <c r="N12" s="469">
        <f ca="1">IFERROR(COUNTIF(ADMIN!$S$130:INDEX(ADMIN!$S$130:$QC$161,32,ADMIN!$D$5*3-1),Stats!$L12)-SUM(O12:T12),0)</f>
        <v>8</v>
      </c>
      <c r="O12" s="469">
        <f ca="1">COUNTIF(ADMIN!$S$182:INDEX(ADMIN!$S$182:$QC$197,16,ADMIN!$D$5*3-1),Stats!$L12)-SUM(P12:T12)</f>
        <v>14</v>
      </c>
      <c r="P12" s="469">
        <f ca="1">COUNTIF(ADMIN!$S$210:INDEX(ADMIN!$S$210:$QC$217,8,ADMIN!$D$5*3-1),Stats!$L12)-SUM(Q12:T12)</f>
        <v>37</v>
      </c>
      <c r="Q12" s="469">
        <f ca="1">COUNTIF(ADMIN!$S$226:INDEX(ADMIN!$S$226:$QC$229,4,ADMIN!$D$5*3-1),Stats!$L12)-SUM(R12:T12)</f>
        <v>0</v>
      </c>
      <c r="R12" s="469">
        <f ca="1">IFERROR(COUNTIF(ADMIN!$S$252:INDEX(ADMIN!$S$252:$QC$252,1,ADMIN!$D$5*3-1),Stats!$L12),0)</f>
        <v>0</v>
      </c>
      <c r="S12" s="469">
        <f ca="1">IFERROR(COUNTIF(ADMIN!$S$251:INDEX(ADMIN!$S$251:$QC$251,1,ADMIN!$D$5*3-1),Stats!$L12),0)</f>
        <v>0</v>
      </c>
      <c r="T12" s="470">
        <f ca="1">IFERROR(COUNTIF(ADMIN!$S$250:INDEX(ADMIN!$S$250:$QC$250,1,ADMIN!$D$5*3-1),Stats!$L12),0)</f>
        <v>0</v>
      </c>
      <c r="U12" s="25"/>
      <c r="V12" s="11">
        <f t="shared" ca="1" si="0"/>
        <v>59</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row>
    <row r="13" spans="1:53" ht="15" customHeight="1">
      <c r="A13" s="25"/>
      <c r="B13" s="25"/>
      <c r="C13" s="17"/>
      <c r="D13" s="457" t="str">
        <f>Idiomas!D489</f>
        <v xml:space="preserve">Points distributed today (Global): </v>
      </c>
      <c r="E13" s="455">
        <f ca="1">IFERROR(SUM(DailyClas!$G$4:INDEX(DailyClas!$G$4:$G$150,ADMIN!$D$5)),0)</f>
        <v>2159</v>
      </c>
      <c r="F13" s="456">
        <f ca="1">IFERROR(E13/E12,0)</f>
        <v>0.18115455613357945</v>
      </c>
      <c r="G13" s="17"/>
      <c r="H13" s="457"/>
      <c r="I13" s="704"/>
      <c r="J13" s="706"/>
      <c r="K13" s="404"/>
      <c r="L13" s="132" t="str">
        <f ca="1">Horarios!Q8</f>
        <v>Bosnia and Herzegovina</v>
      </c>
      <c r="M13" s="471">
        <f ca="1">ADMIN!$D$5-SUM(N13:T13)</f>
        <v>16</v>
      </c>
      <c r="N13" s="471">
        <f ca="1">IFERROR(COUNTIF(ADMIN!$S$130:INDEX(ADMIN!$S$130:$QC$161,32,ADMIN!$D$5*3-1),Stats!$L13)-SUM(O13:T13),0)</f>
        <v>38</v>
      </c>
      <c r="O13" s="471">
        <f ca="1">COUNTIF(ADMIN!$S$182:INDEX(ADMIN!$S$182:$QC$197,16,ADMIN!$D$5*3-1),Stats!$L13)-SUM(P13:T13)</f>
        <v>4</v>
      </c>
      <c r="P13" s="471">
        <f ca="1">COUNTIF(ADMIN!$S$210:INDEX(ADMIN!$S$210:$QC$217,8,ADMIN!$D$5*3-1),Stats!$L13)-SUM(Q13:T13)</f>
        <v>0</v>
      </c>
      <c r="Q13" s="471">
        <f ca="1">COUNTIF(ADMIN!$S$226:INDEX(ADMIN!$S$226:$QC$229,4,ADMIN!$D$5*3-1),Stats!$L13)-SUM(R13:T13)</f>
        <v>1</v>
      </c>
      <c r="R13" s="471">
        <f ca="1">IFERROR(COUNTIF(ADMIN!$S$252:INDEX(ADMIN!$S$252:$QC$252,1,ADMIN!$D$5*3-1),Stats!$L13),0)</f>
        <v>0</v>
      </c>
      <c r="S13" s="471">
        <f ca="1">IFERROR(COUNTIF(ADMIN!$S$251:INDEX(ADMIN!$S$251:$QC$251,1,ADMIN!$D$5*3-1),Stats!$L13),0)</f>
        <v>0</v>
      </c>
      <c r="T13" s="472">
        <f ca="1">IFERROR(COUNTIF(ADMIN!$S$250:INDEX(ADMIN!$S$250:$QC$250,1,ADMIN!$D$5*3-1),Stats!$L13),0)</f>
        <v>0</v>
      </c>
      <c r="U13" s="25"/>
      <c r="V13" s="11">
        <f t="shared" ca="1" si="0"/>
        <v>59</v>
      </c>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row>
    <row r="14" spans="1:53" ht="15" customHeight="1">
      <c r="A14" s="25"/>
      <c r="B14" s="25"/>
      <c r="C14" s="17"/>
      <c r="D14" s="454" t="str">
        <f>Idiomas!D490&amp;TEXT($E$5,"dd/mm/aa")&amp;"?"</f>
        <v>How many have scored the maximum points 3-4 &amp; Final?</v>
      </c>
      <c r="E14" s="455">
        <f ca="1">IFERROR(IF(SUM(ADMIN!$D$8:$D$47)=0,0,COUNTIF(DailyClas!$G$4:INDEX(DailyClas!$G:$G,ADMIN!$D$5+3),Stats!E8)),0)</f>
        <v>0</v>
      </c>
      <c r="F14" s="456">
        <f ca="1">IFERROR(E14/ADMIN!$D$5,0)</f>
        <v>0</v>
      </c>
      <c r="G14" s="17"/>
      <c r="H14" s="454"/>
      <c r="I14" s="704"/>
      <c r="J14" s="706"/>
      <c r="K14" s="404"/>
      <c r="L14" s="133" t="str">
        <f ca="1">Horarios!Q9</f>
        <v>Brazil</v>
      </c>
      <c r="M14" s="469">
        <f ca="1">ADMIN!$D$5-SUM(N14:T14)</f>
        <v>0</v>
      </c>
      <c r="N14" s="469">
        <f ca="1">IFERROR(COUNTIF(ADMIN!$S$130:INDEX(ADMIN!$S$130:$QC$161,32,ADMIN!$D$5*3-1),Stats!$L14)-SUM(O14:T14),0)</f>
        <v>6</v>
      </c>
      <c r="O14" s="469">
        <f ca="1">COUNTIF(ADMIN!$S$182:INDEX(ADMIN!$S$182:$QC$197,16,ADMIN!$D$5*3-1),Stats!$L14)-SUM(P14:T14)</f>
        <v>7</v>
      </c>
      <c r="P14" s="469">
        <f ca="1">COUNTIF(ADMIN!$S$210:INDEX(ADMIN!$S$210:$QC$217,8,ADMIN!$D$5*3-1),Stats!$L14)-SUM(Q14:T14)</f>
        <v>20</v>
      </c>
      <c r="Q14" s="469">
        <f ca="1">COUNTIF(ADMIN!$S$226:INDEX(ADMIN!$S$226:$QC$229,4,ADMIN!$D$5*3-1),Stats!$L14)-SUM(R14:T14)</f>
        <v>7</v>
      </c>
      <c r="R14" s="469">
        <f ca="1">IFERROR(COUNTIF(ADMIN!$S$252:INDEX(ADMIN!$S$252:$QC$252,1,ADMIN!$D$5*3-1),Stats!$L14),0)</f>
        <v>2</v>
      </c>
      <c r="S14" s="469">
        <f ca="1">IFERROR(COUNTIF(ADMIN!$S$251:INDEX(ADMIN!$S$251:$QC$251,1,ADMIN!$D$5*3-1),Stats!$L14),0)</f>
        <v>14</v>
      </c>
      <c r="T14" s="470">
        <f ca="1">IFERROR(COUNTIF(ADMIN!$S$250:INDEX(ADMIN!$S$250:$QC$250,1,ADMIN!$D$5*3-1),Stats!$L14),0)</f>
        <v>3</v>
      </c>
      <c r="U14" s="25"/>
      <c r="V14" s="11">
        <f t="shared" ca="1" si="0"/>
        <v>59</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row>
    <row r="15" spans="1:53" ht="15" customHeight="1">
      <c r="A15" s="25"/>
      <c r="B15" s="25"/>
      <c r="C15" s="17"/>
      <c r="D15" s="457" t="str">
        <f>Idiomas!D491&amp;TEXT($E$5,"dd/mm/aa")&amp;"?"</f>
        <v>How many have scored any points 3-4 &amp; Final?</v>
      </c>
      <c r="E15" s="455">
        <f ca="1">IFERROR(COUNTIF(DailyClas!$G$4:INDEX(DailyClas!$G$4:$G$150,ADMIN!$D$5),"&gt;0"),0)</f>
        <v>47</v>
      </c>
      <c r="F15" s="456">
        <f ca="1">IFERROR(E15/ADMIN!$D$5,0)</f>
        <v>0.79661016949152541</v>
      </c>
      <c r="G15" s="17"/>
      <c r="H15" s="457"/>
      <c r="I15" s="704"/>
      <c r="J15" s="706"/>
      <c r="K15" s="404"/>
      <c r="L15" s="132" t="str">
        <f ca="1">Horarios!Q10</f>
        <v>Canada</v>
      </c>
      <c r="M15" s="471">
        <f ca="1">ADMIN!$D$5-SUM(N15:T15)</f>
        <v>9</v>
      </c>
      <c r="N15" s="471">
        <f ca="1">IFERROR(COUNTIF(ADMIN!$S$130:INDEX(ADMIN!$S$130:$QC$161,32,ADMIN!$D$5*3-1),Stats!$L15)-SUM(O15:T15),0)</f>
        <v>27</v>
      </c>
      <c r="O15" s="471">
        <f ca="1">COUNTIF(ADMIN!$S$182:INDEX(ADMIN!$S$182:$QC$197,16,ADMIN!$D$5*3-1),Stats!$L15)-SUM(P15:T15)</f>
        <v>22</v>
      </c>
      <c r="P15" s="471">
        <f ca="1">COUNTIF(ADMIN!$S$210:INDEX(ADMIN!$S$210:$QC$217,8,ADMIN!$D$5*3-1),Stats!$L15)-SUM(Q15:T15)</f>
        <v>1</v>
      </c>
      <c r="Q15" s="471">
        <f ca="1">COUNTIF(ADMIN!$S$226:INDEX(ADMIN!$S$226:$QC$229,4,ADMIN!$D$5*3-1),Stats!$L15)-SUM(R15:T15)</f>
        <v>0</v>
      </c>
      <c r="R15" s="471">
        <f ca="1">IFERROR(COUNTIF(ADMIN!$S$252:INDEX(ADMIN!$S$252:$QC$252,1,ADMIN!$D$5*3-1),Stats!$L15),0)</f>
        <v>0</v>
      </c>
      <c r="S15" s="471">
        <f ca="1">IFERROR(COUNTIF(ADMIN!$S$251:INDEX(ADMIN!$S$251:$QC$251,1,ADMIN!$D$5*3-1),Stats!$L15),0)</f>
        <v>0</v>
      </c>
      <c r="T15" s="472">
        <f ca="1">IFERROR(COUNTIF(ADMIN!$S$250:INDEX(ADMIN!$S$250:$QC$250,1,ADMIN!$D$5*3-1),Stats!$L15),0)</f>
        <v>0</v>
      </c>
      <c r="U15" s="25"/>
      <c r="V15" s="11">
        <f t="shared" ca="1" si="0"/>
        <v>59</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row>
    <row r="16" spans="1:53" ht="15" customHeight="1">
      <c r="A16" s="25"/>
      <c r="B16" s="25"/>
      <c r="C16" s="17"/>
      <c r="D16" s="454" t="str">
        <f>Idiomas!D492&amp;TEXT($E$5,"dd/mm/aa")&amp;"?"</f>
        <v>How many have not scored anything 3-4 &amp; Final?</v>
      </c>
      <c r="E16" s="455">
        <f ca="1">IFERROR(IF(SUM(ADMIN!$D$8:$D$47)=0,0,COUNTIF(DailyClas!$G$4:INDEX(DailyClas!$G$4:$G$150,ADMIN!$D$5),0)),0)</f>
        <v>12</v>
      </c>
      <c r="F16" s="456">
        <f ca="1">IFERROR(E16/ADMIN!$D$5,0)</f>
        <v>0.20338983050847459</v>
      </c>
      <c r="G16" s="17"/>
      <c r="H16" s="454"/>
      <c r="I16" s="704"/>
      <c r="J16" s="706"/>
      <c r="K16" s="404"/>
      <c r="L16" s="133" t="str">
        <f ca="1">Horarios!Q11</f>
        <v>Cape Verde</v>
      </c>
      <c r="M16" s="469">
        <f ca="1">ADMIN!$D$5-SUM(N16:T16)</f>
        <v>55</v>
      </c>
      <c r="N16" s="469">
        <f ca="1">IFERROR(COUNTIF(ADMIN!$S$130:INDEX(ADMIN!$S$130:$QC$161,32,ADMIN!$D$5*3-1),Stats!$L16)-SUM(O16:T16),0)</f>
        <v>3</v>
      </c>
      <c r="O16" s="469">
        <f ca="1">COUNTIF(ADMIN!$S$182:INDEX(ADMIN!$S$182:$QC$197,16,ADMIN!$D$5*3-1),Stats!$L16)-SUM(P16:T16)</f>
        <v>1</v>
      </c>
      <c r="P16" s="469">
        <f ca="1">COUNTIF(ADMIN!$S$210:INDEX(ADMIN!$S$210:$QC$217,8,ADMIN!$D$5*3-1),Stats!$L16)-SUM(Q16:T16)</f>
        <v>0</v>
      </c>
      <c r="Q16" s="469">
        <f ca="1">COUNTIF(ADMIN!$S$226:INDEX(ADMIN!$S$226:$QC$229,4,ADMIN!$D$5*3-1),Stats!$L16)-SUM(R16:T16)</f>
        <v>0</v>
      </c>
      <c r="R16" s="469">
        <f ca="1">IFERROR(COUNTIF(ADMIN!$S$252:INDEX(ADMIN!$S$252:$QC$252,1,ADMIN!$D$5*3-1),Stats!$L16),0)</f>
        <v>0</v>
      </c>
      <c r="S16" s="469">
        <f ca="1">IFERROR(COUNTIF(ADMIN!$S$251:INDEX(ADMIN!$S$251:$QC$251,1,ADMIN!$D$5*3-1),Stats!$L16),0)</f>
        <v>0</v>
      </c>
      <c r="T16" s="470">
        <f ca="1">IFERROR(COUNTIF(ADMIN!$S$250:INDEX(ADMIN!$S$250:$QC$250,1,ADMIN!$D$5*3-1),Stats!$L16),0)</f>
        <v>0</v>
      </c>
      <c r="U16" s="25"/>
      <c r="V16" s="11">
        <f t="shared" ca="1" si="0"/>
        <v>59</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row>
    <row r="17" spans="1:53" ht="15" customHeight="1">
      <c r="A17" s="25"/>
      <c r="B17" s="25"/>
      <c r="C17" s="17"/>
      <c r="D17" s="458" t="str">
        <f>Idiomas!D493&amp;TEXT($E$5,"dd/mm/aa")&amp;"?"</f>
        <v>Average points scored 3-4 &amp; Final?</v>
      </c>
      <c r="E17" s="459">
        <f ca="1">IFERROR(AVERAGE(DailyClas!$G$4:INDEX(DailyClas!$G$4:$G$150,ADMIN!$D$5)),0)</f>
        <v>36.593220338983052</v>
      </c>
      <c r="F17" s="460"/>
      <c r="G17" s="17"/>
      <c r="H17" s="457"/>
      <c r="I17" s="704"/>
      <c r="J17" s="707"/>
      <c r="K17" s="404"/>
      <c r="L17" s="132" t="str">
        <f ca="1">Horarios!Q12</f>
        <v>Colombia</v>
      </c>
      <c r="M17" s="471">
        <f ca="1">ADMIN!$D$5-SUM(N17:T17)</f>
        <v>1</v>
      </c>
      <c r="N17" s="471">
        <f ca="1">IFERROR(COUNTIF(ADMIN!$S$130:INDEX(ADMIN!$S$130:$QC$161,32,ADMIN!$D$5*3-1),Stats!$L17)-SUM(O17:T17),0)</f>
        <v>38</v>
      </c>
      <c r="O17" s="471">
        <f ca="1">COUNTIF(ADMIN!$S$182:INDEX(ADMIN!$S$182:$QC$197,16,ADMIN!$D$5*3-1),Stats!$L17)-SUM(P17:T17)</f>
        <v>19</v>
      </c>
      <c r="P17" s="471">
        <f ca="1">COUNTIF(ADMIN!$S$210:INDEX(ADMIN!$S$210:$QC$217,8,ADMIN!$D$5*3-1),Stats!$L17)-SUM(Q17:T17)</f>
        <v>1</v>
      </c>
      <c r="Q17" s="471">
        <f ca="1">COUNTIF(ADMIN!$S$226:INDEX(ADMIN!$S$226:$QC$229,4,ADMIN!$D$5*3-1),Stats!$L17)-SUM(R17:T17)</f>
        <v>0</v>
      </c>
      <c r="R17" s="471">
        <f ca="1">IFERROR(COUNTIF(ADMIN!$S$252:INDEX(ADMIN!$S$252:$QC$252,1,ADMIN!$D$5*3-1),Stats!$L17),0)</f>
        <v>0</v>
      </c>
      <c r="S17" s="471">
        <f ca="1">IFERROR(COUNTIF(ADMIN!$S$251:INDEX(ADMIN!$S$251:$QC$251,1,ADMIN!$D$5*3-1),Stats!$L17),0)</f>
        <v>0</v>
      </c>
      <c r="T17" s="472">
        <f ca="1">IFERROR(COUNTIF(ADMIN!$S$250:INDEX(ADMIN!$S$250:$QC$250,1,ADMIN!$D$5*3-1),Stats!$L17),0)</f>
        <v>0</v>
      </c>
      <c r="U17" s="25"/>
      <c r="V17" s="11">
        <f t="shared" ca="1" si="0"/>
        <v>59</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row>
    <row r="18" spans="1:53" ht="15" customHeight="1">
      <c r="A18" s="25"/>
      <c r="B18" s="25"/>
      <c r="C18" s="17"/>
      <c r="D18" s="17"/>
      <c r="E18" s="17"/>
      <c r="F18" s="17"/>
      <c r="G18" s="17"/>
      <c r="H18" s="454"/>
      <c r="I18" s="704"/>
      <c r="J18" s="404"/>
      <c r="K18" s="404"/>
      <c r="L18" s="133" t="str">
        <f ca="1">Horarios!Q13</f>
        <v>Croatia</v>
      </c>
      <c r="M18" s="469">
        <f ca="1">ADMIN!$D$5-SUM(N18:T18)</f>
        <v>3</v>
      </c>
      <c r="N18" s="469">
        <f ca="1">IFERROR(COUNTIF(ADMIN!$S$130:INDEX(ADMIN!$S$130:$QC$161,32,ADMIN!$D$5*3-1),Stats!$L18)-SUM(O18:T18),0)</f>
        <v>20</v>
      </c>
      <c r="O18" s="469">
        <f ca="1">COUNTIF(ADMIN!$S$182:INDEX(ADMIN!$S$182:$QC$197,16,ADMIN!$D$5*3-1),Stats!$L18)-SUM(P18:T18)</f>
        <v>32</v>
      </c>
      <c r="P18" s="469">
        <f ca="1">COUNTIF(ADMIN!$S$210:INDEX(ADMIN!$S$210:$QC$217,8,ADMIN!$D$5*3-1),Stats!$L18)-SUM(Q18:T18)</f>
        <v>3</v>
      </c>
      <c r="Q18" s="469">
        <f ca="1">COUNTIF(ADMIN!$S$226:INDEX(ADMIN!$S$226:$QC$229,4,ADMIN!$D$5*3-1),Stats!$L18)-SUM(R18:T18)</f>
        <v>1</v>
      </c>
      <c r="R18" s="469">
        <f ca="1">IFERROR(COUNTIF(ADMIN!$S$252:INDEX(ADMIN!$S$252:$QC$252,1,ADMIN!$D$5*3-1),Stats!$L18),0)</f>
        <v>0</v>
      </c>
      <c r="S18" s="469">
        <f ca="1">IFERROR(COUNTIF(ADMIN!$S$251:INDEX(ADMIN!$S$251:$QC$251,1,ADMIN!$D$5*3-1),Stats!$L18),0)</f>
        <v>0</v>
      </c>
      <c r="T18" s="470">
        <f ca="1">IFERROR(COUNTIF(ADMIN!$S$250:INDEX(ADMIN!$S$250:$QC$250,1,ADMIN!$D$5*3-1),Stats!$L18),0)</f>
        <v>0</v>
      </c>
      <c r="U18" s="25"/>
      <c r="V18" s="11">
        <f t="shared" ca="1" si="0"/>
        <v>59</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row>
    <row r="19" spans="1:53" ht="15" customHeight="1">
      <c r="A19" s="25"/>
      <c r="B19" s="25"/>
      <c r="C19" s="17"/>
      <c r="D19" s="17"/>
      <c r="E19" s="17"/>
      <c r="F19" s="17"/>
      <c r="G19" s="17"/>
      <c r="H19" s="457"/>
      <c r="I19" s="704"/>
      <c r="J19" s="475"/>
      <c r="K19" s="475"/>
      <c r="L19" s="132" t="str">
        <f ca="1">Horarios!Q14</f>
        <v>Curaçao</v>
      </c>
      <c r="M19" s="471">
        <f ca="1">ADMIN!$D$5-SUM(N19:T19)</f>
        <v>50</v>
      </c>
      <c r="N19" s="471">
        <f ca="1">IFERROR(COUNTIF(ADMIN!$S$130:INDEX(ADMIN!$S$130:$QC$161,32,ADMIN!$D$5*3-1),Stats!$L19)-SUM(O19:T19),0)</f>
        <v>8</v>
      </c>
      <c r="O19" s="471">
        <f ca="1">COUNTIF(ADMIN!$S$182:INDEX(ADMIN!$S$182:$QC$197,16,ADMIN!$D$5*3-1),Stats!$L19)-SUM(P19:T19)</f>
        <v>1</v>
      </c>
      <c r="P19" s="471">
        <f ca="1">COUNTIF(ADMIN!$S$210:INDEX(ADMIN!$S$210:$QC$217,8,ADMIN!$D$5*3-1),Stats!$L19)-SUM(Q19:T19)</f>
        <v>0</v>
      </c>
      <c r="Q19" s="471">
        <f ca="1">COUNTIF(ADMIN!$S$226:INDEX(ADMIN!$S$226:$QC$229,4,ADMIN!$D$5*3-1),Stats!$L19)-SUM(R19:T19)</f>
        <v>0</v>
      </c>
      <c r="R19" s="471">
        <f ca="1">IFERROR(COUNTIF(ADMIN!$S$252:INDEX(ADMIN!$S$252:$QC$252,1,ADMIN!$D$5*3-1),Stats!$L19),0)</f>
        <v>0</v>
      </c>
      <c r="S19" s="471">
        <f ca="1">IFERROR(COUNTIF(ADMIN!$S$251:INDEX(ADMIN!$S$251:$QC$251,1,ADMIN!$D$5*3-1),Stats!$L19),0)</f>
        <v>0</v>
      </c>
      <c r="T19" s="472">
        <f ca="1">IFERROR(COUNTIF(ADMIN!$S$250:INDEX(ADMIN!$S$250:$QC$250,1,ADMIN!$D$5*3-1),Stats!$L19),0)</f>
        <v>0</v>
      </c>
      <c r="U19" s="25"/>
      <c r="V19" s="11">
        <f t="shared" ca="1" si="0"/>
        <v>59</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row>
    <row r="20" spans="1:53" ht="15" customHeight="1">
      <c r="A20" s="25"/>
      <c r="B20" s="25"/>
      <c r="C20" s="17"/>
      <c r="D20" s="17"/>
      <c r="E20" s="17"/>
      <c r="F20" s="17"/>
      <c r="G20" s="17"/>
      <c r="H20" s="454"/>
      <c r="I20" s="704"/>
      <c r="J20" s="475"/>
      <c r="K20" s="475"/>
      <c r="L20" s="133" t="str">
        <f ca="1">Horarios!Q15</f>
        <v>Czech Republic</v>
      </c>
      <c r="M20" s="469">
        <f ca="1">ADMIN!$D$5-SUM(N20:T20)</f>
        <v>11</v>
      </c>
      <c r="N20" s="469">
        <f ca="1">IFERROR(COUNTIF(ADMIN!$S$130:INDEX(ADMIN!$S$130:$QC$161,32,ADMIN!$D$5*3-1),Stats!$L20)-SUM(O20:T20),0)</f>
        <v>25</v>
      </c>
      <c r="O20" s="469">
        <f ca="1">COUNTIF(ADMIN!$S$182:INDEX(ADMIN!$S$182:$QC$197,16,ADMIN!$D$5*3-1),Stats!$L20)-SUM(P20:T20)</f>
        <v>21</v>
      </c>
      <c r="P20" s="469">
        <f ca="1">COUNTIF(ADMIN!$S$210:INDEX(ADMIN!$S$210:$QC$217,8,ADMIN!$D$5*3-1),Stats!$L20)-SUM(Q20:T20)</f>
        <v>2</v>
      </c>
      <c r="Q20" s="469">
        <f ca="1">COUNTIF(ADMIN!$S$226:INDEX(ADMIN!$S$226:$QC$229,4,ADMIN!$D$5*3-1),Stats!$L20)-SUM(R20:T20)</f>
        <v>0</v>
      </c>
      <c r="R20" s="469">
        <f ca="1">IFERROR(COUNTIF(ADMIN!$S$252:INDEX(ADMIN!$S$252:$QC$252,1,ADMIN!$D$5*3-1),Stats!$L20),0)</f>
        <v>0</v>
      </c>
      <c r="S20" s="469">
        <f ca="1">IFERROR(COUNTIF(ADMIN!$S$251:INDEX(ADMIN!$S$251:$QC$251,1,ADMIN!$D$5*3-1),Stats!$L20),0)</f>
        <v>0</v>
      </c>
      <c r="T20" s="470">
        <f ca="1">IFERROR(COUNTIF(ADMIN!$S$250:INDEX(ADMIN!$S$250:$QC$250,1,ADMIN!$D$5*3-1),Stats!$L20),0)</f>
        <v>0</v>
      </c>
      <c r="U20" s="25"/>
      <c r="V20" s="11">
        <f ca="1">SUM(M20:T20)</f>
        <v>59</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row>
    <row r="21" spans="1:53" ht="15" customHeight="1">
      <c r="A21" s="25" t="s">
        <v>1712</v>
      </c>
      <c r="B21" s="25" t="s">
        <v>1713</v>
      </c>
      <c r="C21" s="17"/>
      <c r="D21" s="17"/>
      <c r="E21" s="17"/>
      <c r="F21" s="17"/>
      <c r="G21" s="17"/>
      <c r="H21" s="457"/>
      <c r="I21" s="704"/>
      <c r="J21" s="475"/>
      <c r="K21" s="475"/>
      <c r="L21" s="132" t="str">
        <f ca="1">Horarios!Q16</f>
        <v>DR Congo</v>
      </c>
      <c r="M21" s="471">
        <f ca="1">ADMIN!$D$5-SUM(N21:T21)</f>
        <v>50</v>
      </c>
      <c r="N21" s="471">
        <f ca="1">IFERROR(COUNTIF(ADMIN!$S$130:INDEX(ADMIN!$S$130:$QC$161,32,ADMIN!$D$5*3-1),Stats!$L21)-SUM(O21:T21),0)</f>
        <v>8</v>
      </c>
      <c r="O21" s="471">
        <f ca="1">COUNTIF(ADMIN!$S$182:INDEX(ADMIN!$S$182:$QC$197,16,ADMIN!$D$5*3-1),Stats!$L21)-SUM(P21:T21)</f>
        <v>1</v>
      </c>
      <c r="P21" s="471">
        <f ca="1">COUNTIF(ADMIN!$S$210:INDEX(ADMIN!$S$210:$QC$217,8,ADMIN!$D$5*3-1),Stats!$L21)-SUM(Q21:T21)</f>
        <v>0</v>
      </c>
      <c r="Q21" s="471">
        <f ca="1">COUNTIF(ADMIN!$S$226:INDEX(ADMIN!$S$226:$QC$229,4,ADMIN!$D$5*3-1),Stats!$L21)-SUM(R21:T21)</f>
        <v>0</v>
      </c>
      <c r="R21" s="471">
        <f ca="1">IFERROR(COUNTIF(ADMIN!$S$252:INDEX(ADMIN!$S$252:$QC$252,1,ADMIN!$D$5*3-1),Stats!$L21),0)</f>
        <v>0</v>
      </c>
      <c r="S21" s="471">
        <f ca="1">IFERROR(COUNTIF(ADMIN!$S$251:INDEX(ADMIN!$S$251:$QC$251,1,ADMIN!$D$5*3-1),Stats!$L21),0)</f>
        <v>0</v>
      </c>
      <c r="T21" s="472">
        <f ca="1">IFERROR(COUNTIF(ADMIN!$S$250:INDEX(ADMIN!$S$250:$QC$250,1,ADMIN!$D$5*3-1),Stats!$L21),0)</f>
        <v>0</v>
      </c>
      <c r="U21" s="25"/>
      <c r="V21" s="11">
        <f t="shared" ca="1" si="0"/>
        <v>59</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row>
    <row r="22" spans="1:53" ht="15" customHeight="1">
      <c r="A22" s="25">
        <v>1</v>
      </c>
      <c r="B22" s="25">
        <f ca="1">IFERROR(SUMIF(ADMIN!$G$6:$G$258,A22,ADMIN!$F$6:$F$258),"")</f>
        <v>20</v>
      </c>
      <c r="C22" s="17"/>
      <c r="D22" s="17"/>
      <c r="E22" s="17"/>
      <c r="F22" s="17"/>
      <c r="G22" s="17"/>
      <c r="H22" s="454"/>
      <c r="I22" s="704"/>
      <c r="J22" s="475"/>
      <c r="K22" s="475"/>
      <c r="L22" s="133" t="str">
        <f ca="1">Horarios!Q17</f>
        <v>Ecuador</v>
      </c>
      <c r="M22" s="469">
        <f ca="1">ADMIN!$D$5-SUM(N22:T22)</f>
        <v>9</v>
      </c>
      <c r="N22" s="469">
        <f ca="1">IFERROR(COUNTIF(ADMIN!$S$130:INDEX(ADMIN!$S$130:$QC$161,32,ADMIN!$D$5*3-1),Stats!$L22)-SUM(O22:T22),0)</f>
        <v>33</v>
      </c>
      <c r="O22" s="469">
        <f ca="1">COUNTIF(ADMIN!$S$182:INDEX(ADMIN!$S$182:$QC$197,16,ADMIN!$D$5*3-1),Stats!$L22)-SUM(P22:T22)</f>
        <v>16</v>
      </c>
      <c r="P22" s="469">
        <f ca="1">COUNTIF(ADMIN!$S$210:INDEX(ADMIN!$S$210:$QC$217,8,ADMIN!$D$5*3-1),Stats!$L22)-SUM(Q22:T22)</f>
        <v>1</v>
      </c>
      <c r="Q22" s="469">
        <f ca="1">COUNTIF(ADMIN!$S$226:INDEX(ADMIN!$S$226:$QC$229,4,ADMIN!$D$5*3-1),Stats!$L22)-SUM(R22:T22)</f>
        <v>0</v>
      </c>
      <c r="R22" s="469">
        <f ca="1">IFERROR(COUNTIF(ADMIN!$S$252:INDEX(ADMIN!$S$252:$QC$252,1,ADMIN!$D$5*3-1),Stats!$L22),0)</f>
        <v>0</v>
      </c>
      <c r="S22" s="469">
        <f ca="1">IFERROR(COUNTIF(ADMIN!$S$251:INDEX(ADMIN!$S$251:$QC$251,1,ADMIN!$D$5*3-1),Stats!$L22),0)</f>
        <v>0</v>
      </c>
      <c r="T22" s="470">
        <f ca="1">IFERROR(COUNTIF(ADMIN!$S$250:INDEX(ADMIN!$S$250:$QC$250,1,ADMIN!$D$5*3-1),Stats!$L22),0)</f>
        <v>0</v>
      </c>
      <c r="U22" s="25"/>
      <c r="V22" s="11">
        <f t="shared" ca="1" si="0"/>
        <v>59</v>
      </c>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row>
    <row r="23" spans="1:53" ht="15" customHeight="1">
      <c r="A23" s="25">
        <v>2</v>
      </c>
      <c r="B23" s="25">
        <f ca="1">IFERROR(SUMIF(ADMIN!$G$6:$G$258,A23,ADMIN!$F$6:$F$258),"")</f>
        <v>40</v>
      </c>
      <c r="C23" s="17"/>
      <c r="D23" s="17"/>
      <c r="E23" s="17"/>
      <c r="F23" s="17"/>
      <c r="G23" s="17"/>
      <c r="H23" s="457"/>
      <c r="I23" s="704"/>
      <c r="J23" s="475"/>
      <c r="K23" s="475"/>
      <c r="L23" s="132" t="str">
        <f ca="1">Horarios!Q18</f>
        <v>Egypt</v>
      </c>
      <c r="M23" s="471">
        <f ca="1">ADMIN!$D$5-SUM(N23:T23)</f>
        <v>8</v>
      </c>
      <c r="N23" s="471">
        <f ca="1">IFERROR(COUNTIF(ADMIN!$S$130:INDEX(ADMIN!$S$130:$QC$161,32,ADMIN!$D$5*3-1),Stats!$L23)-SUM(O23:T23),0)</f>
        <v>41</v>
      </c>
      <c r="O23" s="471">
        <f ca="1">COUNTIF(ADMIN!$S$182:INDEX(ADMIN!$S$182:$QC$197,16,ADMIN!$D$5*3-1),Stats!$L23)-SUM(P23:T23)</f>
        <v>8</v>
      </c>
      <c r="P23" s="471">
        <f ca="1">COUNTIF(ADMIN!$S$210:INDEX(ADMIN!$S$210:$QC$217,8,ADMIN!$D$5*3-1),Stats!$L23)-SUM(Q23:T23)</f>
        <v>1</v>
      </c>
      <c r="Q23" s="471">
        <f ca="1">COUNTIF(ADMIN!$S$226:INDEX(ADMIN!$S$226:$QC$229,4,ADMIN!$D$5*3-1),Stats!$L23)-SUM(R23:T23)</f>
        <v>1</v>
      </c>
      <c r="R23" s="471">
        <f ca="1">IFERROR(COUNTIF(ADMIN!$S$252:INDEX(ADMIN!$S$252:$QC$252,1,ADMIN!$D$5*3-1),Stats!$L23),0)</f>
        <v>0</v>
      </c>
      <c r="S23" s="471">
        <f ca="1">IFERROR(COUNTIF(ADMIN!$S$251:INDEX(ADMIN!$S$251:$QC$251,1,ADMIN!$D$5*3-1),Stats!$L23),0)</f>
        <v>0</v>
      </c>
      <c r="T23" s="472">
        <f ca="1">IFERROR(COUNTIF(ADMIN!$S$250:INDEX(ADMIN!$S$250:$QC$250,1,ADMIN!$D$5*3-1),Stats!$L23),0)</f>
        <v>0</v>
      </c>
      <c r="U23" s="25"/>
      <c r="V23" s="11">
        <f t="shared" ca="1" si="0"/>
        <v>59</v>
      </c>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row>
    <row r="24" spans="1:53" ht="15" customHeight="1">
      <c r="A24" s="25">
        <v>3</v>
      </c>
      <c r="B24" s="25">
        <f ca="1">IFERROR(SUMIF(ADMIN!$G$6:$G$258,A24,ADMIN!$F$6:$F$258),"")</f>
        <v>40</v>
      </c>
      <c r="C24" s="17"/>
      <c r="D24" s="17"/>
      <c r="E24" s="17"/>
      <c r="F24" s="17"/>
      <c r="G24" s="17"/>
      <c r="H24" s="454"/>
      <c r="I24" s="704"/>
      <c r="J24" s="475"/>
      <c r="K24" s="475"/>
      <c r="L24" s="133" t="str">
        <f ca="1">Horarios!Q19</f>
        <v>England</v>
      </c>
      <c r="M24" s="469">
        <f ca="1">ADMIN!$D$5-SUM(N24:T24)</f>
        <v>0</v>
      </c>
      <c r="N24" s="469">
        <f ca="1">IFERROR(COUNTIF(ADMIN!$S$130:INDEX(ADMIN!$S$130:$QC$161,32,ADMIN!$D$5*3-1),Stats!$L24)-SUM(O24:T24),0)</f>
        <v>3</v>
      </c>
      <c r="O24" s="469">
        <f ca="1">COUNTIF(ADMIN!$S$182:INDEX(ADMIN!$S$182:$QC$197,16,ADMIN!$D$5*3-1),Stats!$L24)-SUM(P24:T24)</f>
        <v>8</v>
      </c>
      <c r="P24" s="469">
        <f ca="1">COUNTIF(ADMIN!$S$210:INDEX(ADMIN!$S$210:$QC$217,8,ADMIN!$D$5*3-1),Stats!$L24)-SUM(Q24:T24)</f>
        <v>21</v>
      </c>
      <c r="Q24" s="469">
        <f ca="1">COUNTIF(ADMIN!$S$226:INDEX(ADMIN!$S$226:$QC$229,4,ADMIN!$D$5*3-1),Stats!$L24)-SUM(R24:T24)</f>
        <v>11</v>
      </c>
      <c r="R24" s="469">
        <f ca="1">IFERROR(COUNTIF(ADMIN!$S$252:INDEX(ADMIN!$S$252:$QC$252,1,ADMIN!$D$5*3-1),Stats!$L24),0)</f>
        <v>5</v>
      </c>
      <c r="S24" s="469">
        <f ca="1">IFERROR(COUNTIF(ADMIN!$S$251:INDEX(ADMIN!$S$251:$QC$251,1,ADMIN!$D$5*3-1),Stats!$L24),0)</f>
        <v>10</v>
      </c>
      <c r="T24" s="470">
        <f ca="1">IFERROR(COUNTIF(ADMIN!$S$250:INDEX(ADMIN!$S$250:$QC$250,1,ADMIN!$D$5*3-1),Stats!$L24),0)</f>
        <v>1</v>
      </c>
      <c r="U24" s="25"/>
      <c r="V24" s="11">
        <f t="shared" ca="1" si="0"/>
        <v>59</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row>
    <row r="25" spans="1:53" ht="15" customHeight="1">
      <c r="A25" s="25">
        <v>4</v>
      </c>
      <c r="B25" s="25">
        <f ca="1">IFERROR(SUMIF(ADMIN!$G$6:$G$258,A25,ADMIN!$F$6:$F$258),"")</f>
        <v>80</v>
      </c>
      <c r="C25" s="17"/>
      <c r="D25" s="17"/>
      <c r="E25" s="17"/>
      <c r="F25" s="17"/>
      <c r="G25" s="17"/>
      <c r="H25" s="457"/>
      <c r="I25" s="704"/>
      <c r="J25" s="475"/>
      <c r="K25" s="475"/>
      <c r="L25" s="132" t="str">
        <f ca="1">Horarios!Q20</f>
        <v>France</v>
      </c>
      <c r="M25" s="471">
        <f ca="1">ADMIN!$D$5-SUM(N25:T25)</f>
        <v>0</v>
      </c>
      <c r="N25" s="471">
        <f ca="1">IFERROR(COUNTIF(ADMIN!$S$130:INDEX(ADMIN!$S$130:$QC$161,32,ADMIN!$D$5*3-1),Stats!$L25)-SUM(O25:T25),0)</f>
        <v>2</v>
      </c>
      <c r="O25" s="471">
        <f ca="1">COUNTIF(ADMIN!$S$182:INDEX(ADMIN!$S$182:$QC$197,16,ADMIN!$D$5*3-1),Stats!$L25)-SUM(P25:T25)</f>
        <v>10</v>
      </c>
      <c r="P25" s="471">
        <f ca="1">COUNTIF(ADMIN!$S$210:INDEX(ADMIN!$S$210:$QC$217,8,ADMIN!$D$5*3-1),Stats!$L25)-SUM(Q25:T25)</f>
        <v>9</v>
      </c>
      <c r="Q25" s="471">
        <f ca="1">COUNTIF(ADMIN!$S$226:INDEX(ADMIN!$S$226:$QC$229,4,ADMIN!$D$5*3-1),Stats!$L25)-SUM(R25:T25)</f>
        <v>2</v>
      </c>
      <c r="R25" s="471">
        <f ca="1">IFERROR(COUNTIF(ADMIN!$S$252:INDEX(ADMIN!$S$252:$QC$252,1,ADMIN!$D$5*3-1),Stats!$L25),0)</f>
        <v>12</v>
      </c>
      <c r="S25" s="471">
        <f ca="1">IFERROR(COUNTIF(ADMIN!$S$251:INDEX(ADMIN!$S$251:$QC$251,1,ADMIN!$D$5*3-1),Stats!$L25),0)</f>
        <v>2</v>
      </c>
      <c r="T25" s="472">
        <f ca="1">IFERROR(COUNTIF(ADMIN!$S$250:INDEX(ADMIN!$S$250:$QC$250,1,ADMIN!$D$5*3-1),Stats!$L25),0)</f>
        <v>22</v>
      </c>
      <c r="U25" s="25"/>
      <c r="V25" s="11">
        <f t="shared" ca="1" si="0"/>
        <v>59</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row>
    <row r="26" spans="1:53" ht="15" customHeight="1">
      <c r="A26" s="25">
        <v>5</v>
      </c>
      <c r="B26" s="25">
        <f ca="1">IFERROR(SUMIF(ADMIN!$G$6:$G$258,A26,ADMIN!$F$6:$F$258),"")</f>
        <v>100</v>
      </c>
      <c r="C26" s="17"/>
      <c r="D26" s="17"/>
      <c r="E26" s="17"/>
      <c r="F26" s="17"/>
      <c r="G26" s="17"/>
      <c r="H26" s="454"/>
      <c r="I26" s="704"/>
      <c r="J26" s="475"/>
      <c r="K26" s="475"/>
      <c r="L26" s="133" t="str">
        <f ca="1">Horarios!Q21</f>
        <v>Germany</v>
      </c>
      <c r="M26" s="469">
        <f ca="1">ADMIN!$D$5-SUM(N26:T26)</f>
        <v>0</v>
      </c>
      <c r="N26" s="469">
        <f ca="1">IFERROR(COUNTIF(ADMIN!$S$130:INDEX(ADMIN!$S$130:$QC$161,32,ADMIN!$D$5*3-1),Stats!$L26)-SUM(O26:T26),0)</f>
        <v>2</v>
      </c>
      <c r="O26" s="469">
        <f ca="1">COUNTIF(ADMIN!$S$182:INDEX(ADMIN!$S$182:$QC$197,16,ADMIN!$D$5*3-1),Stats!$L26)-SUM(P26:T26)</f>
        <v>44</v>
      </c>
      <c r="P26" s="469">
        <f ca="1">COUNTIF(ADMIN!$S$210:INDEX(ADMIN!$S$210:$QC$217,8,ADMIN!$D$5*3-1),Stats!$L26)-SUM(Q26:T26)</f>
        <v>4</v>
      </c>
      <c r="Q26" s="469">
        <f ca="1">COUNTIF(ADMIN!$S$226:INDEX(ADMIN!$S$226:$QC$229,4,ADMIN!$D$5*3-1),Stats!$L26)-SUM(R26:T26)</f>
        <v>4</v>
      </c>
      <c r="R26" s="469">
        <f ca="1">IFERROR(COUNTIF(ADMIN!$S$252:INDEX(ADMIN!$S$252:$QC$252,1,ADMIN!$D$5*3-1),Stats!$L26),0)</f>
        <v>2</v>
      </c>
      <c r="S26" s="469">
        <f ca="1">IFERROR(COUNTIF(ADMIN!$S$251:INDEX(ADMIN!$S$251:$QC$251,1,ADMIN!$D$5*3-1),Stats!$L26),0)</f>
        <v>3</v>
      </c>
      <c r="T26" s="470">
        <f ca="1">IFERROR(COUNTIF(ADMIN!$S$250:INDEX(ADMIN!$S$250:$QC$250,1,ADMIN!$D$5*3-1),Stats!$L26),0)</f>
        <v>0</v>
      </c>
      <c r="U26" s="25"/>
      <c r="V26" s="11">
        <f t="shared" ca="1" si="0"/>
        <v>59</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row>
    <row r="27" spans="1:53" ht="15" customHeight="1">
      <c r="A27" s="25">
        <v>6</v>
      </c>
      <c r="B27" s="25">
        <f ca="1">IFERROR(SUMIF(ADMIN!$G$6:$G$258,A27,ADMIN!$F$6:$F$258),"")</f>
        <v>60</v>
      </c>
      <c r="C27" s="17"/>
      <c r="D27" s="17"/>
      <c r="E27" s="17"/>
      <c r="F27" s="17"/>
      <c r="G27" s="17"/>
      <c r="H27" s="457"/>
      <c r="I27" s="704"/>
      <c r="J27" s="475"/>
      <c r="K27" s="475"/>
      <c r="L27" s="132" t="str">
        <f ca="1">Horarios!Q22</f>
        <v>Ghana</v>
      </c>
      <c r="M27" s="471">
        <f ca="1">ADMIN!$D$5-SUM(N27:T27)</f>
        <v>9</v>
      </c>
      <c r="N27" s="471">
        <f ca="1">IFERROR(COUNTIF(ADMIN!$S$130:INDEX(ADMIN!$S$130:$QC$161,32,ADMIN!$D$5*3-1),Stats!$L27)-SUM(O27:T27),0)</f>
        <v>45</v>
      </c>
      <c r="O27" s="471">
        <f ca="1">COUNTIF(ADMIN!$S$182:INDEX(ADMIN!$S$182:$QC$197,16,ADMIN!$D$5*3-1),Stats!$L27)-SUM(P27:T27)</f>
        <v>5</v>
      </c>
      <c r="P27" s="471">
        <f ca="1">COUNTIF(ADMIN!$S$210:INDEX(ADMIN!$S$210:$QC$217,8,ADMIN!$D$5*3-1),Stats!$L27)-SUM(Q27:T27)</f>
        <v>0</v>
      </c>
      <c r="Q27" s="471">
        <f ca="1">COUNTIF(ADMIN!$S$226:INDEX(ADMIN!$S$226:$QC$229,4,ADMIN!$D$5*3-1),Stats!$L27)-SUM(R27:T27)</f>
        <v>0</v>
      </c>
      <c r="R27" s="471">
        <f ca="1">IFERROR(COUNTIF(ADMIN!$S$252:INDEX(ADMIN!$S$252:$QC$252,1,ADMIN!$D$5*3-1),Stats!$L27),0)</f>
        <v>0</v>
      </c>
      <c r="S27" s="471">
        <f ca="1">IFERROR(COUNTIF(ADMIN!$S$251:INDEX(ADMIN!$S$251:$QC$251,1,ADMIN!$D$5*3-1),Stats!$L27),0)</f>
        <v>0</v>
      </c>
      <c r="T27" s="472">
        <f ca="1">IFERROR(COUNTIF(ADMIN!$S$250:INDEX(ADMIN!$S$250:$QC$250,1,ADMIN!$D$5*3-1),Stats!$L27),0)</f>
        <v>0</v>
      </c>
      <c r="U27" s="25"/>
      <c r="V27" s="11">
        <f t="shared" ca="1" si="0"/>
        <v>59</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row>
    <row r="28" spans="1:53" ht="15" customHeight="1">
      <c r="A28" s="25">
        <v>7</v>
      </c>
      <c r="B28" s="25">
        <f ca="1">IFERROR(SUMIF(ADMIN!$G$6:$G$258,A28,ADMIN!$F$6:$F$258),"")</f>
        <v>80</v>
      </c>
      <c r="C28" s="17"/>
      <c r="D28" s="17"/>
      <c r="E28" s="17"/>
      <c r="F28" s="17"/>
      <c r="G28" s="17"/>
      <c r="H28" s="454"/>
      <c r="I28" s="704"/>
      <c r="J28" s="475"/>
      <c r="K28" s="475"/>
      <c r="L28" s="133" t="str">
        <f ca="1">Horarios!Q23</f>
        <v>Haiti</v>
      </c>
      <c r="M28" s="469">
        <f ca="1">ADMIN!$D$5-SUM(N28:T28)</f>
        <v>58</v>
      </c>
      <c r="N28" s="469">
        <f ca="1">IFERROR(COUNTIF(ADMIN!$S$130:INDEX(ADMIN!$S$130:$QC$161,32,ADMIN!$D$5*3-1),Stats!$L28)-SUM(O28:T28),0)</f>
        <v>1</v>
      </c>
      <c r="O28" s="469">
        <f ca="1">COUNTIF(ADMIN!$S$182:INDEX(ADMIN!$S$182:$QC$197,16,ADMIN!$D$5*3-1),Stats!$L28)-SUM(P28:T28)</f>
        <v>0</v>
      </c>
      <c r="P28" s="469">
        <f ca="1">COUNTIF(ADMIN!$S$210:INDEX(ADMIN!$S$210:$QC$217,8,ADMIN!$D$5*3-1),Stats!$L28)-SUM(Q28:T28)</f>
        <v>0</v>
      </c>
      <c r="Q28" s="469">
        <f ca="1">COUNTIF(ADMIN!$S$226:INDEX(ADMIN!$S$226:$QC$229,4,ADMIN!$D$5*3-1),Stats!$L28)-SUM(R28:T28)</f>
        <v>0</v>
      </c>
      <c r="R28" s="469">
        <f ca="1">IFERROR(COUNTIF(ADMIN!$S$252:INDEX(ADMIN!$S$252:$QC$252,1,ADMIN!$D$5*3-1),Stats!$L28),0)</f>
        <v>0</v>
      </c>
      <c r="S28" s="469">
        <f ca="1">IFERROR(COUNTIF(ADMIN!$S$251:INDEX(ADMIN!$S$251:$QC$251,1,ADMIN!$D$5*3-1),Stats!$L28),0)</f>
        <v>0</v>
      </c>
      <c r="T28" s="470">
        <f ca="1">IFERROR(COUNTIF(ADMIN!$S$250:INDEX(ADMIN!$S$250:$QC$250,1,ADMIN!$D$5*3-1),Stats!$L28),0)</f>
        <v>0</v>
      </c>
      <c r="U28" s="25"/>
      <c r="V28" s="11">
        <f t="shared" ca="1" si="0"/>
        <v>59</v>
      </c>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row>
    <row r="29" spans="1:53" ht="15" customHeight="1">
      <c r="A29" s="25">
        <v>8</v>
      </c>
      <c r="B29" s="25">
        <f ca="1">IFERROR(SUMIF(ADMIN!$G$6:$G$258,A29,ADMIN!$F$6:$F$258),"")</f>
        <v>100</v>
      </c>
      <c r="C29" s="17"/>
      <c r="D29" s="17"/>
      <c r="E29" s="17"/>
      <c r="F29" s="17"/>
      <c r="G29" s="17"/>
      <c r="H29" s="457"/>
      <c r="I29" s="704"/>
      <c r="J29" s="475"/>
      <c r="K29" s="475"/>
      <c r="L29" s="132" t="str">
        <f ca="1">Horarios!Q24</f>
        <v>Iran</v>
      </c>
      <c r="M29" s="471">
        <f ca="1">ADMIN!$D$5-SUM(N29:T29)</f>
        <v>29</v>
      </c>
      <c r="N29" s="471">
        <f ca="1">IFERROR(COUNTIF(ADMIN!$S$130:INDEX(ADMIN!$S$130:$QC$161,32,ADMIN!$D$5*3-1),Stats!$L29)-SUM(O29:T29),0)</f>
        <v>24</v>
      </c>
      <c r="O29" s="471">
        <f ca="1">COUNTIF(ADMIN!$S$182:INDEX(ADMIN!$S$182:$QC$197,16,ADMIN!$D$5*3-1),Stats!$L29)-SUM(P29:T29)</f>
        <v>4</v>
      </c>
      <c r="P29" s="471">
        <f ca="1">COUNTIF(ADMIN!$S$210:INDEX(ADMIN!$S$210:$QC$217,8,ADMIN!$D$5*3-1),Stats!$L29)-SUM(Q29:T29)</f>
        <v>1</v>
      </c>
      <c r="Q29" s="471">
        <f ca="1">COUNTIF(ADMIN!$S$226:INDEX(ADMIN!$S$226:$QC$229,4,ADMIN!$D$5*3-1),Stats!$L29)-SUM(R29:T29)</f>
        <v>0</v>
      </c>
      <c r="R29" s="471">
        <f ca="1">IFERROR(COUNTIF(ADMIN!$S$252:INDEX(ADMIN!$S$252:$QC$252,1,ADMIN!$D$5*3-1),Stats!$L29),0)</f>
        <v>0</v>
      </c>
      <c r="S29" s="471">
        <f ca="1">IFERROR(COUNTIF(ADMIN!$S$251:INDEX(ADMIN!$S$251:$QC$251,1,ADMIN!$D$5*3-1),Stats!$L29),0)</f>
        <v>0</v>
      </c>
      <c r="T29" s="472">
        <f ca="1">IFERROR(COUNTIF(ADMIN!$S$250:INDEX(ADMIN!$S$250:$QC$250,1,ADMIN!$D$5*3-1),Stats!$L29),0)</f>
        <v>1</v>
      </c>
      <c r="U29" s="25"/>
      <c r="V29" s="11">
        <f t="shared" ca="1" si="0"/>
        <v>59</v>
      </c>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row>
    <row r="30" spans="1:53" ht="15" customHeight="1">
      <c r="A30" s="25">
        <v>9</v>
      </c>
      <c r="B30" s="25">
        <f ca="1">IFERROR(SUMIF(ADMIN!$G$6:$G$258,A30,ADMIN!$F$6:$F$258),"")</f>
        <v>60</v>
      </c>
      <c r="C30" s="17"/>
      <c r="D30" s="17"/>
      <c r="E30" s="17"/>
      <c r="F30" s="17"/>
      <c r="G30" s="17"/>
      <c r="H30" s="454"/>
      <c r="I30" s="704"/>
      <c r="J30" s="475"/>
      <c r="K30" s="475"/>
      <c r="L30" s="133" t="str">
        <f ca="1">Horarios!Q25</f>
        <v>Iraq</v>
      </c>
      <c r="M30" s="469">
        <f ca="1">ADMIN!$D$5-SUM(N30:T30)</f>
        <v>58</v>
      </c>
      <c r="N30" s="469">
        <f ca="1">IFERROR(COUNTIF(ADMIN!$S$130:INDEX(ADMIN!$S$130:$QC$161,32,ADMIN!$D$5*3-1),Stats!$L30)-SUM(O30:T30),0)</f>
        <v>1</v>
      </c>
      <c r="O30" s="469">
        <f ca="1">COUNTIF(ADMIN!$S$182:INDEX(ADMIN!$S$182:$QC$197,16,ADMIN!$D$5*3-1),Stats!$L30)-SUM(P30:T30)</f>
        <v>0</v>
      </c>
      <c r="P30" s="469">
        <f ca="1">COUNTIF(ADMIN!$S$210:INDEX(ADMIN!$S$210:$QC$217,8,ADMIN!$D$5*3-1),Stats!$L30)-SUM(Q30:T30)</f>
        <v>0</v>
      </c>
      <c r="Q30" s="469">
        <f ca="1">COUNTIF(ADMIN!$S$226:INDEX(ADMIN!$S$226:$QC$229,4,ADMIN!$D$5*3-1),Stats!$L30)-SUM(R30:T30)</f>
        <v>0</v>
      </c>
      <c r="R30" s="469">
        <f ca="1">IFERROR(COUNTIF(ADMIN!$S$252:INDEX(ADMIN!$S$252:$QC$252,1,ADMIN!$D$5*3-1),Stats!$L30),0)</f>
        <v>0</v>
      </c>
      <c r="S30" s="469">
        <f ca="1">IFERROR(COUNTIF(ADMIN!$S$251:INDEX(ADMIN!$S$251:$QC$251,1,ADMIN!$D$5*3-1),Stats!$L30),0)</f>
        <v>0</v>
      </c>
      <c r="T30" s="470">
        <f ca="1">IFERROR(COUNTIF(ADMIN!$S$250:INDEX(ADMIN!$S$250:$QC$250,1,ADMIN!$D$5*3-1),Stats!$L30),0)</f>
        <v>0</v>
      </c>
      <c r="U30" s="25"/>
      <c r="V30" s="11">
        <f t="shared" ca="1" si="0"/>
        <v>59</v>
      </c>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row>
    <row r="31" spans="1:53" ht="15" customHeight="1">
      <c r="A31" s="25">
        <v>10</v>
      </c>
      <c r="B31" s="25">
        <f ca="1">IFERROR(SUMIF(ADMIN!$G$6:$G$258,A31,ADMIN!$F$6:$F$258),"")</f>
        <v>80</v>
      </c>
      <c r="C31" s="17"/>
      <c r="D31" s="17"/>
      <c r="E31" s="17"/>
      <c r="F31" s="17"/>
      <c r="G31" s="17"/>
      <c r="H31" s="458"/>
      <c r="I31" s="705"/>
      <c r="J31" s="475"/>
      <c r="K31" s="475"/>
      <c r="L31" s="132" t="str">
        <f ca="1">Horarios!Q26</f>
        <v>Ivory Coast</v>
      </c>
      <c r="M31" s="471">
        <f ca="1">ADMIN!$D$5-SUM(N31:T31)</f>
        <v>15</v>
      </c>
      <c r="N31" s="471">
        <f ca="1">IFERROR(COUNTIF(ADMIN!$S$130:INDEX(ADMIN!$S$130:$QC$161,32,ADMIN!$D$5*3-1),Stats!$L31)-SUM(O31:T31),0)</f>
        <v>33</v>
      </c>
      <c r="O31" s="471">
        <f ca="1">COUNTIF(ADMIN!$S$182:INDEX(ADMIN!$S$182:$QC$197,16,ADMIN!$D$5*3-1),Stats!$L31)-SUM(P31:T31)</f>
        <v>11</v>
      </c>
      <c r="P31" s="471">
        <f ca="1">COUNTIF(ADMIN!$S$210:INDEX(ADMIN!$S$210:$QC$217,8,ADMIN!$D$5*3-1),Stats!$L31)-SUM(Q31:T31)</f>
        <v>0</v>
      </c>
      <c r="Q31" s="471">
        <f ca="1">COUNTIF(ADMIN!$S$226:INDEX(ADMIN!$S$226:$QC$229,4,ADMIN!$D$5*3-1),Stats!$L31)-SUM(R31:T31)</f>
        <v>0</v>
      </c>
      <c r="R31" s="471">
        <f ca="1">IFERROR(COUNTIF(ADMIN!$S$252:INDEX(ADMIN!$S$252:$QC$252,1,ADMIN!$D$5*3-1),Stats!$L31),0)</f>
        <v>0</v>
      </c>
      <c r="S31" s="471">
        <f ca="1">IFERROR(COUNTIF(ADMIN!$S$251:INDEX(ADMIN!$S$251:$QC$251,1,ADMIN!$D$5*3-1),Stats!$L31),0)</f>
        <v>0</v>
      </c>
      <c r="T31" s="472">
        <f ca="1">IFERROR(COUNTIF(ADMIN!$S$250:INDEX(ADMIN!$S$250:$QC$250,1,ADMIN!$D$5*3-1),Stats!$L31),0)</f>
        <v>0</v>
      </c>
      <c r="U31" s="25"/>
      <c r="V31" s="11">
        <f t="shared" ca="1" si="0"/>
        <v>59</v>
      </c>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row>
    <row r="32" spans="1:53" ht="15" customHeight="1">
      <c r="A32" s="25">
        <v>11</v>
      </c>
      <c r="B32" s="25">
        <f ca="1">IFERROR(SUMIF(ADMIN!$G$6:$G$258,A32,ADMIN!$F$6:$F$258),"")</f>
        <v>100</v>
      </c>
      <c r="C32" s="17"/>
      <c r="D32" s="17"/>
      <c r="E32" s="17"/>
      <c r="F32" s="17"/>
      <c r="G32" s="17"/>
      <c r="H32" s="17"/>
      <c r="I32" s="17"/>
      <c r="J32" s="475"/>
      <c r="K32" s="475"/>
      <c r="L32" s="133" t="str">
        <f ca="1">Horarios!Q27</f>
        <v>Japan</v>
      </c>
      <c r="M32" s="469">
        <f ca="1">ADMIN!$D$5-SUM(N32:T32)</f>
        <v>4</v>
      </c>
      <c r="N32" s="469">
        <f ca="1">IFERROR(COUNTIF(ADMIN!$S$130:INDEX(ADMIN!$S$130:$QC$161,32,ADMIN!$D$5*3-1),Stats!$L32)-SUM(O32:T32),0)</f>
        <v>47</v>
      </c>
      <c r="O32" s="469">
        <f ca="1">COUNTIF(ADMIN!$S$182:INDEX(ADMIN!$S$182:$QC$197,16,ADMIN!$D$5*3-1),Stats!$L32)-SUM(P32:T32)</f>
        <v>4</v>
      </c>
      <c r="P32" s="469">
        <f ca="1">COUNTIF(ADMIN!$S$210:INDEX(ADMIN!$S$210:$QC$217,8,ADMIN!$D$5*3-1),Stats!$L32)-SUM(Q32:T32)</f>
        <v>4</v>
      </c>
      <c r="Q32" s="469">
        <f ca="1">COUNTIF(ADMIN!$S$226:INDEX(ADMIN!$S$226:$QC$229,4,ADMIN!$D$5*3-1),Stats!$L32)-SUM(R32:T32)</f>
        <v>0</v>
      </c>
      <c r="R32" s="469">
        <f ca="1">IFERROR(COUNTIF(ADMIN!$S$252:INDEX(ADMIN!$S$252:$QC$252,1,ADMIN!$D$5*3-1),Stats!$L32),0)</f>
        <v>0</v>
      </c>
      <c r="S32" s="469">
        <f ca="1">IFERROR(COUNTIF(ADMIN!$S$251:INDEX(ADMIN!$S$251:$QC$251,1,ADMIN!$D$5*3-1),Stats!$L32),0)</f>
        <v>0</v>
      </c>
      <c r="T32" s="470">
        <f ca="1">IFERROR(COUNTIF(ADMIN!$S$250:INDEX(ADMIN!$S$250:$QC$250,1,ADMIN!$D$5*3-1),Stats!$L32),0)</f>
        <v>0</v>
      </c>
      <c r="U32" s="25"/>
      <c r="V32" s="11">
        <f t="shared" ca="1" si="0"/>
        <v>59</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row>
    <row r="33" spans="1:53" ht="15" customHeight="1">
      <c r="A33" s="25">
        <v>12</v>
      </c>
      <c r="B33" s="25">
        <f ca="1">IFERROR(SUMIF(ADMIN!$G$6:$G$258,A33,ADMIN!$F$6:$F$258),"")</f>
        <v>60</v>
      </c>
      <c r="C33" s="17"/>
      <c r="D33" s="17"/>
      <c r="E33" s="17"/>
      <c r="F33" s="17"/>
      <c r="G33" s="17"/>
      <c r="H33" s="17"/>
      <c r="I33" s="17"/>
      <c r="J33" s="475"/>
      <c r="K33" s="475"/>
      <c r="L33" s="132" t="str">
        <f ca="1">Horarios!Q28</f>
        <v>Jordan</v>
      </c>
      <c r="M33" s="471">
        <f ca="1">ADMIN!$D$5-SUM(N33:T33)</f>
        <v>58</v>
      </c>
      <c r="N33" s="471">
        <f ca="1">IFERROR(COUNTIF(ADMIN!$S$130:INDEX(ADMIN!$S$130:$QC$161,32,ADMIN!$D$5*3-1),Stats!$L33)-SUM(O33:T33),0)</f>
        <v>1</v>
      </c>
      <c r="O33" s="471">
        <f ca="1">COUNTIF(ADMIN!$S$182:INDEX(ADMIN!$S$182:$QC$197,16,ADMIN!$D$5*3-1),Stats!$L33)-SUM(P33:T33)</f>
        <v>0</v>
      </c>
      <c r="P33" s="471">
        <f ca="1">COUNTIF(ADMIN!$S$210:INDEX(ADMIN!$S$210:$QC$217,8,ADMIN!$D$5*3-1),Stats!$L33)-SUM(Q33:T33)</f>
        <v>0</v>
      </c>
      <c r="Q33" s="471">
        <f ca="1">COUNTIF(ADMIN!$S$226:INDEX(ADMIN!$S$226:$QC$229,4,ADMIN!$D$5*3-1),Stats!$L33)-SUM(R33:T33)</f>
        <v>0</v>
      </c>
      <c r="R33" s="471">
        <f ca="1">IFERROR(COUNTIF(ADMIN!$S$252:INDEX(ADMIN!$S$252:$QC$252,1,ADMIN!$D$5*3-1),Stats!$L33),0)</f>
        <v>0</v>
      </c>
      <c r="S33" s="471">
        <f ca="1">IFERROR(COUNTIF(ADMIN!$S$251:INDEX(ADMIN!$S$251:$QC$251,1,ADMIN!$D$5*3-1),Stats!$L33),0)</f>
        <v>0</v>
      </c>
      <c r="T33" s="472">
        <f ca="1">IFERROR(COUNTIF(ADMIN!$S$250:INDEX(ADMIN!$S$250:$QC$250,1,ADMIN!$D$5*3-1),Stats!$L33),0)</f>
        <v>0</v>
      </c>
      <c r="U33" s="25"/>
      <c r="V33" s="11">
        <f t="shared" ca="1" si="0"/>
        <v>59</v>
      </c>
      <c r="W33" s="11"/>
      <c r="X33" s="11"/>
      <c r="Y33" s="11"/>
      <c r="Z33" s="11" t="str" cm="1">
        <f t="array" aca="1" ref="Z33" ca="1">IFERROR(IF(_xlfn.ANCHORARRAY(Z35)&lt;&gt;"",COUNTIF(INDEX(OFFSET(DailyPrediction!$F$4,0,0,ADMIN!$D$3,COUNTA(DailyPrediction!$A$4:$A$23)),,MATCH(Stats!$I$5,OFFSET(DailyPrediction!$F$2,0,0,1,COUNTA(DailyPrediction!$A$4:$A$23)),0)),_xlfn.ANCHORARRAY(Z35)),""),"")</f>
        <v/>
      </c>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row>
    <row r="34" spans="1:53" ht="15" customHeight="1">
      <c r="A34" s="25">
        <v>13</v>
      </c>
      <c r="B34" s="25">
        <f ca="1">IFERROR(SUMIF(ADMIN!$G$6:$G$258,A34,ADMIN!$F$6:$F$258),"")</f>
        <v>80</v>
      </c>
      <c r="C34" s="17"/>
      <c r="D34" s="25">
        <f ca="1">IFERROR(IF(OR(AND($F$5&lt;19,LEFT($H$8,1)="1"),AND($F$5&lt;19,LEFT($H$8,1)="2"),AND($F$5&lt;19,LEFT($H$8,1)="X")),1,0),0)</f>
        <v>0</v>
      </c>
      <c r="E34" s="25"/>
      <c r="F34" s="25"/>
      <c r="G34" s="17"/>
      <c r="H34" s="17"/>
      <c r="I34" s="17"/>
      <c r="J34" s="475"/>
      <c r="K34" s="475"/>
      <c r="L34" s="133" t="str">
        <f ca="1">Horarios!Q29</f>
        <v>Mexico</v>
      </c>
      <c r="M34" s="469">
        <f ca="1">ADMIN!$D$5-SUM(N34:T34)</f>
        <v>0</v>
      </c>
      <c r="N34" s="469">
        <f ca="1">IFERROR(COUNTIF(ADMIN!$S$130:INDEX(ADMIN!$S$130:$QC$161,32,ADMIN!$D$5*3-1),Stats!$L34)-SUM(O34:T34),0)</f>
        <v>7</v>
      </c>
      <c r="O34" s="469">
        <f ca="1">COUNTIF(ADMIN!$S$182:INDEX(ADMIN!$S$182:$QC$197,16,ADMIN!$D$5*3-1),Stats!$L34)-SUM(P34:T34)</f>
        <v>46</v>
      </c>
      <c r="P34" s="469">
        <f ca="1">COUNTIF(ADMIN!$S$210:INDEX(ADMIN!$S$210:$QC$217,8,ADMIN!$D$5*3-1),Stats!$L34)-SUM(Q34:T34)</f>
        <v>5</v>
      </c>
      <c r="Q34" s="469">
        <f ca="1">COUNTIF(ADMIN!$S$226:INDEX(ADMIN!$S$226:$QC$229,4,ADMIN!$D$5*3-1),Stats!$L34)-SUM(R34:T34)</f>
        <v>1</v>
      </c>
      <c r="R34" s="469">
        <f ca="1">IFERROR(COUNTIF(ADMIN!$S$252:INDEX(ADMIN!$S$252:$QC$252,1,ADMIN!$D$5*3-1),Stats!$L34),0)</f>
        <v>0</v>
      </c>
      <c r="S34" s="469">
        <f ca="1">IFERROR(COUNTIF(ADMIN!$S$251:INDEX(ADMIN!$S$251:$QC$251,1,ADMIN!$D$5*3-1),Stats!$L34),0)</f>
        <v>0</v>
      </c>
      <c r="T34" s="470">
        <f ca="1">IFERROR(COUNTIF(ADMIN!$S$250:INDEX(ADMIN!$S$250:$QC$250,1,ADMIN!$D$5*3-1),Stats!$L34),0)</f>
        <v>0</v>
      </c>
      <c r="U34" s="25"/>
      <c r="V34" s="11">
        <f t="shared" ca="1" si="0"/>
        <v>59</v>
      </c>
      <c r="W34" s="11" t="s">
        <v>1754</v>
      </c>
      <c r="X34" s="11" t="s">
        <v>1753</v>
      </c>
      <c r="Y34" s="493" t="s">
        <v>1684</v>
      </c>
      <c r="Z34" s="493" t="s">
        <v>1686</v>
      </c>
      <c r="AA34" s="493" t="s">
        <v>1714</v>
      </c>
      <c r="AB34" s="493" t="s">
        <v>1715</v>
      </c>
      <c r="AC34" s="493" t="s">
        <v>1716</v>
      </c>
      <c r="AD34" s="493"/>
      <c r="AE34" s="8"/>
      <c r="AF34" s="8"/>
      <c r="AG34" s="493" t="s">
        <v>1717</v>
      </c>
      <c r="AH34" s="493" t="s">
        <v>1718</v>
      </c>
      <c r="AI34" s="493" t="s">
        <v>1719</v>
      </c>
      <c r="AJ34" s="8" t="s">
        <v>1720</v>
      </c>
      <c r="AK34" s="493" t="s">
        <v>1721</v>
      </c>
      <c r="AL34" s="8" t="s">
        <v>1722</v>
      </c>
      <c r="AM34" s="8"/>
      <c r="AN34" s="8"/>
      <c r="AO34" s="493" t="s">
        <v>1723</v>
      </c>
      <c r="AP34" s="493" t="s">
        <v>1724</v>
      </c>
      <c r="AQ34" s="11"/>
      <c r="AR34" s="11"/>
      <c r="AS34" s="11"/>
      <c r="AT34" s="11"/>
      <c r="AU34" s="11"/>
      <c r="AV34" s="11"/>
      <c r="AW34" s="11"/>
      <c r="AX34" s="11"/>
      <c r="AY34" s="11"/>
      <c r="AZ34" s="11"/>
      <c r="BA34" s="11"/>
    </row>
    <row r="35" spans="1:53" ht="15" customHeight="1">
      <c r="A35" s="25">
        <v>14</v>
      </c>
      <c r="B35" s="25">
        <f ca="1">IFERROR(SUMIF(ADMIN!$G$6:$G$258,A35,ADMIN!$F$6:$F$258),"")</f>
        <v>138</v>
      </c>
      <c r="C35" s="17"/>
      <c r="D35" s="25">
        <v>1</v>
      </c>
      <c r="E35" s="25">
        <f ca="1">SUMIFS(_xlfn.ANCHORARRAY($Z$35),_xlfn.ANCHORARRAY($AH$35),D35)</f>
        <v>0</v>
      </c>
      <c r="F35" s="25">
        <f ca="1">IFERROR(E35/SUM($E$35:E37),0)</f>
        <v>0</v>
      </c>
      <c r="G35" s="17"/>
      <c r="H35" s="17"/>
      <c r="I35" s="17"/>
      <c r="J35" s="25"/>
      <c r="K35" s="25"/>
      <c r="L35" s="132" t="str">
        <f ca="1">Horarios!Q30</f>
        <v>Morocco</v>
      </c>
      <c r="M35" s="471">
        <f ca="1">ADMIN!$D$5-SUM(N35:T35)</f>
        <v>1</v>
      </c>
      <c r="N35" s="471">
        <f ca="1">IFERROR(COUNTIF(ADMIN!$S$130:INDEX(ADMIN!$S$130:$QC$161,32,ADMIN!$D$5*3-1),Stats!$L35)-SUM(O35:T35),0)</f>
        <v>50</v>
      </c>
      <c r="O35" s="471">
        <f ca="1">COUNTIF(ADMIN!$S$182:INDEX(ADMIN!$S$182:$QC$197,16,ADMIN!$D$5*3-1),Stats!$L35)-SUM(P35:T35)</f>
        <v>2</v>
      </c>
      <c r="P35" s="471">
        <f ca="1">COUNTIF(ADMIN!$S$210:INDEX(ADMIN!$S$210:$QC$217,8,ADMIN!$D$5*3-1),Stats!$L35)-SUM(Q35:T35)</f>
        <v>6</v>
      </c>
      <c r="Q35" s="471">
        <f ca="1">COUNTIF(ADMIN!$S$226:INDEX(ADMIN!$S$226:$QC$229,4,ADMIN!$D$5*3-1),Stats!$L35)-SUM(R35:T35)</f>
        <v>0</v>
      </c>
      <c r="R35" s="471">
        <f ca="1">IFERROR(COUNTIF(ADMIN!$S$252:INDEX(ADMIN!$S$252:$QC$252,1,ADMIN!$D$5*3-1),Stats!$L35),0)</f>
        <v>0</v>
      </c>
      <c r="S35" s="471">
        <f ca="1">IFERROR(COUNTIF(ADMIN!$S$251:INDEX(ADMIN!$S$251:$QC$251,1,ADMIN!$D$5*3-1),Stats!$L35),0)</f>
        <v>0</v>
      </c>
      <c r="T35" s="472">
        <f ca="1">IFERROR(COUNTIF(ADMIN!$S$250:INDEX(ADMIN!$S$250:$QC$250,1,ADMIN!$D$5*3-1),Stats!$L35),0)</f>
        <v>0</v>
      </c>
      <c r="U35" s="25"/>
      <c r="V35" s="11">
        <f t="shared" ca="1" si="0"/>
        <v>59</v>
      </c>
      <c r="W35" s="11" t="str" cm="1">
        <f t="array" aca="1" ref="W35" ca="1">IFERROR(IF(_xlfn.ANCHORARRAY(Y35)&lt;&gt;"",COUNTIF(INDEX(DailyPrediction!$G$4:$AQ$150,,MATCH(Stats!$I$5,DailyPrediction!$G$2:$AQ$2,0)),_xlfn.ANCHORARRAY(Y35)),""),"")</f>
        <v/>
      </c>
      <c r="X35" s="11" t="str" cm="1">
        <f t="array" aca="1" ref="X35" ca="1">IFERROR(_xlfn._xlws.SORT(_xlfn.UNIQUE(_xlfn._xlws.FILTER(INDEX(DailyPrediction!$G$4:$AQ$150,,MATCH(Stats!$I$5,DailyPrediction!$G$2:$AQ$2,0)),LEN(INDEX(DailyPrediction!$G$4:$AQ$150,,MATCH(Stats!$I$5,DailyPrediction!$G$2:$AQ$2,0)))&gt;1))),Idiomas!D501)</f>
        <v>Select a match from today:↗</v>
      </c>
      <c r="Y35" s="11" t="str" cm="1">
        <f t="array" aca="1" ref="Y35" ca="1">IFERROR(_xlfn._xlws.SORT(_xlfn.UNIQUE(_xlfn._xlws.FILTER(INDEX(OFFSET(DailyPrediction!$G$4,0,0,ADMIN!$D$5,COUNTA(_xlfn.ANCHORARRAY(DailyPrediction!$G$2))),,MATCH(Stats!$I$5,OFFSET(DailyPrediction!$G$2,0,0,1,COUNTA(_xlfn.ANCHORARRAY(DailyPrediction!$G$2))),0)),INDEX(OFFSET(DailyPrediction!$G$4,0,0,ADMIN!$D$5,COUNTA(_xlfn.ANCHORARRAY(DailyPrediction!$G$2))),,MATCH(Stats!$I$5,OFFSET(DailyPrediction!$G$2,0,0,1,COUNTA(_xlfn.ANCHORARRAY(DailyPrediction!$G$2))),0))&lt;&gt;0),0)),Idiomas!D501)</f>
        <v>Select a match from today:↗</v>
      </c>
      <c r="Z35" s="11" t="str" cm="1">
        <f t="array" aca="1" ref="Z35" ca="1">IFERROR(IF(_xlfn.ANCHORARRAY(Y35)&lt;&gt;"",COUNTIF(INDEX(OFFSET(DailyPrediction!$G$4,0,0,ADMIN!$D$5,COUNTA(DailyPrediction!$A$4:$A$35)),,MATCH(Stats!$I$5,OFFSET(DailyPrediction!$G$2,0,0,1,COUNTA(DailyPrediction!$A$4:$A$35)),0)),_xlfn.ANCHORARRAY(Y35)),""),"")</f>
        <v/>
      </c>
      <c r="AA35" s="11" cm="1">
        <f t="array" aca="1" ref="AA35" ca="1">IFERROR(IF(OFFSET($H$8,0,0,COUNTA(_xlfn.ANCHORARRAY($H$8))/2,1)=INDEX(ADMIN!$K$6:$M$260,MATCH(Stats!$I$5,ADMIN!$K$6:$K$260,0),3),INDEX(_xlfn.ANCHORARRAY($H$8),MATCH(INDEX(ADMIN!$K$6:$M$260,MATCH(Stats!$I$5,ADMIN!$K$6:$K$260,0),3),OFFSET($H$8,0,0,COUNTA(_xlfn.ANCHORARRAY($H$8))/2),0),2),IF(OFFSET($H$8,0,0,COUNTA(_xlfn.ANCHORARRAY($H$8))/2,1)=CONCATENATE(INDEX(ADMIN!$K$6:$M$260,MATCH(Stats!$I$5,ADMIN!$K$6:$K$260,0),1),"·",SUBSTITUTE(INDEX(ADMIN!$K$6:$M$260,MATCH(Stats!$I$5,ADMIN!$K$6:$K$260,0),2),0,"X"),"|",INDEX(ADMIN!$K$6:$M$260,MATCH(Stats!$I$5,ADMIN!$K$6:$K$260,0),3)),INDEX(_xlfn.ANCHORARRAY($H$8),MATCH(CONCATENATE(INDEX(ADMIN!$K$6:$M$260,MATCH(Stats!$I$5,ADMIN!$K$6:$K$260,0),1),"·",SUBSTITUTE(INDEX(ADMIN!$K$6:$M$260,MATCH(Stats!$I$5,ADMIN!$K$6:$K$260,0),2),0,"X"),"|",INDEX(ADMIN!$K$6:$M$260,MATCH(Stats!$I$5,ADMIN!$K$6:$K$260,0),3)),OFFSET($H$8,0,0,COUNTA(_xlfn.ANCHORARRAY($H$8))/2),0),2),0)),0)</f>
        <v>0</v>
      </c>
      <c r="AB35" s="11" cm="1">
        <f t="array" aca="1" ref="AB35" ca="1">IFERROR(IF(OFFSET($H$8,0,0,COUNTA(_xlfn.ANCHORARRAY($H$8))/2,1)=INDEX(ADMIN!$C$6:$E$260,MATCH(Stats!$AP$35,ADMIN!$C$6:$C$260,0),3),INDEX(_xlfn.ANCHORARRAY($H$8),MATCH(INDEX(ADMIN!$C$6:$E$260,MATCH(Stats!$AP$35,ADMIN!$C$6:$C$260,0),3),OFFSET($H$8,0,0,COUNTA(_xlfn.ANCHORARRAY($H$8))/2),0),2),IF(OFFSET($H$8,0,0,COUNTA(_xlfn.ANCHORARRAY($H$8))/2,1)=CONCATENATE(INDEX(ADMIN!$C$6:$E$260,MATCH(Stats!$AP$35,ADMIN!$C$6:$C$260,0),1),"·",SUBSTITUTE(INDEX(ADMIN!$C$6:$E$260,MATCH(Stats!$AP$35,ADMIN!$C$6:$C$260,0),2),0,"X"),"|",INDEX(ADMIN!$C$6:$E$260,MATCH(Stats!$AP$35,ADMIN!$C$6:$C$260,0),3)),INDEX(_xlfn.ANCHORARRAY($H$8),MATCH(CONCATENATE(INDEX(ADMIN!$C$6:$E$260,MATCH(Stats!$AP$35,ADMIN!$C$6:$C$260,0),1),"·",SUBSTITUTE(INDEX(ADMIN!$C$6:$E$260,MATCH(Stats!$AP$35,ADMIN!$C$6:$C$260,0),2),0,"X"),"|",INDEX(ADMIN!$C$6:$E$260,MATCH(Stats!$AP$35,ADMIN!$C$6:$C$260,0),3)),OFFSET($H$8,0,0,COUNTA(_xlfn.ANCHORARRAY($H$8))/2),0),2),0)),0)</f>
        <v>0</v>
      </c>
      <c r="AC35" s="11" t="str" cm="1">
        <f t="array" aca="1" ref="AC35:AE35" ca="1">_xlfn.SORTBY(OFFSET($Y$35,0,0,COUNTA(_xlfn.ANCHORARRAY($Y$35)),3),OFFSET(Z35,0,0,COUNTA(_xlfn.ANCHORARRAY($Y$35))),-1)</f>
        <v>Select a match from today:↗</v>
      </c>
      <c r="AD35" s="11" t="str">
        <f ca="1"/>
        <v/>
      </c>
      <c r="AE35" s="11">
        <f ca="1"/>
        <v>0</v>
      </c>
      <c r="AF35" s="11"/>
      <c r="AG35" s="11" t="str" cm="1">
        <f t="array" aca="1" ref="AG35:AG45" ca="1">_xlfn.UNIQUE(_xlfn._xlws.FILTER(DailyPrediction!$A$4:$A$35,DailyPrediction!$A$4:$A$35&lt;&gt;""))</f>
        <v>France-England</v>
      </c>
      <c r="AH35" s="11" t="str" cm="1">
        <f t="array" aca="1" ref="AH35" ca="1">LEFT(OFFSET(_xlfn.ANCHORARRAY(Y35),0,0,COUNTA(_xlfn.ANCHORARRAY(Y35)),1))</f>
        <v>S</v>
      </c>
      <c r="AI35" s="11" t="str" cm="1">
        <f t="array" aca="1" ref="AI35" ca="1">IFERROR(_xlfn._xlws.SORT(_xlfn.UNIQUE(_xlfn._xlws.FILTER(INDEX(OFFSET(DailyPrediction!$G$4,0,0,ADMIN!$D$5,COUNTA(_xlfn.ANCHORARRAY(DailyPrediction!$G$2))),,MATCH(Stats!$I$5,OFFSET(DailyPrediction!$G$2,0,0,1,COUNTA(_xlfn.ANCHORARRAY(DailyPrediction!$G$2))),0)),INDEX(OFFSET(DailyPrediction!$G$4,0,0,ADMIN!$D$5,COUNTA(_xlfn.ANCHORARRAY(DailyPrediction!$G$2))),,MATCH(Stats!$I$5,OFFSET(DailyPrediction!$G$2,0,0,1,COUNTA(_xlfn.ANCHORARRAY(DailyPrediction!$G$2))),0))&lt;&gt;0),0)),Idiomas!D501)</f>
        <v>Select a match from today:↗</v>
      </c>
      <c r="AJ35" s="11" t="str" cm="1">
        <f t="array" aca="1" ref="AJ35" ca="1">IFERROR(_xlfn._xlws.SORT(_xlfn.UNIQUE(INDEX(OFFSET(DailyPrediction!$G$4,0,0,ADMIN!$D$5,COUNTA(_xlfn.ANCHORARRAY(DailyPrediction!$G$2))),,MATCH(Stats!$I$5,OFFSET(DailyPrediction!$G$2,0,0,1,COUNTA(_xlfn.ANCHORARRAY(DailyPrediction!$G$2))),0)),0)),Idiomas!D501)</f>
        <v>Select a match from today:↗</v>
      </c>
      <c r="AK35" s="11"/>
      <c r="AL35" s="11"/>
      <c r="AM35" s="11"/>
      <c r="AN35" s="11"/>
      <c r="AO35" s="11" t="str">
        <f ca="1">IFERROR(INDEX(DailyPrediction!$D$4:$D$35,MATCH(Stats!AG35,DailyPrediction!$A$4:$A$35,0)),"")</f>
        <v>England-France</v>
      </c>
      <c r="AP35" s="11" t="e">
        <f ca="1">INDEX($AO$35:$AO$66,MATCH($I$5,_xlfn.ANCHORARRAY($AG$35),0))</f>
        <v>#N/A</v>
      </c>
      <c r="AQ35" s="11"/>
      <c r="AR35" s="11"/>
      <c r="AS35" s="11"/>
      <c r="AT35" s="11"/>
      <c r="AU35" s="11"/>
      <c r="AV35" s="11"/>
      <c r="AW35" s="11"/>
      <c r="AX35" s="11"/>
      <c r="AY35" s="11"/>
      <c r="AZ35" s="11"/>
      <c r="BA35" s="11"/>
    </row>
    <row r="36" spans="1:53" ht="15" customHeight="1">
      <c r="A36" s="25">
        <v>15</v>
      </c>
      <c r="B36" s="25">
        <f ca="1">IFERROR(SUMIF(ADMIN!$G$6:$G$258,A36,ADMIN!$F$6:$F$258),"")</f>
        <v>156</v>
      </c>
      <c r="C36" s="17"/>
      <c r="D36" s="25" t="s">
        <v>13</v>
      </c>
      <c r="E36" s="25">
        <f ca="1">SUMIFS(_xlfn.ANCHORARRAY($Z$35),_xlfn.ANCHORARRAY($AH$35),D36)</f>
        <v>0</v>
      </c>
      <c r="F36" s="25">
        <f ca="1">IFERROR(E36/SUM($E$35:E38),0)</f>
        <v>0</v>
      </c>
      <c r="G36" s="17"/>
      <c r="H36" s="17"/>
      <c r="I36" s="17"/>
      <c r="J36" s="25"/>
      <c r="K36" s="25"/>
      <c r="L36" s="133" t="str">
        <f ca="1">Horarios!Q31</f>
        <v>Netherlands</v>
      </c>
      <c r="M36" s="469">
        <f ca="1">ADMIN!$D$5-SUM(N36:T36)</f>
        <v>0</v>
      </c>
      <c r="N36" s="469">
        <f ca="1">IFERROR(COUNTIF(ADMIN!$S$130:INDEX(ADMIN!$S$130:$QC$161,32,ADMIN!$D$5*3-1),Stats!$L36)-SUM(O36:T36),0)</f>
        <v>8</v>
      </c>
      <c r="O36" s="469">
        <f ca="1">COUNTIF(ADMIN!$S$182:INDEX(ADMIN!$S$182:$QC$197,16,ADMIN!$D$5*3-1),Stats!$L36)-SUM(P36:T36)</f>
        <v>0</v>
      </c>
      <c r="P36" s="469">
        <f ca="1">COUNTIF(ADMIN!$S$210:INDEX(ADMIN!$S$210:$QC$217,8,ADMIN!$D$5*3-1),Stats!$L36)-SUM(Q36:T36)</f>
        <v>39</v>
      </c>
      <c r="Q36" s="469">
        <f ca="1">COUNTIF(ADMIN!$S$226:INDEX(ADMIN!$S$226:$QC$229,4,ADMIN!$D$5*3-1),Stats!$L36)-SUM(R36:T36)</f>
        <v>1</v>
      </c>
      <c r="R36" s="469">
        <f ca="1">IFERROR(COUNTIF(ADMIN!$S$252:INDEX(ADMIN!$S$252:$QC$252,1,ADMIN!$D$5*3-1),Stats!$L36),0)</f>
        <v>2</v>
      </c>
      <c r="S36" s="469">
        <f ca="1">IFERROR(COUNTIF(ADMIN!$S$251:INDEX(ADMIN!$S$251:$QC$251,1,ADMIN!$D$5*3-1),Stats!$L36),0)</f>
        <v>0</v>
      </c>
      <c r="T36" s="470">
        <f ca="1">IFERROR(COUNTIF(ADMIN!$S$250:INDEX(ADMIN!$S$250:$QC$250,1,ADMIN!$D$5*3-1),Stats!$L36),0)</f>
        <v>9</v>
      </c>
      <c r="U36" s="25"/>
      <c r="V36" s="11">
        <f t="shared" ca="1" si="0"/>
        <v>59</v>
      </c>
      <c r="W36" s="11"/>
      <c r="X36" s="11"/>
      <c r="Y36" s="11"/>
      <c r="Z36" s="11"/>
      <c r="AA36" s="11"/>
      <c r="AB36" s="11"/>
      <c r="AC36" s="11"/>
      <c r="AD36" s="11"/>
      <c r="AE36" s="11"/>
      <c r="AF36" s="11"/>
      <c r="AG36" s="11" t="str">
        <f ca="1"/>
        <v>Spain-Argentina</v>
      </c>
      <c r="AH36" s="11"/>
      <c r="AI36" s="11"/>
      <c r="AJ36" s="11"/>
      <c r="AK36" s="11"/>
      <c r="AL36" s="11"/>
      <c r="AM36" s="11"/>
      <c r="AN36" s="11"/>
      <c r="AO36" s="11" t="str">
        <f ca="1">IFERROR(INDEX(DailyPrediction!$D$4:$D$35,MATCH(Stats!AG36,DailyPrediction!$A$4:$A$35,0)),"")</f>
        <v>Argentina-Spain</v>
      </c>
      <c r="AP36" s="11"/>
      <c r="AQ36" s="11"/>
      <c r="AR36" s="11"/>
      <c r="AS36" s="11"/>
      <c r="AT36" s="11"/>
      <c r="AU36" s="11"/>
      <c r="AV36" s="11"/>
      <c r="AW36" s="11"/>
      <c r="AX36" s="11"/>
      <c r="AY36" s="11"/>
      <c r="AZ36" s="11"/>
      <c r="BA36" s="11"/>
    </row>
    <row r="37" spans="1:53" ht="15" customHeight="1">
      <c r="A37" s="25">
        <v>16</v>
      </c>
      <c r="B37" s="25">
        <f ca="1">IFERROR(SUMIF(ADMIN!$G$6:$G$258,A37,ADMIN!$F$6:$F$258),"")</f>
        <v>312</v>
      </c>
      <c r="C37" s="17"/>
      <c r="D37" s="25">
        <v>2</v>
      </c>
      <c r="E37" s="25">
        <f ca="1">SUMIFS(_xlfn.ANCHORARRAY($Z$35),_xlfn.ANCHORARRAY($AH$35),D37)</f>
        <v>0</v>
      </c>
      <c r="F37" s="25">
        <f ca="1">IFERROR(E37/SUM($E$35:E39),0)</f>
        <v>0</v>
      </c>
      <c r="G37" s="17"/>
      <c r="H37" s="17"/>
      <c r="I37" s="17"/>
      <c r="J37" s="25"/>
      <c r="K37" s="25"/>
      <c r="L37" s="132" t="str">
        <f ca="1">Horarios!Q32</f>
        <v>New Zealand</v>
      </c>
      <c r="M37" s="471">
        <f ca="1">ADMIN!$D$5-SUM(N37:T37)</f>
        <v>44</v>
      </c>
      <c r="N37" s="471">
        <f ca="1">IFERROR(COUNTIF(ADMIN!$S$130:INDEX(ADMIN!$S$130:$QC$161,32,ADMIN!$D$5*3-1),Stats!$L37)-SUM(O37:T37),0)</f>
        <v>12</v>
      </c>
      <c r="O37" s="471">
        <f ca="1">COUNTIF(ADMIN!$S$182:INDEX(ADMIN!$S$182:$QC$197,16,ADMIN!$D$5*3-1),Stats!$L37)-SUM(P37:T37)</f>
        <v>3</v>
      </c>
      <c r="P37" s="471">
        <f ca="1">COUNTIF(ADMIN!$S$210:INDEX(ADMIN!$S$210:$QC$217,8,ADMIN!$D$5*3-1),Stats!$L37)-SUM(Q37:T37)</f>
        <v>0</v>
      </c>
      <c r="Q37" s="471">
        <f ca="1">COUNTIF(ADMIN!$S$226:INDEX(ADMIN!$S$226:$QC$229,4,ADMIN!$D$5*3-1),Stats!$L37)-SUM(R37:T37)</f>
        <v>0</v>
      </c>
      <c r="R37" s="471">
        <f ca="1">IFERROR(COUNTIF(ADMIN!$S$252:INDEX(ADMIN!$S$252:$QC$252,1,ADMIN!$D$5*3-1),Stats!$L37),0)</f>
        <v>0</v>
      </c>
      <c r="S37" s="471">
        <f ca="1">IFERROR(COUNTIF(ADMIN!$S$251:INDEX(ADMIN!$S$251:$QC$251,1,ADMIN!$D$5*3-1),Stats!$L37),0)</f>
        <v>0</v>
      </c>
      <c r="T37" s="472">
        <f ca="1">IFERROR(COUNTIF(ADMIN!$S$250:INDEX(ADMIN!$S$250:$QC$250,1,ADMIN!$D$5*3-1),Stats!$L37),0)</f>
        <v>0</v>
      </c>
      <c r="U37" s="25"/>
      <c r="V37" s="11">
        <f t="shared" ca="1" si="0"/>
        <v>59</v>
      </c>
      <c r="W37" s="11"/>
      <c r="X37" s="11"/>
      <c r="Y37" s="11"/>
      <c r="Z37" s="11"/>
      <c r="AA37" s="11"/>
      <c r="AB37" s="11"/>
      <c r="AC37" s="11"/>
      <c r="AD37" s="11"/>
      <c r="AE37" s="11"/>
      <c r="AF37" s="11"/>
      <c r="AG37" s="11" t="str">
        <f ca="1"/>
        <v>🥇Winner</v>
      </c>
      <c r="AH37" s="11"/>
      <c r="AI37" s="11"/>
      <c r="AJ37" s="11"/>
      <c r="AK37" s="11"/>
      <c r="AL37" s="11"/>
      <c r="AM37" s="11"/>
      <c r="AN37" s="11"/>
      <c r="AO37" s="11">
        <f ca="1">IFERROR(INDEX(DailyPrediction!$D$4:$D$35,MATCH(Stats!AG37,DailyPrediction!$A$4:$A$35,0)),"")</f>
        <v>0</v>
      </c>
      <c r="AP37" s="11"/>
      <c r="AQ37" s="11"/>
      <c r="AR37" s="11"/>
      <c r="AS37" s="11"/>
      <c r="AT37" s="11"/>
      <c r="AU37" s="11"/>
      <c r="AV37" s="11"/>
      <c r="AW37" s="11"/>
      <c r="AX37" s="11"/>
      <c r="AY37" s="11"/>
      <c r="AZ37" s="11"/>
      <c r="BA37" s="11"/>
    </row>
    <row r="38" spans="1:53" ht="15" customHeight="1">
      <c r="A38" s="25">
        <v>17</v>
      </c>
      <c r="B38" s="25">
        <f ca="1">IFERROR(SUMIF(ADMIN!$G$6:$G$258,A38,ADMIN!$F$6:$F$258),"")</f>
        <v>156</v>
      </c>
      <c r="C38" s="17"/>
      <c r="D38" s="25"/>
      <c r="E38" s="25"/>
      <c r="F38" s="25"/>
      <c r="G38" s="17"/>
      <c r="H38" s="17"/>
      <c r="I38" s="17"/>
      <c r="J38" s="25"/>
      <c r="K38" s="25"/>
      <c r="L38" s="133" t="str">
        <f ca="1">Horarios!Q33</f>
        <v>Norway</v>
      </c>
      <c r="M38" s="469">
        <f ca="1">ADMIN!$D$5-SUM(N38:T38)</f>
        <v>4</v>
      </c>
      <c r="N38" s="469">
        <f ca="1">IFERROR(COUNTIF(ADMIN!$S$130:INDEX(ADMIN!$S$130:$QC$161,32,ADMIN!$D$5*3-1),Stats!$L38)-SUM(O38:T38),0)</f>
        <v>24</v>
      </c>
      <c r="O38" s="469">
        <f ca="1">COUNTIF(ADMIN!$S$182:INDEX(ADMIN!$S$182:$QC$197,16,ADMIN!$D$5*3-1),Stats!$L38)-SUM(P38:T38)</f>
        <v>25</v>
      </c>
      <c r="P38" s="469">
        <f ca="1">COUNTIF(ADMIN!$S$210:INDEX(ADMIN!$S$210:$QC$217,8,ADMIN!$D$5*3-1),Stats!$L38)-SUM(Q38:T38)</f>
        <v>4</v>
      </c>
      <c r="Q38" s="469">
        <f ca="1">COUNTIF(ADMIN!$S$226:INDEX(ADMIN!$S$226:$QC$229,4,ADMIN!$D$5*3-1),Stats!$L38)-SUM(R38:T38)</f>
        <v>1</v>
      </c>
      <c r="R38" s="469">
        <f ca="1">IFERROR(COUNTIF(ADMIN!$S$252:INDEX(ADMIN!$S$252:$QC$252,1,ADMIN!$D$5*3-1),Stats!$L38),0)</f>
        <v>1</v>
      </c>
      <c r="S38" s="469">
        <f ca="1">IFERROR(COUNTIF(ADMIN!$S$251:INDEX(ADMIN!$S$251:$QC$251,1,ADMIN!$D$5*3-1),Stats!$L38),0)</f>
        <v>0</v>
      </c>
      <c r="T38" s="470">
        <f ca="1">IFERROR(COUNTIF(ADMIN!$S$250:INDEX(ADMIN!$S$250:$QC$250,1,ADMIN!$D$5*3-1),Stats!$L38),0)</f>
        <v>0</v>
      </c>
      <c r="U38" s="25"/>
      <c r="V38" s="11">
        <f t="shared" ca="1" si="0"/>
        <v>59</v>
      </c>
      <c r="W38" s="11"/>
      <c r="X38" s="11"/>
      <c r="Y38" s="11"/>
      <c r="Z38" s="11"/>
      <c r="AA38" s="11"/>
      <c r="AB38" s="11"/>
      <c r="AC38" s="11"/>
      <c r="AD38" s="11"/>
      <c r="AE38" s="11"/>
      <c r="AF38" s="11"/>
      <c r="AG38" s="11" t="str">
        <f ca="1"/>
        <v>🥈Runner-up</v>
      </c>
      <c r="AH38" s="11"/>
      <c r="AI38" s="11"/>
      <c r="AJ38" s="11"/>
      <c r="AK38" s="11"/>
      <c r="AL38" s="11"/>
      <c r="AM38" s="11"/>
      <c r="AN38" s="11"/>
      <c r="AO38" s="11">
        <f ca="1">IFERROR(INDEX(DailyPrediction!$D$4:$D$35,MATCH(Stats!AG38,DailyPrediction!$A$4:$A$35,0)),"")</f>
        <v>0</v>
      </c>
      <c r="AP38" s="11"/>
      <c r="AQ38" s="11"/>
      <c r="AR38" s="11"/>
      <c r="AS38" s="11"/>
      <c r="AT38" s="11"/>
      <c r="AU38" s="11"/>
      <c r="AV38" s="11"/>
      <c r="AW38" s="11"/>
      <c r="AX38" s="11"/>
      <c r="AY38" s="11"/>
      <c r="AZ38" s="11"/>
      <c r="BA38" s="11"/>
    </row>
    <row r="39" spans="1:53" ht="15" customHeight="1">
      <c r="A39" s="25">
        <v>18</v>
      </c>
      <c r="B39" s="25">
        <f ca="1">IFERROR(SUMIF(ADMIN!$G$6:$G$258,A39,ADMIN!$F$6:$F$258),"")</f>
        <v>234</v>
      </c>
      <c r="C39" s="17"/>
      <c r="D39" s="453"/>
      <c r="E39" s="453"/>
      <c r="F39" s="453"/>
      <c r="G39" s="17"/>
      <c r="H39" s="17"/>
      <c r="I39" s="17"/>
      <c r="J39" s="25"/>
      <c r="K39" s="25"/>
      <c r="L39" s="132" t="str">
        <f ca="1">Horarios!Q34</f>
        <v>Panama</v>
      </c>
      <c r="M39" s="471">
        <f ca="1">ADMIN!$D$5-SUM(N39:T39)</f>
        <v>56</v>
      </c>
      <c r="N39" s="471">
        <f ca="1">IFERROR(COUNTIF(ADMIN!$S$130:INDEX(ADMIN!$S$130:$QC$161,32,ADMIN!$D$5*3-1),Stats!$L39)-SUM(O39:T39),0)</f>
        <v>2</v>
      </c>
      <c r="O39" s="471">
        <f ca="1">COUNTIF(ADMIN!$S$182:INDEX(ADMIN!$S$182:$QC$197,16,ADMIN!$D$5*3-1),Stats!$L39)-SUM(P39:T39)</f>
        <v>1</v>
      </c>
      <c r="P39" s="471">
        <f ca="1">COUNTIF(ADMIN!$S$210:INDEX(ADMIN!$S$210:$QC$217,8,ADMIN!$D$5*3-1),Stats!$L39)-SUM(Q39:T39)</f>
        <v>0</v>
      </c>
      <c r="Q39" s="471">
        <f ca="1">COUNTIF(ADMIN!$S$226:INDEX(ADMIN!$S$226:$QC$229,4,ADMIN!$D$5*3-1),Stats!$L39)-SUM(R39:T39)</f>
        <v>0</v>
      </c>
      <c r="R39" s="471">
        <f ca="1">IFERROR(COUNTIF(ADMIN!$S$252:INDEX(ADMIN!$S$252:$QC$252,1,ADMIN!$D$5*3-1),Stats!$L39),0)</f>
        <v>0</v>
      </c>
      <c r="S39" s="471">
        <f ca="1">IFERROR(COUNTIF(ADMIN!$S$251:INDEX(ADMIN!$S$251:$QC$251,1,ADMIN!$D$5*3-1),Stats!$L39),0)</f>
        <v>0</v>
      </c>
      <c r="T39" s="472">
        <f ca="1">IFERROR(COUNTIF(ADMIN!$S$250:INDEX(ADMIN!$S$250:$QC$250,1,ADMIN!$D$5*3-1),Stats!$L39),0)</f>
        <v>0</v>
      </c>
      <c r="U39" s="25"/>
      <c r="V39" s="11">
        <f t="shared" ca="1" si="0"/>
        <v>59</v>
      </c>
      <c r="W39" s="11"/>
      <c r="X39" s="11"/>
      <c r="Y39" s="11"/>
      <c r="Z39" s="11"/>
      <c r="AA39" s="11"/>
      <c r="AB39" s="11"/>
      <c r="AC39" s="11"/>
      <c r="AD39" s="11"/>
      <c r="AE39" s="11"/>
      <c r="AF39" s="11"/>
      <c r="AG39" s="11" t="str">
        <f ca="1"/>
        <v>🥉3rd place</v>
      </c>
      <c r="AH39" s="11"/>
      <c r="AI39" s="11"/>
      <c r="AJ39" s="11"/>
      <c r="AK39" s="11"/>
      <c r="AL39" s="11"/>
      <c r="AM39" s="11"/>
      <c r="AN39" s="11"/>
      <c r="AO39" s="11">
        <f ca="1">IFERROR(INDEX(DailyPrediction!$D$4:$D$35,MATCH(Stats!AG39,DailyPrediction!$A$4:$A$35,0)),"")</f>
        <v>0</v>
      </c>
      <c r="AP39" s="11"/>
      <c r="AQ39" s="11"/>
      <c r="AR39" s="11"/>
      <c r="AS39" s="11"/>
      <c r="AT39" s="11"/>
      <c r="AU39" s="11"/>
      <c r="AV39" s="11"/>
      <c r="AW39" s="11"/>
      <c r="AX39" s="11"/>
      <c r="AY39" s="11"/>
      <c r="AZ39" s="11"/>
      <c r="BA39" s="11"/>
    </row>
    <row r="40" spans="1:53">
      <c r="A40" s="25">
        <v>19</v>
      </c>
      <c r="B40" s="25">
        <f ca="1">IFERROR(SUMIF(ADMIN!$G$6:$G$258,A40,ADMIN!$F$6:$F$258),"")</f>
        <v>160</v>
      </c>
      <c r="C40" s="17"/>
      <c r="D40" s="453"/>
      <c r="E40" s="453"/>
      <c r="F40" s="453"/>
      <c r="G40" s="17"/>
      <c r="H40" s="17"/>
      <c r="I40" s="17"/>
      <c r="J40" s="25"/>
      <c r="K40" s="25"/>
      <c r="L40" s="133" t="str">
        <f ca="1">Horarios!Q35</f>
        <v>Paraguay</v>
      </c>
      <c r="M40" s="469">
        <f ca="1">ADMIN!$D$5-SUM(N40:T40)</f>
        <v>33</v>
      </c>
      <c r="N40" s="469">
        <f ca="1">IFERROR(COUNTIF(ADMIN!$S$130:INDEX(ADMIN!$S$130:$QC$161,32,ADMIN!$D$5*3-1),Stats!$L40)-SUM(O40:T40),0)</f>
        <v>20</v>
      </c>
      <c r="O40" s="469">
        <f ca="1">COUNTIF(ADMIN!$S$182:INDEX(ADMIN!$S$182:$QC$197,16,ADMIN!$D$5*3-1),Stats!$L40)-SUM(P40:T40)</f>
        <v>3</v>
      </c>
      <c r="P40" s="469">
        <f ca="1">COUNTIF(ADMIN!$S$210:INDEX(ADMIN!$S$210:$QC$217,8,ADMIN!$D$5*3-1),Stats!$L40)-SUM(Q40:T40)</f>
        <v>2</v>
      </c>
      <c r="Q40" s="469">
        <f ca="1">COUNTIF(ADMIN!$S$226:INDEX(ADMIN!$S$226:$QC$229,4,ADMIN!$D$5*3-1),Stats!$L40)-SUM(R40:T40)</f>
        <v>0</v>
      </c>
      <c r="R40" s="469">
        <f ca="1">IFERROR(COUNTIF(ADMIN!$S$252:INDEX(ADMIN!$S$252:$QC$252,1,ADMIN!$D$5*3-1),Stats!$L40),0)</f>
        <v>0</v>
      </c>
      <c r="S40" s="469">
        <f ca="1">IFERROR(COUNTIF(ADMIN!$S$251:INDEX(ADMIN!$S$251:$QC$251,1,ADMIN!$D$5*3-1),Stats!$L40),0)</f>
        <v>1</v>
      </c>
      <c r="T40" s="470">
        <f ca="1">IFERROR(COUNTIF(ADMIN!$S$250:INDEX(ADMIN!$S$250:$QC$250,1,ADMIN!$D$5*3-1),Stats!$L40),0)</f>
        <v>0</v>
      </c>
      <c r="U40" s="25"/>
      <c r="V40" s="11">
        <f t="shared" ca="1" si="0"/>
        <v>59</v>
      </c>
      <c r="W40" s="11"/>
      <c r="X40" s="11"/>
      <c r="Y40" s="11"/>
      <c r="Z40" s="11"/>
      <c r="AA40" s="11"/>
      <c r="AB40" s="11"/>
      <c r="AC40" s="11"/>
      <c r="AD40" s="11"/>
      <c r="AE40" s="11"/>
      <c r="AF40" s="11"/>
      <c r="AG40" s="11" t="str">
        <f ca="1"/>
        <v>Golden Boot  (Top Scorer)</v>
      </c>
      <c r="AH40" s="11"/>
      <c r="AI40" s="11"/>
      <c r="AJ40" s="11"/>
      <c r="AK40" s="11"/>
      <c r="AL40" s="11"/>
      <c r="AM40" s="11"/>
      <c r="AN40" s="11"/>
      <c r="AO40" s="11">
        <f ca="1">IFERROR(INDEX(DailyPrediction!$D$4:$D$35,MATCH(Stats!AG40,DailyPrediction!$A$4:$A$35,0)),"")</f>
        <v>0</v>
      </c>
      <c r="AP40" s="11"/>
      <c r="AQ40" s="11"/>
      <c r="AR40" s="11"/>
      <c r="AS40" s="11"/>
      <c r="AT40" s="11"/>
      <c r="AU40" s="11"/>
      <c r="AV40" s="11"/>
      <c r="AW40" s="11"/>
      <c r="AX40" s="11"/>
      <c r="AY40" s="11"/>
      <c r="AZ40" s="11"/>
      <c r="BA40" s="11"/>
    </row>
    <row r="41" spans="1:53">
      <c r="A41" s="25">
        <v>20</v>
      </c>
      <c r="B41" s="25">
        <f ca="1">IFERROR(SUMIF(ADMIN!$G$6:$G$258,A41,ADMIN!$F$6:$F$258),"")</f>
        <v>480</v>
      </c>
      <c r="C41" s="17"/>
      <c r="D41" s="17"/>
      <c r="E41" s="17"/>
      <c r="F41" s="453"/>
      <c r="G41" s="17"/>
      <c r="H41" s="17"/>
      <c r="I41" s="17"/>
      <c r="J41" s="25"/>
      <c r="K41" s="25"/>
      <c r="L41" s="132" t="str">
        <f ca="1">Horarios!Q36</f>
        <v>Portugal</v>
      </c>
      <c r="M41" s="471">
        <f ca="1">ADMIN!$D$5-SUM(N41:T41)</f>
        <v>1</v>
      </c>
      <c r="N41" s="471">
        <f ca="1">IFERROR(COUNTIF(ADMIN!$S$130:INDEX(ADMIN!$S$130:$QC$161,32,ADMIN!$D$5*3-1),Stats!$L41)-SUM(O41:T41),0)</f>
        <v>4</v>
      </c>
      <c r="O41" s="471">
        <f ca="1">COUNTIF(ADMIN!$S$182:INDEX(ADMIN!$S$182:$QC$197,16,ADMIN!$D$5*3-1),Stats!$L41)-SUM(P41:T41)</f>
        <v>3</v>
      </c>
      <c r="P41" s="471">
        <f ca="1">COUNTIF(ADMIN!$S$210:INDEX(ADMIN!$S$210:$QC$217,8,ADMIN!$D$5*3-1),Stats!$L41)-SUM(Q41:T41)</f>
        <v>20</v>
      </c>
      <c r="Q41" s="471">
        <f ca="1">COUNTIF(ADMIN!$S$226:INDEX(ADMIN!$S$226:$QC$229,4,ADMIN!$D$5*3-1),Stats!$L41)-SUM(R41:T41)</f>
        <v>12</v>
      </c>
      <c r="R41" s="471">
        <f ca="1">IFERROR(COUNTIF(ADMIN!$S$252:INDEX(ADMIN!$S$252:$QC$252,1,ADMIN!$D$5*3-1),Stats!$L41),0)</f>
        <v>5</v>
      </c>
      <c r="S41" s="471">
        <f ca="1">IFERROR(COUNTIF(ADMIN!$S$251:INDEX(ADMIN!$S$251:$QC$251,1,ADMIN!$D$5*3-1),Stats!$L41),0)</f>
        <v>11</v>
      </c>
      <c r="T41" s="472">
        <f ca="1">IFERROR(COUNTIF(ADMIN!$S$250:INDEX(ADMIN!$S$250:$QC$250,1,ADMIN!$D$5*3-1),Stats!$L41),0)</f>
        <v>3</v>
      </c>
      <c r="U41" s="25"/>
      <c r="V41" s="11">
        <f t="shared" ca="1" si="0"/>
        <v>59</v>
      </c>
      <c r="W41" s="11"/>
      <c r="X41" s="11"/>
      <c r="Y41" s="11"/>
      <c r="Z41" s="11"/>
      <c r="AA41" s="11"/>
      <c r="AB41" s="11"/>
      <c r="AC41" s="11"/>
      <c r="AD41" s="11"/>
      <c r="AE41" s="11"/>
      <c r="AF41" s="11"/>
      <c r="AG41" s="11" t="str">
        <f ca="1"/>
        <v>Silver Boot  (2nd Top Scorer)</v>
      </c>
      <c r="AH41" s="11"/>
      <c r="AI41" s="11"/>
      <c r="AJ41" s="11"/>
      <c r="AK41" s="11"/>
      <c r="AL41" s="11"/>
      <c r="AM41" s="11"/>
      <c r="AN41" s="11"/>
      <c r="AO41" s="11">
        <f ca="1">IFERROR(INDEX(DailyPrediction!$D$4:$D$35,MATCH(Stats!AG41,DailyPrediction!$A$4:$A$35,0)),"")</f>
        <v>0</v>
      </c>
      <c r="AP41" s="11"/>
      <c r="AQ41" s="11"/>
      <c r="AR41" s="11"/>
      <c r="AS41" s="11"/>
      <c r="AT41" s="11"/>
      <c r="AU41" s="11"/>
      <c r="AV41" s="11"/>
      <c r="AW41" s="11"/>
      <c r="AX41" s="11"/>
      <c r="AY41" s="11"/>
      <c r="AZ41" s="11"/>
      <c r="BA41" s="11"/>
    </row>
    <row r="42" spans="1:53">
      <c r="A42" s="25">
        <v>21</v>
      </c>
      <c r="B42" s="25">
        <f ca="1">IFERROR(SUMIF(ADMIN!$G$6:$G$258,A42,ADMIN!$F$6:$F$258),"")</f>
        <v>320</v>
      </c>
      <c r="C42" s="17"/>
      <c r="D42" s="17"/>
      <c r="E42" s="17"/>
      <c r="F42" s="453"/>
      <c r="G42" s="17"/>
      <c r="H42" s="17"/>
      <c r="I42" s="17"/>
      <c r="J42" s="25"/>
      <c r="K42" s="25"/>
      <c r="L42" s="133" t="str">
        <f ca="1">Horarios!Q37</f>
        <v>Qatar</v>
      </c>
      <c r="M42" s="469">
        <f ca="1">ADMIN!$D$5-SUM(N42:T42)</f>
        <v>50</v>
      </c>
      <c r="N42" s="469">
        <f ca="1">IFERROR(COUNTIF(ADMIN!$S$130:INDEX(ADMIN!$S$130:$QC$161,32,ADMIN!$D$5*3-1),Stats!$L42)-SUM(O42:T42),0)</f>
        <v>7</v>
      </c>
      <c r="O42" s="469">
        <f ca="1">COUNTIF(ADMIN!$S$182:INDEX(ADMIN!$S$182:$QC$197,16,ADMIN!$D$5*3-1),Stats!$L42)-SUM(P42:T42)</f>
        <v>1</v>
      </c>
      <c r="P42" s="469">
        <f ca="1">COUNTIF(ADMIN!$S$210:INDEX(ADMIN!$S$210:$QC$217,8,ADMIN!$D$5*3-1),Stats!$L42)-SUM(Q42:T42)</f>
        <v>1</v>
      </c>
      <c r="Q42" s="469">
        <f ca="1">COUNTIF(ADMIN!$S$226:INDEX(ADMIN!$S$226:$QC$229,4,ADMIN!$D$5*3-1),Stats!$L42)-SUM(R42:T42)</f>
        <v>0</v>
      </c>
      <c r="R42" s="469">
        <f ca="1">IFERROR(COUNTIF(ADMIN!$S$252:INDEX(ADMIN!$S$252:$QC$252,1,ADMIN!$D$5*3-1),Stats!$L42),0)</f>
        <v>0</v>
      </c>
      <c r="S42" s="469">
        <f ca="1">IFERROR(COUNTIF(ADMIN!$S$251:INDEX(ADMIN!$S$251:$QC$251,1,ADMIN!$D$5*3-1),Stats!$L42),0)</f>
        <v>0</v>
      </c>
      <c r="T42" s="470">
        <f ca="1">IFERROR(COUNTIF(ADMIN!$S$250:INDEX(ADMIN!$S$250:$QC$250,1,ADMIN!$D$5*3-1),Stats!$L42),0)</f>
        <v>0</v>
      </c>
      <c r="U42" s="25"/>
      <c r="V42" s="11">
        <f t="shared" ca="1" si="0"/>
        <v>59</v>
      </c>
      <c r="W42" s="11"/>
      <c r="X42" s="11"/>
      <c r="Y42" s="11"/>
      <c r="Z42" s="11"/>
      <c r="AA42" s="11"/>
      <c r="AB42" s="11"/>
      <c r="AC42" s="11"/>
      <c r="AD42" s="11"/>
      <c r="AE42" s="11"/>
      <c r="AF42" s="11"/>
      <c r="AG42" s="11" t="str">
        <f ca="1"/>
        <v>Bronze Boot (3rd Top Scorer)</v>
      </c>
      <c r="AH42" s="11"/>
      <c r="AI42" s="11"/>
      <c r="AJ42" s="11"/>
      <c r="AK42" s="11"/>
      <c r="AL42" s="11"/>
      <c r="AM42" s="11"/>
      <c r="AN42" s="11"/>
      <c r="AO42" s="11">
        <f ca="1">IFERROR(INDEX(DailyPrediction!$D$4:$D$35,MATCH(Stats!AG42,DailyPrediction!$A$4:$A$35,0)),"")</f>
        <v>0</v>
      </c>
      <c r="AP42" s="11"/>
      <c r="AQ42" s="11"/>
      <c r="AR42" s="11"/>
      <c r="AS42" s="11"/>
      <c r="AT42" s="11"/>
      <c r="AU42" s="11"/>
      <c r="AV42" s="11"/>
      <c r="AW42" s="11"/>
      <c r="AX42" s="11"/>
      <c r="AY42" s="11"/>
      <c r="AZ42" s="11"/>
      <c r="BA42" s="11"/>
    </row>
    <row r="43" spans="1:53">
      <c r="A43" s="25">
        <v>22</v>
      </c>
      <c r="B43" s="25">
        <f ca="1">IFERROR(SUMIF(ADMIN!$G$6:$G$258,A43,ADMIN!$F$6:$F$258),"")</f>
        <v>200</v>
      </c>
      <c r="C43" s="17"/>
      <c r="D43" s="17"/>
      <c r="E43" s="17"/>
      <c r="F43" s="453"/>
      <c r="G43" s="17"/>
      <c r="H43" s="17"/>
      <c r="I43" s="17"/>
      <c r="J43" s="25"/>
      <c r="K43" s="25"/>
      <c r="L43" s="132" t="str">
        <f ca="1">Horarios!Q38</f>
        <v>Saudi Arabia</v>
      </c>
      <c r="M43" s="471">
        <f ca="1">ADMIN!$D$5-SUM(N43:T43)</f>
        <v>49</v>
      </c>
      <c r="N43" s="471">
        <f ca="1">IFERROR(COUNTIF(ADMIN!$S$130:INDEX(ADMIN!$S$130:$QC$161,32,ADMIN!$D$5*3-1),Stats!$L43)-SUM(O43:T43),0)</f>
        <v>9</v>
      </c>
      <c r="O43" s="471">
        <f ca="1">COUNTIF(ADMIN!$S$182:INDEX(ADMIN!$S$182:$QC$197,16,ADMIN!$D$5*3-1),Stats!$L43)-SUM(P43:T43)</f>
        <v>1</v>
      </c>
      <c r="P43" s="471">
        <f ca="1">COUNTIF(ADMIN!$S$210:INDEX(ADMIN!$S$210:$QC$217,8,ADMIN!$D$5*3-1),Stats!$L43)-SUM(Q43:T43)</f>
        <v>0</v>
      </c>
      <c r="Q43" s="471">
        <f ca="1">COUNTIF(ADMIN!$S$226:INDEX(ADMIN!$S$226:$QC$229,4,ADMIN!$D$5*3-1),Stats!$L43)-SUM(R43:T43)</f>
        <v>0</v>
      </c>
      <c r="R43" s="471">
        <f ca="1">IFERROR(COUNTIF(ADMIN!$S$252:INDEX(ADMIN!$S$252:$QC$252,1,ADMIN!$D$5*3-1),Stats!$L43),0)</f>
        <v>0</v>
      </c>
      <c r="S43" s="471">
        <f ca="1">IFERROR(COUNTIF(ADMIN!$S$251:INDEX(ADMIN!$S$251:$QC$251,1,ADMIN!$D$5*3-1),Stats!$L43),0)</f>
        <v>0</v>
      </c>
      <c r="T43" s="472">
        <f ca="1">IFERROR(COUNTIF(ADMIN!$S$250:INDEX(ADMIN!$S$250:$QC$250,1,ADMIN!$D$5*3-1),Stats!$L43),0)</f>
        <v>0</v>
      </c>
      <c r="U43" s="25"/>
      <c r="V43" s="11">
        <f t="shared" ca="1" si="0"/>
        <v>59</v>
      </c>
      <c r="W43" s="11"/>
      <c r="X43" s="11"/>
      <c r="Y43" s="11"/>
      <c r="Z43" s="11"/>
      <c r="AA43" s="11"/>
      <c r="AB43" s="11"/>
      <c r="AC43" s="11"/>
      <c r="AD43" s="11"/>
      <c r="AE43" s="11"/>
      <c r="AF43" s="11"/>
      <c r="AG43" s="11" t="str">
        <f ca="1"/>
        <v>Golden Ball (Best Player)</v>
      </c>
      <c r="AH43" s="11"/>
      <c r="AI43" s="11"/>
      <c r="AJ43" s="11"/>
      <c r="AK43" s="11"/>
      <c r="AL43" s="11"/>
      <c r="AM43" s="11"/>
      <c r="AN43" s="11"/>
      <c r="AO43" s="11">
        <f ca="1">IFERROR(INDEX(DailyPrediction!$D$4:$D$35,MATCH(Stats!AG43,DailyPrediction!$A$4:$A$35,0)),"")</f>
        <v>0</v>
      </c>
      <c r="AP43" s="11"/>
      <c r="AQ43" s="11"/>
      <c r="AR43" s="11"/>
      <c r="AS43" s="11"/>
      <c r="AT43" s="11"/>
      <c r="AU43" s="11"/>
      <c r="AV43" s="11"/>
      <c r="AW43" s="11"/>
      <c r="AX43" s="11"/>
      <c r="AY43" s="11"/>
      <c r="AZ43" s="11"/>
      <c r="BA43" s="11"/>
    </row>
    <row r="44" spans="1:53">
      <c r="A44" s="25">
        <v>23</v>
      </c>
      <c r="B44" s="25">
        <f ca="1">IFERROR(SUMIF(ADMIN!$G$6:$G$258,A44,ADMIN!$F$6:$F$258),"")</f>
        <v>160</v>
      </c>
      <c r="C44" s="17"/>
      <c r="D44" s="453"/>
      <c r="E44" s="453"/>
      <c r="F44" s="453"/>
      <c r="G44" s="17"/>
      <c r="H44" s="17"/>
      <c r="I44" s="17"/>
      <c r="J44" s="25"/>
      <c r="K44" s="25"/>
      <c r="L44" s="133" t="str">
        <f ca="1">Horarios!Q39</f>
        <v>Scotland</v>
      </c>
      <c r="M44" s="469">
        <f ca="1">ADMIN!$D$5-SUM(N44:T44)</f>
        <v>11</v>
      </c>
      <c r="N44" s="469">
        <f ca="1">IFERROR(COUNTIF(ADMIN!$S$130:INDEX(ADMIN!$S$130:$QC$161,32,ADMIN!$D$5*3-1),Stats!$L44)-SUM(O44:T44),0)</f>
        <v>45</v>
      </c>
      <c r="O44" s="469">
        <f ca="1">COUNTIF(ADMIN!$S$182:INDEX(ADMIN!$S$182:$QC$197,16,ADMIN!$D$5*3-1),Stats!$L44)-SUM(P44:T44)</f>
        <v>3</v>
      </c>
      <c r="P44" s="469">
        <f ca="1">COUNTIF(ADMIN!$S$210:INDEX(ADMIN!$S$210:$QC$217,8,ADMIN!$D$5*3-1),Stats!$L44)-SUM(Q44:T44)</f>
        <v>0</v>
      </c>
      <c r="Q44" s="469">
        <f ca="1">COUNTIF(ADMIN!$S$226:INDEX(ADMIN!$S$226:$QC$229,4,ADMIN!$D$5*3-1),Stats!$L44)-SUM(R44:T44)</f>
        <v>0</v>
      </c>
      <c r="R44" s="469">
        <f ca="1">IFERROR(COUNTIF(ADMIN!$S$252:INDEX(ADMIN!$S$252:$QC$252,1,ADMIN!$D$5*3-1),Stats!$L44),0)</f>
        <v>0</v>
      </c>
      <c r="S44" s="469">
        <f ca="1">IFERROR(COUNTIF(ADMIN!$S$251:INDEX(ADMIN!$S$251:$QC$251,1,ADMIN!$D$5*3-1),Stats!$L44),0)</f>
        <v>0</v>
      </c>
      <c r="T44" s="470">
        <f ca="1">IFERROR(COUNTIF(ADMIN!$S$250:INDEX(ADMIN!$S$250:$QC$250,1,ADMIN!$D$5*3-1),Stats!$L44),0)</f>
        <v>0</v>
      </c>
      <c r="U44" s="25"/>
      <c r="V44" s="11">
        <f t="shared" ca="1" si="0"/>
        <v>59</v>
      </c>
      <c r="W44" s="11"/>
      <c r="X44" s="11"/>
      <c r="Y44" s="11"/>
      <c r="Z44" s="11"/>
      <c r="AA44" s="11"/>
      <c r="AB44" s="11"/>
      <c r="AC44" s="11"/>
      <c r="AD44" s="11"/>
      <c r="AE44" s="11"/>
      <c r="AF44" s="11"/>
      <c r="AG44" s="11" t="str">
        <f ca="1"/>
        <v>Silver Ball (2nd Best Player)</v>
      </c>
      <c r="AH44" s="11"/>
      <c r="AI44" s="11"/>
      <c r="AJ44" s="11"/>
      <c r="AK44" s="11"/>
      <c r="AL44" s="11"/>
      <c r="AM44" s="11"/>
      <c r="AN44" s="11"/>
      <c r="AO44" s="11">
        <f ca="1">IFERROR(INDEX(DailyPrediction!$D$4:$D$35,MATCH(Stats!AG44,DailyPrediction!$A$4:$A$35,0)),"")</f>
        <v>0</v>
      </c>
      <c r="AP44" s="11"/>
      <c r="AQ44" s="11"/>
      <c r="AR44" s="11"/>
      <c r="AS44" s="11"/>
      <c r="AT44" s="11"/>
      <c r="AU44" s="11"/>
      <c r="AV44" s="11"/>
      <c r="AW44" s="11"/>
      <c r="AX44" s="11"/>
      <c r="AY44" s="11"/>
      <c r="AZ44" s="11"/>
      <c r="BA44" s="11"/>
    </row>
    <row r="45" spans="1:53">
      <c r="A45" s="25">
        <v>24</v>
      </c>
      <c r="B45" s="25">
        <f ca="1">IFERROR(SUMIF(ADMIN!$G$6:$G$258,A45,ADMIN!$F$6:$F$258),"")</f>
        <v>202</v>
      </c>
      <c r="C45" s="17"/>
      <c r="D45" s="453"/>
      <c r="E45" s="453" t="str">
        <f ca="1">IF(Home!E41&lt;Home!E42,"",IF(Home!E41&gt;=Home!E42,Idiomas!D511&amp;" "&amp;SUM(WORLDCUP!$BJ$6:$BJ$53,WORLDCUP!$AC$101:$AD$147)&amp;" "&amp;Idiomas!D512,""))</f>
        <v>A total of 308 goals have been scored in Club World Cup, not including penalty shootouts.</v>
      </c>
      <c r="F45" s="453"/>
      <c r="G45" s="17"/>
      <c r="H45" s="17"/>
      <c r="I45" s="17"/>
      <c r="J45" s="25"/>
      <c r="K45" s="25"/>
      <c r="L45" s="132" t="str">
        <f ca="1">Horarios!Q40</f>
        <v>Senegal</v>
      </c>
      <c r="M45" s="471">
        <f ca="1">ADMIN!$D$5-SUM(N45:T45)</f>
        <v>11</v>
      </c>
      <c r="N45" s="471">
        <f ca="1">IFERROR(COUNTIF(ADMIN!$S$130:INDEX(ADMIN!$S$130:$QC$161,32,ADMIN!$D$5*3-1),Stats!$L45)-SUM(O45:T45),0)</f>
        <v>37</v>
      </c>
      <c r="O45" s="471">
        <f ca="1">COUNTIF(ADMIN!$S$182:INDEX(ADMIN!$S$182:$QC$197,16,ADMIN!$D$5*3-1),Stats!$L45)-SUM(P45:T45)</f>
        <v>10</v>
      </c>
      <c r="P45" s="471">
        <f ca="1">COUNTIF(ADMIN!$S$210:INDEX(ADMIN!$S$210:$QC$217,8,ADMIN!$D$5*3-1),Stats!$L45)-SUM(Q45:T45)</f>
        <v>0</v>
      </c>
      <c r="Q45" s="471">
        <f ca="1">COUNTIF(ADMIN!$S$226:INDEX(ADMIN!$S$226:$QC$229,4,ADMIN!$D$5*3-1),Stats!$L45)-SUM(R45:T45)</f>
        <v>0</v>
      </c>
      <c r="R45" s="471">
        <f ca="1">IFERROR(COUNTIF(ADMIN!$S$252:INDEX(ADMIN!$S$252:$QC$252,1,ADMIN!$D$5*3-1),Stats!$L45),0)</f>
        <v>0</v>
      </c>
      <c r="S45" s="471">
        <f ca="1">IFERROR(COUNTIF(ADMIN!$S$251:INDEX(ADMIN!$S$251:$QC$251,1,ADMIN!$D$5*3-1),Stats!$L45),0)</f>
        <v>0</v>
      </c>
      <c r="T45" s="472">
        <f ca="1">IFERROR(COUNTIF(ADMIN!$S$250:INDEX(ADMIN!$S$250:$QC$250,1,ADMIN!$D$5*3-1),Stats!$L45),0)</f>
        <v>1</v>
      </c>
      <c r="U45" s="25"/>
      <c r="V45" s="11">
        <f t="shared" ca="1" si="0"/>
        <v>59</v>
      </c>
      <c r="W45" s="11"/>
      <c r="X45" s="11"/>
      <c r="Y45" s="11"/>
      <c r="Z45" s="11"/>
      <c r="AA45" s="11"/>
      <c r="AB45" s="11"/>
      <c r="AC45" s="11"/>
      <c r="AD45" s="11"/>
      <c r="AE45" s="11"/>
      <c r="AF45" s="11"/>
      <c r="AG45" s="11" t="str">
        <f ca="1"/>
        <v>Bronze Ball (3rd Best Player))</v>
      </c>
      <c r="AH45" s="11"/>
      <c r="AI45" s="11"/>
      <c r="AJ45" s="11"/>
      <c r="AK45" s="11"/>
      <c r="AL45" s="11"/>
      <c r="AM45" s="11"/>
      <c r="AN45" s="11"/>
      <c r="AO45" s="11">
        <f ca="1">IFERROR(INDEX(DailyPrediction!$D$4:$D$35,MATCH(Stats!AG45,DailyPrediction!$A$4:$A$35,0)),"")</f>
        <v>0</v>
      </c>
      <c r="AP45" s="11"/>
      <c r="AQ45" s="11"/>
      <c r="AR45" s="11"/>
      <c r="AS45" s="11"/>
      <c r="AT45" s="11"/>
      <c r="AU45" s="11"/>
      <c r="AV45" s="11"/>
      <c r="AW45" s="11"/>
      <c r="AX45" s="11"/>
      <c r="AY45" s="11"/>
      <c r="AZ45" s="11"/>
      <c r="BA45" s="11"/>
    </row>
    <row r="46" spans="1:53">
      <c r="A46" s="25"/>
      <c r="B46" s="403">
        <f ca="1">SUM(B22:B45)</f>
        <v>3418</v>
      </c>
      <c r="C46" s="17"/>
      <c r="D46" s="453"/>
      <c r="E46" s="453"/>
      <c r="F46" s="453"/>
      <c r="G46" s="17"/>
      <c r="H46" s="17"/>
      <c r="I46" s="17"/>
      <c r="J46" s="25"/>
      <c r="K46" s="25"/>
      <c r="L46" s="133" t="str">
        <f ca="1">Horarios!Q41</f>
        <v>South Africa</v>
      </c>
      <c r="M46" s="469">
        <f ca="1">ADMIN!$D$5-SUM(N46:T46)</f>
        <v>45</v>
      </c>
      <c r="N46" s="469">
        <f ca="1">IFERROR(COUNTIF(ADMIN!$S$130:INDEX(ADMIN!$S$130:$QC$161,32,ADMIN!$D$5*3-1),Stats!$L46)-SUM(O46:T46),0)</f>
        <v>10</v>
      </c>
      <c r="O46" s="469">
        <f ca="1">COUNTIF(ADMIN!$S$182:INDEX(ADMIN!$S$182:$QC$197,16,ADMIN!$D$5*3-1),Stats!$L46)-SUM(P46:T46)</f>
        <v>3</v>
      </c>
      <c r="P46" s="469">
        <f ca="1">COUNTIF(ADMIN!$S$210:INDEX(ADMIN!$S$210:$QC$217,8,ADMIN!$D$5*3-1),Stats!$L46)-SUM(Q46:T46)</f>
        <v>1</v>
      </c>
      <c r="Q46" s="469">
        <f ca="1">COUNTIF(ADMIN!$S$226:INDEX(ADMIN!$S$226:$QC$229,4,ADMIN!$D$5*3-1),Stats!$L46)-SUM(R46:T46)</f>
        <v>0</v>
      </c>
      <c r="R46" s="469">
        <f ca="1">IFERROR(COUNTIF(ADMIN!$S$252:INDEX(ADMIN!$S$252:$QC$252,1,ADMIN!$D$5*3-1),Stats!$L46),0)</f>
        <v>0</v>
      </c>
      <c r="S46" s="469">
        <f ca="1">IFERROR(COUNTIF(ADMIN!$S$251:INDEX(ADMIN!$S$251:$QC$251,1,ADMIN!$D$5*3-1),Stats!$L46),0)</f>
        <v>0</v>
      </c>
      <c r="T46" s="470">
        <f ca="1">IFERROR(COUNTIF(ADMIN!$S$250:INDEX(ADMIN!$S$250:$QC$250,1,ADMIN!$D$5*3-1),Stats!$L46),0)</f>
        <v>0</v>
      </c>
      <c r="U46" s="25"/>
      <c r="V46" s="11">
        <f t="shared" ca="1" si="0"/>
        <v>59</v>
      </c>
      <c r="W46" s="11"/>
      <c r="X46" s="11"/>
      <c r="Y46" s="11"/>
      <c r="Z46" s="11"/>
      <c r="AA46" s="11"/>
      <c r="AB46" s="11"/>
      <c r="AC46" s="11"/>
      <c r="AD46" s="11"/>
      <c r="AE46" s="11"/>
      <c r="AF46" s="11"/>
      <c r="AG46" s="11"/>
      <c r="AH46" s="11"/>
      <c r="AI46" s="11"/>
      <c r="AJ46" s="11"/>
      <c r="AK46" s="11"/>
      <c r="AL46" s="11"/>
      <c r="AM46" s="11"/>
      <c r="AN46" s="11"/>
      <c r="AO46" s="11" t="str">
        <f ca="1">IFERROR(INDEX(DailyPrediction!$D$4:$D$35,MATCH(Stats!AG46,DailyPrediction!$A$4:$A$35,0)),"")</f>
        <v/>
      </c>
      <c r="AP46" s="11"/>
      <c r="AQ46" s="11"/>
      <c r="AR46" s="11"/>
      <c r="AS46" s="11"/>
      <c r="AT46" s="11"/>
      <c r="AU46" s="11"/>
      <c r="AV46" s="11"/>
      <c r="AW46" s="11"/>
      <c r="AX46" s="11"/>
      <c r="AY46" s="11"/>
      <c r="AZ46" s="11"/>
      <c r="BA46" s="11"/>
    </row>
    <row r="47" spans="1:53">
      <c r="A47" s="25"/>
      <c r="B47" s="25">
        <f ca="1">B46*ADMIN!$D$5</f>
        <v>201662</v>
      </c>
      <c r="C47" s="17"/>
      <c r="D47" s="453"/>
      <c r="E47" s="453"/>
      <c r="F47" s="453"/>
      <c r="G47" s="17"/>
      <c r="H47" s="17"/>
      <c r="I47" s="17"/>
      <c r="J47" s="25"/>
      <c r="K47" s="25"/>
      <c r="L47" s="132" t="str">
        <f ca="1">Horarios!Q42</f>
        <v>South Korea</v>
      </c>
      <c r="M47" s="471">
        <f ca="1">ADMIN!$D$5-SUM(N47:T47)</f>
        <v>13</v>
      </c>
      <c r="N47" s="471">
        <f ca="1">IFERROR(COUNTIF(ADMIN!$S$130:INDEX(ADMIN!$S$130:$QC$161,32,ADMIN!$D$5*3-1),Stats!$L47)-SUM(O47:T47),0)</f>
        <v>30</v>
      </c>
      <c r="O47" s="471">
        <f ca="1">COUNTIF(ADMIN!$S$182:INDEX(ADMIN!$S$182:$QC$197,16,ADMIN!$D$5*3-1),Stats!$L47)-SUM(P47:T47)</f>
        <v>13</v>
      </c>
      <c r="P47" s="471">
        <f ca="1">COUNTIF(ADMIN!$S$210:INDEX(ADMIN!$S$210:$QC$217,8,ADMIN!$D$5*3-1),Stats!$L47)-SUM(Q47:T47)</f>
        <v>2</v>
      </c>
      <c r="Q47" s="471">
        <f ca="1">COUNTIF(ADMIN!$S$226:INDEX(ADMIN!$S$226:$QC$229,4,ADMIN!$D$5*3-1),Stats!$L47)-SUM(R47:T47)</f>
        <v>0</v>
      </c>
      <c r="R47" s="471">
        <f ca="1">IFERROR(COUNTIF(ADMIN!$S$252:INDEX(ADMIN!$S$252:$QC$252,1,ADMIN!$D$5*3-1),Stats!$L47),0)</f>
        <v>1</v>
      </c>
      <c r="S47" s="471">
        <f ca="1">IFERROR(COUNTIF(ADMIN!$S$251:INDEX(ADMIN!$S$251:$QC$251,1,ADMIN!$D$5*3-1),Stats!$L47),0)</f>
        <v>0</v>
      </c>
      <c r="T47" s="472">
        <f ca="1">IFERROR(COUNTIF(ADMIN!$S$250:INDEX(ADMIN!$S$250:$QC$250,1,ADMIN!$D$5*3-1),Stats!$L47),0)</f>
        <v>0</v>
      </c>
      <c r="U47" s="25"/>
      <c r="V47" s="11">
        <f t="shared" ca="1" si="0"/>
        <v>59</v>
      </c>
      <c r="W47" s="11"/>
      <c r="X47" s="11"/>
      <c r="Y47" s="11"/>
      <c r="Z47" s="11"/>
      <c r="AA47" s="11"/>
      <c r="AB47" s="11"/>
      <c r="AC47" s="11"/>
      <c r="AD47" s="11"/>
      <c r="AE47" s="11"/>
      <c r="AF47" s="11"/>
      <c r="AG47" s="11"/>
      <c r="AH47" s="11"/>
      <c r="AI47" s="11"/>
      <c r="AJ47" s="11"/>
      <c r="AK47" s="11"/>
      <c r="AL47" s="11"/>
      <c r="AM47" s="11"/>
      <c r="AN47" s="11"/>
      <c r="AO47" s="11" t="str">
        <f ca="1">IFERROR(INDEX(DailyPrediction!$D$4:$D$35,MATCH(Stats!AG47,DailyPrediction!$A$4:$A$35,0)),"")</f>
        <v/>
      </c>
      <c r="AP47" s="11"/>
      <c r="AQ47" s="11"/>
      <c r="AR47" s="11"/>
      <c r="AS47" s="11"/>
      <c r="AT47" s="11"/>
      <c r="AU47" s="11"/>
      <c r="AV47" s="11"/>
      <c r="AW47" s="11"/>
      <c r="AX47" s="11"/>
      <c r="AY47" s="11"/>
      <c r="AZ47" s="11"/>
      <c r="BA47" s="11"/>
    </row>
    <row r="48" spans="1:53">
      <c r="A48" s="25"/>
      <c r="B48" s="25"/>
      <c r="C48" s="17"/>
      <c r="D48" s="17"/>
      <c r="E48" s="17"/>
      <c r="F48" s="17"/>
      <c r="G48" s="17"/>
      <c r="H48" s="17"/>
      <c r="I48" s="17"/>
      <c r="J48" s="25"/>
      <c r="K48" s="25"/>
      <c r="L48" s="133" t="str">
        <f ca="1">Horarios!Q43</f>
        <v>Spain</v>
      </c>
      <c r="M48" s="469">
        <f ca="1">ADMIN!$D$5-SUM(N48:T48)</f>
        <v>0</v>
      </c>
      <c r="N48" s="469">
        <f ca="1">IFERROR(COUNTIF(ADMIN!$S$130:INDEX(ADMIN!$S$130:$QC$161,32,ADMIN!$D$5*3-1),Stats!$L48)-SUM(O48:T48),0)</f>
        <v>3</v>
      </c>
      <c r="O48" s="469">
        <f ca="1">COUNTIF(ADMIN!$S$182:INDEX(ADMIN!$S$182:$QC$197,16,ADMIN!$D$5*3-1),Stats!$L48)-SUM(P48:T48)</f>
        <v>0</v>
      </c>
      <c r="P48" s="469">
        <f ca="1">COUNTIF(ADMIN!$S$210:INDEX(ADMIN!$S$210:$QC$217,8,ADMIN!$D$5*3-1),Stats!$L48)-SUM(Q48:T48)</f>
        <v>2</v>
      </c>
      <c r="Q48" s="469">
        <f ca="1">COUNTIF(ADMIN!$S$226:INDEX(ADMIN!$S$226:$QC$229,4,ADMIN!$D$5*3-1),Stats!$L48)-SUM(R48:T48)</f>
        <v>7</v>
      </c>
      <c r="R48" s="469">
        <f ca="1">IFERROR(COUNTIF(ADMIN!$S$252:INDEX(ADMIN!$S$252:$QC$252,1,ADMIN!$D$5*3-1),Stats!$L48),0)</f>
        <v>25</v>
      </c>
      <c r="S48" s="469">
        <f ca="1">IFERROR(COUNTIF(ADMIN!$S$251:INDEX(ADMIN!$S$251:$QC$251,1,ADMIN!$D$5*3-1),Stats!$L48),0)</f>
        <v>4</v>
      </c>
      <c r="T48" s="470">
        <f ca="1">IFERROR(COUNTIF(ADMIN!$S$250:INDEX(ADMIN!$S$250:$QC$250,1,ADMIN!$D$5*3-1),Stats!$L48),0)</f>
        <v>18</v>
      </c>
      <c r="U48" s="25"/>
      <c r="V48" s="11">
        <f t="shared" ca="1" si="0"/>
        <v>59</v>
      </c>
      <c r="W48" s="11"/>
      <c r="X48" s="11"/>
      <c r="Y48" s="11"/>
      <c r="Z48" s="11"/>
      <c r="AA48" s="11"/>
      <c r="AB48" s="11"/>
      <c r="AC48" s="11"/>
      <c r="AD48" s="11"/>
      <c r="AE48" s="11"/>
      <c r="AF48" s="11"/>
      <c r="AG48" s="11"/>
      <c r="AH48" s="11"/>
      <c r="AI48" s="11"/>
      <c r="AJ48" s="11"/>
      <c r="AK48" s="11"/>
      <c r="AL48" s="11"/>
      <c r="AM48" s="11"/>
      <c r="AN48" s="11"/>
      <c r="AO48" s="11" t="str">
        <f ca="1">IFERROR(INDEX(DailyPrediction!$D$4:$D$35,MATCH(Stats!AG48,DailyPrediction!$A$4:$A$35,0)),"")</f>
        <v/>
      </c>
      <c r="AP48" s="11"/>
      <c r="AQ48" s="11"/>
      <c r="AR48" s="11"/>
      <c r="AS48" s="11"/>
      <c r="AT48" s="11"/>
      <c r="AU48" s="11"/>
      <c r="AV48" s="11"/>
      <c r="AW48" s="11"/>
      <c r="AX48" s="11"/>
      <c r="AY48" s="11"/>
      <c r="AZ48" s="11"/>
      <c r="BA48" s="11"/>
    </row>
    <row r="49" spans="1:53">
      <c r="A49" s="25"/>
      <c r="B49" s="25"/>
      <c r="C49" s="17"/>
      <c r="D49" s="17"/>
      <c r="E49" s="17"/>
      <c r="F49" s="17"/>
      <c r="G49" s="17"/>
      <c r="H49" s="17"/>
      <c r="I49" s="17"/>
      <c r="J49" s="25"/>
      <c r="K49" s="25"/>
      <c r="L49" s="132" t="str">
        <f ca="1">Horarios!Q44</f>
        <v>Sweden</v>
      </c>
      <c r="M49" s="471">
        <f ca="1">ADMIN!$D$5-SUM(N49:T49)</f>
        <v>7</v>
      </c>
      <c r="N49" s="471">
        <f ca="1">IFERROR(COUNTIF(ADMIN!$S$130:INDEX(ADMIN!$S$130:$QC$161,32,ADMIN!$D$5*3-1),Stats!$L49)-SUM(O49:T49),0)</f>
        <v>51</v>
      </c>
      <c r="O49" s="471">
        <f ca="1">COUNTIF(ADMIN!$S$182:INDEX(ADMIN!$S$182:$QC$197,16,ADMIN!$D$5*3-1),Stats!$L49)-SUM(P49:T49)</f>
        <v>1</v>
      </c>
      <c r="P49" s="471">
        <f ca="1">COUNTIF(ADMIN!$S$210:INDEX(ADMIN!$S$210:$QC$217,8,ADMIN!$D$5*3-1),Stats!$L49)-SUM(Q49:T49)</f>
        <v>0</v>
      </c>
      <c r="Q49" s="471">
        <f ca="1">COUNTIF(ADMIN!$S$226:INDEX(ADMIN!$S$226:$QC$229,4,ADMIN!$D$5*3-1),Stats!$L49)-SUM(R49:T49)</f>
        <v>0</v>
      </c>
      <c r="R49" s="471">
        <f ca="1">IFERROR(COUNTIF(ADMIN!$S$252:INDEX(ADMIN!$S$252:$QC$252,1,ADMIN!$D$5*3-1),Stats!$L49),0)</f>
        <v>0</v>
      </c>
      <c r="S49" s="471">
        <f ca="1">IFERROR(COUNTIF(ADMIN!$S$251:INDEX(ADMIN!$S$251:$QC$251,1,ADMIN!$D$5*3-1),Stats!$L49),0)</f>
        <v>0</v>
      </c>
      <c r="T49" s="472">
        <f ca="1">IFERROR(COUNTIF(ADMIN!$S$250:INDEX(ADMIN!$S$250:$QC$250,1,ADMIN!$D$5*3-1),Stats!$L49),0)</f>
        <v>0</v>
      </c>
      <c r="U49" s="25"/>
      <c r="V49" s="11">
        <f t="shared" ca="1" si="0"/>
        <v>59</v>
      </c>
      <c r="W49" s="11"/>
      <c r="X49" s="11"/>
      <c r="Y49" s="11"/>
      <c r="Z49" s="11"/>
      <c r="AA49" s="11"/>
      <c r="AB49" s="11"/>
      <c r="AC49" s="11"/>
      <c r="AD49" s="11"/>
      <c r="AE49" s="11"/>
      <c r="AF49" s="11"/>
      <c r="AG49" s="11"/>
      <c r="AH49" s="11"/>
      <c r="AI49" s="11"/>
      <c r="AJ49" s="11"/>
      <c r="AK49" s="11"/>
      <c r="AL49" s="11"/>
      <c r="AM49" s="11"/>
      <c r="AN49" s="11"/>
      <c r="AO49" s="11" t="str">
        <f ca="1">IFERROR(INDEX(DailyPrediction!$D$4:$D$35,MATCH(Stats!AG49,DailyPrediction!$A$4:$A$35,0)),"")</f>
        <v/>
      </c>
      <c r="AP49" s="11"/>
      <c r="AQ49" s="11"/>
      <c r="AR49" s="11"/>
      <c r="AS49" s="11"/>
      <c r="AT49" s="11"/>
      <c r="AU49" s="11"/>
      <c r="AV49" s="11"/>
      <c r="AW49" s="11"/>
      <c r="AX49" s="11"/>
      <c r="AY49" s="11"/>
      <c r="AZ49" s="11"/>
      <c r="BA49" s="11"/>
    </row>
    <row r="50" spans="1:53">
      <c r="A50" s="25"/>
      <c r="B50" s="25"/>
      <c r="C50" s="17"/>
      <c r="D50" s="17"/>
      <c r="E50" s="17"/>
      <c r="F50" s="17"/>
      <c r="G50" s="17"/>
      <c r="H50" s="17"/>
      <c r="I50" s="17"/>
      <c r="J50" s="25"/>
      <c r="K50" s="25"/>
      <c r="L50" s="133" t="str">
        <f ca="1">Horarios!Q45</f>
        <v>Switzerland</v>
      </c>
      <c r="M50" s="469">
        <f ca="1">ADMIN!$D$5-SUM(N50:T50)</f>
        <v>0</v>
      </c>
      <c r="N50" s="469">
        <f ca="1">IFERROR(COUNTIF(ADMIN!$S$130:INDEX(ADMIN!$S$130:$QC$161,32,ADMIN!$D$5*3-1),Stats!$L50)-SUM(O50:T50),0)</f>
        <v>14</v>
      </c>
      <c r="O50" s="469">
        <f ca="1">COUNTIF(ADMIN!$S$182:INDEX(ADMIN!$S$182:$QC$197,16,ADMIN!$D$5*3-1),Stats!$L50)-SUM(P50:T50)</f>
        <v>41</v>
      </c>
      <c r="P50" s="469">
        <f ca="1">COUNTIF(ADMIN!$S$210:INDEX(ADMIN!$S$210:$QC$217,8,ADMIN!$D$5*3-1),Stats!$L50)-SUM(Q50:T50)</f>
        <v>2</v>
      </c>
      <c r="Q50" s="469">
        <f ca="1">COUNTIF(ADMIN!$S$226:INDEX(ADMIN!$S$226:$QC$229,4,ADMIN!$D$5*3-1),Stats!$L50)-SUM(R50:T50)</f>
        <v>1</v>
      </c>
      <c r="R50" s="469">
        <f ca="1">IFERROR(COUNTIF(ADMIN!$S$252:INDEX(ADMIN!$S$252:$QC$252,1,ADMIN!$D$5*3-1),Stats!$L50),0)</f>
        <v>0</v>
      </c>
      <c r="S50" s="469">
        <f ca="1">IFERROR(COUNTIF(ADMIN!$S$251:INDEX(ADMIN!$S$251:$QC$251,1,ADMIN!$D$5*3-1),Stats!$L50),0)</f>
        <v>1</v>
      </c>
      <c r="T50" s="470">
        <f ca="1">IFERROR(COUNTIF(ADMIN!$S$250:INDEX(ADMIN!$S$250:$QC$250,1,ADMIN!$D$5*3-1),Stats!$L50),0)</f>
        <v>0</v>
      </c>
      <c r="U50" s="25"/>
      <c r="V50" s="11">
        <f t="shared" ca="1" si="0"/>
        <v>59</v>
      </c>
      <c r="W50" s="11"/>
      <c r="X50" s="11"/>
      <c r="Y50" s="11"/>
      <c r="Z50" s="11"/>
      <c r="AA50" s="11"/>
      <c r="AB50" s="11"/>
      <c r="AC50" s="11"/>
      <c r="AD50" s="11"/>
      <c r="AE50" s="11"/>
      <c r="AF50" s="11"/>
      <c r="AG50" s="11"/>
      <c r="AH50" s="11"/>
      <c r="AI50" s="11"/>
      <c r="AJ50" s="11"/>
      <c r="AK50" s="11"/>
      <c r="AL50" s="11"/>
      <c r="AM50" s="11"/>
      <c r="AN50" s="11"/>
      <c r="AO50" s="11" t="str">
        <f ca="1">IFERROR(INDEX(DailyPrediction!$D$4:$D$35,MATCH(Stats!AG50,DailyPrediction!$A$4:$A$35,0)),"")</f>
        <v/>
      </c>
      <c r="AP50" s="11"/>
      <c r="AQ50" s="11"/>
      <c r="AR50" s="11"/>
      <c r="AS50" s="11"/>
      <c r="AT50" s="11"/>
      <c r="AU50" s="11"/>
      <c r="AV50" s="11"/>
      <c r="AW50" s="11"/>
      <c r="AX50" s="11"/>
      <c r="AY50" s="11"/>
      <c r="AZ50" s="11"/>
      <c r="BA50" s="11"/>
    </row>
    <row r="51" spans="1:53">
      <c r="A51" s="25"/>
      <c r="B51" s="25"/>
      <c r="C51" s="17"/>
      <c r="D51" s="17"/>
      <c r="E51" s="17"/>
      <c r="F51" s="17"/>
      <c r="G51" s="17"/>
      <c r="H51" s="17"/>
      <c r="I51" s="17"/>
      <c r="J51" s="25"/>
      <c r="K51" s="25"/>
      <c r="L51" s="132" t="str">
        <f ca="1">Horarios!Q46</f>
        <v>Tunisia</v>
      </c>
      <c r="M51" s="471">
        <f ca="1">ADMIN!$D$5-SUM(N51:T51)</f>
        <v>59</v>
      </c>
      <c r="N51" s="471">
        <f ca="1">IFERROR(COUNTIF(ADMIN!$S$130:INDEX(ADMIN!$S$130:$QC$161,32,ADMIN!$D$5*3-1),Stats!$L51)-SUM(O51:T51),0)</f>
        <v>0</v>
      </c>
      <c r="O51" s="471">
        <f ca="1">COUNTIF(ADMIN!$S$182:INDEX(ADMIN!$S$182:$QC$197,16,ADMIN!$D$5*3-1),Stats!$L51)-SUM(P51:T51)</f>
        <v>0</v>
      </c>
      <c r="P51" s="471">
        <f ca="1">COUNTIF(ADMIN!$S$210:INDEX(ADMIN!$S$210:$QC$217,8,ADMIN!$D$5*3-1),Stats!$L51)-SUM(Q51:T51)</f>
        <v>0</v>
      </c>
      <c r="Q51" s="471">
        <f ca="1">COUNTIF(ADMIN!$S$226:INDEX(ADMIN!$S$226:$QC$229,4,ADMIN!$D$5*3-1),Stats!$L51)-SUM(R51:T51)</f>
        <v>0</v>
      </c>
      <c r="R51" s="471">
        <f ca="1">IFERROR(COUNTIF(ADMIN!$S$252:INDEX(ADMIN!$S$252:$QC$252,1,ADMIN!$D$5*3-1),Stats!$L51),0)</f>
        <v>0</v>
      </c>
      <c r="S51" s="471">
        <f ca="1">IFERROR(COUNTIF(ADMIN!$S$251:INDEX(ADMIN!$S$251:$QC$251,1,ADMIN!$D$5*3-1),Stats!$L51),0)</f>
        <v>0</v>
      </c>
      <c r="T51" s="472">
        <f ca="1">IFERROR(COUNTIF(ADMIN!$S$250:INDEX(ADMIN!$S$250:$QC$250,1,ADMIN!$D$5*3-1),Stats!$L51),0)</f>
        <v>0</v>
      </c>
      <c r="U51" s="25"/>
      <c r="V51" s="11">
        <f t="shared" ca="1" si="0"/>
        <v>59</v>
      </c>
      <c r="W51" s="11"/>
      <c r="X51" s="11"/>
      <c r="Y51" s="11"/>
      <c r="Z51" s="11"/>
      <c r="AA51" s="11"/>
      <c r="AB51" s="11"/>
      <c r="AC51" s="11"/>
      <c r="AD51" s="11"/>
      <c r="AE51" s="11"/>
      <c r="AF51" s="11"/>
      <c r="AG51" s="11"/>
      <c r="AH51" s="11"/>
      <c r="AI51" s="11"/>
      <c r="AJ51" s="11"/>
      <c r="AK51" s="11"/>
      <c r="AL51" s="11"/>
      <c r="AM51" s="11"/>
      <c r="AN51" s="11"/>
      <c r="AO51" s="11" t="str">
        <f ca="1">IFERROR(INDEX(DailyPrediction!$D$4:$D$35,MATCH(Stats!AG51,DailyPrediction!$A$4:$A$35,0)),"")</f>
        <v/>
      </c>
      <c r="AP51" s="11"/>
      <c r="AQ51" s="11"/>
      <c r="AR51" s="11"/>
      <c r="AS51" s="11"/>
      <c r="AT51" s="11"/>
      <c r="AU51" s="11"/>
      <c r="AV51" s="11"/>
      <c r="AW51" s="11"/>
      <c r="AX51" s="11"/>
      <c r="AY51" s="11"/>
      <c r="AZ51" s="11"/>
      <c r="BA51" s="11"/>
    </row>
    <row r="52" spans="1:53">
      <c r="A52" s="25"/>
      <c r="B52" s="25"/>
      <c r="C52" s="17"/>
      <c r="D52" s="17"/>
      <c r="E52" s="17"/>
      <c r="F52" s="17"/>
      <c r="G52" s="17"/>
      <c r="H52" s="17"/>
      <c r="I52" s="17"/>
      <c r="J52" s="25"/>
      <c r="K52" s="25"/>
      <c r="L52" s="133" t="str">
        <f ca="1">Horarios!Q47</f>
        <v>Turkey</v>
      </c>
      <c r="M52" s="469">
        <f ca="1">ADMIN!$D$5-SUM(N52:T52)</f>
        <v>2</v>
      </c>
      <c r="N52" s="469">
        <f ca="1">IFERROR(COUNTIF(ADMIN!$S$130:INDEX(ADMIN!$S$130:$QC$161,32,ADMIN!$D$5*3-1),Stats!$L52)-SUM(O52:T52),0)</f>
        <v>9</v>
      </c>
      <c r="O52" s="469">
        <f ca="1">COUNTIF(ADMIN!$S$182:INDEX(ADMIN!$S$182:$QC$197,16,ADMIN!$D$5*3-1),Stats!$L52)-SUM(P52:T52)</f>
        <v>36</v>
      </c>
      <c r="P52" s="469">
        <f ca="1">COUNTIF(ADMIN!$S$210:INDEX(ADMIN!$S$210:$QC$217,8,ADMIN!$D$5*3-1),Stats!$L52)-SUM(Q52:T52)</f>
        <v>12</v>
      </c>
      <c r="Q52" s="469">
        <f ca="1">COUNTIF(ADMIN!$S$226:INDEX(ADMIN!$S$226:$QC$229,4,ADMIN!$D$5*3-1),Stats!$L52)-SUM(R52:T52)</f>
        <v>0</v>
      </c>
      <c r="R52" s="469">
        <f ca="1">IFERROR(COUNTIF(ADMIN!$S$252:INDEX(ADMIN!$S$252:$QC$252,1,ADMIN!$D$5*3-1),Stats!$L52),0)</f>
        <v>0</v>
      </c>
      <c r="S52" s="469">
        <f ca="1">IFERROR(COUNTIF(ADMIN!$S$251:INDEX(ADMIN!$S$251:$QC$251,1,ADMIN!$D$5*3-1),Stats!$L52),0)</f>
        <v>0</v>
      </c>
      <c r="T52" s="470">
        <f ca="1">IFERROR(COUNTIF(ADMIN!$S$250:INDEX(ADMIN!$S$250:$QC$250,1,ADMIN!$D$5*3-1),Stats!$L52),0)</f>
        <v>0</v>
      </c>
      <c r="U52" s="25"/>
      <c r="V52" s="11">
        <f t="shared" ca="1" si="0"/>
        <v>59</v>
      </c>
      <c r="W52" s="11"/>
      <c r="X52" s="11"/>
      <c r="Y52" s="11"/>
      <c r="Z52" s="11"/>
      <c r="AA52" s="11"/>
      <c r="AB52" s="11"/>
      <c r="AC52" s="11"/>
      <c r="AD52" s="11"/>
      <c r="AE52" s="11"/>
      <c r="AF52" s="11"/>
      <c r="AG52" s="11"/>
      <c r="AH52" s="11"/>
      <c r="AI52" s="11"/>
      <c r="AJ52" s="11"/>
      <c r="AK52" s="11"/>
      <c r="AL52" s="11"/>
      <c r="AM52" s="11"/>
      <c r="AN52" s="11"/>
      <c r="AO52" s="11" t="str">
        <f ca="1">IFERROR(INDEX(DailyPrediction!$D$4:$D$35,MATCH(Stats!AG52,DailyPrediction!$A$4:$A$35,0)),"")</f>
        <v/>
      </c>
      <c r="AP52" s="11"/>
      <c r="AQ52" s="11"/>
      <c r="AR52" s="11"/>
      <c r="AS52" s="11"/>
      <c r="AT52" s="11"/>
      <c r="AU52" s="11"/>
      <c r="AV52" s="11"/>
      <c r="AW52" s="11"/>
      <c r="AX52" s="11"/>
      <c r="AY52" s="11"/>
      <c r="AZ52" s="11"/>
      <c r="BA52" s="11"/>
    </row>
    <row r="53" spans="1:53">
      <c r="A53" s="25"/>
      <c r="B53" s="25"/>
      <c r="C53" s="17"/>
      <c r="D53" s="17"/>
      <c r="E53" s="17"/>
      <c r="F53" s="17"/>
      <c r="G53" s="17"/>
      <c r="H53" s="17"/>
      <c r="I53" s="17"/>
      <c r="J53" s="25"/>
      <c r="K53" s="25"/>
      <c r="L53" s="132" t="str">
        <f ca="1">Horarios!Q48</f>
        <v>United States</v>
      </c>
      <c r="M53" s="471">
        <f ca="1">ADMIN!$D$5-SUM(N53:T53)</f>
        <v>4</v>
      </c>
      <c r="N53" s="471">
        <f ca="1">IFERROR(COUNTIF(ADMIN!$S$130:INDEX(ADMIN!$S$130:$QC$161,32,ADMIN!$D$5*3-1),Stats!$L53)-SUM(O53:T53),0)</f>
        <v>17</v>
      </c>
      <c r="O53" s="471">
        <f ca="1">COUNTIF(ADMIN!$S$182:INDEX(ADMIN!$S$182:$QC$197,16,ADMIN!$D$5*3-1),Stats!$L53)-SUM(P53:T53)</f>
        <v>33</v>
      </c>
      <c r="P53" s="471">
        <f ca="1">COUNTIF(ADMIN!$S$210:INDEX(ADMIN!$S$210:$QC$217,8,ADMIN!$D$5*3-1),Stats!$L53)-SUM(Q53:T53)</f>
        <v>4</v>
      </c>
      <c r="Q53" s="471">
        <f ca="1">COUNTIF(ADMIN!$S$226:INDEX(ADMIN!$S$226:$QC$229,4,ADMIN!$D$5*3-1),Stats!$L53)-SUM(R53:T53)</f>
        <v>0</v>
      </c>
      <c r="R53" s="471">
        <f ca="1">IFERROR(COUNTIF(ADMIN!$S$252:INDEX(ADMIN!$S$252:$QC$252,1,ADMIN!$D$5*3-1),Stats!$L53),0)</f>
        <v>0</v>
      </c>
      <c r="S53" s="471">
        <f ca="1">IFERROR(COUNTIF(ADMIN!$S$251:INDEX(ADMIN!$S$251:$QC$251,1,ADMIN!$D$5*3-1),Stats!$L53),0)</f>
        <v>0</v>
      </c>
      <c r="T53" s="472">
        <f ca="1">IFERROR(COUNTIF(ADMIN!$S$250:INDEX(ADMIN!$S$250:$QC$250,1,ADMIN!$D$5*3-1),Stats!$L53),0)</f>
        <v>1</v>
      </c>
      <c r="U53" s="25"/>
      <c r="V53" s="11">
        <f t="shared" ca="1" si="0"/>
        <v>59</v>
      </c>
      <c r="W53" s="11"/>
      <c r="X53" s="11"/>
      <c r="Y53" s="11"/>
      <c r="Z53" s="11"/>
      <c r="AA53" s="11"/>
      <c r="AB53" s="11"/>
      <c r="AC53" s="11"/>
      <c r="AD53" s="11"/>
      <c r="AE53" s="11"/>
      <c r="AF53" s="11"/>
      <c r="AG53" s="11"/>
      <c r="AH53" s="11"/>
      <c r="AI53" s="11"/>
      <c r="AJ53" s="11"/>
      <c r="AK53" s="11"/>
      <c r="AL53" s="11"/>
      <c r="AM53" s="11"/>
      <c r="AN53" s="11"/>
      <c r="AO53" s="11" t="str">
        <f ca="1">IFERROR(INDEX(DailyPrediction!$D$4:$D$35,MATCH(Stats!AG53,DailyPrediction!$A$4:$A$35,0)),"")</f>
        <v/>
      </c>
      <c r="AP53" s="11"/>
      <c r="AQ53" s="11"/>
      <c r="AR53" s="11"/>
      <c r="AS53" s="11"/>
      <c r="AT53" s="11"/>
      <c r="AU53" s="11"/>
      <c r="AV53" s="11"/>
      <c r="AW53" s="11"/>
      <c r="AX53" s="11"/>
      <c r="AY53" s="11"/>
      <c r="AZ53" s="11"/>
      <c r="BA53" s="11"/>
    </row>
    <row r="54" spans="1:53">
      <c r="A54" s="25"/>
      <c r="B54" s="25"/>
      <c r="C54" s="17"/>
      <c r="D54" s="17"/>
      <c r="E54" s="17"/>
      <c r="F54" s="17"/>
      <c r="G54" s="17"/>
      <c r="H54" s="17"/>
      <c r="I54" s="17"/>
      <c r="J54" s="25"/>
      <c r="K54" s="25"/>
      <c r="L54" s="133" t="str">
        <f ca="1">Horarios!Q49</f>
        <v>Uruguay</v>
      </c>
      <c r="M54" s="469">
        <f ca="1">ADMIN!$D$5-SUM(N54:T54)</f>
        <v>2</v>
      </c>
      <c r="N54" s="469">
        <f ca="1">IFERROR(COUNTIF(ADMIN!$S$130:INDEX(ADMIN!$S$130:$QC$161,32,ADMIN!$D$5*3-1),Stats!$L54)-SUM(O54:T54),0)</f>
        <v>51</v>
      </c>
      <c r="O54" s="469">
        <f ca="1">COUNTIF(ADMIN!$S$182:INDEX(ADMIN!$S$182:$QC$197,16,ADMIN!$D$5*3-1),Stats!$L54)-SUM(P54:T54)</f>
        <v>2</v>
      </c>
      <c r="P54" s="469">
        <f ca="1">COUNTIF(ADMIN!$S$210:INDEX(ADMIN!$S$210:$QC$217,8,ADMIN!$D$5*3-1),Stats!$L54)-SUM(Q54:T54)</f>
        <v>3</v>
      </c>
      <c r="Q54" s="469">
        <f ca="1">COUNTIF(ADMIN!$S$226:INDEX(ADMIN!$S$226:$QC$229,4,ADMIN!$D$5*3-1),Stats!$L54)-SUM(R54:T54)</f>
        <v>0</v>
      </c>
      <c r="R54" s="469">
        <f ca="1">IFERROR(COUNTIF(ADMIN!$S$252:INDEX(ADMIN!$S$252:$QC$252,1,ADMIN!$D$5*3-1),Stats!$L54),0)</f>
        <v>0</v>
      </c>
      <c r="S54" s="469">
        <f ca="1">IFERROR(COUNTIF(ADMIN!$S$251:INDEX(ADMIN!$S$251:$QC$251,1,ADMIN!$D$5*3-1),Stats!$L54),0)</f>
        <v>1</v>
      </c>
      <c r="T54" s="470">
        <f ca="1">IFERROR(COUNTIF(ADMIN!$S$250:INDEX(ADMIN!$S$250:$QC$250,1,ADMIN!$D$5*3-1),Stats!$L54),0)</f>
        <v>0</v>
      </c>
      <c r="U54" s="25"/>
      <c r="V54" s="11">
        <f t="shared" ca="1" si="0"/>
        <v>59</v>
      </c>
      <c r="W54" s="11"/>
      <c r="X54" s="11"/>
      <c r="Y54" s="11"/>
      <c r="Z54" s="11"/>
      <c r="AA54" s="11"/>
      <c r="AB54" s="11"/>
      <c r="AC54" s="11"/>
      <c r="AD54" s="11"/>
      <c r="AE54" s="11"/>
      <c r="AF54" s="11"/>
      <c r="AG54" s="11"/>
      <c r="AH54" s="11"/>
      <c r="AI54" s="11"/>
      <c r="AJ54" s="11"/>
      <c r="AK54" s="11"/>
      <c r="AL54" s="11"/>
      <c r="AM54" s="11"/>
      <c r="AN54" s="11"/>
      <c r="AO54" s="11" t="str">
        <f ca="1">IFERROR(INDEX(DailyPrediction!$D$4:$D$35,MATCH(Stats!AG54,DailyPrediction!$A$4:$A$35,0)),"")</f>
        <v/>
      </c>
      <c r="AP54" s="11"/>
      <c r="AQ54" s="11"/>
      <c r="AR54" s="11"/>
      <c r="AS54" s="11"/>
      <c r="AT54" s="11"/>
      <c r="AU54" s="11"/>
      <c r="AV54" s="11"/>
      <c r="AW54" s="11"/>
      <c r="AX54" s="11"/>
      <c r="AY54" s="11"/>
      <c r="AZ54" s="11"/>
      <c r="BA54" s="11"/>
    </row>
    <row r="55" spans="1:53" ht="15.75" thickBot="1">
      <c r="A55" s="25"/>
      <c r="B55" s="25"/>
      <c r="C55" s="17"/>
      <c r="D55" s="17"/>
      <c r="E55" s="17"/>
      <c r="F55" s="17"/>
      <c r="G55" s="17"/>
      <c r="H55" s="17"/>
      <c r="I55" s="17"/>
      <c r="J55" s="25"/>
      <c r="K55" s="25"/>
      <c r="L55" s="135" t="str">
        <f ca="1">Horarios!Q50</f>
        <v>Uzbekistan</v>
      </c>
      <c r="M55" s="473">
        <f ca="1">ADMIN!$D$5-SUM(N55:T55)</f>
        <v>50</v>
      </c>
      <c r="N55" s="473">
        <f ca="1">IFERROR(COUNTIF(ADMIN!$S$130:INDEX(ADMIN!$S$130:$QC$161,32,ADMIN!$D$5*3-1),Stats!$L55)-SUM(O55:T55),0)</f>
        <v>8</v>
      </c>
      <c r="O55" s="473">
        <f ca="1">COUNTIF(ADMIN!$S$182:INDEX(ADMIN!$S$182:$QC$197,16,ADMIN!$D$5*3-1),Stats!$L55)-SUM(P55:T55)</f>
        <v>1</v>
      </c>
      <c r="P55" s="473">
        <f ca="1">COUNTIF(ADMIN!$S$210:INDEX(ADMIN!$S$210:$QC$217,8,ADMIN!$D$5*3-1),Stats!$L55)-SUM(Q55:T55)</f>
        <v>0</v>
      </c>
      <c r="Q55" s="473">
        <f ca="1">COUNTIF(ADMIN!$S$226:INDEX(ADMIN!$S$226:$QC$229,4,ADMIN!$D$5*3-1),Stats!$L55)-SUM(R55:T55)</f>
        <v>0</v>
      </c>
      <c r="R55" s="473">
        <f ca="1">IFERROR(COUNTIF(ADMIN!$S$252:INDEX(ADMIN!$S$252:$QC$252,1,ADMIN!$D$5*3-1),Stats!$L55),0)</f>
        <v>0</v>
      </c>
      <c r="S55" s="473">
        <f ca="1">IFERROR(COUNTIF(ADMIN!$S$251:INDEX(ADMIN!$S$251:$QC$251,1,ADMIN!$D$5*3-1),Stats!$L55),0)</f>
        <v>0</v>
      </c>
      <c r="T55" s="474">
        <f ca="1">IFERROR(COUNTIF(ADMIN!$S$250:INDEX(ADMIN!$S$250:$QC$250,1,ADMIN!$D$5*3-1),Stats!$L55),0)</f>
        <v>0</v>
      </c>
      <c r="U55" s="25"/>
      <c r="V55" s="11">
        <f t="shared" ca="1" si="0"/>
        <v>59</v>
      </c>
      <c r="W55" s="11"/>
      <c r="X55" s="11"/>
      <c r="Y55" s="11"/>
      <c r="Z55" s="11"/>
      <c r="AA55" s="11"/>
      <c r="AB55" s="11"/>
      <c r="AC55" s="11"/>
      <c r="AD55" s="11"/>
      <c r="AE55" s="11"/>
      <c r="AF55" s="11"/>
      <c r="AG55" s="11"/>
      <c r="AH55" s="11"/>
      <c r="AI55" s="11"/>
      <c r="AJ55" s="11"/>
      <c r="AK55" s="11"/>
      <c r="AL55" s="11"/>
      <c r="AM55" s="11"/>
      <c r="AN55" s="11"/>
      <c r="AO55" s="11" t="str">
        <f ca="1">IFERROR(INDEX(DailyPrediction!$D$4:$D$35,MATCH(Stats!AG55,DailyPrediction!$A$4:$A$35,0)),"")</f>
        <v/>
      </c>
      <c r="AP55" s="11"/>
      <c r="AQ55" s="11"/>
      <c r="AR55" s="11"/>
      <c r="AS55" s="11"/>
      <c r="AT55" s="11"/>
      <c r="AU55" s="11"/>
      <c r="AV55" s="11"/>
      <c r="AW55" s="11"/>
      <c r="AX55" s="11"/>
      <c r="AY55" s="11"/>
      <c r="AZ55" s="11"/>
      <c r="BA55" s="11"/>
    </row>
    <row r="56" spans="1:53">
      <c r="A56" s="25"/>
      <c r="B56" s="25"/>
      <c r="C56" s="17"/>
      <c r="D56" s="17"/>
      <c r="E56" s="17"/>
      <c r="F56" s="17"/>
      <c r="G56" s="17"/>
      <c r="H56" s="17"/>
      <c r="I56" s="17"/>
      <c r="J56" s="25"/>
      <c r="K56" s="25"/>
      <c r="L56" s="17"/>
      <c r="M56" s="17"/>
      <c r="N56" s="17"/>
      <c r="O56" s="17"/>
      <c r="P56" s="17"/>
      <c r="Q56" s="17"/>
      <c r="R56" s="17"/>
      <c r="S56" s="17"/>
      <c r="T56" s="17"/>
      <c r="U56" s="25"/>
      <c r="V56" s="11"/>
      <c r="W56" s="11"/>
      <c r="X56" s="11"/>
      <c r="Y56" s="11"/>
      <c r="Z56" s="11"/>
      <c r="AA56" s="11"/>
      <c r="AB56" s="11"/>
      <c r="AC56" s="11"/>
      <c r="AD56" s="11"/>
      <c r="AE56" s="11"/>
      <c r="AF56" s="11"/>
      <c r="AG56" s="11"/>
      <c r="AH56" s="11"/>
      <c r="AI56" s="11"/>
      <c r="AJ56" s="11"/>
      <c r="AK56" s="11"/>
      <c r="AL56" s="11"/>
      <c r="AM56" s="11"/>
      <c r="AN56" s="11"/>
      <c r="AO56" s="11" t="str">
        <f ca="1">IFERROR(INDEX(DailyPrediction!$D$4:$D$35,MATCH(Stats!AG56,DailyPrediction!$A$4:$A$35,0)),"")</f>
        <v/>
      </c>
      <c r="AP56" s="11"/>
      <c r="AQ56" s="11"/>
      <c r="AR56" s="11"/>
      <c r="AS56" s="11"/>
      <c r="AT56" s="11"/>
      <c r="AU56" s="11"/>
      <c r="AV56" s="11"/>
      <c r="AW56" s="11"/>
      <c r="AX56" s="11"/>
      <c r="AY56" s="11"/>
      <c r="AZ56" s="11"/>
      <c r="BA56" s="11"/>
    </row>
    <row r="57" spans="1:53">
      <c r="A57" s="25"/>
      <c r="B57" s="25"/>
      <c r="C57" s="17"/>
      <c r="D57" s="17"/>
      <c r="E57" s="17"/>
      <c r="F57" s="17"/>
      <c r="G57" s="17"/>
      <c r="H57" s="17"/>
      <c r="I57" s="17"/>
      <c r="J57" s="25"/>
      <c r="K57" s="25"/>
      <c r="L57" s="17"/>
      <c r="M57" s="17"/>
      <c r="N57" s="17"/>
      <c r="O57" s="17"/>
      <c r="P57" s="17"/>
      <c r="Q57" s="17"/>
      <c r="R57" s="17"/>
      <c r="S57" s="17"/>
      <c r="T57" s="17"/>
      <c r="U57" s="25"/>
      <c r="V57" s="11"/>
      <c r="W57" s="11"/>
      <c r="X57" s="11"/>
      <c r="Y57" s="11"/>
      <c r="Z57" s="11"/>
      <c r="AA57" s="11"/>
      <c r="AB57" s="11"/>
      <c r="AC57" s="11"/>
      <c r="AD57" s="11"/>
      <c r="AE57" s="11"/>
      <c r="AF57" s="11"/>
      <c r="AG57" s="11"/>
      <c r="AH57" s="11"/>
      <c r="AI57" s="11"/>
      <c r="AJ57" s="11"/>
      <c r="AK57" s="11"/>
      <c r="AL57" s="11"/>
      <c r="AM57" s="11"/>
      <c r="AN57" s="11"/>
      <c r="AO57" s="11" t="str">
        <f ca="1">IFERROR(INDEX(DailyPrediction!$D$4:$D$35,MATCH(Stats!AG57,DailyPrediction!$A$4:$A$35,0)),"")</f>
        <v/>
      </c>
      <c r="AP57" s="11"/>
      <c r="AQ57" s="11"/>
      <c r="AR57" s="11"/>
      <c r="AS57" s="11"/>
      <c r="AT57" s="11"/>
      <c r="AU57" s="11"/>
      <c r="AV57" s="11"/>
      <c r="AW57" s="11"/>
      <c r="AX57" s="11"/>
      <c r="AY57" s="11"/>
      <c r="AZ57" s="11"/>
      <c r="BA57" s="11"/>
    </row>
    <row r="58" spans="1:53">
      <c r="A58" s="25"/>
      <c r="B58" s="25"/>
      <c r="C58" s="17"/>
      <c r="D58" s="17"/>
      <c r="E58" s="17"/>
      <c r="F58" s="17"/>
      <c r="G58" s="17"/>
      <c r="H58" s="17"/>
      <c r="I58" s="17"/>
      <c r="J58" s="25"/>
      <c r="K58" s="25"/>
      <c r="L58" s="17"/>
      <c r="M58" s="17"/>
      <c r="N58" s="17"/>
      <c r="O58" s="17"/>
      <c r="P58" s="17"/>
      <c r="Q58" s="17"/>
      <c r="R58" s="17"/>
      <c r="S58" s="17"/>
      <c r="T58" s="17"/>
      <c r="U58" s="25"/>
      <c r="V58" s="11"/>
      <c r="W58" s="11"/>
      <c r="X58" s="11"/>
      <c r="Y58" s="11"/>
      <c r="Z58" s="11"/>
      <c r="AA58" s="11"/>
      <c r="AB58" s="11"/>
      <c r="AC58" s="11"/>
      <c r="AD58" s="11"/>
      <c r="AE58" s="11"/>
      <c r="AF58" s="11"/>
      <c r="AG58" s="11"/>
      <c r="AH58" s="11"/>
      <c r="AI58" s="11"/>
      <c r="AJ58" s="11"/>
      <c r="AK58" s="11"/>
      <c r="AL58" s="11"/>
      <c r="AM58" s="11"/>
      <c r="AN58" s="11"/>
      <c r="AO58" s="11" t="str">
        <f ca="1">IFERROR(INDEX(DailyPrediction!$D$4:$D$35,MATCH(Stats!AG58,DailyPrediction!$A$4:$A$35,0)),"")</f>
        <v/>
      </c>
      <c r="AP58" s="11"/>
      <c r="AQ58" s="11"/>
      <c r="AR58" s="11"/>
      <c r="AS58" s="11"/>
      <c r="AT58" s="11"/>
      <c r="AU58" s="11"/>
      <c r="AV58" s="11"/>
      <c r="AW58" s="11"/>
      <c r="AX58" s="11"/>
      <c r="AY58" s="11"/>
      <c r="AZ58" s="11"/>
      <c r="BA58" s="11"/>
    </row>
    <row r="59" spans="1:53">
      <c r="A59" s="25"/>
      <c r="B59" s="25"/>
      <c r="C59" s="17"/>
      <c r="D59" s="17"/>
      <c r="E59" s="17"/>
      <c r="F59" s="17"/>
      <c r="G59" s="17"/>
      <c r="H59" s="17"/>
      <c r="I59" s="17"/>
      <c r="J59" s="25"/>
      <c r="K59" s="25"/>
      <c r="L59" s="17"/>
      <c r="M59" s="17"/>
      <c r="N59" s="17"/>
      <c r="O59" s="17"/>
      <c r="P59" s="17"/>
      <c r="Q59" s="17"/>
      <c r="R59" s="17"/>
      <c r="S59" s="17"/>
      <c r="T59" s="17"/>
      <c r="U59" s="25"/>
      <c r="V59" s="11"/>
      <c r="W59" s="11"/>
      <c r="X59" s="11"/>
      <c r="Y59" s="11"/>
      <c r="Z59" s="11"/>
      <c r="AA59" s="11"/>
      <c r="AB59" s="11"/>
      <c r="AC59" s="11"/>
      <c r="AD59" s="11"/>
      <c r="AE59" s="11"/>
      <c r="AF59" s="11"/>
      <c r="AG59" s="11"/>
      <c r="AH59" s="11"/>
      <c r="AI59" s="11"/>
      <c r="AJ59" s="11"/>
      <c r="AK59" s="11"/>
      <c r="AL59" s="11"/>
      <c r="AM59" s="11"/>
      <c r="AN59" s="11"/>
      <c r="AO59" s="11" t="str">
        <f ca="1">IFERROR(INDEX(DailyPrediction!$D$4:$D$35,MATCH(Stats!AG59,DailyPrediction!$A$4:$A$35,0)),"")</f>
        <v/>
      </c>
      <c r="AP59" s="11"/>
      <c r="AQ59" s="11"/>
      <c r="AR59" s="11"/>
      <c r="AS59" s="11"/>
      <c r="AT59" s="11"/>
      <c r="AU59" s="11"/>
      <c r="AV59" s="11"/>
      <c r="AW59" s="11"/>
      <c r="AX59" s="11"/>
      <c r="AY59" s="11"/>
      <c r="AZ59" s="11"/>
      <c r="BA59" s="11"/>
    </row>
    <row r="60" spans="1:53">
      <c r="A60" s="25"/>
      <c r="B60" s="25"/>
      <c r="C60" s="17"/>
      <c r="D60" s="17"/>
      <c r="E60" s="17"/>
      <c r="F60" s="17"/>
      <c r="G60" s="17"/>
      <c r="H60" s="17"/>
      <c r="I60" s="17"/>
      <c r="J60" s="25"/>
      <c r="K60" s="25"/>
      <c r="L60" s="17"/>
      <c r="M60" s="17"/>
      <c r="N60" s="17"/>
      <c r="O60" s="17"/>
      <c r="P60" s="17"/>
      <c r="Q60" s="17"/>
      <c r="R60" s="17"/>
      <c r="S60" s="17"/>
      <c r="T60" s="17"/>
      <c r="U60" s="25"/>
      <c r="V60" s="11"/>
      <c r="W60" s="11"/>
      <c r="X60" s="11"/>
      <c r="Y60" s="11"/>
      <c r="Z60" s="11"/>
      <c r="AA60" s="11"/>
      <c r="AB60" s="11"/>
      <c r="AC60" s="11"/>
      <c r="AD60" s="11"/>
      <c r="AE60" s="11"/>
      <c r="AF60" s="11"/>
      <c r="AG60" s="11"/>
      <c r="AH60" s="11"/>
      <c r="AI60" s="11"/>
      <c r="AJ60" s="11"/>
      <c r="AK60" s="11"/>
      <c r="AL60" s="11"/>
      <c r="AM60" s="11"/>
      <c r="AN60" s="11"/>
      <c r="AO60" s="11" t="str">
        <f ca="1">IFERROR(INDEX(DailyPrediction!$D$4:$D$35,MATCH(Stats!AG60,DailyPrediction!$A$4:$A$35,0)),"")</f>
        <v/>
      </c>
      <c r="AP60" s="11"/>
      <c r="AQ60" s="11"/>
      <c r="AR60" s="11"/>
      <c r="AS60" s="11"/>
      <c r="AT60" s="11"/>
      <c r="AU60" s="11"/>
      <c r="AV60" s="11"/>
      <c r="AW60" s="11"/>
      <c r="AX60" s="11"/>
      <c r="AY60" s="11"/>
      <c r="AZ60" s="11"/>
      <c r="BA60" s="11"/>
    </row>
    <row r="61" spans="1:53">
      <c r="A61" s="25"/>
      <c r="B61" s="25"/>
      <c r="C61" s="17"/>
      <c r="D61" s="17"/>
      <c r="E61" s="17"/>
      <c r="F61" s="17"/>
      <c r="G61" s="17"/>
      <c r="H61" s="17"/>
      <c r="I61" s="17"/>
      <c r="J61" s="25"/>
      <c r="K61" s="25"/>
      <c r="L61" s="17"/>
      <c r="M61" s="17"/>
      <c r="N61" s="17"/>
      <c r="O61" s="17"/>
      <c r="P61" s="17"/>
      <c r="Q61" s="17"/>
      <c r="R61" s="17"/>
      <c r="S61" s="17"/>
      <c r="T61" s="17"/>
      <c r="U61" s="25"/>
      <c r="V61" s="11"/>
      <c r="W61" s="11"/>
      <c r="X61" s="11"/>
      <c r="Y61" s="11"/>
      <c r="Z61" s="11"/>
      <c r="AA61" s="11"/>
      <c r="AB61" s="11"/>
      <c r="AC61" s="11"/>
      <c r="AD61" s="11"/>
      <c r="AE61" s="11"/>
      <c r="AF61" s="11"/>
      <c r="AG61" s="11"/>
      <c r="AH61" s="11"/>
      <c r="AI61" s="11"/>
      <c r="AJ61" s="11"/>
      <c r="AK61" s="11"/>
      <c r="AL61" s="11"/>
      <c r="AM61" s="11"/>
      <c r="AN61" s="11"/>
      <c r="AO61" s="11" t="str">
        <f ca="1">IFERROR(INDEX(DailyPrediction!$D$4:$D$35,MATCH(Stats!AG61,DailyPrediction!$A$4:$A$35,0)),"")</f>
        <v/>
      </c>
      <c r="AP61" s="11"/>
      <c r="AQ61" s="11"/>
      <c r="AR61" s="11"/>
      <c r="AS61" s="11"/>
      <c r="AT61" s="11"/>
      <c r="AU61" s="11"/>
      <c r="AV61" s="11"/>
      <c r="AW61" s="11"/>
      <c r="AX61" s="11"/>
      <c r="AY61" s="11"/>
      <c r="AZ61" s="11"/>
      <c r="BA61" s="11"/>
    </row>
    <row r="62" spans="1:53">
      <c r="A62" s="25"/>
      <c r="B62" s="25"/>
      <c r="C62" s="17"/>
      <c r="D62" s="17"/>
      <c r="E62" s="17"/>
      <c r="F62" s="17"/>
      <c r="G62" s="17"/>
      <c r="H62" s="17"/>
      <c r="I62" s="17"/>
      <c r="J62" s="25"/>
      <c r="K62" s="25"/>
      <c r="L62" s="17"/>
      <c r="M62" s="17"/>
      <c r="N62" s="17"/>
      <c r="O62" s="17"/>
      <c r="P62" s="17"/>
      <c r="Q62" s="17"/>
      <c r="R62" s="17"/>
      <c r="S62" s="17"/>
      <c r="T62" s="17"/>
      <c r="U62" s="25"/>
      <c r="V62" s="11"/>
      <c r="W62" s="11"/>
      <c r="X62" s="11"/>
      <c r="Y62" s="11"/>
      <c r="Z62" s="11"/>
      <c r="AA62" s="11"/>
      <c r="AB62" s="11"/>
      <c r="AC62" s="11"/>
      <c r="AD62" s="11"/>
      <c r="AE62" s="11"/>
      <c r="AF62" s="11"/>
      <c r="AG62" s="11"/>
      <c r="AH62" s="11"/>
      <c r="AI62" s="11"/>
      <c r="AJ62" s="11"/>
      <c r="AK62" s="11"/>
      <c r="AL62" s="11"/>
      <c r="AM62" s="11"/>
      <c r="AN62" s="11"/>
      <c r="AO62" s="11" t="str">
        <f ca="1">IFERROR(INDEX(DailyPrediction!$D$4:$D$35,MATCH(Stats!AG62,DailyPrediction!$A$4:$A$35,0)),"")</f>
        <v/>
      </c>
      <c r="AP62" s="11"/>
      <c r="AQ62" s="11"/>
      <c r="AR62" s="11"/>
      <c r="AS62" s="11"/>
      <c r="AT62" s="11"/>
      <c r="AU62" s="11"/>
      <c r="AV62" s="11"/>
      <c r="AW62" s="11"/>
      <c r="AX62" s="11"/>
      <c r="AY62" s="11"/>
      <c r="AZ62" s="11"/>
      <c r="BA62" s="11"/>
    </row>
    <row r="63" spans="1:53">
      <c r="A63" s="25"/>
      <c r="B63" s="25"/>
      <c r="C63" s="17"/>
      <c r="D63" s="17"/>
      <c r="E63" s="17"/>
      <c r="F63" s="17"/>
      <c r="G63" s="17"/>
      <c r="H63" s="17"/>
      <c r="I63" s="17"/>
      <c r="J63" s="25"/>
      <c r="K63" s="25"/>
      <c r="L63" s="17"/>
      <c r="M63" s="17"/>
      <c r="N63" s="17"/>
      <c r="O63" s="17"/>
      <c r="P63" s="17"/>
      <c r="Q63" s="17"/>
      <c r="R63" s="17"/>
      <c r="S63" s="17"/>
      <c r="T63" s="17"/>
      <c r="U63" s="25"/>
      <c r="V63" s="11"/>
      <c r="W63" s="11"/>
      <c r="X63" s="11"/>
      <c r="Y63" s="11"/>
      <c r="Z63" s="11"/>
      <c r="AA63" s="11"/>
      <c r="AB63" s="11"/>
      <c r="AC63" s="11"/>
      <c r="AD63" s="11"/>
      <c r="AE63" s="11"/>
      <c r="AF63" s="11"/>
      <c r="AG63" s="11"/>
      <c r="AH63" s="11"/>
      <c r="AI63" s="11"/>
      <c r="AJ63" s="11"/>
      <c r="AK63" s="11"/>
      <c r="AL63" s="11"/>
      <c r="AM63" s="11"/>
      <c r="AN63" s="11"/>
      <c r="AO63" s="11" t="str">
        <f ca="1">IFERROR(INDEX(DailyPrediction!$D$4:$D$35,MATCH(Stats!AG63,DailyPrediction!$A$4:$A$35,0)),"")</f>
        <v/>
      </c>
      <c r="AP63" s="11"/>
      <c r="AQ63" s="11"/>
      <c r="AR63" s="11"/>
      <c r="AS63" s="11"/>
      <c r="AT63" s="11"/>
      <c r="AU63" s="11"/>
      <c r="AV63" s="11"/>
      <c r="AW63" s="11"/>
      <c r="AX63" s="11"/>
      <c r="AY63" s="11"/>
      <c r="AZ63" s="11"/>
      <c r="BA63" s="11"/>
    </row>
    <row r="64" spans="1:53">
      <c r="A64" s="25"/>
      <c r="B64" s="25"/>
      <c r="C64" s="17"/>
      <c r="D64" s="17"/>
      <c r="E64" s="17"/>
      <c r="F64" s="17"/>
      <c r="G64" s="17"/>
      <c r="H64" s="17"/>
      <c r="I64" s="17"/>
      <c r="J64" s="25"/>
      <c r="K64" s="25"/>
      <c r="L64" s="17"/>
      <c r="M64" s="17"/>
      <c r="N64" s="17"/>
      <c r="O64" s="17"/>
      <c r="P64" s="17"/>
      <c r="Q64" s="17"/>
      <c r="R64" s="17"/>
      <c r="S64" s="17"/>
      <c r="T64" s="17"/>
      <c r="U64" s="25"/>
      <c r="V64" s="11"/>
      <c r="W64" s="11"/>
      <c r="X64" s="11"/>
      <c r="Y64" s="11"/>
      <c r="Z64" s="11"/>
      <c r="AA64" s="11"/>
      <c r="AB64" s="11"/>
      <c r="AC64" s="11"/>
      <c r="AD64" s="11"/>
      <c r="AE64" s="11"/>
      <c r="AF64" s="11"/>
      <c r="AG64" s="11"/>
      <c r="AH64" s="11"/>
      <c r="AI64" s="11"/>
      <c r="AJ64" s="11"/>
      <c r="AK64" s="11"/>
      <c r="AL64" s="11"/>
      <c r="AM64" s="11"/>
      <c r="AN64" s="11"/>
      <c r="AO64" s="11" t="str">
        <f ca="1">IFERROR(INDEX(DailyPrediction!$D$4:$D$35,MATCH(Stats!AG64,DailyPrediction!$A$4:$A$35,0)),"")</f>
        <v/>
      </c>
      <c r="AP64" s="11"/>
      <c r="AQ64" s="11"/>
      <c r="AR64" s="11"/>
      <c r="AS64" s="11"/>
      <c r="AT64" s="11"/>
      <c r="AU64" s="11"/>
      <c r="AV64" s="11"/>
      <c r="AW64" s="11"/>
      <c r="AX64" s="11"/>
      <c r="AY64" s="11"/>
      <c r="AZ64" s="11"/>
      <c r="BA64" s="11"/>
    </row>
    <row r="65" spans="1:53">
      <c r="A65" s="25"/>
      <c r="B65" s="25"/>
      <c r="C65" s="17"/>
      <c r="D65" s="17"/>
      <c r="E65" s="17"/>
      <c r="F65" s="17"/>
      <c r="G65" s="17"/>
      <c r="H65" s="17"/>
      <c r="I65" s="17"/>
      <c r="J65" s="25"/>
      <c r="K65" s="25"/>
      <c r="L65" s="17"/>
      <c r="M65" s="17"/>
      <c r="N65" s="17"/>
      <c r="O65" s="17"/>
      <c r="P65" s="17"/>
      <c r="Q65" s="17"/>
      <c r="R65" s="17"/>
      <c r="S65" s="17"/>
      <c r="T65" s="17"/>
      <c r="U65" s="25"/>
      <c r="V65" s="11"/>
      <c r="W65" s="11"/>
      <c r="X65" s="11"/>
      <c r="Y65" s="11"/>
      <c r="Z65" s="11"/>
      <c r="AA65" s="11"/>
      <c r="AB65" s="11"/>
      <c r="AC65" s="11"/>
      <c r="AD65" s="11"/>
      <c r="AE65" s="11"/>
      <c r="AF65" s="11"/>
      <c r="AG65" s="11"/>
      <c r="AH65" s="11"/>
      <c r="AI65" s="11"/>
      <c r="AJ65" s="11"/>
      <c r="AK65" s="11"/>
      <c r="AL65" s="11"/>
      <c r="AM65" s="11"/>
      <c r="AN65" s="11"/>
      <c r="AO65" s="11" t="str">
        <f ca="1">IFERROR(INDEX(DailyPrediction!$D$4:$D$35,MATCH(Stats!AG65,DailyPrediction!$A$4:$A$35,0)),"")</f>
        <v/>
      </c>
      <c r="AP65" s="11"/>
      <c r="AQ65" s="11"/>
      <c r="AR65" s="11"/>
      <c r="AS65" s="11"/>
      <c r="AT65" s="11"/>
      <c r="AU65" s="11"/>
      <c r="AV65" s="11"/>
      <c r="AW65" s="11"/>
      <c r="AX65" s="11"/>
      <c r="AY65" s="11"/>
      <c r="AZ65" s="11"/>
      <c r="BA65" s="11"/>
    </row>
    <row r="66" spans="1:53">
      <c r="A66" s="25"/>
      <c r="B66" s="25"/>
      <c r="C66" s="17"/>
      <c r="D66" s="17"/>
      <c r="E66" s="17"/>
      <c r="F66" s="17"/>
      <c r="G66" s="17"/>
      <c r="H66" s="17"/>
      <c r="I66" s="17"/>
      <c r="J66" s="25"/>
      <c r="K66" s="25"/>
      <c r="L66" s="17"/>
      <c r="M66" s="17"/>
      <c r="N66" s="17"/>
      <c r="O66" s="17"/>
      <c r="P66" s="17"/>
      <c r="Q66" s="17"/>
      <c r="R66" s="17"/>
      <c r="S66" s="17"/>
      <c r="T66" s="17"/>
      <c r="U66" s="25"/>
      <c r="V66" s="11"/>
      <c r="W66" s="11"/>
      <c r="X66" s="11"/>
      <c r="Y66" s="11"/>
      <c r="Z66" s="11"/>
      <c r="AA66" s="11"/>
      <c r="AB66" s="11"/>
      <c r="AC66" s="11"/>
      <c r="AD66" s="11"/>
      <c r="AE66" s="11"/>
      <c r="AF66" s="11"/>
      <c r="AG66" s="11"/>
      <c r="AH66" s="11"/>
      <c r="AI66" s="11"/>
      <c r="AJ66" s="11"/>
      <c r="AK66" s="11"/>
      <c r="AL66" s="11"/>
      <c r="AM66" s="11"/>
      <c r="AN66" s="11"/>
      <c r="AO66" s="11" t="str">
        <f ca="1">IFERROR(INDEX(DailyPrediction!$D$4:$D$35,MATCH(Stats!AG66,DailyPrediction!$A$4:$A$35,0)),"")</f>
        <v/>
      </c>
      <c r="AP66" s="11"/>
      <c r="AQ66" s="11"/>
      <c r="AR66" s="11"/>
      <c r="AS66" s="11"/>
      <c r="AT66" s="11"/>
      <c r="AU66" s="11"/>
      <c r="AV66" s="11"/>
      <c r="AW66" s="11"/>
      <c r="AX66" s="11"/>
      <c r="AY66" s="11"/>
      <c r="AZ66" s="11"/>
      <c r="BA66" s="11"/>
    </row>
    <row r="67" spans="1:53">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row>
    <row r="68" spans="1:53">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row>
    <row r="69" spans="1:53">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row>
    <row r="70" spans="1:53">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row>
    <row r="71" spans="1:53">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row>
  </sheetData>
  <sheetProtection algorithmName="SHA-512" hashValue="NKzgGs5YoWR+VkiLB2fIdHTUok15HQGfezW46PW/OsAx+WBJAov1T2uaqWXU5d0cwaiok5g6VbJnZCGlX69ceA==" saltValue="u2N3R81Aga3nPA+k7SpLhQ==" spinCount="100000" sheet="1" objects="1" scenarios="1" selectLockedCells="1"/>
  <mergeCells count="1">
    <mergeCell ref="L5:T5"/>
  </mergeCells>
  <conditionalFormatting sqref="H8:I30">
    <cfRule type="expression" dxfId="14" priority="4">
      <formula>IF(AND($I8=$J8,$I8&lt;&gt;""),1,0)</formula>
    </cfRule>
  </conditionalFormatting>
  <conditionalFormatting sqref="H8:I31">
    <cfRule type="expression" dxfId="13" priority="1">
      <formula>IF(AND($I8=$K8,$I8&lt;&gt;""),1,0)</formula>
    </cfRule>
  </conditionalFormatting>
  <conditionalFormatting sqref="H31:I31">
    <cfRule type="expression" dxfId="12" priority="2" stopIfTrue="1">
      <formula>IF(AND($I31=$J31,$I31&lt;&gt;""),1,0)</formula>
    </cfRule>
  </conditionalFormatting>
  <conditionalFormatting sqref="L5:T5">
    <cfRule type="dataBar" priority="15">
      <dataBar>
        <cfvo type="num" val="0"/>
        <cfvo type="num" val="1"/>
        <color rgb="FFC0C0C0"/>
      </dataBar>
      <extLst>
        <ext xmlns:x14="http://schemas.microsoft.com/office/spreadsheetml/2009/9/main" uri="{B025F937-C7B1-47D3-B67F-A62EFF666E3E}">
          <x14:id>{63E85320-9567-3A49-AB02-CDDC1DDA7C0B}</x14:id>
        </ext>
      </extLst>
    </cfRule>
  </conditionalFormatting>
  <conditionalFormatting sqref="M8:M55">
    <cfRule type="dataBar" priority="14">
      <dataBar>
        <cfvo type="formula" val="0"/>
        <cfvo type="formula" val="$V$5"/>
        <color rgb="FFFFC7CE"/>
      </dataBar>
      <extLst>
        <ext xmlns:x14="http://schemas.microsoft.com/office/spreadsheetml/2009/9/main" uri="{B025F937-C7B1-47D3-B67F-A62EFF666E3E}">
          <x14:id>{A1899B1C-DFE2-F840-8302-2A9979F9F972}</x14:id>
        </ext>
      </extLst>
    </cfRule>
  </conditionalFormatting>
  <conditionalFormatting sqref="N8:N55">
    <cfRule type="dataBar" priority="12">
      <dataBar>
        <cfvo type="formula" val="0"/>
        <cfvo type="formula" val="$V$5"/>
        <color rgb="FFFBE7D8"/>
      </dataBar>
      <extLst>
        <ext xmlns:x14="http://schemas.microsoft.com/office/spreadsheetml/2009/9/main" uri="{B025F937-C7B1-47D3-B67F-A62EFF666E3E}">
          <x14:id>{0D6F8E6D-E271-1B4A-BA9B-8A1C34621A48}</x14:id>
        </ext>
      </extLst>
    </cfRule>
  </conditionalFormatting>
  <conditionalFormatting sqref="O8:O55">
    <cfRule type="dataBar" priority="11">
      <dataBar>
        <cfvo type="formula" val="0"/>
        <cfvo type="formula" val="$V$5"/>
        <color rgb="FFDDE7F2"/>
      </dataBar>
      <extLst>
        <ext xmlns:x14="http://schemas.microsoft.com/office/spreadsheetml/2009/9/main" uri="{B025F937-C7B1-47D3-B67F-A62EFF666E3E}">
          <x14:id>{366E9DBD-4AFB-B04E-A045-ECE7440BA764}</x14:id>
        </ext>
      </extLst>
    </cfRule>
  </conditionalFormatting>
  <conditionalFormatting sqref="P8:P55">
    <cfRule type="dataBar" priority="10">
      <dataBar>
        <cfvo type="formula" val="0"/>
        <cfvo type="formula" val="$V$5"/>
        <color rgb="FFEBF2DF"/>
      </dataBar>
      <extLst>
        <ext xmlns:x14="http://schemas.microsoft.com/office/spreadsheetml/2009/9/main" uri="{B025F937-C7B1-47D3-B67F-A62EFF666E3E}">
          <x14:id>{9459F47F-C531-184B-B8EF-4E942B43D72D}</x14:id>
        </ext>
      </extLst>
    </cfRule>
  </conditionalFormatting>
  <conditionalFormatting sqref="Q8:Q55">
    <cfRule type="dataBar" priority="9">
      <dataBar>
        <cfvo type="formula" val="0"/>
        <cfvo type="formula" val="$V$5"/>
        <color rgb="FFE4DFEC"/>
      </dataBar>
      <extLst>
        <ext xmlns:x14="http://schemas.microsoft.com/office/spreadsheetml/2009/9/main" uri="{B025F937-C7B1-47D3-B67F-A62EFF666E3E}">
          <x14:id>{F8D9C608-6D6B-DA43-B5AA-D1073C99BB03}</x14:id>
        </ext>
      </extLst>
    </cfRule>
  </conditionalFormatting>
  <conditionalFormatting sqref="R8:R55">
    <cfRule type="dataBar" priority="8">
      <dataBar>
        <cfvo type="formula" val="0"/>
        <cfvo type="formula" val="$V$5"/>
        <color rgb="FFCD7F31"/>
      </dataBar>
      <extLst>
        <ext xmlns:x14="http://schemas.microsoft.com/office/spreadsheetml/2009/9/main" uri="{B025F937-C7B1-47D3-B67F-A62EFF666E3E}">
          <x14:id>{FD9F5718-CF73-8940-84E5-998C124DB00E}</x14:id>
        </ext>
      </extLst>
    </cfRule>
  </conditionalFormatting>
  <conditionalFormatting sqref="S8:S55">
    <cfRule type="dataBar" priority="7">
      <dataBar>
        <cfvo type="formula" val="0"/>
        <cfvo type="formula" val="$V$5"/>
        <color rgb="FFC0C0C0"/>
      </dataBar>
      <extLst>
        <ext xmlns:x14="http://schemas.microsoft.com/office/spreadsheetml/2009/9/main" uri="{B025F937-C7B1-47D3-B67F-A62EFF666E3E}">
          <x14:id>{54264BBA-5340-E746-B9DF-D983127066D7}</x14:id>
        </ext>
      </extLst>
    </cfRule>
  </conditionalFormatting>
  <conditionalFormatting sqref="T8:T55">
    <cfRule type="dataBar" priority="6">
      <dataBar>
        <cfvo type="formula" val="0"/>
        <cfvo type="formula" val="$V$5"/>
        <color rgb="FFF0B811"/>
      </dataBar>
      <extLst>
        <ext xmlns:x14="http://schemas.microsoft.com/office/spreadsheetml/2009/9/main" uri="{B025F937-C7B1-47D3-B67F-A62EFF666E3E}">
          <x14:id>{FE63B0E9-0F21-F640-ACC9-F6E753F95D0B}</x14:id>
        </ext>
      </extLst>
    </cfRule>
  </conditionalFormatting>
  <dataValidations count="1">
    <dataValidation type="list" allowBlank="1" showInputMessage="1" showErrorMessage="1" sqref="I5 AK35" xr:uid="{26373110-A8E7-D446-AACB-109F1FFE6021}">
      <formula1>_xlfn.ANCHORARRAY($AG$35)</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AE7CC5A2-BBD8-7C4C-BA61-FE921A14B878}">
            <xm:f>IF($H$8=Idiomas!$D$501,1,0)</xm:f>
            <x14:dxf>
              <fill>
                <patternFill>
                  <bgColor theme="9" tint="0.59996337778862885"/>
                </patternFill>
              </fill>
            </x14:dxf>
          </x14:cfRule>
          <xm:sqref>H8:I8</xm:sqref>
        </x14:conditionalFormatting>
        <x14:conditionalFormatting xmlns:xm="http://schemas.microsoft.com/office/excel/2006/main">
          <x14:cfRule type="dataBar" id="{63E85320-9567-3A49-AB02-CDDC1DDA7C0B}">
            <x14:dataBar minLength="0" maxLength="100" gradient="0">
              <x14:cfvo type="num">
                <xm:f>0</xm:f>
              </x14:cfvo>
              <x14:cfvo type="num">
                <xm:f>1</xm:f>
              </x14:cfvo>
              <x14:negativeFillColor rgb="FFFF0000"/>
              <x14:axisColor rgb="FF000000"/>
            </x14:dataBar>
          </x14:cfRule>
          <xm:sqref>L5:T5</xm:sqref>
        </x14:conditionalFormatting>
        <x14:conditionalFormatting xmlns:xm="http://schemas.microsoft.com/office/excel/2006/main">
          <x14:cfRule type="dataBar" id="{A1899B1C-DFE2-F840-8302-2A9979F9F972}">
            <x14:dataBar minLength="0" maxLength="100" gradient="0">
              <x14:cfvo type="formula">
                <xm:f>0</xm:f>
              </x14:cfvo>
              <x14:cfvo type="formula">
                <xm:f>$V$5</xm:f>
              </x14:cfvo>
              <x14:negativeFillColor rgb="FFFF0000"/>
              <x14:axisColor rgb="FF000000"/>
            </x14:dataBar>
          </x14:cfRule>
          <xm:sqref>M8:M55</xm:sqref>
        </x14:conditionalFormatting>
        <x14:conditionalFormatting xmlns:xm="http://schemas.microsoft.com/office/excel/2006/main">
          <x14:cfRule type="dataBar" id="{0D6F8E6D-E271-1B4A-BA9B-8A1C34621A48}">
            <x14:dataBar minLength="0" maxLength="100" gradient="0">
              <x14:cfvo type="formula">
                <xm:f>0</xm:f>
              </x14:cfvo>
              <x14:cfvo type="formula">
                <xm:f>$V$5</xm:f>
              </x14:cfvo>
              <x14:negativeFillColor rgb="FFFF0000"/>
              <x14:axisColor rgb="FF000000"/>
            </x14:dataBar>
          </x14:cfRule>
          <xm:sqref>N8:N55</xm:sqref>
        </x14:conditionalFormatting>
        <x14:conditionalFormatting xmlns:xm="http://schemas.microsoft.com/office/excel/2006/main">
          <x14:cfRule type="dataBar" id="{366E9DBD-4AFB-B04E-A045-ECE7440BA764}">
            <x14:dataBar minLength="0" maxLength="100" gradient="0">
              <x14:cfvo type="formula">
                <xm:f>0</xm:f>
              </x14:cfvo>
              <x14:cfvo type="formula">
                <xm:f>$V$5</xm:f>
              </x14:cfvo>
              <x14:negativeFillColor rgb="FFFF0000"/>
              <x14:axisColor rgb="FF000000"/>
            </x14:dataBar>
          </x14:cfRule>
          <xm:sqref>O8:O55</xm:sqref>
        </x14:conditionalFormatting>
        <x14:conditionalFormatting xmlns:xm="http://schemas.microsoft.com/office/excel/2006/main">
          <x14:cfRule type="dataBar" id="{9459F47F-C531-184B-B8EF-4E942B43D72D}">
            <x14:dataBar minLength="0" maxLength="100" gradient="0">
              <x14:cfvo type="formula">
                <xm:f>0</xm:f>
              </x14:cfvo>
              <x14:cfvo type="formula">
                <xm:f>$V$5</xm:f>
              </x14:cfvo>
              <x14:negativeFillColor rgb="FFFF0000"/>
              <x14:axisColor rgb="FF000000"/>
            </x14:dataBar>
          </x14:cfRule>
          <xm:sqref>P8:P55</xm:sqref>
        </x14:conditionalFormatting>
        <x14:conditionalFormatting xmlns:xm="http://schemas.microsoft.com/office/excel/2006/main">
          <x14:cfRule type="dataBar" id="{F8D9C608-6D6B-DA43-B5AA-D1073C99BB03}">
            <x14:dataBar minLength="0" maxLength="100" gradient="0">
              <x14:cfvo type="formula">
                <xm:f>0</xm:f>
              </x14:cfvo>
              <x14:cfvo type="formula">
                <xm:f>$V$5</xm:f>
              </x14:cfvo>
              <x14:negativeFillColor rgb="FFFF0000"/>
              <x14:axisColor rgb="FF000000"/>
            </x14:dataBar>
          </x14:cfRule>
          <xm:sqref>Q8:Q55</xm:sqref>
        </x14:conditionalFormatting>
        <x14:conditionalFormatting xmlns:xm="http://schemas.microsoft.com/office/excel/2006/main">
          <x14:cfRule type="dataBar" id="{FD9F5718-CF73-8940-84E5-998C124DB00E}">
            <x14:dataBar minLength="0" maxLength="100" gradient="0">
              <x14:cfvo type="formula">
                <xm:f>0</xm:f>
              </x14:cfvo>
              <x14:cfvo type="formula">
                <xm:f>$V$5</xm:f>
              </x14:cfvo>
              <x14:negativeFillColor rgb="FFFF0000"/>
              <x14:axisColor rgb="FF000000"/>
            </x14:dataBar>
          </x14:cfRule>
          <xm:sqref>R8:R55</xm:sqref>
        </x14:conditionalFormatting>
        <x14:conditionalFormatting xmlns:xm="http://schemas.microsoft.com/office/excel/2006/main">
          <x14:cfRule type="dataBar" id="{54264BBA-5340-E746-B9DF-D983127066D7}">
            <x14:dataBar minLength="0" maxLength="100" gradient="0">
              <x14:cfvo type="formula">
                <xm:f>0</xm:f>
              </x14:cfvo>
              <x14:cfvo type="formula">
                <xm:f>$V$5</xm:f>
              </x14:cfvo>
              <x14:negativeFillColor rgb="FFFF0000"/>
              <x14:axisColor rgb="FF000000"/>
            </x14:dataBar>
          </x14:cfRule>
          <xm:sqref>S8:S55</xm:sqref>
        </x14:conditionalFormatting>
        <x14:conditionalFormatting xmlns:xm="http://schemas.microsoft.com/office/excel/2006/main">
          <x14:cfRule type="dataBar" id="{FE63B0E9-0F21-F640-ACC9-F6E753F95D0B}">
            <x14:dataBar minLength="0" maxLength="100" gradient="0">
              <x14:cfvo type="formula">
                <xm:f>0</xm:f>
              </x14:cfvo>
              <x14:cfvo type="formula">
                <xm:f>$V$5</xm:f>
              </x14:cfvo>
              <x14:negativeFillColor rgb="FFFF0000"/>
              <x14:axisColor rgb="FF000000"/>
            </x14:dataBar>
          </x14:cfRule>
          <xm:sqref>T8:T55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FD001-3606-A342-BDCA-871A31DB4CA2}">
  <sheetPr codeName="Hoja9">
    <pageSetUpPr fitToPage="1"/>
  </sheetPr>
  <dimension ref="A1:BP57"/>
  <sheetViews>
    <sheetView showGridLines="0" showRowColHeaders="0" zoomScale="85" zoomScaleNormal="85" workbookViewId="0">
      <extLst>
        <ext xmlns:xlsdti="http://schemas.microsoft.com/office/spreadsheetml/2023/showDataTypeIcons" uri="{77bfe23e-c014-4d31-8a63-9c772dbf06b6}">
          <xlsdti:showDataTypeIcons visible="0"/>
        </ext>
      </extLst>
    </sheetView>
  </sheetViews>
  <sheetFormatPr defaultColWidth="0" defaultRowHeight="15"/>
  <cols>
    <col min="1" max="1" width="3.28515625" style="20" customWidth="1"/>
    <col min="2" max="2" width="2.7109375" style="8" customWidth="1"/>
    <col min="3" max="3" width="5.7109375" style="1" bestFit="1" customWidth="1"/>
    <col min="4" max="5" width="3.28515625" style="1" customWidth="1"/>
    <col min="6" max="6" width="6.140625" style="1" customWidth="1"/>
    <col min="7" max="7" width="2.42578125" style="1" bestFit="1" customWidth="1"/>
    <col min="8" max="9" width="3.7109375" style="1" customWidth="1"/>
    <col min="10" max="10" width="4.42578125" style="1" customWidth="1"/>
    <col min="11" max="11" width="4.7109375" style="1" customWidth="1"/>
    <col min="12" max="12" width="3.28515625" style="1" hidden="1" customWidth="1"/>
    <col min="13" max="13" width="1.7109375" style="20" customWidth="1"/>
    <col min="14" max="14" width="2.7109375" style="8" customWidth="1"/>
    <col min="15" max="15" width="4.28515625" style="1" bestFit="1" customWidth="1"/>
    <col min="16" max="17" width="3.28515625" style="1" customWidth="1"/>
    <col min="18" max="18" width="5.140625" style="1" bestFit="1" customWidth="1"/>
    <col min="19" max="19" width="2.42578125" style="1" bestFit="1" customWidth="1"/>
    <col min="20" max="20" width="4.28515625" style="1" bestFit="1" customWidth="1"/>
    <col min="21" max="22" width="3.7109375" style="1" customWidth="1"/>
    <col min="23" max="23" width="4.7109375" style="1" customWidth="1"/>
    <col min="24" max="24" width="4.28515625" style="20" hidden="1" customWidth="1"/>
    <col min="25" max="25" width="2.7109375" style="8" customWidth="1"/>
    <col min="26" max="26" width="7.42578125" style="8" bestFit="1" customWidth="1"/>
    <col min="27" max="27" width="5.7109375" style="1" customWidth="1"/>
    <col min="28" max="29" width="4.28515625" style="1" customWidth="1"/>
    <col min="30" max="30" width="2.7109375" style="8" customWidth="1"/>
    <col min="31" max="31" width="5.7109375" style="1" customWidth="1"/>
    <col min="32" max="33" width="4.28515625" style="1" customWidth="1"/>
    <col min="34" max="34" width="2.7109375" style="8" customWidth="1"/>
    <col min="35" max="35" width="5.7109375" style="1" customWidth="1"/>
    <col min="36" max="37" width="4.28515625" style="1" customWidth="1"/>
    <col min="38" max="38" width="2.7109375" style="8" customWidth="1"/>
    <col min="39" max="39" width="5.7109375" style="1" customWidth="1"/>
    <col min="40" max="41" width="4.28515625" style="1" customWidth="1"/>
    <col min="42" max="42" width="2.7109375" style="8" customWidth="1"/>
    <col min="43" max="43" width="5.7109375" style="1" customWidth="1"/>
    <col min="44" max="45" width="4.28515625" style="1" customWidth="1"/>
    <col min="46" max="46" width="2.7109375" style="8" customWidth="1"/>
    <col min="47" max="47" width="5.7109375" style="1" customWidth="1"/>
    <col min="48" max="49" width="4.28515625" style="1" customWidth="1"/>
    <col min="50" max="50" width="4" style="1" bestFit="1" customWidth="1"/>
    <col min="51" max="51" width="3.28515625" style="1" customWidth="1"/>
    <col min="52" max="54" width="7.7109375" style="1" customWidth="1"/>
    <col min="55" max="55" width="3.28515625" style="1" customWidth="1"/>
    <col min="56" max="58" width="2.42578125" style="1" bestFit="1" customWidth="1"/>
    <col min="59" max="59" width="18.42578125" style="1" customWidth="1"/>
    <col min="60" max="67" width="4.7109375" style="1" customWidth="1"/>
    <col min="68" max="68" width="10.7109375" style="1" customWidth="1"/>
    <col min="69" max="16384" width="10.7109375" style="1" hidden="1"/>
  </cols>
  <sheetData>
    <row r="1" spans="1:67" ht="7.9" customHeight="1">
      <c r="A1" s="19"/>
      <c r="B1" s="247"/>
      <c r="C1" s="297"/>
      <c r="D1" s="297"/>
      <c r="E1" s="297"/>
      <c r="F1" s="297"/>
      <c r="G1" s="297"/>
      <c r="H1" s="297"/>
      <c r="I1" s="297"/>
      <c r="J1" s="297"/>
      <c r="K1" s="297"/>
      <c r="L1" s="297"/>
      <c r="M1" s="19"/>
      <c r="N1" s="247"/>
      <c r="O1" s="297"/>
      <c r="P1" s="297"/>
      <c r="Q1" s="297"/>
      <c r="R1" s="297"/>
      <c r="S1" s="297"/>
      <c r="T1" s="297"/>
      <c r="U1" s="297"/>
      <c r="V1" s="297"/>
      <c r="W1" s="297"/>
      <c r="X1" s="19"/>
      <c r="Y1" s="247"/>
      <c r="Z1" s="247"/>
      <c r="AA1" s="297"/>
      <c r="AB1" s="297"/>
      <c r="AC1" s="297"/>
      <c r="AD1" s="19"/>
      <c r="AE1" s="297"/>
      <c r="AF1" s="297"/>
      <c r="AG1" s="297"/>
      <c r="AH1" s="247"/>
      <c r="AI1" s="297"/>
      <c r="AJ1" s="297"/>
      <c r="AK1" s="297"/>
      <c r="AL1" s="19"/>
      <c r="AM1" s="297"/>
      <c r="AN1" s="297"/>
      <c r="AO1" s="297"/>
      <c r="AP1" s="247"/>
      <c r="AQ1" s="297"/>
      <c r="AR1" s="297"/>
      <c r="AS1" s="297"/>
      <c r="AT1" s="19"/>
      <c r="AU1" s="297"/>
      <c r="AV1" s="297"/>
      <c r="AW1" s="297"/>
      <c r="AX1" s="297"/>
      <c r="AY1" s="297"/>
      <c r="AZ1" s="297"/>
      <c r="BA1" s="297"/>
      <c r="BB1" s="297"/>
      <c r="BC1" s="297"/>
      <c r="BD1" s="297"/>
      <c r="BE1" s="297"/>
    </row>
    <row r="2" spans="1:67" ht="10.15" customHeight="1" thickBot="1">
      <c r="A2" s="19"/>
      <c r="B2" s="247"/>
      <c r="C2" s="175"/>
      <c r="D2" s="175"/>
      <c r="E2" s="175"/>
      <c r="F2" s="175"/>
      <c r="G2" s="175"/>
      <c r="H2" s="175"/>
      <c r="I2" s="175"/>
      <c r="J2" s="175"/>
      <c r="K2" s="175"/>
      <c r="L2" s="175"/>
      <c r="M2" s="18"/>
      <c r="N2" s="497"/>
      <c r="O2" s="498"/>
      <c r="P2" s="175"/>
      <c r="Q2" s="297"/>
      <c r="R2" s="297"/>
      <c r="S2" s="499"/>
      <c r="T2" s="297"/>
      <c r="U2" s="175"/>
      <c r="V2" s="175"/>
      <c r="W2" s="175"/>
      <c r="X2" s="18"/>
      <c r="Y2" s="497"/>
      <c r="Z2" s="497"/>
      <c r="AA2" s="297"/>
      <c r="AB2" s="297"/>
      <c r="AC2" s="297"/>
      <c r="AD2" s="18"/>
      <c r="AE2" s="297"/>
      <c r="AF2" s="297"/>
      <c r="AG2" s="297"/>
      <c r="AH2" s="247"/>
      <c r="AI2" s="500"/>
      <c r="AJ2" s="500"/>
      <c r="AK2" s="500"/>
      <c r="AL2" s="92"/>
      <c r="AM2" s="500"/>
      <c r="AN2" s="500"/>
      <c r="AO2" s="500"/>
      <c r="AP2" s="19"/>
      <c r="AQ2" s="500"/>
      <c r="AR2" s="500"/>
      <c r="AS2" s="500"/>
      <c r="AT2" s="19"/>
      <c r="AU2" s="500"/>
      <c r="AV2" s="500"/>
      <c r="AW2" s="500"/>
      <c r="AX2" s="297"/>
      <c r="AY2" s="297"/>
      <c r="AZ2" s="297"/>
      <c r="BA2" s="297"/>
      <c r="BB2" s="297"/>
      <c r="BC2" s="297"/>
      <c r="BD2" s="297"/>
      <c r="BE2" s="297"/>
    </row>
    <row r="3" spans="1:67" ht="15.75" thickBot="1">
      <c r="A3" s="19">
        <v>1</v>
      </c>
      <c r="B3" s="501" t="s">
        <v>0</v>
      </c>
      <c r="C3" s="502" t="str">
        <f ca="1">+MID(INDEX(WORLDCUP!$AA$4:$AA$147,MATCH(A3,WORLDCUP!$AH$4:$AH$147,0)),1,3)</f>
        <v>Mex</v>
      </c>
      <c r="D3" s="503">
        <f>IF(ISBLANK(INDEX(WORLDCUP!$AC$4:$AC$147,MATCH(A3,WORLDCUP!$AH$4:$AH$147,0))),"",INDEX(WORLDCUP!$AC$4:$AC$147,MATCH(A3,WORLDCUP!$AH$4:$AH$147,0)))</f>
        <v>2</v>
      </c>
      <c r="E3" s="503">
        <f>IF(ISBLANK(INDEX(WORLDCUP!$AD$4:$AD$147,MATCH(A3,WORLDCUP!$AH$4:$AH$147,0))),"",INDEX(WORLDCUP!$AD$4:$AD$147,MATCH(A3,WORLDCUP!$AH$4:$AH$147,0)))</f>
        <v>0</v>
      </c>
      <c r="F3" s="504" t="str">
        <f ca="1">+MID(INDEX(WORLDCUP!$AF$4:$AF$147,MATCH(A3,WORLDCUP!$AH$4:$AH$147,0)),1,3)</f>
        <v>Sou</v>
      </c>
      <c r="G3" s="505"/>
      <c r="H3" s="506" t="str">
        <f>MID(WORLDCUP!AL5,1,3)</f>
        <v>Nat</v>
      </c>
      <c r="I3" s="507" t="s">
        <v>32</v>
      </c>
      <c r="J3" s="507" t="str">
        <f>WORLDCUP!AT5</f>
        <v>GD</v>
      </c>
      <c r="K3" s="508" t="str">
        <f>WORLDCUP!AR5&amp;"-"&amp;WORLDCUP!AS5</f>
        <v>F-A</v>
      </c>
      <c r="L3" s="19"/>
      <c r="M3" s="19">
        <v>16</v>
      </c>
      <c r="N3" s="509" t="s">
        <v>6</v>
      </c>
      <c r="O3" s="502" t="str">
        <f ca="1">+MID(INDEX(WORLDCUP!$AA$4:$AA$147,MATCH(M3,WORLDCUP!$AH$4:$AH$147,0)),1,3)</f>
        <v>Bel</v>
      </c>
      <c r="P3" s="503">
        <f>IF(ISBLANK(INDEX(WORLDCUP!$AC$4:$AC$147,MATCH(M3,WORLDCUP!$AH$4:$AH$147,0))),"",INDEX(WORLDCUP!$AC$4:$AC$147,MATCH(M3,WORLDCUP!$AH$4:$AH$147,0)))</f>
        <v>1</v>
      </c>
      <c r="Q3" s="503">
        <f>IF(ISBLANK(INDEX(WORLDCUP!$AD$4:$AD$147,MATCH(M3,WORLDCUP!$AH$4:$AH$147,0))),"",INDEX(WORLDCUP!$AD$4:$AD$147,MATCH(M3,WORLDCUP!$AH$4:$AH$147,0)))</f>
        <v>1</v>
      </c>
      <c r="R3" s="504" t="str">
        <f ca="1">+MID(INDEX(WORLDCUP!$AF$4:$AF$147,MATCH(M3,WORLDCUP!$AH$4:$AH$147,0)),1,3)</f>
        <v>Egy</v>
      </c>
      <c r="S3" s="505"/>
      <c r="T3" s="506" t="str">
        <f>+H43</f>
        <v>Nat</v>
      </c>
      <c r="U3" s="507" t="str">
        <f>+I43</f>
        <v>Pts</v>
      </c>
      <c r="V3" s="507" t="str">
        <f>+J43</f>
        <v>GD</v>
      </c>
      <c r="W3" s="508" t="str">
        <f>+K43</f>
        <v>F-A</v>
      </c>
      <c r="X3" s="19"/>
      <c r="Y3" s="19">
        <v>74</v>
      </c>
      <c r="Z3" s="510" t="s">
        <v>661</v>
      </c>
      <c r="AA3" s="511" t="str">
        <f ca="1">+MID(INDEX(WORLDCUP!$AA$101:$AA$147,MATCH(Y3,WORLDCUP!$Z$101:$Z$147,0)),1,3)</f>
        <v>Ger</v>
      </c>
      <c r="AB3" s="512">
        <f>+IF(ISBLANK(INDEX(WORLDCUP!$AC$101:$AC$147,MATCH(Y3,WORLDCUP!$Z$101:$Z$147,0))),"",INDEX(WORLDCUP!$AC$101:$AC$147,MATCH(Y3,WORLDCUP!$Z$101:$Z$147,0)))</f>
        <v>1</v>
      </c>
      <c r="AC3" s="513" t="str">
        <f>+IF(ISBLANK(INDEX(WORLDCUP!$AB$101:$AB$147,MATCH(Y3,WORLDCUP!$Z$101:$Z$147,0))),"","( "&amp;INDEX(WORLDCUP!$AB$101:$AB$147,MATCH(Y3,WORLDCUP!$Z$101:$Z$147,0))&amp;" )")</f>
        <v>( 3 )</v>
      </c>
      <c r="AD3" s="18"/>
      <c r="AE3" s="514"/>
      <c r="AF3" s="514"/>
      <c r="AG3" s="514"/>
      <c r="AH3" s="19"/>
      <c r="AI3" s="515"/>
      <c r="AJ3" s="515"/>
      <c r="AK3" s="515"/>
      <c r="AL3" s="92"/>
      <c r="AM3" s="516"/>
      <c r="AN3" s="516"/>
      <c r="AO3" s="516"/>
      <c r="AP3" s="19"/>
      <c r="AQ3" s="517"/>
      <c r="AR3" s="517"/>
      <c r="AS3" s="517"/>
      <c r="AT3" s="19"/>
      <c r="AU3" s="518"/>
      <c r="AV3" s="518"/>
      <c r="AW3" s="518"/>
      <c r="AX3" s="19"/>
      <c r="AY3" s="297"/>
      <c r="AZ3" s="297"/>
      <c r="BA3" s="297"/>
      <c r="BB3" s="297"/>
      <c r="BC3" s="297"/>
      <c r="BD3" s="297"/>
      <c r="BE3" s="297"/>
      <c r="BG3" s="519"/>
      <c r="BH3" s="520" t="s">
        <v>1339</v>
      </c>
      <c r="BI3" s="521" t="s">
        <v>483</v>
      </c>
      <c r="BJ3" s="522" t="s">
        <v>88</v>
      </c>
      <c r="BK3" s="523" t="s">
        <v>34</v>
      </c>
      <c r="BL3" s="524" t="s">
        <v>35</v>
      </c>
      <c r="BM3" s="525" t="s">
        <v>1340</v>
      </c>
      <c r="BN3" s="526" t="s">
        <v>1341</v>
      </c>
      <c r="BO3" s="527" t="s">
        <v>1342</v>
      </c>
    </row>
    <row r="4" spans="1:67" ht="15.75" thickBot="1">
      <c r="A4" s="19">
        <v>2</v>
      </c>
      <c r="B4" s="528"/>
      <c r="C4" s="529" t="str">
        <f ca="1">+MID(INDEX(WORLDCUP!$AA$4:$AA$147,MATCH(A4,WORLDCUP!$AH$4:$AH$147,0)),1,3)</f>
        <v>Sou</v>
      </c>
      <c r="D4" s="530">
        <f>IF(ISBLANK(INDEX(WORLDCUP!$AC$4:$AC$147,MATCH(A4,WORLDCUP!$AH$4:$AH$147,0))),"",INDEX(WORLDCUP!$AC$4:$AC$147,MATCH(A4,WORLDCUP!$AH$4:$AH$147,0)))</f>
        <v>2</v>
      </c>
      <c r="E4" s="530">
        <f>IF(ISBLANK(INDEX(WORLDCUP!$AD$4:$AD$147,MATCH(A4,WORLDCUP!$AH$4:$AH$147,0))),"",INDEX(WORLDCUP!$AD$4:$AD$147,MATCH(A4,WORLDCUP!$AH$4:$AH$147,0)))</f>
        <v>1</v>
      </c>
      <c r="F4" s="531" t="str">
        <f ca="1">+MID(INDEX(WORLDCUP!$AF$4:$AF$147,MATCH(A4,WORLDCUP!$AH$4:$AH$147,0)),1,3)</f>
        <v>Cze</v>
      </c>
      <c r="G4" s="532">
        <v>1</v>
      </c>
      <c r="H4" s="533" t="str">
        <f ca="1">+MID(INDEX(WORLDCUP!$AL$6:$AL$97,MATCH(L4,WORLDCUP!$AI$6:$AI$97,0)),1,3)</f>
        <v>Mex</v>
      </c>
      <c r="I4" s="534">
        <f ca="1">+INDEX(WORLDCUP!$AM$6:$AM$97,MATCH(L4,WORLDCUP!$AI$6:$AI$97,0))</f>
        <v>9</v>
      </c>
      <c r="J4" s="535">
        <f ca="1">+INDEX(WORLDCUP!$AT$6:$AT$97,MATCH(L4,WORLDCUP!$AI$6:$AI$97,0))</f>
        <v>6</v>
      </c>
      <c r="K4" s="536" t="str">
        <f ca="1">+INDEX(WORLDCUP!$AR$6:$AR$97,MATCH(L4,WORLDCUP!$AI$6:$AI$97,0))&amp;"-"&amp;INDEX(WORLDCUP!$AS$6:$AS$97,MATCH(L4,WORLDCUP!$AI$6:$AI$97,0))</f>
        <v>6-0</v>
      </c>
      <c r="L4" s="19" t="s">
        <v>645</v>
      </c>
      <c r="M4" s="19">
        <v>15</v>
      </c>
      <c r="N4" s="537"/>
      <c r="O4" s="529" t="str">
        <f ca="1">+MID(INDEX(WORLDCUP!$AA$4:$AA$147,MATCH(M4,WORLDCUP!$AH$4:$AH$147,0)),1,3)</f>
        <v>Ira</v>
      </c>
      <c r="P4" s="530">
        <f>IF(ISBLANK(INDEX(WORLDCUP!$AC$4:$AC$147,MATCH(M4,WORLDCUP!$AH$4:$AH$147,0))),"",INDEX(WORLDCUP!$AC$4:$AC$147,MATCH(M4,WORLDCUP!$AH$4:$AH$147,0)))</f>
        <v>2</v>
      </c>
      <c r="Q4" s="530">
        <f>IF(ISBLANK(INDEX(WORLDCUP!$AD$4:$AD$147,MATCH(M4,WORLDCUP!$AH$4:$AH$147,0))),"",INDEX(WORLDCUP!$AD$4:$AD$147,MATCH(M4,WORLDCUP!$AH$4:$AH$147,0)))</f>
        <v>2</v>
      </c>
      <c r="R4" s="531" t="str">
        <f ca="1">+MID(INDEX(WORLDCUP!$AF$4:$AF$147,MATCH(M4,WORLDCUP!$AH$4:$AH$147,0)),1,3)</f>
        <v>New</v>
      </c>
      <c r="S4" s="532">
        <v>1</v>
      </c>
      <c r="T4" s="533" t="str">
        <f ca="1">+MID(INDEX(WORLDCUP!$AL$6:$AL$97,MATCH(X4,WORLDCUP!$AI$6:$AI$97,0)),1,3)</f>
        <v>Bel</v>
      </c>
      <c r="U4" s="534">
        <f ca="1">+INDEX(WORLDCUP!$AM$6:$AM$97,MATCH(X4,WORLDCUP!$AI$6:$AI$97,0))</f>
        <v>5</v>
      </c>
      <c r="V4" s="535">
        <f ca="1">+INDEX(WORLDCUP!$AT$6:$AT$97,MATCH(X4,WORLDCUP!$AI$6:$AI$97,0))</f>
        <v>4</v>
      </c>
      <c r="W4" s="536" t="str">
        <f ca="1">+INDEX(WORLDCUP!$AR$6:$AR$97,MATCH(X4,WORLDCUP!$AI$6:$AI$97,0))&amp;"-"&amp;INDEX(WORLDCUP!$AS$6:$AS$97,MATCH(X4,WORLDCUP!$AI$6:$AI$97,0))</f>
        <v>6-2</v>
      </c>
      <c r="X4" s="19" t="s">
        <v>667</v>
      </c>
      <c r="Y4" s="19">
        <v>74</v>
      </c>
      <c r="Z4" s="510" t="s">
        <v>722</v>
      </c>
      <c r="AA4" s="511" t="str">
        <f ca="1">+MID(INDEX(WORLDCUP!$AF$101:$AF$147,MATCH(Y4,WORLDCUP!$Z$101:$Z$147,0)),1,IF(WORLDCUP!$H$113&lt;144,6,3))</f>
        <v>Par</v>
      </c>
      <c r="AB4" s="538">
        <f>+IF(ISBLANK(INDEX(WORLDCUP!$AD$101:$AD$147,MATCH(Y4,WORLDCUP!$Z$101:$Z$147,0))),"",INDEX(WORLDCUP!$AD$101:$AD$147,MATCH(Y4,WORLDCUP!$Z$101:$Z$147,0)))</f>
        <v>1</v>
      </c>
      <c r="AC4" s="539" t="str">
        <f>+IF(ISBLANK(INDEX(WORLDCUP!$AE$101:$AE$147,MATCH(Y4,WORLDCUP!$Z$101:$Z$147,0))),"","( "&amp;INDEX(WORLDCUP!$AE$101:$AE$147,MATCH(Y4,WORLDCUP!$Z$101:$Z$147,0))&amp;" )")</f>
        <v>( 4 )</v>
      </c>
      <c r="AD4" s="540">
        <v>89</v>
      </c>
      <c r="AE4" s="541" t="str">
        <f ca="1">+MID(INDEX(WORLDCUP!$AA$101:$AA$147,MATCH(AD4,WORLDCUP!$Z$101:$Z$147,0)),1,3)</f>
        <v>Par</v>
      </c>
      <c r="AF4" s="542">
        <f>+IF(ISBLANK(INDEX(WORLDCUP!$AC$101:$AC$147,MATCH(AD4,WORLDCUP!$Z$101:$Z$147,0))),"",INDEX(WORLDCUP!$AC$101:$AC$147,MATCH(AD4,WORLDCUP!$Z$101:$Z$147,0)))</f>
        <v>0</v>
      </c>
      <c r="AG4" s="543" t="str">
        <f>+IF(ISBLANK(INDEX(WORLDCUP!$AB$101:$AB$147,MATCH(AD4,WORLDCUP!$Z$101:$Z$147,0))),"","( "&amp;INDEX(WORLDCUP!$AB$101:$AB$147,MATCH(AD4,WORLDCUP!$Z$101:$Z$147,0))&amp;" )")</f>
        <v/>
      </c>
      <c r="AH4" s="19"/>
      <c r="AI4" s="544"/>
      <c r="AJ4" s="544"/>
      <c r="AK4" s="544"/>
      <c r="AL4" s="92"/>
      <c r="AM4" s="516"/>
      <c r="AN4" s="516"/>
      <c r="AO4" s="516"/>
      <c r="AP4" s="19"/>
      <c r="AQ4" s="545"/>
      <c r="AR4" s="545"/>
      <c r="AS4" s="545"/>
      <c r="AT4" s="19"/>
      <c r="AU4" s="518"/>
      <c r="AV4" s="518"/>
      <c r="AW4" s="518"/>
      <c r="AX4" s="19"/>
      <c r="AY4" s="546"/>
      <c r="AZ4" s="297"/>
      <c r="BA4" s="297"/>
      <c r="BB4" s="297"/>
      <c r="BC4" s="297"/>
      <c r="BD4" s="297"/>
      <c r="BE4" s="297"/>
      <c r="BG4" s="547" t="str">
        <f ca="1">Horarios!Q3</f>
        <v>Algeria</v>
      </c>
      <c r="BH4" s="548">
        <f ca="1">1-SUM(BI4:BO4)</f>
        <v>0</v>
      </c>
      <c r="BI4" s="548">
        <f ca="1">COUNTIF(ADMIN!$M$130:$M$161,Fixture!BG4)-BJ4-BK4-BL4-BM4-BN4-BO4</f>
        <v>1</v>
      </c>
      <c r="BJ4" s="549">
        <f ca="1">COUNTIF(ADMIN!$M$182:$M$197,Fixture!BG4)-BK4-BL4-BM4-BN4-BO4</f>
        <v>0</v>
      </c>
      <c r="BK4" s="550">
        <f ca="1">COUNTIF(ADMIN!$M$210:$M$217,Fixture!BG4)-BL4-BM4-BN4-BO4</f>
        <v>0</v>
      </c>
      <c r="BL4" s="550">
        <f ca="1">COUNTIF(ADMIN!$M$226:$M$229,BG4)-BM4-BN4-BO4</f>
        <v>0</v>
      </c>
      <c r="BM4" s="548">
        <f ca="1">COUNTIF(ADMIN!$M$252,Fixture!BG4)</f>
        <v>0</v>
      </c>
      <c r="BN4" s="548">
        <f ca="1">COUNTIF(ADMIN!$M$251,Fixture!BG4)</f>
        <v>0</v>
      </c>
      <c r="BO4" s="551">
        <f ca="1">COUNTIF(ADMIN!$M$250,Fixture!BG4)</f>
        <v>0</v>
      </c>
    </row>
    <row r="5" spans="1:67">
      <c r="A5" s="19">
        <v>25</v>
      </c>
      <c r="B5" s="528"/>
      <c r="C5" s="529" t="str">
        <f ca="1">+MID(INDEX(WORLDCUP!$AA$4:$AA$147,MATCH(A5,WORLDCUP!$AH$4:$AH$147,0)),1,3)</f>
        <v>Cze</v>
      </c>
      <c r="D5" s="530">
        <f>IF(ISBLANK(INDEX(WORLDCUP!$AC$4:$AC$147,MATCH(A5,WORLDCUP!$AH$4:$AH$147,0))),"",INDEX(WORLDCUP!$AC$4:$AC$147,MATCH(A5,WORLDCUP!$AH$4:$AH$147,0)))</f>
        <v>1</v>
      </c>
      <c r="E5" s="530">
        <f>IF(ISBLANK(INDEX(WORLDCUP!$AD$4:$AD$147,MATCH(A5,WORLDCUP!$AH$4:$AH$147,0))),"",INDEX(WORLDCUP!$AD$4:$AD$147,MATCH(A5,WORLDCUP!$AH$4:$AH$147,0)))</f>
        <v>1</v>
      </c>
      <c r="F5" s="531" t="str">
        <f ca="1">+MID(INDEX(WORLDCUP!$AF$4:$AF$147,MATCH(A5,WORLDCUP!$AH$4:$AH$147,0)),1,3)</f>
        <v>Sou</v>
      </c>
      <c r="G5" s="552">
        <v>2</v>
      </c>
      <c r="H5" s="553" t="str">
        <f ca="1">+MID(INDEX(WORLDCUP!$AL$6:$AL$97,MATCH(L5,WORLDCUP!$AI$6:$AI$97,0)),1,3)</f>
        <v>Sou</v>
      </c>
      <c r="I5" s="223">
        <f ca="1">+INDEX(WORLDCUP!$AM$6:$AM$97,MATCH(L5,WORLDCUP!$AI$6:$AI$97,0))</f>
        <v>4</v>
      </c>
      <c r="J5" s="224">
        <f ca="1">+INDEX(WORLDCUP!$AT$6:$AT$97,MATCH(L5,WORLDCUP!$AI$6:$AI$97,0))</f>
        <v>-1</v>
      </c>
      <c r="K5" s="225" t="str">
        <f ca="1">+INDEX(WORLDCUP!$AR$6:$AR$97,MATCH(L5,WORLDCUP!$AI$6:$AI$97,0))&amp;"-"&amp;INDEX(WORLDCUP!$AS$6:$AS$97,MATCH(L5,WORLDCUP!$AI$6:$AI$97,0))</f>
        <v>2-3</v>
      </c>
      <c r="L5" s="19" t="s">
        <v>646</v>
      </c>
      <c r="M5" s="19">
        <v>39</v>
      </c>
      <c r="N5" s="537"/>
      <c r="O5" s="529" t="str">
        <f ca="1">+MID(INDEX(WORLDCUP!$AA$4:$AA$147,MATCH(M5,WORLDCUP!$AH$4:$AH$147,0)),1,3)</f>
        <v>Bel</v>
      </c>
      <c r="P5" s="530">
        <f>IF(ISBLANK(INDEX(WORLDCUP!$AC$4:$AC$147,MATCH(M5,WORLDCUP!$AH$4:$AH$147,0))),"",INDEX(WORLDCUP!$AC$4:$AC$147,MATCH(M5,WORLDCUP!$AH$4:$AH$147,0)))</f>
        <v>0</v>
      </c>
      <c r="Q5" s="530">
        <f>IF(ISBLANK(INDEX(WORLDCUP!$AD$4:$AD$147,MATCH(M5,WORLDCUP!$AH$4:$AH$147,0))),"",INDEX(WORLDCUP!$AD$4:$AD$147,MATCH(M5,WORLDCUP!$AH$4:$AH$147,0)))</f>
        <v>0</v>
      </c>
      <c r="R5" s="531" t="str">
        <f ca="1">+MID(INDEX(WORLDCUP!$AF$4:$AF$147,MATCH(M5,WORLDCUP!$AH$4:$AH$147,0)),1,3)</f>
        <v>Ira</v>
      </c>
      <c r="S5" s="552">
        <v>2</v>
      </c>
      <c r="T5" s="553" t="str">
        <f ca="1">+MID(INDEX(WORLDCUP!$AL$6:$AL$97,MATCH(X5,WORLDCUP!$AI$6:$AI$97,0)),1,3)</f>
        <v>Egy</v>
      </c>
      <c r="U5" s="223">
        <f ca="1">+INDEX(WORLDCUP!$AM$6:$AM$97,MATCH(X5,WORLDCUP!$AI$6:$AI$97,0))</f>
        <v>5</v>
      </c>
      <c r="V5" s="224">
        <f ca="1">+INDEX(WORLDCUP!$AT$6:$AT$97,MATCH(X5,WORLDCUP!$AI$6:$AI$97,0))</f>
        <v>2</v>
      </c>
      <c r="W5" s="225" t="str">
        <f ca="1">+INDEX(WORLDCUP!$AR$6:$AR$97,MATCH(X5,WORLDCUP!$AI$6:$AI$97,0))&amp;"-"&amp;INDEX(WORLDCUP!$AS$6:$AS$97,MATCH(X5,WORLDCUP!$AI$6:$AI$97,0))</f>
        <v>5-3</v>
      </c>
      <c r="X5" s="19" t="s">
        <v>668</v>
      </c>
      <c r="Y5" s="19"/>
      <c r="Z5" s="510"/>
      <c r="AA5" s="554"/>
      <c r="AB5" s="554"/>
      <c r="AC5" s="555"/>
      <c r="AD5" s="19">
        <v>89</v>
      </c>
      <c r="AE5" s="541" t="str">
        <f ca="1">+MID(INDEX(WORLDCUP!$AF$101:$AF$147,MATCH(AD5,WORLDCUP!$Z$101:$Z$147,0)),1,3)</f>
        <v>Fra</v>
      </c>
      <c r="AF5" s="542">
        <f>+IF(ISBLANK(INDEX(WORLDCUP!$AD$101:$AD$147,MATCH(AD5,WORLDCUP!$Z$101:$Z$147,0))),"",INDEX(WORLDCUP!$AD$101:$AD$147,MATCH(AD5,WORLDCUP!$Z$101:$Z$147,0)))</f>
        <v>1</v>
      </c>
      <c r="AG5" s="556" t="str">
        <f>+IF(ISBLANK(INDEX(WORLDCUP!$AE$101:$AE$147,MATCH(AD5,WORLDCUP!$Z$101:$Z$147,0))),"","( "&amp;INDEX(WORLDCUP!$AE$101:$AE$147,MATCH(AD5,WORLDCUP!$Z$101:$Z$147,0))&amp;" )")</f>
        <v/>
      </c>
      <c r="AH5" s="19"/>
      <c r="AI5" s="544"/>
      <c r="AJ5" s="544"/>
      <c r="AK5" s="544"/>
      <c r="AL5" s="92"/>
      <c r="AM5" s="516"/>
      <c r="AN5" s="516"/>
      <c r="AO5" s="516"/>
      <c r="AP5" s="19"/>
      <c r="AQ5" s="545"/>
      <c r="AR5" s="545"/>
      <c r="AS5" s="545"/>
      <c r="AT5" s="19"/>
      <c r="AU5" s="518"/>
      <c r="AV5" s="518"/>
      <c r="AW5" s="518"/>
      <c r="AX5" s="19"/>
      <c r="AY5" s="297"/>
      <c r="AZ5" s="297"/>
      <c r="BA5" s="297"/>
      <c r="BB5" s="297"/>
      <c r="BC5" s="297"/>
      <c r="BD5" s="297"/>
      <c r="BE5" s="297"/>
      <c r="BG5" s="547" t="str">
        <f ca="1">Horarios!Q4</f>
        <v>Argentina</v>
      </c>
      <c r="BH5" s="548">
        <f t="shared" ref="BH5:BH51" ca="1" si="0">1-SUM(BI5:BO5)</f>
        <v>0</v>
      </c>
      <c r="BI5" s="548">
        <f ca="1">COUNTIF(ADMIN!$M$130:$M$161,Fixture!BG5)-BJ5-BK5-BL5-BM5-BN5-BO5</f>
        <v>0</v>
      </c>
      <c r="BJ5" s="549">
        <f ca="1">COUNTIF(ADMIN!$M$182:$M$197,Fixture!BG5)-BK5-BL5-BM5-BN5-BO5</f>
        <v>0</v>
      </c>
      <c r="BK5" s="550">
        <f ca="1">COUNTIF(ADMIN!$M$210:$M$217,Fixture!BG5)-BL5-BM5-BN5-BO5</f>
        <v>0</v>
      </c>
      <c r="BL5" s="550">
        <f ca="1">COUNTIF(ADMIN!$M$226:$M$229,BG5)-BM5-BN5-BO5</f>
        <v>0</v>
      </c>
      <c r="BM5" s="548">
        <f ca="1">COUNTIF(ADMIN!$M$252,Fixture!BG5)</f>
        <v>0</v>
      </c>
      <c r="BN5" s="548">
        <f ca="1">COUNTIF(ADMIN!$M$251,Fixture!BG5)</f>
        <v>1</v>
      </c>
      <c r="BO5" s="551">
        <f ca="1">COUNTIF(ADMIN!$M$250,Fixture!BG5)</f>
        <v>0</v>
      </c>
    </row>
    <row r="6" spans="1:67" ht="15.75" thickBot="1">
      <c r="A6" s="19">
        <v>28</v>
      </c>
      <c r="B6" s="528"/>
      <c r="C6" s="529" t="str">
        <f ca="1">+MID(INDEX(WORLDCUP!$AA$4:$AA$147,MATCH(A6,WORLDCUP!$AH$4:$AH$147,0)),1,3)</f>
        <v>Mex</v>
      </c>
      <c r="D6" s="530">
        <f>IF(ISBLANK(INDEX(WORLDCUP!$AC$4:$AC$147,MATCH(A6,WORLDCUP!$AH$4:$AH$147,0))),"",INDEX(WORLDCUP!$AC$4:$AC$147,MATCH(A6,WORLDCUP!$AH$4:$AH$147,0)))</f>
        <v>1</v>
      </c>
      <c r="E6" s="530">
        <f>IF(ISBLANK(INDEX(WORLDCUP!$AD$4:$AD$147,MATCH(A6,WORLDCUP!$AH$4:$AH$147,0))),"",INDEX(WORLDCUP!$AD$4:$AD$147,MATCH(A6,WORLDCUP!$AH$4:$AH$147,0)))</f>
        <v>0</v>
      </c>
      <c r="F6" s="531" t="str">
        <f ca="1">+MID(INDEX(WORLDCUP!$AF$4:$AF$147,MATCH(A6,WORLDCUP!$AH$4:$AH$147,0)),1,3)</f>
        <v>Sou</v>
      </c>
      <c r="G6" s="552">
        <v>3</v>
      </c>
      <c r="H6" s="553" t="str">
        <f ca="1">+MID(INDEX(WORLDCUP!$AL$6:$AL$97,MATCH(L6,WORLDCUP!$AI$6:$AI$97,0)),1,3)</f>
        <v>Sou</v>
      </c>
      <c r="I6" s="223">
        <f ca="1">+INDEX(WORLDCUP!$AM$6:$AM$97,MATCH(L6,WORLDCUP!$AI$6:$AI$97,0))</f>
        <v>3</v>
      </c>
      <c r="J6" s="224">
        <f ca="1">+INDEX(WORLDCUP!$AT$6:$AT$97,MATCH(L6,WORLDCUP!$AI$6:$AI$97,0))</f>
        <v>-1</v>
      </c>
      <c r="K6" s="225" t="str">
        <f ca="1">+INDEX(WORLDCUP!$AR$6:$AR$97,MATCH(L6,WORLDCUP!$AI$6:$AI$97,0))&amp;"-"&amp;INDEX(WORLDCUP!$AS$6:$AS$97,MATCH(L6,WORLDCUP!$AI$6:$AI$97,0))</f>
        <v>2-3</v>
      </c>
      <c r="L6" s="19" t="s">
        <v>89</v>
      </c>
      <c r="M6" s="19">
        <v>40</v>
      </c>
      <c r="N6" s="537"/>
      <c r="O6" s="529" t="str">
        <f ca="1">+MID(INDEX(WORLDCUP!$AA$4:$AA$147,MATCH(M6,WORLDCUP!$AH$4:$AH$147,0)),1,3)</f>
        <v>New</v>
      </c>
      <c r="P6" s="530">
        <f>IF(ISBLANK(INDEX(WORLDCUP!$AC$4:$AC$147,MATCH(M6,WORLDCUP!$AH$4:$AH$147,0))),"",INDEX(WORLDCUP!$AC$4:$AC$147,MATCH(M6,WORLDCUP!$AH$4:$AH$147,0)))</f>
        <v>1</v>
      </c>
      <c r="Q6" s="530">
        <f>IF(ISBLANK(INDEX(WORLDCUP!$AD$4:$AD$147,MATCH(M6,WORLDCUP!$AH$4:$AH$147,0))),"",INDEX(WORLDCUP!$AD$4:$AD$147,MATCH(M6,WORLDCUP!$AH$4:$AH$147,0)))</f>
        <v>3</v>
      </c>
      <c r="R6" s="531" t="str">
        <f ca="1">+MID(INDEX(WORLDCUP!$AF$4:$AF$147,MATCH(M6,WORLDCUP!$AH$4:$AH$147,0)),1,3)</f>
        <v>Egy</v>
      </c>
      <c r="S6" s="552">
        <v>3</v>
      </c>
      <c r="T6" s="553" t="str">
        <f ca="1">+MID(INDEX(WORLDCUP!$AL$6:$AL$97,MATCH(X6,WORLDCUP!$AI$6:$AI$97,0)),1,3)</f>
        <v>Ira</v>
      </c>
      <c r="U6" s="223">
        <f ca="1">+INDEX(WORLDCUP!$AM$6:$AM$97,MATCH(X6,WORLDCUP!$AI$6:$AI$97,0))</f>
        <v>3</v>
      </c>
      <c r="V6" s="224">
        <f ca="1">+INDEX(WORLDCUP!$AT$6:$AT$97,MATCH(X6,WORLDCUP!$AI$6:$AI$97,0))</f>
        <v>0</v>
      </c>
      <c r="W6" s="225" t="str">
        <f ca="1">+INDEX(WORLDCUP!$AR$6:$AR$97,MATCH(X6,WORLDCUP!$AI$6:$AI$97,0))&amp;"-"&amp;INDEX(WORLDCUP!$AS$6:$AS$97,MATCH(X6,WORLDCUP!$AI$6:$AI$97,0))</f>
        <v>3-3</v>
      </c>
      <c r="X6" s="19" t="s">
        <v>435</v>
      </c>
      <c r="Y6" s="19">
        <v>77</v>
      </c>
      <c r="Z6" s="510" t="s">
        <v>673</v>
      </c>
      <c r="AA6" s="511" t="str">
        <f ca="1">+MID(INDEX(WORLDCUP!$AA$101:$AA$147,MATCH(Y6,WORLDCUP!$Z$101:$Z$147,0)),1,3)</f>
        <v>Fra</v>
      </c>
      <c r="AB6" s="557">
        <f>+IF(ISBLANK(INDEX(WORLDCUP!$AC$101:$AC$147,MATCH(Y6,WORLDCUP!$Z$101:$Z$147,0))),"",INDEX(WORLDCUP!$AC$101:$AC$147,MATCH(Y6,WORLDCUP!$Z$101:$Z$147,0)))</f>
        <v>3</v>
      </c>
      <c r="AC6" s="558" t="str">
        <f>+IF(ISBLANK(INDEX(WORLDCUP!$AB$101:$AB$147,MATCH(Y6,WORLDCUP!$Z$101:$Z$147,0))),"","( "&amp;INDEX(WORLDCUP!$AB$101:$AB$147,MATCH(Y6,WORLDCUP!$Z$101:$Z$147,0))&amp;" )")</f>
        <v/>
      </c>
      <c r="AD6" s="19"/>
      <c r="AE6" s="559"/>
      <c r="AF6" s="559"/>
      <c r="AG6" s="560"/>
      <c r="AH6" s="19"/>
      <c r="AI6" s="544"/>
      <c r="AJ6" s="544"/>
      <c r="AK6" s="544"/>
      <c r="AL6" s="92"/>
      <c r="AM6" s="516"/>
      <c r="AN6" s="516"/>
      <c r="AO6" s="516"/>
      <c r="AP6" s="19"/>
      <c r="AQ6" s="545"/>
      <c r="AR6" s="545"/>
      <c r="AS6" s="545"/>
      <c r="AT6" s="19"/>
      <c r="AU6" s="518"/>
      <c r="AV6" s="518"/>
      <c r="AW6" s="518"/>
      <c r="AX6" s="19"/>
      <c r="AY6" s="297"/>
      <c r="AZ6" s="297"/>
      <c r="BA6" s="297"/>
      <c r="BB6" s="297"/>
      <c r="BC6" s="297"/>
      <c r="BD6" s="297"/>
      <c r="BE6" s="297"/>
      <c r="BG6" s="547" t="str">
        <f ca="1">Horarios!Q5</f>
        <v>Australia</v>
      </c>
      <c r="BH6" s="548">
        <f t="shared" ca="1" si="0"/>
        <v>0</v>
      </c>
      <c r="BI6" s="548">
        <f ca="1">COUNTIF(ADMIN!$M$130:$M$161,Fixture!BG6)-BJ6-BK6-BL6-BM6-BN6-BO6</f>
        <v>1</v>
      </c>
      <c r="BJ6" s="549">
        <f ca="1">COUNTIF(ADMIN!$M$182:$M$197,Fixture!BG6)-BK6-BL6-BM6-BN6-BO6</f>
        <v>0</v>
      </c>
      <c r="BK6" s="550">
        <f ca="1">COUNTIF(ADMIN!$M$210:$M$217,Fixture!BG6)-BL6-BM6-BN6-BO6</f>
        <v>0</v>
      </c>
      <c r="BL6" s="550">
        <f ca="1">COUNTIF(ADMIN!$M$226:$M$229,BG6)-BM6-BN6-BO6</f>
        <v>0</v>
      </c>
      <c r="BM6" s="548">
        <f ca="1">COUNTIF(ADMIN!$M$252,Fixture!BG6)</f>
        <v>0</v>
      </c>
      <c r="BN6" s="548">
        <f ca="1">COUNTIF(ADMIN!$M$251,Fixture!BG6)</f>
        <v>0</v>
      </c>
      <c r="BO6" s="551">
        <f ca="1">COUNTIF(ADMIN!$M$250,Fixture!BG6)</f>
        <v>0</v>
      </c>
    </row>
    <row r="7" spans="1:67" ht="15.75" thickBot="1">
      <c r="A7" s="19">
        <v>53</v>
      </c>
      <c r="B7" s="528"/>
      <c r="C7" s="529" t="str">
        <f ca="1">+MID(INDEX(WORLDCUP!$AA$4:$AA$147,MATCH(A7,WORLDCUP!$AH$4:$AH$147,0)),1,3)</f>
        <v>Cze</v>
      </c>
      <c r="D7" s="530">
        <f>IF(ISBLANK(INDEX(WORLDCUP!$AC$4:$AC$147,MATCH(A7,WORLDCUP!$AH$4:$AH$147,0))),"",INDEX(WORLDCUP!$AC$4:$AC$147,MATCH(A7,WORLDCUP!$AH$4:$AH$147,0)))</f>
        <v>0</v>
      </c>
      <c r="E7" s="530">
        <f>IF(ISBLANK(INDEX(WORLDCUP!$AD$4:$AD$147,MATCH(A7,WORLDCUP!$AH$4:$AH$147,0))),"",INDEX(WORLDCUP!$AD$4:$AD$147,MATCH(A7,WORLDCUP!$AH$4:$AH$147,0)))</f>
        <v>3</v>
      </c>
      <c r="F7" s="531" t="str">
        <f ca="1">+MID(INDEX(WORLDCUP!$AF$4:$AF$147,MATCH(A7,WORLDCUP!$AH$4:$AH$147,0)),1,3)</f>
        <v>Mex</v>
      </c>
      <c r="G7" s="552">
        <v>4</v>
      </c>
      <c r="H7" s="561" t="str">
        <f ca="1">+MID(INDEX(WORLDCUP!$AL$6:$AL$97,MATCH(L7,WORLDCUP!$AI$6:$AI$97,0)),1,3)</f>
        <v>Cze</v>
      </c>
      <c r="I7" s="562">
        <f ca="1">+INDEX(WORLDCUP!$AM$6:$AM$97,MATCH(L7,WORLDCUP!$AI$6:$AI$97,0))</f>
        <v>1</v>
      </c>
      <c r="J7" s="563">
        <f ca="1">+INDEX(WORLDCUP!$AT$6:$AT$97,MATCH(L7,WORLDCUP!$AI$6:$AI$97,0))</f>
        <v>-4</v>
      </c>
      <c r="K7" s="564" t="str">
        <f ca="1">+INDEX(WORLDCUP!$AR$6:$AR$97,MATCH(L7,WORLDCUP!$AI$6:$AI$97,0))&amp;"-"&amp;INDEX(WORLDCUP!$AS$6:$AS$97,MATCH(L7,WORLDCUP!$AI$6:$AI$97,0))</f>
        <v>2-6</v>
      </c>
      <c r="L7" s="19" t="s">
        <v>647</v>
      </c>
      <c r="M7" s="19">
        <v>63</v>
      </c>
      <c r="N7" s="537"/>
      <c r="O7" s="529" t="str">
        <f ca="1">+MID(INDEX(WORLDCUP!$AA$4:$AA$147,MATCH(M7,WORLDCUP!$AH$4:$AH$147,0)),1,3)</f>
        <v>Egy</v>
      </c>
      <c r="P7" s="530">
        <f>IF(ISBLANK(INDEX(WORLDCUP!$AC$4:$AC$147,MATCH(M7,WORLDCUP!$AH$4:$AH$147,0))),"",INDEX(WORLDCUP!$AC$4:$AC$147,MATCH(M7,WORLDCUP!$AH$4:$AH$147,0)))</f>
        <v>1</v>
      </c>
      <c r="Q7" s="530">
        <f>IF(ISBLANK(INDEX(WORLDCUP!$AD$4:$AD$147,MATCH(M7,WORLDCUP!$AH$4:$AH$147,0))),"",INDEX(WORLDCUP!$AD$4:$AD$147,MATCH(M7,WORLDCUP!$AH$4:$AH$147,0)))</f>
        <v>1</v>
      </c>
      <c r="R7" s="531" t="str">
        <f ca="1">+MID(INDEX(WORLDCUP!$AF$4:$AF$147,MATCH(M7,WORLDCUP!$AH$4:$AH$147,0)),1,3)</f>
        <v>Ira</v>
      </c>
      <c r="S7" s="552">
        <v>4</v>
      </c>
      <c r="T7" s="561" t="str">
        <f ca="1">+MID(INDEX(WORLDCUP!$AL$6:$AL$97,MATCH(X7,WORLDCUP!$AI$6:$AI$97,0)),1,3)</f>
        <v>New</v>
      </c>
      <c r="U7" s="562">
        <f ca="1">+INDEX(WORLDCUP!$AM$6:$AM$97,MATCH(X7,WORLDCUP!$AI$6:$AI$97,0))</f>
        <v>1</v>
      </c>
      <c r="V7" s="563">
        <f ca="1">+INDEX(WORLDCUP!$AT$6:$AT$97,MATCH(X7,WORLDCUP!$AI$6:$AI$97,0))</f>
        <v>-6</v>
      </c>
      <c r="W7" s="564" t="str">
        <f ca="1">+INDEX(WORLDCUP!$AR$6:$AR$97,MATCH(X7,WORLDCUP!$AI$6:$AI$97,0))&amp;"-"&amp;INDEX(WORLDCUP!$AS$6:$AS$97,MATCH(X7,WORLDCUP!$AI$6:$AI$97,0))</f>
        <v>4-10</v>
      </c>
      <c r="X7" s="19" t="s">
        <v>669</v>
      </c>
      <c r="Y7" s="19">
        <v>77</v>
      </c>
      <c r="Z7" s="510" t="s">
        <v>723</v>
      </c>
      <c r="AA7" s="565" t="str">
        <f ca="1">+MID(INDEX(WORLDCUP!$AF$101:$AF$147,MATCH(Y7,WORLDCUP!$Z$101:$Z$147,0)),1,IF(WORLDCUP!$H$113&lt;144,6,3))</f>
        <v>Swe</v>
      </c>
      <c r="AB7" s="566">
        <f>+IF(ISBLANK(INDEX(WORLDCUP!$AD$101:$AD$147,MATCH(Y7,WORLDCUP!$Z$101:$Z$147,0))),"",INDEX(WORLDCUP!$AD$101:$AD$147,MATCH(Y7,WORLDCUP!$Z$101:$Z$147,0)))</f>
        <v>0</v>
      </c>
      <c r="AC7" s="567" t="str">
        <f>+IF(ISBLANK(INDEX(WORLDCUP!$AE$101:$AE$147,MATCH(Y7,WORLDCUP!$Z$101:$Z$147,0))),"","( "&amp;INDEX(WORLDCUP!$AE$101:$AE$147,MATCH(Y7,WORLDCUP!$Z$101:$Z$147,0))&amp;" )")</f>
        <v/>
      </c>
      <c r="AD7" s="19"/>
      <c r="AE7" s="559"/>
      <c r="AF7" s="559"/>
      <c r="AG7" s="560"/>
      <c r="AH7" s="540">
        <v>97</v>
      </c>
      <c r="AI7" s="568" t="str">
        <f ca="1">+MID(INDEX(WORLDCUP!$AA$101:$AA$147,MATCH(AH7,WORLDCUP!$Z$101:$Z$147,0)),1,3)</f>
        <v>Fra</v>
      </c>
      <c r="AJ7" s="569">
        <f>+IF(ISBLANK(INDEX(WORLDCUP!$AC$101:$AC$147,MATCH(AH7,WORLDCUP!$Z$101:$Z$147,0))),"",INDEX(WORLDCUP!$AC$101:$AC$147,MATCH(AH7,WORLDCUP!$Z$101:$Z$147,0)))</f>
        <v>2</v>
      </c>
      <c r="AK7" s="570" t="str">
        <f>+IF(ISBLANK(INDEX(WORLDCUP!$AB$101:$AB$147,MATCH(AH7,WORLDCUP!$Z$101:$Z$147,0))),"","( "&amp;INDEX(WORLDCUP!$AB$101:$AB$147,MATCH(AH7,WORLDCUP!$Z$101:$Z$147,0))&amp;" )")</f>
        <v/>
      </c>
      <c r="AL7" s="92"/>
      <c r="AM7" s="516"/>
      <c r="AN7" s="516"/>
      <c r="AO7" s="516"/>
      <c r="AP7" s="19"/>
      <c r="AQ7" s="545"/>
      <c r="AR7" s="545"/>
      <c r="AS7" s="545"/>
      <c r="AT7" s="19"/>
      <c r="AU7" s="518"/>
      <c r="AV7" s="518"/>
      <c r="AW7" s="518"/>
      <c r="AX7" s="19"/>
      <c r="AY7" s="297"/>
      <c r="AZ7" s="297"/>
      <c r="BA7" s="297"/>
      <c r="BB7" s="297"/>
      <c r="BC7" s="297"/>
      <c r="BD7" s="297"/>
      <c r="BE7" s="297"/>
      <c r="BG7" s="547" t="str">
        <f ca="1">Horarios!Q6</f>
        <v>Austria</v>
      </c>
      <c r="BH7" s="548">
        <f t="shared" ca="1" si="0"/>
        <v>0</v>
      </c>
      <c r="BI7" s="548">
        <f ca="1">COUNTIF(ADMIN!$M$130:$M$161,Fixture!BG7)-BJ7-BK7-BL7-BM7-BN7-BO7</f>
        <v>1</v>
      </c>
      <c r="BJ7" s="549">
        <f ca="1">COUNTIF(ADMIN!$M$182:$M$197,Fixture!BG7)-BK7-BL7-BM7-BN7-BO7</f>
        <v>0</v>
      </c>
      <c r="BK7" s="550">
        <f ca="1">COUNTIF(ADMIN!$M$210:$M$217,Fixture!BG7)-BL7-BM7-BN7-BO7</f>
        <v>0</v>
      </c>
      <c r="BL7" s="550">
        <f ca="1">COUNTIF(ADMIN!$M$226:$M$229,BG7)-BM7-BN7-BO7</f>
        <v>0</v>
      </c>
      <c r="BM7" s="548">
        <f ca="1">COUNTIF(ADMIN!$M$252,Fixture!BG7)</f>
        <v>0</v>
      </c>
      <c r="BN7" s="548">
        <f ca="1">COUNTIF(ADMIN!$M$251,Fixture!BG7)</f>
        <v>0</v>
      </c>
      <c r="BO7" s="551">
        <f ca="1">COUNTIF(ADMIN!$M$250,Fixture!BG7)</f>
        <v>0</v>
      </c>
    </row>
    <row r="8" spans="1:67" ht="15.75" thickBot="1">
      <c r="A8" s="19">
        <v>54</v>
      </c>
      <c r="B8" s="571"/>
      <c r="C8" s="572" t="str">
        <f ca="1">+MID(INDEX(WORLDCUP!$AA$4:$AA$147,MATCH(A8,WORLDCUP!$AH$4:$AH$147,0)),1,3)</f>
        <v>Sou</v>
      </c>
      <c r="D8" s="573">
        <f>IF(ISBLANK(INDEX(WORLDCUP!$AC$4:$AC$147,MATCH(A8,WORLDCUP!$AH$4:$AH$147,0))),"",INDEX(WORLDCUP!$AC$4:$AC$147,MATCH(A8,WORLDCUP!$AH$4:$AH$147,0)))</f>
        <v>1</v>
      </c>
      <c r="E8" s="573">
        <f>IF(ISBLANK(INDEX(WORLDCUP!$AD$4:$AD$147,MATCH(A8,WORLDCUP!$AH$4:$AH$147,0))),"",INDEX(WORLDCUP!$AD$4:$AD$147,MATCH(A8,WORLDCUP!$AH$4:$AH$147,0)))</f>
        <v>0</v>
      </c>
      <c r="F8" s="574" t="str">
        <f ca="1">+MID(INDEX(WORLDCUP!$AF$4:$AF$147,MATCH(A8,WORLDCUP!$AH$4:$AH$147,0)),1,3)</f>
        <v>Sou</v>
      </c>
      <c r="G8" s="575"/>
      <c r="H8" s="575"/>
      <c r="I8" s="576"/>
      <c r="J8" s="576"/>
      <c r="K8" s="577"/>
      <c r="L8" s="19"/>
      <c r="M8" s="19">
        <v>64</v>
      </c>
      <c r="N8" s="578"/>
      <c r="O8" s="572" t="str">
        <f ca="1">+MID(INDEX(WORLDCUP!$AA$4:$AA$147,MATCH(M8,WORLDCUP!$AH$4:$AH$147,0)),1,3)</f>
        <v>New</v>
      </c>
      <c r="P8" s="573">
        <f>IF(ISBLANK(INDEX(WORLDCUP!$AC$4:$AC$147,MATCH(M8,WORLDCUP!$AH$4:$AH$147,0))),"",INDEX(WORLDCUP!$AC$4:$AC$147,MATCH(M8,WORLDCUP!$AH$4:$AH$147,0)))</f>
        <v>1</v>
      </c>
      <c r="Q8" s="573">
        <f>IF(ISBLANK(INDEX(WORLDCUP!$AD$4:$AD$147,MATCH(M8,WORLDCUP!$AH$4:$AH$147,0))),"",INDEX(WORLDCUP!$AD$4:$AD$147,MATCH(M8,WORLDCUP!$AH$4:$AH$147,0)))</f>
        <v>5</v>
      </c>
      <c r="R8" s="574" t="str">
        <f ca="1">+MID(INDEX(WORLDCUP!$AF$4:$AF$147,MATCH(M8,WORLDCUP!$AH$4:$AH$147,0)),1,3)</f>
        <v>Bel</v>
      </c>
      <c r="S8" s="575"/>
      <c r="T8" s="575"/>
      <c r="U8" s="576"/>
      <c r="V8" s="576"/>
      <c r="W8" s="577"/>
      <c r="X8" s="19"/>
      <c r="Y8" s="19"/>
      <c r="Z8" s="510"/>
      <c r="AA8" s="579"/>
      <c r="AB8" s="579"/>
      <c r="AC8" s="579"/>
      <c r="AD8" s="19"/>
      <c r="AE8" s="514"/>
      <c r="AF8" s="514"/>
      <c r="AG8" s="560"/>
      <c r="AH8" s="19">
        <v>97</v>
      </c>
      <c r="AI8" s="568" t="str">
        <f ca="1">+MID(INDEX(WORLDCUP!$AF$101:$AF$147,MATCH(AH8,WORLDCUP!$Z$101:$Z$147,0)),1,3)</f>
        <v>Mor</v>
      </c>
      <c r="AJ8" s="569">
        <f>+IF(ISBLANK(INDEX(WORLDCUP!$AD$101:$AD$147,MATCH(AH8,WORLDCUP!$Z$101:$Z$147,0))),"",INDEX(WORLDCUP!$AD$101:$AD$147,MATCH(AH8,WORLDCUP!$Z$101:$Z$147,0)))</f>
        <v>0</v>
      </c>
      <c r="AK8" s="580" t="str">
        <f>+IF(ISBLANK(INDEX(WORLDCUP!$AE$101:$AE$147,MATCH(AH8,WORLDCUP!$Z$101:$Z$147,0))),"","( "&amp;INDEX(WORLDCUP!$AE$101:$AE$147,MATCH(AH8,WORLDCUP!$Z$101:$Z$147,0))&amp;" )")</f>
        <v/>
      </c>
      <c r="AL8" s="92"/>
      <c r="AM8" s="516"/>
      <c r="AN8" s="516"/>
      <c r="AO8" s="516"/>
      <c r="AP8" s="19"/>
      <c r="AQ8" s="545"/>
      <c r="AR8" s="545"/>
      <c r="AS8" s="545"/>
      <c r="AT8" s="19"/>
      <c r="AU8" s="518"/>
      <c r="AV8" s="518"/>
      <c r="AW8" s="518"/>
      <c r="AX8" s="19"/>
      <c r="AY8" s="297"/>
      <c r="AZ8" s="297"/>
      <c r="BA8" s="297"/>
      <c r="BB8" s="297"/>
      <c r="BC8" s="297"/>
      <c r="BD8" s="297"/>
      <c r="BE8" s="297"/>
      <c r="BG8" s="547" t="str">
        <f ca="1">Horarios!Q7</f>
        <v>Belgium</v>
      </c>
      <c r="BH8" s="548">
        <f t="shared" ca="1" si="0"/>
        <v>0</v>
      </c>
      <c r="BI8" s="548">
        <f ca="1">COUNTIF(ADMIN!$M$130:$M$161,Fixture!BG8)-BJ8-BK8-BL8-BM8-BN8-BO8</f>
        <v>0</v>
      </c>
      <c r="BJ8" s="549">
        <f ca="1">COUNTIF(ADMIN!$M$182:$M$197,Fixture!BG8)-BK8-BL8-BM8-BN8-BO8</f>
        <v>0</v>
      </c>
      <c r="BK8" s="550">
        <f ca="1">COUNTIF(ADMIN!$M$210:$M$217,Fixture!BG8)-BL8-BM8-BN8-BO8</f>
        <v>1</v>
      </c>
      <c r="BL8" s="550">
        <f ca="1">COUNTIF(ADMIN!$M$226:$M$229,BG8)-BM8-BN8-BO8</f>
        <v>0</v>
      </c>
      <c r="BM8" s="548">
        <f ca="1">COUNTIF(ADMIN!$M$252,Fixture!BG8)</f>
        <v>0</v>
      </c>
      <c r="BN8" s="548">
        <f ca="1">COUNTIF(ADMIN!$M$251,Fixture!BG8)</f>
        <v>0</v>
      </c>
      <c r="BO8" s="551">
        <f ca="1">COUNTIF(ADMIN!$M$250,Fixture!BG8)</f>
        <v>0</v>
      </c>
    </row>
    <row r="9" spans="1:67" ht="15.75" thickBot="1">
      <c r="A9" s="19"/>
      <c r="B9" s="497"/>
      <c r="C9" s="581"/>
      <c r="D9" s="441"/>
      <c r="E9" s="441"/>
      <c r="F9" s="297"/>
      <c r="G9" s="297"/>
      <c r="H9" s="581"/>
      <c r="I9" s="297"/>
      <c r="J9" s="297"/>
      <c r="K9" s="297"/>
      <c r="L9" s="19"/>
      <c r="M9" s="19"/>
      <c r="N9" s="247"/>
      <c r="O9" s="581"/>
      <c r="P9" s="441"/>
      <c r="Q9" s="441"/>
      <c r="R9" s="297"/>
      <c r="S9" s="297"/>
      <c r="T9" s="581"/>
      <c r="U9" s="297"/>
      <c r="V9" s="297"/>
      <c r="W9" s="297"/>
      <c r="X9" s="19"/>
      <c r="Y9" s="19">
        <v>73</v>
      </c>
      <c r="Z9" s="510" t="s">
        <v>646</v>
      </c>
      <c r="AA9" s="511" t="str">
        <f ca="1">+MID(INDEX(WORLDCUP!$AA$101:$AA$147,MATCH(Y9,WORLDCUP!$Z$101:$Z$147,0)),1,3)</f>
        <v>Sou</v>
      </c>
      <c r="AB9" s="512">
        <f>+IF(ISBLANK(INDEX(WORLDCUP!$AC$101:$AC$147,MATCH(Y9,WORLDCUP!$Z$101:$Z$147,0))),"",INDEX(WORLDCUP!$AC$101:$AC$147,MATCH(Y9,WORLDCUP!$Z$101:$Z$147,0)))</f>
        <v>0</v>
      </c>
      <c r="AC9" s="582" t="str">
        <f>+IF(ISBLANK(INDEX(WORLDCUP!$AB$101:$AB$147,MATCH(Y9,WORLDCUP!$Z$101:$Z$147,0))),"","( "&amp;INDEX(WORLDCUP!$AB$101:$AB$147,MATCH(Y9,WORLDCUP!$Z$101:$Z$147,0))&amp;" )")</f>
        <v/>
      </c>
      <c r="AD9" s="18"/>
      <c r="AE9" s="514"/>
      <c r="AF9" s="514"/>
      <c r="AG9" s="560"/>
      <c r="AH9" s="19"/>
      <c r="AI9" s="544"/>
      <c r="AJ9" s="544"/>
      <c r="AK9" s="583"/>
      <c r="AL9" s="92"/>
      <c r="AM9" s="516"/>
      <c r="AN9" s="516"/>
      <c r="AO9" s="516"/>
      <c r="AP9" s="19"/>
      <c r="AQ9" s="545"/>
      <c r="AR9" s="545"/>
      <c r="AS9" s="545"/>
      <c r="AT9" s="19"/>
      <c r="AU9" s="518"/>
      <c r="AV9" s="518"/>
      <c r="AW9" s="518"/>
      <c r="AX9" s="19"/>
      <c r="AY9" s="297"/>
      <c r="AZ9" s="297"/>
      <c r="BA9" s="297"/>
      <c r="BB9" s="297"/>
      <c r="BC9" s="297"/>
      <c r="BD9" s="297"/>
      <c r="BE9" s="297"/>
      <c r="BG9" s="547" t="str">
        <f ca="1">Horarios!Q8</f>
        <v>Bosnia and Herzegovina</v>
      </c>
      <c r="BH9" s="548">
        <f t="shared" ca="1" si="0"/>
        <v>0</v>
      </c>
      <c r="BI9" s="548">
        <f ca="1">COUNTIF(ADMIN!$M$130:$M$161,Fixture!BG9)-BJ9-BK9-BL9-BM9-BN9-BO9</f>
        <v>1</v>
      </c>
      <c r="BJ9" s="549">
        <f ca="1">COUNTIF(ADMIN!$M$182:$M$197,Fixture!BG9)-BK9-BL9-BM9-BN9-BO9</f>
        <v>0</v>
      </c>
      <c r="BK9" s="550">
        <f ca="1">COUNTIF(ADMIN!$M$210:$M$217,Fixture!BG9)-BL9-BM9-BN9-BO9</f>
        <v>0</v>
      </c>
      <c r="BL9" s="550">
        <f ca="1">COUNTIF(ADMIN!$M$226:$M$229,BG9)-BM9-BN9-BO9</f>
        <v>0</v>
      </c>
      <c r="BM9" s="548">
        <f ca="1">COUNTIF(ADMIN!$M$252,Fixture!BG9)</f>
        <v>0</v>
      </c>
      <c r="BN9" s="548">
        <f ca="1">COUNTIF(ADMIN!$M$251,Fixture!BG9)</f>
        <v>0</v>
      </c>
      <c r="BO9" s="551">
        <f ca="1">COUNTIF(ADMIN!$M$250,Fixture!BG9)</f>
        <v>0</v>
      </c>
    </row>
    <row r="10" spans="1:67" ht="15.75" thickBot="1">
      <c r="A10" s="19"/>
      <c r="B10" s="497"/>
      <c r="C10" s="581"/>
      <c r="D10" s="441"/>
      <c r="E10" s="441"/>
      <c r="F10" s="297"/>
      <c r="G10" s="297"/>
      <c r="H10" s="581"/>
      <c r="I10" s="297"/>
      <c r="J10" s="297"/>
      <c r="K10" s="297"/>
      <c r="L10" s="19"/>
      <c r="M10" s="19"/>
      <c r="N10" s="247"/>
      <c r="O10" s="581"/>
      <c r="P10" s="441"/>
      <c r="Q10" s="441"/>
      <c r="R10" s="297"/>
      <c r="S10" s="297"/>
      <c r="T10" s="581"/>
      <c r="U10" s="297"/>
      <c r="V10" s="297"/>
      <c r="W10" s="297"/>
      <c r="X10" s="19"/>
      <c r="Y10" s="19">
        <v>73</v>
      </c>
      <c r="Z10" s="510" t="s">
        <v>649</v>
      </c>
      <c r="AA10" s="511" t="str">
        <f ca="1">+MID(INDEX(WORLDCUP!$AF$101:$AF$147,MATCH(Y10,WORLDCUP!$Z$101:$Z$147,0)),1,3)</f>
        <v>Can</v>
      </c>
      <c r="AB10" s="538">
        <f>+IF(ISBLANK(INDEX(WORLDCUP!$AD$101:$AD$147,MATCH(Y10,WORLDCUP!$Z$101:$Z$147,0))),"",INDEX(WORLDCUP!$AD$101:$AD$147,MATCH(Y10,WORLDCUP!$Z$101:$Z$147,0)))</f>
        <v>1</v>
      </c>
      <c r="AC10" s="539" t="str">
        <f>+IF(ISBLANK(INDEX(WORLDCUP!$AE$101:$AE$147,MATCH(Y10,WORLDCUP!$Z$101:$Z$147,0))),"","( "&amp;INDEX(WORLDCUP!$AE$101:$AE$147,MATCH(Y10,WORLDCUP!$Z$101:$Z$147,0))&amp;" )")</f>
        <v/>
      </c>
      <c r="AD10" s="584">
        <v>90</v>
      </c>
      <c r="AE10" s="541" t="str">
        <f ca="1">+MID(INDEX(WORLDCUP!$AA$101:$AA$147,MATCH(AD10,WORLDCUP!$Z$101:$Z$147,0)),1,3)</f>
        <v>Can</v>
      </c>
      <c r="AF10" s="542">
        <f>+IF(ISBLANK(INDEX(WORLDCUP!$AC$101:$AC$147,MATCH(AD10,WORLDCUP!$Z$101:$Z$147,0))),"",INDEX(WORLDCUP!$AC$101:$AC$147,MATCH(AD10,WORLDCUP!$Z$101:$Z$147,0)))</f>
        <v>0</v>
      </c>
      <c r="AG10" s="585" t="str">
        <f>+IF(ISBLANK(INDEX(WORLDCUP!$AB$101:$AB$147,MATCH(AD10,WORLDCUP!$Z$101:$Z$147,0))),"","( "&amp;INDEX(WORLDCUP!$AB$101:$AB$147,MATCH(AD10,WORLDCUP!$Z$101:$Z$147,0))&amp;" )")</f>
        <v/>
      </c>
      <c r="AH10" s="19"/>
      <c r="AI10" s="544"/>
      <c r="AJ10" s="544"/>
      <c r="AK10" s="583"/>
      <c r="AL10" s="92"/>
      <c r="AM10" s="516"/>
      <c r="AN10" s="516"/>
      <c r="AO10" s="516"/>
      <c r="AP10" s="19"/>
      <c r="AQ10" s="545"/>
      <c r="AR10" s="545"/>
      <c r="AS10" s="545"/>
      <c r="AT10" s="19"/>
      <c r="AU10" s="518"/>
      <c r="AV10" s="518"/>
      <c r="AW10" s="518"/>
      <c r="AX10" s="19"/>
      <c r="AY10" s="297"/>
      <c r="AZ10" s="247"/>
      <c r="BA10" s="247"/>
      <c r="BB10" s="175"/>
      <c r="BC10" s="581"/>
      <c r="BD10" s="441"/>
      <c r="BE10" s="441"/>
      <c r="BF10" s="586"/>
      <c r="BG10" s="547" t="str">
        <f ca="1">Horarios!Q9</f>
        <v>Brazil</v>
      </c>
      <c r="BH10" s="548">
        <f t="shared" ca="1" si="0"/>
        <v>0</v>
      </c>
      <c r="BI10" s="548">
        <f ca="1">COUNTIF(ADMIN!$M$130:$M$161,Fixture!BG10)-BJ10-BK10-BL10-BM10-BN10-BO10</f>
        <v>0</v>
      </c>
      <c r="BJ10" s="549">
        <f ca="1">COUNTIF(ADMIN!$M$182:$M$197,Fixture!BG10)-BK10-BL10-BM10-BN10-BO10</f>
        <v>1</v>
      </c>
      <c r="BK10" s="550">
        <f ca="1">COUNTIF(ADMIN!$M$210:$M$217,Fixture!BG10)-BL10-BM10-BN10-BO10</f>
        <v>0</v>
      </c>
      <c r="BL10" s="550">
        <f ca="1">COUNTIF(ADMIN!$M$226:$M$229,BG10)-BM10-BN10-BO10</f>
        <v>0</v>
      </c>
      <c r="BM10" s="548">
        <f ca="1">COUNTIF(ADMIN!$M$252,Fixture!BG10)</f>
        <v>0</v>
      </c>
      <c r="BN10" s="548">
        <f ca="1">COUNTIF(ADMIN!$M$251,Fixture!BG10)</f>
        <v>0</v>
      </c>
      <c r="BO10" s="551">
        <f ca="1">COUNTIF(ADMIN!$M$250,Fixture!BG10)</f>
        <v>0</v>
      </c>
    </row>
    <row r="11" spans="1:67">
      <c r="A11" s="19">
        <v>3</v>
      </c>
      <c r="B11" s="587" t="s">
        <v>1</v>
      </c>
      <c r="C11" s="502" t="str">
        <f ca="1">+MID(INDEX(WORLDCUP!$AA$4:$AA$147,MATCH(A11,WORLDCUP!$AH$4:$AH$147,0)),1,3)</f>
        <v>Can</v>
      </c>
      <c r="D11" s="503">
        <f>IF(ISBLANK(INDEX(WORLDCUP!$AC$4:$AC$147,MATCH(A11,WORLDCUP!$AH$4:$AH$147,0))),"",INDEX(WORLDCUP!$AC$4:$AC$147,MATCH(A11,WORLDCUP!$AH$4:$AH$147,0)))</f>
        <v>1</v>
      </c>
      <c r="E11" s="503">
        <f>IF(ISBLANK(INDEX(WORLDCUP!$AD$4:$AD$147,MATCH(A11,WORLDCUP!$AH$4:$AH$147,0))),"",INDEX(WORLDCUP!$AD$4:$AD$147,MATCH(A11,WORLDCUP!$AH$4:$AH$147,0)))</f>
        <v>1</v>
      </c>
      <c r="F11" s="504" t="str">
        <f ca="1">+MID(INDEX(WORLDCUP!$AF$4:$AF$147,MATCH(A11,WORLDCUP!$AH$4:$AH$147,0)),1,3)</f>
        <v>Bos</v>
      </c>
      <c r="G11" s="505"/>
      <c r="H11" s="506" t="str">
        <f>+H3</f>
        <v>Nat</v>
      </c>
      <c r="I11" s="507" t="str">
        <f>+I3</f>
        <v>Pts</v>
      </c>
      <c r="J11" s="507" t="str">
        <f>+J3</f>
        <v>GD</v>
      </c>
      <c r="K11" s="508" t="str">
        <f>+K3</f>
        <v>F-A</v>
      </c>
      <c r="L11" s="19"/>
      <c r="M11" s="19">
        <v>14</v>
      </c>
      <c r="N11" s="588" t="s">
        <v>437</v>
      </c>
      <c r="O11" s="502" t="str">
        <f ca="1">+MID(INDEX(WORLDCUP!$AA$4:$AA$147,MATCH(M11,WORLDCUP!$AH$4:$AH$147,0)),1,3)</f>
        <v>Spa</v>
      </c>
      <c r="P11" s="503">
        <f>IF(ISBLANK(INDEX(WORLDCUP!$AC$4:$AC$147,MATCH(M11,WORLDCUP!$AH$4:$AH$147,0))),"",INDEX(WORLDCUP!$AC$4:$AC$147,MATCH(M11,WORLDCUP!$AH$4:$AH$147,0)))</f>
        <v>0</v>
      </c>
      <c r="Q11" s="503">
        <f>IF(ISBLANK(INDEX(WORLDCUP!$AD$4:$AD$147,MATCH(M11,WORLDCUP!$AH$4:$AH$147,0))),"",INDEX(WORLDCUP!$AD$4:$AD$147,MATCH(M11,WORLDCUP!$AH$4:$AH$147,0)))</f>
        <v>0</v>
      </c>
      <c r="R11" s="504" t="str">
        <f ca="1">+MID(INDEX(WORLDCUP!$AF$4:$AF$147,MATCH(M11,WORLDCUP!$AH$4:$AH$147,0)),1,3)</f>
        <v>Cap</v>
      </c>
      <c r="S11" s="505"/>
      <c r="T11" s="506" t="str">
        <f>+T3</f>
        <v>Nat</v>
      </c>
      <c r="U11" s="507" t="str">
        <f t="shared" ref="U11:W11" si="1">+U3</f>
        <v>Pts</v>
      </c>
      <c r="V11" s="507" t="str">
        <f t="shared" si="1"/>
        <v>GD</v>
      </c>
      <c r="W11" s="508" t="str">
        <f t="shared" si="1"/>
        <v>F-A</v>
      </c>
      <c r="X11" s="19"/>
      <c r="Y11" s="19"/>
      <c r="Z11" s="510"/>
      <c r="AA11" s="554"/>
      <c r="AB11" s="554"/>
      <c r="AC11" s="555"/>
      <c r="AD11" s="19">
        <v>90</v>
      </c>
      <c r="AE11" s="541" t="str">
        <f ca="1">+MID(INDEX(WORLDCUP!$AF$101:$AF$147,MATCH(AD11,WORLDCUP!$Z$101:$Z$147,0)),1,3)</f>
        <v>Mor</v>
      </c>
      <c r="AF11" s="542">
        <f>+IF(ISBLANK(INDEX(WORLDCUP!$AD$101:$AD$147,MATCH(AD11,WORLDCUP!$Z$101:$Z$147,0))),"",INDEX(WORLDCUP!$AD$101:$AD$147,MATCH(AD11,WORLDCUP!$Z$101:$Z$147,0)))</f>
        <v>3</v>
      </c>
      <c r="AG11" s="559" t="str">
        <f>+IF(ISBLANK(INDEX(WORLDCUP!$AE$101:$AE$147,MATCH(AD11,WORLDCUP!$Z$101:$Z$147,0))),"","( "&amp;INDEX(WORLDCUP!$AE$101:$AE$147,MATCH(AD11,WORLDCUP!$Z$101:$Z$147,0))&amp;" )")</f>
        <v/>
      </c>
      <c r="AH11" s="19"/>
      <c r="AI11" s="544"/>
      <c r="AJ11" s="544"/>
      <c r="AK11" s="583"/>
      <c r="AL11" s="92"/>
      <c r="AM11" s="516"/>
      <c r="AN11" s="516"/>
      <c r="AO11" s="516"/>
      <c r="AP11" s="19"/>
      <c r="AQ11" s="545"/>
      <c r="AR11" s="545"/>
      <c r="AS11" s="545"/>
      <c r="AT11" s="19"/>
      <c r="AU11" s="518"/>
      <c r="AV11" s="518"/>
      <c r="AW11" s="518"/>
      <c r="AX11" s="19"/>
      <c r="AY11" s="297"/>
      <c r="AZ11" s="297"/>
      <c r="BA11" s="297"/>
      <c r="BB11" s="297"/>
      <c r="BC11" s="297"/>
      <c r="BD11" s="297"/>
      <c r="BE11" s="297"/>
      <c r="BG11" s="547" t="str">
        <f ca="1">Horarios!Q10</f>
        <v>Canada</v>
      </c>
      <c r="BH11" s="548">
        <f t="shared" ca="1" si="0"/>
        <v>0</v>
      </c>
      <c r="BI11" s="548">
        <f ca="1">COUNTIF(ADMIN!$M$130:$M$161,Fixture!BG11)-BJ11-BK11-BL11-BM11-BN11-BO11</f>
        <v>0</v>
      </c>
      <c r="BJ11" s="549">
        <f ca="1">COUNTIF(ADMIN!$M$182:$M$197,Fixture!BG11)-BK11-BL11-BM11-BN11-BO11</f>
        <v>1</v>
      </c>
      <c r="BK11" s="550">
        <f ca="1">COUNTIF(ADMIN!$M$210:$M$217,Fixture!BG11)-BL11-BM11-BN11-BO11</f>
        <v>0</v>
      </c>
      <c r="BL11" s="550">
        <f ca="1">COUNTIF(ADMIN!$M$226:$M$229,BG11)-BM11-BN11-BO11</f>
        <v>0</v>
      </c>
      <c r="BM11" s="548">
        <f ca="1">COUNTIF(ADMIN!$M$252,Fixture!BG11)</f>
        <v>0</v>
      </c>
      <c r="BN11" s="548">
        <f ca="1">COUNTIF(ADMIN!$M$251,Fixture!BG11)</f>
        <v>0</v>
      </c>
      <c r="BO11" s="551">
        <f ca="1">COUNTIF(ADMIN!$M$250,Fixture!BG11)</f>
        <v>0</v>
      </c>
    </row>
    <row r="12" spans="1:67" ht="15.75" thickBot="1">
      <c r="A12" s="19">
        <v>8</v>
      </c>
      <c r="B12" s="589"/>
      <c r="C12" s="529" t="str">
        <f ca="1">+MID(INDEX(WORLDCUP!$AA$4:$AA$147,MATCH(A12,WORLDCUP!$AH$4:$AH$147,0)),1,3)</f>
        <v>Qat</v>
      </c>
      <c r="D12" s="530">
        <f>IF(ISBLANK(INDEX(WORLDCUP!$AC$4:$AC$147,MATCH(A12,WORLDCUP!$AH$4:$AH$147,0))),"",INDEX(WORLDCUP!$AC$4:$AC$147,MATCH(A12,WORLDCUP!$AH$4:$AH$147,0)))</f>
        <v>1</v>
      </c>
      <c r="E12" s="530">
        <f>IF(ISBLANK(INDEX(WORLDCUP!$AD$4:$AD$147,MATCH(A12,WORLDCUP!$AH$4:$AH$147,0))),"",INDEX(WORLDCUP!$AD$4:$AD$147,MATCH(A12,WORLDCUP!$AH$4:$AH$147,0)))</f>
        <v>1</v>
      </c>
      <c r="F12" s="531" t="str">
        <f ca="1">+MID(INDEX(WORLDCUP!$AF$4:$AF$147,MATCH(A12,WORLDCUP!$AH$4:$AH$147,0)),1,3)</f>
        <v>Swi</v>
      </c>
      <c r="G12" s="532">
        <v>1</v>
      </c>
      <c r="H12" s="533" t="str">
        <f ca="1">+MID(INDEX(WORLDCUP!$AL$6:$AL$97,MATCH(L12,WORLDCUP!$AI$6:$AI$97,0)),1,3)</f>
        <v>Swi</v>
      </c>
      <c r="I12" s="534">
        <f ca="1">+INDEX(WORLDCUP!$AM$6:$AM$97,MATCH(L12,WORLDCUP!$AI$6:$AI$97,0))</f>
        <v>7</v>
      </c>
      <c r="J12" s="535">
        <f ca="1">+INDEX(WORLDCUP!$AT$6:$AT$97,MATCH(L12,WORLDCUP!$AI$6:$AI$97,0))</f>
        <v>4</v>
      </c>
      <c r="K12" s="536" t="str">
        <f ca="1">+INDEX(WORLDCUP!$AR$6:$AR$97,MATCH(L12,WORLDCUP!$AI$6:$AI$97,0))&amp;"-"&amp;INDEX(WORLDCUP!$AS$6:$AS$97,MATCH(L12,WORLDCUP!$AI$6:$AI$97,0))</f>
        <v>7-3</v>
      </c>
      <c r="L12" s="19" t="s">
        <v>648</v>
      </c>
      <c r="M12" s="19">
        <v>13</v>
      </c>
      <c r="N12" s="590"/>
      <c r="O12" s="529" t="str">
        <f ca="1">+MID(INDEX(WORLDCUP!$AA$4:$AA$147,MATCH(M12,WORLDCUP!$AH$4:$AH$147,0)),1,3)</f>
        <v>Sau</v>
      </c>
      <c r="P12" s="530">
        <f>IF(ISBLANK(INDEX(WORLDCUP!$AC$4:$AC$147,MATCH(M12,WORLDCUP!$AH$4:$AH$147,0))),"",INDEX(WORLDCUP!$AC$4:$AC$147,MATCH(M12,WORLDCUP!$AH$4:$AH$147,0)))</f>
        <v>1</v>
      </c>
      <c r="Q12" s="530">
        <f>IF(ISBLANK(INDEX(WORLDCUP!$AD$4:$AD$147,MATCH(M12,WORLDCUP!$AH$4:$AH$147,0))),"",INDEX(WORLDCUP!$AD$4:$AD$147,MATCH(M12,WORLDCUP!$AH$4:$AH$147,0)))</f>
        <v>1</v>
      </c>
      <c r="R12" s="531" t="str">
        <f ca="1">+MID(INDEX(WORLDCUP!$AF$4:$AF$147,MATCH(M12,WORLDCUP!$AH$4:$AH$147,0)),1,3)</f>
        <v>Uru</v>
      </c>
      <c r="S12" s="532">
        <v>1</v>
      </c>
      <c r="T12" s="533" t="str">
        <f ca="1">+MID(INDEX(WORLDCUP!$AL$6:$AL$97,MATCH(X12,WORLDCUP!$AI$6:$AI$97,0)),1,3)</f>
        <v>Spa</v>
      </c>
      <c r="U12" s="534">
        <f ca="1">+INDEX(WORLDCUP!$AM$6:$AM$97,MATCH(X12,WORLDCUP!$AI$6:$AI$97,0))</f>
        <v>7</v>
      </c>
      <c r="V12" s="535">
        <f ca="1">+INDEX(WORLDCUP!$AT$6:$AT$97,MATCH(X12,WORLDCUP!$AI$6:$AI$97,0))</f>
        <v>5</v>
      </c>
      <c r="W12" s="536" t="str">
        <f ca="1">+INDEX(WORLDCUP!$AR$6:$AR$97,MATCH(X12,WORLDCUP!$AI$6:$AI$97,0))&amp;"-"&amp;INDEX(WORLDCUP!$AS$6:$AS$97,MATCH(X12,WORLDCUP!$AI$6:$AI$97,0))</f>
        <v>5-0</v>
      </c>
      <c r="X12" s="19" t="s">
        <v>670</v>
      </c>
      <c r="Y12" s="19">
        <v>75</v>
      </c>
      <c r="Z12" s="510" t="s">
        <v>664</v>
      </c>
      <c r="AA12" s="511" t="str">
        <f ca="1">+MID(INDEX(WORLDCUP!$AA$101:$AA$147,MATCH(Y12,WORLDCUP!$Z$101:$Z$147,0)),1,3)</f>
        <v>Net</v>
      </c>
      <c r="AB12" s="557">
        <f>+IF(ISBLANK(INDEX(WORLDCUP!$AC$101:$AC$147,MATCH(Y12,WORLDCUP!$Z$101:$Z$147,0))),"",INDEX(WORLDCUP!$AC$101:$AC$147,MATCH(Y12,WORLDCUP!$Z$101:$Z$147,0)))</f>
        <v>1</v>
      </c>
      <c r="AC12" s="591" t="str">
        <f>+IF(ISBLANK(INDEX(WORLDCUP!$AB$101:$AB$147,MATCH(Y12,WORLDCUP!$Z$101:$Z$147,0))),"","( "&amp;INDEX(WORLDCUP!$AB$101:$AB$147,MATCH(Y12,WORLDCUP!$Z$101:$Z$147,0))&amp;" )")</f>
        <v>( 2 )</v>
      </c>
      <c r="AD12" s="19"/>
      <c r="AE12" s="514"/>
      <c r="AF12" s="514"/>
      <c r="AG12" s="514"/>
      <c r="AH12" s="19"/>
      <c r="AI12" s="544"/>
      <c r="AJ12" s="544"/>
      <c r="AK12" s="583"/>
      <c r="AL12" s="92"/>
      <c r="AM12" s="516"/>
      <c r="AN12" s="516"/>
      <c r="AO12" s="516"/>
      <c r="AP12" s="19"/>
      <c r="AQ12" s="545"/>
      <c r="AR12" s="545"/>
      <c r="AS12" s="545"/>
      <c r="AT12" s="19"/>
      <c r="AU12" s="518"/>
      <c r="AV12" s="518"/>
      <c r="AW12" s="518"/>
      <c r="AX12" s="19"/>
      <c r="AY12" s="297"/>
      <c r="AZ12" s="297"/>
      <c r="BA12" s="297"/>
      <c r="BB12" s="297"/>
      <c r="BC12" s="297"/>
      <c r="BD12" s="297"/>
      <c r="BE12" s="297"/>
      <c r="BG12" s="547" t="str">
        <f ca="1">Horarios!Q11</f>
        <v>Cape Verde</v>
      </c>
      <c r="BH12" s="548">
        <f t="shared" ca="1" si="0"/>
        <v>0</v>
      </c>
      <c r="BI12" s="548">
        <f ca="1">COUNTIF(ADMIN!$M$130:$M$161,Fixture!BG12)-BJ12-BK12-BL12-BM12-BN12-BO12</f>
        <v>1</v>
      </c>
      <c r="BJ12" s="549">
        <f ca="1">COUNTIF(ADMIN!$M$182:$M$197,Fixture!BG12)-BK12-BL12-BM12-BN12-BO12</f>
        <v>0</v>
      </c>
      <c r="BK12" s="550">
        <f ca="1">COUNTIF(ADMIN!$M$210:$M$217,Fixture!BG12)-BL12-BM12-BN12-BO12</f>
        <v>0</v>
      </c>
      <c r="BL12" s="550">
        <f ca="1">COUNTIF(ADMIN!$M$226:$M$229,BG12)-BM12-BN12-BO12</f>
        <v>0</v>
      </c>
      <c r="BM12" s="548">
        <f ca="1">COUNTIF(ADMIN!$M$252,Fixture!BG12)</f>
        <v>0</v>
      </c>
      <c r="BN12" s="548">
        <f ca="1">COUNTIF(ADMIN!$M$251,Fixture!BG12)</f>
        <v>0</v>
      </c>
      <c r="BO12" s="551">
        <f ca="1">COUNTIF(ADMIN!$M$250,Fixture!BG12)</f>
        <v>0</v>
      </c>
    </row>
    <row r="13" spans="1:67" ht="15.75" thickBot="1">
      <c r="A13" s="19">
        <v>26</v>
      </c>
      <c r="B13" s="589"/>
      <c r="C13" s="529" t="str">
        <f ca="1">+MID(INDEX(WORLDCUP!$AA$4:$AA$147,MATCH(A13,WORLDCUP!$AH$4:$AH$147,0)),1,3)</f>
        <v>Swi</v>
      </c>
      <c r="D13" s="530">
        <f>IF(ISBLANK(INDEX(WORLDCUP!$AC$4:$AC$147,MATCH(A13,WORLDCUP!$AH$4:$AH$147,0))),"",INDEX(WORLDCUP!$AC$4:$AC$147,MATCH(A13,WORLDCUP!$AH$4:$AH$147,0)))</f>
        <v>4</v>
      </c>
      <c r="E13" s="530">
        <f>IF(ISBLANK(INDEX(WORLDCUP!$AD$4:$AD$147,MATCH(A13,WORLDCUP!$AH$4:$AH$147,0))),"",INDEX(WORLDCUP!$AD$4:$AD$147,MATCH(A13,WORLDCUP!$AH$4:$AH$147,0)))</f>
        <v>1</v>
      </c>
      <c r="F13" s="531" t="str">
        <f ca="1">+MID(INDEX(WORLDCUP!$AF$4:$AF$147,MATCH(A13,WORLDCUP!$AH$4:$AH$147,0)),1,3)</f>
        <v>Bos</v>
      </c>
      <c r="G13" s="552">
        <v>2</v>
      </c>
      <c r="H13" s="553" t="str">
        <f ca="1">+MID(INDEX(WORLDCUP!$AL$6:$AL$97,MATCH(L13,WORLDCUP!$AI$6:$AI$97,0)),1,3)</f>
        <v>Can</v>
      </c>
      <c r="I13" s="223">
        <f ca="1">+INDEX(WORLDCUP!$AM$6:$AM$97,MATCH(L13,WORLDCUP!$AI$6:$AI$97,0))</f>
        <v>4</v>
      </c>
      <c r="J13" s="224">
        <f ca="1">+INDEX(WORLDCUP!$AT$6:$AT$97,MATCH(L13,WORLDCUP!$AI$6:$AI$97,0))</f>
        <v>5</v>
      </c>
      <c r="K13" s="225" t="str">
        <f ca="1">+INDEX(WORLDCUP!$AR$6:$AR$97,MATCH(L13,WORLDCUP!$AI$6:$AI$97,0))&amp;"-"&amp;INDEX(WORLDCUP!$AS$6:$AS$97,MATCH(L13,WORLDCUP!$AI$6:$AI$97,0))</f>
        <v>8-3</v>
      </c>
      <c r="L13" s="19" t="s">
        <v>649</v>
      </c>
      <c r="M13" s="19">
        <v>38</v>
      </c>
      <c r="N13" s="590"/>
      <c r="O13" s="529" t="str">
        <f ca="1">+MID(INDEX(WORLDCUP!$AA$4:$AA$147,MATCH(M13,WORLDCUP!$AH$4:$AH$147,0)),1,3)</f>
        <v>Spa</v>
      </c>
      <c r="P13" s="530">
        <f>IF(ISBLANK(INDEX(WORLDCUP!$AC$4:$AC$147,MATCH(M13,WORLDCUP!$AH$4:$AH$147,0))),"",INDEX(WORLDCUP!$AC$4:$AC$147,MATCH(M13,WORLDCUP!$AH$4:$AH$147,0)))</f>
        <v>4</v>
      </c>
      <c r="Q13" s="530">
        <f>IF(ISBLANK(INDEX(WORLDCUP!$AD$4:$AD$147,MATCH(M13,WORLDCUP!$AH$4:$AH$147,0))),"",INDEX(WORLDCUP!$AD$4:$AD$147,MATCH(M13,WORLDCUP!$AH$4:$AH$147,0)))</f>
        <v>0</v>
      </c>
      <c r="R13" s="531" t="str">
        <f ca="1">+MID(INDEX(WORLDCUP!$AF$4:$AF$147,MATCH(M13,WORLDCUP!$AH$4:$AH$147,0)),1,3)</f>
        <v>Sau</v>
      </c>
      <c r="S13" s="552">
        <v>2</v>
      </c>
      <c r="T13" s="553" t="str">
        <f ca="1">+MID(INDEX(WORLDCUP!$AL$6:$AL$97,MATCH(X13,WORLDCUP!$AI$6:$AI$97,0)),1,3)</f>
        <v>Cap</v>
      </c>
      <c r="U13" s="223">
        <f ca="1">+INDEX(WORLDCUP!$AM$6:$AM$97,MATCH(X13,WORLDCUP!$AI$6:$AI$97,0))</f>
        <v>3</v>
      </c>
      <c r="V13" s="224">
        <f ca="1">+INDEX(WORLDCUP!$AT$6:$AT$97,MATCH(X13,WORLDCUP!$AI$6:$AI$97,0))</f>
        <v>0</v>
      </c>
      <c r="W13" s="225" t="str">
        <f ca="1">+INDEX(WORLDCUP!$AR$6:$AR$97,MATCH(X13,WORLDCUP!$AI$6:$AI$97,0))&amp;"-"&amp;INDEX(WORLDCUP!$AS$6:$AS$97,MATCH(X13,WORLDCUP!$AI$6:$AI$97,0))</f>
        <v>2-2</v>
      </c>
      <c r="X13" s="19" t="s">
        <v>671</v>
      </c>
      <c r="Y13" s="19">
        <v>75</v>
      </c>
      <c r="Z13" s="510" t="s">
        <v>656</v>
      </c>
      <c r="AA13" s="565" t="str">
        <f ca="1">+MID(INDEX(WORLDCUP!$AF$101:$AF$147,MATCH(Y13,WORLDCUP!$Z$101:$Z$147,0)),1,3)</f>
        <v>Mor</v>
      </c>
      <c r="AB13" s="566">
        <f>+IF(ISBLANK(INDEX(WORLDCUP!$AD$101:$AD$147,MATCH(Y13,WORLDCUP!$Z$101:$Z$147,0))),"",INDEX(WORLDCUP!$AD$101:$AD$147,MATCH(Y13,WORLDCUP!$Z$101:$Z$147,0)))</f>
        <v>1</v>
      </c>
      <c r="AC13" s="592" t="str">
        <f>+IF(ISBLANK(INDEX(WORLDCUP!$AE$101:$AE$147,MATCH(Y13,WORLDCUP!$Z$101:$Z$147,0))),"","( "&amp;INDEX(WORLDCUP!$AE$101:$AE$147,MATCH(Y13,WORLDCUP!$Z$101:$Z$147,0))&amp;" )")</f>
        <v>( 3 )</v>
      </c>
      <c r="AD13" s="19"/>
      <c r="AE13" s="514"/>
      <c r="AF13" s="514"/>
      <c r="AG13" s="514"/>
      <c r="AH13" s="19"/>
      <c r="AI13" s="544"/>
      <c r="AJ13" s="544"/>
      <c r="AK13" s="583"/>
      <c r="AL13" s="584">
        <v>101</v>
      </c>
      <c r="AM13" s="593" t="str">
        <f ca="1">+MID(INDEX(WORLDCUP!$AA$101:$AA$147,MATCH(AL13,WORLDCUP!$Z$101:$Z$147,0)),1,3)</f>
        <v>Fra</v>
      </c>
      <c r="AN13" s="594">
        <f>+IF(ISBLANK(INDEX(WORLDCUP!$AC$101:$AC$147,MATCH(AL13,WORLDCUP!$Z$101:$Z$147,0))),"",INDEX(WORLDCUP!$AC$101:$AC$147,MATCH(AL13,WORLDCUP!$Z$101:$Z$147,0)))</f>
        <v>0</v>
      </c>
      <c r="AO13" s="595" t="str">
        <f>+IF(ISBLANK(INDEX(WORLDCUP!$AB$101:$AB$147,MATCH(AL13,WORLDCUP!$Z$101:$Z$147,0))),"","( "&amp;INDEX(WORLDCUP!$AB$101:$AB$147,MATCH(AL13,WORLDCUP!$Z$101:$Z$147,0))&amp;" )")</f>
        <v/>
      </c>
      <c r="AP13" s="19"/>
      <c r="AQ13" s="545"/>
      <c r="AR13" s="545"/>
      <c r="AS13" s="545"/>
      <c r="AT13" s="19"/>
      <c r="AU13" s="518"/>
      <c r="AV13" s="518"/>
      <c r="AW13" s="518"/>
      <c r="AX13" s="19"/>
      <c r="AY13" s="297"/>
      <c r="AZ13" s="297"/>
      <c r="BA13" s="297"/>
      <c r="BB13" s="297"/>
      <c r="BC13" s="297"/>
      <c r="BD13" s="297"/>
      <c r="BE13" s="297"/>
      <c r="BG13" s="547" t="str">
        <f ca="1">Horarios!Q12</f>
        <v>Colombia</v>
      </c>
      <c r="BH13" s="548">
        <f t="shared" ca="1" si="0"/>
        <v>0</v>
      </c>
      <c r="BI13" s="548">
        <f ca="1">COUNTIF(ADMIN!$M$130:$M$161,Fixture!BG13)-BJ13-BK13-BL13-BM13-BN13-BO13</f>
        <v>0</v>
      </c>
      <c r="BJ13" s="549">
        <f ca="1">COUNTIF(ADMIN!$M$182:$M$197,Fixture!BG13)-BK13-BL13-BM13-BN13-BO13</f>
        <v>1</v>
      </c>
      <c r="BK13" s="550">
        <f ca="1">COUNTIF(ADMIN!$M$210:$M$217,Fixture!BG13)-BL13-BM13-BN13-BO13</f>
        <v>0</v>
      </c>
      <c r="BL13" s="550">
        <f ca="1">COUNTIF(ADMIN!$M$226:$M$229,BG13)-BM13-BN13-BO13</f>
        <v>0</v>
      </c>
      <c r="BM13" s="548">
        <f ca="1">COUNTIF(ADMIN!$M$252,Fixture!BG13)</f>
        <v>0</v>
      </c>
      <c r="BN13" s="548">
        <f ca="1">COUNTIF(ADMIN!$M$251,Fixture!BG13)</f>
        <v>0</v>
      </c>
      <c r="BO13" s="551">
        <f ca="1">COUNTIF(ADMIN!$M$250,Fixture!BG13)</f>
        <v>0</v>
      </c>
    </row>
    <row r="14" spans="1:67">
      <c r="A14" s="19">
        <v>27</v>
      </c>
      <c r="B14" s="589"/>
      <c r="C14" s="529" t="str">
        <f ca="1">+MID(INDEX(WORLDCUP!$AA$4:$AA$147,MATCH(A14,WORLDCUP!$AH$4:$AH$147,0)),1,3)</f>
        <v>Can</v>
      </c>
      <c r="D14" s="530">
        <f>IF(ISBLANK(INDEX(WORLDCUP!$AC$4:$AC$147,MATCH(A14,WORLDCUP!$AH$4:$AH$147,0))),"",INDEX(WORLDCUP!$AC$4:$AC$147,MATCH(A14,WORLDCUP!$AH$4:$AH$147,0)))</f>
        <v>6</v>
      </c>
      <c r="E14" s="530">
        <f>IF(ISBLANK(INDEX(WORLDCUP!$AD$4:$AD$147,MATCH(A14,WORLDCUP!$AH$4:$AH$147,0))),"",INDEX(WORLDCUP!$AD$4:$AD$147,MATCH(A14,WORLDCUP!$AH$4:$AH$147,0)))</f>
        <v>0</v>
      </c>
      <c r="F14" s="531" t="str">
        <f ca="1">+MID(INDEX(WORLDCUP!$AF$4:$AF$147,MATCH(A14,WORLDCUP!$AH$4:$AH$147,0)),1,3)</f>
        <v>Qat</v>
      </c>
      <c r="G14" s="552">
        <v>3</v>
      </c>
      <c r="H14" s="553" t="str">
        <f ca="1">+MID(INDEX(WORLDCUP!$AL$6:$AL$97,MATCH(L14,WORLDCUP!$AI$6:$AI$97,0)),1,3)</f>
        <v>Bos</v>
      </c>
      <c r="I14" s="223">
        <f ca="1">+INDEX(WORLDCUP!$AM$6:$AM$97,MATCH(L14,WORLDCUP!$AI$6:$AI$97,0))</f>
        <v>4</v>
      </c>
      <c r="J14" s="224">
        <f ca="1">+INDEX(WORLDCUP!$AT$6:$AT$97,MATCH(L14,WORLDCUP!$AI$6:$AI$97,0))</f>
        <v>-1</v>
      </c>
      <c r="K14" s="225" t="str">
        <f ca="1">+INDEX(WORLDCUP!$AR$6:$AR$97,MATCH(L14,WORLDCUP!$AI$6:$AI$97,0))&amp;"-"&amp;INDEX(WORLDCUP!$AS$6:$AS$97,MATCH(L14,WORLDCUP!$AI$6:$AI$97,0))</f>
        <v>5-6</v>
      </c>
      <c r="L14" s="19" t="s">
        <v>90</v>
      </c>
      <c r="M14" s="19">
        <v>37</v>
      </c>
      <c r="N14" s="590"/>
      <c r="O14" s="529" t="str">
        <f ca="1">+MID(INDEX(WORLDCUP!$AA$4:$AA$147,MATCH(M14,WORLDCUP!$AH$4:$AH$147,0)),1,3)</f>
        <v>Uru</v>
      </c>
      <c r="P14" s="530">
        <f>IF(ISBLANK(INDEX(WORLDCUP!$AC$4:$AC$147,MATCH(M14,WORLDCUP!$AH$4:$AH$147,0))),"",INDEX(WORLDCUP!$AC$4:$AC$147,MATCH(M14,WORLDCUP!$AH$4:$AH$147,0)))</f>
        <v>2</v>
      </c>
      <c r="Q14" s="530">
        <f>IF(ISBLANK(INDEX(WORLDCUP!$AD$4:$AD$147,MATCH(M14,WORLDCUP!$AH$4:$AH$147,0))),"",INDEX(WORLDCUP!$AD$4:$AD$147,MATCH(M14,WORLDCUP!$AH$4:$AH$147,0)))</f>
        <v>2</v>
      </c>
      <c r="R14" s="531" t="str">
        <f ca="1">+MID(INDEX(WORLDCUP!$AF$4:$AF$147,MATCH(M14,WORLDCUP!$AH$4:$AH$147,0)),1,3)</f>
        <v>Cap</v>
      </c>
      <c r="S14" s="552">
        <v>3</v>
      </c>
      <c r="T14" s="553" t="str">
        <f ca="1">+MID(INDEX(WORLDCUP!$AL$6:$AL$97,MATCH(X14,WORLDCUP!$AI$6:$AI$97,0)),1,3)</f>
        <v>Uru</v>
      </c>
      <c r="U14" s="223">
        <f ca="1">+INDEX(WORLDCUP!$AM$6:$AM$97,MATCH(X14,WORLDCUP!$AI$6:$AI$97,0))</f>
        <v>2</v>
      </c>
      <c r="V14" s="224">
        <f ca="1">+INDEX(WORLDCUP!$AT$6:$AT$97,MATCH(X14,WORLDCUP!$AI$6:$AI$97,0))</f>
        <v>-1</v>
      </c>
      <c r="W14" s="225" t="str">
        <f ca="1">+INDEX(WORLDCUP!$AR$6:$AR$97,MATCH(X14,WORLDCUP!$AI$6:$AI$97,0))&amp;"-"&amp;INDEX(WORLDCUP!$AS$6:$AS$97,MATCH(X14,WORLDCUP!$AI$6:$AI$97,0))</f>
        <v>3-4</v>
      </c>
      <c r="X14" s="19" t="s">
        <v>436</v>
      </c>
      <c r="Y14" s="19"/>
      <c r="Z14" s="510"/>
      <c r="AA14" s="579"/>
      <c r="AB14" s="579"/>
      <c r="AC14" s="579"/>
      <c r="AD14" s="19"/>
      <c r="AE14" s="514"/>
      <c r="AF14" s="514"/>
      <c r="AG14" s="514"/>
      <c r="AH14" s="19"/>
      <c r="AI14" s="544"/>
      <c r="AJ14" s="544"/>
      <c r="AK14" s="583"/>
      <c r="AL14" s="19">
        <v>101</v>
      </c>
      <c r="AM14" s="593" t="str">
        <f ca="1">+MID(INDEX(WORLDCUP!$AF$101:$AF$147,MATCH(AL14,WORLDCUP!$Z$101:$Z$147,0)),1,3)</f>
        <v>Spa</v>
      </c>
      <c r="AN14" s="594">
        <f>+IF(ISBLANK(INDEX(WORLDCUP!$AD$101:$AD$147,MATCH(AL14,WORLDCUP!$Z$101:$Z$147,0))),"",INDEX(WORLDCUP!$AD$101:$AD$147,MATCH(AL14,WORLDCUP!$Z$101:$Z$147,0)))</f>
        <v>2</v>
      </c>
      <c r="AO14" s="596" t="str">
        <f>+IF(ISBLANK(INDEX(WORLDCUP!$AE$101:$AE$147,MATCH(AL14,WORLDCUP!$Z$101:$Z$147,0))),"","( "&amp;INDEX(WORLDCUP!$AE$101:$AE$147,MATCH(AL14,WORLDCUP!$Z$101:$Z$147,0))&amp;" )")</f>
        <v/>
      </c>
      <c r="AP14" s="19"/>
      <c r="AQ14" s="545"/>
      <c r="AR14" s="545"/>
      <c r="AS14" s="545"/>
      <c r="AT14" s="19"/>
      <c r="AU14" s="518"/>
      <c r="AV14" s="518"/>
      <c r="AW14" s="518"/>
      <c r="AX14" s="19"/>
      <c r="AY14" s="297"/>
      <c r="AZ14" s="297"/>
      <c r="BA14" s="297"/>
      <c r="BB14" s="297"/>
      <c r="BC14" s="297"/>
      <c r="BD14" s="297"/>
      <c r="BE14" s="297"/>
      <c r="BG14" s="547" t="str">
        <f ca="1">Horarios!Q13</f>
        <v>Croatia</v>
      </c>
      <c r="BH14" s="548">
        <f t="shared" ca="1" si="0"/>
        <v>0</v>
      </c>
      <c r="BI14" s="548">
        <f ca="1">COUNTIF(ADMIN!$M$130:$M$161,Fixture!BG14)-BJ14-BK14-BL14-BM14-BN14-BO14</f>
        <v>1</v>
      </c>
      <c r="BJ14" s="549">
        <f ca="1">COUNTIF(ADMIN!$M$182:$M$197,Fixture!BG14)-BK14-BL14-BM14-BN14-BO14</f>
        <v>0</v>
      </c>
      <c r="BK14" s="550">
        <f ca="1">COUNTIF(ADMIN!$M$210:$M$217,Fixture!BG14)-BL14-BM14-BN14-BO14</f>
        <v>0</v>
      </c>
      <c r="BL14" s="550">
        <f ca="1">COUNTIF(ADMIN!$M$226:$M$229,BG14)-BM14-BN14-BO14</f>
        <v>0</v>
      </c>
      <c r="BM14" s="548">
        <f ca="1">COUNTIF(ADMIN!$M$252,Fixture!BG14)</f>
        <v>0</v>
      </c>
      <c r="BN14" s="548">
        <f ca="1">COUNTIF(ADMIN!$M$251,Fixture!BG14)</f>
        <v>0</v>
      </c>
      <c r="BO14" s="551">
        <f ca="1">COUNTIF(ADMIN!$M$250,Fixture!BG14)</f>
        <v>0</v>
      </c>
    </row>
    <row r="15" spans="1:67" ht="15.75" thickBot="1">
      <c r="A15" s="19">
        <v>51</v>
      </c>
      <c r="B15" s="589"/>
      <c r="C15" s="529" t="str">
        <f ca="1">+MID(INDEX(WORLDCUP!$AA$4:$AA$147,MATCH(A15,WORLDCUP!$AH$4:$AH$147,0)),1,3)</f>
        <v>Swi</v>
      </c>
      <c r="D15" s="530">
        <f>IF(ISBLANK(INDEX(WORLDCUP!$AC$4:$AC$147,MATCH(A15,WORLDCUP!$AH$4:$AH$147,0))),"",INDEX(WORLDCUP!$AC$4:$AC$147,MATCH(A15,WORLDCUP!$AH$4:$AH$147,0)))</f>
        <v>2</v>
      </c>
      <c r="E15" s="530">
        <f>IF(ISBLANK(INDEX(WORLDCUP!$AD$4:$AD$147,MATCH(A15,WORLDCUP!$AH$4:$AH$147,0))),"",INDEX(WORLDCUP!$AD$4:$AD$147,MATCH(A15,WORLDCUP!$AH$4:$AH$147,0)))</f>
        <v>1</v>
      </c>
      <c r="F15" s="531" t="str">
        <f ca="1">+MID(INDEX(WORLDCUP!$AF$4:$AF$147,MATCH(A15,WORLDCUP!$AH$4:$AH$147,0)),1,3)</f>
        <v>Can</v>
      </c>
      <c r="G15" s="552">
        <v>4</v>
      </c>
      <c r="H15" s="561" t="str">
        <f ca="1">+MID(INDEX(WORLDCUP!$AL$6:$AL$97,MATCH(L15,WORLDCUP!$AI$6:$AI$97,0)),1,3)</f>
        <v>Qat</v>
      </c>
      <c r="I15" s="562">
        <f ca="1">+INDEX(WORLDCUP!$AM$6:$AM$97,MATCH(L15,WORLDCUP!$AI$6:$AI$97,0))</f>
        <v>1</v>
      </c>
      <c r="J15" s="563">
        <f ca="1">+INDEX(WORLDCUP!$AT$6:$AT$97,MATCH(L15,WORLDCUP!$AI$6:$AI$97,0))</f>
        <v>-8</v>
      </c>
      <c r="K15" s="564" t="str">
        <f ca="1">+INDEX(WORLDCUP!$AR$6:$AR$97,MATCH(L15,WORLDCUP!$AI$6:$AI$97,0))&amp;"-"&amp;INDEX(WORLDCUP!$AS$6:$AS$97,MATCH(L15,WORLDCUP!$AI$6:$AI$97,0))</f>
        <v>2-10</v>
      </c>
      <c r="L15" s="19" t="s">
        <v>650</v>
      </c>
      <c r="M15" s="19">
        <v>65</v>
      </c>
      <c r="N15" s="590"/>
      <c r="O15" s="529" t="str">
        <f ca="1">+MID(INDEX(WORLDCUP!$AA$4:$AA$147,MATCH(M15,WORLDCUP!$AH$4:$AH$147,0)),1,3)</f>
        <v>Cap</v>
      </c>
      <c r="P15" s="530">
        <f>IF(ISBLANK(INDEX(WORLDCUP!$AC$4:$AC$147,MATCH(M15,WORLDCUP!$AH$4:$AH$147,0))),"",INDEX(WORLDCUP!$AC$4:$AC$147,MATCH(M15,WORLDCUP!$AH$4:$AH$147,0)))</f>
        <v>0</v>
      </c>
      <c r="Q15" s="530">
        <f>IF(ISBLANK(INDEX(WORLDCUP!$AD$4:$AD$147,MATCH(M15,WORLDCUP!$AH$4:$AH$147,0))),"",INDEX(WORLDCUP!$AD$4:$AD$147,MATCH(M15,WORLDCUP!$AH$4:$AH$147,0)))</f>
        <v>0</v>
      </c>
      <c r="R15" s="531" t="str">
        <f ca="1">+MID(INDEX(WORLDCUP!$AF$4:$AF$147,MATCH(M15,WORLDCUP!$AH$4:$AH$147,0)),1,3)</f>
        <v>Sau</v>
      </c>
      <c r="S15" s="552">
        <v>4</v>
      </c>
      <c r="T15" s="561" t="str">
        <f ca="1">+MID(INDEX(WORLDCUP!$AL$6:$AL$97,MATCH(X15,WORLDCUP!$AI$6:$AI$97,0)),1,3)</f>
        <v>Sau</v>
      </c>
      <c r="U15" s="562">
        <f ca="1">+INDEX(WORLDCUP!$AM$6:$AM$97,MATCH(X15,WORLDCUP!$AI$6:$AI$97,0))</f>
        <v>2</v>
      </c>
      <c r="V15" s="563">
        <f ca="1">+INDEX(WORLDCUP!$AT$6:$AT$97,MATCH(X15,WORLDCUP!$AI$6:$AI$97,0))</f>
        <v>-4</v>
      </c>
      <c r="W15" s="564" t="str">
        <f ca="1">+INDEX(WORLDCUP!$AR$6:$AR$97,MATCH(X15,WORLDCUP!$AI$6:$AI$97,0))&amp;"-"&amp;INDEX(WORLDCUP!$AS$6:$AS$97,MATCH(X15,WORLDCUP!$AI$6:$AI$97,0))</f>
        <v>1-5</v>
      </c>
      <c r="X15" s="19" t="s">
        <v>672</v>
      </c>
      <c r="Y15" s="19">
        <v>83</v>
      </c>
      <c r="Z15" s="510" t="s">
        <v>680</v>
      </c>
      <c r="AA15" s="511" t="str">
        <f ca="1">+MID(INDEX(WORLDCUP!$AA$101:$AA$147,MATCH(Y15,WORLDCUP!$Z$101:$Z$147,0)),1,3)</f>
        <v>Por</v>
      </c>
      <c r="AB15" s="512">
        <f>+IF(ISBLANK(INDEX(WORLDCUP!$AC$101:$AC$147,MATCH(Y15,WORLDCUP!$Z$101:$Z$147,0))),"",INDEX(WORLDCUP!$AC$101:$AC$147,MATCH(Y15,WORLDCUP!$Z$101:$Z$147,0)))</f>
        <v>2</v>
      </c>
      <c r="AC15" s="582" t="str">
        <f>+IF(ISBLANK(INDEX(WORLDCUP!$AB$101:$AB$147,MATCH(Y15,WORLDCUP!$Z$101:$Z$147,0))),"","( "&amp;INDEX(WORLDCUP!$AB$101:$AB$147,MATCH(Y15,WORLDCUP!$Z$101:$Z$147,0))&amp;" )")</f>
        <v/>
      </c>
      <c r="AD15" s="18"/>
      <c r="AE15" s="514"/>
      <c r="AF15" s="514"/>
      <c r="AG15" s="514"/>
      <c r="AH15" s="19"/>
      <c r="AI15" s="544"/>
      <c r="AJ15" s="544"/>
      <c r="AK15" s="583"/>
      <c r="AL15" s="92"/>
      <c r="AM15" s="516"/>
      <c r="AN15" s="516"/>
      <c r="AO15" s="597"/>
      <c r="AP15" s="92"/>
      <c r="AQ15" s="545"/>
      <c r="AR15" s="545"/>
      <c r="AS15" s="545"/>
      <c r="AT15" s="19"/>
      <c r="AU15" s="518"/>
      <c r="AV15" s="518"/>
      <c r="AW15" s="518"/>
      <c r="AX15" s="19"/>
      <c r="AY15" s="297"/>
      <c r="AZ15" s="297"/>
      <c r="BA15" s="297"/>
      <c r="BB15" s="297"/>
      <c r="BC15" s="297"/>
      <c r="BD15" s="297"/>
      <c r="BE15" s="297"/>
      <c r="BG15" s="547" t="str">
        <f ca="1">Horarios!Q14</f>
        <v>Curaçao</v>
      </c>
      <c r="BH15" s="548">
        <f t="shared" ca="1" si="0"/>
        <v>1</v>
      </c>
      <c r="BI15" s="548">
        <f ca="1">COUNTIF(ADMIN!$M$130:$M$161,Fixture!BG15)-BJ15-BK15-BL15-BM15-BN15-BO15</f>
        <v>0</v>
      </c>
      <c r="BJ15" s="549">
        <f ca="1">COUNTIF(ADMIN!$M$182:$M$197,Fixture!BG15)-BK15-BL15-BM15-BN15-BO15</f>
        <v>0</v>
      </c>
      <c r="BK15" s="550">
        <f ca="1">COUNTIF(ADMIN!$M$210:$M$217,Fixture!BG15)-BL15-BM15-BN15-BO15</f>
        <v>0</v>
      </c>
      <c r="BL15" s="550">
        <f ca="1">COUNTIF(ADMIN!$M$226:$M$229,BG15)-BM15-BN15-BO15</f>
        <v>0</v>
      </c>
      <c r="BM15" s="548">
        <f ca="1">COUNTIF(ADMIN!$M$252,Fixture!BG15)</f>
        <v>0</v>
      </c>
      <c r="BN15" s="548">
        <f ca="1">COUNTIF(ADMIN!$M$251,Fixture!BG15)</f>
        <v>0</v>
      </c>
      <c r="BO15" s="551">
        <f ca="1">COUNTIF(ADMIN!$M$250,Fixture!BG15)</f>
        <v>0</v>
      </c>
    </row>
    <row r="16" spans="1:67" ht="15.75" thickBot="1">
      <c r="A16" s="19">
        <v>52</v>
      </c>
      <c r="B16" s="598"/>
      <c r="C16" s="572" t="str">
        <f ca="1">+MID(INDEX(WORLDCUP!$AA$4:$AA$147,MATCH(A16,WORLDCUP!$AH$4:$AH$147,0)),1,3)</f>
        <v>Bos</v>
      </c>
      <c r="D16" s="573">
        <f>IF(ISBLANK(INDEX(WORLDCUP!$AC$4:$AC$147,MATCH(A16,WORLDCUP!$AH$4:$AH$147,0))),"",INDEX(WORLDCUP!$AC$4:$AC$147,MATCH(A16,WORLDCUP!$AH$4:$AH$147,0)))</f>
        <v>3</v>
      </c>
      <c r="E16" s="573">
        <f>IF(ISBLANK(INDEX(WORLDCUP!$AD$4:$AD$147,MATCH(A16,WORLDCUP!$AH$4:$AH$147,0))),"",INDEX(WORLDCUP!$AD$4:$AD$147,MATCH(A16,WORLDCUP!$AH$4:$AH$147,0)))</f>
        <v>1</v>
      </c>
      <c r="F16" s="574" t="str">
        <f ca="1">+MID(INDEX(WORLDCUP!$AF$4:$AF$147,MATCH(A16,WORLDCUP!$AH$4:$AH$147,0)),1,3)</f>
        <v>Qat</v>
      </c>
      <c r="G16" s="575"/>
      <c r="H16" s="575"/>
      <c r="I16" s="576"/>
      <c r="J16" s="576"/>
      <c r="K16" s="577"/>
      <c r="L16" s="19"/>
      <c r="M16" s="19">
        <v>66</v>
      </c>
      <c r="N16" s="599"/>
      <c r="O16" s="572" t="str">
        <f ca="1">+MID(INDEX(WORLDCUP!$AA$4:$AA$147,MATCH(M16,WORLDCUP!$AH$4:$AH$147,0)),1,3)</f>
        <v>Uru</v>
      </c>
      <c r="P16" s="573">
        <f>IF(ISBLANK(INDEX(WORLDCUP!$AC$4:$AC$147,MATCH(M16,WORLDCUP!$AH$4:$AH$147,0))),"",INDEX(WORLDCUP!$AC$4:$AC$147,MATCH(M16,WORLDCUP!$AH$4:$AH$147,0)))</f>
        <v>0</v>
      </c>
      <c r="Q16" s="573">
        <f>IF(ISBLANK(INDEX(WORLDCUP!$AD$4:$AD$147,MATCH(M16,WORLDCUP!$AH$4:$AH$147,0))),"",INDEX(WORLDCUP!$AD$4:$AD$147,MATCH(M16,WORLDCUP!$AH$4:$AH$147,0)))</f>
        <v>1</v>
      </c>
      <c r="R16" s="574" t="str">
        <f ca="1">+MID(INDEX(WORLDCUP!$AF$4:$AF$147,MATCH(M16,WORLDCUP!$AH$4:$AH$147,0)),1,3)</f>
        <v>Spa</v>
      </c>
      <c r="S16" s="575"/>
      <c r="T16" s="575"/>
      <c r="U16" s="576"/>
      <c r="V16" s="576"/>
      <c r="W16" s="577"/>
      <c r="X16" s="19"/>
      <c r="Y16" s="19">
        <v>83</v>
      </c>
      <c r="Z16" s="510" t="s">
        <v>683</v>
      </c>
      <c r="AA16" s="511" t="str">
        <f ca="1">+MID(INDEX(WORLDCUP!$AF$101:$AF$147,MATCH(Y16,WORLDCUP!$Z$101:$Z$147,0)),1,3)</f>
        <v>Cro</v>
      </c>
      <c r="AB16" s="538">
        <f>+IF(ISBLANK(INDEX(WORLDCUP!$AD$101:$AD$147,MATCH(Y16,WORLDCUP!$Z$101:$Z$147,0))),"",INDEX(WORLDCUP!$AD$101:$AD$147,MATCH(Y16,WORLDCUP!$Z$101:$Z$147,0)))</f>
        <v>1</v>
      </c>
      <c r="AC16" s="539" t="str">
        <f>+IF(ISBLANK(INDEX(WORLDCUP!$AE$101:$AE$147,MATCH(Y16,WORLDCUP!$Z$101:$Z$147,0))),"","( "&amp;INDEX(WORLDCUP!$AE$101:$AE$147,MATCH(Y16,WORLDCUP!$Z$101:$Z$147,0))&amp;" )")</f>
        <v/>
      </c>
      <c r="AD16" s="540">
        <v>93</v>
      </c>
      <c r="AE16" s="541" t="str">
        <f ca="1">+MID(INDEX(WORLDCUP!$AA$101:$AA$147,MATCH(AD16,WORLDCUP!$Z$101:$Z$147,0)),1,3)</f>
        <v>Por</v>
      </c>
      <c r="AF16" s="542">
        <f>+IF(ISBLANK(INDEX(WORLDCUP!$AC$101:$AC$147,MATCH(AD16,WORLDCUP!$Z$101:$Z$147,0))),"",INDEX(WORLDCUP!$AC$101:$AC$147,MATCH(AD16,WORLDCUP!$Z$101:$Z$147,0)))</f>
        <v>0</v>
      </c>
      <c r="AG16" s="543" t="str">
        <f>+IF(ISBLANK(INDEX(WORLDCUP!$AB$101:$AB$147,MATCH(AD16,WORLDCUP!$Z$101:$Z$147,0))),"","( "&amp;INDEX(WORLDCUP!$AB$101:$AB$147,MATCH(AD16,WORLDCUP!$Z$101:$Z$147,0))&amp;" )")</f>
        <v/>
      </c>
      <c r="AH16" s="19"/>
      <c r="AI16" s="544"/>
      <c r="AJ16" s="544"/>
      <c r="AK16" s="583"/>
      <c r="AL16" s="19"/>
      <c r="AM16" s="516"/>
      <c r="AN16" s="516"/>
      <c r="AO16" s="597"/>
      <c r="AP16" s="92"/>
      <c r="AQ16" s="545"/>
      <c r="AR16" s="545"/>
      <c r="AS16" s="545"/>
      <c r="AT16" s="19"/>
      <c r="AU16" s="518"/>
      <c r="AV16" s="518"/>
      <c r="AW16" s="518"/>
      <c r="AX16" s="19"/>
      <c r="AY16" s="297"/>
      <c r="AZ16" s="297"/>
      <c r="BA16" s="297"/>
      <c r="BB16" s="297"/>
      <c r="BC16" s="297"/>
      <c r="BD16" s="297"/>
      <c r="BE16" s="297"/>
      <c r="BG16" s="547" t="str">
        <f ca="1">Horarios!Q15</f>
        <v>Czech Republic</v>
      </c>
      <c r="BH16" s="548">
        <f t="shared" ca="1" si="0"/>
        <v>1</v>
      </c>
      <c r="BI16" s="548">
        <f ca="1">COUNTIF(ADMIN!$M$130:$M$161,Fixture!BG16)-BJ16-BK16-BL16-BM16-BN16-BO16</f>
        <v>0</v>
      </c>
      <c r="BJ16" s="549">
        <f ca="1">COUNTIF(ADMIN!$M$182:$M$197,Fixture!BG16)-BK16-BL16-BM16-BN16-BO16</f>
        <v>0</v>
      </c>
      <c r="BK16" s="550">
        <f ca="1">COUNTIF(ADMIN!$M$210:$M$217,Fixture!BG16)-BL16-BM16-BN16-BO16</f>
        <v>0</v>
      </c>
      <c r="BL16" s="550">
        <f ca="1">COUNTIF(ADMIN!$M$226:$M$229,BG16)-BM16-BN16-BO16</f>
        <v>0</v>
      </c>
      <c r="BM16" s="548">
        <f ca="1">COUNTIF(ADMIN!$M$252,Fixture!BG16)</f>
        <v>0</v>
      </c>
      <c r="BN16" s="548">
        <f ca="1">COUNTIF(ADMIN!$M$251,Fixture!BG16)</f>
        <v>0</v>
      </c>
      <c r="BO16" s="551">
        <f ca="1">COUNTIF(ADMIN!$M$250,Fixture!BG16)</f>
        <v>0</v>
      </c>
    </row>
    <row r="17" spans="1:67">
      <c r="A17" s="19"/>
      <c r="B17" s="497"/>
      <c r="C17" s="581"/>
      <c r="D17" s="441"/>
      <c r="E17" s="441"/>
      <c r="F17" s="297"/>
      <c r="G17" s="297"/>
      <c r="H17" s="581"/>
      <c r="I17" s="297"/>
      <c r="J17" s="297"/>
      <c r="K17" s="297"/>
      <c r="L17" s="19"/>
      <c r="M17" s="19"/>
      <c r="N17" s="247"/>
      <c r="O17" s="581"/>
      <c r="P17" s="441"/>
      <c r="Q17" s="441"/>
      <c r="R17" s="297"/>
      <c r="S17" s="297"/>
      <c r="T17" s="581"/>
      <c r="U17" s="297"/>
      <c r="V17" s="297"/>
      <c r="W17" s="297"/>
      <c r="X17" s="19"/>
      <c r="Y17" s="19"/>
      <c r="Z17" s="510"/>
      <c r="AA17" s="554"/>
      <c r="AB17" s="554"/>
      <c r="AC17" s="555"/>
      <c r="AD17" s="19">
        <v>93</v>
      </c>
      <c r="AE17" s="541" t="str">
        <f ca="1">+MID(INDEX(WORLDCUP!$AF$101:$AF$147,MATCH(AD17,WORLDCUP!$Z$101:$Z$147,0)),1,3)</f>
        <v>Spa</v>
      </c>
      <c r="AF17" s="542">
        <f>+IF(ISBLANK(INDEX(WORLDCUP!$AD$101:$AD$147,MATCH(AD17,WORLDCUP!$Z$101:$Z$147,0))),"",INDEX(WORLDCUP!$AD$101:$AD$147,MATCH(AD17,WORLDCUP!$Z$101:$Z$147,0)))</f>
        <v>1</v>
      </c>
      <c r="AG17" s="600" t="str">
        <f>+IF(ISBLANK(INDEX(WORLDCUP!$AE$101:$AE$147,MATCH(AD17,WORLDCUP!$Z$101:$Z$147,0))),"","( "&amp;INDEX(WORLDCUP!$AE$101:$AE$147,MATCH(AD17,WORLDCUP!$Z$101:$Z$147,0))&amp;" )")</f>
        <v/>
      </c>
      <c r="AH17" s="19"/>
      <c r="AI17" s="544"/>
      <c r="AJ17" s="544"/>
      <c r="AK17" s="583"/>
      <c r="AL17" s="19"/>
      <c r="AM17" s="516"/>
      <c r="AN17" s="516"/>
      <c r="AO17" s="597"/>
      <c r="AP17" s="92"/>
      <c r="AQ17" s="545"/>
      <c r="AR17" s="545"/>
      <c r="AS17" s="545"/>
      <c r="AT17" s="19"/>
      <c r="AU17" s="518"/>
      <c r="AV17" s="518"/>
      <c r="AW17" s="518"/>
      <c r="AX17" s="19"/>
      <c r="AY17" s="297"/>
      <c r="AZ17" s="297"/>
      <c r="BA17" s="297"/>
      <c r="BB17" s="297"/>
      <c r="BC17" s="297"/>
      <c r="BD17" s="297"/>
      <c r="BE17" s="297"/>
      <c r="BG17" s="547" t="str">
        <f ca="1">Horarios!Q16</f>
        <v>DR Congo</v>
      </c>
      <c r="BH17" s="548">
        <f t="shared" ca="1" si="0"/>
        <v>0</v>
      </c>
      <c r="BI17" s="548">
        <f ca="1">COUNTIF(ADMIN!$M$130:$M$161,Fixture!BG17)-BJ17-BK17-BL17-BM17-BN17-BO17</f>
        <v>1</v>
      </c>
      <c r="BJ17" s="549">
        <f ca="1">COUNTIF(ADMIN!$M$182:$M$197,Fixture!BG17)-BK17-BL17-BM17-BN17-BO17</f>
        <v>0</v>
      </c>
      <c r="BK17" s="550">
        <f ca="1">COUNTIF(ADMIN!$M$210:$M$217,Fixture!BG17)-BL17-BM17-BN17-BO17</f>
        <v>0</v>
      </c>
      <c r="BL17" s="550">
        <f ca="1">COUNTIF(ADMIN!$M$226:$M$229,BG17)-BM17-BN17-BO17</f>
        <v>0</v>
      </c>
      <c r="BM17" s="548">
        <f ca="1">COUNTIF(ADMIN!$M$252,Fixture!BG17)</f>
        <v>0</v>
      </c>
      <c r="BN17" s="548">
        <f ca="1">COUNTIF(ADMIN!$M$251,Fixture!BG17)</f>
        <v>0</v>
      </c>
      <c r="BO17" s="551">
        <f ca="1">COUNTIF(ADMIN!$M$250,Fixture!BG17)</f>
        <v>0</v>
      </c>
    </row>
    <row r="18" spans="1:67" ht="15.75" thickBot="1">
      <c r="A18" s="19"/>
      <c r="B18" s="497"/>
      <c r="C18" s="581"/>
      <c r="D18" s="441"/>
      <c r="E18" s="441"/>
      <c r="F18" s="297"/>
      <c r="G18" s="297"/>
      <c r="H18" s="581"/>
      <c r="I18" s="297"/>
      <c r="J18" s="297"/>
      <c r="K18" s="297"/>
      <c r="L18" s="19"/>
      <c r="M18" s="19"/>
      <c r="N18" s="247"/>
      <c r="O18" s="581"/>
      <c r="P18" s="441"/>
      <c r="Q18" s="441"/>
      <c r="R18" s="297"/>
      <c r="S18" s="297"/>
      <c r="T18" s="581"/>
      <c r="U18" s="297"/>
      <c r="V18" s="297"/>
      <c r="W18" s="297"/>
      <c r="X18" s="19"/>
      <c r="Y18" s="19">
        <v>84</v>
      </c>
      <c r="Z18" s="510" t="s">
        <v>670</v>
      </c>
      <c r="AA18" s="511" t="str">
        <f ca="1">+MID(INDEX(WORLDCUP!$AA$101:$AA$147,MATCH(Y18,WORLDCUP!$Z$101:$Z$147,0)),1,3)</f>
        <v>Spa</v>
      </c>
      <c r="AB18" s="557">
        <f>+IF(ISBLANK(INDEX(WORLDCUP!$AC$101:$AC$147,MATCH(Y18,WORLDCUP!$Z$101:$Z$147,0))),"",INDEX(WORLDCUP!$AC$101:$AC$147,MATCH(Y18,WORLDCUP!$Z$101:$Z$147,0)))</f>
        <v>3</v>
      </c>
      <c r="AC18" s="591" t="str">
        <f>+IF(ISBLANK(INDEX(WORLDCUP!$AB$101:$AB$147,MATCH(Y18,WORLDCUP!$Z$101:$Z$147,0))),"","( "&amp;INDEX(WORLDCUP!$AB$101:$AB$147,MATCH(Y18,WORLDCUP!$Z$101:$Z$147,0))&amp;" )")</f>
        <v/>
      </c>
      <c r="AD18" s="19"/>
      <c r="AE18" s="559"/>
      <c r="AF18" s="559"/>
      <c r="AG18" s="560"/>
      <c r="AH18" s="19"/>
      <c r="AI18" s="544"/>
      <c r="AJ18" s="544"/>
      <c r="AK18" s="583"/>
      <c r="AL18" s="19"/>
      <c r="AM18" s="516"/>
      <c r="AN18" s="516"/>
      <c r="AO18" s="597"/>
      <c r="AP18" s="92"/>
      <c r="AQ18" s="545"/>
      <c r="AR18" s="545"/>
      <c r="AS18" s="545"/>
      <c r="AT18" s="19"/>
      <c r="AU18" s="518"/>
      <c r="AV18" s="518"/>
      <c r="AW18" s="518"/>
      <c r="AX18" s="601" t="str">
        <f>Idiomas!D8</f>
        <v>XXIII World Cup USA/MEX/CAN 2026</v>
      </c>
      <c r="AY18" s="601"/>
      <c r="AZ18" s="602"/>
      <c r="BA18" s="602"/>
      <c r="BB18" s="602"/>
      <c r="BC18" s="602"/>
      <c r="BD18" s="602"/>
      <c r="BE18" s="602"/>
      <c r="BG18" s="547" t="str">
        <f ca="1">Horarios!Q17</f>
        <v>Ecuador</v>
      </c>
      <c r="BH18" s="548">
        <f t="shared" ca="1" si="0"/>
        <v>0</v>
      </c>
      <c r="BI18" s="548">
        <f ca="1">COUNTIF(ADMIN!$M$130:$M$161,Fixture!BG18)-BJ18-BK18-BL18-BM18-BN18-BO18</f>
        <v>1</v>
      </c>
      <c r="BJ18" s="549">
        <f ca="1">COUNTIF(ADMIN!$M$182:$M$197,Fixture!BG18)-BK18-BL18-BM18-BN18-BO18</f>
        <v>0</v>
      </c>
      <c r="BK18" s="550">
        <f ca="1">COUNTIF(ADMIN!$M$210:$M$217,Fixture!BG18)-BL18-BM18-BN18-BO18</f>
        <v>0</v>
      </c>
      <c r="BL18" s="550">
        <f ca="1">COUNTIF(ADMIN!$M$226:$M$229,BG18)-BM18-BN18-BO18</f>
        <v>0</v>
      </c>
      <c r="BM18" s="548">
        <f ca="1">COUNTIF(ADMIN!$M$252,Fixture!BG18)</f>
        <v>0</v>
      </c>
      <c r="BN18" s="548">
        <f ca="1">COUNTIF(ADMIN!$M$251,Fixture!BG18)</f>
        <v>0</v>
      </c>
      <c r="BO18" s="551">
        <f ca="1">COUNTIF(ADMIN!$M$250,Fixture!BG18)</f>
        <v>0</v>
      </c>
    </row>
    <row r="19" spans="1:67" ht="15.75" thickBot="1">
      <c r="A19" s="19">
        <v>7</v>
      </c>
      <c r="B19" s="603" t="s">
        <v>2</v>
      </c>
      <c r="C19" s="502" t="str">
        <f ca="1">+MID(INDEX(WORLDCUP!$AA$4:$AA$147,MATCH(A19,WORLDCUP!$AH$4:$AH$147,0)),1,3)</f>
        <v>Bra</v>
      </c>
      <c r="D19" s="503">
        <f>IF(ISBLANK(INDEX(WORLDCUP!$AC$4:$AC$147,MATCH(A19,WORLDCUP!$AH$4:$AH$147,0))),"",INDEX(WORLDCUP!$AC$4:$AC$147,MATCH(A19,WORLDCUP!$AH$4:$AH$147,0)))</f>
        <v>1</v>
      </c>
      <c r="E19" s="503">
        <f>IF(ISBLANK(INDEX(WORLDCUP!$AD$4:$AD$147,MATCH(A19,WORLDCUP!$AH$4:$AH$147,0))),"",INDEX(WORLDCUP!$AD$4:$AD$147,MATCH(A19,WORLDCUP!$AH$4:$AH$147,0)))</f>
        <v>1</v>
      </c>
      <c r="F19" s="504" t="str">
        <f ca="1">+MID(INDEX(WORLDCUP!$AF$4:$AF$147,MATCH(A19,WORLDCUP!$AH$4:$AH$147,0)),1,3)</f>
        <v>Mor</v>
      </c>
      <c r="G19" s="505"/>
      <c r="H19" s="506" t="str">
        <f>+H11</f>
        <v>Nat</v>
      </c>
      <c r="I19" s="507" t="str">
        <f>+I11</f>
        <v>Pts</v>
      </c>
      <c r="J19" s="507" t="str">
        <f>+J11</f>
        <v>GD</v>
      </c>
      <c r="K19" s="508" t="str">
        <f>+K11</f>
        <v>F-A</v>
      </c>
      <c r="L19" s="19"/>
      <c r="M19" s="19">
        <v>17</v>
      </c>
      <c r="N19" s="604" t="s">
        <v>438</v>
      </c>
      <c r="O19" s="502" t="str">
        <f ca="1">+MID(INDEX(WORLDCUP!$AA$4:$AA$147,MATCH(M19,WORLDCUP!$AH$4:$AH$147,0)),1,3)</f>
        <v>Fra</v>
      </c>
      <c r="P19" s="503">
        <f>IF(ISBLANK(INDEX(WORLDCUP!$AC$4:$AC$147,MATCH(M19,WORLDCUP!$AH$4:$AH$147,0))),"",INDEX(WORLDCUP!$AC$4:$AC$147,MATCH(M19,WORLDCUP!$AH$4:$AH$147,0)))</f>
        <v>3</v>
      </c>
      <c r="Q19" s="503">
        <f>IF(ISBLANK(INDEX(WORLDCUP!$AD$4:$AD$147,MATCH(M19,WORLDCUP!$AH$4:$AH$147,0))),"",INDEX(WORLDCUP!$AD$4:$AD$147,MATCH(M19,WORLDCUP!$AH$4:$AH$147,0)))</f>
        <v>1</v>
      </c>
      <c r="R19" s="504" t="str">
        <f ca="1">+MID(INDEX(WORLDCUP!$AF$4:$AF$147,MATCH(M19,WORLDCUP!$AH$4:$AH$147,0)),1,3)</f>
        <v>Sen</v>
      </c>
      <c r="S19" s="505"/>
      <c r="T19" s="506" t="str">
        <f>+T11</f>
        <v>Nat</v>
      </c>
      <c r="U19" s="507" t="str">
        <f>+U11</f>
        <v>Pts</v>
      </c>
      <c r="V19" s="507" t="str">
        <f>+V11</f>
        <v>GD</v>
      </c>
      <c r="W19" s="508" t="str">
        <f>+W11</f>
        <v>F-A</v>
      </c>
      <c r="X19" s="19"/>
      <c r="Y19" s="19">
        <v>84</v>
      </c>
      <c r="Z19" s="510" t="s">
        <v>677</v>
      </c>
      <c r="AA19" s="565" t="str">
        <f ca="1">+MID(INDEX(WORLDCUP!$AF$101:$AF$147,MATCH(Y19,WORLDCUP!$Z$101:$Z$147,0)),1,3)</f>
        <v>Aus</v>
      </c>
      <c r="AB19" s="566">
        <f>+IF(ISBLANK(INDEX(WORLDCUP!$AD$101:$AD$147,MATCH(Y19,WORLDCUP!$Z$101:$Z$147,0))),"",INDEX(WORLDCUP!$AD$101:$AD$147,MATCH(Y19,WORLDCUP!$Z$101:$Z$147,0)))</f>
        <v>0</v>
      </c>
      <c r="AC19" s="592" t="str">
        <f>+IF(ISBLANK(INDEX(WORLDCUP!$AE$101:$AE$147,MATCH(Y19,WORLDCUP!$Z$101:$Z$147,0))),"","( "&amp;INDEX(WORLDCUP!$AE$101:$AE$147,MATCH(Y19,WORLDCUP!$Z$101:$Z$147,0))&amp;" )")</f>
        <v/>
      </c>
      <c r="AD19" s="19"/>
      <c r="AE19" s="559"/>
      <c r="AF19" s="559"/>
      <c r="AG19" s="560"/>
      <c r="AH19" s="584">
        <v>98</v>
      </c>
      <c r="AI19" s="568" t="str">
        <f ca="1">+MID(INDEX(WORLDCUP!$AA$101:$AA$147,MATCH(AH19,WORLDCUP!$Z$101:$Z$147,0)),1,3)</f>
        <v>Spa</v>
      </c>
      <c r="AJ19" s="569">
        <f>+IF(ISBLANK(INDEX(WORLDCUP!$AC$101:$AC$147,MATCH(AH19,WORLDCUP!$Z$101:$Z$147,0))),"",INDEX(WORLDCUP!$AC$101:$AC$147,MATCH(AH19,WORLDCUP!$Z$101:$Z$147,0)))</f>
        <v>2</v>
      </c>
      <c r="AK19" s="605" t="str">
        <f>+IF(ISBLANK(INDEX(WORLDCUP!$AB$101:$AB$147,MATCH(AH19,WORLDCUP!$Z$101:$Z$147,0))),"","( "&amp;INDEX(WORLDCUP!$AB$101:$AB$147,MATCH(AH19,WORLDCUP!$Z$101:$Z$147,0))&amp;" )")</f>
        <v/>
      </c>
      <c r="AL19" s="19"/>
      <c r="AM19" s="516"/>
      <c r="AN19" s="516"/>
      <c r="AO19" s="597"/>
      <c r="AP19" s="92"/>
      <c r="AQ19" s="545"/>
      <c r="AR19" s="545"/>
      <c r="AS19" s="545"/>
      <c r="AT19" s="19"/>
      <c r="AU19" s="518"/>
      <c r="AV19" s="518"/>
      <c r="AW19" s="518"/>
      <c r="AX19" s="19"/>
      <c r="AY19" s="297"/>
      <c r="AZ19" s="297"/>
      <c r="BA19" s="297"/>
      <c r="BB19" s="297"/>
      <c r="BC19" s="297"/>
      <c r="BD19" s="297"/>
      <c r="BE19" s="297"/>
      <c r="BG19" s="547" t="str">
        <f ca="1">Horarios!Q18</f>
        <v>Egypt</v>
      </c>
      <c r="BH19" s="548">
        <f t="shared" ca="1" si="0"/>
        <v>0</v>
      </c>
      <c r="BI19" s="548">
        <f ca="1">COUNTIF(ADMIN!$M$130:$M$161,Fixture!BG19)-BJ19-BK19-BL19-BM19-BN19-BO19</f>
        <v>0</v>
      </c>
      <c r="BJ19" s="549">
        <f ca="1">COUNTIF(ADMIN!$M$182:$M$197,Fixture!BG19)-BK19-BL19-BM19-BN19-BO19</f>
        <v>1</v>
      </c>
      <c r="BK19" s="550">
        <f ca="1">COUNTIF(ADMIN!$M$210:$M$217,Fixture!BG19)-BL19-BM19-BN19-BO19</f>
        <v>0</v>
      </c>
      <c r="BL19" s="550">
        <f ca="1">COUNTIF(ADMIN!$M$226:$M$229,BG19)-BM19-BN19-BO19</f>
        <v>0</v>
      </c>
      <c r="BM19" s="548">
        <f ca="1">COUNTIF(ADMIN!$M$252,Fixture!BG19)</f>
        <v>0</v>
      </c>
      <c r="BN19" s="548">
        <f ca="1">COUNTIF(ADMIN!$M$251,Fixture!BG19)</f>
        <v>0</v>
      </c>
      <c r="BO19" s="551">
        <f ca="1">COUNTIF(ADMIN!$M$250,Fixture!BG19)</f>
        <v>0</v>
      </c>
    </row>
    <row r="20" spans="1:67">
      <c r="A20" s="19">
        <v>5</v>
      </c>
      <c r="B20" s="606"/>
      <c r="C20" s="529" t="str">
        <f ca="1">+MID(INDEX(WORLDCUP!$AA$4:$AA$147,MATCH(A20,WORLDCUP!$AH$4:$AH$147,0)),1,3)</f>
        <v>Hai</v>
      </c>
      <c r="D20" s="530">
        <f>IF(ISBLANK(INDEX(WORLDCUP!$AC$4:$AC$147,MATCH(A20,WORLDCUP!$AH$4:$AH$147,0))),"",INDEX(WORLDCUP!$AC$4:$AC$147,MATCH(A20,WORLDCUP!$AH$4:$AH$147,0)))</f>
        <v>0</v>
      </c>
      <c r="E20" s="530">
        <f>IF(ISBLANK(INDEX(WORLDCUP!$AD$4:$AD$147,MATCH(A20,WORLDCUP!$AH$4:$AH$147,0))),"",INDEX(WORLDCUP!$AD$4:$AD$147,MATCH(A20,WORLDCUP!$AH$4:$AH$147,0)))</f>
        <v>1</v>
      </c>
      <c r="F20" s="531" t="str">
        <f ca="1">+MID(INDEX(WORLDCUP!$AF$4:$AF$147,MATCH(A20,WORLDCUP!$AH$4:$AH$147,0)),1,3)</f>
        <v>Sco</v>
      </c>
      <c r="G20" s="532">
        <v>1</v>
      </c>
      <c r="H20" s="533" t="str">
        <f ca="1">+MID(INDEX(WORLDCUP!$AL$6:$AL$97,MATCH(L20,WORLDCUP!$AI$6:$AI$97,0)),1,3)</f>
        <v>Bra</v>
      </c>
      <c r="I20" s="534">
        <f ca="1">+INDEX(WORLDCUP!$AM$6:$AM$97,MATCH(L20,WORLDCUP!$AI$6:$AI$97,0))</f>
        <v>7</v>
      </c>
      <c r="J20" s="535">
        <f ca="1">+INDEX(WORLDCUP!$AT$6:$AT$97,MATCH(L20,WORLDCUP!$AI$6:$AI$97,0))</f>
        <v>6</v>
      </c>
      <c r="K20" s="536" t="str">
        <f ca="1">+INDEX(WORLDCUP!$AR$6:$AR$97,MATCH(L20,WORLDCUP!$AI$6:$AI$97,0))&amp;"-"&amp;INDEX(WORLDCUP!$AS$6:$AS$97,MATCH(L20,WORLDCUP!$AI$6:$AI$97,0))</f>
        <v>7-1</v>
      </c>
      <c r="L20" s="19" t="s">
        <v>651</v>
      </c>
      <c r="M20" s="19">
        <v>18</v>
      </c>
      <c r="N20" s="607"/>
      <c r="O20" s="529" t="str">
        <f ca="1">+MID(INDEX(WORLDCUP!$AA$4:$AA$147,MATCH(M20,WORLDCUP!$AH$4:$AH$147,0)),1,3)</f>
        <v>Ira</v>
      </c>
      <c r="P20" s="530">
        <f>IF(ISBLANK(INDEX(WORLDCUP!$AC$4:$AC$147,MATCH(M20,WORLDCUP!$AH$4:$AH$147,0))),"",INDEX(WORLDCUP!$AC$4:$AC$147,MATCH(M20,WORLDCUP!$AH$4:$AH$147,0)))</f>
        <v>1</v>
      </c>
      <c r="Q20" s="530">
        <f>IF(ISBLANK(INDEX(WORLDCUP!$AD$4:$AD$147,MATCH(M20,WORLDCUP!$AH$4:$AH$147,0))),"",INDEX(WORLDCUP!$AD$4:$AD$147,MATCH(M20,WORLDCUP!$AH$4:$AH$147,0)))</f>
        <v>4</v>
      </c>
      <c r="R20" s="531" t="str">
        <f ca="1">+MID(INDEX(WORLDCUP!$AF$4:$AF$147,MATCH(M20,WORLDCUP!$AH$4:$AH$147,0)),1,3)</f>
        <v>Nor</v>
      </c>
      <c r="S20" s="532">
        <v>1</v>
      </c>
      <c r="T20" s="533" t="str">
        <f ca="1">+MID(INDEX(WORLDCUP!$AL$6:$AL$97,MATCH(X20,WORLDCUP!$AI$6:$AI$97,0)),1,3)</f>
        <v>Fra</v>
      </c>
      <c r="U20" s="534">
        <f ca="1">+INDEX(WORLDCUP!$AM$6:$AM$97,MATCH(X20,WORLDCUP!$AI$6:$AI$97,0))</f>
        <v>9</v>
      </c>
      <c r="V20" s="535">
        <f ca="1">+INDEX(WORLDCUP!$AT$6:$AT$97,MATCH(X20,WORLDCUP!$AI$6:$AI$97,0))</f>
        <v>8</v>
      </c>
      <c r="W20" s="536" t="str">
        <f ca="1">+INDEX(WORLDCUP!$AR$6:$AR$97,MATCH(X20,WORLDCUP!$AI$6:$AI$97,0))&amp;"-"&amp;INDEX(WORLDCUP!$AS$6:$AS$97,MATCH(X20,WORLDCUP!$AI$6:$AI$97,0))</f>
        <v>10-2</v>
      </c>
      <c r="X20" s="19" t="s">
        <v>673</v>
      </c>
      <c r="Y20" s="19"/>
      <c r="Z20" s="510"/>
      <c r="AA20" s="579"/>
      <c r="AB20" s="579"/>
      <c r="AC20" s="579"/>
      <c r="AD20" s="19"/>
      <c r="AE20" s="514"/>
      <c r="AF20" s="514"/>
      <c r="AG20" s="560"/>
      <c r="AH20" s="19">
        <v>98</v>
      </c>
      <c r="AI20" s="568" t="str">
        <f ca="1">+MID(INDEX(WORLDCUP!$AF$101:$AF$147,MATCH(AH20,WORLDCUP!$Z$101:$Z$147,0)),1,3)</f>
        <v>Bel</v>
      </c>
      <c r="AJ20" s="569">
        <f>+IF(ISBLANK(INDEX(WORLDCUP!$AD$101:$AD$147,MATCH(AH20,WORLDCUP!$Z$101:$Z$147,0))),"",INDEX(WORLDCUP!$AD$101:$AD$147,MATCH(AH20,WORLDCUP!$Z$101:$Z$147,0)))</f>
        <v>1</v>
      </c>
      <c r="AK20" s="544" t="str">
        <f>+IF(ISBLANK(INDEX(WORLDCUP!$AE$101:$AE$147,MATCH(AH20,WORLDCUP!$Z$101:$Z$147,0))),"","( "&amp;INDEX(WORLDCUP!$AE$101:$AE$147,MATCH(AH20,WORLDCUP!$Z$101:$Z$147,0))&amp;" )")</f>
        <v/>
      </c>
      <c r="AL20" s="19"/>
      <c r="AM20" s="516"/>
      <c r="AN20" s="516"/>
      <c r="AO20" s="597"/>
      <c r="AP20" s="19"/>
      <c r="AQ20" s="545"/>
      <c r="AR20" s="545"/>
      <c r="AS20" s="545"/>
      <c r="AT20" s="19"/>
      <c r="AU20" s="608"/>
      <c r="AV20" s="609"/>
      <c r="AW20" s="518"/>
      <c r="AX20" s="19"/>
      <c r="AY20" s="610"/>
      <c r="AZ20" s="611"/>
      <c r="BA20" s="611"/>
      <c r="BB20" s="611"/>
      <c r="BC20" s="612"/>
      <c r="BD20" s="297"/>
      <c r="BE20" s="297"/>
      <c r="BG20" s="547" t="str">
        <f ca="1">Horarios!Q19</f>
        <v>England</v>
      </c>
      <c r="BH20" s="548">
        <f t="shared" ca="1" si="0"/>
        <v>0</v>
      </c>
      <c r="BI20" s="548">
        <f ca="1">COUNTIF(ADMIN!$M$130:$M$161,Fixture!BG20)-BJ20-BK20-BL20-BM20-BN20-BO20</f>
        <v>0</v>
      </c>
      <c r="BJ20" s="549">
        <f ca="1">COUNTIF(ADMIN!$M$182:$M$197,Fixture!BG20)-BK20-BL20-BM20-BN20-BO20</f>
        <v>0</v>
      </c>
      <c r="BK20" s="550">
        <f ca="1">COUNTIF(ADMIN!$M$210:$M$217,Fixture!BG20)-BL20-BM20-BN20-BO20</f>
        <v>0</v>
      </c>
      <c r="BL20" s="550">
        <f ca="1">COUNTIF(ADMIN!$M$226:$M$229,BG20)-BM20-BN20-BO20</f>
        <v>0</v>
      </c>
      <c r="BM20" s="548">
        <f ca="1">COUNTIF(ADMIN!$M$252,Fixture!BG20)</f>
        <v>1</v>
      </c>
      <c r="BN20" s="548">
        <f ca="1">COUNTIF(ADMIN!$M$251,Fixture!BG20)</f>
        <v>0</v>
      </c>
      <c r="BO20" s="551">
        <f ca="1">COUNTIF(ADMIN!$M$250,Fixture!BG20)</f>
        <v>0</v>
      </c>
    </row>
    <row r="21" spans="1:67" ht="15.75" thickBot="1">
      <c r="A21" s="19">
        <v>30</v>
      </c>
      <c r="B21" s="606"/>
      <c r="C21" s="529" t="str">
        <f ca="1">+MID(INDEX(WORLDCUP!$AA$4:$AA$147,MATCH(A21,WORLDCUP!$AH$4:$AH$147,0)),1,3)</f>
        <v>Sco</v>
      </c>
      <c r="D21" s="530">
        <f>IF(ISBLANK(INDEX(WORLDCUP!$AC$4:$AC$147,MATCH(A21,WORLDCUP!$AH$4:$AH$147,0))),"",INDEX(WORLDCUP!$AC$4:$AC$147,MATCH(A21,WORLDCUP!$AH$4:$AH$147,0)))</f>
        <v>0</v>
      </c>
      <c r="E21" s="530">
        <f>IF(ISBLANK(INDEX(WORLDCUP!$AD$4:$AD$147,MATCH(A21,WORLDCUP!$AH$4:$AH$147,0))),"",INDEX(WORLDCUP!$AD$4:$AD$147,MATCH(A21,WORLDCUP!$AH$4:$AH$147,0)))</f>
        <v>1</v>
      </c>
      <c r="F21" s="531" t="str">
        <f ca="1">+MID(INDEX(WORLDCUP!$AF$4:$AF$147,MATCH(A21,WORLDCUP!$AH$4:$AH$147,0)),1,3)</f>
        <v>Mor</v>
      </c>
      <c r="G21" s="552">
        <v>2</v>
      </c>
      <c r="H21" s="553" t="str">
        <f ca="1">+MID(INDEX(WORLDCUP!$AL$6:$AL$97,MATCH(L21,WORLDCUP!$AI$6:$AI$97,0)),1,3)</f>
        <v>Mor</v>
      </c>
      <c r="I21" s="223">
        <f ca="1">+INDEX(WORLDCUP!$AM$6:$AM$97,MATCH(L21,WORLDCUP!$AI$6:$AI$97,0))</f>
        <v>7</v>
      </c>
      <c r="J21" s="224">
        <f ca="1">+INDEX(WORLDCUP!$AT$6:$AT$97,MATCH(L21,WORLDCUP!$AI$6:$AI$97,0))</f>
        <v>3</v>
      </c>
      <c r="K21" s="225" t="str">
        <f ca="1">+INDEX(WORLDCUP!$AR$6:$AR$97,MATCH(L21,WORLDCUP!$AI$6:$AI$97,0))&amp;"-"&amp;INDEX(WORLDCUP!$AS$6:$AS$97,MATCH(L21,WORLDCUP!$AI$6:$AI$97,0))</f>
        <v>6-3</v>
      </c>
      <c r="L21" s="19" t="s">
        <v>656</v>
      </c>
      <c r="M21" s="19">
        <v>42</v>
      </c>
      <c r="N21" s="607"/>
      <c r="O21" s="529" t="str">
        <f ca="1">+MID(INDEX(WORLDCUP!$AA$4:$AA$147,MATCH(M21,WORLDCUP!$AH$4:$AH$147,0)),1,3)</f>
        <v>Fra</v>
      </c>
      <c r="P21" s="530">
        <f>IF(ISBLANK(INDEX(WORLDCUP!$AC$4:$AC$147,MATCH(M21,WORLDCUP!$AH$4:$AH$147,0))),"",INDEX(WORLDCUP!$AC$4:$AC$147,MATCH(M21,WORLDCUP!$AH$4:$AH$147,0)))</f>
        <v>3</v>
      </c>
      <c r="Q21" s="530">
        <f>IF(ISBLANK(INDEX(WORLDCUP!$AD$4:$AD$147,MATCH(M21,WORLDCUP!$AH$4:$AH$147,0))),"",INDEX(WORLDCUP!$AD$4:$AD$147,MATCH(M21,WORLDCUP!$AH$4:$AH$147,0)))</f>
        <v>0</v>
      </c>
      <c r="R21" s="531" t="str">
        <f ca="1">+MID(INDEX(WORLDCUP!$AF$4:$AF$147,MATCH(M21,WORLDCUP!$AH$4:$AH$147,0)),1,3)</f>
        <v>Ira</v>
      </c>
      <c r="S21" s="552">
        <v>2</v>
      </c>
      <c r="T21" s="553" t="str">
        <f ca="1">+MID(INDEX(WORLDCUP!$AL$6:$AL$97,MATCH(X21,WORLDCUP!$AI$6:$AI$97,0)),1,3)</f>
        <v>Nor</v>
      </c>
      <c r="U21" s="223">
        <f ca="1">+INDEX(WORLDCUP!$AM$6:$AM$97,MATCH(X21,WORLDCUP!$AI$6:$AI$97,0))</f>
        <v>6</v>
      </c>
      <c r="V21" s="224">
        <f ca="1">+INDEX(WORLDCUP!$AT$6:$AT$97,MATCH(X21,WORLDCUP!$AI$6:$AI$97,0))</f>
        <v>1</v>
      </c>
      <c r="W21" s="225" t="str">
        <f ca="1">+INDEX(WORLDCUP!$AR$6:$AR$97,MATCH(X21,WORLDCUP!$AI$6:$AI$97,0))&amp;"-"&amp;INDEX(WORLDCUP!$AS$6:$AS$97,MATCH(X21,WORLDCUP!$AI$6:$AI$97,0))</f>
        <v>8-7</v>
      </c>
      <c r="X21" s="19" t="s">
        <v>674</v>
      </c>
      <c r="Y21" s="19">
        <v>81</v>
      </c>
      <c r="Z21" s="510" t="s">
        <v>658</v>
      </c>
      <c r="AA21" s="511" t="str">
        <f ca="1">+MID(INDEX(WORLDCUP!$AA$101:$AA$147,MATCH(Y21,WORLDCUP!$Z$101:$Z$147,0)),1,3)</f>
        <v>Uni</v>
      </c>
      <c r="AB21" s="512">
        <f>+IF(ISBLANK(INDEX(WORLDCUP!$AC$101:$AC$147,MATCH(Y21,WORLDCUP!$Z$101:$Z$147,0))),"",INDEX(WORLDCUP!$AC$101:$AC$147,MATCH(Y21,WORLDCUP!$Z$101:$Z$147,0)))</f>
        <v>2</v>
      </c>
      <c r="AC21" s="582" t="str">
        <f>+IF(ISBLANK(INDEX(WORLDCUP!$AB$101:$AB$147,MATCH(Y21,WORLDCUP!$Z$101:$Z$147,0))),"","( "&amp;INDEX(WORLDCUP!$AB$101:$AB$147,MATCH(Y21,WORLDCUP!$Z$101:$Z$147,0))&amp;" )")</f>
        <v/>
      </c>
      <c r="AD21" s="18"/>
      <c r="AE21" s="514"/>
      <c r="AF21" s="514"/>
      <c r="AG21" s="560"/>
      <c r="AH21" s="19"/>
      <c r="AI21" s="544"/>
      <c r="AJ21" s="544"/>
      <c r="AK21" s="544"/>
      <c r="AL21" s="19"/>
      <c r="AM21" s="516"/>
      <c r="AN21" s="516"/>
      <c r="AO21" s="597"/>
      <c r="AP21" s="19"/>
      <c r="AQ21" s="545"/>
      <c r="AR21" s="545"/>
      <c r="AS21" s="545"/>
      <c r="AT21" s="19"/>
      <c r="AU21" s="608"/>
      <c r="AV21" s="609"/>
      <c r="AW21" s="518"/>
      <c r="AX21" s="19"/>
      <c r="AY21" s="613"/>
      <c r="AZ21" s="614"/>
      <c r="BA21" s="614" t="str">
        <f ca="1">WORLDCUP!AA150</f>
        <v>Spain</v>
      </c>
      <c r="BB21" s="614"/>
      <c r="BC21" s="615"/>
      <c r="BD21" s="297"/>
      <c r="BE21" s="297"/>
      <c r="BG21" s="547" t="str">
        <f ca="1">Horarios!Q20</f>
        <v>France</v>
      </c>
      <c r="BH21" s="548">
        <f t="shared" ca="1" si="0"/>
        <v>0</v>
      </c>
      <c r="BI21" s="548">
        <f ca="1">COUNTIF(ADMIN!$M$130:$M$161,Fixture!BG21)-BJ21-BK21-BL21-BM21-BN21-BO21</f>
        <v>0</v>
      </c>
      <c r="BJ21" s="549">
        <f ca="1">COUNTIF(ADMIN!$M$182:$M$197,Fixture!BG21)-BK21-BL21-BM21-BN21-BO21</f>
        <v>0</v>
      </c>
      <c r="BK21" s="550">
        <f ca="1">COUNTIF(ADMIN!$M$210:$M$217,Fixture!BG21)-BL21-BM21-BN21-BO21</f>
        <v>0</v>
      </c>
      <c r="BL21" s="550">
        <f ca="1">COUNTIF(ADMIN!$M$226:$M$229,BG21)-BM21-BN21-BO21</f>
        <v>1</v>
      </c>
      <c r="BM21" s="548">
        <f ca="1">COUNTIF(ADMIN!$M$252,Fixture!BG21)</f>
        <v>0</v>
      </c>
      <c r="BN21" s="548">
        <f ca="1">COUNTIF(ADMIN!$M$251,Fixture!BG21)</f>
        <v>0</v>
      </c>
      <c r="BO21" s="551">
        <f ca="1">COUNTIF(ADMIN!$M$250,Fixture!BG21)</f>
        <v>0</v>
      </c>
    </row>
    <row r="22" spans="1:67" ht="15.75" thickBot="1">
      <c r="A22" s="19">
        <v>29</v>
      </c>
      <c r="B22" s="606"/>
      <c r="C22" s="529" t="str">
        <f ca="1">+MID(INDEX(WORLDCUP!$AA$4:$AA$147,MATCH(A22,WORLDCUP!$AH$4:$AH$147,0)),1,3)</f>
        <v>Bra</v>
      </c>
      <c r="D22" s="530">
        <f>IF(ISBLANK(INDEX(WORLDCUP!$AC$4:$AC$147,MATCH(A22,WORLDCUP!$AH$4:$AH$147,0))),"",INDEX(WORLDCUP!$AC$4:$AC$147,MATCH(A22,WORLDCUP!$AH$4:$AH$147,0)))</f>
        <v>3</v>
      </c>
      <c r="E22" s="530">
        <f>IF(ISBLANK(INDEX(WORLDCUP!$AD$4:$AD$147,MATCH(A22,WORLDCUP!$AH$4:$AH$147,0))),"",INDEX(WORLDCUP!$AD$4:$AD$147,MATCH(A22,WORLDCUP!$AH$4:$AH$147,0)))</f>
        <v>0</v>
      </c>
      <c r="F22" s="531" t="str">
        <f ca="1">+MID(INDEX(WORLDCUP!$AF$4:$AF$147,MATCH(A22,WORLDCUP!$AH$4:$AH$147,0)),1,3)</f>
        <v>Hai</v>
      </c>
      <c r="G22" s="552">
        <v>3</v>
      </c>
      <c r="H22" s="553" t="str">
        <f ca="1">+MID(INDEX(WORLDCUP!$AL$6:$AL$97,MATCH(L22,WORLDCUP!$AI$6:$AI$97,0)),1,3)</f>
        <v>Sco</v>
      </c>
      <c r="I22" s="223">
        <f ca="1">+INDEX(WORLDCUP!$AM$6:$AM$97,MATCH(L22,WORLDCUP!$AI$6:$AI$97,0))</f>
        <v>3</v>
      </c>
      <c r="J22" s="224">
        <f ca="1">+INDEX(WORLDCUP!$AT$6:$AT$97,MATCH(L22,WORLDCUP!$AI$6:$AI$97,0))</f>
        <v>-3</v>
      </c>
      <c r="K22" s="225" t="str">
        <f ca="1">+INDEX(WORLDCUP!$AR$6:$AR$97,MATCH(L22,WORLDCUP!$AI$6:$AI$97,0))&amp;"-"&amp;INDEX(WORLDCUP!$AS$6:$AS$97,MATCH(L22,WORLDCUP!$AI$6:$AI$97,0))</f>
        <v>1-4</v>
      </c>
      <c r="L22" s="19" t="s">
        <v>91</v>
      </c>
      <c r="M22" s="19">
        <v>41</v>
      </c>
      <c r="N22" s="607"/>
      <c r="O22" s="529" t="str">
        <f ca="1">+MID(INDEX(WORLDCUP!$AA$4:$AA$147,MATCH(M22,WORLDCUP!$AH$4:$AH$147,0)),1,3)</f>
        <v>Nor</v>
      </c>
      <c r="P22" s="530">
        <f>IF(ISBLANK(INDEX(WORLDCUP!$AC$4:$AC$147,MATCH(M22,WORLDCUP!$AH$4:$AH$147,0))),"",INDEX(WORLDCUP!$AC$4:$AC$147,MATCH(M22,WORLDCUP!$AH$4:$AH$147,0)))</f>
        <v>3</v>
      </c>
      <c r="Q22" s="530">
        <f>IF(ISBLANK(INDEX(WORLDCUP!$AD$4:$AD$147,MATCH(M22,WORLDCUP!$AH$4:$AH$147,0))),"",INDEX(WORLDCUP!$AD$4:$AD$147,MATCH(M22,WORLDCUP!$AH$4:$AH$147,0)))</f>
        <v>2</v>
      </c>
      <c r="R22" s="531" t="str">
        <f ca="1">+MID(INDEX(WORLDCUP!$AF$4:$AF$147,MATCH(M22,WORLDCUP!$AH$4:$AH$147,0)),1,3)</f>
        <v>Sen</v>
      </c>
      <c r="S22" s="552">
        <v>3</v>
      </c>
      <c r="T22" s="553" t="str">
        <f ca="1">+MID(INDEX(WORLDCUP!$AL$6:$AL$97,MATCH(X22,WORLDCUP!$AI$6:$AI$97,0)),1,3)</f>
        <v>Sen</v>
      </c>
      <c r="U22" s="223">
        <f ca="1">+INDEX(WORLDCUP!$AM$6:$AM$97,MATCH(X22,WORLDCUP!$AI$6:$AI$97,0))</f>
        <v>3</v>
      </c>
      <c r="V22" s="224">
        <f ca="1">+INDEX(WORLDCUP!$AT$6:$AT$97,MATCH(X22,WORLDCUP!$AI$6:$AI$97,0))</f>
        <v>2</v>
      </c>
      <c r="W22" s="225" t="str">
        <f ca="1">+INDEX(WORLDCUP!$AR$6:$AR$97,MATCH(X22,WORLDCUP!$AI$6:$AI$97,0))&amp;"-"&amp;INDEX(WORLDCUP!$AS$6:$AS$97,MATCH(X22,WORLDCUP!$AI$6:$AI$97,0))</f>
        <v>8-6</v>
      </c>
      <c r="X22" s="19" t="s">
        <v>440</v>
      </c>
      <c r="Y22" s="19">
        <v>81</v>
      </c>
      <c r="Z22" s="510" t="s">
        <v>726</v>
      </c>
      <c r="AA22" s="511" t="str">
        <f ca="1">+MID(INDEX(WORLDCUP!$AF$101:$AF$147,MATCH(Y22,WORLDCUP!$Z$101:$Z$147,0)),1,IF(WORLDCUP!$H$113&lt;144,6,3))</f>
        <v>Bos</v>
      </c>
      <c r="AB22" s="538">
        <f>+IF(ISBLANK(INDEX(WORLDCUP!$AD$101:$AD$147,MATCH(Y22,WORLDCUP!$Z$101:$Z$147,0))),"",INDEX(WORLDCUP!$AD$101:$AD$147,MATCH(Y22,WORLDCUP!$Z$101:$Z$147,0)))</f>
        <v>0</v>
      </c>
      <c r="AC22" s="539" t="str">
        <f>+IF(ISBLANK(INDEX(WORLDCUP!$AE$101:$AE$147,MATCH(Y22,WORLDCUP!$Z$101:$Z$147,0))),"","( "&amp;INDEX(WORLDCUP!$AE$101:$AE$147,MATCH(Y22,WORLDCUP!$Z$101:$Z$147,0))&amp;" )")</f>
        <v/>
      </c>
      <c r="AD22" s="540">
        <v>94</v>
      </c>
      <c r="AE22" s="541" t="str">
        <f ca="1">+MID(INDEX(WORLDCUP!$AA$101:$AA$147,MATCH(AD22,WORLDCUP!$Z$101:$Z$147,0)),1,3)</f>
        <v>Uni</v>
      </c>
      <c r="AF22" s="542">
        <f>+IF(ISBLANK(INDEX(WORLDCUP!$AC$101:$AC$147,MATCH(AD22,WORLDCUP!$Z$101:$Z$147,0))),"",INDEX(WORLDCUP!$AC$101:$AC$147,MATCH(AD22,WORLDCUP!$Z$101:$Z$147,0)))</f>
        <v>1</v>
      </c>
      <c r="AG22" s="585" t="str">
        <f>+IF(ISBLANK(INDEX(WORLDCUP!$AB$101:$AB$147,MATCH(AD22,WORLDCUP!$Z$101:$Z$147,0))),"","( "&amp;INDEX(WORLDCUP!$AB$101:$AB$147,MATCH(AD22,WORLDCUP!$Z$101:$Z$147,0))&amp;" )")</f>
        <v/>
      </c>
      <c r="AH22" s="19"/>
      <c r="AI22" s="544"/>
      <c r="AJ22" s="544"/>
      <c r="AK22" s="544"/>
      <c r="AL22" s="19"/>
      <c r="AM22" s="516"/>
      <c r="AN22" s="516"/>
      <c r="AO22" s="597"/>
      <c r="AP22" s="19"/>
      <c r="AQ22" s="545"/>
      <c r="AR22" s="545"/>
      <c r="AS22" s="545"/>
      <c r="AT22" s="19"/>
      <c r="AU22" s="608"/>
      <c r="AV22" s="609"/>
      <c r="AW22" s="518"/>
      <c r="AX22" s="19"/>
      <c r="AY22" s="613"/>
      <c r="AZ22" s="614"/>
      <c r="BA22" s="616"/>
      <c r="BB22" s="614"/>
      <c r="BC22" s="615"/>
      <c r="BD22" s="297"/>
      <c r="BE22" s="297"/>
      <c r="BG22" s="547" t="str">
        <f ca="1">Horarios!Q21</f>
        <v>Germany</v>
      </c>
      <c r="BH22" s="548">
        <f t="shared" ca="1" si="0"/>
        <v>0</v>
      </c>
      <c r="BI22" s="548">
        <f ca="1">COUNTIF(ADMIN!$M$130:$M$161,Fixture!BG22)-BJ22-BK22-BL22-BM22-BN22-BO22</f>
        <v>1</v>
      </c>
      <c r="BJ22" s="549">
        <f ca="1">COUNTIF(ADMIN!$M$182:$M$197,Fixture!BG22)-BK22-BL22-BM22-BN22-BO22</f>
        <v>0</v>
      </c>
      <c r="BK22" s="550">
        <f ca="1">COUNTIF(ADMIN!$M$210:$M$217,Fixture!BG22)-BL22-BM22-BN22-BO22</f>
        <v>0</v>
      </c>
      <c r="BL22" s="550">
        <f ca="1">COUNTIF(ADMIN!$M$226:$M$229,BG22)-BM22-BN22-BO22</f>
        <v>0</v>
      </c>
      <c r="BM22" s="548">
        <f ca="1">COUNTIF(ADMIN!$M$252,Fixture!BG22)</f>
        <v>0</v>
      </c>
      <c r="BN22" s="548">
        <f ca="1">COUNTIF(ADMIN!$M$251,Fixture!BG22)</f>
        <v>0</v>
      </c>
      <c r="BO22" s="551">
        <f ca="1">COUNTIF(ADMIN!$M$250,Fixture!BG22)</f>
        <v>0</v>
      </c>
    </row>
    <row r="23" spans="1:67">
      <c r="A23" s="19">
        <v>49</v>
      </c>
      <c r="B23" s="606"/>
      <c r="C23" s="529" t="str">
        <f ca="1">+MID(INDEX(WORLDCUP!$AA$4:$AA$147,MATCH(A23,WORLDCUP!$AH$4:$AH$147,0)),1,3)</f>
        <v>Sco</v>
      </c>
      <c r="D23" s="530">
        <f>IF(ISBLANK(INDEX(WORLDCUP!$AC$4:$AC$147,MATCH(A23,WORLDCUP!$AH$4:$AH$147,0))),"",INDEX(WORLDCUP!$AC$4:$AC$147,MATCH(A23,WORLDCUP!$AH$4:$AH$147,0)))</f>
        <v>0</v>
      </c>
      <c r="E23" s="530">
        <f>IF(ISBLANK(INDEX(WORLDCUP!$AD$4:$AD$147,MATCH(A23,WORLDCUP!$AH$4:$AH$147,0))),"",INDEX(WORLDCUP!$AD$4:$AD$147,MATCH(A23,WORLDCUP!$AH$4:$AH$147,0)))</f>
        <v>3</v>
      </c>
      <c r="F23" s="531" t="str">
        <f ca="1">+MID(INDEX(WORLDCUP!$AF$4:$AF$147,MATCH(A23,WORLDCUP!$AH$4:$AH$147,0)),1,3)</f>
        <v>Bra</v>
      </c>
      <c r="G23" s="552">
        <v>4</v>
      </c>
      <c r="H23" s="561" t="str">
        <f ca="1">+MID(INDEX(WORLDCUP!$AL$6:$AL$97,MATCH(L23,WORLDCUP!$AI$6:$AI$97,0)),1,3)</f>
        <v>Hai</v>
      </c>
      <c r="I23" s="562">
        <f ca="1">+INDEX(WORLDCUP!$AM$6:$AM$97,MATCH(L23,WORLDCUP!$AI$6:$AI$97,0))</f>
        <v>0</v>
      </c>
      <c r="J23" s="563">
        <f ca="1">+INDEX(WORLDCUP!$AT$6:$AT$97,MATCH(L23,WORLDCUP!$AI$6:$AI$97,0))</f>
        <v>-6</v>
      </c>
      <c r="K23" s="564" t="str">
        <f ca="1">+INDEX(WORLDCUP!$AR$6:$AR$97,MATCH(L23,WORLDCUP!$AI$6:$AI$97,0))&amp;"-"&amp;INDEX(WORLDCUP!$AS$6:$AS$97,MATCH(L23,WORLDCUP!$AI$6:$AI$97,0))</f>
        <v>2-8</v>
      </c>
      <c r="L23" s="19" t="s">
        <v>657</v>
      </c>
      <c r="M23" s="19">
        <v>61</v>
      </c>
      <c r="N23" s="607"/>
      <c r="O23" s="529" t="str">
        <f ca="1">+MID(INDEX(WORLDCUP!$AA$4:$AA$147,MATCH(M23,WORLDCUP!$AH$4:$AH$147,0)),1,3)</f>
        <v>Nor</v>
      </c>
      <c r="P23" s="530">
        <f>IF(ISBLANK(INDEX(WORLDCUP!$AC$4:$AC$147,MATCH(M23,WORLDCUP!$AH$4:$AH$147,0))),"",INDEX(WORLDCUP!$AC$4:$AC$147,MATCH(M23,WORLDCUP!$AH$4:$AH$147,0)))</f>
        <v>1</v>
      </c>
      <c r="Q23" s="530">
        <f>IF(ISBLANK(INDEX(WORLDCUP!$AD$4:$AD$147,MATCH(M23,WORLDCUP!$AH$4:$AH$147,0))),"",INDEX(WORLDCUP!$AD$4:$AD$147,MATCH(M23,WORLDCUP!$AH$4:$AH$147,0)))</f>
        <v>4</v>
      </c>
      <c r="R23" s="531" t="str">
        <f ca="1">+MID(INDEX(WORLDCUP!$AF$4:$AF$147,MATCH(M23,WORLDCUP!$AH$4:$AH$147,0)),1,3)</f>
        <v>Fra</v>
      </c>
      <c r="S23" s="552">
        <v>4</v>
      </c>
      <c r="T23" s="561" t="str">
        <f ca="1">+MID(INDEX(WORLDCUP!$AL$6:$AL$97,MATCH(X23,WORLDCUP!$AI$6:$AI$97,0)),1,3)</f>
        <v>Ira</v>
      </c>
      <c r="U23" s="562">
        <f ca="1">+INDEX(WORLDCUP!$AM$6:$AM$97,MATCH(X23,WORLDCUP!$AI$6:$AI$97,0))</f>
        <v>0</v>
      </c>
      <c r="V23" s="563">
        <f ca="1">+INDEX(WORLDCUP!$AT$6:$AT$97,MATCH(X23,WORLDCUP!$AI$6:$AI$97,0))</f>
        <v>-11</v>
      </c>
      <c r="W23" s="564" t="str">
        <f ca="1">+INDEX(WORLDCUP!$AR$6:$AR$97,MATCH(X23,WORLDCUP!$AI$6:$AI$97,0))&amp;"-"&amp;INDEX(WORLDCUP!$AS$6:$AS$97,MATCH(X23,WORLDCUP!$AI$6:$AI$97,0))</f>
        <v>1-12</v>
      </c>
      <c r="X23" s="19" t="s">
        <v>675</v>
      </c>
      <c r="Y23" s="19"/>
      <c r="Z23" s="510"/>
      <c r="AA23" s="554"/>
      <c r="AB23" s="554"/>
      <c r="AC23" s="555"/>
      <c r="AD23" s="19">
        <v>94</v>
      </c>
      <c r="AE23" s="541" t="str">
        <f ca="1">+MID(INDEX(WORLDCUP!$AF$101:$AF$147,MATCH(AD23,WORLDCUP!$Z$101:$Z$147,0)),1,3)</f>
        <v>Bel</v>
      </c>
      <c r="AF23" s="542">
        <f>+IF(ISBLANK(INDEX(WORLDCUP!$AD$101:$AD$147,MATCH(AD23,WORLDCUP!$Z$101:$Z$147,0))),"",INDEX(WORLDCUP!$AD$101:$AD$147,MATCH(AD23,WORLDCUP!$Z$101:$Z$147,0)))</f>
        <v>4</v>
      </c>
      <c r="AG23" s="559" t="str">
        <f>+IF(ISBLANK(INDEX(WORLDCUP!$AE$101:$AE$147,MATCH(AD23,WORLDCUP!$Z$101:$Z$147,0))),"","( "&amp;INDEX(WORLDCUP!$AE$101:$AE$147,MATCH(AD23,WORLDCUP!$Z$101:$Z$147,0))&amp;" )")</f>
        <v/>
      </c>
      <c r="AH23" s="19"/>
      <c r="AI23" s="544"/>
      <c r="AJ23" s="544"/>
      <c r="AK23" s="544"/>
      <c r="AL23" s="19"/>
      <c r="AM23" s="516"/>
      <c r="AN23" s="516"/>
      <c r="AO23" s="597"/>
      <c r="AP23" s="92"/>
      <c r="AQ23" s="545"/>
      <c r="AR23" s="545"/>
      <c r="AS23" s="545"/>
      <c r="AT23" s="19"/>
      <c r="AU23" s="518"/>
      <c r="AV23" s="518"/>
      <c r="AW23" s="518"/>
      <c r="AX23" s="19"/>
      <c r="AY23" s="613"/>
      <c r="AZ23" s="614"/>
      <c r="BA23" s="616"/>
      <c r="BB23" s="614" t="str">
        <f ca="1">+WORLDCUP!AA151</f>
        <v>Argentina</v>
      </c>
      <c r="BC23" s="615"/>
      <c r="BD23" s="297"/>
      <c r="BE23" s="297"/>
      <c r="BG23" s="547" t="str">
        <f ca="1">Horarios!Q22</f>
        <v>Ghana</v>
      </c>
      <c r="BH23" s="548">
        <f t="shared" ca="1" si="0"/>
        <v>0</v>
      </c>
      <c r="BI23" s="548">
        <f ca="1">COUNTIF(ADMIN!$M$130:$M$161,Fixture!BG23)-BJ23-BK23-BL23-BM23-BN23-BO23</f>
        <v>1</v>
      </c>
      <c r="BJ23" s="549">
        <f ca="1">COUNTIF(ADMIN!$M$182:$M$197,Fixture!BG23)-BK23-BL23-BM23-BN23-BO23</f>
        <v>0</v>
      </c>
      <c r="BK23" s="550">
        <f ca="1">COUNTIF(ADMIN!$M$210:$M$217,Fixture!BG23)-BL23-BM23-BN23-BO23</f>
        <v>0</v>
      </c>
      <c r="BL23" s="550">
        <f ca="1">COUNTIF(ADMIN!$M$226:$M$229,BG23)-BM23-BN23-BO23</f>
        <v>0</v>
      </c>
      <c r="BM23" s="548">
        <f ca="1">COUNTIF(ADMIN!$M$252,Fixture!BG23)</f>
        <v>0</v>
      </c>
      <c r="BN23" s="548">
        <f ca="1">COUNTIF(ADMIN!$M$251,Fixture!BG23)</f>
        <v>0</v>
      </c>
      <c r="BO23" s="551">
        <f ca="1">COUNTIF(ADMIN!$M$250,Fixture!BG23)</f>
        <v>0</v>
      </c>
    </row>
    <row r="24" spans="1:67" ht="15.75" thickBot="1">
      <c r="A24" s="19">
        <v>50</v>
      </c>
      <c r="B24" s="617"/>
      <c r="C24" s="572" t="str">
        <f ca="1">+MID(INDEX(WORLDCUP!$AA$4:$AA$147,MATCH(A24,WORLDCUP!$AH$4:$AH$147,0)),1,3)</f>
        <v>Mor</v>
      </c>
      <c r="D24" s="573">
        <f>IF(ISBLANK(INDEX(WORLDCUP!$AC$4:$AC$147,MATCH(A24,WORLDCUP!$AH$4:$AH$147,0))),"",INDEX(WORLDCUP!$AC$4:$AC$147,MATCH(A24,WORLDCUP!$AH$4:$AH$147,0)))</f>
        <v>4</v>
      </c>
      <c r="E24" s="573">
        <f>IF(ISBLANK(INDEX(WORLDCUP!$AD$4:$AD$147,MATCH(A24,WORLDCUP!$AH$4:$AH$147,0))),"",INDEX(WORLDCUP!$AD$4:$AD$147,MATCH(A24,WORLDCUP!$AH$4:$AH$147,0)))</f>
        <v>2</v>
      </c>
      <c r="F24" s="574" t="str">
        <f ca="1">+MID(INDEX(WORLDCUP!$AF$4:$AF$147,MATCH(A24,WORLDCUP!$AH$4:$AH$147,0)),1,3)</f>
        <v>Hai</v>
      </c>
      <c r="G24" s="575"/>
      <c r="H24" s="575"/>
      <c r="I24" s="576"/>
      <c r="J24" s="576"/>
      <c r="K24" s="577"/>
      <c r="L24" s="19"/>
      <c r="M24" s="19">
        <v>62</v>
      </c>
      <c r="N24" s="618"/>
      <c r="O24" s="572" t="str">
        <f ca="1">+MID(INDEX(WORLDCUP!$AA$4:$AA$147,MATCH(M24,WORLDCUP!$AH$4:$AH$147,0)),1,3)</f>
        <v>Sen</v>
      </c>
      <c r="P24" s="573">
        <f>IF(ISBLANK(INDEX(WORLDCUP!$AC$4:$AC$147,MATCH(M24,WORLDCUP!$AH$4:$AH$147,0))),"",INDEX(WORLDCUP!$AC$4:$AC$147,MATCH(M24,WORLDCUP!$AH$4:$AH$147,0)))</f>
        <v>5</v>
      </c>
      <c r="Q24" s="573">
        <f>IF(ISBLANK(INDEX(WORLDCUP!$AD$4:$AD$147,MATCH(M24,WORLDCUP!$AH$4:$AH$147,0))),"",INDEX(WORLDCUP!$AD$4:$AD$147,MATCH(M24,WORLDCUP!$AH$4:$AH$147,0)))</f>
        <v>0</v>
      </c>
      <c r="R24" s="574" t="str">
        <f ca="1">+MID(INDEX(WORLDCUP!$AF$4:$AF$147,MATCH(M24,WORLDCUP!$AH$4:$AH$147,0)),1,3)</f>
        <v>Ira</v>
      </c>
      <c r="S24" s="575"/>
      <c r="T24" s="575"/>
      <c r="U24" s="576"/>
      <c r="V24" s="576"/>
      <c r="W24" s="577"/>
      <c r="X24" s="19"/>
      <c r="Y24" s="19">
        <v>82</v>
      </c>
      <c r="Z24" s="510" t="s">
        <v>667</v>
      </c>
      <c r="AA24" s="511" t="str">
        <f ca="1">+MID(INDEX(WORLDCUP!$AA$101:$AA$147,MATCH(Y24,WORLDCUP!$Z$101:$Z$147,0)),1,3)</f>
        <v>Bel</v>
      </c>
      <c r="AB24" s="557">
        <f>+IF(ISBLANK(INDEX(WORLDCUP!$AC$101:$AC$147,MATCH(Y24,WORLDCUP!$Z$101:$Z$147,0))),"",INDEX(WORLDCUP!$AC$101:$AC$147,MATCH(Y24,WORLDCUP!$Z$101:$Z$147,0)))</f>
        <v>3</v>
      </c>
      <c r="AC24" s="591" t="str">
        <f>+IF(ISBLANK(INDEX(WORLDCUP!$AB$101:$AB$147,MATCH(Y24,WORLDCUP!$Z$101:$Z$147,0))),"","( "&amp;INDEX(WORLDCUP!$AB$101:$AB$147,MATCH(Y24,WORLDCUP!$Z$101:$Z$147,0))&amp;" )")</f>
        <v/>
      </c>
      <c r="AD24" s="19"/>
      <c r="AE24" s="514"/>
      <c r="AF24" s="514"/>
      <c r="AG24" s="514"/>
      <c r="AH24" s="19"/>
      <c r="AI24" s="544"/>
      <c r="AJ24" s="544"/>
      <c r="AK24" s="544"/>
      <c r="AL24" s="19"/>
      <c r="AM24" s="516"/>
      <c r="AN24" s="516"/>
      <c r="AO24" s="597"/>
      <c r="AP24" s="92"/>
      <c r="AQ24" s="545"/>
      <c r="AR24" s="545"/>
      <c r="AS24" s="545"/>
      <c r="AT24" s="19"/>
      <c r="AU24" s="518"/>
      <c r="AV24" s="518"/>
      <c r="AW24" s="518"/>
      <c r="AX24" s="19"/>
      <c r="AY24" s="613"/>
      <c r="AZ24" s="614"/>
      <c r="BA24" s="616"/>
      <c r="BB24" s="619"/>
      <c r="BC24" s="615"/>
      <c r="BD24" s="297"/>
      <c r="BE24" s="297"/>
      <c r="BG24" s="547" t="str">
        <f ca="1">Horarios!Q23</f>
        <v>Haiti</v>
      </c>
      <c r="BH24" s="548">
        <f t="shared" ca="1" si="0"/>
        <v>1</v>
      </c>
      <c r="BI24" s="548">
        <f ca="1">COUNTIF(ADMIN!$M$130:$M$161,Fixture!BG24)-BJ24-BK24-BL24-BM24-BN24-BO24</f>
        <v>0</v>
      </c>
      <c r="BJ24" s="549">
        <f ca="1">COUNTIF(ADMIN!$M$182:$M$197,Fixture!BG24)-BK24-BL24-BM24-BN24-BO24</f>
        <v>0</v>
      </c>
      <c r="BK24" s="550">
        <f ca="1">COUNTIF(ADMIN!$M$210:$M$217,Fixture!BG24)-BL24-BM24-BN24-BO24</f>
        <v>0</v>
      </c>
      <c r="BL24" s="550">
        <f ca="1">COUNTIF(ADMIN!$M$226:$M$229,BG24)-BM24-BN24-BO24</f>
        <v>0</v>
      </c>
      <c r="BM24" s="548">
        <f ca="1">COUNTIF(ADMIN!$M$252,Fixture!BG24)</f>
        <v>0</v>
      </c>
      <c r="BN24" s="548">
        <f ca="1">COUNTIF(ADMIN!$M$251,Fixture!BG24)</f>
        <v>0</v>
      </c>
      <c r="BO24" s="551">
        <f ca="1">COUNTIF(ADMIN!$M$250,Fixture!BG24)</f>
        <v>0</v>
      </c>
    </row>
    <row r="25" spans="1:67" ht="15.75" thickBot="1">
      <c r="A25" s="19"/>
      <c r="B25" s="497"/>
      <c r="C25" s="581"/>
      <c r="D25" s="441"/>
      <c r="E25" s="441"/>
      <c r="F25" s="297"/>
      <c r="G25" s="297"/>
      <c r="H25" s="581"/>
      <c r="I25" s="297"/>
      <c r="J25" s="297"/>
      <c r="K25" s="297"/>
      <c r="L25" s="19"/>
      <c r="M25" s="19"/>
      <c r="N25" s="247"/>
      <c r="O25" s="297"/>
      <c r="P25" s="297"/>
      <c r="Q25" s="297"/>
      <c r="R25" s="297"/>
      <c r="S25" s="297"/>
      <c r="T25" s="297"/>
      <c r="U25" s="297"/>
      <c r="V25" s="297"/>
      <c r="W25" s="297"/>
      <c r="X25" s="19"/>
      <c r="Y25" s="19">
        <v>82</v>
      </c>
      <c r="Z25" s="510" t="s">
        <v>727</v>
      </c>
      <c r="AA25" s="565" t="str">
        <f ca="1">+MID(INDEX(WORLDCUP!$AF$101:$AF$147,MATCH(Y25,WORLDCUP!$Z$101:$Z$147,0)),1,IF(WORLDCUP!$H$113&lt;144,6,3))</f>
        <v>Sen</v>
      </c>
      <c r="AB25" s="566">
        <f>+IF(ISBLANK(INDEX(WORLDCUP!$AD$101:$AD$147,MATCH(Y25,WORLDCUP!$Z$101:$Z$147,0))),"",INDEX(WORLDCUP!$AD$101:$AD$147,MATCH(Y25,WORLDCUP!$Z$101:$Z$147,0)))</f>
        <v>2</v>
      </c>
      <c r="AC25" s="592" t="str">
        <f>+IF(ISBLANK(INDEX(WORLDCUP!$AE$101:$AE$147,MATCH(Y25,WORLDCUP!$Z$101:$Z$147,0))),"","( "&amp;INDEX(WORLDCUP!$AE$101:$AE$147,MATCH(Y25,WORLDCUP!$Z$101:$Z$147,0))&amp;" )")</f>
        <v/>
      </c>
      <c r="AD25" s="19"/>
      <c r="AE25" s="514"/>
      <c r="AF25" s="514"/>
      <c r="AG25" s="514"/>
      <c r="AH25" s="19"/>
      <c r="AI25" s="544"/>
      <c r="AJ25" s="544"/>
      <c r="AK25" s="544"/>
      <c r="AL25" s="19"/>
      <c r="AM25" s="516"/>
      <c r="AN25" s="516"/>
      <c r="AO25" s="597"/>
      <c r="AP25" s="620"/>
      <c r="AQ25" s="621"/>
      <c r="AR25" s="621"/>
      <c r="AS25" s="621"/>
      <c r="AT25" s="622">
        <v>104</v>
      </c>
      <c r="AU25" s="623" t="str">
        <f ca="1">+MID(INDEX(WORLDCUP!$AA$101:$AA$147,MATCH(AT25,WORLDCUP!$Z$101:$Z$147,0)),1,4)</f>
        <v>Spai</v>
      </c>
      <c r="AV25" s="624">
        <f>+IF(ISBLANK(INDEX(WORLDCUP!$AC$101:$AC$147,MATCH(AT25,WORLDCUP!$Z$101:$Z$147,0))),"",INDEX(WORLDCUP!$AC$101:$AC$147,MATCH(AT25,WORLDCUP!$Z$101:$Z$147,0)))</f>
        <v>1</v>
      </c>
      <c r="AW25" s="625" t="str">
        <f>+IF(ISBLANK(INDEX(WORLDCUP!$AB$101:$AB$147,MATCH(AT25,WORLDCUP!$Z$101:$Z$147,0))),"","( "&amp;INDEX(WORLDCUP!$AB$101:$AB$147,MATCH(AT25,WORLDCUP!$Z$101:$Z$147,0))&amp;" )")</f>
        <v/>
      </c>
      <c r="AX25" s="626"/>
      <c r="AY25" s="613"/>
      <c r="AZ25" s="614" t="str">
        <f ca="1">+WORLDCUP!AA152</f>
        <v>England</v>
      </c>
      <c r="BA25" s="616"/>
      <c r="BB25" s="619"/>
      <c r="BC25" s="615"/>
      <c r="BD25" s="297"/>
      <c r="BE25" s="297"/>
      <c r="BG25" s="547" t="str">
        <f ca="1">Horarios!Q24</f>
        <v>Iran</v>
      </c>
      <c r="BH25" s="548">
        <f t="shared" ca="1" si="0"/>
        <v>1</v>
      </c>
      <c r="BI25" s="548">
        <f ca="1">COUNTIF(ADMIN!$M$130:$M$161,Fixture!BG25)-BJ25-BK25-BL25-BM25-BN25-BO25</f>
        <v>0</v>
      </c>
      <c r="BJ25" s="549">
        <f ca="1">COUNTIF(ADMIN!$M$182:$M$197,Fixture!BG25)-BK25-BL25-BM25-BN25-BO25</f>
        <v>0</v>
      </c>
      <c r="BK25" s="550">
        <f ca="1">COUNTIF(ADMIN!$M$210:$M$217,Fixture!BG25)-BL25-BM25-BN25-BO25</f>
        <v>0</v>
      </c>
      <c r="BL25" s="550">
        <f ca="1">COUNTIF(ADMIN!$M$226:$M$229,BG25)-BM25-BN25-BO25</f>
        <v>0</v>
      </c>
      <c r="BM25" s="548">
        <f ca="1">COUNTIF(ADMIN!$M$252,Fixture!BG25)</f>
        <v>0</v>
      </c>
      <c r="BN25" s="548">
        <f ca="1">COUNTIF(ADMIN!$M$251,Fixture!BG25)</f>
        <v>0</v>
      </c>
      <c r="BO25" s="551">
        <f ca="1">COUNTIF(ADMIN!$M$250,Fixture!BG25)</f>
        <v>0</v>
      </c>
    </row>
    <row r="26" spans="1:67" ht="15.75" thickBot="1">
      <c r="A26" s="19"/>
      <c r="B26" s="497"/>
      <c r="C26" s="581"/>
      <c r="D26" s="441"/>
      <c r="E26" s="441"/>
      <c r="F26" s="297"/>
      <c r="G26" s="297"/>
      <c r="H26" s="581"/>
      <c r="I26" s="297"/>
      <c r="J26" s="297"/>
      <c r="K26" s="297"/>
      <c r="L26" s="19"/>
      <c r="M26" s="19"/>
      <c r="N26" s="247"/>
      <c r="O26" s="297"/>
      <c r="P26" s="297"/>
      <c r="Q26" s="297"/>
      <c r="R26" s="297"/>
      <c r="S26" s="297"/>
      <c r="T26" s="297"/>
      <c r="U26" s="297"/>
      <c r="V26" s="297"/>
      <c r="W26" s="297"/>
      <c r="X26" s="19"/>
      <c r="Y26" s="19"/>
      <c r="Z26" s="510"/>
      <c r="AA26" s="579"/>
      <c r="AB26" s="579"/>
      <c r="AC26" s="579"/>
      <c r="AD26" s="19"/>
      <c r="AE26" s="514"/>
      <c r="AF26" s="514"/>
      <c r="AG26" s="559"/>
      <c r="AH26" s="19"/>
      <c r="AI26" s="544"/>
      <c r="AJ26" s="544"/>
      <c r="AK26" s="544"/>
      <c r="AL26" s="19"/>
      <c r="AM26" s="516"/>
      <c r="AN26" s="516"/>
      <c r="AO26" s="597"/>
      <c r="AP26" s="19"/>
      <c r="AQ26" s="545"/>
      <c r="AR26" s="545"/>
      <c r="AS26" s="545"/>
      <c r="AT26" s="19">
        <v>104</v>
      </c>
      <c r="AU26" s="623" t="str">
        <f ca="1">+MID(INDEX(WORLDCUP!$AF$101:$AF$147,MATCH(AT26,WORLDCUP!$Z$101:$Z$147,0)),1,4)</f>
        <v>Arge</v>
      </c>
      <c r="AV26" s="624">
        <f>+IF(ISBLANK(INDEX(WORLDCUP!$AD$101:$AD$147,MATCH(AT26,WORLDCUP!$Z$101:$Z$147,0))),"",INDEX(WORLDCUP!$AD$101:$AD$147,MATCH(AT26,WORLDCUP!$Z$101:$Z$147,0)))</f>
        <v>0</v>
      </c>
      <c r="AW26" s="518" t="str">
        <f>+IF(ISBLANK(INDEX(WORLDCUP!$AE$101:$AE$147,MATCH(AT26,WORLDCUP!$Z$101:$Z$147,0))),"","( "&amp;INDEX(WORLDCUP!$AE$101:$AE$147,MATCH(AT26,WORLDCUP!$Z$101:$Z$147,0))&amp;" )")</f>
        <v/>
      </c>
      <c r="AX26" s="19"/>
      <c r="AY26" s="613"/>
      <c r="AZ26" s="627"/>
      <c r="BA26" s="616"/>
      <c r="BB26" s="619"/>
      <c r="BC26" s="615"/>
      <c r="BD26" s="297"/>
      <c r="BE26" s="297"/>
      <c r="BG26" s="547" t="str">
        <f ca="1">Horarios!Q25</f>
        <v>Iraq</v>
      </c>
      <c r="BH26" s="548">
        <f t="shared" ca="1" si="0"/>
        <v>1</v>
      </c>
      <c r="BI26" s="548">
        <f ca="1">COUNTIF(ADMIN!$M$130:$M$161,Fixture!BG26)-BJ26-BK26-BL26-BM26-BN26-BO26</f>
        <v>0</v>
      </c>
      <c r="BJ26" s="549">
        <f ca="1">COUNTIF(ADMIN!$M$182:$M$197,Fixture!BG26)-BK26-BL26-BM26-BN26-BO26</f>
        <v>0</v>
      </c>
      <c r="BK26" s="550">
        <f ca="1">COUNTIF(ADMIN!$M$210:$M$217,Fixture!BG26)-BL26-BM26-BN26-BO26</f>
        <v>0</v>
      </c>
      <c r="BL26" s="550">
        <f ca="1">COUNTIF(ADMIN!$M$226:$M$229,BG26)-BM26-BN26-BO26</f>
        <v>0</v>
      </c>
      <c r="BM26" s="548">
        <f ca="1">COUNTIF(ADMIN!$M$252,Fixture!BG26)</f>
        <v>0</v>
      </c>
      <c r="BN26" s="548">
        <f ca="1">COUNTIF(ADMIN!$M$251,Fixture!BG26)</f>
        <v>0</v>
      </c>
      <c r="BO26" s="551">
        <f ca="1">COUNTIF(ADMIN!$M$250,Fixture!BG26)</f>
        <v>0</v>
      </c>
    </row>
    <row r="27" spans="1:67" ht="15.75" thickBot="1">
      <c r="A27" s="19">
        <v>4</v>
      </c>
      <c r="B27" s="628" t="s">
        <v>73</v>
      </c>
      <c r="C27" s="502" t="str">
        <f ca="1">+MID(INDEX(WORLDCUP!$AA$4:$AA$147,MATCH(A27,WORLDCUP!$AH$4:$AH$147,0)),1,3)</f>
        <v>Uni</v>
      </c>
      <c r="D27" s="503">
        <f>IF(ISBLANK(INDEX(WORLDCUP!$AC$4:$AC$147,MATCH(A27,WORLDCUP!$AH$4:$AH$147,0))),"",INDEX(WORLDCUP!$AC$4:$AC$147,MATCH(A27,WORLDCUP!$AH$4:$AH$147,0)))</f>
        <v>4</v>
      </c>
      <c r="E27" s="503">
        <f>IF(ISBLANK(INDEX(WORLDCUP!$AD$4:$AD$147,MATCH(A27,WORLDCUP!$AH$4:$AH$147,0))),"",INDEX(WORLDCUP!$AD$4:$AD$147,MATCH(A27,WORLDCUP!$AH$4:$AH$147,0)))</f>
        <v>1</v>
      </c>
      <c r="F27" s="504" t="str">
        <f ca="1">+MID(INDEX(WORLDCUP!$AF$4:$AF$147,MATCH(A27,WORLDCUP!$AH$4:$AH$147,0)),1,3)</f>
        <v>Par</v>
      </c>
      <c r="G27" s="505"/>
      <c r="H27" s="506" t="str">
        <f>+H19</f>
        <v>Nat</v>
      </c>
      <c r="I27" s="507" t="str">
        <f>+I19</f>
        <v>Pts</v>
      </c>
      <c r="J27" s="507" t="str">
        <f>+J19</f>
        <v>GD</v>
      </c>
      <c r="K27" s="508" t="str">
        <f>+K19</f>
        <v>F-A</v>
      </c>
      <c r="L27" s="19"/>
      <c r="M27" s="19">
        <v>19</v>
      </c>
      <c r="N27" s="629" t="s">
        <v>5</v>
      </c>
      <c r="O27" s="502" t="str">
        <f ca="1">+MID(INDEX(WORLDCUP!$AA$4:$AA$147,MATCH(M27,WORLDCUP!$AH$4:$AH$147,0)),1,3)</f>
        <v>Arg</v>
      </c>
      <c r="P27" s="503">
        <f>IF(ISBLANK(INDEX(WORLDCUP!$AC$4:$AC$147,MATCH(M27,WORLDCUP!$AH$4:$AH$147,0))),"",INDEX(WORLDCUP!$AC$4:$AC$147,MATCH(M27,WORLDCUP!$AH$4:$AH$147,0)))</f>
        <v>3</v>
      </c>
      <c r="Q27" s="503">
        <f>IF(ISBLANK(INDEX(WORLDCUP!$AD$4:$AD$147,MATCH(M27,WORLDCUP!$AH$4:$AH$147,0))),"",INDEX(WORLDCUP!$AD$4:$AD$147,MATCH(M27,WORLDCUP!$AH$4:$AH$147,0)))</f>
        <v>0</v>
      </c>
      <c r="R27" s="504" t="str">
        <f ca="1">+MID(INDEX(WORLDCUP!$AF$4:$AF$147,MATCH(M27,WORLDCUP!$AH$4:$AH$147,0)),1,3)</f>
        <v>Alg</v>
      </c>
      <c r="S27" s="505"/>
      <c r="T27" s="506" t="str">
        <f>+T19</f>
        <v>Nat</v>
      </c>
      <c r="U27" s="507" t="str">
        <f>+U19</f>
        <v>Pts</v>
      </c>
      <c r="V27" s="507" t="str">
        <f>+V19</f>
        <v>GD</v>
      </c>
      <c r="W27" s="508" t="str">
        <f>+W19</f>
        <v>F-A</v>
      </c>
      <c r="X27" s="19"/>
      <c r="Y27" s="19">
        <v>76</v>
      </c>
      <c r="Z27" s="510" t="s">
        <v>651</v>
      </c>
      <c r="AA27" s="511" t="str">
        <f ca="1">+MID(INDEX(WORLDCUP!$AA$101:$AA$147,MATCH(Y27,WORLDCUP!$Z$101:$Z$147,0)),1,3)</f>
        <v>Bra</v>
      </c>
      <c r="AB27" s="512">
        <f>+IF(ISBLANK(INDEX(WORLDCUP!$AC$101:$AC$147,MATCH(Y27,WORLDCUP!$Z$101:$Z$147,0))),"",INDEX(WORLDCUP!$AC$101:$AC$147,MATCH(Y27,WORLDCUP!$Z$101:$Z$147,0)))</f>
        <v>2</v>
      </c>
      <c r="AC27" s="582" t="str">
        <f>+IF(ISBLANK(INDEX(WORLDCUP!$AB$101:$AB$147,MATCH(Y27,WORLDCUP!$Z$101:$Z$147,0))),"","( "&amp;INDEX(WORLDCUP!$AB$101:$AB$147,MATCH(Y27,WORLDCUP!$Z$101:$Z$147,0))&amp;" )")</f>
        <v/>
      </c>
      <c r="AD27" s="18"/>
      <c r="AE27" s="514"/>
      <c r="AF27" s="514"/>
      <c r="AG27" s="514"/>
      <c r="AH27" s="19"/>
      <c r="AI27" s="544"/>
      <c r="AJ27" s="544"/>
      <c r="AK27" s="544"/>
      <c r="AL27" s="19"/>
      <c r="AM27" s="516"/>
      <c r="AN27" s="516"/>
      <c r="AO27" s="597"/>
      <c r="AP27" s="92"/>
      <c r="AQ27" s="545"/>
      <c r="AR27" s="545"/>
      <c r="AS27" s="545"/>
      <c r="AT27" s="19"/>
      <c r="AU27" s="518"/>
      <c r="AV27" s="518"/>
      <c r="AW27" s="518"/>
      <c r="AX27" s="19"/>
      <c r="AY27" s="613"/>
      <c r="AZ27" s="627"/>
      <c r="BA27" s="616"/>
      <c r="BB27" s="619"/>
      <c r="BC27" s="615"/>
      <c r="BD27" s="297"/>
      <c r="BE27" s="297"/>
      <c r="BG27" s="547" t="str">
        <f ca="1">Horarios!Q26</f>
        <v>Ivory Coast</v>
      </c>
      <c r="BH27" s="548">
        <f t="shared" ca="1" si="0"/>
        <v>0</v>
      </c>
      <c r="BI27" s="548">
        <f ca="1">COUNTIF(ADMIN!$M$130:$M$161,Fixture!BG27)-BJ27-BK27-BL27-BM27-BN27-BO27</f>
        <v>1</v>
      </c>
      <c r="BJ27" s="549">
        <f ca="1">COUNTIF(ADMIN!$M$182:$M$197,Fixture!BG27)-BK27-BL27-BM27-BN27-BO27</f>
        <v>0</v>
      </c>
      <c r="BK27" s="550">
        <f ca="1">COUNTIF(ADMIN!$M$210:$M$217,Fixture!BG27)-BL27-BM27-BN27-BO27</f>
        <v>0</v>
      </c>
      <c r="BL27" s="550">
        <f ca="1">COUNTIF(ADMIN!$M$226:$M$229,BG27)-BM27-BN27-BO27</f>
        <v>0</v>
      </c>
      <c r="BM27" s="548">
        <f ca="1">COUNTIF(ADMIN!$M$252,Fixture!BG27)</f>
        <v>0</v>
      </c>
      <c r="BN27" s="548">
        <f ca="1">COUNTIF(ADMIN!$M$251,Fixture!BG27)</f>
        <v>0</v>
      </c>
      <c r="BO27" s="551">
        <f ca="1">COUNTIF(ADMIN!$M$250,Fixture!BG27)</f>
        <v>0</v>
      </c>
    </row>
    <row r="28" spans="1:67" ht="15.75" thickBot="1">
      <c r="A28" s="19">
        <v>6</v>
      </c>
      <c r="B28" s="630"/>
      <c r="C28" s="529" t="str">
        <f ca="1">+MID(INDEX(WORLDCUP!$AA$4:$AA$147,MATCH(A28,WORLDCUP!$AH$4:$AH$147,0)),1,3)</f>
        <v>Aus</v>
      </c>
      <c r="D28" s="530">
        <f>IF(ISBLANK(INDEX(WORLDCUP!$AC$4:$AC$147,MATCH(A28,WORLDCUP!$AH$4:$AH$147,0))),"",INDEX(WORLDCUP!$AC$4:$AC$147,MATCH(A28,WORLDCUP!$AH$4:$AH$147,0)))</f>
        <v>2</v>
      </c>
      <c r="E28" s="530">
        <f>IF(ISBLANK(INDEX(WORLDCUP!$AD$4:$AD$147,MATCH(A28,WORLDCUP!$AH$4:$AH$147,0))),"",INDEX(WORLDCUP!$AD$4:$AD$147,MATCH(A28,WORLDCUP!$AH$4:$AH$147,0)))</f>
        <v>0</v>
      </c>
      <c r="F28" s="531" t="str">
        <f ca="1">+MID(INDEX(WORLDCUP!$AF$4:$AF$147,MATCH(A28,WORLDCUP!$AH$4:$AH$147,0)),1,3)</f>
        <v>Tur</v>
      </c>
      <c r="G28" s="532">
        <v>1</v>
      </c>
      <c r="H28" s="533" t="str">
        <f ca="1">+MID(INDEX(WORLDCUP!$AL$6:$AL$97,MATCH(L28,WORLDCUP!$AI$6:$AI$97,0)),1,3)</f>
        <v>Uni</v>
      </c>
      <c r="I28" s="534">
        <f ca="1">+INDEX(WORLDCUP!$AM$6:$AM$97,MATCH(L28,WORLDCUP!$AI$6:$AI$97,0))</f>
        <v>6</v>
      </c>
      <c r="J28" s="535">
        <f ca="1">+INDEX(WORLDCUP!$AT$6:$AT$97,MATCH(L28,WORLDCUP!$AI$6:$AI$97,0))</f>
        <v>4</v>
      </c>
      <c r="K28" s="536" t="str">
        <f ca="1">+INDEX(WORLDCUP!$AR$6:$AR$97,MATCH(L28,WORLDCUP!$AI$6:$AI$97,0))&amp;"-"&amp;INDEX(WORLDCUP!$AS$6:$AS$97,MATCH(L28,WORLDCUP!$AI$6:$AI$97,0))</f>
        <v>8-4</v>
      </c>
      <c r="L28" s="19" t="s">
        <v>658</v>
      </c>
      <c r="M28" s="19">
        <v>20</v>
      </c>
      <c r="N28" s="631"/>
      <c r="O28" s="529" t="str">
        <f ca="1">+MID(INDEX(WORLDCUP!$AA$4:$AA$147,MATCH(M28,WORLDCUP!$AH$4:$AH$147,0)),1,3)</f>
        <v>Aus</v>
      </c>
      <c r="P28" s="530">
        <f>IF(ISBLANK(INDEX(WORLDCUP!$AC$4:$AC$147,MATCH(M28,WORLDCUP!$AH$4:$AH$147,0))),"",INDEX(WORLDCUP!$AC$4:$AC$147,MATCH(M28,WORLDCUP!$AH$4:$AH$147,0)))</f>
        <v>3</v>
      </c>
      <c r="Q28" s="530">
        <f>IF(ISBLANK(INDEX(WORLDCUP!$AD$4:$AD$147,MATCH(M28,WORLDCUP!$AH$4:$AH$147,0))),"",INDEX(WORLDCUP!$AD$4:$AD$147,MATCH(M28,WORLDCUP!$AH$4:$AH$147,0)))</f>
        <v>1</v>
      </c>
      <c r="R28" s="531" t="str">
        <f ca="1">+MID(INDEX(WORLDCUP!$AF$4:$AF$147,MATCH(M28,WORLDCUP!$AH$4:$AH$147,0)),1,3)</f>
        <v>Jor</v>
      </c>
      <c r="S28" s="532">
        <v>1</v>
      </c>
      <c r="T28" s="533" t="str">
        <f ca="1">+MID(INDEX(WORLDCUP!$AL$6:$AL$97,MATCH(X28,WORLDCUP!$AI$6:$AI$97,0)),1,3)</f>
        <v>Arg</v>
      </c>
      <c r="U28" s="534">
        <f ca="1">+INDEX(WORLDCUP!$AM$6:$AM$97,MATCH(X28,WORLDCUP!$AI$6:$AI$97,0))</f>
        <v>9</v>
      </c>
      <c r="V28" s="535">
        <f ca="1">+INDEX(WORLDCUP!$AT$6:$AT$97,MATCH(X28,WORLDCUP!$AI$6:$AI$97,0))</f>
        <v>7</v>
      </c>
      <c r="W28" s="536" t="str">
        <f ca="1">+INDEX(WORLDCUP!$AR$6:$AR$97,MATCH(X28,WORLDCUP!$AI$6:$AI$97,0))&amp;"-"&amp;INDEX(WORLDCUP!$AS$6:$AS$97,MATCH(X28,WORLDCUP!$AI$6:$AI$97,0))</f>
        <v>8-1</v>
      </c>
      <c r="X28" s="19" t="s">
        <v>676</v>
      </c>
      <c r="Y28" s="19">
        <v>76</v>
      </c>
      <c r="Z28" s="510" t="s">
        <v>665</v>
      </c>
      <c r="AA28" s="511" t="str">
        <f ca="1">+MID(INDEX(WORLDCUP!$AF$101:$AF$147,MATCH(Y28,WORLDCUP!$Z$101:$Z$147,0)),1,3)</f>
        <v>Jap</v>
      </c>
      <c r="AB28" s="538">
        <f>+IF(ISBLANK(INDEX(WORLDCUP!$AD$101:$AD$147,MATCH(Y28,WORLDCUP!$Z$101:$Z$147,0))),"",INDEX(WORLDCUP!$AD$101:$AD$147,MATCH(Y28,WORLDCUP!$Z$101:$Z$147,0)))</f>
        <v>1</v>
      </c>
      <c r="AC28" s="539" t="str">
        <f>+IF(ISBLANK(INDEX(WORLDCUP!$AE$101:$AE$147,MATCH(Y28,WORLDCUP!$Z$101:$Z$147,0))),"","( "&amp;INDEX(WORLDCUP!$AE$101:$AE$147,MATCH(Y28,WORLDCUP!$Z$101:$Z$147,0))&amp;" )")</f>
        <v/>
      </c>
      <c r="AD28" s="540">
        <v>91</v>
      </c>
      <c r="AE28" s="541" t="str">
        <f ca="1">+MID(INDEX(WORLDCUP!$AA$101:$AA$147,MATCH(AD28,WORLDCUP!$Z$101:$Z$147,0)),1,3)</f>
        <v>Bra</v>
      </c>
      <c r="AF28" s="542">
        <f>+IF(ISBLANK(INDEX(WORLDCUP!$AC$101:$AC$147,MATCH(AD28,WORLDCUP!$Z$101:$Z$147,0))),"",INDEX(WORLDCUP!$AC$101:$AC$147,MATCH(AD28,WORLDCUP!$Z$101:$Z$147,0)))</f>
        <v>1</v>
      </c>
      <c r="AG28" s="543" t="str">
        <f>+IF(ISBLANK(INDEX(WORLDCUP!$AB$101:$AB$147,MATCH(AD28,WORLDCUP!$Z$101:$Z$147,0))),"","( "&amp;INDEX(WORLDCUP!$AB$101:$AB$147,MATCH(AD28,WORLDCUP!$Z$101:$Z$147,0))&amp;" )")</f>
        <v/>
      </c>
      <c r="AH28" s="19"/>
      <c r="AI28" s="544"/>
      <c r="AJ28" s="544"/>
      <c r="AK28" s="544"/>
      <c r="AL28" s="19"/>
      <c r="AM28" s="516"/>
      <c r="AN28" s="516"/>
      <c r="AO28" s="597"/>
      <c r="AP28" s="92"/>
      <c r="AQ28" s="545"/>
      <c r="AR28" s="545"/>
      <c r="AS28" s="545"/>
      <c r="AT28" s="19"/>
      <c r="AU28" s="518"/>
      <c r="AV28" s="518"/>
      <c r="AW28" s="518"/>
      <c r="AX28" s="19"/>
      <c r="AY28" s="613"/>
      <c r="AZ28" s="627"/>
      <c r="BA28" s="616"/>
      <c r="BB28" s="619"/>
      <c r="BC28" s="615"/>
      <c r="BD28" s="297"/>
      <c r="BE28" s="297"/>
      <c r="BG28" s="547" t="str">
        <f ca="1">Horarios!Q27</f>
        <v>Japan</v>
      </c>
      <c r="BH28" s="548">
        <f t="shared" ca="1" si="0"/>
        <v>0</v>
      </c>
      <c r="BI28" s="548">
        <f ca="1">COUNTIF(ADMIN!$M$130:$M$161,Fixture!BG28)-BJ28-BK28-BL28-BM28-BN28-BO28</f>
        <v>1</v>
      </c>
      <c r="BJ28" s="549">
        <f ca="1">COUNTIF(ADMIN!$M$182:$M$197,Fixture!BG28)-BK28-BL28-BM28-BN28-BO28</f>
        <v>0</v>
      </c>
      <c r="BK28" s="550">
        <f ca="1">COUNTIF(ADMIN!$M$210:$M$217,Fixture!BG28)-BL28-BM28-BN28-BO28</f>
        <v>0</v>
      </c>
      <c r="BL28" s="550">
        <f ca="1">COUNTIF(ADMIN!$M$226:$M$229,BG28)-BM28-BN28-BO28</f>
        <v>0</v>
      </c>
      <c r="BM28" s="548">
        <f ca="1">COUNTIF(ADMIN!$M$252,Fixture!BG28)</f>
        <v>0</v>
      </c>
      <c r="BN28" s="548">
        <f ca="1">COUNTIF(ADMIN!$M$251,Fixture!BG28)</f>
        <v>0</v>
      </c>
      <c r="BO28" s="551">
        <f ca="1">COUNTIF(ADMIN!$M$250,Fixture!BG28)</f>
        <v>0</v>
      </c>
    </row>
    <row r="29" spans="1:67">
      <c r="A29" s="19">
        <v>32</v>
      </c>
      <c r="B29" s="630"/>
      <c r="C29" s="529" t="str">
        <f ca="1">+MID(INDEX(WORLDCUP!$AA$4:$AA$147,MATCH(A29,WORLDCUP!$AH$4:$AH$147,0)),1,3)</f>
        <v>Uni</v>
      </c>
      <c r="D29" s="530">
        <f>IF(ISBLANK(INDEX(WORLDCUP!$AC$4:$AC$147,MATCH(A29,WORLDCUP!$AH$4:$AH$147,0))),"",INDEX(WORLDCUP!$AC$4:$AC$147,MATCH(A29,WORLDCUP!$AH$4:$AH$147,0)))</f>
        <v>2</v>
      </c>
      <c r="E29" s="530">
        <f>IF(ISBLANK(INDEX(WORLDCUP!$AD$4:$AD$147,MATCH(A29,WORLDCUP!$AH$4:$AH$147,0))),"",INDEX(WORLDCUP!$AD$4:$AD$147,MATCH(A29,WORLDCUP!$AH$4:$AH$147,0)))</f>
        <v>0</v>
      </c>
      <c r="F29" s="531" t="str">
        <f ca="1">+MID(INDEX(WORLDCUP!$AF$4:$AF$147,MATCH(A29,WORLDCUP!$AH$4:$AH$147,0)),1,3)</f>
        <v>Aus</v>
      </c>
      <c r="G29" s="552">
        <v>2</v>
      </c>
      <c r="H29" s="553" t="str">
        <f ca="1">+MID(INDEX(WORLDCUP!$AL$6:$AL$97,MATCH(L29,WORLDCUP!$AI$6:$AI$97,0)),1,3)</f>
        <v>Aus</v>
      </c>
      <c r="I29" s="223">
        <f ca="1">+INDEX(WORLDCUP!$AM$6:$AM$97,MATCH(L29,WORLDCUP!$AI$6:$AI$97,0))</f>
        <v>4</v>
      </c>
      <c r="J29" s="224">
        <f ca="1">+INDEX(WORLDCUP!$AT$6:$AT$97,MATCH(L29,WORLDCUP!$AI$6:$AI$97,0))</f>
        <v>0</v>
      </c>
      <c r="K29" s="225" t="str">
        <f ca="1">+INDEX(WORLDCUP!$AR$6:$AR$97,MATCH(L29,WORLDCUP!$AI$6:$AI$97,0))&amp;"-"&amp;INDEX(WORLDCUP!$AS$6:$AS$97,MATCH(L29,WORLDCUP!$AI$6:$AI$97,0))</f>
        <v>2-2</v>
      </c>
      <c r="L29" s="19" t="s">
        <v>659</v>
      </c>
      <c r="M29" s="19">
        <v>43</v>
      </c>
      <c r="N29" s="631"/>
      <c r="O29" s="529" t="str">
        <f ca="1">+MID(INDEX(WORLDCUP!$AA$4:$AA$147,MATCH(M29,WORLDCUP!$AH$4:$AH$147,0)),1,3)</f>
        <v>Arg</v>
      </c>
      <c r="P29" s="530">
        <f>IF(ISBLANK(INDEX(WORLDCUP!$AC$4:$AC$147,MATCH(M29,WORLDCUP!$AH$4:$AH$147,0))),"",INDEX(WORLDCUP!$AC$4:$AC$147,MATCH(M29,WORLDCUP!$AH$4:$AH$147,0)))</f>
        <v>2</v>
      </c>
      <c r="Q29" s="530">
        <f>IF(ISBLANK(INDEX(WORLDCUP!$AD$4:$AD$147,MATCH(M29,WORLDCUP!$AH$4:$AH$147,0))),"",INDEX(WORLDCUP!$AD$4:$AD$147,MATCH(M29,WORLDCUP!$AH$4:$AH$147,0)))</f>
        <v>0</v>
      </c>
      <c r="R29" s="531" t="str">
        <f ca="1">+MID(INDEX(WORLDCUP!$AF$4:$AF$147,MATCH(M29,WORLDCUP!$AH$4:$AH$147,0)),1,3)</f>
        <v>Aus</v>
      </c>
      <c r="S29" s="552">
        <v>2</v>
      </c>
      <c r="T29" s="553" t="str">
        <f ca="1">+MID(INDEX(WORLDCUP!$AL$6:$AL$97,MATCH(X29,WORLDCUP!$AI$6:$AI$97,0)),1,3)</f>
        <v>Aus</v>
      </c>
      <c r="U29" s="223">
        <f ca="1">+INDEX(WORLDCUP!$AM$6:$AM$97,MATCH(X29,WORLDCUP!$AI$6:$AI$97,0))</f>
        <v>4</v>
      </c>
      <c r="V29" s="224">
        <f ca="1">+INDEX(WORLDCUP!$AT$6:$AT$97,MATCH(X29,WORLDCUP!$AI$6:$AI$97,0))</f>
        <v>0</v>
      </c>
      <c r="W29" s="225" t="str">
        <f ca="1">+INDEX(WORLDCUP!$AR$6:$AR$97,MATCH(X29,WORLDCUP!$AI$6:$AI$97,0))&amp;"-"&amp;INDEX(WORLDCUP!$AS$6:$AS$97,MATCH(X29,WORLDCUP!$AI$6:$AI$97,0))</f>
        <v>6-6</v>
      </c>
      <c r="X29" s="19" t="s">
        <v>677</v>
      </c>
      <c r="Y29" s="19"/>
      <c r="Z29" s="510"/>
      <c r="AA29" s="554"/>
      <c r="AB29" s="554"/>
      <c r="AC29" s="555"/>
      <c r="AD29" s="19">
        <v>91</v>
      </c>
      <c r="AE29" s="541" t="str">
        <f ca="1">+MID(INDEX(WORLDCUP!$AF$101:$AF$147,MATCH(AD29,WORLDCUP!$Z$101:$Z$147,0)),1,3)</f>
        <v>Nor</v>
      </c>
      <c r="AF29" s="542">
        <f>+IF(ISBLANK(INDEX(WORLDCUP!$AD$101:$AD$147,MATCH(AD29,WORLDCUP!$Z$101:$Z$147,0))),"",INDEX(WORLDCUP!$AD$101:$AD$147,MATCH(AD29,WORLDCUP!$Z$101:$Z$147,0)))</f>
        <v>2</v>
      </c>
      <c r="AG29" s="600" t="str">
        <f>+IF(ISBLANK(INDEX(WORLDCUP!$AE$101:$AE$147,MATCH(AD29,WORLDCUP!$Z$101:$Z$147,0))),"","( "&amp;INDEX(WORLDCUP!$AE$101:$AE$147,MATCH(AD29,WORLDCUP!$Z$101:$Z$147,0))&amp;" )")</f>
        <v/>
      </c>
      <c r="AH29" s="19"/>
      <c r="AI29" s="544"/>
      <c r="AJ29" s="544"/>
      <c r="AK29" s="544"/>
      <c r="AL29" s="19"/>
      <c r="AM29" s="516"/>
      <c r="AN29" s="516"/>
      <c r="AO29" s="597"/>
      <c r="AP29" s="92"/>
      <c r="AQ29" s="545"/>
      <c r="AR29" s="545"/>
      <c r="AS29" s="545"/>
      <c r="AT29" s="19"/>
      <c r="AU29" s="518"/>
      <c r="AV29" s="518"/>
      <c r="AW29" s="518"/>
      <c r="AX29" s="19"/>
      <c r="AY29" s="613"/>
      <c r="AZ29" s="627"/>
      <c r="BA29" s="616"/>
      <c r="BB29" s="619"/>
      <c r="BC29" s="615"/>
      <c r="BD29" s="297"/>
      <c r="BE29" s="297"/>
      <c r="BG29" s="547" t="str">
        <f ca="1">Horarios!Q28</f>
        <v>Jordan</v>
      </c>
      <c r="BH29" s="548">
        <f t="shared" ca="1" si="0"/>
        <v>1</v>
      </c>
      <c r="BI29" s="548">
        <f ca="1">COUNTIF(ADMIN!$M$130:$M$161,Fixture!BG29)-BJ29-BK29-BL29-BM29-BN29-BO29</f>
        <v>0</v>
      </c>
      <c r="BJ29" s="549">
        <f ca="1">COUNTIF(ADMIN!$M$182:$M$197,Fixture!BG29)-BK29-BL29-BM29-BN29-BO29</f>
        <v>0</v>
      </c>
      <c r="BK29" s="550">
        <f ca="1">COUNTIF(ADMIN!$M$210:$M$217,Fixture!BG29)-BL29-BM29-BN29-BO29</f>
        <v>0</v>
      </c>
      <c r="BL29" s="550">
        <f ca="1">COUNTIF(ADMIN!$M$226:$M$229,BG29)-BM29-BN29-BO29</f>
        <v>0</v>
      </c>
      <c r="BM29" s="548">
        <f ca="1">COUNTIF(ADMIN!$M$252,Fixture!BG29)</f>
        <v>0</v>
      </c>
      <c r="BN29" s="548">
        <f ca="1">COUNTIF(ADMIN!$M$251,Fixture!BG29)</f>
        <v>0</v>
      </c>
      <c r="BO29" s="551">
        <f ca="1">COUNTIF(ADMIN!$M$250,Fixture!BG29)</f>
        <v>0</v>
      </c>
    </row>
    <row r="30" spans="1:67" ht="15.75" thickBot="1">
      <c r="A30" s="19">
        <v>31</v>
      </c>
      <c r="B30" s="630"/>
      <c r="C30" s="529" t="str">
        <f ca="1">+MID(INDEX(WORLDCUP!$AA$4:$AA$147,MATCH(A30,WORLDCUP!$AH$4:$AH$147,0)),1,3)</f>
        <v>Tur</v>
      </c>
      <c r="D30" s="530">
        <f>IF(ISBLANK(INDEX(WORLDCUP!$AC$4:$AC$147,MATCH(A30,WORLDCUP!$AH$4:$AH$147,0))),"",INDEX(WORLDCUP!$AC$4:$AC$147,MATCH(A30,WORLDCUP!$AH$4:$AH$147,0)))</f>
        <v>0</v>
      </c>
      <c r="E30" s="530">
        <f>IF(ISBLANK(INDEX(WORLDCUP!$AD$4:$AD$147,MATCH(A30,WORLDCUP!$AH$4:$AH$147,0))),"",INDEX(WORLDCUP!$AD$4:$AD$147,MATCH(A30,WORLDCUP!$AH$4:$AH$147,0)))</f>
        <v>1</v>
      </c>
      <c r="F30" s="531" t="str">
        <f ca="1">+MID(INDEX(WORLDCUP!$AF$4:$AF$147,MATCH(A30,WORLDCUP!$AH$4:$AH$147,0)),1,3)</f>
        <v>Par</v>
      </c>
      <c r="G30" s="552">
        <v>3</v>
      </c>
      <c r="H30" s="553" t="str">
        <f ca="1">+MID(INDEX(WORLDCUP!$AL$6:$AL$97,MATCH(L30,WORLDCUP!$AI$6:$AI$97,0)),1,3)</f>
        <v>Par</v>
      </c>
      <c r="I30" s="223">
        <f ca="1">+INDEX(WORLDCUP!$AM$6:$AM$97,MATCH(L30,WORLDCUP!$AI$6:$AI$97,0))</f>
        <v>4</v>
      </c>
      <c r="J30" s="224">
        <f ca="1">+INDEX(WORLDCUP!$AT$6:$AT$97,MATCH(L30,WORLDCUP!$AI$6:$AI$97,0))</f>
        <v>-2</v>
      </c>
      <c r="K30" s="225" t="str">
        <f ca="1">+INDEX(WORLDCUP!$AR$6:$AR$97,MATCH(L30,WORLDCUP!$AI$6:$AI$97,0))&amp;"-"&amp;INDEX(WORLDCUP!$AS$6:$AS$97,MATCH(L30,WORLDCUP!$AI$6:$AI$97,0))</f>
        <v>2-4</v>
      </c>
      <c r="L30" s="19" t="s">
        <v>92</v>
      </c>
      <c r="M30" s="19">
        <v>44</v>
      </c>
      <c r="N30" s="631"/>
      <c r="O30" s="529" t="str">
        <f ca="1">+MID(INDEX(WORLDCUP!$AA$4:$AA$147,MATCH(M30,WORLDCUP!$AH$4:$AH$147,0)),1,3)</f>
        <v>Jor</v>
      </c>
      <c r="P30" s="530">
        <f>IF(ISBLANK(INDEX(WORLDCUP!$AC$4:$AC$147,MATCH(M30,WORLDCUP!$AH$4:$AH$147,0))),"",INDEX(WORLDCUP!$AC$4:$AC$147,MATCH(M30,WORLDCUP!$AH$4:$AH$147,0)))</f>
        <v>1</v>
      </c>
      <c r="Q30" s="530">
        <f>IF(ISBLANK(INDEX(WORLDCUP!$AD$4:$AD$147,MATCH(M30,WORLDCUP!$AH$4:$AH$147,0))),"",INDEX(WORLDCUP!$AD$4:$AD$147,MATCH(M30,WORLDCUP!$AH$4:$AH$147,0)))</f>
        <v>2</v>
      </c>
      <c r="R30" s="531" t="str">
        <f ca="1">+MID(INDEX(WORLDCUP!$AF$4:$AF$147,MATCH(M30,WORLDCUP!$AH$4:$AH$147,0)),1,3)</f>
        <v>Alg</v>
      </c>
      <c r="S30" s="552">
        <v>3</v>
      </c>
      <c r="T30" s="553" t="str">
        <f ca="1">+MID(INDEX(WORLDCUP!$AL$6:$AL$97,MATCH(X30,WORLDCUP!$AI$6:$AI$97,0)),1,3)</f>
        <v>Alg</v>
      </c>
      <c r="U30" s="223">
        <f ca="1">+INDEX(WORLDCUP!$AM$6:$AM$97,MATCH(X30,WORLDCUP!$AI$6:$AI$97,0))</f>
        <v>4</v>
      </c>
      <c r="V30" s="224">
        <f ca="1">+INDEX(WORLDCUP!$AT$6:$AT$97,MATCH(X30,WORLDCUP!$AI$6:$AI$97,0))</f>
        <v>-2</v>
      </c>
      <c r="W30" s="225" t="str">
        <f ca="1">+INDEX(WORLDCUP!$AR$6:$AR$97,MATCH(X30,WORLDCUP!$AI$6:$AI$97,0))&amp;"-"&amp;INDEX(WORLDCUP!$AS$6:$AS$97,MATCH(X30,WORLDCUP!$AI$6:$AI$97,0))</f>
        <v>5-7</v>
      </c>
      <c r="X30" s="19" t="s">
        <v>441</v>
      </c>
      <c r="Y30" s="19">
        <v>78</v>
      </c>
      <c r="Z30" s="510" t="s">
        <v>662</v>
      </c>
      <c r="AA30" s="511" t="str">
        <f ca="1">+MID(INDEX(WORLDCUP!$AA$101:$AA$147,MATCH(Y30,WORLDCUP!$Z$101:$Z$147,0)),1,3)</f>
        <v>Ivo</v>
      </c>
      <c r="AB30" s="557">
        <f>+IF(ISBLANK(INDEX(WORLDCUP!$AC$101:$AC$147,MATCH(Y30,WORLDCUP!$Z$101:$Z$147,0))),"",INDEX(WORLDCUP!$AC$101:$AC$147,MATCH(Y30,WORLDCUP!$Z$101:$Z$147,0)))</f>
        <v>1</v>
      </c>
      <c r="AC30" s="591" t="str">
        <f>+IF(ISBLANK(INDEX(WORLDCUP!$AB$101:$AB$147,MATCH(Y30,WORLDCUP!$Z$101:$Z$147,0))),"","( "&amp;INDEX(WORLDCUP!$AB$101:$AB$147,MATCH(Y30,WORLDCUP!$Z$101:$Z$147,0))&amp;" )")</f>
        <v/>
      </c>
      <c r="AD30" s="19"/>
      <c r="AE30" s="559"/>
      <c r="AF30" s="559"/>
      <c r="AG30" s="560"/>
      <c r="AH30" s="19"/>
      <c r="AI30" s="544"/>
      <c r="AJ30" s="544"/>
      <c r="AK30" s="544"/>
      <c r="AL30" s="19"/>
      <c r="AM30" s="516"/>
      <c r="AN30" s="516"/>
      <c r="AO30" s="597"/>
      <c r="AP30" s="19"/>
      <c r="AQ30" s="545"/>
      <c r="AR30" s="545"/>
      <c r="AS30" s="545"/>
      <c r="AT30" s="19"/>
      <c r="AU30" s="518"/>
      <c r="AV30" s="518"/>
      <c r="AW30" s="518"/>
      <c r="AX30" s="19"/>
      <c r="AY30" s="613"/>
      <c r="AZ30" s="627"/>
      <c r="BA30" s="616"/>
      <c r="BB30" s="619"/>
      <c r="BC30" s="615"/>
      <c r="BD30" s="297"/>
      <c r="BE30" s="297"/>
      <c r="BG30" s="547" t="str">
        <f ca="1">Horarios!Q29</f>
        <v>Mexico</v>
      </c>
      <c r="BH30" s="548">
        <f t="shared" ca="1" si="0"/>
        <v>0</v>
      </c>
      <c r="BI30" s="548">
        <f ca="1">COUNTIF(ADMIN!$M$130:$M$161,Fixture!BG30)-BJ30-BK30-BL30-BM30-BN30-BO30</f>
        <v>0</v>
      </c>
      <c r="BJ30" s="549">
        <f ca="1">COUNTIF(ADMIN!$M$182:$M$197,Fixture!BG30)-BK30-BL30-BM30-BN30-BO30</f>
        <v>1</v>
      </c>
      <c r="BK30" s="550">
        <f ca="1">COUNTIF(ADMIN!$M$210:$M$217,Fixture!BG30)-BL30-BM30-BN30-BO30</f>
        <v>0</v>
      </c>
      <c r="BL30" s="550">
        <f ca="1">COUNTIF(ADMIN!$M$226:$M$229,BG30)-BM30-BN30-BO30</f>
        <v>0</v>
      </c>
      <c r="BM30" s="548">
        <f ca="1">COUNTIF(ADMIN!$M$252,Fixture!BG30)</f>
        <v>0</v>
      </c>
      <c r="BN30" s="548">
        <f ca="1">COUNTIF(ADMIN!$M$251,Fixture!BG30)</f>
        <v>0</v>
      </c>
      <c r="BO30" s="551">
        <f ca="1">COUNTIF(ADMIN!$M$250,Fixture!BG30)</f>
        <v>0</v>
      </c>
    </row>
    <row r="31" spans="1:67" ht="15.75" thickBot="1">
      <c r="A31" s="19">
        <v>59</v>
      </c>
      <c r="B31" s="630"/>
      <c r="C31" s="529" t="str">
        <f ca="1">+MID(INDEX(WORLDCUP!$AA$4:$AA$147,MATCH(A31,WORLDCUP!$AH$4:$AH$147,0)),1,3)</f>
        <v>Tur</v>
      </c>
      <c r="D31" s="530">
        <f>IF(ISBLANK(INDEX(WORLDCUP!$AC$4:$AC$147,MATCH(A31,WORLDCUP!$AH$4:$AH$147,0))),"",INDEX(WORLDCUP!$AC$4:$AC$147,MATCH(A31,WORLDCUP!$AH$4:$AH$147,0)))</f>
        <v>3</v>
      </c>
      <c r="E31" s="530">
        <f>IF(ISBLANK(INDEX(WORLDCUP!$AD$4:$AD$147,MATCH(A31,WORLDCUP!$AH$4:$AH$147,0))),"",INDEX(WORLDCUP!$AD$4:$AD$147,MATCH(A31,WORLDCUP!$AH$4:$AH$147,0)))</f>
        <v>2</v>
      </c>
      <c r="F31" s="531" t="str">
        <f ca="1">+MID(INDEX(WORLDCUP!$AF$4:$AF$147,MATCH(A31,WORLDCUP!$AH$4:$AH$147,0)),1,3)</f>
        <v>Uni</v>
      </c>
      <c r="G31" s="552">
        <v>4</v>
      </c>
      <c r="H31" s="561" t="str">
        <f ca="1">+MID(INDEX(WORLDCUP!$AL$6:$AL$97,MATCH(L31,WORLDCUP!$AI$6:$AI$97,0)),1,3)</f>
        <v>Tur</v>
      </c>
      <c r="I31" s="562">
        <f ca="1">+INDEX(WORLDCUP!$AM$6:$AM$97,MATCH(L31,WORLDCUP!$AI$6:$AI$97,0))</f>
        <v>3</v>
      </c>
      <c r="J31" s="563">
        <f ca="1">+INDEX(WORLDCUP!$AT$6:$AT$97,MATCH(L31,WORLDCUP!$AI$6:$AI$97,0))</f>
        <v>-2</v>
      </c>
      <c r="K31" s="564" t="str">
        <f ca="1">+INDEX(WORLDCUP!$AR$6:$AR$97,MATCH(L31,WORLDCUP!$AI$6:$AI$97,0))&amp;"-"&amp;INDEX(WORLDCUP!$AS$6:$AS$97,MATCH(L31,WORLDCUP!$AI$6:$AI$97,0))</f>
        <v>3-5</v>
      </c>
      <c r="L31" s="19" t="s">
        <v>660</v>
      </c>
      <c r="M31" s="19">
        <v>69</v>
      </c>
      <c r="N31" s="631"/>
      <c r="O31" s="529" t="str">
        <f ca="1">+MID(INDEX(WORLDCUP!$AA$4:$AA$147,MATCH(M31,WORLDCUP!$AH$4:$AH$147,0)),1,3)</f>
        <v>Alg</v>
      </c>
      <c r="P31" s="530">
        <f>IF(ISBLANK(INDEX(WORLDCUP!$AC$4:$AC$147,MATCH(M31,WORLDCUP!$AH$4:$AH$147,0))),"",INDEX(WORLDCUP!$AC$4:$AC$147,MATCH(M31,WORLDCUP!$AH$4:$AH$147,0)))</f>
        <v>3</v>
      </c>
      <c r="Q31" s="530">
        <f>IF(ISBLANK(INDEX(WORLDCUP!$AD$4:$AD$147,MATCH(M31,WORLDCUP!$AH$4:$AH$147,0))),"",INDEX(WORLDCUP!$AD$4:$AD$147,MATCH(M31,WORLDCUP!$AH$4:$AH$147,0)))</f>
        <v>3</v>
      </c>
      <c r="R31" s="531" t="str">
        <f ca="1">+MID(INDEX(WORLDCUP!$AF$4:$AF$147,MATCH(M31,WORLDCUP!$AH$4:$AH$147,0)),1,3)</f>
        <v>Aus</v>
      </c>
      <c r="S31" s="552">
        <v>4</v>
      </c>
      <c r="T31" s="561" t="str">
        <f ca="1">+MID(INDEX(WORLDCUP!$AL$6:$AL$97,MATCH(X31,WORLDCUP!$AI$6:$AI$97,0)),1,3)</f>
        <v>Jor</v>
      </c>
      <c r="U31" s="562">
        <f ca="1">+INDEX(WORLDCUP!$AM$6:$AM$97,MATCH(X31,WORLDCUP!$AI$6:$AI$97,0))</f>
        <v>0</v>
      </c>
      <c r="V31" s="563">
        <f ca="1">+INDEX(WORLDCUP!$AT$6:$AT$97,MATCH(X31,WORLDCUP!$AI$6:$AI$97,0))</f>
        <v>-5</v>
      </c>
      <c r="W31" s="564" t="str">
        <f ca="1">+INDEX(WORLDCUP!$AR$6:$AR$97,MATCH(X31,WORLDCUP!$AI$6:$AI$97,0))&amp;"-"&amp;INDEX(WORLDCUP!$AS$6:$AS$97,MATCH(X31,WORLDCUP!$AI$6:$AI$97,0))</f>
        <v>3-8</v>
      </c>
      <c r="X31" s="19" t="s">
        <v>678</v>
      </c>
      <c r="Y31" s="19">
        <v>78</v>
      </c>
      <c r="Z31" s="510" t="s">
        <v>674</v>
      </c>
      <c r="AA31" s="565" t="str">
        <f ca="1">+MID(INDEX(WORLDCUP!$AF$101:$AF$147,MATCH(Y31,WORLDCUP!$Z$101:$Z$147,0)),1,3)</f>
        <v>Nor</v>
      </c>
      <c r="AB31" s="566">
        <f>+IF(ISBLANK(INDEX(WORLDCUP!$AD$101:$AD$147,MATCH(Y31,WORLDCUP!$Z$101:$Z$147,0))),"",INDEX(WORLDCUP!$AD$101:$AD$147,MATCH(Y31,WORLDCUP!$Z$101:$Z$147,0)))</f>
        <v>2</v>
      </c>
      <c r="AC31" s="592" t="str">
        <f>+IF(ISBLANK(INDEX(WORLDCUP!$AE$101:$AE$147,MATCH(Y31,WORLDCUP!$Z$101:$Z$147,0))),"","( "&amp;INDEX(WORLDCUP!$AE$101:$AE$147,MATCH(Y31,WORLDCUP!$Z$101:$Z$147,0))&amp;" )")</f>
        <v/>
      </c>
      <c r="AD31" s="19"/>
      <c r="AE31" s="559"/>
      <c r="AF31" s="559"/>
      <c r="AG31" s="560"/>
      <c r="AH31" s="584">
        <v>99</v>
      </c>
      <c r="AI31" s="568" t="str">
        <f ca="1">+MID(INDEX(WORLDCUP!$AA$101:$AA$147,MATCH(AH31,WORLDCUP!$Z$101:$Z$147,0)),1,3)</f>
        <v>Nor</v>
      </c>
      <c r="AJ31" s="569">
        <f>+IF(ISBLANK(INDEX(WORLDCUP!$AC$101:$AC$147,MATCH(AH31,WORLDCUP!$Z$101:$Z$147,0))),"",INDEX(WORLDCUP!$AC$101:$AC$147,MATCH(AH31,WORLDCUP!$Z$101:$Z$147,0)))</f>
        <v>1</v>
      </c>
      <c r="AK31" s="570" t="str">
        <f>+IF(ISBLANK(INDEX(WORLDCUP!$AB$101:$AB$147,MATCH(AH31,WORLDCUP!$Z$101:$Z$147,0))),"","( "&amp;INDEX(WORLDCUP!$AB$101:$AB$147,MATCH(AH31,WORLDCUP!$Z$101:$Z$147,0))&amp;" )")</f>
        <v/>
      </c>
      <c r="AL31" s="19"/>
      <c r="AM31" s="516"/>
      <c r="AN31" s="516"/>
      <c r="AO31" s="597"/>
      <c r="AP31" s="632">
        <v>103</v>
      </c>
      <c r="AQ31" s="633" t="str">
        <f ca="1">+MID(INDEX(WORLDCUP!$AA$101:$AA$147,MATCH(AP31,WORLDCUP!$Z$101:$Z$147,0)),1,4)</f>
        <v>Fran</v>
      </c>
      <c r="AR31" s="634">
        <f>+IF(ISBLANK(INDEX(WORLDCUP!$AC$101:$AC$147,MATCH(AP31,WORLDCUP!$Z$101:$Z$147,0))),"",INDEX(WORLDCUP!$AC$101:$AC$147,MATCH(AP31,WORLDCUP!$Z$101:$Z$147,0)))</f>
        <v>4</v>
      </c>
      <c r="AS31" s="635" t="str">
        <f>+IF(ISBLANK(INDEX(WORLDCUP!$AB$101:$AB$147,MATCH(AP31,WORLDCUP!$Z$101:$Z$147,0))),"","( "&amp;INDEX(WORLDCUP!$AB$101:$AB$147,MATCH(AP31,WORLDCUP!$Z$101:$Z$147,0))&amp;" )")</f>
        <v/>
      </c>
      <c r="AT31" s="636"/>
      <c r="AU31" s="637"/>
      <c r="AV31" s="637"/>
      <c r="AW31" s="637"/>
      <c r="AX31" s="636"/>
      <c r="AY31" s="638"/>
      <c r="AZ31" s="639"/>
      <c r="BA31" s="639"/>
      <c r="BB31" s="639"/>
      <c r="BC31" s="640"/>
      <c r="BD31" s="297"/>
      <c r="BE31" s="297"/>
      <c r="BG31" s="547" t="str">
        <f ca="1">Horarios!Q30</f>
        <v>Morocco</v>
      </c>
      <c r="BH31" s="548">
        <f t="shared" ca="1" si="0"/>
        <v>0</v>
      </c>
      <c r="BI31" s="548">
        <f ca="1">COUNTIF(ADMIN!$M$130:$M$161,Fixture!BG31)-BJ31-BK31-BL31-BM31-BN31-BO31</f>
        <v>0</v>
      </c>
      <c r="BJ31" s="549">
        <f ca="1">COUNTIF(ADMIN!$M$182:$M$197,Fixture!BG31)-BK31-BL31-BM31-BN31-BO31</f>
        <v>0</v>
      </c>
      <c r="BK31" s="550">
        <f ca="1">COUNTIF(ADMIN!$M$210:$M$217,Fixture!BG31)-BL31-BM31-BN31-BO31</f>
        <v>1</v>
      </c>
      <c r="BL31" s="550">
        <f ca="1">COUNTIF(ADMIN!$M$226:$M$229,BG31)-BM31-BN31-BO31</f>
        <v>0</v>
      </c>
      <c r="BM31" s="548">
        <f ca="1">COUNTIF(ADMIN!$M$252,Fixture!BG31)</f>
        <v>0</v>
      </c>
      <c r="BN31" s="548">
        <f ca="1">COUNTIF(ADMIN!$M$251,Fixture!BG31)</f>
        <v>0</v>
      </c>
      <c r="BO31" s="551">
        <f ca="1">COUNTIF(ADMIN!$M$250,Fixture!BG31)</f>
        <v>0</v>
      </c>
    </row>
    <row r="32" spans="1:67" ht="15.75" thickBot="1">
      <c r="A32" s="19">
        <v>60</v>
      </c>
      <c r="B32" s="641"/>
      <c r="C32" s="572" t="str">
        <f ca="1">+MID(INDEX(WORLDCUP!$AA$4:$AA$147,MATCH(A32,WORLDCUP!$AH$4:$AH$147,0)),1,3)</f>
        <v>Par</v>
      </c>
      <c r="D32" s="573">
        <f>IF(ISBLANK(INDEX(WORLDCUP!$AC$4:$AC$147,MATCH(A32,WORLDCUP!$AH$4:$AH$147,0))),"",INDEX(WORLDCUP!$AC$4:$AC$147,MATCH(A32,WORLDCUP!$AH$4:$AH$147,0)))</f>
        <v>0</v>
      </c>
      <c r="E32" s="573">
        <f>IF(ISBLANK(INDEX(WORLDCUP!$AD$4:$AD$147,MATCH(A32,WORLDCUP!$AH$4:$AH$147,0))),"",INDEX(WORLDCUP!$AD$4:$AD$147,MATCH(A32,WORLDCUP!$AH$4:$AH$147,0)))</f>
        <v>0</v>
      </c>
      <c r="F32" s="574" t="str">
        <f ca="1">+MID(INDEX(WORLDCUP!$AF$4:$AF$147,MATCH(A32,WORLDCUP!$AH$4:$AH$147,0)),1,3)</f>
        <v>Aus</v>
      </c>
      <c r="G32" s="575"/>
      <c r="H32" s="575"/>
      <c r="I32" s="576"/>
      <c r="J32" s="576"/>
      <c r="K32" s="577"/>
      <c r="L32" s="19"/>
      <c r="M32" s="19">
        <v>70</v>
      </c>
      <c r="N32" s="642"/>
      <c r="O32" s="572" t="str">
        <f ca="1">+MID(INDEX(WORLDCUP!$AA$4:$AA$147,MATCH(M32,WORLDCUP!$AH$4:$AH$147,0)),1,3)</f>
        <v>Jor</v>
      </c>
      <c r="P32" s="573">
        <f>IF(ISBLANK(INDEX(WORLDCUP!$AC$4:$AC$147,MATCH(M32,WORLDCUP!$AH$4:$AH$147,0))),"",INDEX(WORLDCUP!$AC$4:$AC$147,MATCH(M32,WORLDCUP!$AH$4:$AH$147,0)))</f>
        <v>1</v>
      </c>
      <c r="Q32" s="573">
        <f>IF(ISBLANK(INDEX(WORLDCUP!$AD$4:$AD$147,MATCH(M32,WORLDCUP!$AH$4:$AH$147,0))),"",INDEX(WORLDCUP!$AD$4:$AD$147,MATCH(M32,WORLDCUP!$AH$4:$AH$147,0)))</f>
        <v>3</v>
      </c>
      <c r="R32" s="574" t="str">
        <f ca="1">+MID(INDEX(WORLDCUP!$AF$4:$AF$147,MATCH(M32,WORLDCUP!$AH$4:$AH$147,0)),1,3)</f>
        <v>Arg</v>
      </c>
      <c r="S32" s="575"/>
      <c r="T32" s="575"/>
      <c r="U32" s="576"/>
      <c r="V32" s="576"/>
      <c r="W32" s="577"/>
      <c r="X32" s="19"/>
      <c r="Y32" s="19"/>
      <c r="Z32" s="510"/>
      <c r="AA32" s="579"/>
      <c r="AB32" s="579"/>
      <c r="AC32" s="579"/>
      <c r="AD32" s="19"/>
      <c r="AE32" s="514"/>
      <c r="AF32" s="514"/>
      <c r="AG32" s="560"/>
      <c r="AH32" s="19">
        <v>99</v>
      </c>
      <c r="AI32" s="568" t="str">
        <f ca="1">+MID(INDEX(WORLDCUP!$AF$101:$AF$147,MATCH(AH32,WORLDCUP!$Z$101:$Z$147,0)),1,3)</f>
        <v>Eng</v>
      </c>
      <c r="AJ32" s="569">
        <f>+IF(ISBLANK(INDEX(WORLDCUP!$AD$101:$AD$147,MATCH(AH32,WORLDCUP!$Z$101:$Z$147,0))),"",INDEX(WORLDCUP!$AD$101:$AD$147,MATCH(AH32,WORLDCUP!$Z$101:$Z$147,0)))</f>
        <v>2</v>
      </c>
      <c r="AK32" s="580" t="str">
        <f>+IF(ISBLANK(INDEX(WORLDCUP!$AE$101:$AE$147,MATCH(AH32,WORLDCUP!$Z$101:$Z$147,0))),"","( "&amp;INDEX(WORLDCUP!$AE$101:$AE$147,MATCH(AH32,WORLDCUP!$Z$101:$Z$147,0))&amp;" )")</f>
        <v/>
      </c>
      <c r="AL32" s="19"/>
      <c r="AM32" s="516"/>
      <c r="AN32" s="516"/>
      <c r="AO32" s="597"/>
      <c r="AP32" s="92">
        <v>103</v>
      </c>
      <c r="AQ32" s="633" t="str">
        <f ca="1">+MID(INDEX(WORLDCUP!$AF$101:$AF$147,MATCH(AP32,WORLDCUP!$Z$101:$Z$147,0)),1,4)</f>
        <v>Engl</v>
      </c>
      <c r="AR32" s="634">
        <f>+IF(ISBLANK(INDEX(WORLDCUP!$AD$101:$AD$147,MATCH(AP32,WORLDCUP!$Z$101:$Z$147,0))),"",INDEX(WORLDCUP!$AD$101:$AD$147,MATCH(AP32,WORLDCUP!$Z$101:$Z$147,0)))</f>
        <v>6</v>
      </c>
      <c r="AS32" s="545" t="str">
        <f>+IF(ISBLANK(INDEX(WORLDCUP!$AE$101:$AE$147,MATCH(AP32,WORLDCUP!$Z$101:$Z$147,0))),"","( "&amp;INDEX(WORLDCUP!$AE$101:$AE$147,MATCH(AP32,WORLDCUP!$Z$101:$Z$147,0))&amp;" )")</f>
        <v/>
      </c>
      <c r="AT32" s="19"/>
      <c r="AU32" s="518"/>
      <c r="AV32" s="518"/>
      <c r="AW32" s="518"/>
      <c r="AX32" s="19"/>
      <c r="AY32" s="297"/>
      <c r="AZ32" s="297"/>
      <c r="BA32" s="297"/>
      <c r="BB32" s="297"/>
      <c r="BC32" s="297"/>
      <c r="BD32" s="297"/>
      <c r="BE32" s="297"/>
      <c r="BG32" s="547" t="str">
        <f ca="1">Horarios!Q31</f>
        <v>Netherlands</v>
      </c>
      <c r="BH32" s="548">
        <f t="shared" ca="1" si="0"/>
        <v>0</v>
      </c>
      <c r="BI32" s="548">
        <f ca="1">COUNTIF(ADMIN!$M$130:$M$161,Fixture!BG32)-BJ32-BK32-BL32-BM32-BN32-BO32</f>
        <v>1</v>
      </c>
      <c r="BJ32" s="549">
        <f ca="1">COUNTIF(ADMIN!$M$182:$M$197,Fixture!BG32)-BK32-BL32-BM32-BN32-BO32</f>
        <v>0</v>
      </c>
      <c r="BK32" s="550">
        <f ca="1">COUNTIF(ADMIN!$M$210:$M$217,Fixture!BG32)-BL32-BM32-BN32-BO32</f>
        <v>0</v>
      </c>
      <c r="BL32" s="550">
        <f ca="1">COUNTIF(ADMIN!$M$226:$M$229,BG32)-BM32-BN32-BO32</f>
        <v>0</v>
      </c>
      <c r="BM32" s="548">
        <f ca="1">COUNTIF(ADMIN!$M$252,Fixture!BG32)</f>
        <v>0</v>
      </c>
      <c r="BN32" s="548">
        <f ca="1">COUNTIF(ADMIN!$M$251,Fixture!BG32)</f>
        <v>0</v>
      </c>
      <c r="BO32" s="551">
        <f ca="1">COUNTIF(ADMIN!$M$250,Fixture!BG32)</f>
        <v>0</v>
      </c>
    </row>
    <row r="33" spans="1:67" ht="15.75" thickBot="1">
      <c r="A33" s="19"/>
      <c r="B33" s="497"/>
      <c r="C33" s="581"/>
      <c r="D33" s="441"/>
      <c r="E33" s="441"/>
      <c r="F33" s="297"/>
      <c r="G33" s="297"/>
      <c r="H33" s="581"/>
      <c r="I33" s="297"/>
      <c r="J33" s="297"/>
      <c r="K33" s="297"/>
      <c r="L33" s="19"/>
      <c r="M33" s="19"/>
      <c r="N33" s="247"/>
      <c r="O33" s="581"/>
      <c r="P33" s="441"/>
      <c r="Q33" s="441"/>
      <c r="R33" s="297"/>
      <c r="S33" s="297"/>
      <c r="T33" s="581"/>
      <c r="U33" s="297"/>
      <c r="V33" s="297"/>
      <c r="W33" s="297"/>
      <c r="X33" s="19"/>
      <c r="Y33" s="19">
        <v>79</v>
      </c>
      <c r="Z33" s="510" t="s">
        <v>645</v>
      </c>
      <c r="AA33" s="511" t="str">
        <f ca="1">+MID(INDEX(WORLDCUP!$AA$101:$AA$147,MATCH(Y33,WORLDCUP!$Z$101:$Z$147,0)),1,3)</f>
        <v>Mex</v>
      </c>
      <c r="AB33" s="512">
        <f>+IF(ISBLANK(INDEX(WORLDCUP!$AC$101:$AC$147,MATCH(Y33,WORLDCUP!$Z$101:$Z$147,0))),"",INDEX(WORLDCUP!$AC$101:$AC$147,MATCH(Y33,WORLDCUP!$Z$101:$Z$147,0)))</f>
        <v>2</v>
      </c>
      <c r="AC33" s="582" t="str">
        <f>+IF(ISBLANK(INDEX(WORLDCUP!$AB$101:$AB$147,MATCH(Y33,WORLDCUP!$Z$101:$Z$147,0))),"","( "&amp;INDEX(WORLDCUP!$AB$101:$AB$147,MATCH(Y33,WORLDCUP!$Z$101:$Z$147,0))&amp;" )")</f>
        <v/>
      </c>
      <c r="AD33" s="18"/>
      <c r="AE33" s="514"/>
      <c r="AF33" s="514"/>
      <c r="AG33" s="560"/>
      <c r="AH33" s="19"/>
      <c r="AI33" s="544"/>
      <c r="AJ33" s="544"/>
      <c r="AK33" s="583"/>
      <c r="AL33" s="92"/>
      <c r="AM33" s="516"/>
      <c r="AN33" s="516"/>
      <c r="AO33" s="597"/>
      <c r="AP33" s="19"/>
      <c r="AQ33" s="545"/>
      <c r="AR33" s="545"/>
      <c r="AS33" s="545"/>
      <c r="AT33" s="19"/>
      <c r="AU33" s="518"/>
      <c r="AV33" s="518"/>
      <c r="AW33" s="518"/>
      <c r="AX33" s="19"/>
      <c r="AY33" s="297"/>
      <c r="AZ33" s="297"/>
      <c r="BA33" s="297"/>
      <c r="BB33" s="297"/>
      <c r="BC33" s="297"/>
      <c r="BD33" s="297"/>
      <c r="BE33" s="297"/>
      <c r="BG33" s="547" t="str">
        <f ca="1">Horarios!Q32</f>
        <v>New Zealand</v>
      </c>
      <c r="BH33" s="548">
        <f t="shared" ca="1" si="0"/>
        <v>1</v>
      </c>
      <c r="BI33" s="548">
        <f ca="1">COUNTIF(ADMIN!$M$130:$M$161,Fixture!BG33)-BJ33-BK33-BL33-BM33-BN33-BO33</f>
        <v>0</v>
      </c>
      <c r="BJ33" s="549">
        <f ca="1">COUNTIF(ADMIN!$M$182:$M$197,Fixture!BG33)-BK33-BL33-BM33-BN33-BO33</f>
        <v>0</v>
      </c>
      <c r="BK33" s="550">
        <f ca="1">COUNTIF(ADMIN!$M$210:$M$217,Fixture!BG33)-BL33-BM33-BN33-BO33</f>
        <v>0</v>
      </c>
      <c r="BL33" s="550">
        <f ca="1">COUNTIF(ADMIN!$M$226:$M$229,BG33)-BM33-BN33-BO33</f>
        <v>0</v>
      </c>
      <c r="BM33" s="548">
        <f ca="1">COUNTIF(ADMIN!$M$252,Fixture!BG33)</f>
        <v>0</v>
      </c>
      <c r="BN33" s="548">
        <f ca="1">COUNTIF(ADMIN!$M$251,Fixture!BG33)</f>
        <v>0</v>
      </c>
      <c r="BO33" s="551">
        <f ca="1">COUNTIF(ADMIN!$M$250,Fixture!BG33)</f>
        <v>0</v>
      </c>
    </row>
    <row r="34" spans="1:67" ht="15.75" thickBot="1">
      <c r="A34" s="19"/>
      <c r="B34" s="497"/>
      <c r="C34" s="581"/>
      <c r="D34" s="441"/>
      <c r="E34" s="441"/>
      <c r="F34" s="297"/>
      <c r="G34" s="297"/>
      <c r="H34" s="581"/>
      <c r="I34" s="297"/>
      <c r="J34" s="297"/>
      <c r="K34" s="297"/>
      <c r="L34" s="19"/>
      <c r="M34" s="19"/>
      <c r="N34" s="247"/>
      <c r="O34" s="581"/>
      <c r="P34" s="441"/>
      <c r="Q34" s="441"/>
      <c r="R34" s="297"/>
      <c r="S34" s="297"/>
      <c r="T34" s="581"/>
      <c r="U34" s="297"/>
      <c r="V34" s="297"/>
      <c r="W34" s="297"/>
      <c r="X34" s="19"/>
      <c r="Y34" s="19">
        <v>79</v>
      </c>
      <c r="Z34" s="510" t="s">
        <v>724</v>
      </c>
      <c r="AA34" s="511" t="str">
        <f ca="1">+MID(INDEX(WORLDCUP!$AF$101:$AF$147,MATCH(Y34,WORLDCUP!$Z$101:$Z$147,0)),1,IF(WORLDCUP!$H$113&lt;144,6,3))</f>
        <v>Ecu</v>
      </c>
      <c r="AB34" s="538">
        <f>+IF(ISBLANK(INDEX(WORLDCUP!$AD$101:$AD$147,MATCH(Y34,WORLDCUP!$Z$101:$Z$147,0))),"",INDEX(WORLDCUP!$AD$101:$AD$147,MATCH(Y34,WORLDCUP!$Z$101:$Z$147,0)))</f>
        <v>0</v>
      </c>
      <c r="AC34" s="539" t="str">
        <f>+IF(ISBLANK(INDEX(WORLDCUP!$AE$101:$AE$147,MATCH(Y34,WORLDCUP!$Z$101:$Z$147,0))),"","( "&amp;INDEX(WORLDCUP!$AE$101:$AE$147,MATCH(Y34,WORLDCUP!$Z$101:$Z$147,0))&amp;" )")</f>
        <v/>
      </c>
      <c r="AD34" s="540">
        <v>92</v>
      </c>
      <c r="AE34" s="541" t="str">
        <f ca="1">+MID(INDEX(WORLDCUP!$AA$101:$AA$147,MATCH(AD34,WORLDCUP!$Z$101:$Z$147,0)),1,3)</f>
        <v>Mex</v>
      </c>
      <c r="AF34" s="542">
        <f>+IF(ISBLANK(INDEX(WORLDCUP!$AC$101:$AC$147,MATCH(AD34,WORLDCUP!$Z$101:$Z$147,0))),"",INDEX(WORLDCUP!$AC$101:$AC$147,MATCH(AD34,WORLDCUP!$Z$101:$Z$147,0)))</f>
        <v>2</v>
      </c>
      <c r="AG34" s="585" t="str">
        <f>+IF(ISBLANK(INDEX(WORLDCUP!$AB$101:$AB$147,MATCH(AD34,WORLDCUP!$Z$101:$Z$147,0))),"","( "&amp;INDEX(WORLDCUP!$AB$101:$AB$147,MATCH(AD34,WORLDCUP!$Z$101:$Z$147,0))&amp;" )")</f>
        <v/>
      </c>
      <c r="AH34" s="19"/>
      <c r="AI34" s="544"/>
      <c r="AJ34" s="544"/>
      <c r="AK34" s="583"/>
      <c r="AL34" s="92"/>
      <c r="AM34" s="516"/>
      <c r="AN34" s="516"/>
      <c r="AO34" s="597"/>
      <c r="AP34" s="19"/>
      <c r="AQ34" s="545"/>
      <c r="AR34" s="545"/>
      <c r="AS34" s="545"/>
      <c r="AT34" s="19"/>
      <c r="AU34" s="518"/>
      <c r="AV34" s="518"/>
      <c r="AW34" s="518"/>
      <c r="AX34" s="19"/>
      <c r="AY34" s="297"/>
      <c r="AZ34" s="297"/>
      <c r="BA34" s="297"/>
      <c r="BB34" s="297"/>
      <c r="BC34" s="297"/>
      <c r="BD34" s="297"/>
      <c r="BE34" s="297"/>
      <c r="BG34" s="547" t="str">
        <f ca="1">Horarios!Q33</f>
        <v>Norway</v>
      </c>
      <c r="BH34" s="548">
        <f t="shared" ca="1" si="0"/>
        <v>0</v>
      </c>
      <c r="BI34" s="548">
        <f ca="1">COUNTIF(ADMIN!$M$130:$M$161,Fixture!BG34)-BJ34-BK34-BL34-BM34-BN34-BO34</f>
        <v>0</v>
      </c>
      <c r="BJ34" s="549">
        <f ca="1">COUNTIF(ADMIN!$M$182:$M$197,Fixture!BG34)-BK34-BL34-BM34-BN34-BO34</f>
        <v>0</v>
      </c>
      <c r="BK34" s="550">
        <f ca="1">COUNTIF(ADMIN!$M$210:$M$217,Fixture!BG34)-BL34-BM34-BN34-BO34</f>
        <v>1</v>
      </c>
      <c r="BL34" s="550">
        <f ca="1">COUNTIF(ADMIN!$M$226:$M$229,BG34)-BM34-BN34-BO34</f>
        <v>0</v>
      </c>
      <c r="BM34" s="548">
        <f ca="1">COUNTIF(ADMIN!$M$252,Fixture!BG34)</f>
        <v>0</v>
      </c>
      <c r="BN34" s="548">
        <f ca="1">COUNTIF(ADMIN!$M$251,Fixture!BG34)</f>
        <v>0</v>
      </c>
      <c r="BO34" s="551">
        <f ca="1">COUNTIF(ADMIN!$M$250,Fixture!BG34)</f>
        <v>0</v>
      </c>
    </row>
    <row r="35" spans="1:67">
      <c r="A35" s="19">
        <v>10</v>
      </c>
      <c r="B35" s="643" t="s">
        <v>3</v>
      </c>
      <c r="C35" s="502" t="str">
        <f ca="1">+MID(INDEX(WORLDCUP!$AA$4:$AA$147,MATCH(A35,WORLDCUP!$AH$4:$AH$147,0)),1,3)</f>
        <v>Ger</v>
      </c>
      <c r="D35" s="503">
        <f>IF(ISBLANK(INDEX(WORLDCUP!$AC$4:$AC$147,MATCH(A35,WORLDCUP!$AH$4:$AH$147,0))),"",INDEX(WORLDCUP!$AC$4:$AC$147,MATCH(A35,WORLDCUP!$AH$4:$AH$147,0)))</f>
        <v>7</v>
      </c>
      <c r="E35" s="503">
        <f>IF(ISBLANK(INDEX(WORLDCUP!$AD$4:$AD$147,MATCH(A35,WORLDCUP!$AH$4:$AH$147,0))),"",INDEX(WORLDCUP!$AD$4:$AD$147,MATCH(A35,WORLDCUP!$AH$4:$AH$147,0)))</f>
        <v>1</v>
      </c>
      <c r="F35" s="504" t="str">
        <f ca="1">+MID(INDEX(WORLDCUP!$AF$4:$AF$147,MATCH(A35,WORLDCUP!$AH$4:$AH$147,0)),1,3)</f>
        <v>Cur</v>
      </c>
      <c r="G35" s="505"/>
      <c r="H35" s="506" t="str">
        <f>+H27</f>
        <v>Nat</v>
      </c>
      <c r="I35" s="507" t="str">
        <f>+I27</f>
        <v>Pts</v>
      </c>
      <c r="J35" s="507" t="str">
        <f>+J27</f>
        <v>GD</v>
      </c>
      <c r="K35" s="508" t="str">
        <f>+K27</f>
        <v>F-A</v>
      </c>
      <c r="L35" s="19"/>
      <c r="M35" s="19">
        <v>23</v>
      </c>
      <c r="N35" s="644" t="s">
        <v>439</v>
      </c>
      <c r="O35" s="502" t="str">
        <f ca="1">+MID(INDEX(WORLDCUP!$AA$4:$AA$147,MATCH(M35,WORLDCUP!$AH$4:$AH$147,0)),1,3)</f>
        <v>Por</v>
      </c>
      <c r="P35" s="503">
        <f>IF(ISBLANK(INDEX(WORLDCUP!$AC$4:$AC$147,MATCH(M35,WORLDCUP!$AH$4:$AH$147,0))),"",INDEX(WORLDCUP!$AC$4:$AC$147,MATCH(M35,WORLDCUP!$AH$4:$AH$147,0)))</f>
        <v>1</v>
      </c>
      <c r="Q35" s="503">
        <f>IF(ISBLANK(INDEX(WORLDCUP!$AD$4:$AD$147,MATCH(M35,WORLDCUP!$AH$4:$AH$147,0))),"",INDEX(WORLDCUP!$AD$4:$AD$147,MATCH(M35,WORLDCUP!$AH$4:$AH$147,0)))</f>
        <v>1</v>
      </c>
      <c r="R35" s="504" t="str">
        <f ca="1">+MID(INDEX(WORLDCUP!$AF$4:$AF$147,MATCH(M35,WORLDCUP!$AH$4:$AH$147,0)),1,3)</f>
        <v xml:space="preserve">DR </v>
      </c>
      <c r="S35" s="505"/>
      <c r="T35" s="506" t="str">
        <f>+T27</f>
        <v>Nat</v>
      </c>
      <c r="U35" s="507" t="str">
        <f>+U27</f>
        <v>Pts</v>
      </c>
      <c r="V35" s="507" t="str">
        <f>+V27</f>
        <v>GD</v>
      </c>
      <c r="W35" s="508" t="str">
        <f>+W27</f>
        <v>F-A</v>
      </c>
      <c r="X35" s="19"/>
      <c r="Y35" s="19"/>
      <c r="Z35" s="510"/>
      <c r="AA35" s="554"/>
      <c r="AB35" s="554"/>
      <c r="AC35" s="555"/>
      <c r="AD35" s="19">
        <v>92</v>
      </c>
      <c r="AE35" s="541" t="str">
        <f ca="1">+MID(INDEX(WORLDCUP!$AF$101:$AF$147,MATCH(AD35,WORLDCUP!$Z$101:$Z$147,0)),1,3)</f>
        <v>Eng</v>
      </c>
      <c r="AF35" s="542">
        <f>+IF(ISBLANK(INDEX(WORLDCUP!$AD$101:$AD$147,MATCH(AD35,WORLDCUP!$Z$101:$Z$147,0))),"",INDEX(WORLDCUP!$AD$101:$AD$147,MATCH(AD35,WORLDCUP!$Z$101:$Z$147,0)))</f>
        <v>3</v>
      </c>
      <c r="AG35" s="559" t="str">
        <f>+IF(ISBLANK(INDEX(WORLDCUP!$AE$101:$AE$147,MATCH(AD35,WORLDCUP!$Z$101:$Z$147,0))),"","( "&amp;INDEX(WORLDCUP!$AE$101:$AE$147,MATCH(AD35,WORLDCUP!$Z$101:$Z$147,0))&amp;" )")</f>
        <v/>
      </c>
      <c r="AH35" s="19"/>
      <c r="AI35" s="544"/>
      <c r="AJ35" s="544"/>
      <c r="AK35" s="583"/>
      <c r="AL35" s="92"/>
      <c r="AM35" s="516"/>
      <c r="AN35" s="645"/>
      <c r="AO35" s="597"/>
      <c r="AP35" s="92"/>
      <c r="AQ35" s="545"/>
      <c r="AR35" s="545"/>
      <c r="AS35" s="545"/>
      <c r="AT35" s="19"/>
      <c r="AU35" s="518"/>
      <c r="AV35" s="518"/>
      <c r="AW35" s="518"/>
      <c r="AX35" s="19"/>
      <c r="AY35" s="297"/>
      <c r="AZ35" s="297"/>
      <c r="BA35" s="297"/>
      <c r="BB35" s="297"/>
      <c r="BC35" s="297"/>
      <c r="BD35" s="297"/>
      <c r="BE35" s="297"/>
      <c r="BG35" s="547" t="str">
        <f ca="1">Horarios!Q34</f>
        <v>Panama</v>
      </c>
      <c r="BH35" s="548">
        <f t="shared" ca="1" si="0"/>
        <v>1</v>
      </c>
      <c r="BI35" s="548">
        <f ca="1">COUNTIF(ADMIN!$M$130:$M$161,Fixture!BG35)-BJ35-BK35-BL35-BM35-BN35-BO35</f>
        <v>0</v>
      </c>
      <c r="BJ35" s="549">
        <f ca="1">COUNTIF(ADMIN!$M$182:$M$197,Fixture!BG35)-BK35-BL35-BM35-BN35-BO35</f>
        <v>0</v>
      </c>
      <c r="BK35" s="550">
        <f ca="1">COUNTIF(ADMIN!$M$210:$M$217,Fixture!BG35)-BL35-BM35-BN35-BO35</f>
        <v>0</v>
      </c>
      <c r="BL35" s="550">
        <f ca="1">COUNTIF(ADMIN!$M$226:$M$229,BG35)-BM35-BN35-BO35</f>
        <v>0</v>
      </c>
      <c r="BM35" s="548">
        <f ca="1">COUNTIF(ADMIN!$M$252,Fixture!BG35)</f>
        <v>0</v>
      </c>
      <c r="BN35" s="548">
        <f ca="1">COUNTIF(ADMIN!$M$251,Fixture!BG35)</f>
        <v>0</v>
      </c>
      <c r="BO35" s="551">
        <f ca="1">COUNTIF(ADMIN!$M$250,Fixture!BG35)</f>
        <v>0</v>
      </c>
    </row>
    <row r="36" spans="1:67" ht="15.75" thickBot="1">
      <c r="A36" s="19">
        <v>9</v>
      </c>
      <c r="B36" s="646"/>
      <c r="C36" s="529" t="str">
        <f ca="1">+MID(INDEX(WORLDCUP!$AA$4:$AA$147,MATCH(A36,WORLDCUP!$AH$4:$AH$147,0)),1,3)</f>
        <v>Ivo</v>
      </c>
      <c r="D36" s="530">
        <f>IF(ISBLANK(INDEX(WORLDCUP!$AC$4:$AC$147,MATCH(A36,WORLDCUP!$AH$4:$AH$147,0))),"",INDEX(WORLDCUP!$AC$4:$AC$147,MATCH(A36,WORLDCUP!$AH$4:$AH$147,0)))</f>
        <v>1</v>
      </c>
      <c r="E36" s="530">
        <f>IF(ISBLANK(INDEX(WORLDCUP!$AD$4:$AD$147,MATCH(A36,WORLDCUP!$AH$4:$AH$147,0))),"",INDEX(WORLDCUP!$AD$4:$AD$147,MATCH(A36,WORLDCUP!$AH$4:$AH$147,0)))</f>
        <v>0</v>
      </c>
      <c r="F36" s="531" t="str">
        <f ca="1">+MID(INDEX(WORLDCUP!$AF$4:$AF$147,MATCH(A36,WORLDCUP!$AH$4:$AH$147,0)),1,3)</f>
        <v>Ecu</v>
      </c>
      <c r="G36" s="532">
        <v>1</v>
      </c>
      <c r="H36" s="533" t="str">
        <f ca="1">+MID(INDEX(WORLDCUP!$AL$6:$AL$97,MATCH(L36,WORLDCUP!$AI$6:$AI$97,0)),1,3)</f>
        <v>Ger</v>
      </c>
      <c r="I36" s="534">
        <f ca="1">+INDEX(WORLDCUP!$AM$6:$AM$97,MATCH(L36,WORLDCUP!$AI$6:$AI$97,0))</f>
        <v>6</v>
      </c>
      <c r="J36" s="535">
        <f ca="1">+INDEX(WORLDCUP!$AT$6:$AT$97,MATCH(L36,WORLDCUP!$AI$6:$AI$97,0))</f>
        <v>6</v>
      </c>
      <c r="K36" s="536" t="str">
        <f ca="1">+INDEX(WORLDCUP!$AR$6:$AR$97,MATCH(L36,WORLDCUP!$AI$6:$AI$97,0))&amp;"-"&amp;INDEX(WORLDCUP!$AS$6:$AS$97,MATCH(L36,WORLDCUP!$AI$6:$AI$97,0))</f>
        <v>10-4</v>
      </c>
      <c r="L36" s="19" t="s">
        <v>661</v>
      </c>
      <c r="M36" s="19">
        <v>24</v>
      </c>
      <c r="N36" s="647"/>
      <c r="O36" s="529" t="str">
        <f ca="1">+MID(INDEX(WORLDCUP!$AA$4:$AA$147,MATCH(M36,WORLDCUP!$AH$4:$AH$147,0)),1,3)</f>
        <v>Uzb</v>
      </c>
      <c r="P36" s="530">
        <f>IF(ISBLANK(INDEX(WORLDCUP!$AC$4:$AC$147,MATCH(M36,WORLDCUP!$AH$4:$AH$147,0))),"",INDEX(WORLDCUP!$AC$4:$AC$147,MATCH(M36,WORLDCUP!$AH$4:$AH$147,0)))</f>
        <v>1</v>
      </c>
      <c r="Q36" s="530">
        <f>IF(ISBLANK(INDEX(WORLDCUP!$AD$4:$AD$147,MATCH(M36,WORLDCUP!$AH$4:$AH$147,0))),"",INDEX(WORLDCUP!$AD$4:$AD$147,MATCH(M36,WORLDCUP!$AH$4:$AH$147,0)))</f>
        <v>3</v>
      </c>
      <c r="R36" s="531" t="str">
        <f ca="1">+MID(INDEX(WORLDCUP!$AF$4:$AF$147,MATCH(M36,WORLDCUP!$AH$4:$AH$147,0)),1,3)</f>
        <v>Col</v>
      </c>
      <c r="S36" s="532">
        <v>1</v>
      </c>
      <c r="T36" s="533" t="str">
        <f ca="1">+MID(INDEX(WORLDCUP!$AL$6:$AL$97,MATCH(X36,WORLDCUP!$AI$6:$AI$97,0)),1,3)</f>
        <v>Col</v>
      </c>
      <c r="U36" s="534">
        <f ca="1">+INDEX(WORLDCUP!$AM$6:$AM$97,MATCH(X36,WORLDCUP!$AI$6:$AI$97,0))</f>
        <v>7</v>
      </c>
      <c r="V36" s="535">
        <f ca="1">+INDEX(WORLDCUP!$AT$6:$AT$97,MATCH(X36,WORLDCUP!$AI$6:$AI$97,0))</f>
        <v>3</v>
      </c>
      <c r="W36" s="536" t="str">
        <f ca="1">+INDEX(WORLDCUP!$AR$6:$AR$97,MATCH(X36,WORLDCUP!$AI$6:$AI$97,0))&amp;"-"&amp;INDEX(WORLDCUP!$AS$6:$AS$97,MATCH(X36,WORLDCUP!$AI$6:$AI$97,0))</f>
        <v>4-1</v>
      </c>
      <c r="X36" s="19" t="s">
        <v>679</v>
      </c>
      <c r="Y36" s="19">
        <v>80</v>
      </c>
      <c r="Z36" s="510" t="s">
        <v>682</v>
      </c>
      <c r="AA36" s="511" t="str">
        <f ca="1">+MID(INDEX(WORLDCUP!$AA$101:$AA$147,MATCH(Y36,WORLDCUP!$Z$101:$Z$147,0)),1,3)</f>
        <v>Eng</v>
      </c>
      <c r="AB36" s="557">
        <f>+IF(ISBLANK(INDEX(WORLDCUP!$AC$101:$AC$147,MATCH(Y36,WORLDCUP!$Z$101:$Z$147,0))),"",INDEX(WORLDCUP!$AC$101:$AC$147,MATCH(Y36,WORLDCUP!$Z$101:$Z$147,0)))</f>
        <v>2</v>
      </c>
      <c r="AC36" s="591" t="str">
        <f>+IF(ISBLANK(INDEX(WORLDCUP!$AB$101:$AB$147,MATCH(Y36,WORLDCUP!$Z$101:$Z$147,0))),"","( "&amp;INDEX(WORLDCUP!$AB$101:$AB$147,MATCH(Y36,WORLDCUP!$Z$101:$Z$147,0))&amp;" )")</f>
        <v/>
      </c>
      <c r="AD36" s="19"/>
      <c r="AE36" s="514"/>
      <c r="AF36" s="514"/>
      <c r="AG36" s="514"/>
      <c r="AH36" s="19"/>
      <c r="AI36" s="544"/>
      <c r="AJ36" s="544"/>
      <c r="AK36" s="583"/>
      <c r="AL36" s="92"/>
      <c r="AM36" s="516"/>
      <c r="AN36" s="516"/>
      <c r="AO36" s="597"/>
      <c r="AP36" s="92"/>
      <c r="AQ36" s="545"/>
      <c r="AR36" s="545"/>
      <c r="AS36" s="545"/>
      <c r="AT36" s="19"/>
      <c r="AU36" s="518"/>
      <c r="AV36" s="518"/>
      <c r="AW36" s="518"/>
      <c r="AX36" s="19"/>
      <c r="AY36" s="297"/>
      <c r="AZ36" s="297"/>
      <c r="BA36" s="297"/>
      <c r="BB36" s="297"/>
      <c r="BC36" s="297"/>
      <c r="BD36" s="297"/>
      <c r="BE36" s="297"/>
      <c r="BG36" s="547" t="str">
        <f ca="1">Horarios!Q35</f>
        <v>Paraguay</v>
      </c>
      <c r="BH36" s="548">
        <f t="shared" ca="1" si="0"/>
        <v>0</v>
      </c>
      <c r="BI36" s="548">
        <f ca="1">COUNTIF(ADMIN!$M$130:$M$161,Fixture!BG36)-BJ36-BK36-BL36-BM36-BN36-BO36</f>
        <v>0</v>
      </c>
      <c r="BJ36" s="549">
        <f ca="1">COUNTIF(ADMIN!$M$182:$M$197,Fixture!BG36)-BK36-BL36-BM36-BN36-BO36</f>
        <v>1</v>
      </c>
      <c r="BK36" s="550">
        <f ca="1">COUNTIF(ADMIN!$M$210:$M$217,Fixture!BG36)-BL36-BM36-BN36-BO36</f>
        <v>0</v>
      </c>
      <c r="BL36" s="550">
        <f ca="1">COUNTIF(ADMIN!$M$226:$M$229,BG36)-BM36-BN36-BO36</f>
        <v>0</v>
      </c>
      <c r="BM36" s="548">
        <f ca="1">COUNTIF(ADMIN!$M$252,Fixture!BG36)</f>
        <v>0</v>
      </c>
      <c r="BN36" s="548">
        <f ca="1">COUNTIF(ADMIN!$M$251,Fixture!BG36)</f>
        <v>0</v>
      </c>
      <c r="BO36" s="551">
        <f ca="1">COUNTIF(ADMIN!$M$250,Fixture!BG36)</f>
        <v>0</v>
      </c>
    </row>
    <row r="37" spans="1:67" ht="15.75" thickBot="1">
      <c r="A37" s="19">
        <v>33</v>
      </c>
      <c r="B37" s="646"/>
      <c r="C37" s="529" t="str">
        <f ca="1">+MID(INDEX(WORLDCUP!$AA$4:$AA$147,MATCH(A37,WORLDCUP!$AH$4:$AH$147,0)),1,3)</f>
        <v>Ger</v>
      </c>
      <c r="D37" s="530">
        <f>IF(ISBLANK(INDEX(WORLDCUP!$AC$4:$AC$147,MATCH(A37,WORLDCUP!$AH$4:$AH$147,0))),"",INDEX(WORLDCUP!$AC$4:$AC$147,MATCH(A37,WORLDCUP!$AH$4:$AH$147,0)))</f>
        <v>2</v>
      </c>
      <c r="E37" s="530">
        <f>IF(ISBLANK(INDEX(WORLDCUP!$AD$4:$AD$147,MATCH(A37,WORLDCUP!$AH$4:$AH$147,0))),"",INDEX(WORLDCUP!$AD$4:$AD$147,MATCH(A37,WORLDCUP!$AH$4:$AH$147,0)))</f>
        <v>1</v>
      </c>
      <c r="F37" s="531" t="str">
        <f ca="1">+MID(INDEX(WORLDCUP!$AF$4:$AF$147,MATCH(A37,WORLDCUP!$AH$4:$AH$147,0)),1,3)</f>
        <v>Ivo</v>
      </c>
      <c r="G37" s="552">
        <v>2</v>
      </c>
      <c r="H37" s="553" t="str">
        <f ca="1">+MID(INDEX(WORLDCUP!$AL$6:$AL$97,MATCH(L37,WORLDCUP!$AI$6:$AI$97,0)),1,3)</f>
        <v>Ivo</v>
      </c>
      <c r="I37" s="223">
        <f ca="1">+INDEX(WORLDCUP!$AM$6:$AM$97,MATCH(L37,WORLDCUP!$AI$6:$AI$97,0))</f>
        <v>6</v>
      </c>
      <c r="J37" s="224">
        <f ca="1">+INDEX(WORLDCUP!$AT$6:$AT$97,MATCH(L37,WORLDCUP!$AI$6:$AI$97,0))</f>
        <v>2</v>
      </c>
      <c r="K37" s="225" t="str">
        <f ca="1">+INDEX(WORLDCUP!$AR$6:$AR$97,MATCH(L37,WORLDCUP!$AI$6:$AI$97,0))&amp;"-"&amp;INDEX(WORLDCUP!$AS$6:$AS$97,MATCH(L37,WORLDCUP!$AI$6:$AI$97,0))</f>
        <v>4-2</v>
      </c>
      <c r="L37" s="19" t="s">
        <v>662</v>
      </c>
      <c r="M37" s="19">
        <v>47</v>
      </c>
      <c r="N37" s="647"/>
      <c r="O37" s="529" t="str">
        <f ca="1">+MID(INDEX(WORLDCUP!$AA$4:$AA$147,MATCH(M37,WORLDCUP!$AH$4:$AH$147,0)),1,3)</f>
        <v>Por</v>
      </c>
      <c r="P37" s="530">
        <f>IF(ISBLANK(INDEX(WORLDCUP!$AC$4:$AC$147,MATCH(M37,WORLDCUP!$AH$4:$AH$147,0))),"",INDEX(WORLDCUP!$AC$4:$AC$147,MATCH(M37,WORLDCUP!$AH$4:$AH$147,0)))</f>
        <v>5</v>
      </c>
      <c r="Q37" s="530">
        <f>IF(ISBLANK(INDEX(WORLDCUP!$AD$4:$AD$147,MATCH(M37,WORLDCUP!$AH$4:$AH$147,0))),"",INDEX(WORLDCUP!$AD$4:$AD$147,MATCH(M37,WORLDCUP!$AH$4:$AH$147,0)))</f>
        <v>0</v>
      </c>
      <c r="R37" s="531" t="str">
        <f ca="1">+MID(INDEX(WORLDCUP!$AF$4:$AF$147,MATCH(M37,WORLDCUP!$AH$4:$AH$147,0)),1,3)</f>
        <v>Uzb</v>
      </c>
      <c r="S37" s="552">
        <v>2</v>
      </c>
      <c r="T37" s="553" t="str">
        <f ca="1">+MID(INDEX(WORLDCUP!$AL$6:$AL$97,MATCH(X37,WORLDCUP!$AI$6:$AI$97,0)),1,3)</f>
        <v>Por</v>
      </c>
      <c r="U37" s="223">
        <f ca="1">+INDEX(WORLDCUP!$AM$6:$AM$97,MATCH(X37,WORLDCUP!$AI$6:$AI$97,0))</f>
        <v>5</v>
      </c>
      <c r="V37" s="224">
        <f ca="1">+INDEX(WORLDCUP!$AT$6:$AT$97,MATCH(X37,WORLDCUP!$AI$6:$AI$97,0))</f>
        <v>5</v>
      </c>
      <c r="W37" s="225" t="str">
        <f ca="1">+INDEX(WORLDCUP!$AR$6:$AR$97,MATCH(X37,WORLDCUP!$AI$6:$AI$97,0))&amp;"-"&amp;INDEX(WORLDCUP!$AS$6:$AS$97,MATCH(X37,WORLDCUP!$AI$6:$AI$97,0))</f>
        <v>6-1</v>
      </c>
      <c r="X37" s="19" t="s">
        <v>680</v>
      </c>
      <c r="Y37" s="19">
        <v>80</v>
      </c>
      <c r="Z37" s="510" t="s">
        <v>725</v>
      </c>
      <c r="AA37" s="565" t="str">
        <f ca="1">+MID(INDEX(WORLDCUP!$AF$101:$AF$147,MATCH(Y37,WORLDCUP!$Z$101:$Z$147,0)),1,IF(WORLDCUP!$H$113&lt;144,6,3))</f>
        <v xml:space="preserve">DR </v>
      </c>
      <c r="AB37" s="566">
        <f>+IF(ISBLANK(INDEX(WORLDCUP!$AD$101:$AD$147,MATCH(Y37,WORLDCUP!$Z$101:$Z$147,0))),"",INDEX(WORLDCUP!$AD$101:$AD$147,MATCH(Y37,WORLDCUP!$Z$101:$Z$147,0)))</f>
        <v>1</v>
      </c>
      <c r="AC37" s="592" t="str">
        <f>+IF(ISBLANK(INDEX(WORLDCUP!$AE$101:$AE$147,MATCH(Y37,WORLDCUP!$Z$101:$Z$147,0))),"","( "&amp;INDEX(WORLDCUP!$AE$101:$AE$147,MATCH(Y37,WORLDCUP!$Z$101:$Z$147,0))&amp;" )")</f>
        <v/>
      </c>
      <c r="AD37" s="19"/>
      <c r="AE37" s="514"/>
      <c r="AF37" s="514"/>
      <c r="AG37" s="514"/>
      <c r="AH37" s="19"/>
      <c r="AI37" s="544"/>
      <c r="AJ37" s="544"/>
      <c r="AK37" s="583"/>
      <c r="AL37" s="584">
        <v>102</v>
      </c>
      <c r="AM37" s="593" t="str">
        <f ca="1">+MID(INDEX(WORLDCUP!$AA$101:$AA$147,MATCH(AL37,WORLDCUP!$Z$101:$Z$147,0)),1,3)</f>
        <v>Eng</v>
      </c>
      <c r="AN37" s="594">
        <f>+IF(ISBLANK(INDEX(WORLDCUP!$AC$101:$AC$147,MATCH(AL37,WORLDCUP!$Z$101:$Z$147,0))),"",INDEX(WORLDCUP!$AC$101:$AC$147,MATCH(AL37,WORLDCUP!$Z$101:$Z$147,0)))</f>
        <v>1</v>
      </c>
      <c r="AO37" s="648" t="str">
        <f>+IF(ISBLANK(INDEX(WORLDCUP!$AB$101:$AB$147,MATCH(AL37,WORLDCUP!$Z$101:$Z$147,0))),"","( "&amp;INDEX(WORLDCUP!$AB$101:$AB$147,MATCH(AL37,WORLDCUP!$Z$101:$Z$147,0))&amp;" )")</f>
        <v/>
      </c>
      <c r="AP37" s="19"/>
      <c r="AQ37" s="545"/>
      <c r="AR37" s="545"/>
      <c r="AS37" s="545"/>
      <c r="AT37" s="19"/>
      <c r="AU37" s="518"/>
      <c r="AV37" s="518"/>
      <c r="AW37" s="518"/>
      <c r="AX37" s="19"/>
      <c r="AY37" s="297"/>
      <c r="AZ37" s="297"/>
      <c r="BA37" s="297"/>
      <c r="BB37" s="297"/>
      <c r="BC37" s="297"/>
      <c r="BD37" s="297"/>
      <c r="BE37" s="297"/>
      <c r="BG37" s="547" t="str">
        <f ca="1">Horarios!Q36</f>
        <v>Portugal</v>
      </c>
      <c r="BH37" s="548">
        <f t="shared" ca="1" si="0"/>
        <v>0</v>
      </c>
      <c r="BI37" s="548">
        <f ca="1">COUNTIF(ADMIN!$M$130:$M$161,Fixture!BG37)-BJ37-BK37-BL37-BM37-BN37-BO37</f>
        <v>0</v>
      </c>
      <c r="BJ37" s="549">
        <f ca="1">COUNTIF(ADMIN!$M$182:$M$197,Fixture!BG37)-BK37-BL37-BM37-BN37-BO37</f>
        <v>1</v>
      </c>
      <c r="BK37" s="550">
        <f ca="1">COUNTIF(ADMIN!$M$210:$M$217,Fixture!BG37)-BL37-BM37-BN37-BO37</f>
        <v>0</v>
      </c>
      <c r="BL37" s="550">
        <f ca="1">COUNTIF(ADMIN!$M$226:$M$229,BG37)-BM37-BN37-BO37</f>
        <v>0</v>
      </c>
      <c r="BM37" s="548">
        <f ca="1">COUNTIF(ADMIN!$M$252,Fixture!BG37)</f>
        <v>0</v>
      </c>
      <c r="BN37" s="548">
        <f ca="1">COUNTIF(ADMIN!$M$251,Fixture!BG37)</f>
        <v>0</v>
      </c>
      <c r="BO37" s="551">
        <f ca="1">COUNTIF(ADMIN!$M$250,Fixture!BG37)</f>
        <v>0</v>
      </c>
    </row>
    <row r="38" spans="1:67">
      <c r="A38" s="19">
        <v>34</v>
      </c>
      <c r="B38" s="646"/>
      <c r="C38" s="529" t="str">
        <f ca="1">+MID(INDEX(WORLDCUP!$AA$4:$AA$147,MATCH(A38,WORLDCUP!$AH$4:$AH$147,0)),1,3)</f>
        <v>Ecu</v>
      </c>
      <c r="D38" s="530">
        <f>IF(ISBLANK(INDEX(WORLDCUP!$AC$4:$AC$147,MATCH(A38,WORLDCUP!$AH$4:$AH$147,0))),"",INDEX(WORLDCUP!$AC$4:$AC$147,MATCH(A38,WORLDCUP!$AH$4:$AH$147,0)))</f>
        <v>0</v>
      </c>
      <c r="E38" s="530">
        <f>IF(ISBLANK(INDEX(WORLDCUP!$AD$4:$AD$147,MATCH(A38,WORLDCUP!$AH$4:$AH$147,0))),"",INDEX(WORLDCUP!$AD$4:$AD$147,MATCH(A38,WORLDCUP!$AH$4:$AH$147,0)))</f>
        <v>0</v>
      </c>
      <c r="F38" s="531" t="str">
        <f ca="1">+MID(INDEX(WORLDCUP!$AF$4:$AF$147,MATCH(A38,WORLDCUP!$AH$4:$AH$147,0)),1,3)</f>
        <v>Cur</v>
      </c>
      <c r="G38" s="552">
        <v>3</v>
      </c>
      <c r="H38" s="553" t="str">
        <f ca="1">+MID(INDEX(WORLDCUP!$AL$6:$AL$97,MATCH(L38,WORLDCUP!$AI$6:$AI$97,0)),1,3)</f>
        <v>Ecu</v>
      </c>
      <c r="I38" s="223">
        <f ca="1">+INDEX(WORLDCUP!$AM$6:$AM$97,MATCH(L38,WORLDCUP!$AI$6:$AI$97,0))</f>
        <v>4</v>
      </c>
      <c r="J38" s="224">
        <f ca="1">+INDEX(WORLDCUP!$AT$6:$AT$97,MATCH(L38,WORLDCUP!$AI$6:$AI$97,0))</f>
        <v>0</v>
      </c>
      <c r="K38" s="225" t="str">
        <f ca="1">+INDEX(WORLDCUP!$AR$6:$AR$97,MATCH(L38,WORLDCUP!$AI$6:$AI$97,0))&amp;"-"&amp;INDEX(WORLDCUP!$AS$6:$AS$97,MATCH(L38,WORLDCUP!$AI$6:$AI$97,0))</f>
        <v>2-2</v>
      </c>
      <c r="L38" s="19" t="s">
        <v>93</v>
      </c>
      <c r="M38" s="19">
        <v>48</v>
      </c>
      <c r="N38" s="647"/>
      <c r="O38" s="529" t="str">
        <f ca="1">+MID(INDEX(WORLDCUP!$AA$4:$AA$147,MATCH(M38,WORLDCUP!$AH$4:$AH$147,0)),1,3)</f>
        <v>Col</v>
      </c>
      <c r="P38" s="530">
        <f>IF(ISBLANK(INDEX(WORLDCUP!$AC$4:$AC$147,MATCH(M38,WORLDCUP!$AH$4:$AH$147,0))),"",INDEX(WORLDCUP!$AC$4:$AC$147,MATCH(M38,WORLDCUP!$AH$4:$AH$147,0)))</f>
        <v>1</v>
      </c>
      <c r="Q38" s="530">
        <f>IF(ISBLANK(INDEX(WORLDCUP!$AD$4:$AD$147,MATCH(M38,WORLDCUP!$AH$4:$AH$147,0))),"",INDEX(WORLDCUP!$AD$4:$AD$147,MATCH(M38,WORLDCUP!$AH$4:$AH$147,0)))</f>
        <v>0</v>
      </c>
      <c r="R38" s="531" t="str">
        <f ca="1">+MID(INDEX(WORLDCUP!$AF$4:$AF$147,MATCH(M38,WORLDCUP!$AH$4:$AH$147,0)),1,3)</f>
        <v xml:space="preserve">DR </v>
      </c>
      <c r="S38" s="552">
        <v>3</v>
      </c>
      <c r="T38" s="553" t="str">
        <f ca="1">+MID(INDEX(WORLDCUP!$AL$6:$AL$97,MATCH(X38,WORLDCUP!$AI$6:$AI$97,0)),1,3)</f>
        <v xml:space="preserve">DR </v>
      </c>
      <c r="U38" s="223">
        <f ca="1">+INDEX(WORLDCUP!$AM$6:$AM$97,MATCH(X38,WORLDCUP!$AI$6:$AI$97,0))</f>
        <v>4</v>
      </c>
      <c r="V38" s="224">
        <f ca="1">+INDEX(WORLDCUP!$AT$6:$AT$97,MATCH(X38,WORLDCUP!$AI$6:$AI$97,0))</f>
        <v>1</v>
      </c>
      <c r="W38" s="225" t="str">
        <f ca="1">+INDEX(WORLDCUP!$AR$6:$AR$97,MATCH(X38,WORLDCUP!$AI$6:$AI$97,0))&amp;"-"&amp;INDEX(WORLDCUP!$AS$6:$AS$97,MATCH(X38,WORLDCUP!$AI$6:$AI$97,0))</f>
        <v>4-3</v>
      </c>
      <c r="X38" s="19" t="s">
        <v>442</v>
      </c>
      <c r="Y38" s="19"/>
      <c r="Z38" s="510"/>
      <c r="AA38" s="579"/>
      <c r="AB38" s="579"/>
      <c r="AC38" s="579"/>
      <c r="AD38" s="19"/>
      <c r="AE38" s="514"/>
      <c r="AF38" s="514"/>
      <c r="AG38" s="514"/>
      <c r="AH38" s="19"/>
      <c r="AI38" s="544"/>
      <c r="AJ38" s="544"/>
      <c r="AK38" s="583"/>
      <c r="AL38" s="19">
        <v>102</v>
      </c>
      <c r="AM38" s="593" t="str" cm="1">
        <f t="array" aca="1" ref="AM38" ca="1">+MID(INDEX(WORLDCUP!$AF$101:$AF$147,MATCH(AL38,WORLDCUP!$Z$101:$Z$147,0)),1,IF(OR(ISBLANK(AC86:AD86)),4,3))</f>
        <v>Arge</v>
      </c>
      <c r="AN38" s="594">
        <f>+IF(ISBLANK(INDEX(WORLDCUP!$AD$101:$AD$147,MATCH(AL38,WORLDCUP!$Z$101:$Z$147,0))),"",INDEX(WORLDCUP!$AD$101:$AD$147,MATCH(AL38,WORLDCUP!$Z$101:$Z$147,0)))</f>
        <v>2</v>
      </c>
      <c r="AO38" s="516" t="str">
        <f>+IF(ISBLANK(INDEX(WORLDCUP!$AE$101:$AE$147,MATCH(AL38,WORLDCUP!$Z$101:$Z$147,0))),"","( "&amp;INDEX(WORLDCUP!$AE$101:$AE$147,MATCH(AL38,WORLDCUP!$Z$101:$Z$147,0))&amp;" )")</f>
        <v/>
      </c>
      <c r="AP38" s="19"/>
      <c r="AQ38" s="545"/>
      <c r="AR38" s="545"/>
      <c r="AS38" s="545"/>
      <c r="AT38" s="19"/>
      <c r="AU38" s="518"/>
      <c r="AV38" s="518"/>
      <c r="AW38" s="518"/>
      <c r="AX38" s="19"/>
      <c r="AY38" s="297"/>
      <c r="AZ38" s="297"/>
      <c r="BA38" s="297"/>
      <c r="BB38" s="297"/>
      <c r="BC38" s="297"/>
      <c r="BD38" s="297"/>
      <c r="BE38" s="297"/>
      <c r="BG38" s="547" t="str">
        <f ca="1">Horarios!Q37</f>
        <v>Qatar</v>
      </c>
      <c r="BH38" s="548">
        <f t="shared" ca="1" si="0"/>
        <v>1</v>
      </c>
      <c r="BI38" s="548">
        <f ca="1">COUNTIF(ADMIN!$M$130:$M$161,Fixture!BG38)-BJ38-BK38-BL38-BM38-BN38-BO38</f>
        <v>0</v>
      </c>
      <c r="BJ38" s="549">
        <f ca="1">COUNTIF(ADMIN!$M$182:$M$197,Fixture!BG38)-BK38-BL38-BM38-BN38-BO38</f>
        <v>0</v>
      </c>
      <c r="BK38" s="550">
        <f ca="1">COUNTIF(ADMIN!$M$210:$M$217,Fixture!BG38)-BL38-BM38-BN38-BO38</f>
        <v>0</v>
      </c>
      <c r="BL38" s="550">
        <f ca="1">COUNTIF(ADMIN!$M$226:$M$229,BG38)-BM38-BN38-BO38</f>
        <v>0</v>
      </c>
      <c r="BM38" s="548">
        <f ca="1">COUNTIF(ADMIN!$M$252,Fixture!BG38)</f>
        <v>0</v>
      </c>
      <c r="BN38" s="548">
        <f ca="1">COUNTIF(ADMIN!$M$251,Fixture!BG38)</f>
        <v>0</v>
      </c>
      <c r="BO38" s="551">
        <f ca="1">COUNTIF(ADMIN!$M$250,Fixture!BG38)</f>
        <v>0</v>
      </c>
    </row>
    <row r="39" spans="1:67" ht="15.75" thickBot="1">
      <c r="A39" s="19">
        <v>55</v>
      </c>
      <c r="B39" s="646"/>
      <c r="C39" s="529" t="str">
        <f ca="1">+MID(INDEX(WORLDCUP!$AA$4:$AA$147,MATCH(A39,WORLDCUP!$AH$4:$AH$147,0)),1,3)</f>
        <v>Cur</v>
      </c>
      <c r="D39" s="530">
        <f>IF(ISBLANK(INDEX(WORLDCUP!$AC$4:$AC$147,MATCH(A39,WORLDCUP!$AH$4:$AH$147,0))),"",INDEX(WORLDCUP!$AC$4:$AC$147,MATCH(A39,WORLDCUP!$AH$4:$AH$147,0)))</f>
        <v>0</v>
      </c>
      <c r="E39" s="530">
        <f>IF(ISBLANK(INDEX(WORLDCUP!$AD$4:$AD$147,MATCH(A39,WORLDCUP!$AH$4:$AH$147,0))),"",INDEX(WORLDCUP!$AD$4:$AD$147,MATCH(A39,WORLDCUP!$AH$4:$AH$147,0)))</f>
        <v>2</v>
      </c>
      <c r="F39" s="531" t="str">
        <f ca="1">+MID(INDEX(WORLDCUP!$AF$4:$AF$147,MATCH(A39,WORLDCUP!$AH$4:$AH$147,0)),1,3)</f>
        <v>Ivo</v>
      </c>
      <c r="G39" s="552">
        <v>4</v>
      </c>
      <c r="H39" s="561" t="str">
        <f ca="1">+MID(INDEX(WORLDCUP!$AL$6:$AL$97,MATCH(L39,WORLDCUP!$AI$6:$AI$97,0)),1,3)</f>
        <v>Cur</v>
      </c>
      <c r="I39" s="562">
        <f ca="1">+INDEX(WORLDCUP!$AM$6:$AM$97,MATCH(L39,WORLDCUP!$AI$6:$AI$97,0))</f>
        <v>1</v>
      </c>
      <c r="J39" s="563">
        <f ca="1">+INDEX(WORLDCUP!$AT$6:$AT$97,MATCH(L39,WORLDCUP!$AI$6:$AI$97,0))</f>
        <v>-8</v>
      </c>
      <c r="K39" s="564" t="str">
        <f ca="1">+INDEX(WORLDCUP!$AR$6:$AR$97,MATCH(L39,WORLDCUP!$AI$6:$AI$97,0))&amp;"-"&amp;INDEX(WORLDCUP!$AS$6:$AS$97,MATCH(L39,WORLDCUP!$AI$6:$AI$97,0))</f>
        <v>1-9</v>
      </c>
      <c r="L39" s="19" t="s">
        <v>663</v>
      </c>
      <c r="M39" s="19">
        <v>71</v>
      </c>
      <c r="N39" s="647"/>
      <c r="O39" s="529" t="str">
        <f ca="1">+MID(INDEX(WORLDCUP!$AA$4:$AA$147,MATCH(M39,WORLDCUP!$AH$4:$AH$147,0)),1,3)</f>
        <v>Col</v>
      </c>
      <c r="P39" s="530">
        <f>IF(ISBLANK(INDEX(WORLDCUP!$AC$4:$AC$147,MATCH(M39,WORLDCUP!$AH$4:$AH$147,0))),"",INDEX(WORLDCUP!$AC$4:$AC$147,MATCH(M39,WORLDCUP!$AH$4:$AH$147,0)))</f>
        <v>0</v>
      </c>
      <c r="Q39" s="530">
        <f>IF(ISBLANK(INDEX(WORLDCUP!$AD$4:$AD$147,MATCH(M39,WORLDCUP!$AH$4:$AH$147,0))),"",INDEX(WORLDCUP!$AD$4:$AD$147,MATCH(M39,WORLDCUP!$AH$4:$AH$147,0)))</f>
        <v>0</v>
      </c>
      <c r="R39" s="531" t="str">
        <f ca="1">+MID(INDEX(WORLDCUP!$AF$4:$AF$147,MATCH(M39,WORLDCUP!$AH$4:$AH$147,0)),1,3)</f>
        <v>Por</v>
      </c>
      <c r="S39" s="552">
        <v>4</v>
      </c>
      <c r="T39" s="561" t="str">
        <f ca="1">+MID(INDEX(WORLDCUP!$AL$6:$AL$97,MATCH(X39,WORLDCUP!$AI$6:$AI$97,0)),1,3)</f>
        <v>Uzb</v>
      </c>
      <c r="U39" s="562">
        <f ca="1">+INDEX(WORLDCUP!$AM$6:$AM$97,MATCH(X39,WORLDCUP!$AI$6:$AI$97,0))</f>
        <v>0</v>
      </c>
      <c r="V39" s="563">
        <f ca="1">+INDEX(WORLDCUP!$AT$6:$AT$97,MATCH(X39,WORLDCUP!$AI$6:$AI$97,0))</f>
        <v>-9</v>
      </c>
      <c r="W39" s="564" t="str">
        <f ca="1">+INDEX(WORLDCUP!$AR$6:$AR$97,MATCH(X39,WORLDCUP!$AI$6:$AI$97,0))&amp;"-"&amp;INDEX(WORLDCUP!$AS$6:$AS$97,MATCH(X39,WORLDCUP!$AI$6:$AI$97,0))</f>
        <v>2-11</v>
      </c>
      <c r="X39" s="19" t="s">
        <v>681</v>
      </c>
      <c r="Y39" s="19">
        <v>86</v>
      </c>
      <c r="Z39" s="510" t="s">
        <v>676</v>
      </c>
      <c r="AA39" s="511" t="str">
        <f ca="1">+MID(INDEX(WORLDCUP!$AA$101:$AA$147,MATCH(Y39,WORLDCUP!$Z$101:$Z$147,0)),1,3)</f>
        <v>Arg</v>
      </c>
      <c r="AB39" s="512">
        <f>+IF(ISBLANK(INDEX(WORLDCUP!$AC$101:$AC$147,MATCH(Y39,WORLDCUP!$Z$101:$Z$147,0))),"",INDEX(WORLDCUP!$AC$101:$AC$147,MATCH(Y39,WORLDCUP!$Z$101:$Z$147,0)))</f>
        <v>3</v>
      </c>
      <c r="AC39" s="582" t="str">
        <f>+IF(ISBLANK(INDEX(WORLDCUP!$AB$101:$AB$147,MATCH(Y39,WORLDCUP!$Z$101:$Z$147,0))),"","( "&amp;INDEX(WORLDCUP!$AB$101:$AB$147,MATCH(Y39,WORLDCUP!$Z$101:$Z$147,0))&amp;" )")</f>
        <v/>
      </c>
      <c r="AD39" s="18"/>
      <c r="AE39" s="514"/>
      <c r="AF39" s="514"/>
      <c r="AG39" s="514"/>
      <c r="AH39" s="19"/>
      <c r="AI39" s="544"/>
      <c r="AJ39" s="544"/>
      <c r="AK39" s="583"/>
      <c r="AL39" s="92"/>
      <c r="AM39" s="516"/>
      <c r="AN39" s="516"/>
      <c r="AO39" s="516"/>
      <c r="AP39" s="19"/>
      <c r="AQ39" s="545"/>
      <c r="AR39" s="545"/>
      <c r="AS39" s="545"/>
      <c r="AT39" s="19"/>
      <c r="AU39" s="518"/>
      <c r="AV39" s="518"/>
      <c r="AW39" s="518"/>
      <c r="AX39" s="19"/>
      <c r="AY39" s="297"/>
      <c r="AZ39" s="297"/>
      <c r="BA39" s="297"/>
      <c r="BB39" s="297"/>
      <c r="BC39" s="297"/>
      <c r="BD39" s="297"/>
      <c r="BE39" s="297"/>
      <c r="BG39" s="547" t="str">
        <f ca="1">Horarios!Q38</f>
        <v>Saudi Arabia</v>
      </c>
      <c r="BH39" s="548">
        <f t="shared" ca="1" si="0"/>
        <v>1</v>
      </c>
      <c r="BI39" s="548">
        <f ca="1">COUNTIF(ADMIN!$M$130:$M$161,Fixture!BG39)-BJ39-BK39-BL39-BM39-BN39-BO39</f>
        <v>0</v>
      </c>
      <c r="BJ39" s="549">
        <f ca="1">COUNTIF(ADMIN!$M$182:$M$197,Fixture!BG39)-BK39-BL39-BM39-BN39-BO39</f>
        <v>0</v>
      </c>
      <c r="BK39" s="550">
        <f ca="1">COUNTIF(ADMIN!$M$210:$M$217,Fixture!BG39)-BL39-BM39-BN39-BO39</f>
        <v>0</v>
      </c>
      <c r="BL39" s="550">
        <f ca="1">COUNTIF(ADMIN!$M$226:$M$229,BG39)-BM39-BN39-BO39</f>
        <v>0</v>
      </c>
      <c r="BM39" s="548">
        <f ca="1">COUNTIF(ADMIN!$M$252,Fixture!BG39)</f>
        <v>0</v>
      </c>
      <c r="BN39" s="548">
        <f ca="1">COUNTIF(ADMIN!$M$251,Fixture!BG39)</f>
        <v>0</v>
      </c>
      <c r="BO39" s="551">
        <f ca="1">COUNTIF(ADMIN!$M$250,Fixture!BG39)</f>
        <v>0</v>
      </c>
    </row>
    <row r="40" spans="1:67" ht="15.75" thickBot="1">
      <c r="A40" s="19">
        <v>56</v>
      </c>
      <c r="B40" s="649"/>
      <c r="C40" s="572" t="str">
        <f ca="1">+MID(INDEX(WORLDCUP!$AA$4:$AA$147,MATCH(A40,WORLDCUP!$AH$4:$AH$147,0)),1,3)</f>
        <v>Ecu</v>
      </c>
      <c r="D40" s="573">
        <f>IF(ISBLANK(INDEX(WORLDCUP!$AC$4:$AC$147,MATCH(A40,WORLDCUP!$AH$4:$AH$147,0))),"",INDEX(WORLDCUP!$AC$4:$AC$147,MATCH(A40,WORLDCUP!$AH$4:$AH$147,0)))</f>
        <v>2</v>
      </c>
      <c r="E40" s="573">
        <f>IF(ISBLANK(INDEX(WORLDCUP!$AD$4:$AD$147,MATCH(A40,WORLDCUP!$AH$4:$AH$147,0))),"",INDEX(WORLDCUP!$AD$4:$AD$147,MATCH(A40,WORLDCUP!$AH$4:$AH$147,0)))</f>
        <v>1</v>
      </c>
      <c r="F40" s="574" t="str">
        <f ca="1">+MID(INDEX(WORLDCUP!$AF$4:$AF$147,MATCH(A40,WORLDCUP!$AH$4:$AH$147,0)),1,3)</f>
        <v>Ger</v>
      </c>
      <c r="G40" s="575"/>
      <c r="H40" s="575"/>
      <c r="I40" s="576"/>
      <c r="J40" s="576"/>
      <c r="K40" s="577"/>
      <c r="L40" s="19"/>
      <c r="M40" s="19">
        <v>72</v>
      </c>
      <c r="N40" s="650"/>
      <c r="O40" s="572" t="str">
        <f ca="1">+MID(INDEX(WORLDCUP!$AA$4:$AA$147,MATCH(M40,WORLDCUP!$AH$4:$AH$147,0)),1,3)</f>
        <v xml:space="preserve">DR </v>
      </c>
      <c r="P40" s="573">
        <f>IF(ISBLANK(INDEX(WORLDCUP!$AC$4:$AC$147,MATCH(M40,WORLDCUP!$AH$4:$AH$147,0))),"",INDEX(WORLDCUP!$AC$4:$AC$147,MATCH(M40,WORLDCUP!$AH$4:$AH$147,0)))</f>
        <v>3</v>
      </c>
      <c r="Q40" s="573">
        <f>IF(ISBLANK(INDEX(WORLDCUP!$AD$4:$AD$147,MATCH(M40,WORLDCUP!$AH$4:$AH$147,0))),"",INDEX(WORLDCUP!$AD$4:$AD$147,MATCH(M40,WORLDCUP!$AH$4:$AH$147,0)))</f>
        <v>1</v>
      </c>
      <c r="R40" s="574" t="str">
        <f ca="1">+MID(INDEX(WORLDCUP!$AF$4:$AF$147,MATCH(M40,WORLDCUP!$AH$4:$AH$147,0)),1,3)</f>
        <v>Uzb</v>
      </c>
      <c r="S40" s="575"/>
      <c r="T40" s="575"/>
      <c r="U40" s="576"/>
      <c r="V40" s="576"/>
      <c r="W40" s="577"/>
      <c r="X40" s="19"/>
      <c r="Y40" s="19">
        <v>86</v>
      </c>
      <c r="Z40" s="510" t="s">
        <v>671</v>
      </c>
      <c r="AA40" s="511" t="str">
        <f ca="1">+MID(INDEX(WORLDCUP!$AF$101:$AF$147,MATCH(Y40,WORLDCUP!$Z$101:$Z$147,0)),1,3)</f>
        <v>Cap</v>
      </c>
      <c r="AB40" s="538">
        <f>+IF(ISBLANK(INDEX(WORLDCUP!$AD$101:$AD$147,MATCH(Y40,WORLDCUP!$Z$101:$Z$147,0))),"",INDEX(WORLDCUP!$AD$101:$AD$147,MATCH(Y40,WORLDCUP!$Z$101:$Z$147,0)))</f>
        <v>2</v>
      </c>
      <c r="AC40" s="539" t="str">
        <f>+IF(ISBLANK(INDEX(WORLDCUP!$AE$101:$AE$147,MATCH(Y40,WORLDCUP!$Z$101:$Z$147,0))),"","( "&amp;INDEX(WORLDCUP!$AE$101:$AE$147,MATCH(Y40,WORLDCUP!$Z$101:$Z$147,0))&amp;" )")</f>
        <v/>
      </c>
      <c r="AD40" s="540">
        <v>95</v>
      </c>
      <c r="AE40" s="541" t="str">
        <f ca="1">+MID(INDEX(WORLDCUP!$AA$101:$AA$147,MATCH(AD40,WORLDCUP!$Z$101:$Z$147,0)),1,3)</f>
        <v>Arg</v>
      </c>
      <c r="AF40" s="542">
        <f>+IF(ISBLANK(INDEX(WORLDCUP!$AC$101:$AC$147,MATCH(AD40,WORLDCUP!$Z$101:$Z$147,0))),"",INDEX(WORLDCUP!$AC$101:$AC$147,MATCH(AD40,WORLDCUP!$Z$101:$Z$147,0)))</f>
        <v>3</v>
      </c>
      <c r="AG40" s="543" t="str">
        <f>+IF(ISBLANK(INDEX(WORLDCUP!$AB$101:$AB$147,MATCH(AD40,WORLDCUP!$Z$101:$Z$147,0))),"","( "&amp;INDEX(WORLDCUP!$AB$101:$AB$147,MATCH(AD40,WORLDCUP!$Z$101:$Z$147,0))&amp;" )")</f>
        <v/>
      </c>
      <c r="AH40" s="19"/>
      <c r="AI40" s="544"/>
      <c r="AJ40" s="544"/>
      <c r="AK40" s="583"/>
      <c r="AL40" s="92"/>
      <c r="AM40" s="516"/>
      <c r="AN40" s="516"/>
      <c r="AO40" s="516"/>
      <c r="AP40" s="19"/>
      <c r="AQ40" s="545"/>
      <c r="AR40" s="545"/>
      <c r="AS40" s="545"/>
      <c r="AT40" s="19"/>
      <c r="AU40" s="518"/>
      <c r="AV40" s="518"/>
      <c r="AW40" s="518"/>
      <c r="AX40" s="19"/>
      <c r="AY40" s="297"/>
      <c r="AZ40" s="297"/>
      <c r="BA40" s="297"/>
      <c r="BB40" s="297"/>
      <c r="BC40" s="297"/>
      <c r="BD40" s="297"/>
      <c r="BE40" s="297"/>
      <c r="BG40" s="547" t="str">
        <f ca="1">Horarios!Q39</f>
        <v>Scotland</v>
      </c>
      <c r="BH40" s="548">
        <f t="shared" ca="1" si="0"/>
        <v>1</v>
      </c>
      <c r="BI40" s="548">
        <f ca="1">COUNTIF(ADMIN!$M$130:$M$161,Fixture!BG40)-BJ40-BK40-BL40-BM40-BN40-BO40</f>
        <v>0</v>
      </c>
      <c r="BJ40" s="549">
        <f ca="1">COUNTIF(ADMIN!$M$182:$M$197,Fixture!BG40)-BK40-BL40-BM40-BN40-BO40</f>
        <v>0</v>
      </c>
      <c r="BK40" s="550">
        <f ca="1">COUNTIF(ADMIN!$M$210:$M$217,Fixture!BG40)-BL40-BM40-BN40-BO40</f>
        <v>0</v>
      </c>
      <c r="BL40" s="550">
        <f ca="1">COUNTIF(ADMIN!$M$226:$M$229,BG40)-BM40-BN40-BO40</f>
        <v>0</v>
      </c>
      <c r="BM40" s="548">
        <f ca="1">COUNTIF(ADMIN!$M$252,Fixture!BG40)</f>
        <v>0</v>
      </c>
      <c r="BN40" s="548">
        <f ca="1">COUNTIF(ADMIN!$M$251,Fixture!BG40)</f>
        <v>0</v>
      </c>
      <c r="BO40" s="551">
        <f ca="1">COUNTIF(ADMIN!$M$250,Fixture!BG40)</f>
        <v>0</v>
      </c>
    </row>
    <row r="41" spans="1:67">
      <c r="A41" s="19"/>
      <c r="B41" s="497"/>
      <c r="C41" s="581"/>
      <c r="D41" s="441"/>
      <c r="E41" s="441"/>
      <c r="F41" s="297"/>
      <c r="G41" s="297"/>
      <c r="H41" s="581"/>
      <c r="I41" s="297"/>
      <c r="J41" s="297"/>
      <c r="K41" s="297"/>
      <c r="L41" s="19"/>
      <c r="M41" s="19"/>
      <c r="N41" s="247"/>
      <c r="O41" s="581"/>
      <c r="P41" s="441"/>
      <c r="Q41" s="441"/>
      <c r="R41" s="297"/>
      <c r="S41" s="297"/>
      <c r="T41" s="581"/>
      <c r="U41" s="297"/>
      <c r="V41" s="297"/>
      <c r="W41" s="297"/>
      <c r="X41" s="19"/>
      <c r="Y41" s="19"/>
      <c r="Z41" s="510"/>
      <c r="AA41" s="554"/>
      <c r="AB41" s="554"/>
      <c r="AC41" s="555"/>
      <c r="AD41" s="19">
        <v>95</v>
      </c>
      <c r="AE41" s="541" t="str">
        <f ca="1">+MID(INDEX(WORLDCUP!$AF$101:$AF$147,MATCH(AD41,WORLDCUP!$Z$101:$Z$147,0)),1,3)</f>
        <v>Egy</v>
      </c>
      <c r="AF41" s="542">
        <f>+IF(ISBLANK(INDEX(WORLDCUP!$AD$101:$AD$147,MATCH(AD41,WORLDCUP!$Z$101:$Z$147,0))),"",INDEX(WORLDCUP!$AD$101:$AD$147,MATCH(AD41,WORLDCUP!$Z$101:$Z$147,0)))</f>
        <v>2</v>
      </c>
      <c r="AG41" s="600" t="str">
        <f>+IF(ISBLANK(INDEX(WORLDCUP!$AE$101:$AE$147,MATCH(AD41,WORLDCUP!$Z$101:$Z$147,0))),"","( "&amp;INDEX(WORLDCUP!$AE$101:$AE$147,MATCH(AD41,WORLDCUP!$Z$101:$Z$147,0))&amp;" )")</f>
        <v/>
      </c>
      <c r="AH41" s="19"/>
      <c r="AI41" s="544"/>
      <c r="AJ41" s="544"/>
      <c r="AK41" s="583"/>
      <c r="AL41" s="92"/>
      <c r="AM41" s="516"/>
      <c r="AN41" s="516"/>
      <c r="AO41" s="516"/>
      <c r="AP41" s="19"/>
      <c r="AQ41" s="545"/>
      <c r="AR41" s="545"/>
      <c r="AS41" s="545"/>
      <c r="AT41" s="19"/>
      <c r="AU41" s="518"/>
      <c r="AV41" s="518"/>
      <c r="AW41" s="518"/>
      <c r="AX41" s="19"/>
      <c r="AY41" s="297"/>
      <c r="AZ41" s="297"/>
      <c r="BA41" s="297"/>
      <c r="BB41" s="297"/>
      <c r="BC41" s="297"/>
      <c r="BD41" s="297"/>
      <c r="BE41" s="297"/>
      <c r="BG41" s="547" t="str">
        <f ca="1">Horarios!Q40</f>
        <v>Senegal</v>
      </c>
      <c r="BH41" s="548">
        <f t="shared" ca="1" si="0"/>
        <v>0</v>
      </c>
      <c r="BI41" s="548">
        <f ca="1">COUNTIF(ADMIN!$M$130:$M$161,Fixture!BG41)-BJ41-BK41-BL41-BM41-BN41-BO41</f>
        <v>1</v>
      </c>
      <c r="BJ41" s="549">
        <f ca="1">COUNTIF(ADMIN!$M$182:$M$197,Fixture!BG41)-BK41-BL41-BM41-BN41-BO41</f>
        <v>0</v>
      </c>
      <c r="BK41" s="550">
        <f ca="1">COUNTIF(ADMIN!$M$210:$M$217,Fixture!BG41)-BL41-BM41-BN41-BO41</f>
        <v>0</v>
      </c>
      <c r="BL41" s="550">
        <f ca="1">COUNTIF(ADMIN!$M$226:$M$229,BG41)-BM41-BN41-BO41</f>
        <v>0</v>
      </c>
      <c r="BM41" s="548">
        <f ca="1">COUNTIF(ADMIN!$M$252,Fixture!BG41)</f>
        <v>0</v>
      </c>
      <c r="BN41" s="548">
        <f ca="1">COUNTIF(ADMIN!$M$251,Fixture!BG41)</f>
        <v>0</v>
      </c>
      <c r="BO41" s="551">
        <f ca="1">COUNTIF(ADMIN!$M$250,Fixture!BG41)</f>
        <v>0</v>
      </c>
    </row>
    <row r="42" spans="1:67" ht="15.75" thickBot="1">
      <c r="A42" s="19"/>
      <c r="B42" s="497"/>
      <c r="C42" s="581"/>
      <c r="D42" s="441"/>
      <c r="E42" s="441"/>
      <c r="F42" s="297"/>
      <c r="G42" s="297"/>
      <c r="H42" s="581"/>
      <c r="I42" s="297"/>
      <c r="J42" s="297"/>
      <c r="K42" s="297"/>
      <c r="L42" s="19"/>
      <c r="M42" s="19"/>
      <c r="N42" s="247"/>
      <c r="O42" s="581"/>
      <c r="P42" s="441"/>
      <c r="Q42" s="441"/>
      <c r="R42" s="297"/>
      <c r="S42" s="297"/>
      <c r="T42" s="581"/>
      <c r="U42" s="297"/>
      <c r="V42" s="297"/>
      <c r="W42" s="297"/>
      <c r="X42" s="19"/>
      <c r="Y42" s="19">
        <v>88</v>
      </c>
      <c r="Z42" s="510" t="s">
        <v>659</v>
      </c>
      <c r="AA42" s="511" t="str">
        <f ca="1">+MID(INDEX(WORLDCUP!$AA$101:$AA$147,MATCH(Y42,WORLDCUP!$Z$101:$Z$147,0)),1,3)</f>
        <v>Aus</v>
      </c>
      <c r="AB42" s="557">
        <f>+IF(ISBLANK(INDEX(WORLDCUP!$AC$101:$AC$147,MATCH(Y42,WORLDCUP!$Z$101:$Z$147,0))),"",INDEX(WORLDCUP!$AC$101:$AC$147,MATCH(Y42,WORLDCUP!$Z$101:$Z$147,0)))</f>
        <v>1</v>
      </c>
      <c r="AC42" s="591" t="str">
        <f>+IF(ISBLANK(INDEX(WORLDCUP!$AB$101:$AB$147,MATCH(Y42,WORLDCUP!$Z$101:$Z$147,0))),"","( "&amp;INDEX(WORLDCUP!$AB$101:$AB$147,MATCH(Y42,WORLDCUP!$Z$101:$Z$147,0))&amp;" )")</f>
        <v>( 2 )</v>
      </c>
      <c r="AD42" s="19"/>
      <c r="AE42" s="559"/>
      <c r="AF42" s="559"/>
      <c r="AG42" s="560"/>
      <c r="AH42" s="19"/>
      <c r="AI42" s="544"/>
      <c r="AJ42" s="544"/>
      <c r="AK42" s="583"/>
      <c r="AL42" s="92"/>
      <c r="AM42" s="516"/>
      <c r="AN42" s="516"/>
      <c r="AO42" s="516"/>
      <c r="AP42" s="19"/>
      <c r="AQ42" s="545"/>
      <c r="AR42" s="545"/>
      <c r="AS42" s="545"/>
      <c r="AT42" s="19"/>
      <c r="AU42" s="518"/>
      <c r="AV42" s="518"/>
      <c r="AW42" s="518"/>
      <c r="AX42" s="19"/>
      <c r="AY42" s="297"/>
      <c r="AZ42" s="297"/>
      <c r="BA42" s="297"/>
      <c r="BB42" s="297"/>
      <c r="BC42" s="297"/>
      <c r="BD42" s="297"/>
      <c r="BE42" s="297"/>
      <c r="BG42" s="547" t="str">
        <f ca="1">Horarios!Q41</f>
        <v>South Africa</v>
      </c>
      <c r="BH42" s="548">
        <f t="shared" ca="1" si="0"/>
        <v>0</v>
      </c>
      <c r="BI42" s="548">
        <f ca="1">COUNTIF(ADMIN!$M$130:$M$161,Fixture!BG42)-BJ42-BK42-BL42-BM42-BN42-BO42</f>
        <v>1</v>
      </c>
      <c r="BJ42" s="549">
        <f ca="1">COUNTIF(ADMIN!$M$182:$M$197,Fixture!BG42)-BK42-BL42-BM42-BN42-BO42</f>
        <v>0</v>
      </c>
      <c r="BK42" s="550">
        <f ca="1">COUNTIF(ADMIN!$M$210:$M$217,Fixture!BG42)-BL42-BM42-BN42-BO42</f>
        <v>0</v>
      </c>
      <c r="BL42" s="550">
        <f ca="1">COUNTIF(ADMIN!$M$226:$M$229,BG42)-BM42-BN42-BO42</f>
        <v>0</v>
      </c>
      <c r="BM42" s="548">
        <f ca="1">COUNTIF(ADMIN!$M$252,Fixture!BG42)</f>
        <v>0</v>
      </c>
      <c r="BN42" s="548">
        <f ca="1">COUNTIF(ADMIN!$M$251,Fixture!BG42)</f>
        <v>0</v>
      </c>
      <c r="BO42" s="551">
        <f ca="1">COUNTIF(ADMIN!$M$250,Fixture!BG42)</f>
        <v>0</v>
      </c>
    </row>
    <row r="43" spans="1:67" ht="15.75" thickBot="1">
      <c r="A43" s="19">
        <v>11</v>
      </c>
      <c r="B43" s="651" t="s">
        <v>4</v>
      </c>
      <c r="C43" s="502" t="str">
        <f ca="1">+MID(INDEX(WORLDCUP!$AA$4:$AA$147,MATCH(A43,WORLDCUP!$AH$4:$AH$147,0)),1,3)</f>
        <v>Net</v>
      </c>
      <c r="D43" s="503">
        <f>IF(ISBLANK(INDEX(WORLDCUP!$AC$4:$AC$147,MATCH(A43,WORLDCUP!$AH$4:$AH$147,0))),"",INDEX(WORLDCUP!$AC$4:$AC$147,MATCH(A43,WORLDCUP!$AH$4:$AH$147,0)))</f>
        <v>2</v>
      </c>
      <c r="E43" s="503">
        <f>IF(ISBLANK(INDEX(WORLDCUP!$AD$4:$AD$147,MATCH(A43,WORLDCUP!$AH$4:$AH$147,0))),"",INDEX(WORLDCUP!$AD$4:$AD$147,MATCH(A43,WORLDCUP!$AH$4:$AH$147,0)))</f>
        <v>2</v>
      </c>
      <c r="F43" s="504" t="str">
        <f ca="1">+MID(INDEX(WORLDCUP!$AF$4:$AF$147,MATCH(A43,WORLDCUP!$AH$4:$AH$147,0)),1,3)</f>
        <v>Jap</v>
      </c>
      <c r="G43" s="505"/>
      <c r="H43" s="506" t="str">
        <f>+H35</f>
        <v>Nat</v>
      </c>
      <c r="I43" s="507" t="str">
        <f>+I35</f>
        <v>Pts</v>
      </c>
      <c r="J43" s="507" t="str">
        <f>+J35</f>
        <v>GD</v>
      </c>
      <c r="K43" s="508" t="str">
        <f>+K35</f>
        <v>F-A</v>
      </c>
      <c r="L43" s="19"/>
      <c r="M43" s="19">
        <v>22</v>
      </c>
      <c r="N43" s="652" t="s">
        <v>238</v>
      </c>
      <c r="O43" s="502" t="str">
        <f ca="1">+MID(INDEX(WORLDCUP!$AA$4:$AA$147,MATCH(M43,WORLDCUP!$AH$4:$AH$147,0)),1,3)</f>
        <v>Eng</v>
      </c>
      <c r="P43" s="503">
        <f>IF(ISBLANK(INDEX(WORLDCUP!$AC$4:$AC$147,MATCH(M43,WORLDCUP!$AH$4:$AH$147,0))),"",INDEX(WORLDCUP!$AC$4:$AC$147,MATCH(M43,WORLDCUP!$AH$4:$AH$147,0)))</f>
        <v>4</v>
      </c>
      <c r="Q43" s="503">
        <f>IF(ISBLANK(INDEX(WORLDCUP!$AD$4:$AD$147,MATCH(M43,WORLDCUP!$AH$4:$AH$147,0))),"",INDEX(WORLDCUP!$AD$4:$AD$147,MATCH(M43,WORLDCUP!$AH$4:$AH$147,0)))</f>
        <v>2</v>
      </c>
      <c r="R43" s="504" t="str">
        <f ca="1">+MID(INDEX(WORLDCUP!$AF$4:$AF$147,MATCH(M43,WORLDCUP!$AH$4:$AH$147,0)),1,3)</f>
        <v>Cro</v>
      </c>
      <c r="S43" s="505"/>
      <c r="T43" s="506" t="str">
        <f>+T35</f>
        <v>Nat</v>
      </c>
      <c r="U43" s="507" t="str">
        <f>+U35</f>
        <v>Pts</v>
      </c>
      <c r="V43" s="507" t="str">
        <f>+V35</f>
        <v>GD</v>
      </c>
      <c r="W43" s="508" t="str">
        <f>+W35</f>
        <v>F-A</v>
      </c>
      <c r="X43" s="19"/>
      <c r="Y43" s="19">
        <v>88</v>
      </c>
      <c r="Z43" s="510" t="s">
        <v>668</v>
      </c>
      <c r="AA43" s="565" t="str">
        <f ca="1">+MID(INDEX(WORLDCUP!$AF$101:$AF$147,MATCH(Y43,WORLDCUP!$Z$101:$Z$147,0)),1,3)</f>
        <v>Egy</v>
      </c>
      <c r="AB43" s="566">
        <f>+IF(ISBLANK(INDEX(WORLDCUP!$AD$101:$AD$147,MATCH(Y43,WORLDCUP!$Z$101:$Z$147,0))),"",INDEX(WORLDCUP!$AD$101:$AD$147,MATCH(Y43,WORLDCUP!$Z$101:$Z$147,0)))</f>
        <v>1</v>
      </c>
      <c r="AC43" s="592" t="str">
        <f>+IF(ISBLANK(INDEX(WORLDCUP!$AE$101:$AE$147,MATCH(Y43,WORLDCUP!$Z$101:$Z$147,0))),"","( "&amp;INDEX(WORLDCUP!$AE$101:$AE$147,MATCH(Y43,WORLDCUP!$Z$101:$Z$147,0))&amp;" )")</f>
        <v>( 4 )</v>
      </c>
      <c r="AD43" s="19"/>
      <c r="AE43" s="559"/>
      <c r="AF43" s="559"/>
      <c r="AG43" s="560"/>
      <c r="AH43" s="584">
        <v>100</v>
      </c>
      <c r="AI43" s="568" t="str">
        <f ca="1">+MID(INDEX(WORLDCUP!$AA$101:$AA$147,MATCH(AH43,WORLDCUP!$Z$101:$Z$147,0)),1,3)</f>
        <v>Arg</v>
      </c>
      <c r="AJ43" s="569">
        <f>+IF(ISBLANK(INDEX(WORLDCUP!$AC$101:$AC$147,MATCH(AH43,WORLDCUP!$Z$101:$Z$147,0))),"",INDEX(WORLDCUP!$AC$101:$AC$147,MATCH(AH43,WORLDCUP!$Z$101:$Z$147,0)))</f>
        <v>3</v>
      </c>
      <c r="AK43" s="605" t="str">
        <f>+IF(ISBLANK(INDEX(WORLDCUP!$AB$101:$AB$147,MATCH(AH43,WORLDCUP!$Z$101:$Z$147,0))),"","( "&amp;INDEX(WORLDCUP!$AB$101:$AB$147,MATCH(AH43,WORLDCUP!$Z$101:$Z$147,0))&amp;" )")</f>
        <v/>
      </c>
      <c r="AL43" s="92"/>
      <c r="AM43" s="516"/>
      <c r="AN43" s="516"/>
      <c r="AO43" s="516"/>
      <c r="AP43" s="19"/>
      <c r="AQ43" s="545"/>
      <c r="AR43" s="545"/>
      <c r="AS43" s="545"/>
      <c r="AT43" s="19"/>
      <c r="AU43" s="518"/>
      <c r="AV43" s="518"/>
      <c r="AW43" s="518"/>
      <c r="AX43" s="19"/>
      <c r="AY43" s="297"/>
      <c r="AZ43" s="297"/>
      <c r="BA43" s="297"/>
      <c r="BB43" s="297"/>
      <c r="BC43" s="297"/>
      <c r="BD43" s="297"/>
      <c r="BE43" s="297"/>
      <c r="BG43" s="547" t="str">
        <f ca="1">Horarios!Q42</f>
        <v>South Korea</v>
      </c>
      <c r="BH43" s="548">
        <f t="shared" ca="1" si="0"/>
        <v>1</v>
      </c>
      <c r="BI43" s="548">
        <f ca="1">COUNTIF(ADMIN!$M$130:$M$161,Fixture!BG43)-BJ43-BK43-BL43-BM43-BN43-BO43</f>
        <v>0</v>
      </c>
      <c r="BJ43" s="549">
        <f ca="1">COUNTIF(ADMIN!$M$182:$M$197,Fixture!BG43)-BK43-BL43-BM43-BN43-BO43</f>
        <v>0</v>
      </c>
      <c r="BK43" s="550">
        <f ca="1">COUNTIF(ADMIN!$M$210:$M$217,Fixture!BG43)-BL43-BM43-BN43-BO43</f>
        <v>0</v>
      </c>
      <c r="BL43" s="550">
        <f ca="1">COUNTIF(ADMIN!$M$226:$M$229,BG43)-BM43-BN43-BO43</f>
        <v>0</v>
      </c>
      <c r="BM43" s="548">
        <f ca="1">COUNTIF(ADMIN!$M$252,Fixture!BG43)</f>
        <v>0</v>
      </c>
      <c r="BN43" s="548">
        <f ca="1">COUNTIF(ADMIN!$M$251,Fixture!BG43)</f>
        <v>0</v>
      </c>
      <c r="BO43" s="551">
        <f ca="1">COUNTIF(ADMIN!$M$250,Fixture!BG43)</f>
        <v>0</v>
      </c>
    </row>
    <row r="44" spans="1:67">
      <c r="A44" s="19">
        <v>12</v>
      </c>
      <c r="B44" s="653"/>
      <c r="C44" s="529" t="str">
        <f ca="1">+MID(INDEX(WORLDCUP!$AA$4:$AA$147,MATCH(A44,WORLDCUP!$AH$4:$AH$147,0)),1,3)</f>
        <v>Swe</v>
      </c>
      <c r="D44" s="530">
        <f>IF(ISBLANK(INDEX(WORLDCUP!$AC$4:$AC$147,MATCH(A44,WORLDCUP!$AH$4:$AH$147,0))),"",INDEX(WORLDCUP!$AC$4:$AC$147,MATCH(A44,WORLDCUP!$AH$4:$AH$147,0)))</f>
        <v>5</v>
      </c>
      <c r="E44" s="530">
        <f>IF(ISBLANK(INDEX(WORLDCUP!$AD$4:$AD$147,MATCH(A44,WORLDCUP!$AH$4:$AH$147,0))),"",INDEX(WORLDCUP!$AD$4:$AD$147,MATCH(A44,WORLDCUP!$AH$4:$AH$147,0)))</f>
        <v>1</v>
      </c>
      <c r="F44" s="531" t="str">
        <f ca="1">+MID(INDEX(WORLDCUP!$AF$4:$AF$147,MATCH(A44,WORLDCUP!$AH$4:$AH$147,0)),1,3)</f>
        <v>Tun</v>
      </c>
      <c r="G44" s="532">
        <v>1</v>
      </c>
      <c r="H44" s="533" t="str">
        <f ca="1">+MID(INDEX(WORLDCUP!$AL$6:$AL$97,MATCH(L44,WORLDCUP!$AI$6:$AI$97,0)),1,3)</f>
        <v>Net</v>
      </c>
      <c r="I44" s="534">
        <f ca="1">+INDEX(WORLDCUP!$AM$6:$AM$97,MATCH(L44,WORLDCUP!$AI$6:$AI$97,0))</f>
        <v>7</v>
      </c>
      <c r="J44" s="535">
        <f ca="1">+INDEX(WORLDCUP!$AT$6:$AT$97,MATCH(L44,WORLDCUP!$AI$6:$AI$97,0))</f>
        <v>6</v>
      </c>
      <c r="K44" s="536" t="str">
        <f ca="1">+INDEX(WORLDCUP!$AR$6:$AR$97,MATCH(L44,WORLDCUP!$AI$6:$AI$97,0))&amp;"-"&amp;INDEX(WORLDCUP!$AS$6:$AS$97,MATCH(L44,WORLDCUP!$AI$6:$AI$97,0))</f>
        <v>10-4</v>
      </c>
      <c r="L44" s="19" t="s">
        <v>664</v>
      </c>
      <c r="M44" s="19">
        <v>21</v>
      </c>
      <c r="N44" s="654"/>
      <c r="O44" s="529" t="str">
        <f ca="1">+MID(INDEX(WORLDCUP!$AA$4:$AA$147,MATCH(M44,WORLDCUP!$AH$4:$AH$147,0)),1,3)</f>
        <v>Gha</v>
      </c>
      <c r="P44" s="530">
        <f>IF(ISBLANK(INDEX(WORLDCUP!$AC$4:$AC$147,MATCH(M44,WORLDCUP!$AH$4:$AH$147,0))),"",INDEX(WORLDCUP!$AC$4:$AC$147,MATCH(M44,WORLDCUP!$AH$4:$AH$147,0)))</f>
        <v>1</v>
      </c>
      <c r="Q44" s="530">
        <f>IF(ISBLANK(INDEX(WORLDCUP!$AD$4:$AD$147,MATCH(M44,WORLDCUP!$AH$4:$AH$147,0))),"",INDEX(WORLDCUP!$AD$4:$AD$147,MATCH(M44,WORLDCUP!$AH$4:$AH$147,0)))</f>
        <v>0</v>
      </c>
      <c r="R44" s="531" t="str">
        <f ca="1">+MID(INDEX(WORLDCUP!$AF$4:$AF$147,MATCH(M44,WORLDCUP!$AH$4:$AH$147,0)),1,3)</f>
        <v>Pan</v>
      </c>
      <c r="S44" s="532">
        <v>1</v>
      </c>
      <c r="T44" s="533" t="str">
        <f ca="1">+MID(INDEX(WORLDCUP!$AL$6:$AL$97,MATCH(X44,WORLDCUP!$AI$6:$AI$97,0)),1,3)</f>
        <v>Eng</v>
      </c>
      <c r="U44" s="534">
        <f ca="1">+INDEX(WORLDCUP!$AM$6:$AM$97,MATCH(X44,WORLDCUP!$AI$6:$AI$97,0))</f>
        <v>7</v>
      </c>
      <c r="V44" s="535">
        <f ca="1">+INDEX(WORLDCUP!$AT$6:$AT$97,MATCH(X44,WORLDCUP!$AI$6:$AI$97,0))</f>
        <v>4</v>
      </c>
      <c r="W44" s="536" t="str">
        <f ca="1">+INDEX(WORLDCUP!$AR$6:$AR$97,MATCH(X44,WORLDCUP!$AI$6:$AI$97,0))&amp;"-"&amp;INDEX(WORLDCUP!$AS$6:$AS$97,MATCH(X44,WORLDCUP!$AI$6:$AI$97,0))</f>
        <v>6-2</v>
      </c>
      <c r="X44" s="19" t="s">
        <v>682</v>
      </c>
      <c r="Y44" s="19"/>
      <c r="Z44" s="510"/>
      <c r="AA44" s="579"/>
      <c r="AB44" s="579"/>
      <c r="AC44" s="579"/>
      <c r="AD44" s="19"/>
      <c r="AE44" s="514"/>
      <c r="AF44" s="514"/>
      <c r="AG44" s="560"/>
      <c r="AH44" s="19">
        <v>100</v>
      </c>
      <c r="AI44" s="568" t="str">
        <f ca="1">+MID(INDEX(WORLDCUP!$AF$101:$AF$147,MATCH(AH44,WORLDCUP!$Z$101:$Z$147,0)),1,3)</f>
        <v>Swi</v>
      </c>
      <c r="AJ44" s="569">
        <f>+IF(ISBLANK(INDEX(WORLDCUP!$AD$101:$AD$147,MATCH(AH44,WORLDCUP!$Z$101:$Z$147,0))),"",INDEX(WORLDCUP!$AD$101:$AD$147,MATCH(AH44,WORLDCUP!$Z$101:$Z$147,0)))</f>
        <v>1</v>
      </c>
      <c r="AK44" s="544" t="str">
        <f>+IF(ISBLANK(INDEX(WORLDCUP!$AE$101:$AE$147,MATCH(AH44,WORLDCUP!$Z$101:$Z$147,0))),"","( "&amp;INDEX(WORLDCUP!$AE$101:$AE$147,MATCH(AH44,WORLDCUP!$Z$101:$Z$147,0))&amp;" )")</f>
        <v/>
      </c>
      <c r="AL44" s="92"/>
      <c r="AM44" s="516"/>
      <c r="AN44" s="516"/>
      <c r="AO44" s="516"/>
      <c r="AP44" s="19"/>
      <c r="AQ44" s="545"/>
      <c r="AR44" s="545"/>
      <c r="AS44" s="545"/>
      <c r="AT44" s="19"/>
      <c r="AU44" s="518"/>
      <c r="AV44" s="518"/>
      <c r="AW44" s="518"/>
      <c r="AX44" s="19"/>
      <c r="AY44" s="297"/>
      <c r="AZ44" s="297"/>
      <c r="BA44" s="297"/>
      <c r="BB44" s="297"/>
      <c r="BC44" s="297"/>
      <c r="BD44" s="297"/>
      <c r="BE44" s="297"/>
      <c r="BG44" s="547" t="str">
        <f ca="1">Horarios!Q43</f>
        <v>Spain</v>
      </c>
      <c r="BH44" s="548">
        <f t="shared" ca="1" si="0"/>
        <v>0</v>
      </c>
      <c r="BI44" s="548">
        <f ca="1">COUNTIF(ADMIN!$M$130:$M$161,Fixture!BG44)-BJ44-BK44-BL44-BM44-BN44-BO44</f>
        <v>0</v>
      </c>
      <c r="BJ44" s="549">
        <f ca="1">COUNTIF(ADMIN!$M$182:$M$197,Fixture!BG44)-BK44-BL44-BM44-BN44-BO44</f>
        <v>0</v>
      </c>
      <c r="BK44" s="550">
        <f ca="1">COUNTIF(ADMIN!$M$210:$M$217,Fixture!BG44)-BL44-BM44-BN44-BO44</f>
        <v>0</v>
      </c>
      <c r="BL44" s="550">
        <f ca="1">COUNTIF(ADMIN!$M$226:$M$229,BG44)-BM44-BN44-BO44</f>
        <v>0</v>
      </c>
      <c r="BM44" s="548">
        <f ca="1">COUNTIF(ADMIN!$M$252,Fixture!BG44)</f>
        <v>0</v>
      </c>
      <c r="BN44" s="548">
        <f ca="1">COUNTIF(ADMIN!$M$251,Fixture!BG44)</f>
        <v>0</v>
      </c>
      <c r="BO44" s="551">
        <f ca="1">COUNTIF(ADMIN!$M$250,Fixture!BG44)</f>
        <v>1</v>
      </c>
    </row>
    <row r="45" spans="1:67" ht="15.75" thickBot="1">
      <c r="A45" s="19">
        <v>35</v>
      </c>
      <c r="B45" s="653"/>
      <c r="C45" s="529" t="str">
        <f ca="1">+MID(INDEX(WORLDCUP!$AA$4:$AA$147,MATCH(A45,WORLDCUP!$AH$4:$AH$147,0)),1,3)</f>
        <v>Net</v>
      </c>
      <c r="D45" s="530">
        <f>IF(ISBLANK(INDEX(WORLDCUP!$AC$4:$AC$147,MATCH(A45,WORLDCUP!$AH$4:$AH$147,0))),"",INDEX(WORLDCUP!$AC$4:$AC$147,MATCH(A45,WORLDCUP!$AH$4:$AH$147,0)))</f>
        <v>5</v>
      </c>
      <c r="E45" s="530">
        <f>IF(ISBLANK(INDEX(WORLDCUP!$AD$4:$AD$147,MATCH(A45,WORLDCUP!$AH$4:$AH$147,0))),"",INDEX(WORLDCUP!$AD$4:$AD$147,MATCH(A45,WORLDCUP!$AH$4:$AH$147,0)))</f>
        <v>1</v>
      </c>
      <c r="F45" s="531" t="str">
        <f ca="1">+MID(INDEX(WORLDCUP!$AF$4:$AF$147,MATCH(A45,WORLDCUP!$AH$4:$AH$147,0)),1,3)</f>
        <v>Swe</v>
      </c>
      <c r="G45" s="552">
        <v>2</v>
      </c>
      <c r="H45" s="553" t="str">
        <f ca="1">+MID(INDEX(WORLDCUP!$AL$6:$AL$97,MATCH(L45,WORLDCUP!$AI$6:$AI$97,0)),1,3)</f>
        <v>Jap</v>
      </c>
      <c r="I45" s="223">
        <f ca="1">+INDEX(WORLDCUP!$AM$6:$AM$97,MATCH(L45,WORLDCUP!$AI$6:$AI$97,0))</f>
        <v>5</v>
      </c>
      <c r="J45" s="224">
        <f ca="1">+INDEX(WORLDCUP!$AT$6:$AT$97,MATCH(L45,WORLDCUP!$AI$6:$AI$97,0))</f>
        <v>4</v>
      </c>
      <c r="K45" s="225" t="str">
        <f ca="1">+INDEX(WORLDCUP!$AR$6:$AR$97,MATCH(L45,WORLDCUP!$AI$6:$AI$97,0))&amp;"-"&amp;INDEX(WORLDCUP!$AS$6:$AS$97,MATCH(L45,WORLDCUP!$AI$6:$AI$97,0))</f>
        <v>7-3</v>
      </c>
      <c r="L45" s="19" t="s">
        <v>665</v>
      </c>
      <c r="M45" s="19">
        <v>45</v>
      </c>
      <c r="N45" s="654"/>
      <c r="O45" s="529" t="str">
        <f ca="1">+MID(INDEX(WORLDCUP!$AA$4:$AA$147,MATCH(M45,WORLDCUP!$AH$4:$AH$147,0)),1,3)</f>
        <v>Eng</v>
      </c>
      <c r="P45" s="530">
        <f>IF(ISBLANK(INDEX(WORLDCUP!$AC$4:$AC$147,MATCH(M45,WORLDCUP!$AH$4:$AH$147,0))),"",INDEX(WORLDCUP!$AC$4:$AC$147,MATCH(M45,WORLDCUP!$AH$4:$AH$147,0)))</f>
        <v>0</v>
      </c>
      <c r="Q45" s="530">
        <f>IF(ISBLANK(INDEX(WORLDCUP!$AD$4:$AD$147,MATCH(M45,WORLDCUP!$AH$4:$AH$147,0))),"",INDEX(WORLDCUP!$AD$4:$AD$147,MATCH(M45,WORLDCUP!$AH$4:$AH$147,0)))</f>
        <v>0</v>
      </c>
      <c r="R45" s="531" t="str">
        <f ca="1">+MID(INDEX(WORLDCUP!$AF$4:$AF$147,MATCH(M45,WORLDCUP!$AH$4:$AH$147,0)),1,3)</f>
        <v>Gha</v>
      </c>
      <c r="S45" s="552">
        <v>2</v>
      </c>
      <c r="T45" s="553" t="str">
        <f ca="1">+MID(INDEX(WORLDCUP!$AL$6:$AL$97,MATCH(X45,WORLDCUP!$AI$6:$AI$97,0)),1,3)</f>
        <v>Cro</v>
      </c>
      <c r="U45" s="223">
        <f ca="1">+INDEX(WORLDCUP!$AM$6:$AM$97,MATCH(X45,WORLDCUP!$AI$6:$AI$97,0))</f>
        <v>6</v>
      </c>
      <c r="V45" s="224">
        <f ca="1">+INDEX(WORLDCUP!$AT$6:$AT$97,MATCH(X45,WORLDCUP!$AI$6:$AI$97,0))</f>
        <v>0</v>
      </c>
      <c r="W45" s="225" t="str">
        <f ca="1">+INDEX(WORLDCUP!$AR$6:$AR$97,MATCH(X45,WORLDCUP!$AI$6:$AI$97,0))&amp;"-"&amp;INDEX(WORLDCUP!$AS$6:$AS$97,MATCH(X45,WORLDCUP!$AI$6:$AI$97,0))</f>
        <v>5-5</v>
      </c>
      <c r="X45" s="19" t="s">
        <v>683</v>
      </c>
      <c r="Y45" s="19">
        <v>85</v>
      </c>
      <c r="Z45" s="510" t="s">
        <v>648</v>
      </c>
      <c r="AA45" s="511" t="str">
        <f ca="1">+MID(INDEX(WORLDCUP!$AA$101:$AA$147,MATCH(Y45,WORLDCUP!$Z$101:$Z$147,0)),1,3)</f>
        <v>Swi</v>
      </c>
      <c r="AB45" s="512">
        <f>+IF(ISBLANK(INDEX(WORLDCUP!$AC$101:$AC$147,MATCH(Y45,WORLDCUP!$Z$101:$Z$147,0))),"",INDEX(WORLDCUP!$AC$101:$AC$147,MATCH(Y45,WORLDCUP!$Z$101:$Z$147,0)))</f>
        <v>2</v>
      </c>
      <c r="AC45" s="582" t="str">
        <f>+IF(ISBLANK(INDEX(WORLDCUP!$AB$101:$AB$147,MATCH(Y45,WORLDCUP!$Z$101:$Z$147,0))),"","( "&amp;INDEX(WORLDCUP!$AB$101:$AB$147,MATCH(Y45,WORLDCUP!$Z$101:$Z$147,0))&amp;" )")</f>
        <v/>
      </c>
      <c r="AD45" s="18"/>
      <c r="AE45" s="514"/>
      <c r="AF45" s="514"/>
      <c r="AG45" s="560"/>
      <c r="AH45" s="19"/>
      <c r="AI45" s="544"/>
      <c r="AJ45" s="544"/>
      <c r="AK45" s="544"/>
      <c r="AL45" s="92"/>
      <c r="AM45" s="516"/>
      <c r="AN45" s="516"/>
      <c r="AO45" s="516"/>
      <c r="AP45" s="19"/>
      <c r="AQ45" s="545"/>
      <c r="AR45" s="545"/>
      <c r="AS45" s="545"/>
      <c r="AT45" s="19"/>
      <c r="AU45" s="518"/>
      <c r="AV45" s="518"/>
      <c r="AW45" s="518"/>
      <c r="AX45" s="19"/>
      <c r="AY45" s="297"/>
      <c r="AZ45" s="297"/>
      <c r="BA45" s="297"/>
      <c r="BB45" s="297"/>
      <c r="BC45" s="297"/>
      <c r="BD45" s="297"/>
      <c r="BE45" s="297"/>
      <c r="BG45" s="547" t="str">
        <f ca="1">Horarios!Q44</f>
        <v>Sweden</v>
      </c>
      <c r="BH45" s="548">
        <f t="shared" ca="1" si="0"/>
        <v>0</v>
      </c>
      <c r="BI45" s="548">
        <f ca="1">COUNTIF(ADMIN!$M$130:$M$161,Fixture!BG45)-BJ45-BK45-BL45-BM45-BN45-BO45</f>
        <v>1</v>
      </c>
      <c r="BJ45" s="549">
        <f ca="1">COUNTIF(ADMIN!$M$182:$M$197,Fixture!BG45)-BK45-BL45-BM45-BN45-BO45</f>
        <v>0</v>
      </c>
      <c r="BK45" s="550">
        <f ca="1">COUNTIF(ADMIN!$M$210:$M$217,Fixture!BG45)-BL45-BM45-BN45-BO45</f>
        <v>0</v>
      </c>
      <c r="BL45" s="550">
        <f ca="1">COUNTIF(ADMIN!$M$226:$M$229,BG45)-BM45-BN45-BO45</f>
        <v>0</v>
      </c>
      <c r="BM45" s="548">
        <f ca="1">COUNTIF(ADMIN!$M$252,Fixture!BG45)</f>
        <v>0</v>
      </c>
      <c r="BN45" s="548">
        <f ca="1">COUNTIF(ADMIN!$M$251,Fixture!BG45)</f>
        <v>0</v>
      </c>
      <c r="BO45" s="551">
        <f ca="1">COUNTIF(ADMIN!$M$250,Fixture!BG45)</f>
        <v>0</v>
      </c>
    </row>
    <row r="46" spans="1:67" ht="15.75" thickBot="1">
      <c r="A46" s="19">
        <v>36</v>
      </c>
      <c r="B46" s="653"/>
      <c r="C46" s="529" t="str">
        <f ca="1">+MID(INDEX(WORLDCUP!$AA$4:$AA$147,MATCH(A46,WORLDCUP!$AH$4:$AH$147,0)),1,3)</f>
        <v>Tun</v>
      </c>
      <c r="D46" s="530">
        <f>IF(ISBLANK(INDEX(WORLDCUP!$AC$4:$AC$147,MATCH(A46,WORLDCUP!$AH$4:$AH$147,0))),"",INDEX(WORLDCUP!$AC$4:$AC$147,MATCH(A46,WORLDCUP!$AH$4:$AH$147,0)))</f>
        <v>0</v>
      </c>
      <c r="E46" s="530">
        <f>IF(ISBLANK(INDEX(WORLDCUP!$AD$4:$AD$147,MATCH(A46,WORLDCUP!$AH$4:$AH$147,0))),"",INDEX(WORLDCUP!$AD$4:$AD$147,MATCH(A46,WORLDCUP!$AH$4:$AH$147,0)))</f>
        <v>4</v>
      </c>
      <c r="F46" s="531" t="str">
        <f ca="1">+MID(INDEX(WORLDCUP!$AF$4:$AF$147,MATCH(A46,WORLDCUP!$AH$4:$AH$147,0)),1,3)</f>
        <v>Jap</v>
      </c>
      <c r="G46" s="552">
        <v>3</v>
      </c>
      <c r="H46" s="553" t="str">
        <f ca="1">+MID(INDEX(WORLDCUP!$AL$6:$AL$97,MATCH(L46,WORLDCUP!$AI$6:$AI$97,0)),1,3)</f>
        <v>Swe</v>
      </c>
      <c r="I46" s="223">
        <f ca="1">+INDEX(WORLDCUP!$AM$6:$AM$97,MATCH(L46,WORLDCUP!$AI$6:$AI$97,0))</f>
        <v>4</v>
      </c>
      <c r="J46" s="224">
        <f ca="1">+INDEX(WORLDCUP!$AT$6:$AT$97,MATCH(L46,WORLDCUP!$AI$6:$AI$97,0))</f>
        <v>0</v>
      </c>
      <c r="K46" s="225" t="str">
        <f ca="1">+INDEX(WORLDCUP!$AR$6:$AR$97,MATCH(L46,WORLDCUP!$AI$6:$AI$97,0))&amp;"-"&amp;INDEX(WORLDCUP!$AS$6:$AS$97,MATCH(L46,WORLDCUP!$AI$6:$AI$97,0))</f>
        <v>7-7</v>
      </c>
      <c r="L46" s="19" t="s">
        <v>94</v>
      </c>
      <c r="M46" s="19">
        <v>46</v>
      </c>
      <c r="N46" s="654"/>
      <c r="O46" s="529" t="str">
        <f ca="1">+MID(INDEX(WORLDCUP!$AA$4:$AA$147,MATCH(M46,WORLDCUP!$AH$4:$AH$147,0)),1,3)</f>
        <v>Pan</v>
      </c>
      <c r="P46" s="530">
        <f>IF(ISBLANK(INDEX(WORLDCUP!$AC$4:$AC$147,MATCH(M46,WORLDCUP!$AH$4:$AH$147,0))),"",INDEX(WORLDCUP!$AC$4:$AC$147,MATCH(M46,WORLDCUP!$AH$4:$AH$147,0)))</f>
        <v>0</v>
      </c>
      <c r="Q46" s="530">
        <f>IF(ISBLANK(INDEX(WORLDCUP!$AD$4:$AD$147,MATCH(M46,WORLDCUP!$AH$4:$AH$147,0))),"",INDEX(WORLDCUP!$AD$4:$AD$147,MATCH(M46,WORLDCUP!$AH$4:$AH$147,0)))</f>
        <v>1</v>
      </c>
      <c r="R46" s="531" t="str">
        <f ca="1">+MID(INDEX(WORLDCUP!$AF$4:$AF$147,MATCH(M46,WORLDCUP!$AH$4:$AH$147,0)),1,3)</f>
        <v>Cro</v>
      </c>
      <c r="S46" s="552">
        <v>3</v>
      </c>
      <c r="T46" s="553" t="str">
        <f ca="1">+MID(INDEX(WORLDCUP!$AL$6:$AL$97,MATCH(X46,WORLDCUP!$AI$6:$AI$97,0)),1,3)</f>
        <v>Gha</v>
      </c>
      <c r="U46" s="223">
        <f ca="1">+INDEX(WORLDCUP!$AM$6:$AM$97,MATCH(X46,WORLDCUP!$AI$6:$AI$97,0))</f>
        <v>4</v>
      </c>
      <c r="V46" s="224">
        <f ca="1">+INDEX(WORLDCUP!$AT$6:$AT$97,MATCH(X46,WORLDCUP!$AI$6:$AI$97,0))</f>
        <v>0</v>
      </c>
      <c r="W46" s="225" t="str">
        <f ca="1">+INDEX(WORLDCUP!$AR$6:$AR$97,MATCH(X46,WORLDCUP!$AI$6:$AI$97,0))&amp;"-"&amp;INDEX(WORLDCUP!$AS$6:$AS$97,MATCH(X46,WORLDCUP!$AI$6:$AI$97,0))</f>
        <v>2-2</v>
      </c>
      <c r="X46" s="19" t="s">
        <v>443</v>
      </c>
      <c r="Y46" s="19">
        <v>85</v>
      </c>
      <c r="Z46" s="510" t="s">
        <v>728</v>
      </c>
      <c r="AA46" s="511" t="str">
        <f ca="1">+MID(INDEX(WORLDCUP!$AF$101:$AF$147,MATCH(Y46,WORLDCUP!$Z$101:$Z$147,0)),1,IF(WORLDCUP!$H$113&lt;144,6,3))</f>
        <v>Alg</v>
      </c>
      <c r="AB46" s="538">
        <f>+IF(ISBLANK(INDEX(WORLDCUP!$AD$101:$AD$147,MATCH(Y46,WORLDCUP!$Z$101:$Z$147,0))),"",INDEX(WORLDCUP!$AD$101:$AD$147,MATCH(Y46,WORLDCUP!$Z$101:$Z$147,0)))</f>
        <v>0</v>
      </c>
      <c r="AC46" s="539" t="str">
        <f>+IF(ISBLANK(INDEX(WORLDCUP!$AE$101:$AE$147,MATCH(Y46,WORLDCUP!$Z$101:$Z$147,0))),"","( "&amp;INDEX(WORLDCUP!$AE$101:$AE$147,MATCH(Y46,WORLDCUP!$Z$101:$Z$147,0))&amp;" )")</f>
        <v/>
      </c>
      <c r="AD46" s="540">
        <v>96</v>
      </c>
      <c r="AE46" s="541" t="str">
        <f ca="1">+MID(INDEX(WORLDCUP!$AA$101:$AA$147,MATCH(AD46,WORLDCUP!$Z$101:$Z$147,0)),1,3)</f>
        <v>Swi</v>
      </c>
      <c r="AF46" s="542">
        <f>+IF(ISBLANK(INDEX(WORLDCUP!$AC$101:$AC$147,MATCH(AD46,WORLDCUP!$Z$101:$Z$147,0))),"",INDEX(WORLDCUP!$AC$101:$AC$147,MATCH(AD46,WORLDCUP!$Z$101:$Z$147,0)))</f>
        <v>0</v>
      </c>
      <c r="AG46" s="585" t="str">
        <f>+IF(ISBLANK(INDEX(WORLDCUP!$AB$101:$AB$147,MATCH(AD46,WORLDCUP!$Z$101:$Z$147,0))),"","( "&amp;INDEX(WORLDCUP!$AB$101:$AB$147,MATCH(AD46,WORLDCUP!$Z$101:$Z$147,0))&amp;" )")</f>
        <v>( 4 )</v>
      </c>
      <c r="AH46" s="19"/>
      <c r="AI46" s="544"/>
      <c r="AJ46" s="544"/>
      <c r="AK46" s="544"/>
      <c r="AL46" s="92"/>
      <c r="AM46" s="516"/>
      <c r="AN46" s="516"/>
      <c r="AO46" s="516"/>
      <c r="AP46" s="19"/>
      <c r="AQ46" s="545"/>
      <c r="AR46" s="545"/>
      <c r="AS46" s="545"/>
      <c r="AT46" s="19"/>
      <c r="AU46" s="518"/>
      <c r="AV46" s="518"/>
      <c r="AW46" s="518"/>
      <c r="AX46" s="19"/>
      <c r="AY46" s="297"/>
      <c r="AZ46" s="297"/>
      <c r="BA46" s="297"/>
      <c r="BB46" s="297"/>
      <c r="BC46" s="297"/>
      <c r="BD46" s="297"/>
      <c r="BE46" s="297"/>
      <c r="BG46" s="547" t="str">
        <f ca="1">Horarios!Q45</f>
        <v>Switzerland</v>
      </c>
      <c r="BH46" s="548">
        <f t="shared" ca="1" si="0"/>
        <v>0</v>
      </c>
      <c r="BI46" s="548">
        <f ca="1">COUNTIF(ADMIN!$M$130:$M$161,Fixture!BG46)-BJ46-BK46-BL46-BM46-BN46-BO46</f>
        <v>0</v>
      </c>
      <c r="BJ46" s="549">
        <f ca="1">COUNTIF(ADMIN!$M$182:$M$197,Fixture!BG46)-BK46-BL46-BM46-BN46-BO46</f>
        <v>0</v>
      </c>
      <c r="BK46" s="550">
        <f ca="1">COUNTIF(ADMIN!$M$210:$M$217,Fixture!BG46)-BL46-BM46-BN46-BO46</f>
        <v>1</v>
      </c>
      <c r="BL46" s="550">
        <f ca="1">COUNTIF(ADMIN!$M$226:$M$229,BG46)-BM46-BN46-BO46</f>
        <v>0</v>
      </c>
      <c r="BM46" s="548">
        <f ca="1">COUNTIF(ADMIN!$M$252,Fixture!BG46)</f>
        <v>0</v>
      </c>
      <c r="BN46" s="548">
        <f ca="1">COUNTIF(ADMIN!$M$251,Fixture!BG46)</f>
        <v>0</v>
      </c>
      <c r="BO46" s="551">
        <f ca="1">COUNTIF(ADMIN!$M$250,Fixture!BG46)</f>
        <v>0</v>
      </c>
    </row>
    <row r="47" spans="1:67">
      <c r="A47" s="19">
        <v>57</v>
      </c>
      <c r="B47" s="653"/>
      <c r="C47" s="529" t="str">
        <f ca="1">+MID(INDEX(WORLDCUP!$AA$4:$AA$147,MATCH(A47,WORLDCUP!$AH$4:$AH$147,0)),1,3)</f>
        <v>Jap</v>
      </c>
      <c r="D47" s="530">
        <f>IF(ISBLANK(INDEX(WORLDCUP!$AC$4:$AC$147,MATCH(A47,WORLDCUP!$AH$4:$AH$147,0))),"",INDEX(WORLDCUP!$AC$4:$AC$147,MATCH(A47,WORLDCUP!$AH$4:$AH$147,0)))</f>
        <v>1</v>
      </c>
      <c r="E47" s="530">
        <f>IF(ISBLANK(INDEX(WORLDCUP!$AD$4:$AD$147,MATCH(A47,WORLDCUP!$AH$4:$AH$147,0))),"",INDEX(WORLDCUP!$AD$4:$AD$147,MATCH(A47,WORLDCUP!$AH$4:$AH$147,0)))</f>
        <v>1</v>
      </c>
      <c r="F47" s="531" t="str">
        <f ca="1">+MID(INDEX(WORLDCUP!$AF$4:$AF$147,MATCH(A47,WORLDCUP!$AH$4:$AH$147,0)),1,3)</f>
        <v>Swe</v>
      </c>
      <c r="G47" s="552">
        <v>4</v>
      </c>
      <c r="H47" s="561" t="str">
        <f ca="1">+MID(INDEX(WORLDCUP!$AL$6:$AL$97,MATCH(L47,WORLDCUP!$AI$6:$AI$97,0)),1,3)</f>
        <v>Tun</v>
      </c>
      <c r="I47" s="562">
        <f ca="1">+INDEX(WORLDCUP!$AM$6:$AM$97,MATCH(L47,WORLDCUP!$AI$6:$AI$97,0))</f>
        <v>0</v>
      </c>
      <c r="J47" s="563">
        <f ca="1">+INDEX(WORLDCUP!$AT$6:$AT$97,MATCH(L47,WORLDCUP!$AI$6:$AI$97,0))</f>
        <v>-10</v>
      </c>
      <c r="K47" s="564" t="str">
        <f ca="1">+INDEX(WORLDCUP!$AR$6:$AR$97,MATCH(L47,WORLDCUP!$AI$6:$AI$97,0))&amp;"-"&amp;INDEX(WORLDCUP!$AS$6:$AS$97,MATCH(L47,WORLDCUP!$AI$6:$AI$97,0))</f>
        <v>2-12</v>
      </c>
      <c r="L47" s="19" t="s">
        <v>666</v>
      </c>
      <c r="M47" s="19">
        <v>67</v>
      </c>
      <c r="N47" s="654"/>
      <c r="O47" s="529" t="str">
        <f ca="1">+MID(INDEX(WORLDCUP!$AA$4:$AA$147,MATCH(M47,WORLDCUP!$AH$4:$AH$147,0)),1,3)</f>
        <v>Pan</v>
      </c>
      <c r="P47" s="530">
        <f>IF(ISBLANK(INDEX(WORLDCUP!$AC$4:$AC$147,MATCH(M47,WORLDCUP!$AH$4:$AH$147,0))),"",INDEX(WORLDCUP!$AC$4:$AC$147,MATCH(M47,WORLDCUP!$AH$4:$AH$147,0)))</f>
        <v>0</v>
      </c>
      <c r="Q47" s="530">
        <f>IF(ISBLANK(INDEX(WORLDCUP!$AD$4:$AD$147,MATCH(M47,WORLDCUP!$AH$4:$AH$147,0))),"",INDEX(WORLDCUP!$AD$4:$AD$147,MATCH(M47,WORLDCUP!$AH$4:$AH$147,0)))</f>
        <v>2</v>
      </c>
      <c r="R47" s="531" t="str">
        <f ca="1">+MID(INDEX(WORLDCUP!$AF$4:$AF$147,MATCH(M47,WORLDCUP!$AH$4:$AH$147,0)),1,3)</f>
        <v>Eng</v>
      </c>
      <c r="S47" s="552">
        <v>4</v>
      </c>
      <c r="T47" s="561" t="str">
        <f ca="1">+MID(INDEX(WORLDCUP!$AL$6:$AL$97,MATCH(X47,WORLDCUP!$AI$6:$AI$97,0)),1,3)</f>
        <v>Pan</v>
      </c>
      <c r="U47" s="562">
        <f ca="1">+INDEX(WORLDCUP!$AM$6:$AM$97,MATCH(X47,WORLDCUP!$AI$6:$AI$97,0))</f>
        <v>0</v>
      </c>
      <c r="V47" s="563">
        <f ca="1">+INDEX(WORLDCUP!$AT$6:$AT$97,MATCH(X47,WORLDCUP!$AI$6:$AI$97,0))</f>
        <v>-4</v>
      </c>
      <c r="W47" s="564" t="str">
        <f ca="1">+INDEX(WORLDCUP!$AR$6:$AR$97,MATCH(X47,WORLDCUP!$AI$6:$AI$97,0))&amp;"-"&amp;INDEX(WORLDCUP!$AS$6:$AS$97,MATCH(X47,WORLDCUP!$AI$6:$AI$97,0))</f>
        <v>0-4</v>
      </c>
      <c r="X47" s="19" t="s">
        <v>684</v>
      </c>
      <c r="Y47" s="19"/>
      <c r="Z47" s="510"/>
      <c r="AA47" s="554"/>
      <c r="AB47" s="554"/>
      <c r="AC47" s="555"/>
      <c r="AD47" s="19">
        <v>96</v>
      </c>
      <c r="AE47" s="541" t="str">
        <f ca="1">+MID(INDEX(WORLDCUP!$AF$101:$AF$147,MATCH(AD47,WORLDCUP!$Z$101:$Z$147,0)),1,3)</f>
        <v>Col</v>
      </c>
      <c r="AF47" s="542">
        <f>+IF(ISBLANK(INDEX(WORLDCUP!$AD$101:$AD$147,MATCH(AD47,WORLDCUP!$Z$101:$Z$147,0))),"",INDEX(WORLDCUP!$AD$101:$AD$147,MATCH(AD47,WORLDCUP!$Z$101:$Z$147,0)))</f>
        <v>0</v>
      </c>
      <c r="AG47" s="559" t="str">
        <f>+IF(ISBLANK(INDEX(WORLDCUP!$AE$101:$AE$147,MATCH(AD47,WORLDCUP!$Z$101:$Z$147,0))),"","( "&amp;INDEX(WORLDCUP!$AE$101:$AE$147,MATCH(AD47,WORLDCUP!$Z$101:$Z$147,0))&amp;" )")</f>
        <v>( 3 )</v>
      </c>
      <c r="AH47" s="19"/>
      <c r="AI47" s="544"/>
      <c r="AJ47" s="544"/>
      <c r="AK47" s="544"/>
      <c r="AL47" s="92"/>
      <c r="AM47" s="516"/>
      <c r="AN47" s="516"/>
      <c r="AO47" s="516"/>
      <c r="AP47" s="19"/>
      <c r="AQ47" s="545"/>
      <c r="AR47" s="545"/>
      <c r="AS47" s="545"/>
      <c r="AT47" s="19"/>
      <c r="AU47" s="518"/>
      <c r="AV47" s="518"/>
      <c r="AW47" s="518"/>
      <c r="AX47" s="19"/>
      <c r="AY47" s="297"/>
      <c r="AZ47" s="297"/>
      <c r="BA47" s="297"/>
      <c r="BB47" s="297"/>
      <c r="BC47" s="297"/>
      <c r="BD47" s="297"/>
      <c r="BE47" s="297"/>
      <c r="BG47" s="547" t="str">
        <f ca="1">Horarios!Q46</f>
        <v>Tunisia</v>
      </c>
      <c r="BH47" s="548">
        <f t="shared" ca="1" si="0"/>
        <v>1</v>
      </c>
      <c r="BI47" s="548">
        <f ca="1">COUNTIF(ADMIN!$M$130:$M$161,Fixture!BG47)-BJ47-BK47-BL47-BM47-BN47-BO47</f>
        <v>0</v>
      </c>
      <c r="BJ47" s="549">
        <f ca="1">COUNTIF(ADMIN!$M$182:$M$197,Fixture!BG47)-BK47-BL47-BM47-BN47-BO47</f>
        <v>0</v>
      </c>
      <c r="BK47" s="550">
        <f ca="1">COUNTIF(ADMIN!$M$210:$M$217,Fixture!BG47)-BL47-BM47-BN47-BO47</f>
        <v>0</v>
      </c>
      <c r="BL47" s="550">
        <f ca="1">COUNTIF(ADMIN!$M$226:$M$229,BG47)-BM47-BN47-BO47</f>
        <v>0</v>
      </c>
      <c r="BM47" s="548">
        <f ca="1">COUNTIF(ADMIN!$M$252,Fixture!BG47)</f>
        <v>0</v>
      </c>
      <c r="BN47" s="548">
        <f ca="1">COUNTIF(ADMIN!$M$251,Fixture!BG47)</f>
        <v>0</v>
      </c>
      <c r="BO47" s="551">
        <f ca="1">COUNTIF(ADMIN!$M$250,Fixture!BG47)</f>
        <v>0</v>
      </c>
    </row>
    <row r="48" spans="1:67" ht="15.75" thickBot="1">
      <c r="A48" s="19">
        <v>58</v>
      </c>
      <c r="B48" s="655"/>
      <c r="C48" s="572" t="str">
        <f ca="1">+MID(INDEX(WORLDCUP!$AA$4:$AA$147,MATCH(A48,WORLDCUP!$AH$4:$AH$147,0)),1,3)</f>
        <v>Tun</v>
      </c>
      <c r="D48" s="573">
        <f>IF(ISBLANK(INDEX(WORLDCUP!$AC$4:$AC$147,MATCH(A48,WORLDCUP!$AH$4:$AH$147,0))),"",INDEX(WORLDCUP!$AC$4:$AC$147,MATCH(A48,WORLDCUP!$AH$4:$AH$147,0)))</f>
        <v>1</v>
      </c>
      <c r="E48" s="573">
        <f>IF(ISBLANK(INDEX(WORLDCUP!$AD$4:$AD$147,MATCH(A48,WORLDCUP!$AH$4:$AH$147,0))),"",INDEX(WORLDCUP!$AD$4:$AD$147,MATCH(A48,WORLDCUP!$AH$4:$AH$147,0)))</f>
        <v>3</v>
      </c>
      <c r="F48" s="574" t="str">
        <f ca="1">+MID(INDEX(WORLDCUP!$AF$4:$AF$147,MATCH(A48,WORLDCUP!$AH$4:$AH$147,0)),1,3)</f>
        <v>Net</v>
      </c>
      <c r="G48" s="575"/>
      <c r="H48" s="575"/>
      <c r="I48" s="576"/>
      <c r="J48" s="576"/>
      <c r="K48" s="577"/>
      <c r="L48" s="19"/>
      <c r="M48" s="19">
        <v>68</v>
      </c>
      <c r="N48" s="656"/>
      <c r="O48" s="572" t="str">
        <f ca="1">+MID(INDEX(WORLDCUP!$AA$4:$AA$147,MATCH(M48,WORLDCUP!$AH$4:$AH$147,0)),1,3)</f>
        <v>Cro</v>
      </c>
      <c r="P48" s="573">
        <f>IF(ISBLANK(INDEX(WORLDCUP!$AC$4:$AC$147,MATCH(M48,WORLDCUP!$AH$4:$AH$147,0))),"",INDEX(WORLDCUP!$AC$4:$AC$147,MATCH(M48,WORLDCUP!$AH$4:$AH$147,0)))</f>
        <v>2</v>
      </c>
      <c r="Q48" s="573">
        <f>IF(ISBLANK(INDEX(WORLDCUP!$AD$4:$AD$147,MATCH(M48,WORLDCUP!$AH$4:$AH$147,0))),"",INDEX(WORLDCUP!$AD$4:$AD$147,MATCH(M48,WORLDCUP!$AH$4:$AH$147,0)))</f>
        <v>1</v>
      </c>
      <c r="R48" s="574" t="str">
        <f ca="1">+MID(INDEX(WORLDCUP!$AF$4:$AF$147,MATCH(M48,WORLDCUP!$AH$4:$AH$147,0)),1,3)</f>
        <v>Gha</v>
      </c>
      <c r="S48" s="575"/>
      <c r="T48" s="575"/>
      <c r="U48" s="576"/>
      <c r="V48" s="576"/>
      <c r="W48" s="577"/>
      <c r="X48" s="19"/>
      <c r="Y48" s="19">
        <v>87</v>
      </c>
      <c r="Z48" s="510" t="s">
        <v>679</v>
      </c>
      <c r="AA48" s="511" t="str">
        <f ca="1">+MID(INDEX(WORLDCUP!$AA$101:$AA$147,MATCH(Y48,WORLDCUP!$Z$101:$Z$147,0)),1,3)</f>
        <v>Col</v>
      </c>
      <c r="AB48" s="557">
        <f>+IF(ISBLANK(INDEX(WORLDCUP!$AC$101:$AC$147,MATCH(Y48,WORLDCUP!$Z$101:$Z$147,0))),"",INDEX(WORLDCUP!$AC$101:$AC$147,MATCH(Y48,WORLDCUP!$Z$101:$Z$147,0)))</f>
        <v>1</v>
      </c>
      <c r="AC48" s="591" t="str">
        <f>+IF(ISBLANK(INDEX(WORLDCUP!$AB$101:$AB$147,MATCH(Y48,WORLDCUP!$Z$101:$Z$147,0))),"","( "&amp;INDEX(WORLDCUP!$AB$101:$AB$147,MATCH(Y48,WORLDCUP!$Z$101:$Z$147,0))&amp;" )")</f>
        <v/>
      </c>
      <c r="AD48" s="19"/>
      <c r="AE48" s="514"/>
      <c r="AF48" s="514"/>
      <c r="AG48" s="514"/>
      <c r="AH48" s="19"/>
      <c r="AI48" s="544"/>
      <c r="AJ48" s="544"/>
      <c r="AK48" s="544"/>
      <c r="AL48" s="92"/>
      <c r="AM48" s="516"/>
      <c r="AN48" s="516"/>
      <c r="AO48" s="516"/>
      <c r="AP48" s="19"/>
      <c r="AQ48" s="545"/>
      <c r="AR48" s="545"/>
      <c r="AS48" s="545"/>
      <c r="AT48" s="19"/>
      <c r="AU48" s="518"/>
      <c r="AV48" s="518"/>
      <c r="AW48" s="518"/>
      <c r="AX48" s="19"/>
      <c r="AY48" s="297"/>
      <c r="AZ48" s="297"/>
      <c r="BA48" s="297"/>
      <c r="BB48" s="297"/>
      <c r="BC48" s="297"/>
      <c r="BD48" s="297"/>
      <c r="BE48" s="297"/>
      <c r="BG48" s="547" t="str">
        <f ca="1">Horarios!Q47</f>
        <v>Turkey</v>
      </c>
      <c r="BH48" s="548">
        <f t="shared" ca="1" si="0"/>
        <v>1</v>
      </c>
      <c r="BI48" s="548">
        <f ca="1">COUNTIF(ADMIN!$M$130:$M$161,Fixture!BG48)-BJ48-BK48-BL48-BM48-BN48-BO48</f>
        <v>0</v>
      </c>
      <c r="BJ48" s="549">
        <f ca="1">COUNTIF(ADMIN!$M$182:$M$197,Fixture!BG48)-BK48-BL48-BM48-BN48-BO48</f>
        <v>0</v>
      </c>
      <c r="BK48" s="550">
        <f ca="1">COUNTIF(ADMIN!$M$210:$M$217,Fixture!BG48)-BL48-BM48-BN48-BO48</f>
        <v>0</v>
      </c>
      <c r="BL48" s="550">
        <f ca="1">COUNTIF(ADMIN!$M$226:$M$229,BG48)-BM48-BN48-BO48</f>
        <v>0</v>
      </c>
      <c r="BM48" s="548">
        <f ca="1">COUNTIF(ADMIN!$M$252,Fixture!BG48)</f>
        <v>0</v>
      </c>
      <c r="BN48" s="548">
        <f ca="1">COUNTIF(ADMIN!$M$251,Fixture!BG48)</f>
        <v>0</v>
      </c>
      <c r="BO48" s="551">
        <f ca="1">COUNTIF(ADMIN!$M$250,Fixture!BG48)</f>
        <v>0</v>
      </c>
    </row>
    <row r="49" spans="1:67">
      <c r="A49" s="19"/>
      <c r="B49" s="247"/>
      <c r="C49" s="297"/>
      <c r="D49" s="297"/>
      <c r="E49" s="297"/>
      <c r="F49" s="297"/>
      <c r="G49" s="297"/>
      <c r="H49" s="297"/>
      <c r="I49" s="297"/>
      <c r="J49" s="297"/>
      <c r="K49" s="297"/>
      <c r="L49" s="297"/>
      <c r="M49" s="19"/>
      <c r="N49" s="247"/>
      <c r="O49" s="297"/>
      <c r="P49" s="297"/>
      <c r="Q49" s="297"/>
      <c r="R49" s="297"/>
      <c r="S49" s="297"/>
      <c r="T49" s="297"/>
      <c r="U49" s="297"/>
      <c r="V49" s="297"/>
      <c r="W49" s="297"/>
      <c r="X49" s="19"/>
      <c r="Y49" s="19">
        <v>87</v>
      </c>
      <c r="Z49" s="510" t="s">
        <v>729</v>
      </c>
      <c r="AA49" s="565" t="str">
        <f ca="1">+MID(INDEX(WORLDCUP!$AF$101:$AF$147,MATCH(Y49,WORLDCUP!$Z$101:$Z$147,0)),1,IF(WORLDCUP!$H$113&lt;144,6,3))</f>
        <v>Gha</v>
      </c>
      <c r="AB49" s="566">
        <f>+IF(ISBLANK(INDEX(WORLDCUP!$AD$101:$AD$147,MATCH(Y49,WORLDCUP!$Z$101:$Z$147,0))),"",INDEX(WORLDCUP!$AD$101:$AD$147,MATCH(Y49,WORLDCUP!$Z$101:$Z$147,0)))</f>
        <v>0</v>
      </c>
      <c r="AC49" s="592" t="str">
        <f>+IF(ISBLANK(INDEX(WORLDCUP!$AE$101:$AE$147,MATCH(Y49,WORLDCUP!$Z$101:$Z$147,0))),"","( "&amp;INDEX(WORLDCUP!$AE$101:$AE$147,MATCH(Y49,WORLDCUP!$Z$101:$Z$147,0))&amp;" )")</f>
        <v/>
      </c>
      <c r="AD49" s="19"/>
      <c r="AE49" s="514"/>
      <c r="AF49" s="514"/>
      <c r="AG49" s="514"/>
      <c r="AH49" s="19"/>
      <c r="AI49" s="544"/>
      <c r="AJ49" s="544"/>
      <c r="AK49" s="544"/>
      <c r="AL49" s="92"/>
      <c r="AM49" s="516"/>
      <c r="AN49" s="516"/>
      <c r="AO49" s="516"/>
      <c r="AP49" s="19"/>
      <c r="AQ49" s="545"/>
      <c r="AR49" s="545"/>
      <c r="AS49" s="545"/>
      <c r="AT49" s="19"/>
      <c r="AU49" s="518"/>
      <c r="AV49" s="518"/>
      <c r="AW49" s="518"/>
      <c r="AX49" s="19"/>
      <c r="AY49" s="297"/>
      <c r="AZ49" s="297"/>
      <c r="BA49" s="297"/>
      <c r="BB49" s="297"/>
      <c r="BC49" s="297"/>
      <c r="BD49" s="297"/>
      <c r="BE49" s="297"/>
      <c r="BG49" s="547" t="str">
        <f ca="1">Horarios!Q48</f>
        <v>United States</v>
      </c>
      <c r="BH49" s="548">
        <f t="shared" ca="1" si="0"/>
        <v>0</v>
      </c>
      <c r="BI49" s="548">
        <f ca="1">COUNTIF(ADMIN!$M$130:$M$161,Fixture!BG49)-BJ49-BK49-BL49-BM49-BN49-BO49</f>
        <v>0</v>
      </c>
      <c r="BJ49" s="549">
        <f ca="1">COUNTIF(ADMIN!$M$182:$M$197,Fixture!BG49)-BK49-BL49-BM49-BN49-BO49</f>
        <v>1</v>
      </c>
      <c r="BK49" s="550">
        <f ca="1">COUNTIF(ADMIN!$M$210:$M$217,Fixture!BG49)-BL49-BM49-BN49-BO49</f>
        <v>0</v>
      </c>
      <c r="BL49" s="550">
        <f ca="1">COUNTIF(ADMIN!$M$226:$M$229,BG49)-BM49-BN49-BO49</f>
        <v>0</v>
      </c>
      <c r="BM49" s="548">
        <f ca="1">COUNTIF(ADMIN!$M$252,Fixture!BG49)</f>
        <v>0</v>
      </c>
      <c r="BN49" s="548">
        <f ca="1">COUNTIF(ADMIN!$M$251,Fixture!BG49)</f>
        <v>0</v>
      </c>
      <c r="BO49" s="551">
        <f ca="1">COUNTIF(ADMIN!$M$250,Fixture!BG49)</f>
        <v>0</v>
      </c>
    </row>
    <row r="50" spans="1:67" ht="15" customHeight="1">
      <c r="A50" s="19"/>
      <c r="B50" s="247"/>
      <c r="C50" s="297"/>
      <c r="D50" s="297"/>
      <c r="E50" s="297"/>
      <c r="F50" s="297"/>
      <c r="G50" s="297"/>
      <c r="H50" s="297"/>
      <c r="I50" s="297"/>
      <c r="J50" s="297"/>
      <c r="K50" s="297"/>
      <c r="L50" s="297"/>
      <c r="M50" s="19"/>
      <c r="N50" s="247"/>
      <c r="O50" s="297"/>
      <c r="P50" s="297"/>
      <c r="Q50" s="297"/>
      <c r="R50" s="297"/>
      <c r="S50" s="297"/>
      <c r="T50" s="297"/>
      <c r="U50" s="297"/>
      <c r="V50" s="297"/>
      <c r="W50" s="297"/>
      <c r="X50" s="297"/>
      <c r="Y50" s="18"/>
      <c r="Z50" s="18"/>
      <c r="AA50" s="657"/>
      <c r="AB50" s="657"/>
      <c r="AC50" s="657"/>
      <c r="AD50" s="19"/>
      <c r="AE50" s="658"/>
      <c r="AF50" s="658"/>
      <c r="AG50" s="658"/>
      <c r="AH50" s="19"/>
      <c r="AI50" s="544"/>
      <c r="AJ50" s="544"/>
      <c r="AK50" s="544"/>
      <c r="AL50" s="92"/>
      <c r="AM50" s="516"/>
      <c r="AN50" s="516"/>
      <c r="AO50" s="516"/>
      <c r="AP50" s="19"/>
      <c r="AQ50" s="517"/>
      <c r="AR50" s="517"/>
      <c r="AS50" s="517"/>
      <c r="AT50" s="19"/>
      <c r="AU50" s="659"/>
      <c r="AV50" s="659"/>
      <c r="AW50" s="659"/>
      <c r="AX50" s="19"/>
      <c r="AY50" s="297"/>
      <c r="AZ50" s="297"/>
      <c r="BA50" s="297"/>
      <c r="BB50" s="297"/>
      <c r="BC50" s="297"/>
      <c r="BD50" s="297"/>
      <c r="BE50" s="297"/>
      <c r="BG50" s="547" t="str">
        <f ca="1">Horarios!Q49</f>
        <v>Uruguay</v>
      </c>
      <c r="BH50" s="548">
        <f t="shared" ca="1" si="0"/>
        <v>1</v>
      </c>
      <c r="BI50" s="548">
        <f ca="1">COUNTIF(ADMIN!$M$130:$M$161,Fixture!BG50)-BJ50-BK50-BL50-BM50-BN50-BO50</f>
        <v>0</v>
      </c>
      <c r="BJ50" s="549">
        <f ca="1">COUNTIF(ADMIN!$M$182:$M$197,Fixture!BG50)-BK50-BL50-BM50-BN50-BO50</f>
        <v>0</v>
      </c>
      <c r="BK50" s="550">
        <f ca="1">COUNTIF(ADMIN!$M$210:$M$217,Fixture!BG50)-BL50-BM50-BN50-BO50</f>
        <v>0</v>
      </c>
      <c r="BL50" s="550">
        <f ca="1">COUNTIF(ADMIN!$M$226:$M$229,BG50)-BM50-BN50-BO50</f>
        <v>0</v>
      </c>
      <c r="BM50" s="548">
        <f ca="1">COUNTIF(ADMIN!$M$252,Fixture!BG50)</f>
        <v>0</v>
      </c>
      <c r="BN50" s="548">
        <f ca="1">COUNTIF(ADMIN!$M$251,Fixture!BG50)</f>
        <v>0</v>
      </c>
      <c r="BO50" s="551">
        <f ca="1">COUNTIF(ADMIN!$M$250,Fixture!BG50)</f>
        <v>0</v>
      </c>
    </row>
    <row r="51" spans="1:67">
      <c r="A51" s="19"/>
      <c r="B51" s="247"/>
      <c r="C51" s="297"/>
      <c r="D51" s="297"/>
      <c r="E51" s="297"/>
      <c r="F51" s="297"/>
      <c r="G51" s="297"/>
      <c r="H51" s="297"/>
      <c r="I51" s="297"/>
      <c r="J51" s="297"/>
      <c r="K51" s="297"/>
      <c r="L51" s="297"/>
      <c r="M51" s="19"/>
      <c r="N51" s="247"/>
      <c r="O51" s="297"/>
      <c r="P51" s="297"/>
      <c r="Q51" s="297"/>
      <c r="R51" s="297"/>
      <c r="S51" s="297"/>
      <c r="T51" s="297"/>
      <c r="U51" s="297"/>
      <c r="V51" s="297"/>
      <c r="W51" s="297"/>
      <c r="X51" s="297"/>
      <c r="Y51" s="247"/>
      <c r="Z51" s="247"/>
      <c r="AA51" s="297"/>
      <c r="AB51" s="297"/>
      <c r="AC51" s="297"/>
      <c r="AD51" s="247"/>
      <c r="AE51" s="297"/>
      <c r="AF51" s="297"/>
      <c r="AG51" s="297"/>
      <c r="AH51" s="247"/>
      <c r="AI51" s="297"/>
      <c r="AJ51" s="297"/>
      <c r="AK51" s="297"/>
      <c r="AL51" s="247"/>
      <c r="AM51" s="297"/>
      <c r="AN51" s="297"/>
      <c r="AO51" s="297"/>
      <c r="AP51" s="247"/>
      <c r="AQ51" s="297"/>
      <c r="AR51" s="297"/>
      <c r="AS51" s="297"/>
      <c r="AT51" s="247"/>
      <c r="AU51" s="297"/>
      <c r="AV51" s="297"/>
      <c r="AW51" s="297"/>
      <c r="AX51" s="297"/>
      <c r="AY51" s="297"/>
      <c r="AZ51" s="297"/>
      <c r="BA51" s="297"/>
      <c r="BB51" s="297"/>
      <c r="BC51" s="297"/>
      <c r="BD51" s="297"/>
      <c r="BE51" s="297"/>
      <c r="BG51" s="660" t="str">
        <f ca="1">Horarios!Q50</f>
        <v>Uzbekistan</v>
      </c>
      <c r="BH51" s="661">
        <f t="shared" ca="1" si="0"/>
        <v>1</v>
      </c>
      <c r="BI51" s="661">
        <f ca="1">COUNTIF(ADMIN!$M$130:$M$161,Fixture!BG51)-BJ51-BK51-BL51-BM51-BN51-BO51</f>
        <v>0</v>
      </c>
      <c r="BJ51" s="662">
        <f ca="1">COUNTIF(ADMIN!$M$182:$M$197,Fixture!BG51)-BK51-BL51-BM51-BN51-BO51</f>
        <v>0</v>
      </c>
      <c r="BK51" s="663">
        <f ca="1">COUNTIF(ADMIN!$M$210:$M$217,Fixture!BG51)-BL51-BM51-BN51-BO51</f>
        <v>0</v>
      </c>
      <c r="BL51" s="663">
        <f ca="1">COUNTIF(ADMIN!$M$226:$M$229,BG51)-BM51-BN51-BO51</f>
        <v>0</v>
      </c>
      <c r="BM51" s="661">
        <f ca="1">COUNTIF(ADMIN!$M$252,Fixture!BG51)</f>
        <v>0</v>
      </c>
      <c r="BN51" s="661">
        <f ca="1">COUNTIF(ADMIN!$M$251,Fixture!BG51)</f>
        <v>0</v>
      </c>
      <c r="BO51" s="664">
        <f ca="1">COUNTIF(ADMIN!$M$250,Fixture!BG51)</f>
        <v>0</v>
      </c>
    </row>
    <row r="52" spans="1:67">
      <c r="A52" s="19"/>
      <c r="B52" s="247"/>
      <c r="C52" s="297"/>
      <c r="D52" s="297"/>
      <c r="E52" s="297"/>
      <c r="F52" s="297"/>
      <c r="G52" s="297"/>
      <c r="H52" s="297"/>
      <c r="I52" s="297"/>
      <c r="J52" s="297"/>
      <c r="K52" s="297"/>
      <c r="L52" s="297"/>
      <c r="M52" s="19"/>
      <c r="N52" s="247"/>
      <c r="O52" s="297"/>
      <c r="P52" s="297"/>
      <c r="Q52" s="297"/>
      <c r="R52" s="297"/>
      <c r="S52" s="297"/>
      <c r="T52" s="297"/>
      <c r="U52" s="297"/>
      <c r="V52" s="297"/>
      <c r="W52" s="297"/>
      <c r="X52" s="297"/>
      <c r="Y52" s="247"/>
      <c r="Z52" s="247"/>
      <c r="AA52" s="297"/>
      <c r="AB52" s="297"/>
      <c r="AC52" s="297"/>
      <c r="AD52" s="247"/>
      <c r="AE52" s="297"/>
      <c r="AF52" s="297"/>
      <c r="AG52" s="297"/>
      <c r="AH52" s="247"/>
      <c r="AI52" s="297"/>
      <c r="AJ52" s="297"/>
      <c r="AK52" s="297"/>
      <c r="AL52" s="247"/>
      <c r="AM52" s="297"/>
      <c r="AN52" s="297"/>
      <c r="AO52" s="297"/>
      <c r="AP52" s="247"/>
      <c r="AQ52" s="297"/>
      <c r="AR52" s="297"/>
      <c r="AS52" s="297"/>
      <c r="AT52" s="247"/>
      <c r="AU52" s="297"/>
      <c r="AV52" s="297"/>
      <c r="AW52" s="297"/>
      <c r="AX52" s="297"/>
      <c r="AY52" s="297"/>
      <c r="AZ52" s="297"/>
      <c r="BA52" s="297"/>
      <c r="BB52" s="297"/>
      <c r="BC52" s="297"/>
      <c r="BD52" s="297"/>
      <c r="BE52" s="297"/>
    </row>
    <row r="53" spans="1:67">
      <c r="W53" s="8"/>
      <c r="X53" s="1"/>
      <c r="BB53" s="586"/>
    </row>
    <row r="54" spans="1:67">
      <c r="W54" s="8"/>
      <c r="X54" s="1"/>
      <c r="BB54" s="586"/>
    </row>
    <row r="55" spans="1:67">
      <c r="W55" s="8"/>
      <c r="X55" s="1"/>
      <c r="BB55" s="586"/>
    </row>
    <row r="56" spans="1:67">
      <c r="W56" s="8"/>
      <c r="X56" s="1"/>
      <c r="BB56" s="586"/>
    </row>
    <row r="57" spans="1:67">
      <c r="W57" s="8"/>
      <c r="X57" s="1"/>
      <c r="BB57" s="586"/>
    </row>
  </sheetData>
  <sheetProtection algorithmName="SHA-512" hashValue="AAJlTnXYEXy7qlEafgXkrBiTrfBRfwHMuq/Y7oxBMXXW0g3qhBbXc+ymDbF0nM7qrX+nsZqn0k1zRSEBV9pcyw==" saltValue="GbWRD8DPlJRe8r25VQLdPg==" spinCount="100000" sheet="1" objects="1" scenarios="1"/>
  <conditionalFormatting sqref="BH4:BH51">
    <cfRule type="expression" dxfId="11" priority="1">
      <formula>$BH4=1</formula>
    </cfRule>
  </conditionalFormatting>
  <conditionalFormatting sqref="BH4:BI51">
    <cfRule type="expression" dxfId="10" priority="2">
      <formula>$BI4=1</formula>
    </cfRule>
  </conditionalFormatting>
  <conditionalFormatting sqref="BH4:BJ51">
    <cfRule type="expression" dxfId="9" priority="3">
      <formula>$BJ4=1</formula>
    </cfRule>
  </conditionalFormatting>
  <conditionalFormatting sqref="BH4:BK51">
    <cfRule type="expression" dxfId="8" priority="4">
      <formula>$BK4=1</formula>
    </cfRule>
  </conditionalFormatting>
  <conditionalFormatting sqref="BH4:BL51">
    <cfRule type="expression" dxfId="7" priority="5">
      <formula>$BL4=1</formula>
    </cfRule>
  </conditionalFormatting>
  <conditionalFormatting sqref="BH4:BM51">
    <cfRule type="expression" dxfId="6" priority="6">
      <formula>$BM4=1</formula>
    </cfRule>
  </conditionalFormatting>
  <conditionalFormatting sqref="BH4:BN51">
    <cfRule type="expression" dxfId="5" priority="7">
      <formula>$BN4=1</formula>
    </cfRule>
  </conditionalFormatting>
  <conditionalFormatting sqref="BH4:BO51">
    <cfRule type="expression" dxfId="4" priority="8">
      <formula>$BO4=1</formula>
    </cfRule>
  </conditionalFormatting>
  <pageMargins left="0.7" right="0.7" top="0.75" bottom="0.75" header="0.3" footer="0.3"/>
  <pageSetup paperSize="9" scale="62"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19</vt:i4>
      </vt:variant>
    </vt:vector>
  </HeadingPairs>
  <TitlesOfParts>
    <vt:vector size="28" baseType="lpstr">
      <vt:lpstr>Home</vt:lpstr>
      <vt:lpstr>WORLDCUP</vt:lpstr>
      <vt:lpstr>ADMIN</vt:lpstr>
      <vt:lpstr>CLAS</vt:lpstr>
      <vt:lpstr>DailyPrediction</vt:lpstr>
      <vt:lpstr>DailyClas</vt:lpstr>
      <vt:lpstr>Stats</vt:lpstr>
      <vt:lpstr>Fixture</vt:lpstr>
      <vt:lpstr>Credits</vt:lpstr>
      <vt:lpstr>FG_GolesLocal</vt:lpstr>
      <vt:lpstr>FG_GolesVisitante</vt:lpstr>
      <vt:lpstr>FGLocal</vt:lpstr>
      <vt:lpstr>FGVisitante</vt:lpstr>
      <vt:lpstr>Ganador</vt:lpstr>
      <vt:lpstr>Grafico</vt:lpstr>
      <vt:lpstr>Grafico_vacio</vt:lpstr>
      <vt:lpstr>Part1Empate1L</vt:lpstr>
      <vt:lpstr>Part1Empate1V</vt:lpstr>
      <vt:lpstr>Part1Empate2L</vt:lpstr>
      <vt:lpstr>Part1Empate2V</vt:lpstr>
      <vt:lpstr>Part1Empate3L</vt:lpstr>
      <vt:lpstr>Part1Empate3V</vt:lpstr>
      <vt:lpstr>Part2Empate4L</vt:lpstr>
      <vt:lpstr>Part2Empate4V</vt:lpstr>
      <vt:lpstr>Part2Empate5L</vt:lpstr>
      <vt:lpstr>Part2Empate5V</vt:lpstr>
      <vt:lpstr>Part2Empate6L</vt:lpstr>
      <vt:lpstr>Part2Empate6V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matejero</dc:creator>
  <cp:keywords/>
  <dc:description/>
  <cp:lastModifiedBy>Hobie Duijn</cp:lastModifiedBy>
  <cp:lastPrinted>2026-06-11T21:09:02Z</cp:lastPrinted>
  <dcterms:created xsi:type="dcterms:W3CDTF">2015-10-31T09:41:54Z</dcterms:created>
  <dcterms:modified xsi:type="dcterms:W3CDTF">2026-07-20T06:19:58Z</dcterms:modified>
  <cp:category/>
</cp:coreProperties>
</file>